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comments/comment5.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comments/comment6.xml" ContentType="application/vnd.openxmlformats-officedocument.spreadsheetml.comments+xml"/>
  <Override PartName="/xl/worksheets/sheet12.xml" ContentType="application/vnd.openxmlformats-officedocument.spreadsheetml.worksheet+xml"/>
  <Override PartName="/xl/worksheets/sheet13.xml" ContentType="application/vnd.openxmlformats-officedocument.spreadsheetml.worksheet+xml"/>
  <Override PartName="/xl/comments/comment7.xml" ContentType="application/vnd.openxmlformats-officedocument.spreadsheetml.comments+xml"/>
  <Override PartName="/xl/worksheets/sheet14.xml" ContentType="application/vnd.openxmlformats-officedocument.spreadsheetml.worksheet+xml"/>
  <Override PartName="/xl/worksheets/sheet15.xml" ContentType="application/vnd.openxmlformats-officedocument.spreadsheetml.worksheet+xml"/>
  <Override PartName="/xl/comments/comment8.xml" ContentType="application/vnd.openxmlformats-officedocument.spreadsheetml.comments+xml"/>
  <Override PartName="/xl/worksheets/sheet16.xml" ContentType="application/vnd.openxmlformats-officedocument.spreadsheetml.worksheet+xml"/>
  <Override PartName="/xl/comments/comment9.xml" ContentType="application/vnd.openxmlformats-officedocument.spreadsheetml.comments+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comments/comment10.xml" ContentType="application/vnd.openxmlformats-officedocument.spreadsheetml.comments+xml"/>
  <Override PartName="/xl/worksheets/sheet20.xml" ContentType="application/vnd.openxmlformats-officedocument.spreadsheetml.worksheet+xml"/>
  <Override PartName="/xl/comments/comment11.xml" ContentType="application/vnd.openxmlformats-officedocument.spreadsheetml.comments+xml"/>
  <Override PartName="/xl/worksheets/sheet21.xml" ContentType="application/vnd.openxmlformats-officedocument.spreadsheetml.worksheet+xml"/>
  <Override PartName="/xl/comments/comment12.xml" ContentType="application/vnd.openxmlformats-officedocument.spreadsheetml.comments+xml"/>
  <Override PartName="/xl/worksheets/sheet22.xml" ContentType="application/vnd.openxmlformats-officedocument.spreadsheetml.worksheet+xml"/>
  <Override PartName="/xl/comments/comment13.xml" ContentType="application/vnd.openxmlformats-officedocument.spreadsheetml.comments+xml"/>
  <Override PartName="/xl/worksheets/sheet23.xml" ContentType="application/vnd.openxmlformats-officedocument.spreadsheetml.worksheet+xml"/>
  <Override PartName="/xl/comments/comment14.xml" ContentType="application/vnd.openxmlformats-officedocument.spreadsheetml.comments+xml"/>
  <Override PartName="/xl/worksheets/sheet24.xml" ContentType="application/vnd.openxmlformats-officedocument.spreadsheetml.worksheet+xml"/>
  <Override PartName="/xl/pivotCache/pivotCacheRecords1.xml" ContentType="application/vnd.openxmlformats-officedocument.spreadsheetml.pivotCacheRecords+xml"/>
  <Override PartName="/xl/pivotCache/pivotCacheDefinition1.xml" ContentType="application/vnd.openxmlformats-officedocument.spreadsheetml.pivotCacheDefinition+xml"/>
  <Override PartName="/xl/pivotTables/pivotTable1.xml" ContentType="application/vnd.openxmlformats-officedocument.spreadsheetml.pivotTable+xml"/>
  <Override PartName="/xl/worksheets/sheet25.xml" ContentType="application/vnd.openxmlformats-officedocument.spreadsheetml.worksheet+xml"/>
  <Override PartName="/xl/comments/comment15.xml" ContentType="application/vnd.openxmlformats-officedocument.spreadsheetml.comments+xml"/>
  <Override PartName="/xl/worksheets/sheet26.xml" ContentType="application/vnd.openxmlformats-officedocument.spreadsheetml.worksheet+xml"/>
  <Override PartName="/xl/worksheets/sheet27.xml" ContentType="application/vnd.openxmlformats-officedocument.spreadsheetml.worksheet+xml"/>
  <Override PartName="/xl/comments/comment16.xml" ContentType="application/vnd.openxmlformats-officedocument.spreadsheetml.comments+xml"/>
  <Override PartName="/xl/worksheets/sheet28.xml" ContentType="application/vnd.openxmlformats-officedocument.spreadsheetml.worksheet+xml"/>
  <Override PartName="/xl/comments/comment17.xml" ContentType="application/vnd.openxmlformats-officedocument.spreadsheetml.comments+xml"/>
  <Override PartName="/xl/worksheets/sheet29.xml" ContentType="application/vnd.openxmlformats-officedocument.spreadsheetml.worksheet+xml"/>
  <Override PartName="/xl/worksheets/sheet30.xml" ContentType="application/vnd.openxmlformats-officedocument.spreadsheetml.worksheet+xml"/>
  <Override PartName="/xl/comments/comment18.xml" ContentType="application/vnd.openxmlformats-officedocument.spreadsheetml.comments+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book.xml" ContentType="application/vnd.openxmlformats-officedocument.spreadsheetml.sheet.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DieseArbeitsmappe"/>
  <bookViews>
    <workbookView visibility="visible" minimized="0" showHorizontalScroll="1" showVerticalScroll="1" showSheetTabs="1" xWindow="-120" yWindow="-120" windowWidth="29040" windowHeight="17520" tabRatio="910" firstSheet="0" activeTab="2" autoFilterDateGrouping="1"/>
  </bookViews>
  <sheets>
    <sheet name="Info" sheetId="1" state="visible" r:id="rId1"/>
    <sheet name="Rechnung_Ausgang" sheetId="2" state="visible" r:id="rId2"/>
    <sheet name="Journal_ab_2024" sheetId="3" state="visible" r:id="rId3"/>
    <sheet name="UVA-M" sheetId="4" state="visible" r:id="rId4"/>
    <sheet name="Vorschau JA" sheetId="5" state="visible" r:id="rId5"/>
    <sheet name="JA Endgültig" sheetId="6" state="visible" r:id="rId6"/>
    <sheet name="GFB" sheetId="7" state="visible" r:id="rId7"/>
    <sheet name="A+E Export StB 2024" sheetId="8" state="visible" r:id="rId8"/>
    <sheet name="AV" sheetId="9" state="visible" r:id="rId9"/>
    <sheet name="FB" sheetId="10" state="visible" r:id="rId10"/>
    <sheet name="UVA" sheetId="11" state="visible" r:id="rId11"/>
    <sheet name="AfA" sheetId="12" state="visible" r:id="rId12"/>
    <sheet name="SVS2" sheetId="13" state="visible" r:id="rId13"/>
    <sheet name="SVS" sheetId="14" state="visible" r:id="rId14"/>
    <sheet name="Journal_ab_2019" sheetId="15" state="visible" r:id="rId15"/>
    <sheet name="Ausgaben_bis_2018" sheetId="16" state="visible" r:id="rId16"/>
    <sheet name="2021-KBG-Abgrenzung" sheetId="17" state="visible" r:id="rId17"/>
    <sheet name="2021-Covid-Foerder-EntschHilf" sheetId="18" state="visible" r:id="rId18"/>
    <sheet name="A+E Export StB 2023" sheetId="19" state="visible" r:id="rId19"/>
    <sheet name="A+E Export StB 2022" sheetId="20" state="visible" r:id="rId20"/>
    <sheet name="A+E Export StB 2021" sheetId="21" state="visible" r:id="rId21"/>
    <sheet name="A+E Export StB 2020" sheetId="22" state="visible" r:id="rId22"/>
    <sheet name="A+E Export StB 2019" sheetId="23" state="visible" r:id="rId23"/>
    <sheet name="Best Customers" sheetId="24" state="visible" r:id="rId24"/>
    <sheet name="A_Export_Fuer_StB_2018" sheetId="25" state="visible" r:id="rId25"/>
    <sheet name="E_Export_Fuer_StB_2018" sheetId="26" state="visible" r:id="rId26"/>
    <sheet name="Gesamt_Export_Fuer_StB_2018" sheetId="27" state="visible" r:id="rId27"/>
    <sheet name="A_Export_Fuer_StB_2017" sheetId="28" state="visible" r:id="rId28"/>
    <sheet name="E_Export_Fuer_StB_2017" sheetId="29" state="visible" r:id="rId29"/>
    <sheet name="Gesamt_Export_Fuer_StB_2017" sheetId="30" state="visible" r:id="rId30"/>
    <sheet name="Steuersatz" sheetId="31" state="visible" r:id="rId31"/>
    <sheet name="Wareneingangsbuch" sheetId="32" state="visible" r:id="rId32"/>
    <sheet name="Arbeitszimmer" sheetId="33" state="visible" r:id="rId33"/>
    <sheet name="Spesenart" sheetId="34" state="visible" r:id="rId34"/>
  </sheets>
  <definedNames>
    <definedName name="Spesenart">Spesenart!$C$2:$C$27</definedName>
    <definedName name="_xlnm._FilterDatabase" localSheetId="1" hidden="1">'Rechnung_Ausgang'!$A$1:$M$256</definedName>
    <definedName name="_xlnm._FilterDatabase" localSheetId="2" hidden="1">'Journal_ab_2024'!$A$1:$Z$767</definedName>
    <definedName name="_xlnm._FilterDatabase" localSheetId="7" hidden="1">'A+E Export StB 2024'!$A$1:$XEJ$221</definedName>
    <definedName name="_xlnm._FilterDatabase" localSheetId="14" hidden="1">'Journal_ab_2019'!$A$1:$Y$1225</definedName>
    <definedName name="_xlnm._FilterDatabase" localSheetId="15" hidden="1">'Ausgaben_bis_2018'!$D$1:$Y$418</definedName>
    <definedName name="_xlnm._FilterDatabase" localSheetId="18" hidden="1">'A+E Export StB 2023'!$A$1:$XEK$221</definedName>
    <definedName name="_xlnm._FilterDatabase" localSheetId="19" hidden="1">'A+E Export StB 2022'!$A$1:$XEK$221</definedName>
    <definedName name="_xlnm._FilterDatabase" localSheetId="20" hidden="1">'A+E Export StB 2021'!$A$1:$G$197</definedName>
    <definedName name="_xlnm._FilterDatabase" localSheetId="21" hidden="1">'A+E Export StB 2020'!$A$1:$G$239</definedName>
    <definedName name="_xlnm._FilterDatabase" localSheetId="22" hidden="1">'A+E Export StB 2019'!$A$1:$G$239</definedName>
    <definedName name="_xlnm._FilterDatabase" localSheetId="26" hidden="1">'Gesamt_Export_Fuer_StB_2018'!$A$1:$AA$126</definedName>
  </definedNames>
  <calcPr calcId="191029" fullCalcOnLoad="1"/>
  <pivotCaches>
    <pivotCache cacheId="0" r:id="rId35"/>
  </pivotCaches>
</workbook>
</file>

<file path=xl/styles.xml><?xml version="1.0" encoding="utf-8"?>
<styleSheet xmlns="http://schemas.openxmlformats.org/spreadsheetml/2006/main">
  <numFmts count="11">
    <numFmt numFmtId="164" formatCode="&quot;€&quot;\ #,##0.00"/>
    <numFmt numFmtId="165" formatCode="&quot;€&quot;\ #,##0.00;[Red]\-&quot;€&quot;\ #,##0.00"/>
    <numFmt numFmtId="166" formatCode="#,##0.00\ &quot;€&quot;"/>
    <numFmt numFmtId="167" formatCode="_-&quot;€&quot;\ * #,##0.00_-;\-&quot;€&quot;\ * #,##0.00_-;_-&quot;€&quot;\ * &quot;-&quot;??_-;_-@_-"/>
    <numFmt numFmtId="168" formatCode="_-* #,##0.00_-;\-* #,##0.00_-;_-* &quot;-&quot;??_-;_-@_-"/>
    <numFmt numFmtId="169" formatCode="_-[$€-C07]\ * #,##0.00_-;\-[$€-C07]\ * #,##0.00_-;_-[$€-C07]\ * &quot;-&quot;??_-;_-@_-"/>
    <numFmt numFmtId="170" formatCode="_-* #,##0.00\ &quot;€&quot;_-;\-* #,##0.00\ &quot;€&quot;_-;_-* &quot;-&quot;??\ &quot;€&quot;_-;_-@_-"/>
    <numFmt numFmtId="171" formatCode="0.00&quot; km&quot;"/>
    <numFmt numFmtId="172" formatCode="_-* #,##0_-;\-* #,##0_-;_-* &quot;-&quot;??_-;_-@_-"/>
    <numFmt numFmtId="173" formatCode="000"/>
    <numFmt numFmtId="174" formatCode="0&quot;-&quot;"/>
  </numFmts>
  <fonts count="25">
    <font>
      <name val="Calibri"/>
      <family val="2"/>
      <color theme="1"/>
      <sz val="11"/>
      <scheme val="minor"/>
    </font>
    <font>
      <name val="Calibri"/>
      <family val="2"/>
      <b val="1"/>
      <color theme="1"/>
      <sz val="11"/>
      <scheme val="minor"/>
    </font>
    <font>
      <name val="Segoe UI"/>
      <family val="2"/>
      <color indexed="81"/>
      <sz val="8"/>
    </font>
    <font>
      <name val="Segoe UI"/>
      <family val="2"/>
      <b val="1"/>
      <color indexed="81"/>
      <sz val="8"/>
    </font>
    <font>
      <name val="Segoe UI"/>
      <family val="2"/>
      <color indexed="81"/>
      <sz val="9"/>
    </font>
    <font>
      <name val="Segoe UI"/>
      <family val="2"/>
      <b val="1"/>
      <color indexed="81"/>
      <sz val="9"/>
    </font>
    <font>
      <name val="Calibri"/>
      <family val="2"/>
      <b val="1"/>
      <color theme="1"/>
      <sz val="11"/>
      <scheme val="minor"/>
    </font>
    <font>
      <name val="Calibri"/>
      <family val="2"/>
      <color theme="1"/>
      <sz val="11"/>
      <scheme val="minor"/>
    </font>
    <font>
      <name val="Calibri"/>
      <family val="2"/>
      <color rgb="FF000000"/>
      <sz val="11"/>
      <scheme val="minor"/>
    </font>
    <font>
      <name val="Calibri"/>
      <family val="2"/>
      <b val="1"/>
      <color rgb="FF00B050"/>
      <sz val="11"/>
      <scheme val="minor"/>
    </font>
    <font>
      <name val="Arial"/>
      <family val="2"/>
      <color theme="1"/>
      <sz val="9"/>
    </font>
    <font>
      <name val="Arial"/>
      <family val="2"/>
      <b val="1"/>
      <color theme="0"/>
      <sz val="8"/>
    </font>
    <font>
      <name val="Calibri"/>
      <family val="2"/>
      <b val="1"/>
      <color theme="9"/>
      <sz val="11"/>
      <scheme val="minor"/>
    </font>
    <font>
      <name val="Calibri"/>
      <family val="2"/>
      <color theme="0" tint="-0.3499862666707358"/>
      <sz val="11"/>
      <scheme val="minor"/>
    </font>
    <font>
      <name val="Calibri"/>
      <family val="2"/>
      <b val="1"/>
      <sz val="11"/>
      <scheme val="minor"/>
    </font>
    <font>
      <name val="Calibri"/>
      <family val="2"/>
      <sz val="11"/>
      <scheme val="minor"/>
    </font>
    <font>
      <name val="Calibri"/>
      <family val="2"/>
      <sz val="8"/>
      <scheme val="minor"/>
    </font>
    <font>
      <name val="Calibri"/>
      <family val="2"/>
      <strike val="1"/>
      <color theme="1"/>
      <sz val="11"/>
      <scheme val="minor"/>
    </font>
    <font>
      <name val="Calibri"/>
      <family val="2"/>
      <color rgb="FFFF0000"/>
      <sz val="11"/>
      <scheme val="minor"/>
    </font>
    <font>
      <name val="Calibri"/>
      <family val="2"/>
      <b val="1"/>
      <color theme="0" tint="-0.3499862666707358"/>
      <sz val="11"/>
      <scheme val="minor"/>
    </font>
    <font>
      <name val="Calibri"/>
      <family val="2"/>
      <color theme="1" tint="0.499984740745262"/>
      <sz val="11"/>
      <scheme val="minor"/>
    </font>
    <font>
      <name val="Calibri"/>
      <family val="2"/>
      <b val="1"/>
      <color theme="1" tint="0.3499862666707358"/>
      <sz val="11"/>
      <scheme val="minor"/>
    </font>
    <font>
      <name val="Calibri"/>
      <family val="2"/>
      <color theme="1" tint="0.3499862666707358"/>
      <sz val="11"/>
      <scheme val="minor"/>
    </font>
    <font>
      <name val="Calibri"/>
      <family val="2"/>
      <color rgb="FF00B050"/>
      <sz val="11"/>
      <scheme val="minor"/>
    </font>
    <font>
      <name val="Calibri"/>
      <family val="2"/>
      <color rgb="FF000000"/>
      <sz val="11"/>
    </font>
  </fonts>
  <fills count="16">
    <fill>
      <patternFill/>
    </fill>
    <fill>
      <patternFill patternType="gray125"/>
    </fill>
    <fill>
      <patternFill patternType="solid">
        <fgColor rgb="FFFFFF00"/>
        <bgColor indexed="64"/>
      </patternFill>
    </fill>
    <fill>
      <patternFill patternType="solid">
        <fgColor rgb="FF92D050"/>
        <bgColor indexed="64"/>
      </patternFill>
    </fill>
    <fill>
      <patternFill patternType="solid">
        <fgColor theme="6" tint="0.7999816888943144"/>
        <bgColor indexed="64"/>
      </patternFill>
    </fill>
    <fill>
      <patternFill patternType="solid">
        <fgColor theme="5" tint="0.7999816888943144"/>
        <bgColor indexed="64"/>
      </patternFill>
    </fill>
    <fill>
      <patternFill patternType="solid">
        <fgColor rgb="FFFFC000"/>
        <bgColor indexed="64"/>
      </patternFill>
    </fill>
    <fill>
      <patternFill patternType="solid">
        <fgColor theme="4" tint="0.7999816888943144"/>
        <bgColor indexed="64"/>
      </patternFill>
    </fill>
    <fill>
      <patternFill patternType="solid">
        <fgColor theme="9" tint="0.7999816888943144"/>
        <bgColor indexed="64"/>
      </patternFill>
    </fill>
    <fill>
      <patternFill patternType="solid">
        <fgColor rgb="FFFF0000"/>
        <bgColor indexed="64"/>
      </patternFill>
    </fill>
    <fill>
      <patternFill patternType="solid">
        <fgColor rgb="FF009999"/>
        <bgColor indexed="64"/>
      </patternFill>
    </fill>
    <fill>
      <patternFill patternType="solid">
        <fgColor theme="0"/>
        <bgColor indexed="64"/>
      </patternFill>
    </fill>
    <fill>
      <patternFill patternType="solid">
        <fgColor rgb="FFFF00FF"/>
        <bgColor indexed="64"/>
      </patternFill>
    </fill>
    <fill>
      <patternFill patternType="solid">
        <fgColor theme="9" tint="0.3999755851924192"/>
        <bgColor indexed="64"/>
      </patternFill>
    </fill>
    <fill>
      <patternFill patternType="solid">
        <fgColor theme="9" tint="0.5999938962981048"/>
        <bgColor indexed="64"/>
      </patternFill>
    </fill>
    <fill>
      <patternFill patternType="solid">
        <fgColor theme="0" tint="-0.0499893185216834"/>
        <bgColor indexed="64"/>
      </patternFill>
    </fill>
  </fills>
  <borders count="4">
    <border>
      <left/>
      <right/>
      <top/>
      <bottom/>
      <diagonal/>
    </border>
    <border>
      <left style="hair">
        <color indexed="64"/>
      </left>
      <right style="hair">
        <color indexed="64"/>
      </right>
      <top style="hair">
        <color indexed="64"/>
      </top>
      <bottom style="hair">
        <color indexed="64"/>
      </bottom>
      <diagonal/>
    </border>
    <border>
      <left/>
      <right/>
      <top/>
      <bottom style="thin">
        <color indexed="64"/>
      </bottom>
      <diagonal/>
    </border>
    <border>
      <left/>
      <right/>
      <top style="thin">
        <color indexed="64"/>
      </top>
      <bottom/>
      <diagonal/>
    </border>
  </borders>
  <cellStyleXfs count="6">
    <xf numFmtId="0" fontId="7" fillId="0" borderId="0"/>
    <xf numFmtId="44" fontId="7" fillId="0" borderId="0"/>
    <xf numFmtId="43" fontId="7" fillId="0" borderId="0"/>
    <xf numFmtId="9" fontId="7" fillId="0" borderId="0"/>
    <xf numFmtId="44" fontId="7" fillId="0" borderId="0"/>
    <xf numFmtId="43" fontId="7" fillId="0" borderId="0"/>
  </cellStyleXfs>
  <cellXfs count="271">
    <xf numFmtId="0" fontId="0" fillId="0" borderId="0" pivotButton="0" quotePrefix="0" xfId="0"/>
    <xf numFmtId="14" fontId="0" fillId="0" borderId="0" pivotButton="0" quotePrefix="0" xfId="0"/>
    <xf numFmtId="0" fontId="1" fillId="0" borderId="0" pivotButton="0" quotePrefix="0" xfId="0"/>
    <xf numFmtId="0" fontId="0" fillId="2" borderId="0" pivotButton="0" quotePrefix="0" xfId="0"/>
    <xf numFmtId="164" fontId="0" fillId="0" borderId="0" pivotButton="0" quotePrefix="0" xfId="0"/>
    <xf numFmtId="14" fontId="1" fillId="0" borderId="0" pivotButton="0" quotePrefix="0" xfId="0"/>
    <xf numFmtId="0" fontId="0" fillId="0" borderId="0" applyAlignment="1" pivotButton="0" quotePrefix="0" xfId="0">
      <alignment horizontal="left"/>
    </xf>
    <xf numFmtId="164" fontId="1" fillId="0" borderId="0" pivotButton="0" quotePrefix="0" xfId="0"/>
    <xf numFmtId="49" fontId="1" fillId="0" borderId="0" applyAlignment="1" pivotButton="0" quotePrefix="0" xfId="0">
      <alignment horizontal="left"/>
    </xf>
    <xf numFmtId="49" fontId="0" fillId="0" borderId="0" applyAlignment="1" pivotButton="0" quotePrefix="0" xfId="0">
      <alignment horizontal="left"/>
    </xf>
    <xf numFmtId="0" fontId="0" fillId="3" borderId="0" pivotButton="0" quotePrefix="0" xfId="0"/>
    <xf numFmtId="0" fontId="1" fillId="4" borderId="0" pivotButton="0" quotePrefix="0" xfId="0"/>
    <xf numFmtId="0" fontId="1" fillId="5" borderId="0" pivotButton="0" quotePrefix="0" xfId="0"/>
    <xf numFmtId="165" fontId="0" fillId="0" borderId="0" pivotButton="0" quotePrefix="0" xfId="0"/>
    <xf numFmtId="165" fontId="1" fillId="0" borderId="0" pivotButton="0" quotePrefix="0" xfId="0"/>
    <xf numFmtId="2" fontId="1" fillId="0" borderId="0" pivotButton="0" quotePrefix="0" xfId="0"/>
    <xf numFmtId="2" fontId="0" fillId="0" borderId="0" pivotButton="0" quotePrefix="0" xfId="0"/>
    <xf numFmtId="2" fontId="1" fillId="0" borderId="0" applyAlignment="1" pivotButton="0" quotePrefix="0" xfId="0">
      <alignment horizontal="right"/>
    </xf>
    <xf numFmtId="2" fontId="0" fillId="0" borderId="0" applyAlignment="1" pivotButton="0" quotePrefix="0" xfId="0">
      <alignment horizontal="right"/>
    </xf>
    <xf numFmtId="165" fontId="0" fillId="0" borderId="0" applyAlignment="1" pivotButton="0" quotePrefix="0" xfId="0">
      <alignment horizontal="left"/>
    </xf>
    <xf numFmtId="165" fontId="1" fillId="0" borderId="0" applyAlignment="1" pivotButton="0" quotePrefix="0" xfId="0">
      <alignment horizontal="left"/>
    </xf>
    <xf numFmtId="14" fontId="0" fillId="0" borderId="0" applyAlignment="1" pivotButton="0" quotePrefix="0" xfId="0">
      <alignment horizontal="left"/>
    </xf>
    <xf numFmtId="0" fontId="0" fillId="6" borderId="0" pivotButton="0" quotePrefix="0" xfId="0"/>
    <xf numFmtId="49" fontId="0" fillId="6" borderId="0" applyAlignment="1" pivotButton="0" quotePrefix="0" xfId="0">
      <alignment horizontal="left"/>
    </xf>
    <xf numFmtId="14" fontId="0" fillId="6" borderId="0" pivotButton="0" quotePrefix="0" xfId="0"/>
    <xf numFmtId="2" fontId="0" fillId="6" borderId="0" pivotButton="0" quotePrefix="0" xfId="0"/>
    <xf numFmtId="0" fontId="1" fillId="7" borderId="0" pivotButton="0" quotePrefix="0" xfId="0"/>
    <xf numFmtId="0" fontId="0" fillId="7" borderId="0" pivotButton="0" quotePrefix="0" xfId="0"/>
    <xf numFmtId="164" fontId="1" fillId="5" borderId="0" pivotButton="0" quotePrefix="0" xfId="0"/>
    <xf numFmtId="164" fontId="0" fillId="5" borderId="0" pivotButton="0" quotePrefix="0" xfId="0"/>
    <xf numFmtId="164" fontId="1" fillId="7" borderId="0" pivotButton="0" quotePrefix="0" xfId="0"/>
    <xf numFmtId="164" fontId="0" fillId="7" borderId="0" pivotButton="0" quotePrefix="0" xfId="0"/>
    <xf numFmtId="164" fontId="1" fillId="4" borderId="0" pivotButton="0" quotePrefix="0" xfId="0"/>
    <xf numFmtId="164" fontId="0" fillId="4" borderId="0" pivotButton="0" quotePrefix="0" xfId="0"/>
    <xf numFmtId="14" fontId="1" fillId="7" borderId="0" pivotButton="0" quotePrefix="0" xfId="0"/>
    <xf numFmtId="14" fontId="0" fillId="7" borderId="0" pivotButton="0" quotePrefix="0" xfId="0"/>
    <xf numFmtId="0" fontId="0" fillId="4" borderId="0" pivotButton="0" quotePrefix="0" xfId="0"/>
    <xf numFmtId="10" fontId="0" fillId="0" borderId="0" pivotButton="0" quotePrefix="0" xfId="0"/>
    <xf numFmtId="166" fontId="0" fillId="0" borderId="0" pivotButton="0" quotePrefix="0" xfId="0"/>
    <xf numFmtId="0" fontId="0" fillId="0" borderId="0" pivotButton="0" quotePrefix="1" xfId="0"/>
    <xf numFmtId="0" fontId="6" fillId="0" borderId="0" pivotButton="0" quotePrefix="0" xfId="0"/>
    <xf numFmtId="164" fontId="6" fillId="0" borderId="0" pivotButton="0" quotePrefix="0" xfId="0"/>
    <xf numFmtId="14" fontId="6" fillId="0" borderId="0" pivotButton="0" quotePrefix="0" xfId="0"/>
    <xf numFmtId="0" fontId="7" fillId="0" borderId="0" pivotButton="0" quotePrefix="0" xfId="0"/>
    <xf numFmtId="14" fontId="7" fillId="0" borderId="0" pivotButton="0" quotePrefix="0" xfId="0"/>
    <xf numFmtId="164" fontId="7" fillId="0" borderId="0" pivotButton="0" quotePrefix="0" xfId="0"/>
    <xf numFmtId="0" fontId="8" fillId="0" borderId="0" pivotButton="0" quotePrefix="0" xfId="0"/>
    <xf numFmtId="1" fontId="0" fillId="0" borderId="0" pivotButton="0" quotePrefix="0" xfId="0"/>
    <xf numFmtId="167" fontId="0" fillId="0" borderId="0" pivotButton="0" quotePrefix="0" xfId="1"/>
    <xf numFmtId="168" fontId="0" fillId="0" borderId="0" pivotButton="0" quotePrefix="0" xfId="2"/>
    <xf numFmtId="2" fontId="0" fillId="0" borderId="0" pivotButton="0" quotePrefix="0" xfId="2"/>
    <xf numFmtId="9" fontId="0" fillId="8" borderId="0" pivotButton="0" quotePrefix="0" xfId="3"/>
    <xf numFmtId="9" fontId="1" fillId="8" borderId="0" pivotButton="0" quotePrefix="0" xfId="3"/>
    <xf numFmtId="0" fontId="9" fillId="0" borderId="0" pivotButton="0" quotePrefix="0" xfId="0"/>
    <xf numFmtId="0" fontId="9" fillId="6" borderId="0" pivotButton="0" quotePrefix="0" xfId="0"/>
    <xf numFmtId="0" fontId="10" fillId="0" borderId="0" applyAlignment="1" pivotButton="0" quotePrefix="0" xfId="0">
      <alignment vertical="center"/>
    </xf>
    <xf numFmtId="9" fontId="0" fillId="2" borderId="0" pivotButton="0" quotePrefix="0" xfId="3"/>
    <xf numFmtId="167" fontId="1" fillId="7" borderId="0" pivotButton="0" quotePrefix="0" xfId="1"/>
    <xf numFmtId="167" fontId="0" fillId="7" borderId="0" pivotButton="0" quotePrefix="0" xfId="1"/>
    <xf numFmtId="0" fontId="0" fillId="9" borderId="0" pivotButton="0" quotePrefix="0" xfId="0"/>
    <xf numFmtId="2" fontId="0" fillId="9" borderId="0" pivotButton="0" quotePrefix="0" xfId="0"/>
    <xf numFmtId="49" fontId="0" fillId="9" borderId="0" applyAlignment="1" pivotButton="0" quotePrefix="0" xfId="0">
      <alignment horizontal="left"/>
    </xf>
    <xf numFmtId="0" fontId="10" fillId="0" borderId="1" applyAlignment="1" applyProtection="1" pivotButton="0" quotePrefix="0" xfId="0">
      <alignment vertical="center"/>
      <protection locked="0" hidden="0"/>
    </xf>
    <xf numFmtId="0" fontId="11" fillId="10" borderId="2" applyAlignment="1" pivotButton="0" quotePrefix="0" xfId="0">
      <alignment horizontal="center" vertical="center" wrapText="1"/>
    </xf>
    <xf numFmtId="0" fontId="1" fillId="0" borderId="0" applyAlignment="1" pivotButton="0" quotePrefix="0" xfId="0">
      <alignment horizontal="right"/>
    </xf>
    <xf numFmtId="164" fontId="1" fillId="0" borderId="0" applyAlignment="1" pivotButton="0" quotePrefix="0" xfId="0">
      <alignment horizontal="right"/>
    </xf>
    <xf numFmtId="164" fontId="0" fillId="0" borderId="0" applyAlignment="1" pivotButton="0" quotePrefix="0" xfId="0">
      <alignment horizontal="right"/>
    </xf>
    <xf numFmtId="0" fontId="0" fillId="0" borderId="0" applyAlignment="1" pivotButton="0" quotePrefix="0" xfId="0">
      <alignment horizontal="right"/>
    </xf>
    <xf numFmtId="9" fontId="0" fillId="0" borderId="0" applyAlignment="1" pivotButton="0" quotePrefix="0" xfId="0">
      <alignment horizontal="right"/>
    </xf>
    <xf numFmtId="0" fontId="0" fillId="0" borderId="1" applyAlignment="1" applyProtection="1" pivotButton="0" quotePrefix="0" xfId="0">
      <alignment vertical="center"/>
      <protection locked="0" hidden="0"/>
    </xf>
    <xf numFmtId="167" fontId="0" fillId="0" borderId="0" pivotButton="0" quotePrefix="0" xfId="0"/>
    <xf numFmtId="0" fontId="12" fillId="0" borderId="0" pivotButton="0" quotePrefix="0" xfId="0"/>
    <xf numFmtId="9" fontId="0" fillId="0" borderId="0" pivotButton="0" quotePrefix="0" xfId="3"/>
    <xf numFmtId="169" fontId="0" fillId="0" borderId="0" pivotButton="0" quotePrefix="0" xfId="1"/>
    <xf numFmtId="49" fontId="0" fillId="0" borderId="0" pivotButton="0" quotePrefix="0" xfId="0"/>
    <xf numFmtId="49" fontId="0" fillId="0" borderId="0" pivotButton="0" quotePrefix="1" xfId="0"/>
    <xf numFmtId="49" fontId="1" fillId="0" borderId="0" applyAlignment="1" pivotButton="0" quotePrefix="0" xfId="0">
      <alignment horizontal="center"/>
    </xf>
    <xf numFmtId="49" fontId="7" fillId="0" borderId="0" pivotButton="0" quotePrefix="0" xfId="0"/>
    <xf numFmtId="167" fontId="13" fillId="0" borderId="0" pivotButton="0" quotePrefix="0" xfId="1"/>
    <xf numFmtId="0" fontId="14" fillId="11" borderId="0" pivotButton="0" quotePrefix="0" xfId="0"/>
    <xf numFmtId="2" fontId="14" fillId="11" borderId="0" pivotButton="0" quotePrefix="0" xfId="0"/>
    <xf numFmtId="49" fontId="14" fillId="11" borderId="0" applyAlignment="1" pivotButton="0" quotePrefix="0" xfId="0">
      <alignment horizontal="left"/>
    </xf>
    <xf numFmtId="49" fontId="14" fillId="11" borderId="0" pivotButton="0" quotePrefix="0" xfId="0"/>
    <xf numFmtId="9" fontId="14" fillId="11" borderId="0" pivotButton="0" quotePrefix="0" xfId="3"/>
    <xf numFmtId="164" fontId="14" fillId="11" borderId="0" pivotButton="0" quotePrefix="0" xfId="0"/>
    <xf numFmtId="14" fontId="14" fillId="11" borderId="0" pivotButton="0" quotePrefix="0" xfId="0"/>
    <xf numFmtId="167" fontId="14" fillId="11" borderId="0" pivotButton="0" quotePrefix="0" xfId="1"/>
    <xf numFmtId="0" fontId="15" fillId="11" borderId="0" pivotButton="0" quotePrefix="0" xfId="0"/>
    <xf numFmtId="49" fontId="0" fillId="9" borderId="0" pivotButton="0" quotePrefix="0" xfId="0"/>
    <xf numFmtId="170" fontId="0" fillId="0" borderId="0" pivotButton="0" quotePrefix="0" xfId="0"/>
    <xf numFmtId="167" fontId="0" fillId="2" borderId="0" pivotButton="0" quotePrefix="0" xfId="1"/>
    <xf numFmtId="9" fontId="0" fillId="0" borderId="0" pivotButton="0" quotePrefix="0" xfId="3"/>
    <xf numFmtId="0" fontId="0" fillId="0" borderId="0" pivotButton="1" quotePrefix="0" xfId="0"/>
    <xf numFmtId="0" fontId="17" fillId="0" borderId="0" pivotButton="0" quotePrefix="0" xfId="0"/>
    <xf numFmtId="164" fontId="7" fillId="2" borderId="0" pivotButton="0" quotePrefix="0" xfId="0"/>
    <xf numFmtId="167" fontId="11" fillId="10" borderId="2" applyAlignment="1" pivotButton="0" quotePrefix="0" xfId="1">
      <alignment horizontal="center" vertical="center" wrapText="1"/>
    </xf>
    <xf numFmtId="14" fontId="11" fillId="10" borderId="2" applyAlignment="1" pivotButton="0" quotePrefix="0" xfId="0">
      <alignment horizontal="center" vertical="center" wrapText="1"/>
    </xf>
    <xf numFmtId="171" fontId="0" fillId="0" borderId="0" pivotButton="0" quotePrefix="0" xfId="0"/>
    <xf numFmtId="10" fontId="0" fillId="0" borderId="0" pivotButton="0" quotePrefix="0" xfId="3"/>
    <xf numFmtId="167" fontId="1" fillId="0" borderId="0" applyAlignment="1" pivotButton="0" quotePrefix="0" xfId="1">
      <alignment horizontal="right"/>
    </xf>
    <xf numFmtId="0" fontId="0" fillId="12" borderId="0" pivotButton="0" quotePrefix="0" xfId="0"/>
    <xf numFmtId="49" fontId="0" fillId="12" borderId="0" pivotButton="0" quotePrefix="0" xfId="0"/>
    <xf numFmtId="14" fontId="7" fillId="12" borderId="0" pivotButton="0" quotePrefix="0" xfId="0"/>
    <xf numFmtId="49" fontId="1" fillId="12" borderId="0" applyAlignment="1" pivotButton="0" quotePrefix="0" xfId="0">
      <alignment horizontal="center"/>
    </xf>
    <xf numFmtId="9" fontId="0" fillId="12" borderId="0" pivotButton="0" quotePrefix="0" xfId="3"/>
    <xf numFmtId="164" fontId="0" fillId="12" borderId="0" pivotButton="0" quotePrefix="0" xfId="0"/>
    <xf numFmtId="14" fontId="0" fillId="12" borderId="0" pivotButton="0" quotePrefix="0" xfId="0"/>
    <xf numFmtId="167" fontId="0" fillId="12" borderId="0" pivotButton="0" quotePrefix="0" xfId="1"/>
    <xf numFmtId="167" fontId="13" fillId="12" borderId="0" pivotButton="0" quotePrefix="0" xfId="1"/>
    <xf numFmtId="167" fontId="0" fillId="0" borderId="0" pivotButton="0" quotePrefix="0" xfId="1"/>
    <xf numFmtId="49" fontId="0" fillId="11" borderId="0" pivotButton="0" quotePrefix="0" xfId="0"/>
    <xf numFmtId="0" fontId="18" fillId="2" borderId="0" pivotButton="0" quotePrefix="0" xfId="0"/>
    <xf numFmtId="167" fontId="0" fillId="3" borderId="0" pivotButton="0" quotePrefix="0" xfId="1"/>
    <xf numFmtId="172" fontId="1" fillId="0" borderId="0" pivotButton="0" quotePrefix="0" xfId="2"/>
    <xf numFmtId="0" fontId="0" fillId="0" borderId="0" applyAlignment="1" pivotButton="0" quotePrefix="1" xfId="0">
      <alignment horizontal="left"/>
    </xf>
    <xf numFmtId="0" fontId="15" fillId="0" borderId="0" pivotButton="0" quotePrefix="0" xfId="0"/>
    <xf numFmtId="164" fontId="8" fillId="0" borderId="0" pivotButton="0" quotePrefix="0" xfId="0"/>
    <xf numFmtId="164" fontId="0" fillId="0" borderId="0" pivotButton="0" quotePrefix="0" xfId="1"/>
    <xf numFmtId="167" fontId="0" fillId="0" borderId="0" applyProtection="1" pivotButton="0" quotePrefix="0" xfId="1">
      <protection locked="0" hidden="0"/>
    </xf>
    <xf numFmtId="0" fontId="0" fillId="0" borderId="3" pivotButton="0" quotePrefix="0" xfId="0"/>
    <xf numFmtId="167" fontId="0" fillId="0" borderId="3" pivotButton="0" quotePrefix="0" xfId="0"/>
    <xf numFmtId="9" fontId="0" fillId="0" borderId="3" pivotButton="0" quotePrefix="0" xfId="3"/>
    <xf numFmtId="0" fontId="1" fillId="0" borderId="3" applyAlignment="1" pivotButton="0" quotePrefix="0" xfId="0">
      <alignment horizontal="left"/>
    </xf>
    <xf numFmtId="9" fontId="0" fillId="3" borderId="0" pivotButton="0" quotePrefix="0" xfId="3"/>
    <xf numFmtId="9" fontId="1" fillId="0" borderId="0" pivotButton="0" quotePrefix="0" xfId="3"/>
    <xf numFmtId="0" fontId="13" fillId="0" borderId="0" pivotButton="0" quotePrefix="0" xfId="0"/>
    <xf numFmtId="9" fontId="13" fillId="0" borderId="0" pivotButton="0" quotePrefix="0" xfId="3"/>
    <xf numFmtId="9" fontId="13" fillId="0" borderId="0" pivotButton="0" quotePrefix="0" xfId="3"/>
    <xf numFmtId="0" fontId="19" fillId="0" borderId="0" pivotButton="0" quotePrefix="0" xfId="0"/>
    <xf numFmtId="10" fontId="13" fillId="0" borderId="0" pivotButton="0" quotePrefix="0" xfId="0"/>
    <xf numFmtId="1" fontId="13" fillId="0" borderId="0" pivotButton="0" quotePrefix="0" xfId="0"/>
    <xf numFmtId="49" fontId="0" fillId="0" borderId="0" applyAlignment="1" pivotButton="0" quotePrefix="1" xfId="0">
      <alignment horizontal="left"/>
    </xf>
    <xf numFmtId="167" fontId="8" fillId="0" borderId="0" pivotButton="0" quotePrefix="0" xfId="1"/>
    <xf numFmtId="49" fontId="7" fillId="0" borderId="0" applyAlignment="1" pivotButton="0" quotePrefix="0" xfId="0">
      <alignment horizontal="left"/>
    </xf>
    <xf numFmtId="49" fontId="0" fillId="11" borderId="0" applyAlignment="1" pivotButton="0" quotePrefix="0" xfId="0">
      <alignment horizontal="left"/>
    </xf>
    <xf numFmtId="49" fontId="0" fillId="12" borderId="0" applyAlignment="1" pivotButton="0" quotePrefix="0" xfId="0">
      <alignment horizontal="left"/>
    </xf>
    <xf numFmtId="49" fontId="15" fillId="0" borderId="0" applyAlignment="1" pivotButton="0" quotePrefix="0" xfId="0">
      <alignment horizontal="left"/>
    </xf>
    <xf numFmtId="49" fontId="13" fillId="0" borderId="0" applyAlignment="1" pivotButton="0" quotePrefix="0" xfId="0">
      <alignment horizontal="left"/>
    </xf>
    <xf numFmtId="49" fontId="0" fillId="0" borderId="3" applyAlignment="1" pivotButton="0" quotePrefix="0" xfId="0">
      <alignment horizontal="left"/>
    </xf>
    <xf numFmtId="49" fontId="0" fillId="2" borderId="0" applyAlignment="1" pivotButton="0" quotePrefix="0" xfId="0">
      <alignment horizontal="left"/>
    </xf>
    <xf numFmtId="167" fontId="1" fillId="0" borderId="0" pivotButton="0" quotePrefix="0" xfId="1"/>
    <xf numFmtId="0" fontId="1" fillId="0" borderId="0" applyAlignment="1" pivotButton="0" quotePrefix="0" xfId="0">
      <alignment horizontal="left"/>
    </xf>
    <xf numFmtId="167" fontId="1" fillId="2" borderId="0" pivotButton="0" quotePrefix="0" xfId="1"/>
    <xf numFmtId="49" fontId="0" fillId="8" borderId="0" applyAlignment="1" pivotButton="0" quotePrefix="0" xfId="0">
      <alignment horizontal="left"/>
    </xf>
    <xf numFmtId="49" fontId="0" fillId="11" borderId="0" applyAlignment="1" pivotButton="0" quotePrefix="1" xfId="0">
      <alignment horizontal="left"/>
    </xf>
    <xf numFmtId="167" fontId="0" fillId="11" borderId="0" pivotButton="0" quotePrefix="0" xfId="1"/>
    <xf numFmtId="9" fontId="0" fillId="11" borderId="0" pivotButton="0" quotePrefix="0" xfId="3"/>
    <xf numFmtId="0" fontId="0" fillId="11" borderId="0" pivotButton="0" quotePrefix="0" xfId="0"/>
    <xf numFmtId="165" fontId="0" fillId="0" borderId="0" applyProtection="1" pivotButton="0" quotePrefix="0" xfId="0">
      <protection locked="0" hidden="0"/>
    </xf>
    <xf numFmtId="167" fontId="13" fillId="0" borderId="0" pivotButton="0" quotePrefix="0" xfId="1"/>
    <xf numFmtId="0" fontId="13" fillId="0" borderId="3" pivotButton="0" quotePrefix="0" xfId="0"/>
    <xf numFmtId="10" fontId="13" fillId="0" borderId="3" pivotButton="0" quotePrefix="0" xfId="0"/>
    <xf numFmtId="17" fontId="7" fillId="0" borderId="0" pivotButton="0" quotePrefix="0" xfId="0"/>
    <xf numFmtId="49" fontId="0" fillId="4" borderId="0" applyAlignment="1" pivotButton="0" quotePrefix="0" xfId="0">
      <alignment horizontal="left"/>
    </xf>
    <xf numFmtId="0" fontId="0" fillId="13" borderId="0" pivotButton="0" quotePrefix="0" xfId="0"/>
    <xf numFmtId="0" fontId="9" fillId="2" borderId="0" pivotButton="0" quotePrefix="0" xfId="0"/>
    <xf numFmtId="0" fontId="9" fillId="9" borderId="0" pivotButton="0" quotePrefix="0" xfId="0"/>
    <xf numFmtId="167" fontId="0" fillId="9" borderId="0" pivotButton="0" quotePrefix="0" xfId="1"/>
    <xf numFmtId="167" fontId="0" fillId="0" borderId="0" pivotButton="0" quotePrefix="0" xfId="1"/>
    <xf numFmtId="9" fontId="0" fillId="0" borderId="0" pivotButton="0" quotePrefix="0" xfId="3"/>
    <xf numFmtId="167" fontId="0" fillId="7" borderId="0" pivotButton="0" quotePrefix="0" xfId="1"/>
    <xf numFmtId="167" fontId="13" fillId="0" borderId="0" pivotButton="0" quotePrefix="0" xfId="1"/>
    <xf numFmtId="167" fontId="0" fillId="0" borderId="0" pivotButton="0" quotePrefix="0" xfId="1"/>
    <xf numFmtId="49" fontId="0" fillId="0" borderId="0" applyAlignment="1" pivotButton="0" quotePrefix="1" xfId="0">
      <alignment horizontal="right"/>
    </xf>
    <xf numFmtId="0" fontId="9" fillId="0" borderId="2" pivotButton="0" quotePrefix="0" xfId="0"/>
    <xf numFmtId="0" fontId="12" fillId="0" borderId="2" pivotButton="0" quotePrefix="0" xfId="0"/>
    <xf numFmtId="0" fontId="0" fillId="0" borderId="2" pivotButton="0" quotePrefix="0" xfId="0"/>
    <xf numFmtId="49" fontId="0" fillId="0" borderId="2" applyAlignment="1" pivotButton="0" quotePrefix="0" xfId="0">
      <alignment horizontal="left"/>
    </xf>
    <xf numFmtId="14" fontId="0" fillId="0" borderId="2" pivotButton="0" quotePrefix="0" xfId="0"/>
    <xf numFmtId="49" fontId="1" fillId="0" borderId="2" applyAlignment="1" pivotButton="0" quotePrefix="0" xfId="0">
      <alignment horizontal="center"/>
    </xf>
    <xf numFmtId="167" fontId="0" fillId="0" borderId="2" pivotButton="0" quotePrefix="0" xfId="1"/>
    <xf numFmtId="9" fontId="0" fillId="0" borderId="2" pivotButton="0" quotePrefix="0" xfId="3"/>
    <xf numFmtId="164" fontId="0" fillId="7" borderId="2" pivotButton="0" quotePrefix="0" xfId="0"/>
    <xf numFmtId="164" fontId="0" fillId="4" borderId="2" pivotButton="0" quotePrefix="0" xfId="0"/>
    <xf numFmtId="164" fontId="0" fillId="5" borderId="2" pivotButton="0" quotePrefix="0" xfId="0"/>
    <xf numFmtId="14" fontId="0" fillId="7" borderId="2" pivotButton="0" quotePrefix="0" xfId="0"/>
    <xf numFmtId="0" fontId="0" fillId="7" borderId="2" pivotButton="0" quotePrefix="0" xfId="0"/>
    <xf numFmtId="167" fontId="0" fillId="7" borderId="2" pivotButton="0" quotePrefix="0" xfId="1"/>
    <xf numFmtId="167" fontId="13" fillId="0" borderId="2" pivotButton="0" quotePrefix="0" xfId="1"/>
    <xf numFmtId="167" fontId="0" fillId="14" borderId="0" pivotButton="0" quotePrefix="0" xfId="1"/>
    <xf numFmtId="0" fontId="1" fillId="14" borderId="0" pivotButton="0" quotePrefix="0" xfId="0"/>
    <xf numFmtId="0" fontId="0" fillId="14" borderId="0" pivotButton="0" quotePrefix="0" xfId="0"/>
    <xf numFmtId="0" fontId="1" fillId="14" borderId="0" applyAlignment="1" pivotButton="0" quotePrefix="0" xfId="0">
      <alignment horizontal="left"/>
    </xf>
    <xf numFmtId="167" fontId="20" fillId="15" borderId="0" pivotButton="0" quotePrefix="0" xfId="1"/>
    <xf numFmtId="167" fontId="21" fillId="15" borderId="0" pivotButton="0" quotePrefix="0" xfId="1"/>
    <xf numFmtId="167" fontId="22" fillId="15" borderId="0" pivotButton="0" quotePrefix="0" xfId="1"/>
    <xf numFmtId="14" fontId="21" fillId="15" borderId="0" pivotButton="0" quotePrefix="0" xfId="0"/>
    <xf numFmtId="0" fontId="22" fillId="15" borderId="0" pivotButton="0" quotePrefix="0" xfId="0"/>
    <xf numFmtId="173" fontId="14" fillId="11" borderId="0" pivotButton="0" quotePrefix="0" xfId="0"/>
    <xf numFmtId="173" fontId="23" fillId="0" borderId="0" pivotButton="0" quotePrefix="0" xfId="0"/>
    <xf numFmtId="174" fontId="14" fillId="11" borderId="0" pivotButton="0" quotePrefix="0" xfId="0"/>
    <xf numFmtId="174" fontId="23" fillId="0" borderId="0" pivotButton="0" quotePrefix="0" xfId="0"/>
    <xf numFmtId="14" fontId="22" fillId="15" borderId="0" pivotButton="0" quotePrefix="0" xfId="0"/>
    <xf numFmtId="0" fontId="14" fillId="2" borderId="0" pivotButton="0" quotePrefix="0" xfId="0"/>
    <xf numFmtId="0" fontId="20" fillId="15" borderId="0" pivotButton="0" quotePrefix="0" xfId="0"/>
    <xf numFmtId="167" fontId="20" fillId="15" borderId="0" pivotButton="0" quotePrefix="0" xfId="0"/>
    <xf numFmtId="168" fontId="0" fillId="0" borderId="0" pivotButton="0" quotePrefix="0" xfId="0"/>
    <xf numFmtId="0" fontId="7" fillId="2" borderId="0" pivotButton="0" quotePrefix="0" xfId="0"/>
    <xf numFmtId="14" fontId="0" fillId="9" borderId="0" pivotButton="0" quotePrefix="0" xfId="0"/>
    <xf numFmtId="0" fontId="14" fillId="0" borderId="0" pivotButton="0" quotePrefix="0" xfId="0"/>
    <xf numFmtId="173" fontId="23" fillId="6" borderId="0" pivotButton="0" quotePrefix="0" xfId="0"/>
    <xf numFmtId="167" fontId="22" fillId="9" borderId="0" pivotButton="0" quotePrefix="0" xfId="1"/>
    <xf numFmtId="9" fontId="0" fillId="9" borderId="0" pivotButton="0" quotePrefix="0" xfId="3"/>
    <xf numFmtId="14" fontId="22" fillId="9" borderId="0" pivotButton="0" quotePrefix="0" xfId="0"/>
    <xf numFmtId="164" fontId="7" fillId="0" borderId="0" pivotButton="0" quotePrefix="0" xfId="1"/>
    <xf numFmtId="0" fontId="7" fillId="9" borderId="0" pivotButton="0" quotePrefix="0" xfId="0"/>
    <xf numFmtId="164" fontId="7" fillId="0" borderId="0" pivotButton="0" quotePrefix="0" xfId="0"/>
    <xf numFmtId="164" fontId="6" fillId="0" borderId="0" pivotButton="0" quotePrefix="0" xfId="0"/>
    <xf numFmtId="164" fontId="0" fillId="4" borderId="0" pivotButton="0" quotePrefix="0" xfId="0"/>
    <xf numFmtId="164" fontId="7" fillId="2" borderId="0" pivotButton="0" quotePrefix="0" xfId="0"/>
    <xf numFmtId="167" fontId="0" fillId="7" borderId="0" pivotButton="0" quotePrefix="0" xfId="1"/>
    <xf numFmtId="164" fontId="7" fillId="0" borderId="0" pivotButton="0" quotePrefix="0" xfId="1"/>
    <xf numFmtId="174" fontId="23" fillId="0" borderId="0" pivotButton="0" quotePrefix="0" xfId="0"/>
    <xf numFmtId="173" fontId="23" fillId="0" borderId="0" pivotButton="0" quotePrefix="0" xfId="0"/>
    <xf numFmtId="167" fontId="0" fillId="0" borderId="0" pivotButton="0" quotePrefix="0" xfId="1"/>
    <xf numFmtId="167" fontId="22" fillId="15" borderId="0" pivotButton="0" quotePrefix="0" xfId="1"/>
    <xf numFmtId="174" fontId="14" fillId="11" borderId="0" pivotButton="0" quotePrefix="0" xfId="0"/>
    <xf numFmtId="173" fontId="14" fillId="11" borderId="0" pivotButton="0" quotePrefix="0" xfId="0"/>
    <xf numFmtId="167" fontId="14" fillId="11" borderId="0" pivotButton="0" quotePrefix="0" xfId="1"/>
    <xf numFmtId="167" fontId="21" fillId="15" borderId="0" pivotButton="0" quotePrefix="0" xfId="1"/>
    <xf numFmtId="167" fontId="20" fillId="15" borderId="0" pivotButton="0" quotePrefix="0" xfId="1"/>
    <xf numFmtId="167" fontId="20" fillId="15" borderId="0" pivotButton="0" quotePrefix="0" xfId="0"/>
    <xf numFmtId="173" fontId="23" fillId="6" borderId="0" pivotButton="0" quotePrefix="0" xfId="0"/>
    <xf numFmtId="168" fontId="0" fillId="0" borderId="0" pivotButton="0" quotePrefix="0" xfId="0"/>
    <xf numFmtId="167" fontId="0" fillId="9" borderId="0" pivotButton="0" quotePrefix="0" xfId="1"/>
    <xf numFmtId="167" fontId="22" fillId="9" borderId="0" pivotButton="0" quotePrefix="0" xfId="1"/>
    <xf numFmtId="164" fontId="1" fillId="0" borderId="0" pivotButton="0" quotePrefix="0" xfId="0"/>
    <xf numFmtId="164" fontId="0" fillId="0" borderId="0" pivotButton="0" quotePrefix="0" xfId="0"/>
    <xf numFmtId="167" fontId="13" fillId="0" borderId="0" pivotButton="0" quotePrefix="0" xfId="1"/>
    <xf numFmtId="167" fontId="0" fillId="0" borderId="0" pivotButton="0" quotePrefix="0" xfId="0"/>
    <xf numFmtId="167" fontId="0" fillId="3" borderId="0" pivotButton="0" quotePrefix="0" xfId="1"/>
    <xf numFmtId="165" fontId="0" fillId="0" borderId="0" applyProtection="1" pivotButton="0" quotePrefix="0" xfId="0">
      <protection locked="0" hidden="0"/>
    </xf>
    <xf numFmtId="167" fontId="0" fillId="14" borderId="0" pivotButton="0" quotePrefix="0" xfId="1"/>
    <xf numFmtId="167" fontId="0" fillId="2" borderId="0" pivotButton="0" quotePrefix="0" xfId="1"/>
    <xf numFmtId="170" fontId="0" fillId="0" borderId="0" pivotButton="0" quotePrefix="0" xfId="0"/>
    <xf numFmtId="167" fontId="11" fillId="10" borderId="2" applyAlignment="1" pivotButton="0" quotePrefix="0" xfId="1">
      <alignment horizontal="center" vertical="center" wrapText="1"/>
    </xf>
    <xf numFmtId="164" fontId="0" fillId="0" borderId="0" pivotButton="0" quotePrefix="0" xfId="1"/>
    <xf numFmtId="164" fontId="0" fillId="7" borderId="0" pivotButton="0" quotePrefix="0" xfId="0"/>
    <xf numFmtId="164" fontId="0" fillId="7" borderId="2" pivotButton="0" quotePrefix="0" xfId="0"/>
    <xf numFmtId="167" fontId="13" fillId="0" borderId="2" pivotButton="0" quotePrefix="0" xfId="1"/>
    <xf numFmtId="165" fontId="1" fillId="0" borderId="0" applyAlignment="1" pivotButton="0" quotePrefix="0" xfId="0">
      <alignment horizontal="left"/>
    </xf>
    <xf numFmtId="165" fontId="1" fillId="0" borderId="0" pivotButton="0" quotePrefix="0" xfId="0"/>
    <xf numFmtId="165" fontId="0" fillId="0" borderId="0" applyAlignment="1" pivotButton="0" quotePrefix="0" xfId="0">
      <alignment horizontal="left"/>
    </xf>
    <xf numFmtId="165" fontId="0" fillId="0" borderId="0" pivotButton="0" quotePrefix="0" xfId="0"/>
    <xf numFmtId="169" fontId="0" fillId="0" borderId="0" pivotButton="0" quotePrefix="0" xfId="1"/>
    <xf numFmtId="167" fontId="0" fillId="0" borderId="0" applyProtection="1" pivotButton="0" quotePrefix="0" xfId="1">
      <protection locked="0" hidden="0"/>
    </xf>
    <xf numFmtId="171" fontId="0" fillId="0" borderId="0" pivotButton="0" quotePrefix="0" xfId="0"/>
    <xf numFmtId="167" fontId="1" fillId="0" borderId="0" applyAlignment="1" pivotButton="0" quotePrefix="0" xfId="1">
      <alignment horizontal="right"/>
    </xf>
    <xf numFmtId="167" fontId="1" fillId="2" borderId="0" pivotButton="0" quotePrefix="0" xfId="1"/>
    <xf numFmtId="167" fontId="1" fillId="0" borderId="0" pivotButton="0" quotePrefix="0" xfId="1"/>
    <xf numFmtId="164" fontId="14" fillId="11" borderId="0" pivotButton="0" quotePrefix="0" xfId="0"/>
    <xf numFmtId="164" fontId="0" fillId="5" borderId="0" pivotButton="0" quotePrefix="0" xfId="0"/>
    <xf numFmtId="167" fontId="0" fillId="12" borderId="0" pivotButton="0" quotePrefix="0" xfId="1"/>
    <xf numFmtId="164" fontId="0" fillId="12" borderId="0" pivotButton="0" quotePrefix="0" xfId="0"/>
    <xf numFmtId="167" fontId="13" fillId="12" borderId="0" pivotButton="0" quotePrefix="0" xfId="1"/>
    <xf numFmtId="167" fontId="8" fillId="0" borderId="0" pivotButton="0" quotePrefix="0" xfId="1"/>
    <xf numFmtId="167" fontId="0" fillId="11" borderId="0" pivotButton="0" quotePrefix="0" xfId="1"/>
    <xf numFmtId="167" fontId="0" fillId="0" borderId="2" pivotButton="0" quotePrefix="0" xfId="1"/>
    <xf numFmtId="164" fontId="0" fillId="4" borderId="2" pivotButton="0" quotePrefix="0" xfId="0"/>
    <xf numFmtId="164" fontId="0" fillId="5" borderId="2" pivotButton="0" quotePrefix="0" xfId="0"/>
    <xf numFmtId="167" fontId="0" fillId="7" borderId="2" pivotButton="0" quotePrefix="0" xfId="1"/>
    <xf numFmtId="164" fontId="1" fillId="7" borderId="0" pivotButton="0" quotePrefix="0" xfId="0"/>
    <xf numFmtId="164" fontId="1" fillId="4" borderId="0" pivotButton="0" quotePrefix="0" xfId="0"/>
    <xf numFmtId="164" fontId="1" fillId="5" borderId="0" pivotButton="0" quotePrefix="0" xfId="0"/>
    <xf numFmtId="167" fontId="1" fillId="7" borderId="0" pivotButton="0" quotePrefix="0" xfId="1"/>
    <xf numFmtId="172" fontId="1" fillId="0" borderId="0" pivotButton="0" quotePrefix="0" xfId="2"/>
    <xf numFmtId="167" fontId="0" fillId="0" borderId="3" pivotButton="0" quotePrefix="0" xfId="0"/>
    <xf numFmtId="164" fontId="8" fillId="0" borderId="0" pivotButton="0" quotePrefix="0" xfId="0"/>
    <xf numFmtId="168" fontId="0" fillId="0" borderId="0" pivotButton="0" quotePrefix="0" xfId="2"/>
    <xf numFmtId="164" fontId="1" fillId="0" borderId="0" applyAlignment="1" pivotButton="0" quotePrefix="0" xfId="0">
      <alignment horizontal="right"/>
    </xf>
    <xf numFmtId="164" fontId="0" fillId="0" borderId="0" applyAlignment="1" pivotButton="0" quotePrefix="0" xfId="0">
      <alignment horizontal="right"/>
    </xf>
  </cellXfs>
  <cellStyles count="6">
    <cellStyle name="Standard" xfId="0" builtinId="0"/>
    <cellStyle name="Währung" xfId="1" builtinId="4"/>
    <cellStyle name="Komma" xfId="2" builtinId="3"/>
    <cellStyle name="Prozent" xfId="3" builtinId="5"/>
    <cellStyle name="Währung 2" xfId="4"/>
    <cellStyle name="Komma 2" xfId="5"/>
  </cellStyles>
  <dxfs count="10629">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ill>
        <patternFill>
          <bgColor theme="8" tint="0.5999633777886288"/>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ill>
        <patternFill>
          <bgColor theme="8" tint="0.5999633777886288"/>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C000"/>
        </patternFill>
      </fill>
    </dxf>
    <dxf>
      <font>
        <color rgb="FF9C0006"/>
      </font>
      <fill>
        <patternFill>
          <bgColor rgb="FFFFC7CE"/>
        </patternFill>
      </fill>
    </dxf>
    <dxf>
      <font>
        <color rgb="FF006100"/>
      </font>
      <fill>
        <patternFill>
          <bgColor rgb="FFC6EFCE"/>
        </patternFill>
      </fill>
    </dxf>
    <dxf>
      <fill>
        <patternFill>
          <bgColor rgb="FFFFC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theme="8" tint="0.5999633777886288"/>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0000"/>
        </patternFill>
      </fill>
    </dxf>
    <dxf>
      <fill>
        <patternFill>
          <bgColor rgb="FFFF0000"/>
        </patternFill>
      </fill>
    </dxf>
    <dxf>
      <fill>
        <patternFill>
          <bgColor theme="8" tint="0.5999633777886288"/>
        </patternFill>
      </fill>
    </dxf>
    <dxf>
      <fill>
        <patternFill>
          <bgColor rgb="FFFF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8" tint="0.5999633777886288"/>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rgb="FFFF0000"/>
        </patternFill>
      </fill>
    </dxf>
    <dxf>
      <font>
        <color rgb="FF9C0006"/>
      </font>
      <fill>
        <patternFill>
          <bgColor rgb="FFFFC7CE"/>
        </patternFill>
      </fill>
    </dxf>
    <dxf>
      <font>
        <color rgb="FF006100"/>
      </font>
      <fill>
        <patternFill>
          <bgColor rgb="FFC6EFCE"/>
        </patternFill>
      </fill>
    </dxf>
    <dxf>
      <fill>
        <patternFill>
          <bgColor theme="8" tint="0.7999816888943144"/>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s>
  <tableStyles count="0" defaultTableStyle="TableStyleMedium2" defaultPivotStyle="PivotStyleMedium9"/>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pivotCacheDefinition" Target="/xl/pivotCache/pivotCacheDefinition1.xml" Id="rId35" /><Relationship Type="http://schemas.openxmlformats.org/officeDocument/2006/relationships/styles" Target="styles.xml" Id="rId36" /><Relationship Type="http://schemas.openxmlformats.org/officeDocument/2006/relationships/theme" Target="theme/theme1.xml" Id="rId37" /></Relationships>
</file>

<file path=xl/comments/comment1.xml><?xml version="1.0" encoding="utf-8"?>
<comments xmlns="http://schemas.openxmlformats.org/spreadsheetml/2006/main">
  <authors>
    <author>tc={B7A4B9F8-27A0-4826-A60F-3640903DF466}</author>
    <author>tc={FF521C89-ED84-45E1-9842-9FE2BB22BD7B}</author>
  </authors>
  <commentList>
    <comment ref="K106" authorId="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Bezahlt: 131,25</t>
      </text>
    </comment>
    <comment ref="H125" authorId="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Kunde hat R2020029 und R2020030 gemeinsam bezahlt und dabei 0,50 € netto, 0,60 € brutto zu viel überwiesen.</t>
      </text>
    </comment>
  </commentList>
</comments>
</file>

<file path=xl/comments/comment2.xml><?xml version="1.0" encoding="utf-8"?>
<comments xmlns="http://schemas.openxmlformats.org/spreadsheetml/2006/main">
  <authors>
    <author>Autor</author>
    <author>Michael Jaros</author>
    <author>tc={25385ADA-2966-4D5A-AD01-257717B93DFE}</author>
    <author>tc={20EB3878-3CD3-4170-9206-E814920BA037}</author>
    <author>tc={3E2A49D8-5619-4D48-92A6-B25766AE5870}</author>
    <author>tc={B41A52A9-9747-4F9C-8B17-977F7EC91E2B}</author>
    <author>tc={D47ED945-4FA6-4DE9-AC3F-BFB11FCB9950}</author>
    <author>tc={4F90DD4B-4503-4C8F-8EEE-65E0E360F679}</author>
    <author>tc={FFFB47A7-3C92-4150-B363-786F98655D6F}</author>
    <author>tc={AACAD50D-78F7-4BCE-B5F5-28A8B9D2E0A0}</author>
    <author>tc={1478494B-F57F-40A2-9AA8-73F0B9659D29}</author>
    <author>tc={43E3D07B-B8A8-415F-A976-1A684C49E219}</author>
    <author>tc={79130EC4-ACDA-45B7-BA45-BAF602112DF3}</author>
    <author>tc={17D13E91-36A0-43E8-9235-87962F6BDF33}</author>
    <author>tc={2ABE2160-4AAB-4DA4-9344-E7B4CFE464C4}</author>
    <author>tc={DAADFC53-E99D-4770-AB8D-E1C2E429CD6A}</author>
    <author>tc={4BA14774-5F44-4869-B9F4-329990017643}</author>
    <author>tc={A9B49644-0C6D-479B-B440-A6738703FC49}</author>
    <author>tc={049C8580-DEE9-4A4C-A64B-92B888BA63A6}</author>
    <author>tc={3158CF0D-99E7-48B6-9876-10EF9CDC57C7}</author>
    <author>tc={A48DB83F-BBB5-43EC-A933-6664476B3AB8}</author>
    <author>tc={0DF93013-CBBB-48B7-8308-51F7FFD26012}</author>
    <author>tc={9C792607-E993-4D62-AC0E-B058B7F6CCD6}</author>
    <author>tc={1B917146-1182-44AB-9F08-9C36AEC5FD64}</author>
    <author>tc={C01EF6CA-7EE7-456B-9934-4A86C2A676DE}</author>
    <author>tc={C1467E77-C7E0-4781-9EA4-2BCFB6E877F3}</author>
    <author>tc={61380646-2FD7-47FB-9171-50E29ED2A54D}</author>
    <author>tc={77965A9D-CE75-487A-B08D-0E1E5666D7DD}</author>
    <author>tc={89AC78AF-CAFF-4756-8AD0-13B7048260FE}</author>
    <author>tc={9A51A95E-6A4E-4EBE-AB6D-0BFF5776999D}</author>
    <author>tc={917D8FD2-4C5A-4A1B-805B-5E28D1DD8823}</author>
    <author>tc={E6091324-1DAA-4027-88E4-051F8E8B69E1}</author>
    <author>tc={752C531F-5FEF-4338-B93B-777F23D935A2}</author>
    <author>tc={A639C76A-B503-454C-A63B-1F1D34347071}</author>
    <author>tc={0B707B23-0F9C-4F0C-90CD-16E2FEE7987B}</author>
    <author>tc={4ADAF93C-E6A5-4266-8DE1-60B53CCF5185}</author>
    <author>tc={C4C845D8-679C-45DC-B725-E85D10C2D617}</author>
    <author>tc={27BF703C-2016-4151-B23E-0BE49823E5B9}</author>
    <author>tc={73AA40BB-C821-42F3-BF85-45FA73D54DA8}</author>
    <author>tc={3235AC48-B73C-4A19-BA8A-F31860CB9B39}</author>
    <author>tc={30696039-BD13-46B7-9AE1-8E766A7DB3A7}</author>
    <author>tc={49B42150-984A-4797-8861-5C284A965EBC}</author>
    <author>tc={1A10E514-BE84-4590-9587-D037D8AEED5C}</author>
    <author>tc={8F79301C-5BEA-441F-9CF1-F0586601CAB8}</author>
    <author>tc={6A93D1B7-3B04-40E0-93E3-AF574B0272E8}</author>
    <author>tc={7309D2C7-20C9-45A6-9CA1-04350C2F4CB0}</author>
    <author>tc={84C48D2E-8BA8-45F6-BA51-4E664653C71F}</author>
    <author>tc={6B97939B-A66F-4699-8ADA-6B67B7198026}</author>
    <author>tc={11E9C6AE-6785-4542-8948-61F0A7B908A3}</author>
    <author>tc={B8C12E65-C708-4F4D-B15C-8E1AF945BA9E}</author>
    <author>tc={6080B42F-D6FD-463A-838A-A64C7936A48E}</author>
    <author>tc={AEAC2617-4F5D-4F15-988E-6CE5422C7EED}</author>
    <author>tc={8093CD33-C888-4CFC-B0D6-2F793325E506}</author>
    <author>tc={00366139-ABE8-4A27-9980-1367133CDA40}</author>
    <author>tc={319E707D-59EB-42A9-87A1-A4C709B37DDF}</author>
    <author>tc={E923E379-3C51-4D1B-9E5B-AADCCA656F34}</author>
    <author>tc={25264579-4F43-4C2A-A678-54C256135987}</author>
    <author>tc={876227DC-62A4-488A-B009-7D41653E3398}</author>
    <author>tc={28B3543F-5886-400C-B9A2-184078DE797C}</author>
    <author>tc={D1E2F4DF-CBFF-4958-942F-AEF187BEE4EF}</author>
    <author>tc={0208A588-FF6A-463E-96DD-FFFAD9163D44}</author>
    <author>tc={DA955C79-24CF-4DF6-99D9-50629B01326F}</author>
    <author>tc={CC829BC5-B194-4526-8CE6-E9B257947B78}</author>
    <author>tc={E6213449-C12F-4ACD-9AF3-ED9ADD8DD080}</author>
    <author>tc={929EEAFE-2691-4EAB-8A0C-7EF0631867AC}</author>
    <author>tc={AC4F9EC5-5994-4B38-BC62-F751023FB0D4}</author>
    <author>tc={44D2BF95-A919-4A9E-9B5C-441EAE717293}</author>
    <author>tc={412CE68C-0D46-4764-A980-6BEC5E2A98C8}</author>
    <author>tc={2B0F83EC-9AA9-4B78-AE2F-23D245BD5B83}</author>
    <author>tc={1FE08DE0-6C97-4567-AE36-DFA3835B9682}</author>
    <author>tc={7486D636-D589-4A43-9F62-157B8081BD99}</author>
    <author>tc={9D035762-B16E-4438-9A9F-BE8F3D534B02}</author>
    <author>tc={4625D844-481E-42B0-B243-364385616BC1}</author>
    <author>tc={D2EC5A73-EA84-4072-A6BA-4BD29C5B3C19}</author>
    <author>tc={B19E7C4C-2124-4752-8CA3-B217E6391422}</author>
    <author>tc={57C3E629-C344-4099-A10C-6ABCD5C95CD2}</author>
    <author>tc={B2453794-788C-48DC-A3C2-4613635B090C}</author>
    <author>tc={61094B34-0885-4C55-8D62-9FDB991CB8E6}</author>
    <author>tc={AD1F6E63-7DE9-44C9-A941-C42B86E9876B}</author>
    <author>tc={244478DF-044F-448A-AB22-BB5EB16DE885}</author>
    <author>tc={06773D5C-012A-4683-A7D5-6E950BD0D2B6}</author>
    <author>tc={B257496E-E7C7-47B7-8D9F-7C66B7DD14B3}</author>
    <author>tc={ADCD1BB6-9084-4E3B-8D28-E82F9269932D}</author>
    <author>tc={4EC48B81-1F71-40A8-97D4-3B74282A51CC}</author>
    <author>tc={43EEB1FA-3914-4E14-9AD2-5D7D71BA513F}</author>
    <author>tc={B719E481-B51A-4641-A4DC-864FDA5E0EC1}</author>
    <author>tc={76E53C84-91A3-494C-B809-6C00E9A143C7}</author>
    <author>tc={D7F15248-B220-4B4F-89A0-D739B0C6AB63}</author>
    <author>tc={DD30D2EE-699F-48F8-9C8A-BE4BF7016AB5}</author>
    <author>tc={95C3E553-689A-42F2-BE83-6B595ADFB217}</author>
    <author>tc={18A74498-0181-4878-89C9-654B5C78E1A9}</author>
    <author>tc={DFD78BD1-67C3-43F2-8C88-28F48BDA1A6A}</author>
    <author>tc={0CA5BCA9-23D5-4FEB-A81E-5B07FA592C46}</author>
    <author>tc={66430F29-81D3-4E9C-89D2-0B255AE0EE1C}</author>
    <author>tc={3E2AEE88-1452-4F00-A762-0C3586EC9DE2}</author>
    <author>tc={03025E90-3C3F-4B81-91CE-389325718ACD}</author>
    <author>tc={1A227796-B56D-4578-B0C8-25F6B73BD506}</author>
    <author>tc={A6AD300E-1FAC-4227-A668-1979F0DD0CF4}</author>
    <author>tc={24D2404C-7581-4613-8911-897F5986118D}</author>
    <author>tc={1D8169D5-89E4-4BFF-9A06-94F41354FD3B}</author>
    <author>tc={63C1BB48-6F42-4CE7-AB71-76ED0B753C68}</author>
    <author>tc={93D5E803-2EAC-4CB5-8972-254FB27A269C}</author>
    <author>tc={6B4E7D10-27D0-4566-AA93-98F6C30169A0}</author>
    <author>tc={A33B102F-9CF6-4696-A3A4-30EA17F84E7A}</author>
    <author>tc={5A5F04D8-55C8-4EB2-8599-1B9DF1E992F1}</author>
    <author>tc={24B0E589-5291-4D56-B1BA-211A24E73192}</author>
    <author>tc={4E474553-55A7-4368-90FD-D5AB5EF36AA0}</author>
    <author>tc={5346B95C-9003-451C-98A3-EE55018BC9A0}</author>
    <author>tc={3F0BF46C-5692-49D5-AD26-CFBADB771170}</author>
  </authors>
  <commentList>
    <comment ref="J1" authorId="0" shapeId="0">
      <text>
        <t>Autor:
Rechnungsbetrag
inkl. USt.</t>
      </text>
    </comment>
    <comment ref="K1" authorId="0" shapeId="0">
      <text>
        <t>Autor:
als Betriebsausgabe abzugfsähiger Anteil</t>
      </text>
    </comment>
    <comment ref="P1" authorId="1" shapeId="0">
      <text>
        <t xml:space="preserve">Michael Jaros:
bei teils privater Nutzung Gesamtpreis
</t>
      </text>
    </comment>
    <comment ref="S1" authorId="1" shapeId="0">
      <text>
        <t>Michael Jaros:
steuerfreie IG lieferung; 0% reverse charge</t>
      </text>
    </comment>
    <comment ref="L10" authorId="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F20" authorId="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F23" authorId="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Zinsen / Finanzierungskosten</t>
      </text>
    </comment>
    <comment ref="F28" authorId="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Vorauszahlung Beiträge Eva Jaros-Kolbitsch 2024/1-12</t>
      </text>
    </comment>
    <comment ref="B32" authorId="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2024-031 bis 2024-048: Belegnummern in einnahmen-ausgaben-rechnung.xlsm sind korrekt, belegnummern an den PDFs waren durch duplikate falsch; Korrektur: Umbenennung der PDFs, jetzt passt wieder alles</t>
      </text>
    </comment>
    <comment ref="P34" authorId="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36" authorId="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P47" authorId="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56" authorId="1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63" authorId="1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63" authorId="1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67" authorId="1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67" authorId="1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gemischter Steuersatz, siehe Abrechnung</t>
      </text>
    </comment>
    <comment ref="P67" authorId="1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gemischter Steuersatz, siehe Abrechnung</t>
      </text>
    </comment>
    <comment ref="L69" authorId="1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74" authorId="1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74" authorId="1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79" authorId="1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USD 49,-</t>
      </text>
    </comment>
    <comment ref="L82" authorId="2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90" authorId="2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J91" authorId="2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91" authorId="2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99" authorId="2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05" authorId="2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05" authorId="2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111" authorId="2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F112" authorId="2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J118" authorId="2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18" authorId="3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120" authorId="3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L129" authorId="3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34" authorId="3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34" authorId="3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141" authorId="3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47" authorId="3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47" authorId="3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150" authorId="3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150" authorId="3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P150" authorId="4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L156" authorId="4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58" authorId="4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58" authorId="4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166" authorId="4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73" authorId="4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73" authorId="4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183" authorId="4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E186" authorId="4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J187" authorId="4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87" authorId="5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188" authorId="5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188" authorId="5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P188" authorId="5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L195" authorId="5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198" authorId="5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198" authorId="5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203" authorId="5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07" authorId="5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07" authorId="5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218" authorId="6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23" authorId="6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23" authorId="6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231" authorId="6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34" authorId="6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34" authorId="6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235" authorId="6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235" authorId="6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P235" authorId="6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J239" authorId="6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USD 49,-</t>
      </text>
    </comment>
    <comment ref="L241" authorId="7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44" authorId="7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 Prüfe IG?</t>
      </text>
    </comment>
    <comment ref="J247" authorId="7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47" authorId="7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250" authorId="7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L252" authorId="7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56" authorId="7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J257" authorId="7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57" authorId="7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261" authorId="7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261" authorId="8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P261" authorId="8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J269" authorId="8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69" authorId="8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276" authorId="8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F277" authorId="8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J282" authorId="8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82" authorId="8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289" authorId="8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292" authorId="8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292" authorId="9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F294" authorId="9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N294" authorId="9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P294" authorId="9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L302" authorId="9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305" authorId="9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05" authorId="9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312" authorId="9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318" authorId="9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18" authorId="9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L324" authorId="10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J327" authorId="10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27" authorId="10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337" authorId="10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37" authorId="10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347" authorId="10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47" authorId="10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J348" authorId="10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P348" authorId="10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List>
</comments>
</file>

<file path=xl/comments/comment3.xml><?xml version="1.0" encoding="utf-8"?>
<comments xmlns="http://schemas.openxmlformats.org/spreadsheetml/2006/main">
  <authors>
    <author>Michael Jaros</author>
  </authors>
  <commentList>
    <comment ref="N1" authorId="0" shapeId="0">
      <text>
        <t>Michael Jaros:
Gesamtbetrag der Bemessungsgrundlagen für innergemeinschaftliche Erwerbe</t>
      </text>
    </comment>
  </commentList>
</comments>
</file>

<file path=xl/comments/comment4.xml><?xml version="1.0" encoding="utf-8"?>
<comments xmlns="http://schemas.openxmlformats.org/spreadsheetml/2006/main">
  <authors>
    <author>tc={FF6066C0-7609-4F7C-BBA1-BB0850AAC44D}</author>
    <author>tc={F21A4503-9BE0-4C17-9E89-B82305232E0D}</author>
    <author>mj</author>
    <author>Michael Jaros</author>
    <author>tc={23B5ED95-209E-4F83-ABC5-C5E037605F70}</author>
  </authors>
  <commentList>
    <comment ref="B1" authorId="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berechnet aus ReAusgang</t>
      </text>
    </comment>
    <comment ref="C1" authorId="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berechnet aus Journal</t>
      </text>
    </comment>
    <comment ref="Y2" authorId="2" shapeId="0">
      <text>
        <t xml:space="preserve">mj:
Im Kalenderjahr des Beginns einer Pflichtversicherung und im folgenden Kalenderjahr gibt es in der Krankenversicherung keine Nachbemessung anhand des Einkommensteuerbescheides, wenn in den letzten 10 Jahren keine Pflichtversicherung nach dem GSVG vorgelegen hat.
Daher wird neben dem „Monatsbeitrag in Euro“ auch der „Fixe Monatsbeitrag in Euro in einem Neuzugangsjahr“ angezeigt.
Liegen die Voraussetzungen für die fixe Beitragsgrundlage vor, dann gilt
nicht
die Anzeige in der Zeile „Monatsbeitrag in Euro“, sondern die Anzeige in der Zeile „Fixer Monatsbeitrag in Euro in einem Neuzugangsjahr“. </t>
      </text>
    </comment>
    <comment ref="Y3" authorId="2" shapeId="0">
      <text>
        <t xml:space="preserve">mj:
Im Kalenderjahr des Beginns einer Pflichtversicherung und im folgenden Kalenderjahr gibt es in der Krankenversicherung keine Nachbemessung anhand des Einkommensteuerbescheides, wenn in den letzten 10 Jahren keine Pflichtversicherung nach dem GSVG vorgelegen hat.
Daher wird neben dem „Monatsbeitrag in Euro“ auch der „Fixe Monatsbeitrag in Euro in einem Neuzugangsjahr“ angezeigt.
Liegen die Voraussetzungen für die fixe Beitragsgrundlage vor, dann gilt
nicht
die Anzeige in der Zeile „Monatsbeitrag in Euro“, sondern die Anzeige in der Zeile „Fixer Monatsbeitrag in Euro in einem Neuzugangsjahr“. </t>
      </text>
    </comment>
    <comment ref="A6" authorId="3" shapeId="0">
      <text>
        <t>Michael Jaros:
inkl. Foxcraft: 11681 €</t>
      </text>
    </comment>
    <comment ref="C10" authorId="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Umsätze Journal != Umsätze Re Ausgang</t>
      </text>
    </comment>
  </commentList>
</comments>
</file>

<file path=xl/comments/comment5.xml><?xml version="1.0" encoding="utf-8"?>
<comments xmlns="http://schemas.openxmlformats.org/spreadsheetml/2006/main">
  <authors>
    <author>Autor</author>
    <author>Michael Jaros</author>
    <author>tc={C17BE41B-EE50-445F-91D8-FD678F2C16C4}</author>
    <author>tc={773C0977-5D98-4615-AF51-1A9D47A0F7A0}</author>
    <author>tc={8F14DF68-3F18-44BF-985A-7C9704C3AA81}</author>
    <author>tc={CBC166E9-6425-4DCC-AB11-BF9398BAB85D}</author>
    <author>tc={63E5D637-A1FF-4DD6-8AFE-77BEC9EBB9AA}</author>
    <author>tc={B55BB635-EC09-489A-9F86-B4301E7A64E4}</author>
    <author>tc={C22F3155-6851-41B2-BA3D-AD65C0983B84}</author>
    <author>tc={4B62E413-D5C3-4E10-A620-FB02B7E4BBBF}</author>
    <author>tc={B162CE12-92A0-441F-834F-F4F26FAD7252}</author>
    <author>tc={09281BA4-845F-48B0-8D38-3F60C0DC775D}</author>
    <author>tc={86215971-47A0-4B3D-A699-7E526DF2679E}</author>
    <author>tc={4FC39057-E4CC-4519-9B2F-DBCBAF879E35}</author>
    <author>tc={5D87EE06-F433-47FF-BC9E-F32C416EC9E9}</author>
    <author>tc={C6B1727C-66EE-4CDF-BC76-BE9D93A8BCC5}</author>
    <author>tc={66F3EF5F-4F01-45A3-A9EA-822F1025B55E}</author>
    <author>tc={C8CCAEA1-E9A5-4C98-A63A-075AC8488E10}</author>
    <author>tc={7B1E46E6-86B3-484C-A722-32D8F145F791}</author>
    <author>tc={24D4614B-32CB-4C96-B6E3-8A08820AD992}</author>
    <author>tc={57B0F0B8-221D-40B3-A111-8B35CCA988F6}</author>
    <author>tc={6C7180B6-F03B-4DC0-8AAD-1FC87683E20A}</author>
    <author>tc={B330357F-DA18-4B9F-A5FA-2A75532625DB}</author>
    <author>tc={C14952B7-1F9E-4B8E-80D0-C7C7F6D0CDBE}</author>
    <author>tc={9632EF3E-D045-458B-8871-04A197AFB875}</author>
    <author>tc={84F3F9BB-31C1-426E-92C1-D59D7DE3A02D}</author>
    <author>tc={35DEF9E6-C9ED-4840-841A-27555068A845}</author>
    <author>tc={28567E00-787B-47F5-9FC3-F6182AD31CC3}</author>
    <author>tc={F77F57FA-C236-4181-AFC5-619BA64C8608}</author>
    <author>tc={1689FEDB-0912-4013-A803-8511CBE0B430}</author>
    <author>tc={72224643-BE07-4877-B954-A1497D1BB238}</author>
    <author>tc={1C47FE9F-8D4C-4AD6-92D9-0E48EC13B0E5}</author>
    <author>tc={B72AC535-ED44-42F0-AA56-CD681224F246}</author>
    <author>tc={68BAB287-FDFB-46D5-847E-BB40C80A3A4B}</author>
    <author>tc={B523C881-B09D-4C06-B2DE-74AE323F70E9}</author>
    <author>tc={E2515134-E429-4B9A-AB46-F766FFEAF861}</author>
    <author>tc={5FD63359-EEF1-446D-9827-87F72DAD58D2}</author>
    <author>tc={7809F247-5B90-4B96-BFF8-9EA796672CD7}</author>
    <author>tc={F4A54195-9D04-42E2-B34B-053B7AD29597}</author>
    <author>tc={1CB22FE2-3609-4120-B7BA-E38474219821}</author>
    <author>tc={5640BA49-41C4-4B08-AB77-863C30164BC0}</author>
    <author>tc={DED5FCFE-8983-41FE-9A91-C58100E89135}</author>
    <author>tc={88A75A50-6FD2-4824-A385-04C36D749C0E}</author>
    <author>tc={7BB5C92E-8E1D-4E7C-84D0-04E0018F609C}</author>
    <author>tc={F31C3845-D9B1-47EA-92EA-6BBCCADC80D2}</author>
    <author>tc={900A9EF5-BBBE-4BF2-A0ED-C098FA782A49}</author>
    <author>tc={B58445B6-1AE4-4740-9CF0-F7E030D59962}</author>
  </authors>
  <commentList>
    <comment ref="F1" authorId="0" shapeId="0">
      <text>
        <t>Autor:
als Betriebsausgabe abzugfsähiger Anteil</t>
      </text>
    </comment>
    <comment ref="R1" authorId="0" shapeId="0">
      <text>
        <t>Autor:
Rechnungsbetrag
inkl. USt.</t>
      </text>
    </comment>
    <comment ref="S1" authorId="0" shapeId="0">
      <text>
        <t>Autor:
als Betriebsausgabe abzugfsähiger Anteil</t>
      </text>
    </comment>
    <comment ref="X1" authorId="1" shapeId="0">
      <text>
        <t xml:space="preserve">Michael Jaros:
bei teils privater Nutzung Gesamtpreis
</t>
      </text>
    </comment>
    <comment ref="AA1" authorId="1" shapeId="0">
      <text>
        <t>Michael Jaros:
steuerfreie IG lieferung; 0% reverse charge</t>
      </text>
    </comment>
    <comment ref="T10" authorId="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N20" authorId="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Beleg fehlt</t>
      </text>
    </comment>
    <comment ref="N23" authorId="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Zinsen / Finanzierungskosten</t>
      </text>
    </comment>
    <comment ref="N28" authorId="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Vorauszahlung Beiträge Eva Jaros-Kolbitsch 2024/1-12</t>
      </text>
    </comment>
    <comment ref="X34" authorId="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N36" authorId="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X47" authorId="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T56" authorId="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63" authorId="1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63" authorId="1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N67" authorId="1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U67" authorId="1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Gemischter Steuersatz, siehe Abrechnung</t>
      </text>
    </comment>
    <comment ref="V67" authorId="1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gemischter Steuersatz, siehe Abrechnung</t>
      </text>
    </comment>
    <comment ref="X67" authorId="1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gemischter Steuersatz, siehe Abrechnung</t>
      </text>
    </comment>
    <comment ref="T69" authorId="1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74" authorId="1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74" authorId="1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R79" authorId="1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USD 49,-</t>
      </text>
    </comment>
    <comment ref="T82" authorId="2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90" authorId="2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R91" authorId="2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91" authorId="2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T99" authorId="2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105" authorId="2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05" authorId="2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T111" authorId="2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N112" authorId="2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R118" authorId="2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18" authorId="3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R120" authorId="3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T129" authorId="3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134" authorId="3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34" authorId="3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T141" authorId="3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147" authorId="3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47" authorId="3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N150" authorId="3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Kanaleinmündungsabgabe</t>
      </text>
    </comment>
    <comment ref="V150" authorId="3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X150" authorId="4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Manuelle eingabe</t>
      </text>
    </comment>
    <comment ref="T156" authorId="4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158" authorId="4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58" authorId="4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 ref="T166" authorId="4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2/3 geschäftlich, 1/3 privat</t>
      </text>
    </comment>
    <comment ref="R173" authorId="4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Fremdwährungstransaktion, Betrag überprüfen (Wechselkurs)</t>
      </text>
    </comment>
    <comment ref="X173" authorId="4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Achtung, andere Nettoberechnung (Fremdwährungsentgelt)</t>
      </text>
    </comment>
  </commentList>
</comments>
</file>

<file path=xl/comments/comment6.xml><?xml version="1.0" encoding="utf-8"?>
<comments xmlns="http://schemas.openxmlformats.org/spreadsheetml/2006/main">
  <authors>
    <author>Michael Jaros</author>
    <author>tc={7C338E8A-7BD1-4545-AD58-7110E5CC48EF}</author>
  </authors>
  <commentList>
    <comment ref="N1" authorId="0" shapeId="0">
      <text>
        <t>Michael Jaros:
Gesamtbetrag der Bemessungsgrundlagen für innergemeinschaftliche Erwerbe</t>
      </text>
    </comment>
    <comment ref="A18" authorId="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ab 2019 anderes Tabellenformat (Journal_ab_2019)</t>
      </text>
    </comment>
  </commentList>
</comments>
</file>

<file path=xl/comments/comment7.xml><?xml version="1.0" encoding="utf-8"?>
<comments xmlns="http://schemas.openxmlformats.org/spreadsheetml/2006/main">
  <authors>
    <author>tc={2A32960B-13A7-4C88-A872-10B08A14BA86}</author>
    <author>tc={80DE5CF2-6452-4DAE-A880-DEF5327D3324}</author>
    <author>tc={5139B916-C5A1-42B9-8B9A-FF537CA2B195}</author>
    <author>tc={36E93AB5-D165-46FF-AC09-386F21CB832C}</author>
    <author>tc={A0BA146D-BFE0-4D7B-861D-8D78520C1F9B}</author>
    <author>tc={88633872-3063-40BB-945B-CD8A70E51813}</author>
    <author>tc={785DB0AE-BE1F-4D9C-A24E-8F19E2FE5331}</author>
  </authors>
  <commentList>
    <comment ref="C1" authorId="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Versicherungspflichtige Einkünfte (vor Abzug der Absätzbeträge)</t>
      </text>
    </comment>
    <comment ref="D1" authorId="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Vorgeschrieben im Quartal X lt. Kontoauszug (nur für das aktuelle Jahr, ohne Berichtigungen, Nachbemessungen, Kostenanteile, ...)</t>
      </text>
    </comment>
    <comment ref="K1" authorId="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endgültige monatliche Beitragsgrundlage = ( Einkünfte + vorgeschrieben ) / Monate</t>
      </text>
    </comment>
    <comment ref="I5" authorId="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26.01.2019</t>
      </text>
    </comment>
    <comment ref="I6" authorId="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26.10.2019</t>
      </text>
    </comment>
    <comment ref="I7" authorId="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24.4.2021</t>
      </text>
    </comment>
    <comment ref="I8" authorId="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24.6.2021</t>
      </text>
    </comment>
  </commentList>
</comments>
</file>

<file path=xl/comments/comment8.xml><?xml version="1.0" encoding="utf-8"?>
<comments xmlns="http://schemas.openxmlformats.org/spreadsheetml/2006/main">
  <authors>
    <author>Michael Jaros</author>
    <author>Autor</author>
    <author>tc={14065946-B662-4C5F-B957-A1E686902DEA}</author>
    <author>tc={A69BD719-A14B-4756-88E6-4F513E303D3F}</author>
    <author>tc={03AC7D07-A30C-4DBB-8541-80DE09B5C63A}</author>
    <author>tc={F9F2122E-C88F-4A09-AC15-66A23EB108B0}</author>
    <author>tc={FD792798-A154-4371-83C7-99B57908A047}</author>
    <author>tc={96229B44-3723-442C-8E1C-1294EF707687}</author>
    <author>tc={3190480F-0174-46E7-B9AC-6B492344D0C5}</author>
    <author>tc={BD69E6B0-9839-4FFD-964B-C631B3009A70}</author>
    <author>tc={605AEC26-CFAC-4B25-9977-189A6291D45E}</author>
    <author>tc={E791DE14-BD15-4EE3-B6CC-4CCD523CBE7B}</author>
    <author>tc={897ED521-3A41-470F-9053-0AA940A24FE3}</author>
    <author>tc={BD02C625-F1C4-4200-8551-4959BACA8CAA}</author>
    <author>tc={9D09B634-3193-44AF-9D75-7532F25F9AF6}</author>
    <author>tc={54516054-E474-4CC2-9305-23CDB5B0489F}</author>
    <author>tc={8BE1422C-720A-4E7F-9D42-AF1D138474A2}</author>
    <author>tc={1A99B477-3AA9-4D76-AB41-07359AED2F8E}</author>
    <author>tc={E22F295E-268E-4210-A778-1C8478CF70DE}</author>
    <author>tc={4B7B8534-945B-4B33-8FE9-8FB542BF6001}</author>
    <author>tc={123D7C06-30E9-44DE-BFF8-D4A52907A3E2}</author>
    <author>tc={71CDC193-9ED1-4DA0-B14C-C8EAB38B9792}</author>
    <author>tc={8EAD2EF6-16D6-4711-9D29-3CEE4D7AD02A}</author>
    <author>tc={D44898C7-F8A1-4E5D-8A65-258F82C57F77}</author>
    <author>tc={5D5DAABE-227F-40E0-B00C-5002F055DFDA}</author>
    <author>tc={3D072528-7C04-471B-973A-90E8CEE36924}</author>
    <author>tc={20B49C3E-E9B3-427E-989C-2E96A384B3A7}</author>
    <author>tc={21FB791F-EDAD-4DBA-9F0A-FA58808A6574}</author>
    <author>tc={B4BD28D7-20F7-4A40-A12D-FCDD097FF27D}</author>
    <author>tc={8C53FCF8-0A8A-4AFB-B974-F23175E448D3}</author>
    <author>tc={1C8C6F2F-DBC1-41CE-9A90-CF8AA11A1B40}</author>
    <author>tc={96D98279-2D1E-4EEC-8FAB-0B362F5798F8}</author>
    <author>tc={3559F652-D672-4794-88A5-BDE265238368}</author>
    <author>tc={BB4DE87F-3F55-4807-9B9A-701845BF82DB}</author>
    <author>tc={DFC3423A-ABB9-4C10-87C9-B801594B31FB}</author>
    <author>tc={8CD93EFF-ED66-4101-829B-752064E33E2C}</author>
    <author>tc={733181B1-8E66-4D59-A670-D03C949E5CE5}</author>
    <author>tc={00C7ABE5-26F4-4362-AF3F-364988F944C9}</author>
    <author>tc={8FF4789F-05CF-412E-89D3-BD60BFDDED27}</author>
    <author>tc={48A7736B-2B62-4CC7-9045-7125C81FCB11}</author>
    <author>tc={5D4268E3-A46E-46B2-96A1-33747B8056AE}</author>
    <author>tc={BCEEA907-36E5-45B5-9742-A7073DB8214E}</author>
    <author>tc={46B2151D-B509-4765-BA83-D3D90110939F}</author>
    <author>tc={D4937267-03CB-4DE6-9929-8775A7FC31D9}</author>
    <author>tc={13DA710B-4A63-4851-9151-862DDE45185F}</author>
    <author>tc={138F8A5B-0E30-48EB-9ABC-07B6A5BA35E6}</author>
    <author>tc={F24726DF-4068-422B-9555-36C786DE2EA4}</author>
    <author>tc={630C6F4E-5CD2-4483-A8A7-6A01D646FE6A}</author>
    <author>tc={97D111D6-F961-405E-9F67-25F30A6C4795}</author>
    <author>tc={248687DA-E7CC-4FAD-9B70-CA691FEC712D}</author>
    <author>tc={1DDE6ACE-1E46-4F17-81D9-68DCCD02A5B5}</author>
    <author>tc={EF3A174E-3D8B-466A-B96A-20FFEE281CE9}</author>
    <author>tc={0CC3601F-DF1B-43EA-AB5C-629C7001D3DB}</author>
    <author>tc={75824636-3406-4909-B2BF-D1AECD0CCB87}</author>
    <author>tc={FBDE7EB4-38BB-482E-BE96-E0ECF7DC729E}</author>
    <author>tc={137BAC12-7663-4880-A493-CB55A1B9DCE1}</author>
    <author>tc={F5D52B2B-3592-49EC-9CF7-1B23D9AAB11A}</author>
    <author>tc={A4DC3C9A-17EB-4F2D-B74A-196CDF72AD1E}</author>
    <author>tc={6C4860D3-4415-43E3-B2F5-31D68EF817A3}</author>
    <author>tc={44827C6C-414A-4F1E-9735-171FCD840F0F}</author>
    <author>tc={9F5B2DCA-C061-42B1-A5AB-EC839A7E3F9F}</author>
    <author>tc={AA979325-A654-4303-949C-F78AD99A52D1}</author>
    <author>tc={7D1B58D8-6F4F-4A65-9393-CB728E5384DE}</author>
    <author>tc={D48F7A70-C233-4957-9984-A9C2E9772FC0}</author>
    <author>tc={16A4E8E4-EE0B-4531-8A5B-71858D35D82A}</author>
    <author>tc={70BB908F-FDDC-4618-8343-BA1FA8355A25}</author>
    <author>tc={4B56DDEC-CDFB-41C6-97ED-0660501ED083}</author>
    <author>tc={269C3E81-C5F2-40CB-9584-9DAD2705CD92}</author>
    <author>tc={EE6BAE1E-F4A5-44E1-911A-18B49992A93C}</author>
    <author>tc={0AEAF478-A213-4483-8E2F-389D200B03EF}</author>
    <author>tc={8A62FC80-B011-43FD-81E2-62CAD83FD9C0}</author>
    <author>tc={10BFE72A-28EC-41C9-8A84-5766FFB2E1AE}</author>
    <author>tc={4EE69B66-FC70-4E27-A033-2FACB803878C}</author>
    <author>tc={EA5B2211-B10D-4307-9549-D8D0656E2C0B}</author>
    <author>tc={BED79239-AC0A-47A8-9C20-CA923F1A0862}</author>
    <author>tc={7AB58450-C72B-4005-A8A9-A118A51B0C5F}</author>
    <author>tc={98FA17B8-3B36-4CCD-918C-BC1CDEF84DC3}</author>
    <author>tc={EA7CAD8B-B588-4684-9E7C-C12BE188359E}</author>
    <author>tc={E70DF482-C9BD-4130-99F6-FE594493DC3D}</author>
    <author>tc={AD7ABD06-D323-4603-BF1D-81F1EFB0DF48}</author>
    <author>tc={A4B33202-3EB5-41B0-BE2C-08008B914E6D}</author>
    <author>tc={2F23FB02-7433-4ED0-9828-4D75944524EB}</author>
    <author>tc={7F5508F6-78B4-4E0D-BBF4-6A72C91463E4}</author>
    <author>tc={B60EE1AB-9510-4680-BD8D-29FA0B3A397E}</author>
    <author>tc={951A0B29-9798-45FD-AF07-1FBAF61DFB75}</author>
    <author>tc={01075438-2CBD-461D-ABBD-66AE9C28148F}</author>
    <author>tc={88C2FAF6-BD6D-4533-AAA0-8C2C06D1FCC5}</author>
    <author>tc={BFB0D29E-14CF-4AFA-AECD-0E66628BBE7D}</author>
    <author>tc={06845B11-3449-45FA-9CCC-DEC0975EFA35}</author>
    <author>tc={32BBDD3A-3F17-4F83-B13D-788F8D0B128C}</author>
    <author>tc={91A30EC1-015C-4D6E-9A68-E9FB4A090D41}</author>
    <author>tc={BDB14DE4-082F-4A8E-AC28-BB3C19FA2624}</author>
    <author>tc={70459B8E-75C0-4D3E-937B-AFA70660F912}</author>
    <author>tc={7383BD14-EC03-4F49-8CD3-4584CADF1EDE}</author>
    <author>tc={12A5C43A-3793-4340-94E5-F40360AEC94D}</author>
    <author>tc={B3B37A24-1BF6-45B9-8DB9-3CC4BDEB2765}</author>
    <author>tc={EFD42100-DA61-4F0C-96AC-D5D66F58C1D6}</author>
    <author>tc={68C6FC02-361F-4704-AB4F-A719FEDDEAC7}</author>
    <author>tc={342D919F-D66B-4DF8-8EE6-A72776BFDFEC}</author>
    <author>tc={39C60537-7FD1-4A12-ACCC-7D5B46A6665E}</author>
    <author>tc={0524C6CD-2BB9-404D-9E22-A29C1E760418}</author>
    <author>tc={B1873CD8-C20E-4814-9E62-730E8F196915}</author>
    <author>tc={FF44B642-26D1-4ECD-BA5F-E6F6C73D2836}</author>
    <author>tc={E425ED52-1CC6-4069-921A-A9D3E5CB0506}</author>
    <author>tc={931C6A54-40FA-4C87-92F1-4B6687E40EA5}</author>
    <author>tc={7BE7CE30-C4E6-473A-BB62-1B131DE1FA0E}</author>
    <author>tc={2077BDCB-AAD0-45AE-B49A-B59D3D52EC39}</author>
    <author>tc={A2BA0D68-FD70-4664-8F8D-8A6B5BBDF8D2}</author>
    <author>tc={20F35640-C1C7-47FA-BD45-D999AEDCD1B1}</author>
    <author>tc={F463C75D-A049-4469-9307-292409D69450}</author>
    <author>tc={9285CCAC-95CF-4D3C-98DE-1EFD95C638C8}</author>
    <author>tc={BD605C9C-7A07-4865-8842-2F1EBA324A34}</author>
    <author>tc={48C3BC58-81B9-4762-BEC7-CB8E39D929D7}</author>
    <author>tc={87C1FE78-A24F-44FD-B5E6-6AF745297103}</author>
    <author>tc={46B0000D-D63D-4364-83FF-110BB3E2AAD8}</author>
    <author>tc={C5CEF47E-9148-442F-83BE-5B3DE6D69500}</author>
    <author>tc={E8DD0C0E-2B2A-45F3-9DBA-D81F2D83B9F1}</author>
    <author>tc={D9370094-D1E0-420B-BB60-209E3BE5C7EB}</author>
    <author>tc={8014577A-18C0-43D8-A285-EE6AB5D541A5}</author>
    <author>tc={95A0BEE9-5522-40D0-AD1C-6D3AF838E0F2}</author>
    <author>tc={7A70423C-4560-44AB-AE0D-7B815E60CAFE}</author>
    <author>tc={B2342585-B9E2-4B7F-9CBC-03E24D7F7A95}</author>
    <author>tc={8BF3B013-21A4-4E2D-96B5-0E25D34FE2FF}</author>
    <author>tc={94E26532-EDB2-4996-9E2F-D318C93968F5}</author>
    <author>tc={29A86E7B-0489-461A-AFE2-7B9B82DD05DF}</author>
    <author>tc={1AA69BDF-E8D9-442A-AA70-F3FF1B69821D}</author>
    <author>tc={265F11EC-01F2-41D7-A424-097F7641DE19}</author>
    <author>tc={D380E424-AA66-41C7-B333-3DB534004913}</author>
    <author>tc={E5F75673-3628-4827-A7C0-3A6344080A57}</author>
    <author>tc={B7B56DAA-8192-41EF-A44F-611DB1523FDA}</author>
    <author>tc={C14C7A9A-7DD2-4C0A-868F-054BB6251886}</author>
    <author>tc={96326AD1-8BE4-4B00-84E4-C8EFD0059999}</author>
    <author>tc={2F410A75-715D-4A3B-B809-9B62E11B83C0}</author>
    <author>tc={F8361FC1-05B0-4308-BD4D-2EC942FFA2B7}</author>
    <author>tc={12BF4112-F5B9-4642-AD39-4E948825D789}</author>
    <author>tc={D1F865B9-9A60-4E99-BA6C-6A8191E60D2F}</author>
    <author>tc={FFBEBED2-FBFA-4E58-9656-2FCB3B6619F8}</author>
    <author>tc={C74DA5B6-97D0-465A-9199-6D296CB57AC5}</author>
  </authors>
  <commentList>
    <comment ref="L1" authorId="0" shapeId="0">
      <text>
        <t xml:space="preserve">Michael Jaros:
bei teils privater Nutzung Gesamtpreis
</t>
      </text>
    </comment>
    <comment ref="M1" authorId="0" shapeId="0">
      <text>
        <t>Michael Jaros:
geschäftlich genutzter Anteil, zB bei teils priv. Nutzung</t>
      </text>
    </comment>
    <comment ref="R1" authorId="1" shapeId="0">
      <text>
        <t>Autor:
Rechnungsbetrag
inkl. USt.</t>
      </text>
    </comment>
    <comment ref="S1" authorId="1" shapeId="0">
      <text>
        <t>Autor:
als Betriebsausgabe abzugfsähiger Anteil</t>
      </text>
    </comment>
    <comment ref="V1" authorId="0" shapeId="0">
      <text>
        <t>Michael Jaros:
steuerfreie IG lieferung; 0% reverse charge</t>
      </text>
    </comment>
    <comment ref="L6" authorId="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15" authorId="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17" authorId="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ohne Passbilder: (Porträt1+Porträt2)/1,2 (wegen 20%  USt inklusive)</t>
      </text>
    </comment>
    <comment ref="L31" authorId="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47" authorId="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N51" authorId="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Fremde USt. (DE): 19%</t>
      </text>
    </comment>
    <comment ref="L58" authorId="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72" authorId="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O81" authorId="1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Cent-Fehler in USt auf Rechnung, as-is übernommen</t>
      </text>
    </comment>
    <comment ref="O82" authorId="1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Cent-Fehler in USt auf Rechnung, as-is übernommen</t>
      </text>
    </comment>
    <comment ref="L92" authorId="1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113" authorId="1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S114" authorId="1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Betrag manuell wg Rundungsfehler</t>
      </text>
    </comment>
    <comment ref="L121" authorId="1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Nettobetrag durch Abzug o.g. Finanzamtsgebühr und Division durch 1,2 vom Bruttobetrag ermittelt</t>
      </text>
    </comment>
    <comment ref="L135" authorId="1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168" authorId="1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190" authorId="1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L226" authorId="1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E244" authorId="2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L248" authorId="2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E249" authorId="2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E272" authorId="2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279" authorId="2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L298" authorId="2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E312" authorId="2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17" authorId="2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321" authorId="2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E340" authorId="2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45" authorId="3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353" authorId="3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54" authorId="3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357" authorId="3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E365" authorId="3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76" authorId="3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84" authorId="3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E393" authorId="3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E394" authorId="3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397" authorId="3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E408" authorId="4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413" authorId="4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E416" authorId="4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L420" authorId="4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Brutto 0,6 € zu viel bezahlt</t>
      </text>
    </comment>
    <comment ref="H423" authorId="4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ausländische USt auf der Rechnung - kein Vorsteuerabzug</t>
      </text>
    </comment>
    <comment ref="E429" authorId="4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430" authorId="4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E432" authorId="4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O440" authorId="4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P440" authorId="4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E442" authorId="5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443" authorId="5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E447" authorId="5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O458" authorId="5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P458" authorId="5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E460" authorId="5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E461" authorId="5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E467" authorId="5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471" authorId="5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O472" authorId="5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P472" authorId="6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O475" authorId="6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P475" authorId="6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E476" authorId="6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Bankbeleg statt Rechnung</t>
      </text>
    </comment>
    <comment ref="E477" authorId="6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481" authorId="6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497" authorId="6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499" authorId="6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503" authorId="6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05" authorId="6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12" authorId="7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16" authorId="7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518" authorId="7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30" authorId="7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32" authorId="7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536" authorId="7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38" authorId="7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RNr -1 (31.3.21): 57,49
RNr -2 (30.4.21): -3,42
------------------------
Payment 4/21:    54,07</t>
      </text>
    </comment>
    <comment ref="O540" authorId="7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Mahnspesen sind USt befreit</t>
      </text>
    </comment>
    <comment ref="E546" authorId="7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47" authorId="7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549" authorId="8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52" authorId="8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Bankbeleg statt Rechnung</t>
      </text>
    </comment>
    <comment ref="E557" authorId="8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58" authorId="8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E561" authorId="8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75" authorId="8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76" authorId="8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t>
      </text>
    </comment>
    <comment ref="E578" authorId="8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584" authorId="8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585" authorId="8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Nachtragszahlung zu 21/9001/VS00472</t>
      </text>
    </comment>
    <comment ref="E589" authorId="9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592" authorId="9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596" authorId="9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604" authorId="9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606" authorId="9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09" authorId="9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619" authorId="9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620" authorId="9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21" authorId="9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633" authorId="9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Es ist nicht ganz klar, ob das die richtige Rechnung ist (Rechnungsdatum 30.9.)</t>
      </text>
    </comment>
    <comment ref="E634" authorId="10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635" authorId="10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38" authorId="10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652" authorId="10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653" authorId="10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72" authorId="10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74" authorId="10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E676" authorId="10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679" authorId="10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690" authorId="10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693" authorId="11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694" authorId="11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01" authorId="11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Rechnung nicht über vollen Betrag, siehe Mailverkehr</t>
      </text>
    </comment>
    <comment ref="E704" authorId="11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706" authorId="11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09" authorId="11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24" authorId="11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725" authorId="11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28" authorId="11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33" authorId="11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Rechnung nicht über vollen Betrag, siehe Mailverkehr</t>
      </text>
    </comment>
    <comment ref="E742" authorId="12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743" authorId="12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44" authorId="12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47" authorId="12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Google Storage</t>
      </text>
    </comment>
    <comment ref="E754" authorId="12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755" authorId="12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57" authorId="12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58" authorId="12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61" authorId="12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Google Storage</t>
      </text>
    </comment>
    <comment ref="E772" authorId="12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774" authorId="13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E775" authorId="13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E788" authorId="13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801" authorId="13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820" authorId="13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841" authorId="13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E856" authorId="13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L977" authorId="13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Normalerweise immer ohne Steuer- Beleg prüfen</t>
      </text>
    </comment>
  </commentList>
</comments>
</file>

<file path=xl/comments/comment9.xml><?xml version="1.0" encoding="utf-8"?>
<comments xmlns="http://schemas.openxmlformats.org/spreadsheetml/2006/main">
  <authors>
    <author>Michael Jaros</author>
    <author>Autor</author>
    <author>mj</author>
  </authors>
  <commentList>
    <comment ref="O1" authorId="0" shapeId="0">
      <text>
        <t xml:space="preserve">Michael Jaros:
bei teils privater Nutzung Gesamtpreis
</t>
      </text>
    </comment>
    <comment ref="P1" authorId="0" shapeId="0">
      <text>
        <t>Michael Jaros:
geschäftlich genutzter Anteil, zB bei teils priv. Nutzung</t>
      </text>
    </comment>
    <comment ref="U1" authorId="1" shapeId="0">
      <text>
        <t>Autor:
Rechnungsbetrag
inkl. USt.</t>
      </text>
    </comment>
    <comment ref="V1" authorId="1" shapeId="0">
      <text>
        <t>Autor:
als Betriebsausgabe abzugfsähiger Anteil</t>
      </text>
    </comment>
    <comment ref="Y1" authorId="0" shapeId="0">
      <text>
        <t>Michael Jaros:
steuerfreie IG lieferung; 0% reverse charge</t>
      </text>
    </comment>
    <comment ref="AA1" authorId="0" shapeId="0">
      <text>
        <t>Michael Jaros:
in Ö zu entrichtende Vorsteuer (auf dem Papier, da Vorsteuer-abzugsberechtigt)</t>
      </text>
    </comment>
    <comment ref="U25" authorId="0" shapeId="0">
      <text>
        <t xml:space="preserve">Michael Jaros:
manuell
</t>
      </text>
    </comment>
    <comment ref="V25" authorId="0" shapeId="0">
      <text>
        <t xml:space="preserve">Michael Jaros:
manuell
</t>
      </text>
    </comment>
    <comment ref="T28" authorId="0" shapeId="0">
      <text>
        <t xml:space="preserve">Michael Jaros:
manuell - Rundungsfehler auf Rechnung?
</t>
      </text>
    </comment>
    <comment ref="Q30" authorId="0" shapeId="0">
      <text>
        <t>Michael Jaros:
manuell</t>
      </text>
    </comment>
    <comment ref="R30" authorId="0" shapeId="0">
      <text>
        <t>Michael Jaros:
manuell</t>
      </text>
    </comment>
    <comment ref="U33" authorId="0" shapeId="0">
      <text>
        <t>Michael Jaros:
manuell</t>
      </text>
    </comment>
    <comment ref="V33" authorId="0" shapeId="0">
      <text>
        <t>Michael Jaros:
manuell</t>
      </text>
    </comment>
    <comment ref="D42" authorId="0" shapeId="0">
      <text>
        <t>Michael Jaros:
ab diesem Teilzahlungbetrag erst 2016 abgerechnet</t>
      </text>
    </comment>
    <comment ref="R61" authorId="0" shapeId="0">
      <text>
        <t xml:space="preserve">Michael Jaros:
Betrag manuell
</t>
      </text>
    </comment>
    <comment ref="T61" authorId="0" shapeId="0">
      <text>
        <t xml:space="preserve">Michael Jaros:
manuell - Rundungsfehler auf Rechnung?
</t>
      </text>
    </comment>
    <comment ref="D73" authorId="0" shapeId="0">
      <text>
        <t>Michael Jaros:
ab diesem Teilzahlungbetrag erst 2016 abgerechnet</t>
      </text>
    </comment>
    <comment ref="R91" authorId="0" shapeId="0">
      <text>
        <t>Michael Jaros:
Betrag manuell</t>
      </text>
    </comment>
    <comment ref="R93" authorId="0" shapeId="0">
      <text>
        <t xml:space="preserve">Michael Jaros:
Betrag manuell
</t>
      </text>
    </comment>
    <comment ref="T93" authorId="0" shapeId="0">
      <text>
        <t xml:space="preserve">Michael Jaros:
manuell - Rundungsfehler auf Rechnung?
</t>
      </text>
    </comment>
    <comment ref="R95" authorId="0" shapeId="0">
      <text>
        <t>Michael Jaros:
Betrag manuell</t>
      </text>
    </comment>
    <comment ref="A100" authorId="2" shapeId="0">
      <text>
        <t xml:space="preserve">mj:
Zahlung war: 62,80, Rechnung sagt 63,00;
</t>
      </text>
    </comment>
    <comment ref="R110" authorId="0" shapeId="0">
      <text>
        <t>Michael Jaros:
Betrag manuell</t>
      </text>
    </comment>
    <comment ref="A122" authorId="2" shapeId="0">
      <text>
        <t xml:space="preserve">mj:
Nacherfassung am 23.6.
</t>
      </text>
    </comment>
    <comment ref="P122" authorId="2" shapeId="0">
      <text>
        <t>mj:
Anteil 1 stimmt nicht, oder?</t>
      </text>
    </comment>
    <comment ref="A123" authorId="2" shapeId="0">
      <text>
        <t>mj:
Nacherfassung am 23.6.</t>
      </text>
    </comment>
    <comment ref="U123" authorId="2" shapeId="0">
      <text>
        <t>mj:
Betrag manuell</t>
      </text>
    </comment>
    <comment ref="A124" authorId="2" shapeId="0">
      <text>
        <t>mj:
Nacherfassung am 23.6.</t>
      </text>
    </comment>
    <comment ref="A125" authorId="2" shapeId="0">
      <text>
        <t>mj:
Nacherfassung am 23.6.</t>
      </text>
    </comment>
    <comment ref="A126" authorId="2" shapeId="0">
      <text>
        <t>mj:
Nacherfassung am 23.6.</t>
      </text>
    </comment>
    <comment ref="A127" authorId="2" shapeId="0">
      <text>
        <t>mj:
Nacherfassung am 23.6.</t>
      </text>
    </comment>
    <comment ref="A128" authorId="2" shapeId="0">
      <text>
        <t>mj:
Nacherfassung am 23.6.</t>
      </text>
    </comment>
    <comment ref="A129" authorId="2" shapeId="0">
      <text>
        <t>mj:
Nacherfassung am 23.6.</t>
      </text>
    </comment>
    <comment ref="A130" authorId="2" shapeId="0">
      <text>
        <t>mj:
Nacherfassung am 23.6.</t>
      </text>
    </comment>
    <comment ref="R134" authorId="2" shapeId="0">
      <text>
        <t>mj:
Betrag manuell</t>
      </text>
    </comment>
    <comment ref="R166" authorId="0" shapeId="0">
      <text>
        <t xml:space="preserve">Michael Jaros:
Betrag manuell
</t>
      </text>
    </comment>
    <comment ref="T166" authorId="0" shapeId="0">
      <text>
        <t xml:space="preserve">Michael Jaros:
manuell - Rundungsfehler auf Rechnung?
</t>
      </text>
    </comment>
    <comment ref="U174" authorId="2" shapeId="0">
      <text>
        <t>mj:
Betrag manuell (Rundungsfehler)</t>
      </text>
    </comment>
    <comment ref="V174" authorId="2" shapeId="0">
      <text>
        <t>mj:
Betrag manuell (Rundungsfehler)</t>
      </text>
    </comment>
    <comment ref="R176" authorId="0" shapeId="0">
      <text>
        <t xml:space="preserve">Michael Jaros:
Betrag manuell
</t>
      </text>
    </comment>
    <comment ref="T176" authorId="0" shapeId="0">
      <text>
        <t xml:space="preserve">Michael Jaros:
manuell - Rundungsfehler auf Rechnung?
</t>
      </text>
    </comment>
    <comment ref="P195" authorId="2" shapeId="0">
      <text>
        <t>mj:
Anteil 1 stimmt nicht, oder?</t>
      </text>
    </comment>
    <comment ref="R199" authorId="2" shapeId="0">
      <text>
        <t>mj:
Betrag manuell</t>
      </text>
    </comment>
    <comment ref="J276" authorId="0" shapeId="0">
      <text>
        <t>Michael Jaros:
falsche Re-Adresse</t>
      </text>
    </comment>
    <comment ref="P283" authorId="2" shapeId="0">
      <text>
        <t>mj:
20%USt-Anteil (d.h. ohne TV)= 20,3/39,11 x 2/3 (überwiegend geschäftlich)</t>
      </text>
    </comment>
    <comment ref="P285" authorId="2" shapeId="0">
      <text>
        <t>mj:
20%USt-Anteil (d.h. ohne TV)= 20,3/39,11 x 2/3 (überwiegend geschäftlich)</t>
      </text>
    </comment>
    <comment ref="P286" authorId="2" shapeId="0">
      <text>
        <t>mj:
20%USt-Anteil (d.h. ohne TV)= 20,3/39,11 x 2/3 (überwiegend geschäftlich)</t>
      </text>
    </comment>
    <comment ref="P287" authorId="2" shapeId="0">
      <text>
        <t>mj:
20%USt-Anteil (d.h. ohne TV)= 20,3/39,11 x 2/3 (überwiegend geschäftlich)</t>
      </text>
    </comment>
    <comment ref="P288" authorId="2" shapeId="0">
      <text>
        <t>mj:
20%USt-Anteil (d.h. ohne TV)= 20,3/39,11 x 2/3 (überwiegend geschäftlich)</t>
      </text>
    </comment>
    <comment ref="P289" authorId="2" shapeId="0">
      <text>
        <t>mj:
20%USt-Anteil (d.h. ohne TV)= 20,3/39,11 x 2/3 (überwiegend geschäftlich)</t>
      </text>
    </comment>
    <comment ref="P290" authorId="2" shapeId="0">
      <text>
        <t>mj:
20%USt-Anteil (d.h. ohne TV)= 20,3/39,11 x 2/3 (überwiegend geschäftlich)</t>
      </text>
    </comment>
    <comment ref="P291" authorId="2" shapeId="0">
      <text>
        <t>mj:
20%USt-Anteil (d.h. ohne TV)= 20,3/39,11 x 2/3 (überwiegend geschäftlich)</t>
      </text>
    </comment>
    <comment ref="P292" authorId="2" shapeId="0">
      <text>
        <t>mj:
20%USt-Anteil (d.h. ohne TV)= 20,3/39,11 x 2/3 (überwiegend geschäftlich)</t>
      </text>
    </comment>
    <comment ref="P293" authorId="2" shapeId="0">
      <text>
        <t>mj:
20%USt-Anteil (d.h. ohne TV)= 20,3/39,11 x 2/3 (überwiegend geschäftlich)</t>
      </text>
    </comment>
    <comment ref="P294" authorId="2" shapeId="0">
      <text>
        <t>mj:
20%USt-Anteil (d.h. ohne TV)= 20,3/39,11 x 2/3 (überwiegend geschäftlich)</t>
      </text>
    </comment>
    <comment ref="P295" authorId="2" shapeId="0">
      <text>
        <t>mj:
20%USt-Anteil (d.h. ohne TV)= 20,3/39,11 x 2/3 (überwiegend geschäftlich)</t>
      </text>
    </comment>
    <comment ref="P296" authorId="2" shapeId="0">
      <text>
        <t>mj:
20%USt-Anteil (d.h. ohne TV)= 20,3/39,11 x 2/3 (überwiegend geschäftlich)</t>
      </text>
    </comment>
    <comment ref="O299" authorId="2" shapeId="0">
      <text>
        <t>mj:
am 27.12.17 wurden 
    881,95-839,78=42,17 zu viel 
bezahlt, daher wurden am 25.1. nur 
    839,78-42,17=797,61 
bezahlt, ab nächsten Monat dann wieder 839,78 (alle Preise inkl. USt.)</t>
      </text>
    </comment>
    <comment ref="O302" authorId="2" shapeId="0">
      <text>
        <t>mj:
Summe der mit 20% besteuerten Posten (ohne TV)</t>
      </text>
    </comment>
    <comment ref="P302" authorId="2" shapeId="0">
      <text>
        <t>mj:
33 % privat
66 % geschäftlich</t>
      </text>
    </comment>
    <comment ref="O303" authorId="2" shapeId="0">
      <text>
        <t>mj:
Summe der mit 20% besteuerten Posten (ohne TV)</t>
      </text>
    </comment>
    <comment ref="P303" authorId="2" shapeId="0">
      <text>
        <t>mj:
33 % privat
66 % geschäftlich</t>
      </text>
    </comment>
    <comment ref="O304" authorId="2" shapeId="0">
      <text>
        <t>mj:
Summe der mit 20% besteuerten Posten (ohne TV)</t>
      </text>
    </comment>
    <comment ref="P304" authorId="2" shapeId="0">
      <text>
        <t>mj:
33 % privat
66 % geschäftlich</t>
      </text>
    </comment>
    <comment ref="O305" authorId="2" shapeId="0">
      <text>
        <t>mj:
Summe der mit 20% besteuerten Posten (ohne TV)</t>
      </text>
    </comment>
    <comment ref="P305" authorId="2" shapeId="0">
      <text>
        <t>mj:
33 % privat
66 % geschäftlich</t>
      </text>
    </comment>
    <comment ref="O306" authorId="2" shapeId="0">
      <text>
        <t>mj:
Summe der mit 20% besteuerten Posten (ohne TV)</t>
      </text>
    </comment>
    <comment ref="P306" authorId="2" shapeId="0">
      <text>
        <t>mj:
33 % privat
66 % geschäftlich</t>
      </text>
    </comment>
    <comment ref="O307" authorId="2" shapeId="0">
      <text>
        <t>mj:
Summe der mit 20% besteuerten Posten (ohne TV)</t>
      </text>
    </comment>
    <comment ref="P307" authorId="2" shapeId="0">
      <text>
        <t>mj:
33 % privat
66 % geschäftlich</t>
      </text>
    </comment>
    <comment ref="O308" authorId="2" shapeId="0">
      <text>
        <t>mj:
Summe der mit 20% besteuerten Posten (ohne TV)</t>
      </text>
    </comment>
    <comment ref="P308" authorId="2" shapeId="0">
      <text>
        <t>mj:
33 % privat
66 % geschäftlich</t>
      </text>
    </comment>
    <comment ref="O309" authorId="2" shapeId="0">
      <text>
        <t>mj:
Summe der mit 20% besteuerten Posten (ohne TV)</t>
      </text>
    </comment>
    <comment ref="P309" authorId="2" shapeId="0">
      <text>
        <t>mj:
33 % privat
66 % geschäftlich</t>
      </text>
    </comment>
    <comment ref="O310" authorId="2" shapeId="0">
      <text>
        <t>mj:
Summe der mit 20% besteuerten Posten (ohne TV)</t>
      </text>
    </comment>
    <comment ref="P310" authorId="2" shapeId="0">
      <text>
        <t>mj:
33 % privat
66 % geschäftlich</t>
      </text>
    </comment>
    <comment ref="O311" authorId="2" shapeId="0">
      <text>
        <t>mj:
Summe der mit 20% besteuerten Posten (ohne TV)</t>
      </text>
    </comment>
    <comment ref="P311" authorId="2" shapeId="0">
      <text>
        <t>mj:
33 % privat
66 % geschäftlich</t>
      </text>
    </comment>
    <comment ref="O312" authorId="2" shapeId="0">
      <text>
        <t>mj:
Summe der mit 20% besteuerten Posten (ohne TV)</t>
      </text>
    </comment>
    <comment ref="P312" authorId="2" shapeId="0">
      <text>
        <t>mj:
33 % privat
66 % geschäftlich</t>
      </text>
    </comment>
    <comment ref="O313" authorId="2" shapeId="0">
      <text>
        <t>mj:
Summe der mit 20% besteuerten Posten (ohne TV)</t>
      </text>
    </comment>
    <comment ref="P313" authorId="2" shapeId="0">
      <text>
        <t>mj:
33 % privat
66 % geschäftlich</t>
      </text>
    </comment>
    <comment ref="P315" authorId="2" shapeId="0">
      <text>
        <t>mj:
20%USt-Anteil (d.h. ohne TV)= 20,3/39,11 x 2/3 (überwiegend geschäftlich)</t>
      </text>
    </comment>
    <comment ref="P319" authorId="2" shapeId="0">
      <text>
        <t>mj:
20%USt-Anteil (d.h. ohne TV)= 20,3/39,11 x 2/3 (überwiegend geschäftlich)</t>
      </text>
    </comment>
    <comment ref="P324" authorId="2" shapeId="0">
      <text>
        <t>mj:
20%USt-Anteil (d.h. ohne TV)= 20,3/39,11 x 2/3 (überwiegend geschäftlich)</t>
      </text>
    </comment>
    <comment ref="P330" authorId="2" shapeId="0">
      <text>
        <t>mj:
20%USt-Anteil (d.h. ohne TV)= 20,3/39,11 x 2/3 (überwiegend geschäftlich)</t>
      </text>
    </comment>
    <comment ref="P349" authorId="2" shapeId="0">
      <text>
        <t>mj:
20%USt-Anteil (d.h. ohne TV)= 20,3/39,11 x 2/3 (überwiegend geschäftlich)</t>
      </text>
    </comment>
    <comment ref="P360" authorId="2" shapeId="0">
      <text>
        <t>mj:
20%USt-Anteil (d.h. ohne TV)= 20,3/39,11 x 2/3 (überwiegend geschäftlich)</t>
      </text>
    </comment>
    <comment ref="P369" authorId="2" shapeId="0">
      <text>
        <t>mj:
20%USt-Anteil (d.h. ohne TV)= 20,3/39,11 x 2/3 (überwiegend geschäftlich)</t>
      </text>
    </comment>
    <comment ref="P375" authorId="2" shapeId="0">
      <text>
        <t>mj:
20%USt-Anteil (d.h. ohne TV)= 20,3/39,11 x 2/3 (überwiegend geschäftlich)</t>
      </text>
    </comment>
    <comment ref="P383" authorId="2" shapeId="0">
      <text>
        <t>mj:
20%USt-Anteil (d.h. ohne TV)= 20,3/39,11 x 2/3 (überwiegend geschäftlich)</t>
      </text>
    </comment>
    <comment ref="P396" authorId="2" shapeId="0">
      <text>
        <t>mj:
20%USt-Anteil (d.h. ohne TV)= 20,3/39,11 x 2/3 (überwiegend geschäftlich)</t>
      </text>
    </comment>
    <comment ref="P412" authorId="2" shapeId="0">
      <text>
        <t>mj:
20%USt-Anteil (d.h. ohne TV)= 20,3/39,11 x 2/3 (überwiegend geschäftlich)</t>
      </text>
    </comment>
    <comment ref="D414" authorId="2" shapeId="0">
      <text>
        <t xml:space="preserve">mj:
Betrag stimmt nicht mit Rechnung überein
</t>
      </text>
    </comment>
  </commentList>
</comments>
</file>

<file path=xl/comments/comment10.xml><?xml version="1.0" encoding="utf-8"?>
<comments xmlns="http://schemas.openxmlformats.org/spreadsheetml/2006/main">
  <authors>
    <author>Autor</author>
    <author>tc={7F6554BB-B2A9-4C8E-9D42-A6BA1F58DD19}</author>
  </authors>
  <commentList>
    <comment ref="F1" authorId="0" shapeId="0">
      <text>
        <t>Autor:
als Betriebsausgabe abzugfsähiger Anteil</t>
      </text>
    </comment>
    <comment ref="S104" authorId="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Normalerweise immer ohne Steuer- Beleg prüfen</t>
      </text>
    </comment>
  </commentList>
</comments>
</file>

<file path=xl/comments/comment11.xml><?xml version="1.0" encoding="utf-8"?>
<comments xmlns="http://schemas.openxmlformats.org/spreadsheetml/2006/main">
  <authors>
    <author>Autor</author>
    <author>tc={213A58E8-99D6-4575-A6F0-CFBD0A5A22D0}</author>
    <author>tc={60948CBE-A945-4F40-8B75-A836BC4A4B63}</author>
    <author>tc={3E07034D-CC7B-48FF-A25F-6B4174F157B6}</author>
    <author>tc={0401887D-A8A0-430F-BEE9-D7981FC1D198}</author>
    <author>tc={491859D0-831B-42D6-8468-2DC0BC19FD80}</author>
    <author>tc={7398B6CC-A3B8-4B2A-8CD5-215EB1B4644A}</author>
    <author>tc={846D094D-165E-4710-95FB-3A49952CFE94}</author>
    <author>tc={D9809D2E-E694-468A-BE3D-65B1FD8D7CA5}</author>
    <author>tc={23B1619F-F7C9-44C8-8897-88491EC1A688}</author>
    <author>tc={12DC55E6-A23C-4287-9D59-DF5E5A4436B0}</author>
    <author>tc={43C60997-5AEA-4A9E-9CC8-4F2AAA6C9FC2}</author>
    <author>tc={8784A1CE-2590-4A74-A33D-9BBB99ED2C79}</author>
    <author>tc={DEDCC1E4-D8F7-4F99-87ED-0E79AE3345C9}</author>
    <author>tc={1E8419E3-34E1-4EA9-AB78-ECC6EEBD713B}</author>
    <author>tc={B4C869C5-B382-41EA-B0B0-EFAE93748168}</author>
    <author>tc={7BA74640-9329-4167-A045-51290B8878C7}</author>
    <author>tc={554886E4-E155-4DDD-B1FB-E16FC13C94B0}</author>
    <author>tc={72896896-9D15-48F0-806E-4FBB65D1BC3C}</author>
    <author>tc={5405AE28-FA38-484C-A01F-06CD9BC1A798}</author>
    <author>tc={79735996-1543-4A71-ACB1-ECAF2956F8AD}</author>
    <author>tc={9088CE69-BFE1-4560-A477-8F43425DDC17}</author>
    <author>tc={839C0E90-C500-4029-93F4-DE0751E3C75D}</author>
    <author>tc={AA1C5076-906A-48EA-B0B1-778BBED8BCA4}</author>
    <author>tc={48076BB7-9BD2-40B3-946D-B94F167EC1EB}</author>
    <author>tc={CC82B0FC-A43A-46A3-A949-5105F63BCD81}</author>
    <author>tc={0A34648C-0595-4640-B81E-164FE06EDFB8}</author>
    <author>tc={0EB24CEC-EEEA-4D09-8330-18C5054C2181}</author>
    <author>tc={362FC863-0B5F-4148-8C3C-EF1230207B15}</author>
    <author>tc={1BF0180B-F725-4A8D-A9A4-F6CECC0DCF46}</author>
    <author>tc={65D209F0-9625-4F11-9B5E-4AB87F5957FB}</author>
    <author>tc={21FCB45B-8863-424D-9FE1-E8AFFFE73851}</author>
    <author>tc={012D256A-B590-4F7F-ABF5-04F046C1C56C}</author>
  </authors>
  <commentList>
    <comment ref="F1" authorId="0" shapeId="0">
      <text>
        <t>Autor:
als Betriebsausgabe abzugfsähiger Anteil</t>
      </text>
    </comment>
    <comment ref="M7" authorId="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9" authorId="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1" authorId="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4" authorId="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25" authorId="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28" authorId="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29" authorId="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36" authorId="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Rechnung nicht über vollen Betrag, siehe Mailverkehr</t>
      </text>
    </comment>
    <comment ref="M39" authorId="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41" authorId="1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44" authorId="1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59" authorId="1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60" authorId="1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63" authorId="1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68" authorId="1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Rechnung nicht über vollen Betrag, siehe Mailverkehr</t>
      </text>
    </comment>
    <comment ref="M77" authorId="1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78" authorId="1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79" authorId="1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82" authorId="1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Google Storage</t>
      </text>
    </comment>
    <comment ref="M89" authorId="2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90" authorId="2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92" authorId="2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93" authorId="2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96" authorId="2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Google Storage</t>
      </text>
    </comment>
    <comment ref="M107" authorId="2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109" authorId="2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10" authorId="2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23" authorId="2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136" authorId="2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155" authorId="3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176" authorId="3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 ref="M191" authorId="3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Siehe Jahresabrechnung 191208/100/2021 vom 12.1.2022</t>
      </text>
    </comment>
  </commentList>
</comments>
</file>

<file path=xl/comments/comment12.xml><?xml version="1.0" encoding="utf-8"?>
<comments xmlns="http://schemas.openxmlformats.org/spreadsheetml/2006/main">
  <authors>
    <author>Autor</author>
    <author>tc={DB4B3973-84A3-4864-8A19-132DFEF7D1D4}</author>
    <author>tc={08DB3B94-76B1-43E4-8698-F6D39B75C8C7}</author>
    <author>tc={FEAA0259-DE09-4418-B0B2-5E07E5626C42}</author>
    <author>tc={14AD921A-765A-483F-9534-EF714C6AA6BF}</author>
    <author>tc={5AA30F08-9715-4925-B42D-14AB0D48F9F7}</author>
    <author>tc={8E80F728-CEA2-4DE9-B0C5-8D5D509BD7E4}</author>
    <author>tc={3521C84C-7252-4753-8321-92E8FFCD2371}</author>
    <author>tc={6FAEF9E1-6716-4C4F-8E3F-2AE8705407AA}</author>
    <author>tc={FBF47011-5421-45CC-A837-9CACAE7FAD98}</author>
    <author>tc={7A6EA937-7FCA-4883-B4F0-D1D9E3938311}</author>
    <author>tc={34798BD4-D287-4629-B693-928E02C45471}</author>
    <author>tc={3C373ADD-820A-47A5-8342-7AD5B10E6A40}</author>
    <author>tc={BD9E4BA5-1229-4781-80C4-DE7E5BB4ACFF}</author>
    <author>tc={A211D076-9AAF-4288-B365-D65BE6AC8E3A}</author>
    <author>tc={EF5FB83F-30A0-43B1-9059-67DB84EAEC6A}</author>
    <author>tc={0CC9E41F-4579-4416-A818-3911F7C5765A}</author>
    <author>tc={2BB58E20-D77D-4088-9907-6C25895FECB1}</author>
    <author>tc={2DA476B1-C7C3-47D8-8F80-42CD99DFE4F9}</author>
    <author>tc={25C97D9E-C312-404F-9639-4E3C77A0E94D}</author>
    <author>tc={797EA2B5-31F1-4676-8BB5-31424903CE39}</author>
    <author>tc={CAED9545-13AB-448F-B56F-3C3DC94B9ECF}</author>
    <author>tc={E5EED6C8-EEDD-4C8C-BA78-8B11A08BE65D}</author>
    <author>tc={D87CEDB0-2604-494A-A19E-3AF51E2A7E1E}</author>
    <author>tc={9608BF26-92B4-4198-97CB-8219DDE50180}</author>
    <author>tc={DE11329A-EFF9-4638-9C4E-048EA5804ECD}</author>
    <author>tc={C24D9257-87CD-4ED4-9B8F-EF4C1990D9A5}</author>
    <author>tc={449657CA-549E-4A7C-A7C6-BE19CFFC6A93}</author>
    <author>tc={E8E28E8A-9C8B-4494-A203-9B9AF38D5053}</author>
    <author>tc={98BCB429-4C53-4C28-9B98-0E8922F18130}</author>
    <author>tc={FD4F041F-0AFF-4A50-93CB-9127FF48F38C}</author>
    <author>tc={CECE86CA-CDB9-4F00-9361-DE2EC7B5E03A}</author>
    <author>tc={31A90078-6DB0-4BE7-BFFD-79BE2D42FDA9}</author>
    <author>tc={046FEEF5-299E-41AB-A292-DD389A00EF3A}</author>
    <author>tc={34BE9742-0E83-4136-BEB5-8EE42910298C}</author>
    <author>tc={11B58AE5-12D7-4FAF-8428-B06F56C45E0B}</author>
    <author>tc={5C417FAC-28F8-40F7-9687-920C0CA89B9E}</author>
    <author>tc={9BC60375-AA13-42CD-A31F-937FB52EC905}</author>
    <author>tc={288142BC-37D7-4B5D-A10F-E37699B9C4C5}</author>
    <author>tc={7B11ABC5-4946-4D22-BB54-29AE92B63B15}</author>
    <author>tc={06840C74-DC83-4B34-A536-9FB26A73A755}</author>
    <author>tc={3EA3EADB-3AB2-479B-A3A1-9191CB822081}</author>
    <author>tc={9B1373C9-5DE8-49BA-9453-012DFC6BC9A4}</author>
    <author>tc={1211187D-6621-44CA-A086-7CBA14EDB779}</author>
    <author>tc={10814FD8-5AB1-41FF-8C27-9D530CC2503A}</author>
  </authors>
  <commentList>
    <comment ref="F1" authorId="0" shapeId="0">
      <text>
        <t>Autor:
als Betriebsausgabe abzugfsähiger Anteil</t>
      </text>
    </comment>
    <comment ref="V3" authorId="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W3" authorId="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M4" authorId="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Bankbeleg statt Rechnung</t>
      </text>
    </comment>
    <comment ref="M5" authorId="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9" authorId="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25" authorId="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27" authorId="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31" authorId="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33" authorId="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40" authorId="1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44" authorId="1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46" authorId="1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58" authorId="1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60" authorId="1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64" authorId="1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66" authorId="1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RNr -1 (31.3.21): 57,49
RNr -2 (30.4.21): -3,42
------------------------
Payment 4/21:    54,07</t>
      </text>
    </comment>
    <comment ref="V68" authorId="1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Mahnspesen sind USt befreit</t>
      </text>
    </comment>
    <comment ref="M74" authorId="1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75" authorId="1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77" authorId="2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80" authorId="2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Bankbeleg statt Rechnung</t>
      </text>
    </comment>
    <comment ref="M85" authorId="2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86" authorId="2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89" authorId="2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03" authorId="2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04" authorId="2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t>
      </text>
    </comment>
    <comment ref="M106" authorId="2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12" authorId="2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13" authorId="2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Nachtragszahlung zu 21/9001/VS00472</t>
      </text>
    </comment>
    <comment ref="M117" authorId="3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20" authorId="3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24" authorId="3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32" authorId="3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34" authorId="3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37" authorId="3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47" authorId="3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48" authorId="3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49" authorId="3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61" authorId="3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Es ist nicht ganz klar, ob das die richtige Rechnung ist (Rechnungsdatum 30.9.)</t>
      </text>
    </comment>
    <comment ref="M162" authorId="4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63" authorId="4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 ref="M166" authorId="4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vom 28.12.2020, siehe Journal-Beleg 2020-232</t>
      </text>
    </comment>
    <comment ref="M180" authorId="4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Beleg siehe 2021-8</t>
      </text>
    </comment>
    <comment ref="M181" authorId="4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27.05.2021, siehe Journal-Beleg 2021-103
Antwort:
    Dauervorschreibung, siehe 2021-103</t>
      </text>
    </comment>
  </commentList>
</comments>
</file>

<file path=xl/comments/comment13.xml><?xml version="1.0" encoding="utf-8"?>
<comments xmlns="http://schemas.openxmlformats.org/spreadsheetml/2006/main">
  <authors>
    <author>Autor</author>
    <author>tc={52A37AAB-69EA-466A-8D24-5D0B4265A0C3}</author>
    <author>tc={DEFBBB84-CEBA-4611-A873-361671B486B9}</author>
    <author>tc={6902C7AA-E2DF-4CF1-933E-04459E1FF006}</author>
    <author>tc={4F0EB94B-E363-4D3F-AE55-B8AF2DED4842}</author>
    <author>tc={5CA0A0CD-E90E-4748-8A99-DD6B69044269}</author>
    <author>tc={93ACAC1F-048C-47FD-AF23-354958A033DB}</author>
    <author>tc={796BC8EB-EF22-45C9-AC8C-F0711B4673F4}</author>
    <author>tc={527C0E20-CB77-450E-9498-1DD46EBEEF83}</author>
    <author>tc={48AD8649-613F-4200-9D16-BA4CC9B23E96}</author>
    <author>tc={1D4BFF34-C5F2-4160-B4D4-C657011B3C3D}</author>
    <author>tc={675AF910-6DF9-4AB7-939C-EABF811A2D27}</author>
    <author>tc={480BB9C1-D8ED-46A8-AA69-59AD09AE2E27}</author>
    <author>tc={FAD13A7D-BC1A-4538-99FD-670AE4B96EB4}</author>
    <author>tc={9D2CEC88-BD9F-43BF-9DE6-C91D9762126F}</author>
    <author>tc={A55E87FB-BB99-4947-B86D-CFF767F7D2DF}</author>
    <author>tc={27BADF59-5BA8-408B-82CA-8109AE8304CB}</author>
    <author>tc={3C92BFDB-7702-4442-9FA7-8012184ABB90}</author>
    <author>tc={42F311BB-EC1B-4271-B728-714686F7559E}</author>
    <author>tc={DFA0520F-74FB-4959-B169-5C29447100E0}</author>
    <author>tc={AB63EF2C-69E2-4F9B-B64D-0AC2B6A0A509}</author>
    <author>tc={60EB1809-859E-468C-AB69-BB6F2977EDF1}</author>
    <author>tc={0E6607A7-70FD-411B-BB95-AEE00CA2F738}</author>
    <author>tc={DC66A791-4944-45AA-87EE-E23E153C6A6C}</author>
    <author>tc={D739DD7D-8D36-471C-A139-22CCDE9652E0}</author>
    <author>tc={E48BD6C5-E9BE-4584-9380-EFD06BC22696}</author>
    <author>tc={884DFEA0-4AEC-4B7E-AE54-5D7B1ECE59D5}</author>
    <author>tc={35BD3DD5-04A8-4834-9316-B5E34BAB5C53}</author>
    <author>tc={BD158228-4FB7-4802-BFC9-BEE89329B442}</author>
    <author>tc={FBA4FFA6-1D82-46A1-8FBF-F15B5F37A346}</author>
    <author>tc={8307807A-25AE-4EEB-8021-7916F6C85841}</author>
    <author>tc={6C6A66CC-F066-4838-830C-A7EAFFAA54B4}</author>
    <author>tc={99E8F843-3120-4B9C-9F4D-26D048309579}</author>
    <author>tc={20827E7F-2D96-4C62-8492-B38FB9A066A1}</author>
    <author>tc={137D7052-FC6F-44B1-9D1D-9CE5234D4D4F}</author>
    <author>tc={B2538BBB-F2BF-4DF7-984A-F7C104D50F14}</author>
    <author>tc={A9EBE6FA-A062-4898-9096-7525186F078A}</author>
    <author>tc={A6B6689A-6CB1-450D-AAE5-28A95ACAC06C}</author>
    <author>tc={B4C46F14-8441-47C8-831B-528FB2E15A08}</author>
    <author>tc={48773C1F-5E31-4376-AF4B-4E357C5398ED}</author>
    <author>tc={B26FB52C-EB9D-440D-9DCE-3FFE3C9AC1C9}</author>
  </authors>
  <commentList>
    <comment ref="F1" authorId="0" shapeId="0">
      <text>
        <t>Autor:
als Betriebsausgabe abzugfsähiger Anteil</t>
      </text>
    </comment>
    <comment ref="M6" authorId="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S10" authorId="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M11" authorId="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M34" authorId="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41" authorId="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S60" authorId="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nur 20%-Leistungen (Internet)</t>
      </text>
    </comment>
    <comment ref="M74" authorId="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79" authorId="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83" authorId="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M102" authorId="1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07" authorId="1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115" authorId="1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16" authorId="1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M119" authorId="1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M127" authorId="1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38" authorId="1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46" authorId="1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M155" authorId="1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M156" authorId="1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59" authorId="2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M170" authorId="2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75" authorId="2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M178" authorId="2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S182" authorId="2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Brutto 0,6 € zu viel bezahlt</t>
      </text>
    </comment>
    <comment ref="O185" authorId="2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ausländische USt auf der Rechnung - kein Vorsteuerabzug</t>
      </text>
    </comment>
    <comment ref="M191" authorId="2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192" authorId="2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M194" authorId="2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V202" authorId="2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W202" authorId="3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M204" authorId="31"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205" authorId="32"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M209" authorId="33"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12.12.2019, siehe Journal-Beleg Nr. 2020-10</t>
      </text>
    </comment>
    <comment ref="V220" authorId="34"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W220" authorId="35"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M222" authorId="36"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Dauerrechnung (2020)</t>
      </text>
    </comment>
    <comment ref="M223" authorId="37"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1.7.2020, siehe Journal-Beleg 2020-140</t>
      </text>
    </comment>
    <comment ref="M229" authorId="38"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Dauervorschreibung vom 1.10.2019, siehe Journal-Beleg 2019-165</t>
      </text>
    </comment>
    <comment ref="V234" authorId="39"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 ref="W234" authorId="40" shapeId="0">
      <text>
        <t>[Kommentarthread]
Ihre Version von Excel gestattet Ihnen das Lesen dieses Kommentarthreads. Jegliche Bearbeitungen daran werden jedoch entfernt, wenn die Datei in einer neueren Version von Excel geöffnet wird. Weitere Informationen: https://go.microsoft.com/fwlink/?linkid=870924.
Kommentar:
    Vorsteuer manuell</t>
      </text>
    </comment>
  </commentList>
</comments>
</file>

<file path=xl/comments/comment14.xml><?xml version="1.0" encoding="utf-8"?>
<comments xmlns="http://schemas.openxmlformats.org/spreadsheetml/2006/main">
  <authors>
    <author>Autor</author>
  </authors>
  <commentList>
    <comment ref="F1" authorId="0" shapeId="0">
      <text>
        <t>Autor:
als Betriebsausgabe abzugfsähiger Anteil</t>
      </text>
    </comment>
  </commentList>
</comments>
</file>

<file path=xl/comments/comment15.xml><?xml version="1.0" encoding="utf-8"?>
<comments xmlns="http://schemas.openxmlformats.org/spreadsheetml/2006/main">
  <authors>
    <author>Michael Jaros</author>
    <author>Autor</author>
    <author>mj</author>
  </authors>
  <commentList>
    <comment ref="M1" authorId="0" shapeId="0">
      <text>
        <t xml:space="preserve">Michael Jaros:
bei teils privater Nutzung Gesamtpreis
</t>
      </text>
    </comment>
    <comment ref="N1" authorId="0" shapeId="0">
      <text>
        <t>Michael Jaros:
geschäftlich genutzter Anteil, zB bei teils priv. Nutzung</t>
      </text>
    </comment>
    <comment ref="O1" authorId="1" shapeId="0">
      <text>
        <t>Autor:
als Betriebsausgabe abzugfsähiger Anteil</t>
      </text>
    </comment>
    <comment ref="U1" authorId="1" shapeId="0">
      <text>
        <t>Autor:
Rechnungsbetrag
inkl. USt.</t>
      </text>
    </comment>
    <comment ref="X1" authorId="0" shapeId="0">
      <text>
        <t>Michael Jaros:
steuerfreie IG lieferung; 0% reverse charge</t>
      </text>
    </comment>
    <comment ref="Z1" authorId="0" shapeId="0">
      <text>
        <t>Michael Jaros:
in Ö zu entrichtende Vorsteuer (auf dem Papier, da Vorsteuer-abzugsberechtigt)</t>
      </text>
    </comment>
    <comment ref="N4" authorId="2" shapeId="0">
      <text>
        <t>mj:
20%USt-Anteil (d.h. ohne TV)= 20,3/39,11 x 2/3 (überwiegend geschäftlich)</t>
      </text>
    </comment>
    <comment ref="M8" authorId="2" shapeId="0">
      <text>
        <t>mj:
am 27.12.17 wurden 
    881,95-839,78=42,17 zu viel 
bezahlt, daher wurden am 25.1. nur 
    839,78-42,17=797,61 
bezahlt, ab nächsten Monat dann wieder 839,78 (alle Preise inkl. USt.)</t>
      </text>
    </comment>
    <comment ref="N12" authorId="2" shapeId="0">
      <text>
        <t>mj:
20%USt-Anteil (d.h. ohne TV)= 20,3/39,11 x 2/3 (überwiegend geschäftlich)</t>
      </text>
    </comment>
    <comment ref="N16" authorId="2" shapeId="0">
      <text>
        <t>mj:
20%USt-Anteil (d.h. ohne TV)= 20,3/39,11 x 2/3 (überwiegend geschäftlich)</t>
      </text>
    </comment>
    <comment ref="N21" authorId="2" shapeId="0">
      <text>
        <t>mj:
20%USt-Anteil (d.h. ohne TV)= 20,3/39,11 x 2/3 (überwiegend geschäftlich)</t>
      </text>
    </comment>
    <comment ref="N27" authorId="2" shapeId="0">
      <text>
        <t>mj:
20%USt-Anteil (d.h. ohne TV)= 20,3/39,11 x 2/3 (überwiegend geschäftlich)</t>
      </text>
    </comment>
    <comment ref="N46" authorId="2" shapeId="0">
      <text>
        <t>mj:
20%USt-Anteil (d.h. ohne TV)= 20,3/39,11 x 2/3 (überwiegend geschäftlich)</t>
      </text>
    </comment>
    <comment ref="N57" authorId="2" shapeId="0">
      <text>
        <t>mj:
20%USt-Anteil (d.h. ohne TV)= 20,3/39,11 x 2/3 (überwiegend geschäftlich)</t>
      </text>
    </comment>
    <comment ref="N66" authorId="2" shapeId="0">
      <text>
        <t>mj:
20%USt-Anteil (d.h. ohne TV)= 20,3/39,11 x 2/3 (überwiegend geschäftlich)</t>
      </text>
    </comment>
    <comment ref="N72" authorId="2" shapeId="0">
      <text>
        <t>mj:
20%USt-Anteil (d.h. ohne TV)= 20,3/39,11 x 2/3 (überwiegend geschäftlich)</t>
      </text>
    </comment>
    <comment ref="N80" authorId="2" shapeId="0">
      <text>
        <t>mj:
20%USt-Anteil (d.h. ohne TV)= 20,3/39,11 x 2/3 (überwiegend geschäftlich)</t>
      </text>
    </comment>
    <comment ref="N93" authorId="2" shapeId="0">
      <text>
        <t>mj:
20%USt-Anteil (d.h. ohne TV)= 20,3/39,11 x 2/3 (überwiegend geschäftlich)</t>
      </text>
    </comment>
    <comment ref="N109" authorId="2" shapeId="0">
      <text>
        <t>mj:
20%USt-Anteil (d.h. ohne TV)= 20,3/39,11 x 2/3 (überwiegend geschäftlich)</t>
      </text>
    </comment>
    <comment ref="E111" authorId="2" shapeId="0">
      <text>
        <t xml:space="preserve">mj:
Betrag stimmt nicht mit Rechnung überein
</t>
      </text>
    </comment>
  </commentList>
</comments>
</file>

<file path=xl/comments/comment16.xml><?xml version="1.0" encoding="utf-8"?>
<comments xmlns="http://schemas.openxmlformats.org/spreadsheetml/2006/main">
  <authors>
    <author>Michael Jaros</author>
    <author>Autor</author>
    <author>mj</author>
  </authors>
  <commentList>
    <comment ref="M1" authorId="0" shapeId="0">
      <text>
        <t xml:space="preserve">Michael Jaros:
bei teils privater Nutzung Gesamtpreis
</t>
      </text>
    </comment>
    <comment ref="N1" authorId="0" shapeId="0">
      <text>
        <t>Michael Jaros:
geschäftlich genutzter Anteil, zB bei teils priv. Nutzung</t>
      </text>
    </comment>
    <comment ref="U1" authorId="1" shapeId="0">
      <text>
        <t>Autor:
Rechnungsbetrag
inkl. USt.</t>
      </text>
    </comment>
    <comment ref="X1" authorId="0" shapeId="0">
      <text>
        <t>Michael Jaros:
steuerfreie IG lieferung; 0% reverse charge</t>
      </text>
    </comment>
    <comment ref="Z1" authorId="0" shapeId="0">
      <text>
        <t>Michael Jaros:
in Ö zu entrichtende Vorsteuer (auf dem Papier, da Vorsteuer-abzugsberechtigt)</t>
      </text>
    </comment>
    <comment ref="M8" authorId="2" shapeId="0">
      <text>
        <t>mj:
am 27.12.17 wurden 
    881,95-839,78=42,17 zu viel 
bezahlt, daher wurden am 25.1. nur 
    839,78-42,17=797,61 
bezahlt, ab nächsten Monat dann wieder 839,78 (alle Preise inkl. USt.)</t>
      </text>
    </comment>
    <comment ref="E111" authorId="2" shapeId="0">
      <text>
        <t xml:space="preserve">mj:
Betrag stimmt nicht mit Rechnung überein
</t>
      </text>
    </comment>
  </commentList>
</comments>
</file>

<file path=xl/comments/comment17.xml><?xml version="1.0" encoding="utf-8"?>
<comments xmlns="http://schemas.openxmlformats.org/spreadsheetml/2006/main">
  <authors>
    <author>Michael Jaros</author>
    <author>Autor</author>
    <author>mj</author>
  </authors>
  <commentList>
    <comment ref="G1" authorId="0" shapeId="0">
      <text>
        <t xml:space="preserve">Michael Jaros:
bei teils privater Nutzung Gesamtpreis
</t>
      </text>
    </comment>
    <comment ref="H1" authorId="0" shapeId="0">
      <text>
        <t>Michael Jaros:
geschäftlich genutzter Anteil, zB bei teils priv. Nutzung</t>
      </text>
    </comment>
    <comment ref="I1" authorId="1" shapeId="0">
      <text>
        <t>Autor:
als Betriebsausgabe abzugfsähiger Anteil</t>
      </text>
    </comment>
    <comment ref="O1" authorId="1" shapeId="0">
      <text>
        <t>Autor:
Rechnungsbetrag
inkl. USt.</t>
      </text>
    </comment>
    <comment ref="H10" authorId="2" shapeId="0">
      <text>
        <t>mj:
Anteil 1 stimmt nicht, oder?</t>
      </text>
    </comment>
    <comment ref="K13" authorId="2" shapeId="0">
      <text>
        <t>mj:
Betrag manuell</t>
      </text>
    </comment>
    <comment ref="H111" authorId="2" shapeId="0">
      <text>
        <t>mj:
20%USt-Anteil (d.h. ohne TV)= 20,3/39,11 x 2/3 (überwiegend geschäftlich)</t>
      </text>
    </comment>
    <comment ref="H112" authorId="2" shapeId="0">
      <text>
        <t>mj:
20%USt-Anteil (d.h. ohne TV)= 20,3/39,11 x 2/3 (überwiegend geschäftlich)</t>
      </text>
    </comment>
    <comment ref="H113" authorId="2" shapeId="0">
      <text>
        <t>mj:
20%USt-Anteil (d.h. ohne TV)= 20,3/39,11 x 2/3 (überwiegend geschäftlich)</t>
      </text>
    </comment>
    <comment ref="H114" authorId="2" shapeId="0">
      <text>
        <t>mj:
20%USt-Anteil (d.h. ohne TV)= 20,3/39,11 x 2/3 (überwiegend geschäftlich)</t>
      </text>
    </comment>
    <comment ref="H115" authorId="2" shapeId="0">
      <text>
        <t>mj:
20%USt-Anteil (d.h. ohne TV)= 20,3/39,11 x 2/3 (überwiegend geschäftlich)</t>
      </text>
    </comment>
    <comment ref="H116" authorId="2" shapeId="0">
      <text>
        <t>mj:
20%USt-Anteil (d.h. ohne TV)= 20,3/39,11 x 2/3 (überwiegend geschäftlich)</t>
      </text>
    </comment>
    <comment ref="H117" authorId="2" shapeId="0">
      <text>
        <t>mj:
20%USt-Anteil (d.h. ohne TV)= 20,3/39,11 x 2/3 (überwiegend geschäftlich)</t>
      </text>
    </comment>
    <comment ref="H118" authorId="2" shapeId="0">
      <text>
        <t>mj:
20%USt-Anteil (d.h. ohne TV)= 20,3/39,11 x 2/3 (überwiegend geschäftlich)</t>
      </text>
    </comment>
    <comment ref="H119" authorId="2" shapeId="0">
      <text>
        <t>mj:
20%USt-Anteil (d.h. ohne TV)= 20,3/39,11 x 2/3 (überwiegend geschäftlich)</t>
      </text>
    </comment>
    <comment ref="H120" authorId="2" shapeId="0">
      <text>
        <t>mj:
20%USt-Anteil (d.h. ohne TV)= 20,3/39,11 x 2/3 (überwiegend geschäftlich)</t>
      </text>
    </comment>
    <comment ref="H121" authorId="2" shapeId="0">
      <text>
        <t>mj:
20%USt-Anteil (d.h. ohne TV)= 20,3/39,11 x 2/3 (überwiegend geschäftlich)</t>
      </text>
    </comment>
    <comment ref="H122" authorId="2" shapeId="0">
      <text>
        <t>mj:
20%USt-Anteil (d.h. ohne TV)= 20,3/39,11 x 2/3 (überwiegend geschäftlich)</t>
      </text>
    </comment>
  </commentList>
</comments>
</file>

<file path=xl/comments/comment18.xml><?xml version="1.0" encoding="utf-8"?>
<comments xmlns="http://schemas.openxmlformats.org/spreadsheetml/2006/main">
  <authors>
    <author>Michael Jaros</author>
    <author>mj</author>
  </authors>
  <commentList>
    <comment ref="G1" authorId="0" shapeId="0">
      <text>
        <t xml:space="preserve">Michael Jaros:
bei teils privater Nutzung Gesamtpreis
</t>
      </text>
    </comment>
    <comment ref="H1" authorId="0" shapeId="0">
      <text>
        <t>Michael Jaros:
geschäftlich genutzter Anteil, zB bei teils priv. Nutzung</t>
      </text>
    </comment>
    <comment ref="H10" authorId="1" shapeId="0">
      <text>
        <t>mj:
Anteil 1 stimmt nicht, oder?</t>
      </text>
    </comment>
    <comment ref="K13" authorId="1" shapeId="0">
      <text>
        <t>mj:
Betrag manuell</t>
      </text>
    </comment>
    <comment ref="H111" authorId="1" shapeId="0">
      <text>
        <t>mj:
20%USt-Anteil (d.h. ohne TV)= 20,3/39,11 x 2/3 (überwiegend geschäftlich)</t>
      </text>
    </comment>
    <comment ref="H112" authorId="1" shapeId="0">
      <text>
        <t>mj:
20%USt-Anteil (d.h. ohne TV)= 20,3/39,11 x 2/3 (überwiegend geschäftlich)</t>
      </text>
    </comment>
    <comment ref="H113" authorId="1" shapeId="0">
      <text>
        <t>mj:
20%USt-Anteil (d.h. ohne TV)= 20,3/39,11 x 2/3 (überwiegend geschäftlich)</t>
      </text>
    </comment>
    <comment ref="H114" authorId="1" shapeId="0">
      <text>
        <t>mj:
20%USt-Anteil (d.h. ohne TV)= 20,3/39,11 x 2/3 (überwiegend geschäftlich)</t>
      </text>
    </comment>
    <comment ref="H115" authorId="1" shapeId="0">
      <text>
        <t>mj:
20%USt-Anteil (d.h. ohne TV)= 20,3/39,11 x 2/3 (überwiegend geschäftlich)</t>
      </text>
    </comment>
    <comment ref="H116" authorId="1" shapeId="0">
      <text>
        <t>mj:
20%USt-Anteil (d.h. ohne TV)= 20,3/39,11 x 2/3 (überwiegend geschäftlich)</t>
      </text>
    </comment>
    <comment ref="H117" authorId="1" shapeId="0">
      <text>
        <t>mj:
20%USt-Anteil (d.h. ohne TV)= 20,3/39,11 x 2/3 (überwiegend geschäftlich)</t>
      </text>
    </comment>
    <comment ref="H118" authorId="1" shapeId="0">
      <text>
        <t>mj:
20%USt-Anteil (d.h. ohne TV)= 20,3/39,11 x 2/3 (überwiegend geschäftlich)</t>
      </text>
    </comment>
    <comment ref="H119" authorId="1" shapeId="0">
      <text>
        <t>mj:
20%USt-Anteil (d.h. ohne TV)= 20,3/39,11 x 2/3 (überwiegend geschäftlich)</t>
      </text>
    </comment>
    <comment ref="H120" authorId="1" shapeId="0">
      <text>
        <t>mj:
20%USt-Anteil (d.h. ohne TV)= 20,3/39,11 x 2/3 (überwiegend geschäftlich)</t>
      </text>
    </comment>
    <comment ref="H121" authorId="1" shapeId="0">
      <text>
        <t>mj:
20%USt-Anteil (d.h. ohne TV)= 20,3/39,11 x 2/3 (überwiegend geschäftlich)</t>
      </text>
    </comment>
    <comment ref="H122" authorId="1" shapeId="0">
      <text>
        <t>mj:
20%USt-Anteil (d.h. ohne TV)= 20,3/39,11 x 2/3 (überwiegend geschäftlich)</t>
      </text>
    </comment>
  </commentList>
</comments>
</file>

<file path=xl/pivotCache/_rels/pivotCacheDefinition1.xml.rels><Relationships xmlns="http://schemas.openxmlformats.org/package/2006/relationships"><Relationship Type="http://schemas.openxmlformats.org/officeDocument/2006/relationships/pivotCacheRecords" Target="/xl/pivotCache/pivotCacheRecords1.xml" Id="rId1" /></Relationships>
</file>

<file path=xl/pivotCache/pivotCacheDefinition1.xml><?xml version="1.0" encoding="utf-8"?>
<pivotCacheDefinition xmlns:r="http://schemas.openxmlformats.org/officeDocument/2006/relationships" xmlns="http://schemas.openxmlformats.org/spreadsheetml/2006/main" refreshedBy="Michael Jaros" refreshedDate="44267.73499212963" createdVersion="6" refreshedVersion="6" minRefreshableVersion="3" recordCount="99" r:id="rId1">
  <cacheSource type="worksheet">
    <worksheetSource ref="A1:M100" sheet="Rechnung_Ausgang"/>
  </cacheSource>
  <cacheFields count="13">
    <cacheField name="Rechnungsnummer" uniqueList="1" numFmtId="0" sqlType="0" hierarchy="0" level="0" databaseField="1">
      <sharedItems count="0" containsInteger="1" containsNumber="1" containsSemiMixedTypes="0" containsString="0" minValue="12015001" maxValue="12020006"/>
    </cacheField>
    <cacheField name="Rechnungsdatum" uniqueList="1" numFmtId="14" sqlType="0" hierarchy="0" level="0" databaseField="1">
      <sharedItems count="0" containsDate="1" containsNonDate="0" containsSemiMixedTypes="0" containsString="0" minDate="2015-06-29T00:00:00" maxDate="2020-03-05T00:00:00"/>
    </cacheField>
    <cacheField name="Zahlungsziel" uniqueList="1" numFmtId="14" sqlType="0" hierarchy="0" level="0" databaseField="1">
      <sharedItems count="0" containsDate="1" containsNonDate="0" containsSemiMixedTypes="0" containsString="0" minDate="2015-07-13T00:00:00" maxDate="2020-03-19T00:00:00"/>
    </cacheField>
    <cacheField name="Zahlungsdatum" uniqueList="1" numFmtId="14" sqlType="0" hierarchy="0" level="0" databaseField="1">
      <sharedItems count="90" containsDate="1" containsNonDate="0" containsSemiMixedTypes="0" containsString="0" minDate="2015-07-01T00:00:00" maxDate="2020-03-11T00:00:00">
        <d v="2015-07-01T00:00:00"/>
        <d v="2015-07-09T00:00:00"/>
        <d v="2015-08-11T00:00:00"/>
        <d v="2015-08-07T00:00:00"/>
        <d v="2015-08-28T00:00:00"/>
        <d v="2015-09-10T00:00:00"/>
        <d v="2015-10-02T00:00:00"/>
        <d v="2015-09-24T00:00:00"/>
        <d v="2015-10-07T00:00:00"/>
        <d v="2015-11-04T00:00:00"/>
        <d v="2015-10-20T00:00:00"/>
        <d v="2015-12-16T00:00:00"/>
        <d v="2015-11-24T00:00:00"/>
        <d v="2016-01-25T00:00:00"/>
        <d v="2016-02-01T00:00:00"/>
        <d v="2016-01-04T00:00:00"/>
        <d v="2016-02-18T00:00:00"/>
        <d v="2016-03-16T00:00:00"/>
        <d v="2016-04-13T00:00:00"/>
        <d v="2016-04-08T00:00:00"/>
        <d v="2016-05-17T00:00:00"/>
        <d v="2016-06-17T00:00:00"/>
        <d v="2016-05-19T00:00:00"/>
        <d v="2016-06-14T00:00:00"/>
        <d v="2016-08-04T00:00:00"/>
        <d v="2016-07-05T00:00:00"/>
        <d v="2016-10-07T00:00:00"/>
        <d v="2016-09-29T00:00:00"/>
        <d v="2016-11-22T00:00:00"/>
        <d v="2016-10-18T00:00:00"/>
        <d v="2016-11-18T00:00:00"/>
        <d v="2017-02-23T00:00:00"/>
        <d v="2017-04-11T00:00:00"/>
        <d v="2017-05-03T00:00:00"/>
        <d v="2017-09-21T00:00:00"/>
        <d v="2017-10-31T00:00:00"/>
        <d v="2017-11-15T00:00:00"/>
        <d v="2017-11-28T00:00:00"/>
        <d v="2017-12-22T00:00:00"/>
        <d v="2017-12-28T00:00:00"/>
        <d v="2017-12-29T00:00:00"/>
        <d v="2018-04-25T00:00:00"/>
        <d v="2018-05-03T00:00:00"/>
        <d v="2018-07-09T00:00:00"/>
        <d v="2018-07-11T00:00:00"/>
        <d v="2018-07-10T00:00:00"/>
        <d v="2018-08-03T00:00:00"/>
        <d v="2018-09-15T00:00:00"/>
        <d v="2018-11-05T00:00:00"/>
        <d v="2018-10-15T00:00:00"/>
        <d v="2018-12-28T00:00:00"/>
        <d v="2019-01-17T00:00:00"/>
        <d v="2019-01-11T00:00:00"/>
        <d v="2019-02-13T00:00:00"/>
        <d v="2018-12-27T00:00:00"/>
        <d v="2019-01-09T00:00:00"/>
        <d v="2019-01-16T00:00:00"/>
        <d v="2019-01-25T00:00:00"/>
        <d v="2019-07-02T00:00:00"/>
        <d v="2019-04-09T00:00:00"/>
        <d v="2019-04-16T00:00:00"/>
        <d v="2019-04-10T00:00:00"/>
        <d v="2019-05-13T00:00:00"/>
        <d v="2019-06-13T00:00:00"/>
        <d v="2019-07-01T00:00:00"/>
        <d v="2019-07-15T00:00:00"/>
        <d v="2019-07-08T00:00:00"/>
        <d v="2019-07-23T00:00:00"/>
        <d v="2019-08-02T00:00:00"/>
        <d v="2019-08-06T00:00:00"/>
        <d v="2019-08-26T00:00:00"/>
        <d v="2019-09-09T00:00:00"/>
        <d v="2019-10-17T00:00:00"/>
        <d v="2019-10-04T00:00:00"/>
        <d v="2019-10-30T00:00:00"/>
        <d v="2019-10-14T00:00:00"/>
        <d v="2019-11-26T00:00:00"/>
        <d v="2019-11-12T00:00:00"/>
        <d v="2019-12-18T00:00:00"/>
        <d v="2019-11-28T00:00:00"/>
        <d v="2019-12-03T00:00:00"/>
        <d v="2019-12-09T00:00:00"/>
        <d v="2019-12-30T00:00:00"/>
        <d v="2020-01-08T00:00:00"/>
        <d v="2020-01-14T00:00:00"/>
        <d v="2020-01-15T00:00:00"/>
        <d v="2020-01-21T00:00:00"/>
        <d v="2020-02-13T00:00:00"/>
        <d v="2020-02-14T00:00:00"/>
        <d v="2020-03-10T00:00:00"/>
      </sharedItems>
    </cacheField>
    <cacheField name="Mahnungsdatum" uniqueList="1" numFmtId="0" sqlType="0" hierarchy="0" level="0" databaseField="1">
      <sharedItems count="0" containsBlank="1" containsDate="1" containsNonDate="0" containsString="0" minDate="2016-07-25T00:00:00" maxDate="2020-02-04T00:00:00"/>
    </cacheField>
    <cacheField name="Rechnungsempfänger" uniqueList="1" numFmtId="0" sqlType="0" hierarchy="0" level="0" databaseField="1">
      <sharedItems count="26">
        <s v="Dr. Arno Kolbitsch, Zivilingenieur, Gütleweg 1, 6822 Satteins"/>
        <s v="Johann Stojadinovic, Weiglgasse 10c/11f, 1150 Wien"/>
        <s v="Think-Tanker GmbH., Fasangasse 38/15, 1030 Wien"/>
        <s v="H. Jaros e.U., Fischhof 3/23, 1010 Wien, ATU 67698048"/>
        <s v="Ing. Gerhard Gotz, Allandgasse 8, 2500 Baden"/>
        <s v="Dipl.-Ing. Mag. Alexander Wagner, Beatrixgasse 5/7, 1030 Wien"/>
        <s v="Musikschule Bad Vöslau, z. Hd. Herr Christian Sauer, Hauptstraße 14, 2540 Bad Vöslau"/>
        <s v="Wienerwald Musikanten, z. Hd. Hr. Christian Sauer, Rudolf Schöng. 18, 2540 Bad Vöslau"/>
        <s v="Hays Österreich GmbH Personnel Services, Europaplatz 3/5, 1150 Wien"/>
        <s v="Dr. Katalin Schiller, Neustiftgasse 2, Top 3, 2500 Baden"/>
        <s v="Josef Stojadinovic, Weiglgasse 10/BLOCK C/10/11, 1150 Wien"/>
        <s v="Ing Irene Weis, BSc., Tullnerstraße 15, 3462 Absdorf"/>
        <s v="Mihajela Pejic-Studener, Rohrergasse 15, 1130 Wien"/>
        <s v="foxcraft OG, Laudongasse 58/16, 1080 Wien"/>
        <s v="Stokol GmbH, Weiglg. 10/10d/11, 1150 Wien"/>
        <s v="Franz Hauer GesmbH &amp; Co KG, Werksstraße 6, 3125 Statzendorf"/>
        <s v="Koltschik GmbH, Josef Stadlmaiergasse 2/19, 3003 Gablitz"/>
        <s v="Hays Österreich GmbH, Bahnhof City Wien West, Europaplatz 3/5, 1150 Wien; Gutschrift (Abrechnung durch Leistungsempfänger)"/>
        <s v="Schick Küchendesign e.U. Alexander Schick, Linzerstraße 247, 1140 Wien"/>
        <s v="Wedding Avenue e.U., Mayerweckstrasse 2-8/99/1, 1210 Wien"/>
        <s v="vemap Einkaufsmanagement GmbH, zHd. Frau Mag. Tina Zimmermann, Berggasse 31, 1090 Wien"/>
        <s v="vemap academy GmbH, Berggasse 31, 1090 Wien"/>
        <s v="Theresa Häfele-Kolbitsch, Josef-Mohrgasse 9, 2102 Bisamberg"/>
        <s v="foxcraft - Dipl.-Ing. Mag. Alexander Wagner, Leschetitzkygasse 30/5, 1180 Wien"/>
        <s v="Martin Dürauer e.U., Schreinergasse 7, A-3100 St. Pölten"/>
        <s v="DCF - Digital Coding Factory GmbH, Bauernfeldplatz 4/12, 1090 Wien"/>
      </sharedItems>
    </cacheField>
    <cacheField name="Bezeichnung" uniqueList="1" numFmtId="0" sqlType="0" hierarchy="0" level="0" databaseField="1">
      <sharedItems count="0" containsBlank="1"/>
    </cacheField>
    <cacheField name="Netto" uniqueList="1" numFmtId="165" sqlType="0" hierarchy="0" level="0" databaseField="1">
      <sharedItems count="0" containsNumber="1" containsSemiMixedTypes="0" containsString="0" minValue="10.32" maxValue="12935"/>
    </cacheField>
    <cacheField name="USt." uniqueList="1" numFmtId="0" sqlType="0" hierarchy="0" level="0" databaseField="1">
      <sharedItems count="0" containsInteger="1" containsNumber="1" containsSemiMixedTypes="0" containsString="0" minValue="20" maxValue="20"/>
    </cacheField>
    <cacheField name="Vorsteuer" uniqueList="1" numFmtId="165" sqlType="0" hierarchy="0" level="0" databaseField="1">
      <sharedItems count="0" containsNumber="1" containsSemiMixedTypes="0" containsString="0" minValue="2.064" maxValue="2587"/>
    </cacheField>
    <cacheField name="Brutto" uniqueList="1" numFmtId="165" sqlType="0" hierarchy="0" level="0" databaseField="1">
      <sharedItems count="0" containsNumber="1" containsSemiMixedTypes="0" containsString="0" minValue="12.384" maxValue="15522"/>
    </cacheField>
    <cacheField name=" USt Fälligkeit" uniqueList="1" numFmtId="14" sqlType="0" hierarchy="0" level="0" databaseField="1">
      <sharedItems count="0" containsDate="1" containsNonDate="0" containsSemiMixedTypes="0" containsString="0" minDate="2015-11-15T00:00:00" maxDate="2020-05-16T00:00:00"/>
    </cacheField>
    <cacheField name="USt abgerechnet" uniqueList="1" numFmtId="0" sqlType="0" hierarchy="0" level="0" databaseField="1">
      <sharedItems count="0" containsBlank="1" containsDate="1" containsNonDate="0" containsString="0" minDate="2015-11-07T00:00:00" maxDate="2018-11-15T00:00:00"/>
    </cacheField>
  </cacheFields>
</pivotCacheDefinition>
</file>

<file path=xl/pivotCache/pivotCacheRecords1.xml><?xml version="1.0" encoding="utf-8"?>
<pivotCacheRecords xmlns="http://schemas.openxmlformats.org/spreadsheetml/2006/main" count="99">
  <r>
    <n v="12015001"/>
    <d v="2015-06-29T00:00:00"/>
    <d v="2015-07-13T00:00:00"/>
    <x v="0"/>
    <m/>
    <x v="0"/>
    <m/>
    <n v="1864.79"/>
    <n v="20"/>
    <n v="372.958"/>
    <n v="2237.748"/>
    <d v="2015-11-15T00:00:00"/>
    <d v="2015-11-07T00:00:00"/>
  </r>
  <r>
    <n v="12015002"/>
    <d v="2015-06-30T00:00:00"/>
    <d v="2015-07-14T00:00:00"/>
    <x v="1"/>
    <m/>
    <x v="1"/>
    <m/>
    <n v="13.66"/>
    <n v="20"/>
    <n v="2.732"/>
    <n v="16.392"/>
    <d v="2015-11-15T00:00:00"/>
    <d v="2015-11-07T00:00:00"/>
  </r>
  <r>
    <n v="12015003"/>
    <d v="2015-07-15T00:00:00"/>
    <d v="2015-08-14T00:00:00"/>
    <x v="2"/>
    <m/>
    <x v="0"/>
    <m/>
    <n v="5048.33"/>
    <n v="20"/>
    <n v="1009.666"/>
    <n v="6057.996"/>
    <d v="2015-11-15T00:00:00"/>
    <d v="2015-11-07T00:00:00"/>
  </r>
  <r>
    <n v="12015004"/>
    <d v="2015-08-06T00:00:00"/>
    <d v="2015-08-20T00:00:00"/>
    <x v="3"/>
    <m/>
    <x v="2"/>
    <s v="P15004MJ"/>
    <n v="2055"/>
    <n v="20"/>
    <n v="411"/>
    <n v="2466"/>
    <d v="2015-11-15T00:00:00"/>
    <d v="2015-11-07T00:00:00"/>
  </r>
  <r>
    <n v="12015005"/>
    <d v="2015-08-26T00:00:00"/>
    <d v="2015-09-09T00:00:00"/>
    <x v="4"/>
    <m/>
    <x v="2"/>
    <s v="P15004MJ"/>
    <n v="990"/>
    <n v="20"/>
    <n v="198"/>
    <n v="1188"/>
    <d v="2015-11-15T00:00:00"/>
    <d v="2015-11-07T00:00:00"/>
  </r>
  <r>
    <n v="12015006"/>
    <d v="2015-09-08T00:00:00"/>
    <d v="2015-09-22T00:00:00"/>
    <x v="5"/>
    <m/>
    <x v="3"/>
    <s v="P15005MJ"/>
    <n v="1918.53"/>
    <n v="20"/>
    <n v="383.706"/>
    <n v="2302.236"/>
    <d v="2015-11-15T00:00:00"/>
    <d v="2015-11-07T00:00:00"/>
  </r>
  <r>
    <n v="12015007"/>
    <d v="2015-09-08T00:00:00"/>
    <d v="2015-09-22T00:00:00"/>
    <x v="6"/>
    <m/>
    <x v="4"/>
    <s v="BETRIEB"/>
    <n v="51.62"/>
    <n v="20"/>
    <n v="10.324"/>
    <n v="61.944"/>
    <d v="2016-02-15T00:00:00"/>
    <d v="2016-02-14T00:00:00"/>
  </r>
  <r>
    <n v="12015008"/>
    <d v="2015-09-23T00:00:00"/>
    <d v="2015-10-07T00:00:00"/>
    <x v="7"/>
    <m/>
    <x v="5"/>
    <s v="P15002MJ"/>
    <n v="250"/>
    <n v="20"/>
    <n v="50"/>
    <n v="300"/>
    <d v="2015-11-15T00:00:00"/>
    <d v="2015-11-07T00:00:00"/>
  </r>
  <r>
    <n v="12015009"/>
    <d v="2015-10-05T00:00:00"/>
    <d v="2015-10-19T00:00:00"/>
    <x v="8"/>
    <m/>
    <x v="0"/>
    <s v="diverse"/>
    <n v="4891.25"/>
    <n v="20"/>
    <n v="978.25"/>
    <n v="5869.5"/>
    <d v="2016-02-15T00:00:00"/>
    <d v="2016-02-14T00:00:00"/>
  </r>
  <r>
    <n v="12015010"/>
    <d v="2015-10-08T00:00:00"/>
    <d v="2015-10-22T00:00:00"/>
    <x v="9"/>
    <m/>
    <x v="6"/>
    <s v="BETRIEB"/>
    <n v="180"/>
    <n v="20"/>
    <n v="36"/>
    <n v="216"/>
    <d v="2016-02-15T00:00:00"/>
    <d v="2016-02-14T00:00:00"/>
  </r>
  <r>
    <n v="12015011"/>
    <d v="2015-10-08T00:00:00"/>
    <d v="2015-10-22T00:00:00"/>
    <x v="10"/>
    <m/>
    <x v="7"/>
    <s v="BETRIEB"/>
    <n v="102"/>
    <n v="20"/>
    <n v="20.4"/>
    <n v="122.4"/>
    <d v="2016-02-15T00:00:00"/>
    <d v="2016-02-14T00:00:00"/>
  </r>
  <r>
    <n v="12015012"/>
    <d v="2015-11-01T00:00:00"/>
    <d v="2015-12-16T00:00:00"/>
    <x v="11"/>
    <m/>
    <x v="8"/>
    <s v="P15009MJ"/>
    <n v="877.5"/>
    <n v="20"/>
    <n v="175.5"/>
    <n v="1053"/>
    <d v="2016-02-15T00:00:00"/>
    <d v="2016-02-14T00:00:00"/>
  </r>
  <r>
    <n v="12015013"/>
    <d v="2015-11-23T00:00:00"/>
    <d v="2015-12-07T00:00:00"/>
    <x v="12"/>
    <m/>
    <x v="0"/>
    <s v="P15001"/>
    <n v="910"/>
    <n v="20"/>
    <n v="182"/>
    <n v="1092"/>
    <d v="2016-02-15T00:00:00"/>
    <d v="2016-02-14T00:00:00"/>
  </r>
  <r>
    <n v="12015014"/>
    <d v="2015-12-01T00:00:00"/>
    <d v="2016-01-15T00:00:00"/>
    <x v="13"/>
    <m/>
    <x v="8"/>
    <s v="P15009MJ"/>
    <n v="12935"/>
    <n v="20"/>
    <n v="2587"/>
    <n v="15522"/>
    <d v="2016-05-15T00:00:00"/>
    <d v="2016-05-09T00:00:00"/>
  </r>
  <r>
    <n v="12015015"/>
    <d v="2015-12-17T00:00:00"/>
    <d v="2016-02-15T00:00:00"/>
    <x v="14"/>
    <m/>
    <x v="8"/>
    <s v="P15009MJ"/>
    <n v="6662.5"/>
    <n v="20"/>
    <n v="1332.5"/>
    <n v="7995"/>
    <d v="2016-05-15T00:00:00"/>
    <d v="2016-05-09T00:00:00"/>
  </r>
  <r>
    <n v="12015016"/>
    <d v="2015-12-28T00:00:00"/>
    <d v="2016-01-11T00:00:00"/>
    <x v="15"/>
    <m/>
    <x v="0"/>
    <s v="diverse"/>
    <n v="1543.75"/>
    <n v="20"/>
    <n v="308.75"/>
    <n v="1852.5"/>
    <d v="2016-05-15T00:00:00"/>
    <d v="2016-05-09T00:00:00"/>
  </r>
  <r>
    <n v="12015017"/>
    <d v="2015-12-28T00:00:00"/>
    <d v="2016-01-11T00:00:00"/>
    <x v="15"/>
    <m/>
    <x v="0"/>
    <s v="P15001MJ"/>
    <n v="3331.25"/>
    <n v="20"/>
    <n v="666.25"/>
    <n v="3997.5"/>
    <d v="2016-05-15T00:00:00"/>
    <d v="2016-05-09T00:00:00"/>
  </r>
  <r>
    <n v="12016001"/>
    <d v="2016-01-23T00:00:00"/>
    <d v="2016-02-06T00:00:00"/>
    <x v="16"/>
    <m/>
    <x v="9"/>
    <s v="Hosting"/>
    <n v="42"/>
    <n v="20"/>
    <n v="8.4"/>
    <n v="50.4"/>
    <d v="2016-05-15T00:00:00"/>
    <d v="2016-05-09T00:00:00"/>
  </r>
  <r>
    <n v="12016002"/>
    <d v="2016-02-01T00:00:00"/>
    <d v="2016-03-17T00:00:00"/>
    <x v="17"/>
    <m/>
    <x v="8"/>
    <s v="P15009MJ"/>
    <n v="7767.5"/>
    <n v="20"/>
    <n v="1553.5"/>
    <n v="9321"/>
    <d v="2016-05-15T00:00:00"/>
    <d v="2016-05-09T00:00:00"/>
  </r>
  <r>
    <n v="12016003"/>
    <d v="2016-03-02T00:00:00"/>
    <d v="2016-04-16T00:00:00"/>
    <x v="18"/>
    <m/>
    <x v="8"/>
    <s v="P15009MJ"/>
    <n v="10302.5"/>
    <n v="20"/>
    <n v="2060.5"/>
    <n v="12363"/>
    <d v="2016-08-15T00:00:00"/>
    <d v="2016-08-18T00:00:00"/>
  </r>
  <r>
    <n v="12016004"/>
    <d v="2016-03-02T00:00:00"/>
    <d v="2016-03-16T00:00:00"/>
    <x v="17"/>
    <m/>
    <x v="10"/>
    <s v="Datenrettung"/>
    <n v="252.5"/>
    <n v="20"/>
    <n v="50.5"/>
    <n v="303"/>
    <d v="2016-05-15T00:00:00"/>
    <d v="2016-05-09T00:00:00"/>
  </r>
  <r>
    <n v="12016005"/>
    <d v="2016-03-18T00:00:00"/>
    <d v="2016-04-01T00:00:00"/>
    <x v="19"/>
    <m/>
    <x v="4"/>
    <s v="BETRIEB"/>
    <n v="51.62"/>
    <n v="20"/>
    <n v="10.324"/>
    <n v="61.944"/>
    <d v="2016-08-15T00:00:00"/>
    <d v="2016-08-18T00:00:00"/>
  </r>
  <r>
    <n v="12016006"/>
    <d v="2016-04-01T00:00:00"/>
    <d v="2016-05-16T00:00:00"/>
    <x v="20"/>
    <m/>
    <x v="8"/>
    <s v="P15009MJ"/>
    <n v="12057.5"/>
    <n v="20"/>
    <n v="2411.5"/>
    <n v="14469"/>
    <d v="2016-08-15T00:00:00"/>
    <d v="2016-08-18T00:00:00"/>
  </r>
  <r>
    <n v="12016007"/>
    <d v="2016-05-02T00:00:00"/>
    <d v="2016-06-16T00:00:00"/>
    <x v="21"/>
    <m/>
    <x v="8"/>
    <s v="P15009MJ"/>
    <n v="11651.25"/>
    <n v="20"/>
    <n v="2330.25"/>
    <n v="13981.5"/>
    <d v="2016-08-15T00:00:00"/>
    <d v="2016-08-18T00:00:00"/>
  </r>
  <r>
    <n v="12016008"/>
    <d v="2016-05-02T00:00:00"/>
    <d v="2016-05-16T00:00:00"/>
    <x v="22"/>
    <m/>
    <x v="3"/>
    <s v="P16001MJ"/>
    <n v="1010.37"/>
    <n v="20"/>
    <n v="202.074"/>
    <n v="1212.444"/>
    <d v="2016-08-15T00:00:00"/>
    <d v="2016-08-18T00:00:00"/>
  </r>
  <r>
    <n v="12016009"/>
    <d v="2016-06-09T00:00:00"/>
    <d v="2016-06-23T00:00:00"/>
    <x v="23"/>
    <m/>
    <x v="11"/>
    <s v="BETRIEB"/>
    <n v="30.42"/>
    <n v="20"/>
    <n v="6.084000000000001"/>
    <n v="36.504"/>
    <d v="2016-08-15T00:00:00"/>
    <d v="2016-08-18T00:00:00"/>
  </r>
  <r>
    <n v="12016010"/>
    <d v="2016-06-24T00:00:00"/>
    <d v="2016-07-08T00:00:00"/>
    <x v="24"/>
    <d v="2016-07-25T00:00:00"/>
    <x v="12"/>
    <s v="BETRIEB"/>
    <n v="32.14"/>
    <n v="20"/>
    <n v="6.428"/>
    <n v="38.568"/>
    <d v="2016-11-15T00:00:00"/>
    <d v="2016-11-13T00:00:00"/>
  </r>
  <r>
    <n v="12016011"/>
    <d v="2016-06-24T00:00:00"/>
    <d v="2016-07-08T00:00:00"/>
    <x v="25"/>
    <m/>
    <x v="0"/>
    <s v="diverse"/>
    <n v="5383.52"/>
    <n v="20"/>
    <n v="1076.704"/>
    <n v="6460.224"/>
    <d v="2016-11-15T00:00:00"/>
    <d v="2016-11-13T00:00:00"/>
  </r>
  <r>
    <n v="12016012"/>
    <d v="2016-09-08T00:00:00"/>
    <d v="2016-09-22T00:00:00"/>
    <x v="26"/>
    <m/>
    <x v="4"/>
    <s v="BETRIEB"/>
    <n v="51.68"/>
    <n v="20"/>
    <n v="10.336"/>
    <n v="62.016"/>
    <d v="2017-02-15T00:00:00"/>
    <d v="2017-02-11T00:00:00"/>
  </r>
  <r>
    <n v="12016013"/>
    <d v="2016-09-27T00:00:00"/>
    <d v="2016-10-04T00:00:00"/>
    <x v="27"/>
    <m/>
    <x v="5"/>
    <s v="P15006MJ MSBV-Relaunch"/>
    <n v="2460"/>
    <n v="20"/>
    <n v="492"/>
    <n v="2952"/>
    <d v="2016-11-15T00:00:00"/>
    <d v="2016-11-13T00:00:00"/>
  </r>
  <r>
    <n v="12016014"/>
    <d v="2016-10-07T00:00:00"/>
    <d v="2016-10-14T00:00:00"/>
    <x v="28"/>
    <m/>
    <x v="6"/>
    <s v="BETRIEB"/>
    <n v="192.42"/>
    <n v="20"/>
    <n v="38.48399999999999"/>
    <n v="230.904"/>
    <d v="2017-02-15T00:00:00"/>
    <d v="2017-02-11T00:00:00"/>
  </r>
  <r>
    <n v="12016015"/>
    <d v="2016-10-07T00:00:00"/>
    <d v="2016-10-14T00:00:00"/>
    <x v="29"/>
    <m/>
    <x v="7"/>
    <s v="BETRIEB"/>
    <n v="114.42"/>
    <n v="20"/>
    <n v="22.884"/>
    <n v="137.304"/>
    <d v="2017-02-15T00:00:00"/>
    <d v="2017-02-11T00:00:00"/>
  </r>
  <r>
    <n v="12016016"/>
    <d v="2016-11-17T00:00:00"/>
    <d v="2016-12-01T00:00:00"/>
    <x v="30"/>
    <m/>
    <x v="0"/>
    <s v="P15001MJ"/>
    <n v="4223.7"/>
    <n v="20"/>
    <n v="844.74"/>
    <n v="5068.44"/>
    <d v="2017-02-15T00:00:00"/>
    <d v="2017-02-11T00:00:00"/>
  </r>
  <r>
    <n v="12017001"/>
    <d v="2017-01-14T00:00:00"/>
    <d v="2017-01-28T00:00:00"/>
    <x v="31"/>
    <d v="2017-02-16T00:00:00"/>
    <x v="9"/>
    <s v="Hosting"/>
    <n v="42"/>
    <n v="20"/>
    <n v="8.4"/>
    <n v="50.4"/>
    <d v="2017-05-15T00:00:00"/>
    <d v="2017-05-05T00:00:00"/>
  </r>
  <r>
    <n v="12017002"/>
    <d v="2017-04-05T00:00:00"/>
    <d v="2017-04-19T00:00:00"/>
    <x v="32"/>
    <m/>
    <x v="3"/>
    <s v="diverse"/>
    <n v="701.25"/>
    <n v="20"/>
    <n v="140.25"/>
    <n v="841.5"/>
    <d v="2017-08-15T00:00:00"/>
    <d v="2017-09-05T00:00:00"/>
  </r>
  <r>
    <n v="12017003"/>
    <d v="2017-05-02T00:00:00"/>
    <d v="2017-05-16T00:00:00"/>
    <x v="33"/>
    <m/>
    <x v="0"/>
    <s v="P15001MJ"/>
    <n v="2671.25"/>
    <n v="20"/>
    <n v="534.25"/>
    <n v="3205.5"/>
    <d v="2017-08-15T00:00:00"/>
    <d v="2017-09-05T00:00:00"/>
  </r>
  <r>
    <n v="12017004"/>
    <d v="2017-09-20T00:00:00"/>
    <d v="2017-10-04T00:00:00"/>
    <x v="34"/>
    <m/>
    <x v="13"/>
    <s v="BETRIEB"/>
    <n v="29.1"/>
    <n v="20"/>
    <n v="5.82"/>
    <n v="34.92"/>
    <d v="2017-11-15T00:00:00"/>
    <d v="2017-11-08T00:00:00"/>
  </r>
  <r>
    <n v="12017005"/>
    <d v="2017-10-27T00:00:00"/>
    <d v="2017-11-10T00:00:00"/>
    <x v="35"/>
    <m/>
    <x v="0"/>
    <s v="diverse"/>
    <n v="2193.75"/>
    <n v="20"/>
    <n v="438.75"/>
    <n v="2632.5"/>
    <d v="2018-02-15T00:00:00"/>
    <d v="2018-02-03T00:00:00"/>
  </r>
  <r>
    <n v="12017006"/>
    <d v="2017-11-14T00:00:00"/>
    <d v="2017-11-28T00:00:00"/>
    <x v="36"/>
    <m/>
    <x v="14"/>
    <s v="diverse"/>
    <n v="2150.51"/>
    <n v="20"/>
    <n v="430.102"/>
    <n v="2580.612"/>
    <d v="2018-02-15T00:00:00"/>
    <d v="2018-02-03T00:00:00"/>
  </r>
  <r>
    <n v="12017007"/>
    <d v="2017-11-20T00:00:00"/>
    <d v="2017-12-04T00:00:00"/>
    <x v="37"/>
    <m/>
    <x v="14"/>
    <s v="diverse"/>
    <n v="520.99"/>
    <n v="20"/>
    <n v="104.198"/>
    <n v="625.188"/>
    <d v="2018-02-15T00:00:00"/>
    <d v="2018-02-03T00:00:00"/>
  </r>
  <r>
    <n v="12017008"/>
    <d v="2017-12-20T00:00:00"/>
    <d v="2018-01-03T00:00:00"/>
    <x v="38"/>
    <m/>
    <x v="13"/>
    <s v="LAUFEND"/>
    <n v="600"/>
    <n v="20"/>
    <n v="120"/>
    <n v="720"/>
    <d v="2018-02-15T00:00:00"/>
    <d v="2018-02-03T00:00:00"/>
  </r>
  <r>
    <n v="12017009"/>
    <d v="2017-12-20T00:00:00"/>
    <d v="2018-01-03T00:00:00"/>
    <x v="39"/>
    <m/>
    <x v="0"/>
    <s v="P15001MJ"/>
    <n v="7629.69"/>
    <n v="20"/>
    <n v="1525.938"/>
    <n v="9155.627999999999"/>
    <d v="2018-02-15T00:00:00"/>
    <d v="2018-02-03T00:00:00"/>
  </r>
  <r>
    <n v="12017010"/>
    <d v="2017-12-22T00:00:00"/>
    <d v="2018-01-05T00:00:00"/>
    <x v="40"/>
    <m/>
    <x v="14"/>
    <s v="diverse"/>
    <n v="8976.17"/>
    <n v="20"/>
    <n v="1795.234"/>
    <n v="10771.404"/>
    <d v="2018-02-15T00:00:00"/>
    <d v="2018-02-03T00:00:00"/>
  </r>
  <r>
    <n v="12018001"/>
    <d v="2018-04-25T00:00:00"/>
    <d v="2018-05-09T00:00:00"/>
    <x v="41"/>
    <m/>
    <x v="0"/>
    <s v="P15001MJ"/>
    <n v="347.65"/>
    <n v="20"/>
    <n v="69.53"/>
    <n v="417.1799999999999"/>
    <d v="2018-08-15T00:00:00"/>
    <d v="2018-08-06T00:00:00"/>
  </r>
  <r>
    <n v="12018002"/>
    <d v="2018-04-30T00:00:00"/>
    <d v="2018-05-14T00:00:00"/>
    <x v="42"/>
    <m/>
    <x v="14"/>
    <m/>
    <n v="839.03"/>
    <n v="20"/>
    <n v="167.806"/>
    <n v="1006.836"/>
    <d v="2018-08-15T00:00:00"/>
    <d v="2018-08-06T00:00:00"/>
  </r>
  <r>
    <n v="12018003"/>
    <d v="2018-07-06T00:00:00"/>
    <d v="2018-07-20T00:00:00"/>
    <x v="43"/>
    <m/>
    <x v="3"/>
    <m/>
    <n v="2333.69"/>
    <n v="20"/>
    <n v="466.7380000000001"/>
    <n v="2800.428"/>
    <d v="2018-11-15T00:00:00"/>
    <d v="2018-11-14T00:00:00"/>
  </r>
  <r>
    <n v="12018004"/>
    <d v="2018-07-09T00:00:00"/>
    <d v="2018-07-23T00:00:00"/>
    <x v="44"/>
    <m/>
    <x v="14"/>
    <m/>
    <n v="697.65"/>
    <n v="20"/>
    <n v="139.53"/>
    <n v="837.1799999999999"/>
    <d v="2018-11-15T00:00:00"/>
    <d v="2018-11-14T00:00:00"/>
  </r>
  <r>
    <n v="12018005"/>
    <d v="2018-07-08T00:00:00"/>
    <d v="2018-07-22T00:00:00"/>
    <x v="45"/>
    <m/>
    <x v="0"/>
    <s v="P15001MJ"/>
    <n v="10.32"/>
    <n v="20"/>
    <n v="2.064"/>
    <n v="12.384"/>
    <d v="2018-11-15T00:00:00"/>
    <d v="2018-11-14T00:00:00"/>
  </r>
  <r>
    <n v="12018006"/>
    <d v="2018-08-02T00:00:00"/>
    <d v="2018-08-16T00:00:00"/>
    <x v="46"/>
    <m/>
    <x v="3"/>
    <m/>
    <n v="12146.82"/>
    <n v="20"/>
    <n v="2429.364"/>
    <n v="14576.19"/>
    <d v="2018-11-15T00:00:00"/>
    <d v="2018-11-14T00:00:00"/>
  </r>
  <r>
    <n v="12018007"/>
    <d v="2018-10-03T00:00:00"/>
    <d v="2018-10-17T00:00:00"/>
    <x v="47"/>
    <m/>
    <x v="0"/>
    <s v="P15001MJ"/>
    <n v="299.99"/>
    <n v="20"/>
    <n v="59.998"/>
    <n v="359.988"/>
    <d v="2018-11-15T00:00:00"/>
    <d v="2018-11-14T00:00:00"/>
  </r>
  <r>
    <n v="12018008"/>
    <d v="2018-10-03T00:00:00"/>
    <d v="2018-10-17T00:00:00"/>
    <x v="48"/>
    <d v="2018-10-24T00:00:00"/>
    <x v="14"/>
    <m/>
    <n v="308.1"/>
    <n v="20"/>
    <n v="61.62"/>
    <n v="369.72"/>
    <d v="2019-02-15T00:00:00"/>
    <m/>
  </r>
  <r>
    <n v="12018009"/>
    <d v="2018-11-14T00:00:00"/>
    <d v="2018-11-28T00:00:00"/>
    <x v="49"/>
    <m/>
    <x v="0"/>
    <s v="P15001MJ"/>
    <n v="488.58"/>
    <n v="20"/>
    <n v="97.71600000000001"/>
    <n v="586.296"/>
    <d v="2019-02-15T00:00:00"/>
    <m/>
  </r>
  <r>
    <n v="12018010"/>
    <d v="2018-12-20T00:00:00"/>
    <d v="2019-01-03T00:00:00"/>
    <x v="50"/>
    <m/>
    <x v="13"/>
    <m/>
    <n v="793.78"/>
    <n v="20"/>
    <n v="158.756"/>
    <n v="952.5359999999999"/>
    <d v="2019-02-15T00:00:00"/>
    <m/>
  </r>
  <r>
    <n v="12018011"/>
    <d v="2018-12-20T00:00:00"/>
    <d v="2019-01-03T00:00:00"/>
    <x v="51"/>
    <m/>
    <x v="15"/>
    <m/>
    <n v="1696.6"/>
    <n v="20"/>
    <n v="339.32"/>
    <n v="2035.92"/>
    <d v="2019-05-15T00:00:00"/>
    <m/>
  </r>
  <r>
    <n v="12018012"/>
    <d v="2018-12-27T00:00:00"/>
    <d v="2019-01-10T00:00:00"/>
    <x v="52"/>
    <m/>
    <x v="14"/>
    <m/>
    <n v="1704.88"/>
    <n v="20"/>
    <n v="340.9760000000001"/>
    <n v="2045.856"/>
    <d v="2019-05-15T00:00:00"/>
    <m/>
  </r>
  <r>
    <n v="12018013"/>
    <d v="2018-12-27T00:00:00"/>
    <d v="2019-01-10T00:00:00"/>
    <x v="53"/>
    <d v="2018-02-06T00:00:00"/>
    <x v="16"/>
    <m/>
    <n v="93.75"/>
    <n v="20"/>
    <n v="18.75"/>
    <n v="112.5"/>
    <d v="2019-05-15T00:00:00"/>
    <m/>
  </r>
  <r>
    <n v="12018014"/>
    <d v="2018-12-27T00:00:00"/>
    <d v="2019-01-10T00:00:00"/>
    <x v="54"/>
    <m/>
    <x v="0"/>
    <m/>
    <n v="8438.129999999999"/>
    <n v="20"/>
    <n v="1687.626"/>
    <n v="10125.756"/>
    <d v="2019-02-15T00:00:00"/>
    <m/>
  </r>
  <r>
    <n v="12018015"/>
    <d v="2018-12-27T00:00:00"/>
    <d v="2019-01-10T00:00:00"/>
    <x v="55"/>
    <m/>
    <x v="3"/>
    <m/>
    <n v="561.84"/>
    <n v="20"/>
    <n v="112.368"/>
    <n v="674.2080000000001"/>
    <d v="2019-05-15T00:00:00"/>
    <m/>
  </r>
  <r>
    <n v="12018016"/>
    <d v="2018-12-17T00:00:00"/>
    <d v="2019-01-16T00:00:00"/>
    <x v="56"/>
    <m/>
    <x v="17"/>
    <m/>
    <n v="1504.5"/>
    <n v="20"/>
    <n v="300.9"/>
    <n v="1805.4"/>
    <d v="2019-05-15T00:00:00"/>
    <m/>
  </r>
  <r>
    <n v="12018017"/>
    <d v="2018-12-17T00:00:00"/>
    <d v="2019-01-26T00:00:00"/>
    <x v="57"/>
    <m/>
    <x v="17"/>
    <m/>
    <n v="3215.5"/>
    <n v="20"/>
    <n v="643.1"/>
    <n v="3858.6"/>
    <d v="2019-05-15T00:00:00"/>
    <m/>
  </r>
  <r>
    <n v="12019001"/>
    <d v="2019-04-04T00:00:00"/>
    <d v="2019-04-18T00:00:00"/>
    <x v="58"/>
    <m/>
    <x v="0"/>
    <m/>
    <n v="12.42"/>
    <n v="20"/>
    <n v="2.484"/>
    <n v="14.904"/>
    <d v="2019-11-15T00:00:00"/>
    <m/>
  </r>
  <r>
    <n v="12019002"/>
    <d v="2019-04-04T00:00:00"/>
    <d v="2019-04-18T00:00:00"/>
    <x v="59"/>
    <m/>
    <x v="14"/>
    <m/>
    <n v="649.4"/>
    <n v="20"/>
    <n v="129.88"/>
    <n v="779.28"/>
    <d v="2019-08-15T00:00:00"/>
    <m/>
  </r>
  <r>
    <n v="12019003"/>
    <d v="2019-04-04T00:00:00"/>
    <d v="2019-04-18T00:00:00"/>
    <x v="60"/>
    <m/>
    <x v="18"/>
    <m/>
    <n v="700.75"/>
    <n v="20"/>
    <n v="140.15"/>
    <n v="840.9"/>
    <d v="2019-08-15T00:00:00"/>
    <m/>
  </r>
  <r>
    <n v="12019004"/>
    <d v="2019-04-05T00:00:00"/>
    <d v="2019-04-19T00:00:00"/>
    <x v="61"/>
    <m/>
    <x v="3"/>
    <m/>
    <n v="5101.16"/>
    <n v="20"/>
    <n v="1020.232"/>
    <n v="6121.392"/>
    <d v="2019-08-15T00:00:00"/>
    <m/>
  </r>
  <r>
    <n v="12019005"/>
    <d v="2019-04-29T00:00:00"/>
    <d v="2019-05-13T00:00:00"/>
    <x v="62"/>
    <m/>
    <x v="15"/>
    <m/>
    <n v="3671.15"/>
    <n v="20"/>
    <n v="734.23"/>
    <n v="4405.38"/>
    <d v="2019-08-15T00:00:00"/>
    <m/>
  </r>
  <r>
    <n v="12019006"/>
    <d v="2019-05-31T00:00:00"/>
    <d v="2019-06-14T00:00:00"/>
    <x v="63"/>
    <m/>
    <x v="19"/>
    <m/>
    <n v="1657.5"/>
    <n v="20"/>
    <n v="331.5"/>
    <n v="1989"/>
    <d v="2019-08-15T00:00:00"/>
    <m/>
  </r>
  <r>
    <n v="12019007"/>
    <d v="2019-06-17T00:00:00"/>
    <d v="2019-07-01T00:00:00"/>
    <x v="64"/>
    <m/>
    <x v="15"/>
    <m/>
    <n v="2502.5"/>
    <n v="20"/>
    <n v="500.5"/>
    <n v="3003"/>
    <d v="2019-11-15T00:00:00"/>
    <m/>
  </r>
  <r>
    <n v="12019008"/>
    <d v="2019-07-01T00:00:00"/>
    <d v="2019-07-15T00:00:00"/>
    <x v="58"/>
    <m/>
    <x v="0"/>
    <m/>
    <n v="134.6"/>
    <n v="20"/>
    <n v="26.92"/>
    <n v="161.52"/>
    <d v="2019-11-15T00:00:00"/>
    <m/>
  </r>
  <r>
    <n v="12019009"/>
    <d v="2019-07-01T00:00:00"/>
    <d v="2019-07-15T00:00:00"/>
    <x v="65"/>
    <m/>
    <x v="15"/>
    <m/>
    <n v="1805.6"/>
    <n v="20"/>
    <n v="361.12"/>
    <n v="2166.72"/>
    <d v="2019-11-15T00:00:00"/>
    <m/>
  </r>
  <r>
    <n v="12019010"/>
    <d v="2019-07-01T00:00:00"/>
    <d v="2019-07-15T00:00:00"/>
    <x v="66"/>
    <m/>
    <x v="14"/>
    <m/>
    <n v="170.63"/>
    <n v="20"/>
    <n v="34.126"/>
    <n v="204.75"/>
    <d v="2019-11-15T00:00:00"/>
    <m/>
  </r>
  <r>
    <n v="12019011"/>
    <d v="2019-07-01T00:00:00"/>
    <d v="2019-07-15T00:00:00"/>
    <x v="65"/>
    <m/>
    <x v="18"/>
    <m/>
    <n v="356.25"/>
    <n v="20"/>
    <n v="71.25"/>
    <n v="427.5"/>
    <d v="2019-11-15T00:00:00"/>
    <m/>
  </r>
  <r>
    <n v="12019012"/>
    <d v="2019-07-04T00:00:00"/>
    <d v="2019-07-18T00:00:00"/>
    <x v="67"/>
    <m/>
    <x v="19"/>
    <m/>
    <n v="1666.666666666667"/>
    <n v="20"/>
    <n v="333.3333333333334"/>
    <n v="2000"/>
    <d v="2019-11-15T00:00:00"/>
    <m/>
  </r>
  <r>
    <n v="12019012"/>
    <d v="2019-07-04T00:00:00"/>
    <d v="2019-07-18T00:00:00"/>
    <x v="68"/>
    <m/>
    <x v="19"/>
    <m/>
    <n v="1684.463333333333"/>
    <n v="20"/>
    <n v="336.8926666666667"/>
    <n v="2021.356"/>
    <d v="2019-11-15T00:00:00"/>
    <m/>
  </r>
  <r>
    <n v="12019013"/>
    <d v="2019-08-05T00:00:00"/>
    <d v="2019-08-19T00:00:00"/>
    <x v="69"/>
    <m/>
    <x v="20"/>
    <m/>
    <n v="752.5"/>
    <n v="20"/>
    <n v="150.5"/>
    <n v="903"/>
    <d v="2019-11-15T00:00:00"/>
    <m/>
  </r>
  <r>
    <n v="12019014"/>
    <d v="2019-08-12T00:00:00"/>
    <d v="2019-08-26T00:00:00"/>
    <x v="70"/>
    <m/>
    <x v="15"/>
    <m/>
    <n v="551"/>
    <n v="20"/>
    <n v="110.2"/>
    <n v="661.2"/>
    <d v="2019-11-15T00:00:00"/>
    <m/>
  </r>
  <r>
    <n v="12019015"/>
    <d v="2019-08-26T00:00:00"/>
    <d v="2019-09-09T00:00:00"/>
    <x v="71"/>
    <m/>
    <x v="15"/>
    <m/>
    <n v="2708.4"/>
    <n v="20"/>
    <n v="541.6799999999999"/>
    <n v="3250.08"/>
    <d v="2019-11-15T00:00:00"/>
    <m/>
  </r>
  <r>
    <n v="12019016"/>
    <d v="2019-09-05T00:00:00"/>
    <d v="2019-09-19T00:00:00"/>
    <x v="71"/>
    <m/>
    <x v="20"/>
    <m/>
    <n v="1435"/>
    <n v="20"/>
    <n v="287"/>
    <n v="1722"/>
    <d v="2019-11-15T00:00:00"/>
    <m/>
  </r>
  <r>
    <n v="12019017"/>
    <d v="2019-10-01T00:00:00"/>
    <d v="2019-10-15T00:00:00"/>
    <x v="72"/>
    <m/>
    <x v="15"/>
    <m/>
    <n v="2188.75"/>
    <n v="20"/>
    <n v="437.75"/>
    <n v="2626.5"/>
    <d v="2020-02-15T00:00:00"/>
    <m/>
  </r>
  <r>
    <n v="12019018"/>
    <d v="2019-10-01T00:00:00"/>
    <d v="2019-10-15T00:00:00"/>
    <x v="73"/>
    <m/>
    <x v="20"/>
    <m/>
    <n v="1680"/>
    <n v="20"/>
    <n v="336"/>
    <n v="2016"/>
    <d v="2020-02-15T00:00:00"/>
    <m/>
  </r>
  <r>
    <n v="12019019"/>
    <d v="2019-10-01T00:00:00"/>
    <d v="2019-10-15T00:00:00"/>
    <x v="74"/>
    <d v="2019-10-21T00:00:00"/>
    <x v="19"/>
    <m/>
    <n v="786.25"/>
    <n v="20"/>
    <n v="157.25"/>
    <n v="943.5"/>
    <d v="2020-02-15T00:00:00"/>
    <m/>
  </r>
  <r>
    <n v="12019020"/>
    <d v="2019-10-01T00:00:00"/>
    <d v="2019-10-15T00:00:00"/>
    <x v="75"/>
    <m/>
    <x v="18"/>
    <m/>
    <n v="450"/>
    <n v="20"/>
    <n v="90"/>
    <n v="540"/>
    <d v="2020-02-15T00:00:00"/>
    <m/>
  </r>
  <r>
    <n v="12019021"/>
    <d v="2019-10-01T00:00:00"/>
    <d v="2019-10-15T00:00:00"/>
    <x v="75"/>
    <m/>
    <x v="0"/>
    <m/>
    <n v="231.43"/>
    <n v="20"/>
    <n v="46.286"/>
    <n v="277.716"/>
    <d v="2020-02-15T00:00:00"/>
    <m/>
  </r>
  <r>
    <n v="12019022"/>
    <d v="2019-10-15T00:00:00"/>
    <d v="2019-11-29T00:00:00"/>
    <x v="76"/>
    <m/>
    <x v="17"/>
    <m/>
    <n v="1268.5"/>
    <n v="20"/>
    <n v="253.7"/>
    <n v="1522.2"/>
    <d v="2020-02-15T00:00:00"/>
    <m/>
  </r>
  <r>
    <n v="12019023"/>
    <d v="2019-11-04T00:00:00"/>
    <d v="2019-11-18T00:00:00"/>
    <x v="77"/>
    <m/>
    <x v="21"/>
    <m/>
    <n v="2940"/>
    <n v="20"/>
    <n v="588"/>
    <n v="3528"/>
    <d v="2020-02-15T00:00:00"/>
    <m/>
  </r>
  <r>
    <n v="12019024"/>
    <d v="2019-11-04T00:00:00"/>
    <d v="2019-12-09T00:00:00"/>
    <x v="78"/>
    <m/>
    <x v="21"/>
    <m/>
    <n v="900"/>
    <n v="20"/>
    <n v="180"/>
    <n v="1080"/>
    <d v="2020-02-15T00:00:00"/>
    <m/>
  </r>
  <r>
    <n v="12019025"/>
    <d v="2019-11-27T00:00:00"/>
    <d v="2019-12-11T00:00:00"/>
    <x v="79"/>
    <m/>
    <x v="22"/>
    <m/>
    <n v="520.58"/>
    <n v="20"/>
    <n v="104.116"/>
    <n v="624.696"/>
    <d v="2020-02-15T00:00:00"/>
    <m/>
  </r>
  <r>
    <n v="12019026"/>
    <d v="2019-12-02T00:00:00"/>
    <d v="2019-12-16T00:00:00"/>
    <x v="80"/>
    <m/>
    <x v="21"/>
    <m/>
    <n v="3517.5"/>
    <n v="20"/>
    <n v="703.5"/>
    <n v="4221"/>
    <d v="2020-02-15T00:00:00"/>
    <m/>
  </r>
  <r>
    <n v="12019027"/>
    <d v="2019-12-02T00:00:00"/>
    <d v="2020-01-06T00:00:00"/>
    <x v="80"/>
    <m/>
    <x v="21"/>
    <m/>
    <n v="2910"/>
    <n v="20"/>
    <n v="582"/>
    <n v="3492"/>
    <d v="2020-02-15T00:00:00"/>
    <m/>
  </r>
  <r>
    <n v="12019028"/>
    <d v="2019-12-02T00:00:00"/>
    <d v="2019-12-16T00:00:00"/>
    <x v="81"/>
    <m/>
    <x v="23"/>
    <m/>
    <n v="265.32"/>
    <n v="20"/>
    <n v="53.06399999999999"/>
    <n v="318.384"/>
    <d v="2020-02-15T00:00:00"/>
    <m/>
  </r>
  <r>
    <n v="12019029"/>
    <d v="2019-12-23T00:00:00"/>
    <d v="2020-01-06T00:00:00"/>
    <x v="82"/>
    <m/>
    <x v="21"/>
    <m/>
    <n v="2800"/>
    <n v="20"/>
    <n v="560"/>
    <n v="3360"/>
    <d v="2020-02-15T00:00:00"/>
    <m/>
  </r>
  <r>
    <n v="12020001"/>
    <d v="2020-01-07T00:00:00"/>
    <d v="2020-01-21T00:00:00"/>
    <x v="83"/>
    <m/>
    <x v="24"/>
    <m/>
    <n v="170"/>
    <n v="20"/>
    <n v="34"/>
    <n v="204"/>
    <d v="2020-05-15T00:00:00"/>
    <m/>
  </r>
  <r>
    <n v="12020002"/>
    <d v="2020-01-07T00:00:00"/>
    <d v="2020-01-21T00:00:00"/>
    <x v="83"/>
    <m/>
    <x v="24"/>
    <m/>
    <n v="100"/>
    <n v="20"/>
    <n v="20"/>
    <n v="120"/>
    <d v="2020-05-15T00:00:00"/>
    <m/>
  </r>
  <r>
    <n v="12020003"/>
    <d v="2020-01-07T00:00:00"/>
    <d v="2020-01-21T00:00:00"/>
    <x v="83"/>
    <m/>
    <x v="22"/>
    <m/>
    <n v="756"/>
    <n v="20"/>
    <n v="151.2"/>
    <n v="907.2"/>
    <d v="2020-05-15T00:00:00"/>
    <m/>
  </r>
  <r>
    <n v="12019031"/>
    <d v="2019-12-23T00:00:00"/>
    <d v="2020-01-06T00:00:00"/>
    <x v="84"/>
    <m/>
    <x v="18"/>
    <m/>
    <n v="187.5"/>
    <n v="20"/>
    <n v="37.5"/>
    <n v="225"/>
    <d v="2020-05-15T00:00:00"/>
    <m/>
  </r>
  <r>
    <n v="12019033"/>
    <d v="2019-12-24T00:00:00"/>
    <d v="2020-01-07T00:00:00"/>
    <x v="85"/>
    <m/>
    <x v="15"/>
    <m/>
    <n v="233.75"/>
    <n v="20"/>
    <n v="46.75"/>
    <n v="280.5"/>
    <d v="2020-05-15T00:00:00"/>
    <m/>
  </r>
  <r>
    <n v="12019030"/>
    <d v="2019-12-23T00:00:00"/>
    <d v="2020-01-27T00:00:00"/>
    <x v="86"/>
    <m/>
    <x v="21"/>
    <m/>
    <n v="6480"/>
    <n v="20"/>
    <n v="1296"/>
    <n v="7776"/>
    <d v="2020-05-15T00:00:00"/>
    <m/>
  </r>
  <r>
    <n v="12020004"/>
    <d v="2020-02-03T00:00:00"/>
    <d v="2020-02-17T00:00:00"/>
    <x v="87"/>
    <m/>
    <x v="25"/>
    <m/>
    <n v="647.5"/>
    <n v="20"/>
    <n v="129.5"/>
    <n v="777"/>
    <d v="2020-05-15T00:00:00"/>
    <m/>
  </r>
  <r>
    <n v="12019032"/>
    <d v="2019-12-24T00:00:00"/>
    <d v="2020-01-07T00:00:00"/>
    <x v="88"/>
    <d v="2020-02-03T00:00:00"/>
    <x v="19"/>
    <m/>
    <n v="297.5"/>
    <n v="20"/>
    <n v="59.5"/>
    <n v="357"/>
    <d v="2020-05-15T00:00:00"/>
    <m/>
  </r>
  <r>
    <n v="12020006"/>
    <d v="2020-03-04T00:00:00"/>
    <d v="2020-03-18T00:00:00"/>
    <x v="89"/>
    <m/>
    <x v="19"/>
    <m/>
    <n v="262.5"/>
    <n v="20"/>
    <n v="52.5"/>
    <n v="315"/>
    <d v="2020-05-15T00:00:00"/>
    <m/>
  </r>
</pivotCacheRecords>
</file>

<file path=xl/pivotTables/_rels/pivotTable1.xml.rels><Relationships xmlns="http://schemas.openxmlformats.org/package/2006/relationships"><Relationship Type="http://schemas.openxmlformats.org/officeDocument/2006/relationships/pivotCacheDefinition" Target="/xl/pivotCache/pivotCacheDefinition1.xml" Id="rId1" /></Relationships>
</file>

<file path=xl/pivotTables/pivotTable1.xml><?xml version="1.0" encoding="utf-8"?>
<pivotTableDefinition xmlns:r="http://schemas.openxmlformats.org/officeDocument/2006/relationships" xmlns="http://schemas.openxmlformats.org/spreadsheetml/2006/main" name="PivotTable1" cacheId="0" dataOnRows="0" dataCaption="Werte" showError="0" showMissing="1" updatedVersion="6" minRefreshableVersion="3" asteriskTotals="0" showItems="1" editData="0" disableFieldList="0" showCalcMbrs="1" visualTotals="1" showMultipleLabel="1" showDataDropDown="1" showDrill="1" printDrill="0" showMemberPropertyTips="1" showDataTips="1" enableWizard="1" enableDrill="1" enableFieldProperties="1" preserveFormatting="1" useAutoFormatting="1" pageWrap="0" pageOverThenDown="0" subtotalHiddenItems="0" rowGrandTotals="1" colGrandTotals="1" fieldPrintTitles="0" itemPrintTitles="1" mergeItem="0" showDropZones="1" createdVersion="6" indent="0" showEmptyRow="0" showEmptyCol="0" showHeaders="1" compact="1" outline="1" outlineData="1" compactData="1" published="0" gridDropZones="0" immersive="1" multipleFieldFilters="0" chartFormat="0" fieldListSortAscending="0" mdxSubqueries="0" applyNumberFormats="0" applyBorderFormats="0" applyFontFormats="0" applyPatternFormats="0" applyAlignmentFormats="0" applyWidthHeightFormats="1" r:id="rId1">
  <location ref="A3:B30" firstHeaderRow="1" firstDataRow="1" firstDataCol="1" rowPageCount="1" colPageCount="1"/>
  <pivotFields count="13">
    <pivotField showDropDowns="1" compact="1" outline="1" subtotalTop="1" dragToRow="1" dragToCol="1" dragToPage="1" dragToData="1" dragOff="1" showAll="0" topAutoShow="1" itemPageCount="10" sortType="manual" defaultSubtotal="1"/>
    <pivotField showDropDowns="1" compact="1" numFmtId="14" outline="1" subtotalTop="1" dragToRow="1" dragToCol="1" dragToPage="1" dragToData="1" dragOff="1" showAll="0" topAutoShow="1" itemPageCount="10" sortType="manual" defaultSubtotal="1"/>
    <pivotField showDropDowns="1" compact="1" numFmtId="14" outline="1" subtotalTop="1" dragToRow="1" dragToCol="1" dragToPage="1" dragToData="1" dragOff="1" showAll="0" topAutoShow="1" itemPageCount="10" sortType="manual" defaultSubtotal="1"/>
    <pivotField axis="axisPage" showDropDowns="1" compact="1" outline="1" subtotalTop="1" dragToRow="1" dragToCol="1" multipleItemSelectionAllowed="1" dragToPage="1" dragToData="1" dragOff="1" showAll="0" topAutoShow="1" itemPageCount="10" sortType="manual" defaultSubtotal="1">
      <items count="91">
        <item t="data" sd="1" x="0"/>
        <item t="data" sd="1" x="1"/>
        <item t="data" sd="1" x="3"/>
        <item t="data" sd="1" x="2"/>
        <item t="data" sd="1" x="4"/>
        <item t="data" sd="1" x="5"/>
        <item t="data" sd="1" x="7"/>
        <item t="data" sd="1" x="6"/>
        <item t="data" sd="1" x="8"/>
        <item t="data" sd="1" x="10"/>
        <item t="data" sd="1" x="9"/>
        <item t="data" sd="1" x="12"/>
        <item t="data" sd="1" x="11"/>
        <item t="data" sd="1" x="15"/>
        <item t="data" sd="1" x="13"/>
        <item t="data" sd="1" x="14"/>
        <item t="data" sd="1" x="16"/>
        <item t="data" sd="1" x="17"/>
        <item t="data" sd="1" x="19"/>
        <item t="data" sd="1" x="18"/>
        <item t="data" sd="1" x="20"/>
        <item t="data" sd="1" x="22"/>
        <item t="data" sd="1" x="23"/>
        <item t="data" sd="1" x="21"/>
        <item t="data" sd="1" x="25"/>
        <item t="data" sd="1" x="24"/>
        <item t="data" sd="1" x="27"/>
        <item t="data" sd="1" x="26"/>
        <item t="data" sd="1" x="29"/>
        <item t="data" sd="1" x="30"/>
        <item t="data" sd="1" x="28"/>
        <item t="data" sd="1" x="31"/>
        <item t="data" sd="1" x="32"/>
        <item t="data" sd="1" x="33"/>
        <item t="data" sd="1" x="34"/>
        <item t="data" sd="1" x="35"/>
        <item t="data" sd="1" x="36"/>
        <item t="data" sd="1" x="37"/>
        <item t="data" sd="1" x="38"/>
        <item t="data" sd="1" x="39"/>
        <item t="data" sd="1" x="40"/>
        <item t="data" sd="1" x="41"/>
        <item t="data" sd="1" x="42"/>
        <item t="data" sd="1" x="43"/>
        <item t="data" sd="1" x="45"/>
        <item t="data" sd="1" x="44"/>
        <item t="data" sd="1" x="46"/>
        <item t="data" sd="1" x="47"/>
        <item t="data" sd="1" x="49"/>
        <item t="data" sd="1" x="48"/>
        <item t="data" sd="1" x="54"/>
        <item t="data" sd="1" x="50"/>
        <item t="data" sd="1" x="55"/>
        <item t="data" sd="1" x="52"/>
        <item t="data" sd="1" x="56"/>
        <item t="data" sd="1" x="51"/>
        <item t="data" sd="1" x="57"/>
        <item t="data" sd="1" x="53"/>
        <item t="data" sd="1" x="59"/>
        <item t="data" sd="1" x="61"/>
        <item t="data" sd="1" x="60"/>
        <item t="data" sd="1" x="62"/>
        <item t="data" sd="1" x="63"/>
        <item t="data" sd="1" x="64"/>
        <item t="data" sd="1" x="58"/>
        <item t="data" sd="1" x="66"/>
        <item t="data" sd="1" x="65"/>
        <item t="data" sd="1" x="67"/>
        <item t="data" sd="1" x="68"/>
        <item t="data" sd="1" x="69"/>
        <item t="data" sd="1" x="70"/>
        <item t="data" sd="1" x="71"/>
        <item t="data" sd="1" x="73"/>
        <item t="data" sd="1" x="75"/>
        <item t="data" sd="1" x="72"/>
        <item t="data" sd="1" x="74"/>
        <item t="data" sd="1" x="77"/>
        <item t="data" sd="1" x="76"/>
        <item t="data" sd="1" x="79"/>
        <item t="data" sd="1" x="80"/>
        <item t="data" sd="1" x="81"/>
        <item t="data" sd="1" x="78"/>
        <item t="data" sd="1" x="82"/>
        <item t="data" sd="1" x="83"/>
        <item t="data" sd="1" x="84"/>
        <item t="data" sd="1" x="85"/>
        <item t="data" sd="1" x="86"/>
        <item t="data" sd="1" x="87"/>
        <item t="data" sd="1" x="88"/>
        <item t="data" sd="1" x="89"/>
        <item t="default" sd="1"/>
      </items>
    </pivotField>
    <pivotField showDropDowns="1" compact="1" outline="1" subtotalTop="1" dragToRow="1" dragToCol="1" dragToPage="1" dragToData="1" dragOff="1" showAll="0" topAutoShow="1" itemPageCount="10" sortType="manual" defaultSubtotal="1"/>
    <pivotField axis="axisRow" showDropDowns="1" compact="1" outline="1" subtotalTop="1" dragToRow="1" dragToCol="1" dragToPage="1" dragToData="1" dragOff="1" showAll="0" topAutoShow="1" itemPageCount="10" sortType="descending" defaultSubtotal="1">
      <items count="27">
        <item t="data" sd="1" x="25"/>
        <item t="data" sd="1" x="5"/>
        <item t="data" sd="1" x="0"/>
        <item t="data" sd="1" x="9"/>
        <item t="data" sd="1" x="23"/>
        <item t="data" sd="1" x="13"/>
        <item t="data" sd="1" x="15"/>
        <item t="data" sd="1" x="3"/>
        <item t="data" sd="1" x="8"/>
        <item t="data" sd="1" x="17"/>
        <item t="data" sd="1" x="11"/>
        <item t="data" sd="1" x="4"/>
        <item t="data" sd="1" x="1"/>
        <item t="data" sd="1" x="10"/>
        <item t="data" sd="1" x="16"/>
        <item t="data" sd="1" x="24"/>
        <item t="data" sd="1" x="12"/>
        <item t="data" sd="1" x="6"/>
        <item t="data" sd="1" x="18"/>
        <item t="data" sd="1" x="14"/>
        <item t="data" sd="1" x="22"/>
        <item t="data" sd="1" x="2"/>
        <item t="data" sd="1" x="21"/>
        <item t="data" sd="1" x="20"/>
        <item t="data" sd="1" x="19"/>
        <item t="data" sd="1" x="7"/>
        <item t="default" sd="1"/>
      </items>
      <autoSortScope>
        <pivotArea type="normal" dataOnly="0" outline="0" fieldPosition="0">
          <references count="1">
            <reference field="4294967294" selected="0">
              <x v="0"/>
            </reference>
          </references>
        </pivotArea>
      </autoSortScope>
    </pivotField>
    <pivotField showDropDowns="1" compact="1" outline="1" subtotalTop="1" dragToRow="1" dragToCol="1" dragToPage="1" dragToData="1" dragOff="1" showAll="0" topAutoShow="1" itemPageCount="10" sortType="manual" defaultSubtotal="1"/>
    <pivotField dataField="1" showDropDowns="1" compact="1" numFmtId="165"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numFmtId="165"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 showDropDowns="1" compact="1" outline="1" subtotalTop="1" dragToRow="1" dragToCol="1" dragToPage="1" dragToData="1" dragOff="1" showAll="0" topAutoShow="1" itemPageCount="10" sortType="manual" defaultSubtotal="1"/>
  </pivotFields>
  <rowFields count="1">
    <field x="5"/>
  </rowFields>
  <rowItems count="27">
    <i t="data" r="0" i="0">
      <x v="8"/>
    </i>
    <i t="data" r="0" i="0">
      <x v="2"/>
    </i>
    <i t="data" r="0" i="0">
      <x v="7"/>
    </i>
    <i t="data" r="0" i="0">
      <x v="22"/>
    </i>
    <i t="data" r="0" i="0">
      <x v="19"/>
    </i>
    <i t="data" r="0" i="0">
      <x v="6"/>
    </i>
    <i t="data" r="0" i="0">
      <x v="24"/>
    </i>
    <i t="data" r="0" i="0">
      <x v="9"/>
    </i>
    <i t="data" r="0" i="0">
      <x v="23"/>
    </i>
    <i t="data" r="0" i="0">
      <x v="21"/>
    </i>
    <i t="data" r="0" i="0">
      <x v="1"/>
    </i>
    <i t="data" r="0" i="0">
      <x v="18"/>
    </i>
    <i t="data" r="0" i="0">
      <x v="5"/>
    </i>
    <i t="data" r="0" i="0">
      <x v="20"/>
    </i>
    <i t="data" r="0" i="0">
      <x v="0"/>
    </i>
    <i t="data" r="0" i="0">
      <x v="17"/>
    </i>
    <i t="data" r="0" i="0">
      <x v="15"/>
    </i>
    <i t="data" r="0" i="0">
      <x v="4"/>
    </i>
    <i t="data" r="0" i="0">
      <x v="13"/>
    </i>
    <i t="data" r="0" i="0">
      <x v="25"/>
    </i>
    <i t="data" r="0" i="0">
      <x v="11"/>
    </i>
    <i t="data" r="0" i="0">
      <x v="14"/>
    </i>
    <i t="data" r="0" i="0">
      <x v="3"/>
    </i>
    <i t="data" r="0" i="0">
      <x v="16"/>
    </i>
    <i t="data" r="0" i="0">
      <x v="10"/>
    </i>
    <i t="data" r="0" i="0">
      <x v="12"/>
    </i>
    <i t="grand" r="0" i="0">
      <x v="0"/>
    </i>
  </rowItems>
  <colItems count="1">
    <i t="data" r="0" i="0"/>
  </colItems>
  <pageFields count="1">
    <pageField fld="3" hier="-1"/>
  </pageFields>
  <dataFields count="1">
    <dataField name="Summe von Netto" fld="7" subtotal="sum" showDataAs="normal" baseField="5" baseItem="8" numFmtId="166"/>
  </dataFields>
  <pivotTableStyleInfo name="PivotStyleMedium9" showRowHeaders="1" showColHeaders="1" showRowStripes="0" showColStripes="0" showLastColumn="1"/>
</pivotTableDefinitio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comments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comments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commentsDrawing3.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commentsDrawing4.vml" Id="anysvml" /></Relationships>
</file>

<file path=xl/worksheets/_rels/sheet8.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commentsDrawing5.vml" Id="anysvml" /></Relationships>
</file>

<file path=xl/worksheets/_rels/sheet11.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commentsDrawing6.vml" Id="anysvml" /></Relationships>
</file>

<file path=xl/worksheets/_rels/sheet13.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commentsDrawing7.vml" Id="anysvml" /></Relationships>
</file>

<file path=xl/worksheets/_rels/sheet15.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commentsDrawing8.vml" Id="anysvml" /></Relationships>
</file>

<file path=xl/worksheets/_rels/sheet16.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commentsDrawing9.vml" Id="anysvml" /></Relationships>
</file>

<file path=xl/worksheets/_rels/sheet19.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commentsDrawing10.vml" Id="anysvml" /></Relationships>
</file>

<file path=xl/worksheets/_rels/sheet20.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commentsDrawing11.vml" Id="anysvml" /></Relationships>
</file>

<file path=xl/worksheets/_rels/sheet21.xml.rels><Relationships xmlns="http://schemas.openxmlformats.org/package/2006/relationships"><Relationship Type="http://schemas.openxmlformats.org/officeDocument/2006/relationships/comments" Target="/xl/comments/comment12.xml" Id="comments" /><Relationship Type="http://schemas.openxmlformats.org/officeDocument/2006/relationships/vmlDrawing" Target="/xl/drawings/commentsDrawing12.vml" Id="anysvml" /></Relationships>
</file>

<file path=xl/worksheets/_rels/sheet22.xml.rels><Relationships xmlns="http://schemas.openxmlformats.org/package/2006/relationships"><Relationship Type="http://schemas.openxmlformats.org/officeDocument/2006/relationships/comments" Target="/xl/comments/comment13.xml" Id="comments" /><Relationship Type="http://schemas.openxmlformats.org/officeDocument/2006/relationships/vmlDrawing" Target="/xl/drawings/commentsDrawing13.vml" Id="anysvml" /></Relationships>
</file>

<file path=xl/worksheets/_rels/sheet23.xml.rels><Relationships xmlns="http://schemas.openxmlformats.org/package/2006/relationships"><Relationship Type="http://schemas.openxmlformats.org/officeDocument/2006/relationships/comments" Target="/xl/comments/comment14.xml" Id="comments" /><Relationship Type="http://schemas.openxmlformats.org/officeDocument/2006/relationships/vmlDrawing" Target="/xl/drawings/commentsDrawing14.vml" Id="anysvml" /></Relationships>
</file>

<file path=xl/worksheets/_rels/sheet24.xml.rels><Relationships xmlns="http://schemas.openxmlformats.org/package/2006/relationships"><Relationship Type="http://schemas.openxmlformats.org/officeDocument/2006/relationships/pivotTable" Target="/xl/pivotTables/pivotTable1.xml" Id="rId1" /></Relationships>
</file>

<file path=xl/worksheets/_rels/sheet25.xml.rels><Relationships xmlns="http://schemas.openxmlformats.org/package/2006/relationships"><Relationship Type="http://schemas.openxmlformats.org/officeDocument/2006/relationships/comments" Target="/xl/comments/comment15.xml" Id="comments" /><Relationship Type="http://schemas.openxmlformats.org/officeDocument/2006/relationships/vmlDrawing" Target="/xl/drawings/commentsDrawing15.vml" Id="anysvml" /></Relationships>
</file>

<file path=xl/worksheets/_rels/sheet27.xml.rels><Relationships xmlns="http://schemas.openxmlformats.org/package/2006/relationships"><Relationship Type="http://schemas.openxmlformats.org/officeDocument/2006/relationships/comments" Target="/xl/comments/comment16.xml" Id="comments" /><Relationship Type="http://schemas.openxmlformats.org/officeDocument/2006/relationships/vmlDrawing" Target="/xl/drawings/commentsDrawing16.vml" Id="anysvml" /></Relationships>
</file>

<file path=xl/worksheets/_rels/sheet28.xml.rels><Relationships xmlns="http://schemas.openxmlformats.org/package/2006/relationships"><Relationship Type="http://schemas.openxmlformats.org/officeDocument/2006/relationships/comments" Target="/xl/comments/comment17.xml" Id="comments" /><Relationship Type="http://schemas.openxmlformats.org/officeDocument/2006/relationships/vmlDrawing" Target="/xl/drawings/commentsDrawing17.vml" Id="anysvml" /></Relationships>
</file>

<file path=xl/worksheets/_rels/sheet30.xml.rels><Relationships xmlns="http://schemas.openxmlformats.org/package/2006/relationships"><Relationship Type="http://schemas.openxmlformats.org/officeDocument/2006/relationships/comments" Target="/xl/comments/comment18.xml" Id="comments" /><Relationship Type="http://schemas.openxmlformats.org/officeDocument/2006/relationships/vmlDrawing" Target="/xl/drawings/commentsDrawing18.vml" Id="anysvml" /></Relationships>
</file>

<file path=xl/worksheets/sheet1.xml><?xml version="1.0" encoding="utf-8"?>
<worksheet xmlns="http://schemas.openxmlformats.org/spreadsheetml/2006/main">
  <sheetPr codeName="Tabelle6">
    <outlinePr summaryBelow="1" summaryRight="1"/>
    <pageSetUpPr/>
  </sheetPr>
  <dimension ref="A1:A2"/>
  <sheetViews>
    <sheetView workbookViewId="0">
      <selection activeCell="A1" sqref="A1"/>
    </sheetView>
  </sheetViews>
  <sheetFormatPr baseColWidth="10" defaultRowHeight="15"/>
  <sheetData>
    <row r="1">
      <c r="A1" s="2" t="inlineStr">
        <is>
          <t>Istbesteuerung (Schuld entsteht bei Bezahlung), wenn Jahresumsatz in einem der beiden vorangegangenen Kalenderjahre &lt;= 100000</t>
        </is>
      </c>
    </row>
    <row r="2">
      <c r="A2" t="inlineStr">
        <is>
          <t>Kleinbetragsrechnung (&lt;400): es entfällt Pflicht für RNr u UID</t>
        </is>
      </c>
    </row>
  </sheetData>
  <pageMargins left="0.7" right="0.7" top="0.787401575" bottom="0.787401575" header="0.3" footer="0.3"/>
</worksheet>
</file>

<file path=xl/worksheets/sheet2.xml><?xml version="1.0" encoding="utf-8"?>
<worksheet xmlns="http://schemas.openxmlformats.org/spreadsheetml/2006/main">
  <sheetPr codeName="Tabelle1">
    <tabColor theme="6" tint="0.5999938962981048"/>
    <outlinePr summaryBelow="1" summaryRight="1"/>
    <pageSetUpPr fitToPage="1"/>
  </sheetPr>
  <dimension ref="A1:T267"/>
  <sheetViews>
    <sheetView workbookViewId="0">
      <pane xSplit="1" ySplit="1" topLeftCell="B245" activePane="bottomRight" state="frozen"/>
      <selection pane="topRight" activeCell="B1" sqref="B1"/>
      <selection pane="bottomLeft" activeCell="A2" sqref="A2"/>
      <selection pane="bottomRight" activeCell="D265" sqref="D265"/>
    </sheetView>
  </sheetViews>
  <sheetFormatPr baseColWidth="10" defaultColWidth="8.85546875" defaultRowHeight="15"/>
  <cols>
    <col width="21.85546875" customWidth="1" style="43" min="1" max="2"/>
    <col width="12.85546875" customWidth="1" style="43" min="3" max="3"/>
    <col width="21.85546875" customWidth="1" style="43" min="4" max="4"/>
    <col width="18.42578125" bestFit="1" customWidth="1" style="43" min="5" max="5"/>
    <col width="41.28515625" customWidth="1" style="43" min="6" max="6"/>
    <col width="16.7109375" customWidth="1" style="43" min="7" max="7"/>
    <col width="12.42578125" customWidth="1" style="206" min="8" max="8"/>
    <col width="4.7109375" customWidth="1" style="43" min="9" max="9"/>
    <col width="10.28515625" customWidth="1" style="206" min="10" max="10"/>
    <col width="11.140625" bestFit="1" customWidth="1" style="206" min="11" max="11"/>
    <col width="10.140625" bestFit="1" customWidth="1" style="44" min="12" max="12"/>
    <col width="10.140625" bestFit="1" customWidth="1" style="43" min="13" max="13"/>
    <col width="8.85546875" customWidth="1" style="43" min="14" max="15"/>
    <col width="10.42578125" bestFit="1" customWidth="1" style="43" min="16" max="17"/>
    <col width="8.85546875" customWidth="1" style="43" min="18" max="19"/>
    <col width="10.85546875" bestFit="1" customWidth="1" style="43" min="20" max="20"/>
    <col width="8.85546875" customWidth="1" style="43" min="21" max="16384"/>
  </cols>
  <sheetData>
    <row r="1" customFormat="1" s="40">
      <c r="A1" s="40" t="inlineStr">
        <is>
          <t>Rechnungsnummer</t>
        </is>
      </c>
      <c r="B1" s="40" t="inlineStr">
        <is>
          <t>Rechnungsdatum</t>
        </is>
      </c>
      <c r="C1" s="40" t="inlineStr">
        <is>
          <t>Zahlungsziel</t>
        </is>
      </c>
      <c r="D1" s="40" t="inlineStr">
        <is>
          <t>Zahlungsdatum</t>
        </is>
      </c>
      <c r="E1" s="40" t="inlineStr">
        <is>
          <t>Mahnungsdatum</t>
        </is>
      </c>
      <c r="F1" s="40" t="inlineStr">
        <is>
          <t>Rechnungsempfänger</t>
        </is>
      </c>
      <c r="G1" s="40" t="inlineStr">
        <is>
          <t>Bezeichnung</t>
        </is>
      </c>
      <c r="H1" s="207" t="inlineStr">
        <is>
          <t>Netto</t>
        </is>
      </c>
      <c r="I1" s="40" t="inlineStr">
        <is>
          <t>USt.</t>
        </is>
      </c>
      <c r="J1" s="207" t="inlineStr">
        <is>
          <t>Vorsteuer</t>
        </is>
      </c>
      <c r="K1" s="207" t="inlineStr">
        <is>
          <t>Brutto</t>
        </is>
      </c>
      <c r="L1" s="42" t="inlineStr">
        <is>
          <t xml:space="preserve"> USt Fälligkeit</t>
        </is>
      </c>
      <c r="M1" s="40" t="inlineStr">
        <is>
          <t>USt abgerechnet</t>
        </is>
      </c>
      <c r="N1" s="2" t="inlineStr">
        <is>
          <t>Verzögerung</t>
        </is>
      </c>
    </row>
    <row r="2">
      <c r="A2" s="43" t="n">
        <v>12015001</v>
      </c>
      <c r="B2" s="44" t="n">
        <v>42184</v>
      </c>
      <c r="C2" s="44">
        <f>B2+14</f>
        <v/>
      </c>
      <c r="D2" s="44" t="n">
        <v>42186</v>
      </c>
      <c r="E2" s="44" t="n"/>
      <c r="F2" s="43" t="inlineStr">
        <is>
          <t>Dr. Arno Kolbitsch, Zivilingenieur, Gütleweg 1, 6822 Satteins</t>
        </is>
      </c>
      <c r="H2" s="206" t="n">
        <v>1864.79</v>
      </c>
      <c r="I2" s="43" t="n">
        <v>20</v>
      </c>
      <c r="J2" s="206">
        <f>I2*H2/100</f>
        <v/>
      </c>
      <c r="K2" s="206">
        <f>H2+J2</f>
        <v/>
      </c>
      <c r="L2" s="44">
        <f>IF(ISBLANK(D2),"",voranmeldefrist_vierteljaehrlich(D2))</f>
        <v/>
      </c>
      <c r="M2" s="44" t="n">
        <v>42315</v>
      </c>
      <c r="N2" s="43">
        <f>IF(ISBLANK(D2),IF(TODAY()&gt;C2,TODAY()-C2,0),IF(D2&gt;C2,D2-C2,0))</f>
        <v/>
      </c>
    </row>
    <row r="3">
      <c r="A3" s="43" t="n">
        <v>12015002</v>
      </c>
      <c r="B3" s="44" t="n">
        <v>42185</v>
      </c>
      <c r="C3" s="44">
        <f>B3+14</f>
        <v/>
      </c>
      <c r="D3" s="44" t="n">
        <v>42194</v>
      </c>
      <c r="E3" s="44" t="n"/>
      <c r="F3" s="43" t="inlineStr">
        <is>
          <t>Johann Stojadinovic, Weiglgasse 10c/11f, 1150 Wien</t>
        </is>
      </c>
      <c r="H3" s="206" t="n">
        <v>13.66</v>
      </c>
      <c r="I3" s="43" t="n">
        <v>20</v>
      </c>
      <c r="J3" s="206">
        <f>I3*H3/100</f>
        <v/>
      </c>
      <c r="K3" s="206">
        <f>H3+J3</f>
        <v/>
      </c>
      <c r="L3" s="44">
        <f>IF(ISBLANK(D3),"",voranmeldefrist_vierteljaehrlich(D3))</f>
        <v/>
      </c>
      <c r="M3" s="44" t="n">
        <v>42315</v>
      </c>
      <c r="N3" s="43">
        <f>IF(ISBLANK(D3),IF(TODAY()&gt;C3,TODAY()-C3,0),IF(D3&gt;C3,D3-C3,0))</f>
        <v/>
      </c>
    </row>
    <row r="4">
      <c r="A4" s="43" t="n">
        <v>12015003</v>
      </c>
      <c r="B4" s="44" t="n">
        <v>42200</v>
      </c>
      <c r="C4" s="44">
        <f>B4+30</f>
        <v/>
      </c>
      <c r="D4" s="44" t="n">
        <v>42227</v>
      </c>
      <c r="E4" s="44" t="n"/>
      <c r="F4" s="43" t="inlineStr">
        <is>
          <t>Dr. Arno Kolbitsch, Zivilingenieur, Gütleweg 1, 6822 Satteins</t>
        </is>
      </c>
      <c r="H4" s="206" t="n">
        <v>5048.33</v>
      </c>
      <c r="I4" s="43" t="n">
        <v>20</v>
      </c>
      <c r="J4" s="206">
        <f>I4*H4/100</f>
        <v/>
      </c>
      <c r="K4" s="206">
        <f>H4+J4</f>
        <v/>
      </c>
      <c r="L4" s="44">
        <f>IF(ISBLANK(D4),"",voranmeldefrist_vierteljaehrlich(D4))</f>
        <v/>
      </c>
      <c r="M4" s="44" t="n">
        <v>42315</v>
      </c>
      <c r="N4" s="43">
        <f>IF(ISBLANK(D4),IF(TODAY()&gt;C4,TODAY()-C4,0),IF(D4&gt;C4,D4-C4,0))</f>
        <v/>
      </c>
    </row>
    <row r="5">
      <c r="A5" s="43" t="n">
        <v>12015004</v>
      </c>
      <c r="B5" s="44" t="n">
        <v>42222</v>
      </c>
      <c r="C5" s="44">
        <f>B5+14</f>
        <v/>
      </c>
      <c r="D5" s="44" t="n">
        <v>42223</v>
      </c>
      <c r="E5" s="44" t="n"/>
      <c r="F5" s="43" t="inlineStr">
        <is>
          <t>Think-Tanker GmbH., Fasangasse 38/15, 1030 Wien</t>
        </is>
      </c>
      <c r="G5" s="46" t="inlineStr">
        <is>
          <t>P15004MJ</t>
        </is>
      </c>
      <c r="H5" s="206" t="n">
        <v>2055</v>
      </c>
      <c r="I5" s="43" t="n">
        <v>20</v>
      </c>
      <c r="J5" s="206">
        <f>I5*H5/100</f>
        <v/>
      </c>
      <c r="K5" s="206">
        <f>H5+J5</f>
        <v/>
      </c>
      <c r="L5" s="44">
        <f>IF(ISBLANK(D5),"",voranmeldefrist_vierteljaehrlich(D5))</f>
        <v/>
      </c>
      <c r="M5" s="44" t="n">
        <v>42315</v>
      </c>
      <c r="N5" s="43">
        <f>IF(ISBLANK(D5),IF(TODAY()&gt;C5,TODAY()-C5,0),IF(D5&gt;C5,D5-C5,0))</f>
        <v/>
      </c>
    </row>
    <row r="6">
      <c r="A6" s="43" t="n">
        <v>12015005</v>
      </c>
      <c r="B6" s="44" t="n">
        <v>42242</v>
      </c>
      <c r="C6" s="44">
        <f>B6+14</f>
        <v/>
      </c>
      <c r="D6" s="44" t="n">
        <v>42244</v>
      </c>
      <c r="E6" s="44" t="n"/>
      <c r="F6" s="43" t="inlineStr">
        <is>
          <t>Think-Tanker GmbH., Fasangasse 38/15, 1030 Wien</t>
        </is>
      </c>
      <c r="G6" s="46" t="inlineStr">
        <is>
          <t>P15004MJ</t>
        </is>
      </c>
      <c r="H6" s="206" t="n">
        <v>990</v>
      </c>
      <c r="I6" s="43" t="n">
        <v>20</v>
      </c>
      <c r="J6" s="206">
        <f>I6*H6/100</f>
        <v/>
      </c>
      <c r="K6" s="206">
        <f>H6+J6</f>
        <v/>
      </c>
      <c r="L6" s="44">
        <f>IF(ISBLANK(D6),"",voranmeldefrist_vierteljaehrlich(D6))</f>
        <v/>
      </c>
      <c r="M6" s="44" t="n">
        <v>42315</v>
      </c>
      <c r="N6" s="43">
        <f>IF(ISBLANK(D6),IF(TODAY()&gt;C6,TODAY()-C6,0),IF(D6&gt;C6,D6-C6,0))</f>
        <v/>
      </c>
    </row>
    <row r="7">
      <c r="A7" s="43" t="n">
        <v>12015006</v>
      </c>
      <c r="B7" s="44" t="n">
        <v>42255</v>
      </c>
      <c r="C7" s="44">
        <f>B7+14</f>
        <v/>
      </c>
      <c r="D7" s="44" t="n">
        <v>42257</v>
      </c>
      <c r="E7" s="44" t="n"/>
      <c r="F7" s="43" t="inlineStr">
        <is>
          <t>H. Jaros e.U., Fischhof 3/23, 1010 Wien, ATU 67698048</t>
        </is>
      </c>
      <c r="G7" s="43" t="inlineStr">
        <is>
          <t>P15005MJ</t>
        </is>
      </c>
      <c r="H7" s="206" t="n">
        <v>1918.53</v>
      </c>
      <c r="I7" s="43" t="n">
        <v>20</v>
      </c>
      <c r="J7" s="206">
        <f>I7*H7/100</f>
        <v/>
      </c>
      <c r="K7" s="206">
        <f>H7+J7</f>
        <v/>
      </c>
      <c r="L7" s="44">
        <f>IF(ISBLANK(D7),"",voranmeldefrist_vierteljaehrlich(D7))</f>
        <v/>
      </c>
      <c r="M7" s="44" t="n">
        <v>42315</v>
      </c>
      <c r="N7" s="43">
        <f>IF(ISBLANK(D7),IF(TODAY()&gt;C7,TODAY()-C7,0),IF(D7&gt;C7,D7-C7,0))</f>
        <v/>
      </c>
    </row>
    <row r="8">
      <c r="A8" s="43" t="n">
        <v>12015007</v>
      </c>
      <c r="B8" s="44" t="n">
        <v>42255</v>
      </c>
      <c r="C8" s="44">
        <f>B8+14</f>
        <v/>
      </c>
      <c r="D8" s="44" t="n">
        <v>42279</v>
      </c>
      <c r="E8" s="44" t="n"/>
      <c r="F8" s="43" t="inlineStr">
        <is>
          <t>Ing. Gerhard Gotz, Allandgasse 8, 2500 Baden</t>
        </is>
      </c>
      <c r="G8" s="43" t="inlineStr">
        <is>
          <t>BETRIEB</t>
        </is>
      </c>
      <c r="H8" s="206" t="n">
        <v>51.62</v>
      </c>
      <c r="I8" s="43" t="n">
        <v>20</v>
      </c>
      <c r="J8" s="206">
        <f>I8*H8/100</f>
        <v/>
      </c>
      <c r="K8" s="206">
        <f>H8+J8</f>
        <v/>
      </c>
      <c r="L8" s="44">
        <f>IF(ISBLANK(D8),"",voranmeldefrist_vierteljaehrlich(D8))</f>
        <v/>
      </c>
      <c r="M8" s="44" t="n">
        <v>42414</v>
      </c>
      <c r="N8" s="43">
        <f>IF(ISBLANK(D8),IF(TODAY()&gt;C8,TODAY()-C8,0),IF(D8&gt;C8,D8-C8,0))</f>
        <v/>
      </c>
    </row>
    <row r="9">
      <c r="A9" s="43" t="n">
        <v>12015008</v>
      </c>
      <c r="B9" s="44" t="n">
        <v>42270</v>
      </c>
      <c r="C9" s="44">
        <f>B9+14</f>
        <v/>
      </c>
      <c r="D9" s="44" t="n">
        <v>42271</v>
      </c>
      <c r="E9" s="44" t="n"/>
      <c r="F9" s="43" t="inlineStr">
        <is>
          <t>Dipl.-Ing. Mag. Alexander Wagner, Beatrixgasse 5/7, 1030 Wien</t>
        </is>
      </c>
      <c r="G9" s="43" t="inlineStr">
        <is>
          <t>P15002MJ</t>
        </is>
      </c>
      <c r="H9" s="206" t="n">
        <v>250</v>
      </c>
      <c r="I9" s="43" t="n">
        <v>20</v>
      </c>
      <c r="J9" s="206">
        <f>I9*H9/100</f>
        <v/>
      </c>
      <c r="K9" s="206">
        <f>H9+J9</f>
        <v/>
      </c>
      <c r="L9" s="44">
        <f>IF(ISBLANK(D9),"",voranmeldefrist_vierteljaehrlich(D9))</f>
        <v/>
      </c>
      <c r="M9" s="44" t="n">
        <v>42315</v>
      </c>
      <c r="N9" s="43">
        <f>IF(ISBLANK(D9),IF(TODAY()&gt;C9,TODAY()-C9,0),IF(D9&gt;C9,D9-C9,0))</f>
        <v/>
      </c>
    </row>
    <row r="10">
      <c r="A10" s="43" t="n">
        <v>12015009</v>
      </c>
      <c r="B10" s="44" t="n">
        <v>42282</v>
      </c>
      <c r="C10" s="44">
        <f>B10+14</f>
        <v/>
      </c>
      <c r="D10" s="44" t="n">
        <v>42284</v>
      </c>
      <c r="E10" s="44" t="n"/>
      <c r="F10" s="43" t="inlineStr">
        <is>
          <t>Dr. Arno Kolbitsch, Zivilingenieur, Gütleweg 1, 6822 Satteins</t>
        </is>
      </c>
      <c r="G10" s="43" t="inlineStr">
        <is>
          <t>diverse</t>
        </is>
      </c>
      <c r="H10" s="206" t="n">
        <v>4891.25</v>
      </c>
      <c r="I10" s="43" t="n">
        <v>20</v>
      </c>
      <c r="J10" s="206">
        <f>I10*H10/100</f>
        <v/>
      </c>
      <c r="K10" s="206">
        <f>H10+J10</f>
        <v/>
      </c>
      <c r="L10" s="44">
        <f>IF(ISBLANK(D10),"",voranmeldefrist_vierteljaehrlich(D10))</f>
        <v/>
      </c>
      <c r="M10" s="44" t="n">
        <v>42414</v>
      </c>
      <c r="N10" s="43">
        <f>IF(ISBLANK(D10),IF(TODAY()&gt;C10,TODAY()-C10,0),IF(D10&gt;C10,D10-C10,0))</f>
        <v/>
      </c>
    </row>
    <row r="11">
      <c r="A11" s="43" t="n">
        <v>12015010</v>
      </c>
      <c r="B11" s="44" t="n">
        <v>42285</v>
      </c>
      <c r="C11" s="44">
        <f>B11+14</f>
        <v/>
      </c>
      <c r="D11" s="44" t="n">
        <v>42312</v>
      </c>
      <c r="E11" s="44" t="n"/>
      <c r="F11" s="43" t="inlineStr">
        <is>
          <t>Musikschule Bad Vöslau, z. Hd. Herr Christian Sauer, Hauptstraße 14, 2540 Bad Vöslau</t>
        </is>
      </c>
      <c r="G11" s="43" t="inlineStr">
        <is>
          <t>BETRIEB</t>
        </is>
      </c>
      <c r="H11" s="206" t="n">
        <v>180</v>
      </c>
      <c r="I11" s="43" t="n">
        <v>20</v>
      </c>
      <c r="J11" s="206">
        <f>I11*H11/100</f>
        <v/>
      </c>
      <c r="K11" s="206">
        <f>H11+J11</f>
        <v/>
      </c>
      <c r="L11" s="44">
        <f>IF(ISBLANK(D11),"",voranmeldefrist_vierteljaehrlich(D11))</f>
        <v/>
      </c>
      <c r="M11" s="44" t="n">
        <v>42414</v>
      </c>
      <c r="N11" s="43">
        <f>IF(ISBLANK(D11),IF(TODAY()&gt;C11,TODAY()-C11,0),IF(D11&gt;C11,D11-C11,0))</f>
        <v/>
      </c>
    </row>
    <row r="12">
      <c r="A12" s="43" t="n">
        <v>12015011</v>
      </c>
      <c r="B12" s="44" t="n">
        <v>42285</v>
      </c>
      <c r="C12" s="44">
        <f>B12+14</f>
        <v/>
      </c>
      <c r="D12" s="44" t="n">
        <v>42297</v>
      </c>
      <c r="E12" s="44" t="n"/>
      <c r="F12" s="43" t="inlineStr">
        <is>
          <t>Wienerwald Musikanten, z. Hd. Hr. Christian Sauer, Rudolf Schöng. 18, 2540 Bad Vöslau</t>
        </is>
      </c>
      <c r="G12" s="43" t="inlineStr">
        <is>
          <t>BETRIEB</t>
        </is>
      </c>
      <c r="H12" s="206" t="n">
        <v>102</v>
      </c>
      <c r="I12" s="43" t="n">
        <v>20</v>
      </c>
      <c r="J12" s="206">
        <f>I12*H12/100</f>
        <v/>
      </c>
      <c r="K12" s="206">
        <f>H12+J12</f>
        <v/>
      </c>
      <c r="L12" s="44">
        <f>IF(ISBLANK(D12),"",voranmeldefrist_vierteljaehrlich(D12))</f>
        <v/>
      </c>
      <c r="M12" s="44" t="n">
        <v>42414</v>
      </c>
      <c r="N12" s="43">
        <f>IF(ISBLANK(D12),IF(TODAY()&gt;C12,TODAY()-C12,0),IF(D12&gt;C12,D12-C12,0))</f>
        <v/>
      </c>
    </row>
    <row r="13">
      <c r="A13" s="43" t="n">
        <v>12015012</v>
      </c>
      <c r="B13" s="44" t="n">
        <v>42309</v>
      </c>
      <c r="C13" s="44">
        <f>B13+45</f>
        <v/>
      </c>
      <c r="D13" s="44" t="n">
        <v>42354</v>
      </c>
      <c r="E13" s="44" t="n"/>
      <c r="F13" s="43" t="inlineStr">
        <is>
          <t>Hays Österreich GmbH Personnel Services, Europaplatz 3/5, 1150 Wien</t>
        </is>
      </c>
      <c r="G13" s="43" t="inlineStr">
        <is>
          <t>P15009MJ</t>
        </is>
      </c>
      <c r="H13" s="206" t="n">
        <v>877.5</v>
      </c>
      <c r="I13" s="43" t="n">
        <v>20</v>
      </c>
      <c r="J13" s="206">
        <f>I13*H13/100</f>
        <v/>
      </c>
      <c r="K13" s="206">
        <f>H13+J13</f>
        <v/>
      </c>
      <c r="L13" s="44">
        <f>IF(ISBLANK(D13),"",voranmeldefrist_vierteljaehrlich(D13))</f>
        <v/>
      </c>
      <c r="M13" s="44" t="n">
        <v>42414</v>
      </c>
      <c r="N13" s="43">
        <f>IF(ISBLANK(D13),IF(TODAY()&gt;C13,TODAY()-C13,0),IF(D13&gt;C13,D13-C13,0))</f>
        <v/>
      </c>
    </row>
    <row r="14">
      <c r="A14" s="43" t="n">
        <v>12015013</v>
      </c>
      <c r="B14" s="44" t="n">
        <v>42331</v>
      </c>
      <c r="C14" s="44">
        <f>B14+14</f>
        <v/>
      </c>
      <c r="D14" s="44" t="n">
        <v>42332</v>
      </c>
      <c r="E14" s="44" t="n"/>
      <c r="F14" s="43" t="inlineStr">
        <is>
          <t>Dr. Arno Kolbitsch, Zivilingenieur, Gütleweg 1, 6822 Satteins</t>
        </is>
      </c>
      <c r="G14" s="43" t="inlineStr">
        <is>
          <t>P15001</t>
        </is>
      </c>
      <c r="H14" s="206" t="n">
        <v>910</v>
      </c>
      <c r="I14" s="43" t="n">
        <v>20</v>
      </c>
      <c r="J14" s="206">
        <f>I14*H14/100</f>
        <v/>
      </c>
      <c r="K14" s="206">
        <f>H14+J14</f>
        <v/>
      </c>
      <c r="L14" s="44">
        <f>IF(ISBLANK(D14),"",voranmeldefrist_vierteljaehrlich(D14))</f>
        <v/>
      </c>
      <c r="M14" s="44" t="n">
        <v>42414</v>
      </c>
      <c r="N14" s="43">
        <f>IF(ISBLANK(D14),IF(TODAY()&gt;C14,TODAY()-C14,0),IF(D14&gt;C14,D14-C14,0))</f>
        <v/>
      </c>
    </row>
    <row r="15">
      <c r="A15" s="43" t="n">
        <v>12015014</v>
      </c>
      <c r="B15" s="44" t="n">
        <v>42339</v>
      </c>
      <c r="C15" s="44">
        <f>B15+45</f>
        <v/>
      </c>
      <c r="D15" s="44" t="n">
        <v>42394</v>
      </c>
      <c r="E15" s="44" t="n"/>
      <c r="F15" s="43" t="inlineStr">
        <is>
          <t>Hays Österreich GmbH Personnel Services, Europaplatz 3/5, 1150 Wien</t>
        </is>
      </c>
      <c r="G15" s="43" t="inlineStr">
        <is>
          <t>P15009MJ</t>
        </is>
      </c>
      <c r="H15" s="206" t="n">
        <v>12935</v>
      </c>
      <c r="I15" s="43" t="n">
        <v>20</v>
      </c>
      <c r="J15" s="206">
        <f>I15*H15/100</f>
        <v/>
      </c>
      <c r="K15" s="206">
        <f>H15+J15</f>
        <v/>
      </c>
      <c r="L15" s="44">
        <f>IF(ISBLANK(D15),"",voranmeldefrist_vierteljaehrlich(D15))</f>
        <v/>
      </c>
      <c r="M15" s="44" t="n">
        <v>42499</v>
      </c>
      <c r="N15" s="43">
        <f>IF(ISBLANK(D15),IF(TODAY()&gt;C15,TODAY()-C15,0),IF(D15&gt;C15,D15-C15,0))</f>
        <v/>
      </c>
    </row>
    <row r="16">
      <c r="A16" s="43" t="n">
        <v>12015015</v>
      </c>
      <c r="B16" s="44" t="n">
        <v>42355</v>
      </c>
      <c r="C16" s="44">
        <f>B16+60</f>
        <v/>
      </c>
      <c r="D16" s="44" t="n">
        <v>42401</v>
      </c>
      <c r="E16" s="44" t="n"/>
      <c r="F16" s="43" t="inlineStr">
        <is>
          <t>Hays Österreich GmbH Personnel Services, Europaplatz 3/5, 1150 Wien</t>
        </is>
      </c>
      <c r="G16" s="43" t="inlineStr">
        <is>
          <t>P15009MJ</t>
        </is>
      </c>
      <c r="H16" s="206" t="n">
        <v>6662.5</v>
      </c>
      <c r="I16" s="43" t="n">
        <v>20</v>
      </c>
      <c r="J16" s="206">
        <f>I16*H16/100</f>
        <v/>
      </c>
      <c r="K16" s="206">
        <f>H16+J16</f>
        <v/>
      </c>
      <c r="L16" s="44">
        <f>IF(ISBLANK(D16),"",voranmeldefrist_vierteljaehrlich(D16))</f>
        <v/>
      </c>
      <c r="M16" s="44" t="n">
        <v>42499</v>
      </c>
      <c r="N16" s="43">
        <f>IF(ISBLANK(D16),IF(TODAY()&gt;C16,TODAY()-C16,0),IF(D16&gt;C16,D16-C16,0))</f>
        <v/>
      </c>
    </row>
    <row r="17">
      <c r="A17" s="43" t="n">
        <v>12015016</v>
      </c>
      <c r="B17" s="44" t="n">
        <v>42366</v>
      </c>
      <c r="C17" s="44">
        <f>B17+14</f>
        <v/>
      </c>
      <c r="D17" s="44" t="n">
        <v>42373</v>
      </c>
      <c r="E17" s="44" t="n"/>
      <c r="F17" s="43" t="inlineStr">
        <is>
          <t>Dr. Arno Kolbitsch, Zivilingenieur, Gütleweg 1, 6822 Satteins</t>
        </is>
      </c>
      <c r="G17" s="43" t="inlineStr">
        <is>
          <t>diverse</t>
        </is>
      </c>
      <c r="H17" s="206" t="n">
        <v>1543.75</v>
      </c>
      <c r="I17" s="43" t="n">
        <v>20</v>
      </c>
      <c r="J17" s="206">
        <f>I17*H17/100</f>
        <v/>
      </c>
      <c r="K17" s="206">
        <f>H17+J17</f>
        <v/>
      </c>
      <c r="L17" s="44">
        <f>IF(ISBLANK(D17),"",voranmeldefrist_vierteljaehrlich(D17))</f>
        <v/>
      </c>
      <c r="M17" s="44" t="n">
        <v>42499</v>
      </c>
      <c r="N17" s="43">
        <f>IF(ISBLANK(D17),IF(TODAY()&gt;C17,TODAY()-C17,0),IF(D17&gt;C17,D17-C17,0))</f>
        <v/>
      </c>
    </row>
    <row r="18">
      <c r="A18" s="43" t="n">
        <v>12015017</v>
      </c>
      <c r="B18" s="44" t="n">
        <v>42366</v>
      </c>
      <c r="C18" s="44">
        <f>B18+14</f>
        <v/>
      </c>
      <c r="D18" s="44" t="n">
        <v>42373</v>
      </c>
      <c r="E18" s="44" t="n"/>
      <c r="F18" s="43" t="inlineStr">
        <is>
          <t>Dr. Arno Kolbitsch, Zivilingenieur, Gütleweg 1, 6822 Satteins</t>
        </is>
      </c>
      <c r="G18" s="43" t="inlineStr">
        <is>
          <t>P15001MJ</t>
        </is>
      </c>
      <c r="H18" s="206" t="n">
        <v>3331.25</v>
      </c>
      <c r="I18" s="43" t="n">
        <v>20</v>
      </c>
      <c r="J18" s="206">
        <f>I18*H18/100</f>
        <v/>
      </c>
      <c r="K18" s="206">
        <f>H18+J18</f>
        <v/>
      </c>
      <c r="L18" s="44">
        <f>IF(ISBLANK(D18),"",voranmeldefrist_vierteljaehrlich(D18))</f>
        <v/>
      </c>
      <c r="M18" s="44" t="n">
        <v>42499</v>
      </c>
      <c r="N18" s="43">
        <f>IF(ISBLANK(D18),IF(TODAY()&gt;C18,TODAY()-C18,0),IF(D18&gt;C18,D18-C18,0))</f>
        <v/>
      </c>
    </row>
    <row r="19">
      <c r="A19" s="43" t="n">
        <v>12016001</v>
      </c>
      <c r="B19" s="44" t="n">
        <v>42392</v>
      </c>
      <c r="C19" s="44">
        <f>B19+14</f>
        <v/>
      </c>
      <c r="D19" s="44" t="n">
        <v>42418</v>
      </c>
      <c r="F19" s="43" t="inlineStr">
        <is>
          <t>Dr. Katalin Schiller, Neustiftgasse 2, Top 3, 2500 Baden</t>
        </is>
      </c>
      <c r="G19" s="43" t="inlineStr">
        <is>
          <t>Hosting</t>
        </is>
      </c>
      <c r="H19" s="206" t="n">
        <v>42</v>
      </c>
      <c r="I19" s="43" t="n">
        <v>20</v>
      </c>
      <c r="J19" s="206">
        <f>I19*H19/100</f>
        <v/>
      </c>
      <c r="K19" s="206">
        <f>H19+J19</f>
        <v/>
      </c>
      <c r="L19" s="44">
        <f>IF(ISBLANK(D19),"",voranmeldefrist_vierteljaehrlich(D19))</f>
        <v/>
      </c>
      <c r="M19" s="44" t="n">
        <v>42499</v>
      </c>
      <c r="N19" s="43">
        <f>IF(ISBLANK(D19),IF(TODAY()&gt;C19,TODAY()-C19,0),IF(D19&gt;C19,D19-C19,0))</f>
        <v/>
      </c>
    </row>
    <row r="20">
      <c r="A20" s="43" t="n">
        <v>12016002</v>
      </c>
      <c r="B20" s="44" t="n">
        <v>42401</v>
      </c>
      <c r="C20" s="44">
        <f>B20+45</f>
        <v/>
      </c>
      <c r="D20" s="44" t="n">
        <v>42445</v>
      </c>
      <c r="F20" s="43" t="inlineStr">
        <is>
          <t>Hays Österreich GmbH Personnel Services, Europaplatz 3/5, 1150 Wien</t>
        </is>
      </c>
      <c r="G20" s="43" t="inlineStr">
        <is>
          <t>P15009MJ</t>
        </is>
      </c>
      <c r="H20" s="206" t="n">
        <v>7767.5</v>
      </c>
      <c r="I20" s="43" t="n">
        <v>20</v>
      </c>
      <c r="J20" s="206">
        <f>I20*H20/100</f>
        <v/>
      </c>
      <c r="K20" s="206">
        <f>H20+J20</f>
        <v/>
      </c>
      <c r="L20" s="44">
        <f>IF(ISBLANK(D20),"",voranmeldefrist_vierteljaehrlich(D20))</f>
        <v/>
      </c>
      <c r="M20" s="44" t="n">
        <v>42499</v>
      </c>
      <c r="N20" s="43">
        <f>IF(ISBLANK(D20),IF(TODAY()&gt;C20,TODAY()-C20,0),IF(D20&gt;C20,D20-C20,0))</f>
        <v/>
      </c>
    </row>
    <row r="21">
      <c r="A21" s="43" t="n">
        <v>12016003</v>
      </c>
      <c r="B21" s="44" t="n">
        <v>42431</v>
      </c>
      <c r="C21" s="44">
        <f>B21+45</f>
        <v/>
      </c>
      <c r="D21" s="44" t="n">
        <v>42473</v>
      </c>
      <c r="F21" s="43" t="inlineStr">
        <is>
          <t>Hays Österreich GmbH Personnel Services, Europaplatz 3/5, 1150 Wien</t>
        </is>
      </c>
      <c r="G21" s="43" t="inlineStr">
        <is>
          <t>P15009MJ</t>
        </is>
      </c>
      <c r="H21" s="206" t="n">
        <v>10302.5</v>
      </c>
      <c r="I21" s="43" t="n">
        <v>20</v>
      </c>
      <c r="J21" s="206">
        <f>I21*H21/100</f>
        <v/>
      </c>
      <c r="K21" s="206">
        <f>H21+J21</f>
        <v/>
      </c>
      <c r="L21" s="44">
        <f>IF(ISBLANK(D21),"",voranmeldefrist_vierteljaehrlich(D21))</f>
        <v/>
      </c>
      <c r="M21" s="44" t="n">
        <v>42600</v>
      </c>
      <c r="N21" s="43">
        <f>IF(ISBLANK(D21),IF(TODAY()&gt;C21,TODAY()-C21,0),IF(D21&gt;C21,D21-C21,0))</f>
        <v/>
      </c>
    </row>
    <row r="22">
      <c r="A22" s="43" t="n">
        <v>12016004</v>
      </c>
      <c r="B22" s="44" t="n">
        <v>42431</v>
      </c>
      <c r="C22" s="44">
        <f>B22+14</f>
        <v/>
      </c>
      <c r="D22" s="44" t="n">
        <v>42445</v>
      </c>
      <c r="F22" s="43" t="inlineStr">
        <is>
          <t>Josef Stojadinovic, Weiglgasse 10/BLOCK C/10/11, 1150 Wien</t>
        </is>
      </c>
      <c r="G22" s="43" t="inlineStr">
        <is>
          <t>Datenrettung</t>
        </is>
      </c>
      <c r="H22" s="206" t="n">
        <v>252.5</v>
      </c>
      <c r="I22" s="43" t="n">
        <v>20</v>
      </c>
      <c r="J22" s="206">
        <f>I22*H22/100</f>
        <v/>
      </c>
      <c r="K22" s="206">
        <f>H22+J22</f>
        <v/>
      </c>
      <c r="L22" s="44">
        <f>IF(ISBLANK(D22),"",voranmeldefrist_vierteljaehrlich(D22))</f>
        <v/>
      </c>
      <c r="M22" s="44" t="n">
        <v>42499</v>
      </c>
      <c r="N22" s="43">
        <f>IF(ISBLANK(D22),IF(TODAY()&gt;C22,TODAY()-C22,0),IF(D22&gt;C22,D22-C22,0))</f>
        <v/>
      </c>
    </row>
    <row r="23">
      <c r="A23" s="43" t="n">
        <v>12016005</v>
      </c>
      <c r="B23" s="44" t="n">
        <v>42447</v>
      </c>
      <c r="C23" s="44">
        <f>B23+14</f>
        <v/>
      </c>
      <c r="D23" s="44" t="n">
        <v>42468</v>
      </c>
      <c r="F23" s="43" t="inlineStr">
        <is>
          <t>Ing. Gerhard Gotz, Allandgasse 8, 2500 Baden</t>
        </is>
      </c>
      <c r="G23" s="43" t="inlineStr">
        <is>
          <t>BETRIEB</t>
        </is>
      </c>
      <c r="H23" s="206" t="n">
        <v>51.62</v>
      </c>
      <c r="I23" s="43" t="n">
        <v>20</v>
      </c>
      <c r="J23" s="206">
        <f>I23*H23/100</f>
        <v/>
      </c>
      <c r="K23" s="206">
        <f>H23+J23</f>
        <v/>
      </c>
      <c r="L23" s="44">
        <f>IF(ISBLANK(D23),"",voranmeldefrist_vierteljaehrlich(D23))</f>
        <v/>
      </c>
      <c r="M23" s="44" t="n">
        <v>42600</v>
      </c>
      <c r="N23" s="43">
        <f>IF(ISBLANK(D23),IF(TODAY()&gt;C23,TODAY()-C23,0),IF(D23&gt;C23,D23-C23,0))</f>
        <v/>
      </c>
    </row>
    <row r="24">
      <c r="A24" s="43" t="n">
        <v>12016006</v>
      </c>
      <c r="B24" s="44" t="n">
        <v>42461</v>
      </c>
      <c r="C24" s="44">
        <f>B24+45</f>
        <v/>
      </c>
      <c r="D24" s="44" t="n">
        <v>42507</v>
      </c>
      <c r="F24" s="43" t="inlineStr">
        <is>
          <t>Hays Österreich GmbH Personnel Services, Europaplatz 3/5, 1150 Wien</t>
        </is>
      </c>
      <c r="G24" s="43" t="inlineStr">
        <is>
          <t>P15009MJ</t>
        </is>
      </c>
      <c r="H24" s="206" t="n">
        <v>12057.5</v>
      </c>
      <c r="I24" s="43" t="n">
        <v>20</v>
      </c>
      <c r="J24" s="206">
        <f>I24*H24/100</f>
        <v/>
      </c>
      <c r="K24" s="206">
        <f>H24+J24</f>
        <v/>
      </c>
      <c r="L24" s="44">
        <f>IF(ISBLANK(D24),"",voranmeldefrist_vierteljaehrlich(D24))</f>
        <v/>
      </c>
      <c r="M24" s="44" t="n">
        <v>42600</v>
      </c>
      <c r="N24" s="43">
        <f>IF(ISBLANK(D24),IF(TODAY()&gt;C24,TODAY()-C24,0),IF(D24&gt;C24,D24-C24,0))</f>
        <v/>
      </c>
    </row>
    <row r="25">
      <c r="A25" s="43" t="n">
        <v>12016007</v>
      </c>
      <c r="B25" s="44" t="n">
        <v>42492</v>
      </c>
      <c r="C25" s="44">
        <f>B25+45</f>
        <v/>
      </c>
      <c r="D25" s="44" t="n">
        <v>42538</v>
      </c>
      <c r="F25" s="43" t="inlineStr">
        <is>
          <t>Hays Österreich GmbH Personnel Services, Europaplatz 3/5, 1150 Wien</t>
        </is>
      </c>
      <c r="G25" s="43" t="inlineStr">
        <is>
          <t>P15009MJ</t>
        </is>
      </c>
      <c r="H25" s="206" t="n">
        <v>11651.25</v>
      </c>
      <c r="I25" s="43" t="n">
        <v>20</v>
      </c>
      <c r="J25" s="206">
        <f>I25*H25/100</f>
        <v/>
      </c>
      <c r="K25" s="206">
        <f>H25+J25</f>
        <v/>
      </c>
      <c r="L25" s="44">
        <f>IF(ISBLANK(D25),"",voranmeldefrist_vierteljaehrlich(D25))</f>
        <v/>
      </c>
      <c r="M25" s="44" t="n">
        <v>42600</v>
      </c>
      <c r="N25" s="43">
        <f>IF(ISBLANK(D25),IF(TODAY()&gt;C25,TODAY()-C25,0),IF(D25&gt;C25,D25-C25,0))</f>
        <v/>
      </c>
    </row>
    <row r="26">
      <c r="A26" s="43" t="n">
        <v>12016008</v>
      </c>
      <c r="B26" s="44" t="n">
        <v>42492</v>
      </c>
      <c r="C26" s="44">
        <f>B26+14</f>
        <v/>
      </c>
      <c r="D26" s="44" t="n">
        <v>42509</v>
      </c>
      <c r="F26" s="43" t="inlineStr">
        <is>
          <t>H. Jaros e.U., Fischhof 3/23, 1010 Wien, ATU 67698048</t>
        </is>
      </c>
      <c r="G26" s="43" t="inlineStr">
        <is>
          <t>P16001MJ</t>
        </is>
      </c>
      <c r="H26" s="206" t="n">
        <v>1010.37</v>
      </c>
      <c r="I26" s="43" t="n">
        <v>20</v>
      </c>
      <c r="J26" s="206">
        <f>I26*H26/100</f>
        <v/>
      </c>
      <c r="K26" s="206">
        <f>H26+J26</f>
        <v/>
      </c>
      <c r="L26" s="44">
        <f>IF(ISBLANK(D26),"",voranmeldefrist_vierteljaehrlich(D26))</f>
        <v/>
      </c>
      <c r="M26" s="44" t="n">
        <v>42600</v>
      </c>
      <c r="N26" s="43">
        <f>IF(ISBLANK(D26),IF(TODAY()&gt;C26,TODAY()-C26,0),IF(D26&gt;C26,D26-C26,0))</f>
        <v/>
      </c>
    </row>
    <row r="27">
      <c r="A27" s="43" t="n">
        <v>12016009</v>
      </c>
      <c r="B27" s="44" t="n">
        <v>42530</v>
      </c>
      <c r="C27" s="44">
        <f>B27+14</f>
        <v/>
      </c>
      <c r="D27" s="44" t="n">
        <v>42535</v>
      </c>
      <c r="F27" s="43" t="inlineStr">
        <is>
          <t>Ing Irene Weis, BSc., Tullnerstraße 15, 3462 Absdorf</t>
        </is>
      </c>
      <c r="G27" s="43" t="inlineStr">
        <is>
          <t>BETRIEB</t>
        </is>
      </c>
      <c r="H27" s="206" t="n">
        <v>30.42</v>
      </c>
      <c r="I27" s="43" t="n">
        <v>20</v>
      </c>
      <c r="J27" s="206">
        <f>I27*H27/100</f>
        <v/>
      </c>
      <c r="K27" s="206">
        <f>H27+J27</f>
        <v/>
      </c>
      <c r="L27" s="44">
        <f>IF(ISBLANK(D27),"",voranmeldefrist_vierteljaehrlich(D27))</f>
        <v/>
      </c>
      <c r="M27" s="44" t="n">
        <v>42600</v>
      </c>
      <c r="N27" s="43">
        <f>IF(ISBLANK(D27),IF(TODAY()&gt;C27,TODAY()-C27,0),IF(D27&gt;C27,D27-C27,0))</f>
        <v/>
      </c>
    </row>
    <row r="28">
      <c r="A28" s="43" t="n">
        <v>12016010</v>
      </c>
      <c r="B28" s="44" t="n">
        <v>42545</v>
      </c>
      <c r="C28" s="44">
        <f>B28+14</f>
        <v/>
      </c>
      <c r="D28" s="44" t="n">
        <v>42586</v>
      </c>
      <c r="E28" s="44" t="n">
        <v>42576</v>
      </c>
      <c r="F28" s="43" t="inlineStr">
        <is>
          <t>Mihajela Pejic-Studener, Rohrergasse 15, 1130 Wien</t>
        </is>
      </c>
      <c r="G28" s="43" t="inlineStr">
        <is>
          <t>BETRIEB</t>
        </is>
      </c>
      <c r="H28" s="206" t="n">
        <v>32.14</v>
      </c>
      <c r="I28" s="43" t="n">
        <v>20</v>
      </c>
      <c r="J28" s="206">
        <f>I28*H28/100</f>
        <v/>
      </c>
      <c r="K28" s="206">
        <f>H28+J28</f>
        <v/>
      </c>
      <c r="L28" s="44">
        <f>IF(ISBLANK(D28),"",voranmeldefrist_vierteljaehrlich(D28))</f>
        <v/>
      </c>
      <c r="M28" s="44" t="n">
        <v>42687</v>
      </c>
      <c r="N28" s="43">
        <f>IF(ISBLANK(D28),IF(TODAY()&gt;C28,TODAY()-C28,0),IF(D28&gt;C28,D28-C28,0))</f>
        <v/>
      </c>
    </row>
    <row r="29">
      <c r="A29" s="43" t="n">
        <v>12016011</v>
      </c>
      <c r="B29" s="44" t="n">
        <v>42545</v>
      </c>
      <c r="C29" s="44">
        <f>B29+14</f>
        <v/>
      </c>
      <c r="D29" s="44" t="n">
        <v>42556</v>
      </c>
      <c r="F29" s="43" t="inlineStr">
        <is>
          <t>Dr. Arno Kolbitsch, Zivilingenieur, Gütleweg 1, 6822 Satteins</t>
        </is>
      </c>
      <c r="G29" s="43" t="inlineStr">
        <is>
          <t>diverse</t>
        </is>
      </c>
      <c r="H29" s="206" t="n">
        <v>5383.52</v>
      </c>
      <c r="I29" s="43" t="n">
        <v>20</v>
      </c>
      <c r="J29" s="206">
        <f>I29*H29/100</f>
        <v/>
      </c>
      <c r="K29" s="206">
        <f>H29+J29</f>
        <v/>
      </c>
      <c r="L29" s="44">
        <f>IF(ISBLANK(D29),"",voranmeldefrist_vierteljaehrlich(D29))</f>
        <v/>
      </c>
      <c r="M29" s="44" t="n">
        <v>42687</v>
      </c>
      <c r="N29" s="43">
        <f>IF(ISBLANK(D29),IF(TODAY()&gt;C29,TODAY()-C29,0),IF(D29&gt;C29,D29-C29,0))</f>
        <v/>
      </c>
    </row>
    <row r="30">
      <c r="A30" s="43" t="n">
        <v>12016012</v>
      </c>
      <c r="B30" s="44" t="n">
        <v>42621</v>
      </c>
      <c r="C30" s="44">
        <f>B30+14</f>
        <v/>
      </c>
      <c r="D30" s="44" t="n">
        <v>42650</v>
      </c>
      <c r="F30" s="43" t="inlineStr">
        <is>
          <t>Ing. Gerhard Gotz, Allandgasse 8, 2500 Baden</t>
        </is>
      </c>
      <c r="G30" s="43" t="inlineStr">
        <is>
          <t>BETRIEB</t>
        </is>
      </c>
      <c r="H30" s="206" t="n">
        <v>51.68</v>
      </c>
      <c r="I30" s="43" t="n">
        <v>20</v>
      </c>
      <c r="J30" s="206">
        <f>I30*H30/100</f>
        <v/>
      </c>
      <c r="K30" s="206">
        <f>H30+J30</f>
        <v/>
      </c>
      <c r="L30" s="44">
        <f>IF(ISBLANK(D30),"",voranmeldefrist_vierteljaehrlich(D30))</f>
        <v/>
      </c>
      <c r="M30" s="44" t="n">
        <v>42777</v>
      </c>
      <c r="N30" s="43">
        <f>IF(ISBLANK(D30),IF(TODAY()&gt;C30,TODAY()-C30,0),IF(D30&gt;C30,D30-C30,0))</f>
        <v/>
      </c>
    </row>
    <row r="31">
      <c r="A31" s="43" t="n">
        <v>12016013</v>
      </c>
      <c r="B31" s="44" t="n">
        <v>42640</v>
      </c>
      <c r="C31" s="44">
        <f>B31+7</f>
        <v/>
      </c>
      <c r="D31" s="44" t="n">
        <v>42642</v>
      </c>
      <c r="F31" s="43" t="inlineStr">
        <is>
          <t>Dipl.-Ing. Mag. Alexander Wagner, Beatrixgasse 5/7, 1030 Wien</t>
        </is>
      </c>
      <c r="G31" s="43" t="inlineStr">
        <is>
          <t>P15006MJ MSBV-Relaunch</t>
        </is>
      </c>
      <c r="H31" s="206" t="n">
        <v>2460</v>
      </c>
      <c r="I31" s="43" t="n">
        <v>20</v>
      </c>
      <c r="J31" s="206">
        <f>I31*H31/100</f>
        <v/>
      </c>
      <c r="K31" s="206">
        <f>H31+J31</f>
        <v/>
      </c>
      <c r="L31" s="44">
        <f>IF(ISBLANK(D31),"",voranmeldefrist_vierteljaehrlich(D31))</f>
        <v/>
      </c>
      <c r="M31" s="44" t="n">
        <v>42687</v>
      </c>
      <c r="N31" s="43">
        <f>IF(ISBLANK(D31),IF(TODAY()&gt;C31,TODAY()-C31,0),IF(D31&gt;C31,D31-C31,0))</f>
        <v/>
      </c>
    </row>
    <row r="32">
      <c r="A32" s="43" t="n">
        <v>12016014</v>
      </c>
      <c r="B32" s="44" t="n">
        <v>42650</v>
      </c>
      <c r="C32" s="44">
        <f>B32+7</f>
        <v/>
      </c>
      <c r="D32" s="44" t="n">
        <v>42696</v>
      </c>
      <c r="F32" s="43" t="inlineStr">
        <is>
          <t>Musikschule Bad Vöslau, z. Hd. Herr Christian Sauer, Hauptstraße 14, 2540 Bad Vöslau</t>
        </is>
      </c>
      <c r="G32" s="43" t="inlineStr">
        <is>
          <t>BETRIEB</t>
        </is>
      </c>
      <c r="H32" s="206" t="n">
        <v>192.42</v>
      </c>
      <c r="I32" s="43" t="n">
        <v>20</v>
      </c>
      <c r="J32" s="206">
        <f>I32*H32/100</f>
        <v/>
      </c>
      <c r="K32" s="206">
        <f>H32+J32</f>
        <v/>
      </c>
      <c r="L32" s="44">
        <f>IF(ISBLANK(D32),"",voranmeldefrist_vierteljaehrlich(D32))</f>
        <v/>
      </c>
      <c r="M32" s="44" t="n">
        <v>42777</v>
      </c>
      <c r="N32" s="43">
        <f>IF(ISBLANK(D32),IF(TODAY()&gt;C32,TODAY()-C32,0),IF(D32&gt;C32,D32-C32,0))</f>
        <v/>
      </c>
    </row>
    <row r="33">
      <c r="A33" s="43" t="n">
        <v>12016015</v>
      </c>
      <c r="B33" s="44" t="n">
        <v>42650</v>
      </c>
      <c r="C33" s="44">
        <f>B33+7</f>
        <v/>
      </c>
      <c r="D33" s="44" t="n">
        <v>42661</v>
      </c>
      <c r="F33" s="43" t="inlineStr">
        <is>
          <t>Wienerwald Musikanten, z. Hd. Hr. Christian Sauer, Rudolf Schöng. 18, 2540 Bad Vöslau</t>
        </is>
      </c>
      <c r="G33" s="43" t="inlineStr">
        <is>
          <t>BETRIEB</t>
        </is>
      </c>
      <c r="H33" s="206" t="n">
        <v>114.42</v>
      </c>
      <c r="I33" s="43" t="n">
        <v>20</v>
      </c>
      <c r="J33" s="206">
        <f>I33*H33/100</f>
        <v/>
      </c>
      <c r="K33" s="206">
        <f>H33+J33</f>
        <v/>
      </c>
      <c r="L33" s="44">
        <f>IF(ISBLANK(D33),"",voranmeldefrist_vierteljaehrlich(D33))</f>
        <v/>
      </c>
      <c r="M33" s="44" t="n">
        <v>42777</v>
      </c>
      <c r="N33" s="43">
        <f>IF(ISBLANK(D33),IF(TODAY()&gt;C33,TODAY()-C33,0),IF(D33&gt;C33,D33-C33,0))</f>
        <v/>
      </c>
    </row>
    <row r="34">
      <c r="A34" s="43" t="n">
        <v>12016016</v>
      </c>
      <c r="B34" s="44" t="n">
        <v>42691</v>
      </c>
      <c r="C34" s="44">
        <f>B34+14</f>
        <v/>
      </c>
      <c r="D34" s="44" t="n">
        <v>42692</v>
      </c>
      <c r="F34" s="43" t="inlineStr">
        <is>
          <t>Dr. Arno Kolbitsch, Zivilingenieur, Gütleweg 1, 6822 Satteins</t>
        </is>
      </c>
      <c r="G34" s="43" t="inlineStr">
        <is>
          <t>P15001MJ</t>
        </is>
      </c>
      <c r="H34" s="206" t="n">
        <v>4223.7</v>
      </c>
      <c r="I34" s="43" t="n">
        <v>20</v>
      </c>
      <c r="J34" s="206">
        <f>I34*H34/100</f>
        <v/>
      </c>
      <c r="K34" s="206">
        <f>H34+J34</f>
        <v/>
      </c>
      <c r="L34" s="44">
        <f>IF(ISBLANK(D34),"",voranmeldefrist_vierteljaehrlich(D34))</f>
        <v/>
      </c>
      <c r="M34" s="44" t="n">
        <v>42777</v>
      </c>
      <c r="N34" s="43">
        <f>IF(ISBLANK(D34),IF(TODAY()&gt;C34,TODAY()-C34,0),IF(D34&gt;C34,D34-C34,0))</f>
        <v/>
      </c>
    </row>
    <row r="35">
      <c r="A35" s="43" t="n">
        <v>12017001</v>
      </c>
      <c r="B35" s="44" t="n">
        <v>42749</v>
      </c>
      <c r="C35" s="44">
        <f>B35+14</f>
        <v/>
      </c>
      <c r="D35" s="44" t="n">
        <v>42789</v>
      </c>
      <c r="E35" s="44" t="n">
        <v>42782</v>
      </c>
      <c r="F35" s="43" t="inlineStr">
        <is>
          <t>Dr. Katalin Schiller, Neustiftgasse 2, Top 3, 2500 Baden</t>
        </is>
      </c>
      <c r="G35" s="43" t="inlineStr">
        <is>
          <t>Hosting</t>
        </is>
      </c>
      <c r="H35" s="206" t="n">
        <v>42</v>
      </c>
      <c r="I35" s="43" t="n">
        <v>20</v>
      </c>
      <c r="J35" s="206">
        <f>I35*H35/100</f>
        <v/>
      </c>
      <c r="K35" s="206">
        <f>H35+J35</f>
        <v/>
      </c>
      <c r="L35" s="44">
        <f>IF(ISBLANK(D35),"",voranmeldefrist_vierteljaehrlich(D35))</f>
        <v/>
      </c>
      <c r="M35" s="44" t="n">
        <v>42860</v>
      </c>
      <c r="N35" s="43">
        <f>IF(ISBLANK(D35),IF(TODAY()&gt;C35,TODAY()-C35,0),IF(D35&gt;C35,D35-C35,0))</f>
        <v/>
      </c>
    </row>
    <row r="36">
      <c r="A36" s="43" t="n">
        <v>12017002</v>
      </c>
      <c r="B36" s="44" t="n">
        <v>42830</v>
      </c>
      <c r="C36" s="44">
        <f>B36+14</f>
        <v/>
      </c>
      <c r="D36" s="44" t="n">
        <v>42836</v>
      </c>
      <c r="F36" s="43" t="inlineStr">
        <is>
          <t>H. Jaros e.U., Fischhof 3/23, 1010 Wien, ATU 67698048</t>
        </is>
      </c>
      <c r="G36" s="43" t="inlineStr">
        <is>
          <t>diverse</t>
        </is>
      </c>
      <c r="H36" s="206" t="n">
        <v>701.25</v>
      </c>
      <c r="I36" s="43" t="n">
        <v>20</v>
      </c>
      <c r="J36" s="206">
        <f>I36*H36/100</f>
        <v/>
      </c>
      <c r="K36" s="206">
        <f>H36+J36</f>
        <v/>
      </c>
      <c r="L36" s="44">
        <f>IF(ISBLANK(D36),"",voranmeldefrist_vierteljaehrlich(D36))</f>
        <v/>
      </c>
      <c r="M36" s="44" t="n">
        <v>42983</v>
      </c>
      <c r="N36" s="43">
        <f>IF(ISBLANK(D36),IF(TODAY()&gt;C36,TODAY()-C36,0),IF(D36&gt;C36,D36-C36,0))</f>
        <v/>
      </c>
    </row>
    <row r="37">
      <c r="A37" s="43" t="n">
        <v>12017003</v>
      </c>
      <c r="B37" s="44" t="n">
        <v>42857</v>
      </c>
      <c r="C37" s="44">
        <f>B37+14</f>
        <v/>
      </c>
      <c r="D37" s="44" t="n">
        <v>42858</v>
      </c>
      <c r="F37" s="43" t="inlineStr">
        <is>
          <t>Dr. Arno Kolbitsch, Zivilingenieur, Gütleweg 1, 6822 Satteins</t>
        </is>
      </c>
      <c r="G37" s="43" t="inlineStr">
        <is>
          <t>P15001MJ</t>
        </is>
      </c>
      <c r="H37" s="206" t="n">
        <v>2671.25</v>
      </c>
      <c r="I37" s="43" t="n">
        <v>20</v>
      </c>
      <c r="J37" s="206">
        <f>I37*H37/100</f>
        <v/>
      </c>
      <c r="K37" s="206">
        <f>H37+J37</f>
        <v/>
      </c>
      <c r="L37" s="44">
        <f>IF(ISBLANK(D37),"",voranmeldefrist_vierteljaehrlich(D37))</f>
        <v/>
      </c>
      <c r="M37" s="44" t="n">
        <v>42983</v>
      </c>
      <c r="N37" s="43">
        <f>IF(ISBLANK(D37),IF(TODAY()&gt;C37,TODAY()-C37,0),IF(D37&gt;C37,D37-C37,0))</f>
        <v/>
      </c>
    </row>
    <row r="38">
      <c r="A38" s="43" t="n">
        <v>12017004</v>
      </c>
      <c r="B38" s="44" t="n">
        <v>42998</v>
      </c>
      <c r="C38" s="44">
        <f>B38+14</f>
        <v/>
      </c>
      <c r="D38" s="44" t="n">
        <v>42999</v>
      </c>
      <c r="F38" t="inlineStr">
        <is>
          <t>foxcraft OG, Laudongasse 58/16, 1080 Wien</t>
        </is>
      </c>
      <c r="G38" s="43" t="inlineStr">
        <is>
          <t>BETRIEB</t>
        </is>
      </c>
      <c r="H38" s="206" t="n">
        <v>29.1</v>
      </c>
      <c r="I38" s="43" t="n">
        <v>20</v>
      </c>
      <c r="J38" s="206">
        <f>I38*H38/100</f>
        <v/>
      </c>
      <c r="K38" s="206">
        <f>H38+J38</f>
        <v/>
      </c>
      <c r="L38" s="44">
        <f>IF(ISBLANK(D38),"",voranmeldefrist_vierteljaehrlich(D38))</f>
        <v/>
      </c>
      <c r="M38" s="1" t="n">
        <v>43047</v>
      </c>
      <c r="N38" s="43">
        <f>IF(ISBLANK(D38),IF(TODAY()&gt;C38,TODAY()-C38,0),IF(D38&gt;C38,D38-C38,0))</f>
        <v/>
      </c>
    </row>
    <row r="39">
      <c r="A39" t="n">
        <v>12017005</v>
      </c>
      <c r="B39" s="44" t="n">
        <v>43035</v>
      </c>
      <c r="C39" s="1">
        <f>B39+14</f>
        <v/>
      </c>
      <c r="D39" s="44" t="n">
        <v>43039</v>
      </c>
      <c r="F39" s="43" t="inlineStr">
        <is>
          <t>Dr. Arno Kolbitsch, Zivilingenieur, Gütleweg 1, 6822 Satteins</t>
        </is>
      </c>
      <c r="G39" s="43" t="inlineStr">
        <is>
          <t>diverse</t>
        </is>
      </c>
      <c r="H39" s="206" t="n">
        <v>2193.75</v>
      </c>
      <c r="I39" s="43" t="n">
        <v>20</v>
      </c>
      <c r="J39" s="206">
        <f>I39*H39/100</f>
        <v/>
      </c>
      <c r="K39" s="206">
        <f>H39+J39</f>
        <v/>
      </c>
      <c r="L39" s="44">
        <f>IF(ISBLANK(D39),"",voranmeldefrist_vierteljaehrlich(D39))</f>
        <v/>
      </c>
      <c r="M39" s="1" t="n">
        <v>43134</v>
      </c>
      <c r="N39" s="43">
        <f>IF(ISBLANK(D39),IF(TODAY()&gt;C39,TODAY()-C39,0),IF(D39&gt;C39,D39-C39,0))</f>
        <v/>
      </c>
    </row>
    <row r="40">
      <c r="A40" t="n">
        <v>12017006</v>
      </c>
      <c r="B40" s="44" t="n">
        <v>43053</v>
      </c>
      <c r="C40" s="1">
        <f>B40+14</f>
        <v/>
      </c>
      <c r="D40" s="44" t="n">
        <v>43054</v>
      </c>
      <c r="F40" t="inlineStr">
        <is>
          <t>Stokol GmbH, Weiglg. 10/10d/11, 1150 Wien</t>
        </is>
      </c>
      <c r="G40" t="inlineStr">
        <is>
          <t>diverse</t>
        </is>
      </c>
      <c r="H40" s="206" t="n">
        <v>2150.51</v>
      </c>
      <c r="I40" t="n">
        <v>20</v>
      </c>
      <c r="J40" s="206">
        <f>I40*H40/100</f>
        <v/>
      </c>
      <c r="K40" s="206">
        <f>H40+J40</f>
        <v/>
      </c>
      <c r="L40" s="44">
        <f>IF(ISBLANK(D40),"",voranmeldefrist_vierteljaehrlich(D40))</f>
        <v/>
      </c>
      <c r="M40" s="1" t="n">
        <v>43134</v>
      </c>
      <c r="N40" s="43">
        <f>IF(ISBLANK(D40),IF(TODAY()&gt;C40,TODAY()-C40,0),IF(D40&gt;C40,D40-C40,0))</f>
        <v/>
      </c>
    </row>
    <row r="41">
      <c r="A41" t="n">
        <v>12017007</v>
      </c>
      <c r="B41" s="44" t="n">
        <v>43059</v>
      </c>
      <c r="C41" s="1">
        <f>B41+14</f>
        <v/>
      </c>
      <c r="D41" s="44" t="n">
        <v>43067</v>
      </c>
      <c r="F41" t="inlineStr">
        <is>
          <t>Stokol GmbH, Weiglg. 10/10d/11, 1150 Wien</t>
        </is>
      </c>
      <c r="G41" t="inlineStr">
        <is>
          <t>diverse</t>
        </is>
      </c>
      <c r="H41" s="206" t="n">
        <v>520.99</v>
      </c>
      <c r="I41" t="n">
        <v>20</v>
      </c>
      <c r="J41" s="206">
        <f>I41*H41/100</f>
        <v/>
      </c>
      <c r="K41" s="206">
        <f>H41+J41</f>
        <v/>
      </c>
      <c r="L41" s="44">
        <f>IF(ISBLANK(D41),"",voranmeldefrist_vierteljaehrlich(D41))</f>
        <v/>
      </c>
      <c r="M41" s="1" t="n">
        <v>43134</v>
      </c>
      <c r="N41" s="43">
        <f>IF(ISBLANK(D41),IF(TODAY()&gt;C41,TODAY()-C41,0),IF(D41&gt;C41,D41-C41,0))</f>
        <v/>
      </c>
    </row>
    <row r="42">
      <c r="A42" t="n">
        <v>12017008</v>
      </c>
      <c r="B42" s="44" t="n">
        <v>43089</v>
      </c>
      <c r="C42" s="1">
        <f>B42+14</f>
        <v/>
      </c>
      <c r="D42" s="44" t="n">
        <v>43091</v>
      </c>
      <c r="F42" t="inlineStr">
        <is>
          <t>foxcraft OG, Laudongasse 58/16, 1080 Wien</t>
        </is>
      </c>
      <c r="G42" t="inlineStr">
        <is>
          <t>LAUFEND</t>
        </is>
      </c>
      <c r="H42" s="206" t="n">
        <v>600</v>
      </c>
      <c r="I42" t="n">
        <v>20</v>
      </c>
      <c r="J42" s="206">
        <f>I42*H42/100</f>
        <v/>
      </c>
      <c r="K42" s="206">
        <f>H42+J42</f>
        <v/>
      </c>
      <c r="L42" s="44">
        <f>IF(ISBLANK(D42),"",voranmeldefrist_vierteljaehrlich(D42))</f>
        <v/>
      </c>
      <c r="M42" s="1" t="n">
        <v>43134</v>
      </c>
      <c r="N42" s="43">
        <f>IF(ISBLANK(D42),IF(TODAY()&gt;C42,TODAY()-C42,0),IF(D42&gt;C42,D42-C42,0))</f>
        <v/>
      </c>
    </row>
    <row r="43">
      <c r="A43" t="n">
        <v>12017009</v>
      </c>
      <c r="B43" s="44" t="n">
        <v>43089</v>
      </c>
      <c r="C43" s="1">
        <f>B43+14</f>
        <v/>
      </c>
      <c r="D43" s="44" t="n">
        <v>43097</v>
      </c>
      <c r="F43" s="43" t="inlineStr">
        <is>
          <t>Dr. Arno Kolbitsch, Zivilingenieur, Gütleweg 1, 6822 Satteins</t>
        </is>
      </c>
      <c r="G43" s="43" t="inlineStr">
        <is>
          <t>P15001MJ</t>
        </is>
      </c>
      <c r="H43" s="206" t="n">
        <v>7629.69</v>
      </c>
      <c r="I43" t="n">
        <v>20</v>
      </c>
      <c r="J43" s="206">
        <f>I43*H43/100</f>
        <v/>
      </c>
      <c r="K43" s="206">
        <f>H43+J43</f>
        <v/>
      </c>
      <c r="L43" s="44">
        <f>IF(ISBLANK(D43),"",voranmeldefrist_vierteljaehrlich(D43))</f>
        <v/>
      </c>
      <c r="M43" s="1" t="n">
        <v>43134</v>
      </c>
      <c r="N43" s="43">
        <f>IF(ISBLANK(D43),IF(TODAY()&gt;C43,TODAY()-C43,0),IF(D43&gt;C43,D43-C43,0))</f>
        <v/>
      </c>
    </row>
    <row r="44">
      <c r="A44" t="n">
        <v>12017010</v>
      </c>
      <c r="B44" s="44" t="n">
        <v>43091</v>
      </c>
      <c r="C44" s="1">
        <f>B44+14</f>
        <v/>
      </c>
      <c r="D44" s="44" t="n">
        <v>43098</v>
      </c>
      <c r="F44" t="inlineStr">
        <is>
          <t>Stokol GmbH, Weiglg. 10/10d/11, 1150 Wien</t>
        </is>
      </c>
      <c r="G44" t="inlineStr">
        <is>
          <t>diverse</t>
        </is>
      </c>
      <c r="H44" s="206" t="n">
        <v>8976.17</v>
      </c>
      <c r="I44" t="n">
        <v>20</v>
      </c>
      <c r="J44" s="206">
        <f>I44*H44/100</f>
        <v/>
      </c>
      <c r="K44" s="206">
        <f>H44+J44</f>
        <v/>
      </c>
      <c r="L44" s="44">
        <f>IF(ISBLANK(D44),"",voranmeldefrist_vierteljaehrlich(D44))</f>
        <v/>
      </c>
      <c r="M44" s="1" t="n">
        <v>43134</v>
      </c>
      <c r="N44" s="43">
        <f>IF(ISBLANK(D44),IF(TODAY()&gt;C44,TODAY()-C44,0),IF(D44&gt;C44,D44-C44,0))</f>
        <v/>
      </c>
    </row>
    <row r="45">
      <c r="A45" t="n">
        <v>12018001</v>
      </c>
      <c r="B45" s="44" t="n">
        <v>43215</v>
      </c>
      <c r="C45" s="1">
        <f>B45+14</f>
        <v/>
      </c>
      <c r="D45" s="44" t="n">
        <v>43215</v>
      </c>
      <c r="F45" s="43" t="inlineStr">
        <is>
          <t>Dr. Arno Kolbitsch, Zivilingenieur, Gütleweg 1, 6822 Satteins</t>
        </is>
      </c>
      <c r="G45" s="43" t="inlineStr">
        <is>
          <t>P15001MJ</t>
        </is>
      </c>
      <c r="H45" s="206" t="n">
        <v>347.65</v>
      </c>
      <c r="I45" t="n">
        <v>20</v>
      </c>
      <c r="J45" s="206">
        <f>I45*H45/100</f>
        <v/>
      </c>
      <c r="K45" s="206">
        <f>H45+J45</f>
        <v/>
      </c>
      <c r="L45" s="44">
        <f>IF(ISBLANK(D45),"",voranmeldefrist_vierteljaehrlich(D45))</f>
        <v/>
      </c>
      <c r="M45" s="1" t="n">
        <v>43318</v>
      </c>
      <c r="N45" s="43">
        <f>IF(ISBLANK(D45),IF(TODAY()&gt;C45,TODAY()-C45,0),IF(D45&gt;C45,D45-C45,0))</f>
        <v/>
      </c>
    </row>
    <row r="46">
      <c r="A46" t="n">
        <v>12018002</v>
      </c>
      <c r="B46" s="1" t="n">
        <v>43220</v>
      </c>
      <c r="C46" s="1">
        <f>B46+14</f>
        <v/>
      </c>
      <c r="D46" s="44" t="n">
        <v>43223</v>
      </c>
      <c r="F46" t="inlineStr">
        <is>
          <t>Stokol GmbH, Weiglg. 10/10d/11, 1150 Wien</t>
        </is>
      </c>
      <c r="H46" s="206" t="n">
        <v>839.03</v>
      </c>
      <c r="I46" t="n">
        <v>20</v>
      </c>
      <c r="J46" s="206">
        <f>I46*H46/100</f>
        <v/>
      </c>
      <c r="K46" s="206">
        <f>H46+J46</f>
        <v/>
      </c>
      <c r="L46" s="44">
        <f>IF(ISBLANK(D46),"",voranmeldefrist_vierteljaehrlich(D46))</f>
        <v/>
      </c>
      <c r="M46" s="1" t="n">
        <v>43318</v>
      </c>
      <c r="N46" s="43">
        <f>IF(ISBLANK(D46),IF(TODAY()&gt;C46,TODAY()-C46,0),IF(D46&gt;C46,D46-C46,0))</f>
        <v/>
      </c>
    </row>
    <row r="47">
      <c r="A47" t="n">
        <v>12018003</v>
      </c>
      <c r="B47" s="44" t="n">
        <v>43287</v>
      </c>
      <c r="C47" s="1">
        <f>B47+14</f>
        <v/>
      </c>
      <c r="D47" s="44" t="n">
        <v>43290</v>
      </c>
      <c r="F47" s="43" t="inlineStr">
        <is>
          <t>H. Jaros e.U., Fischhof 3/23, 1010 Wien, ATU 67698048</t>
        </is>
      </c>
      <c r="H47" s="206" t="n">
        <v>2333.69</v>
      </c>
      <c r="I47" t="n">
        <v>20</v>
      </c>
      <c r="J47" s="206">
        <f>I47*H47/100</f>
        <v/>
      </c>
      <c r="K47" s="206">
        <f>H47+J47</f>
        <v/>
      </c>
      <c r="L47" s="44">
        <f>IF(ISBLANK(D47),"",voranmeldefrist_vierteljaehrlich(D47))</f>
        <v/>
      </c>
      <c r="M47" s="44" t="n">
        <v>43418</v>
      </c>
      <c r="N47" s="43">
        <f>IF(ISBLANK(D47),IF(TODAY()&gt;C47,TODAY()-C47,0),IF(D47&gt;C47,D47-C47,0))</f>
        <v/>
      </c>
    </row>
    <row r="48">
      <c r="A48" t="n">
        <v>12018004</v>
      </c>
      <c r="B48" s="44" t="n">
        <v>43290</v>
      </c>
      <c r="C48" s="1">
        <f>B48+14</f>
        <v/>
      </c>
      <c r="D48" s="44" t="n">
        <v>43292</v>
      </c>
      <c r="F48" t="inlineStr">
        <is>
          <t>Stokol GmbH, Weiglg. 10/10d/11, 1150 Wien</t>
        </is>
      </c>
      <c r="H48" s="206" t="n">
        <v>697.65</v>
      </c>
      <c r="I48" t="n">
        <v>20</v>
      </c>
      <c r="J48" s="206">
        <f>I48*H48/100</f>
        <v/>
      </c>
      <c r="K48" s="206">
        <f>H48+J48</f>
        <v/>
      </c>
      <c r="L48" s="44">
        <f>IF(ISBLANK(D48),"",voranmeldefrist_vierteljaehrlich(D48))</f>
        <v/>
      </c>
      <c r="M48" s="44" t="n">
        <v>43418</v>
      </c>
      <c r="N48" s="43">
        <f>IF(ISBLANK(D48),IF(TODAY()&gt;C48,TODAY()-C48,0),IF(D48&gt;C48,D48-C48,0))</f>
        <v/>
      </c>
    </row>
    <row r="49">
      <c r="A49" t="n">
        <v>12018005</v>
      </c>
      <c r="B49" s="44" t="n">
        <v>43289</v>
      </c>
      <c r="C49" s="1">
        <f>B49+14</f>
        <v/>
      </c>
      <c r="D49" s="44" t="n">
        <v>43291</v>
      </c>
      <c r="F49" s="43" t="inlineStr">
        <is>
          <t>Dr. Arno Kolbitsch, Zivilingenieur, Gütleweg 1, 6822 Satteins</t>
        </is>
      </c>
      <c r="G49" s="43" t="inlineStr">
        <is>
          <t>P15001MJ</t>
        </is>
      </c>
      <c r="H49" s="206" t="n">
        <v>10.32</v>
      </c>
      <c r="I49" t="n">
        <v>20</v>
      </c>
      <c r="J49" s="206">
        <f>I49*H49/100</f>
        <v/>
      </c>
      <c r="K49" s="206">
        <f>H49+J49</f>
        <v/>
      </c>
      <c r="L49" s="44">
        <f>IF(ISBLANK(D49),"",voranmeldefrist_vierteljaehrlich(D49))</f>
        <v/>
      </c>
      <c r="M49" s="44" t="n">
        <v>43418</v>
      </c>
      <c r="N49" s="43">
        <f>IF(ISBLANK(D49),IF(TODAY()&gt;C49,TODAY()-C49,0),IF(D49&gt;C49,D49-C49,0))</f>
        <v/>
      </c>
    </row>
    <row r="50">
      <c r="A50" t="n">
        <v>12018006</v>
      </c>
      <c r="B50" s="44" t="n">
        <v>43314</v>
      </c>
      <c r="C50" s="1">
        <f>B50+14</f>
        <v/>
      </c>
      <c r="D50" s="44" t="n">
        <v>43315</v>
      </c>
      <c r="F50" s="43" t="inlineStr">
        <is>
          <t>H. Jaros e.U., Fischhof 3/23, 1010 Wien, ATU 67698048</t>
        </is>
      </c>
      <c r="H50" s="206" t="n">
        <v>12146.82</v>
      </c>
      <c r="I50" t="n">
        <v>20</v>
      </c>
      <c r="J50" s="206">
        <f>I50*H50/100</f>
        <v/>
      </c>
      <c r="K50" s="206" t="n">
        <v>14576.19</v>
      </c>
      <c r="L50" s="44">
        <f>IF(ISBLANK(D50),"",voranmeldefrist_vierteljaehrlich(D50))</f>
        <v/>
      </c>
      <c r="M50" s="44" t="n">
        <v>43418</v>
      </c>
      <c r="N50" s="43">
        <f>IF(ISBLANK(D50),IF(TODAY()&gt;C50,TODAY()-C50,0),IF(D50&gt;C50,D50-C50,0))</f>
        <v/>
      </c>
    </row>
    <row r="51">
      <c r="A51" t="n">
        <v>12018007</v>
      </c>
      <c r="B51" s="44" t="n">
        <v>43376</v>
      </c>
      <c r="C51" s="1">
        <f>B51+14</f>
        <v/>
      </c>
      <c r="D51" s="44" t="n">
        <v>43358</v>
      </c>
      <c r="F51" s="43" t="inlineStr">
        <is>
          <t>Dr. Arno Kolbitsch, Zivilingenieur, Gütleweg 1, 6822 Satteins</t>
        </is>
      </c>
      <c r="G51" s="43" t="inlineStr">
        <is>
          <t>P15001MJ</t>
        </is>
      </c>
      <c r="H51" s="206" t="n">
        <v>299.99</v>
      </c>
      <c r="I51" t="n">
        <v>20</v>
      </c>
      <c r="J51" s="206">
        <f>I51*H51/100</f>
        <v/>
      </c>
      <c r="K51" s="206">
        <f>H51+J51</f>
        <v/>
      </c>
      <c r="L51" s="44">
        <f>IF(ISBLANK(D51),"",voranmeldefrist_vierteljaehrlich(D51))</f>
        <v/>
      </c>
      <c r="M51" s="44" t="n">
        <v>43418</v>
      </c>
      <c r="N51" s="43">
        <f>IF(ISBLANK(D51),IF(TODAY()&gt;C51,TODAY()-C51,0),IF(D51&gt;C51,D51-C51,0))</f>
        <v/>
      </c>
    </row>
    <row r="52">
      <c r="A52" t="n">
        <v>12018008</v>
      </c>
      <c r="B52" s="44" t="n">
        <v>43376</v>
      </c>
      <c r="C52" s="1">
        <f>B52+14</f>
        <v/>
      </c>
      <c r="D52" s="44" t="n">
        <v>43409</v>
      </c>
      <c r="E52" s="44" t="n">
        <v>43397</v>
      </c>
      <c r="F52" t="inlineStr">
        <is>
          <t>Stokol GmbH, Weiglg. 10/10d/11, 1150 Wien</t>
        </is>
      </c>
      <c r="H52" s="206" t="n">
        <v>308.1</v>
      </c>
      <c r="I52" t="n">
        <v>20</v>
      </c>
      <c r="J52" s="206">
        <f>I52*H52/100</f>
        <v/>
      </c>
      <c r="K52" s="206">
        <f>H52+J52</f>
        <v/>
      </c>
      <c r="L52" s="44">
        <f>IF(ISBLANK(D52),"",voranmeldefrist_vierteljaehrlich(D52))</f>
        <v/>
      </c>
      <c r="N52" s="43">
        <f>IF(ISBLANK(D52),IF(TODAY()&gt;C52,TODAY()-C52,0),IF(D52&gt;C52,D52-C52,0))</f>
        <v/>
      </c>
    </row>
    <row r="53">
      <c r="A53" t="n">
        <v>12018009</v>
      </c>
      <c r="B53" s="44" t="n">
        <v>43418</v>
      </c>
      <c r="C53" s="1">
        <f>B53+14</f>
        <v/>
      </c>
      <c r="D53" s="44" t="n">
        <v>43388</v>
      </c>
      <c r="F53" s="43" t="inlineStr">
        <is>
          <t>Dr. Arno Kolbitsch, Zivilingenieur, Gütleweg 1, 6822 Satteins</t>
        </is>
      </c>
      <c r="G53" s="43" t="inlineStr">
        <is>
          <t>P15001MJ</t>
        </is>
      </c>
      <c r="H53" s="206" t="n">
        <v>488.58</v>
      </c>
      <c r="I53" t="n">
        <v>20</v>
      </c>
      <c r="J53" s="206">
        <f>I53*H53/100</f>
        <v/>
      </c>
      <c r="K53" s="206">
        <f>H53+J53</f>
        <v/>
      </c>
      <c r="L53" s="44">
        <f>IF(ISBLANK(D53),"",voranmeldefrist_vierteljaehrlich(D53))</f>
        <v/>
      </c>
      <c r="M53" s="44" t="n"/>
      <c r="N53" s="43">
        <f>IF(ISBLANK(D53),IF(TODAY()&gt;C53,TODAY()-C53,0),IF(D53&gt;C53,D53-C53,0))</f>
        <v/>
      </c>
    </row>
    <row r="54">
      <c r="A54" t="n">
        <v>12018010</v>
      </c>
      <c r="B54" s="44" t="n">
        <v>43454</v>
      </c>
      <c r="C54" s="44">
        <f>B54+14</f>
        <v/>
      </c>
      <c r="D54" s="44" t="n">
        <v>43462</v>
      </c>
      <c r="F54" t="inlineStr">
        <is>
          <t>foxcraft OG, Laudongasse 58/16, 1080 Wien</t>
        </is>
      </c>
      <c r="H54" s="206" t="n">
        <v>793.78</v>
      </c>
      <c r="I54" t="n">
        <v>20</v>
      </c>
      <c r="J54" s="206">
        <f>I54*H54/100</f>
        <v/>
      </c>
      <c r="K54" s="206">
        <f>H54+J54</f>
        <v/>
      </c>
      <c r="L54" s="44">
        <f>IF(ISBLANK(D54),"",voranmeldefrist_vierteljaehrlich(D54))</f>
        <v/>
      </c>
      <c r="N54" s="43">
        <f>IF(ISBLANK(D54),IF(TODAY()&gt;C54,TODAY()-C54,0),IF(D54&gt;C54,D54-C54,0))</f>
        <v/>
      </c>
    </row>
    <row r="55">
      <c r="A55" t="n">
        <v>12018011</v>
      </c>
      <c r="B55" s="44" t="n">
        <v>43454</v>
      </c>
      <c r="C55" s="44">
        <f>B55+14</f>
        <v/>
      </c>
      <c r="D55" s="44" t="n">
        <v>43482</v>
      </c>
      <c r="F55" t="inlineStr">
        <is>
          <t>Franz Hauer GesmbH &amp; Co KG, Werksstraße 6, 3125 Statzendorf</t>
        </is>
      </c>
      <c r="H55" s="206" t="n">
        <v>1696.6</v>
      </c>
      <c r="I55" t="n">
        <v>20</v>
      </c>
      <c r="J55" s="206">
        <f>I55*H55/100</f>
        <v/>
      </c>
      <c r="K55" s="206">
        <f>H55+J55</f>
        <v/>
      </c>
      <c r="L55" s="44">
        <f>IF(ISBLANK(D55),"",voranmeldefrist_vierteljaehrlich(D55))</f>
        <v/>
      </c>
      <c r="N55" s="43">
        <f>IF(ISBLANK(D55),IF(TODAY()&gt;C55,TODAY()-C55,0),IF(D55&gt;C55,D55-C55,0))</f>
        <v/>
      </c>
    </row>
    <row r="56">
      <c r="A56" t="n">
        <v>12018012</v>
      </c>
      <c r="B56" s="44" t="n">
        <v>43461</v>
      </c>
      <c r="C56" s="1">
        <f>B56+14</f>
        <v/>
      </c>
      <c r="D56" s="44" t="n">
        <v>43476</v>
      </c>
      <c r="F56" t="inlineStr">
        <is>
          <t>Stokol GmbH, Weiglg. 10/10d/11, 1150 Wien</t>
        </is>
      </c>
      <c r="H56" s="206" t="n">
        <v>1704.88</v>
      </c>
      <c r="I56" t="n">
        <v>20</v>
      </c>
      <c r="J56" s="206">
        <f>I56*H56/100</f>
        <v/>
      </c>
      <c r="K56" s="206">
        <f>H56+J56</f>
        <v/>
      </c>
      <c r="L56" s="44">
        <f>IF(ISBLANK(D56),"",voranmeldefrist_vierteljaehrlich(D56))</f>
        <v/>
      </c>
      <c r="N56" s="43">
        <f>IF(ISBLANK(D56),IF(TODAY()&gt;C56,TODAY()-C56,0),IF(D56&gt;C56,D56-C56,0))</f>
        <v/>
      </c>
    </row>
    <row r="57">
      <c r="A57" t="n">
        <v>12018013</v>
      </c>
      <c r="B57" s="44" t="n">
        <v>43461</v>
      </c>
      <c r="C57" s="1">
        <f>B57+14</f>
        <v/>
      </c>
      <c r="D57" s="44" t="n">
        <v>43509</v>
      </c>
      <c r="E57" s="44" t="n">
        <v>43137</v>
      </c>
      <c r="F57" t="inlineStr">
        <is>
          <t>Koltschik GmbH, Josef Stadlmaiergasse 2/19, 3003 Gablitz</t>
        </is>
      </c>
      <c r="H57" s="206" t="n">
        <v>93.75</v>
      </c>
      <c r="I57" t="n">
        <v>20</v>
      </c>
      <c r="J57" s="206">
        <f>I57*H57/100</f>
        <v/>
      </c>
      <c r="K57" s="206">
        <f>H57+J57</f>
        <v/>
      </c>
      <c r="L57" s="44">
        <f>IF(ISBLANK(D57),"",voranmeldefrist_vierteljaehrlich(D57))</f>
        <v/>
      </c>
      <c r="N57" s="43">
        <f>IF(ISBLANK(D57),IF(TODAY()&gt;C57,TODAY()-C57,0),IF(D57&gt;C57,D57-C57,0))</f>
        <v/>
      </c>
    </row>
    <row r="58">
      <c r="A58" t="n">
        <v>12018014</v>
      </c>
      <c r="B58" s="44" t="n">
        <v>43461</v>
      </c>
      <c r="C58" s="1">
        <f>B58+14</f>
        <v/>
      </c>
      <c r="D58" s="44" t="n">
        <v>43461</v>
      </c>
      <c r="F58" s="43" t="inlineStr">
        <is>
          <t>Dr. Arno Kolbitsch, Zivilingenieur, Gütleweg 1, 6822 Satteins</t>
        </is>
      </c>
      <c r="H58" s="206" t="n">
        <v>8438.129999999999</v>
      </c>
      <c r="I58" t="n">
        <v>20</v>
      </c>
      <c r="J58" s="206">
        <f>I58*H58/100</f>
        <v/>
      </c>
      <c r="K58" s="206">
        <f>H58+J58</f>
        <v/>
      </c>
      <c r="L58" s="44">
        <f>IF(ISBLANK(D58),"",voranmeldefrist_vierteljaehrlich(D58))</f>
        <v/>
      </c>
      <c r="N58" s="43">
        <f>IF(ISBLANK(D58),IF(TODAY()&gt;C58,TODAY()-C58,0),IF(D58&gt;C58,D58-C58,0))</f>
        <v/>
      </c>
    </row>
    <row r="59">
      <c r="A59" t="n">
        <v>12018015</v>
      </c>
      <c r="B59" s="44" t="n">
        <v>43461</v>
      </c>
      <c r="C59" s="1">
        <f>B59+14</f>
        <v/>
      </c>
      <c r="D59" s="44" t="n">
        <v>43474</v>
      </c>
      <c r="F59" s="43" t="inlineStr">
        <is>
          <t>H. Jaros e.U., Fischhof 3/23, 1010 Wien, ATU 67698048</t>
        </is>
      </c>
      <c r="H59" s="206" t="n">
        <v>561.84</v>
      </c>
      <c r="I59" t="n">
        <v>20</v>
      </c>
      <c r="J59" s="206">
        <f>I59*H59/100</f>
        <v/>
      </c>
      <c r="K59" s="206">
        <f>H59+J59</f>
        <v/>
      </c>
      <c r="L59" s="44">
        <f>IF(ISBLANK(D59),"",voranmeldefrist_vierteljaehrlich(D59))</f>
        <v/>
      </c>
      <c r="N59" s="43">
        <f>IF(ISBLANK(D59),IF(TODAY()&gt;C59,TODAY()-C59,0),IF(D59&gt;C59,D59-C59,0))</f>
        <v/>
      </c>
    </row>
    <row r="60">
      <c r="A60" t="n">
        <v>12018016</v>
      </c>
      <c r="B60" s="44" t="n">
        <v>43451</v>
      </c>
      <c r="C60" s="1" t="n">
        <v>43481</v>
      </c>
      <c r="D60" s="44" t="n">
        <v>43481</v>
      </c>
      <c r="F60" t="inlineStr">
        <is>
          <t>Hays Österreich GmbH, Bahnhof City Wien West, Europaplatz 3/5, 1150 Wien; Gutschrift (Abrechnung durch Leistungsempfänger)</t>
        </is>
      </c>
      <c r="H60" s="206" t="n">
        <v>1504.5</v>
      </c>
      <c r="I60" t="n">
        <v>20</v>
      </c>
      <c r="J60" s="206">
        <f>I60*H60/100</f>
        <v/>
      </c>
      <c r="K60" s="206">
        <f>H60+J60</f>
        <v/>
      </c>
      <c r="L60" s="44">
        <f>IF(ISBLANK(D60),"",voranmeldefrist_vierteljaehrlich(D60))</f>
        <v/>
      </c>
      <c r="N60" s="43">
        <f>IF(ISBLANK(D60),IF(TODAY()&gt;C60,TODAY()-C60,0),IF(D60&gt;C60,D60-C60,0))</f>
        <v/>
      </c>
    </row>
    <row r="61">
      <c r="A61" t="n">
        <v>12018017</v>
      </c>
      <c r="B61" s="44" t="n">
        <v>43451</v>
      </c>
      <c r="C61" s="44" t="n">
        <v>43491</v>
      </c>
      <c r="D61" s="44" t="n">
        <v>43490</v>
      </c>
      <c r="F61" t="inlineStr">
        <is>
          <t>Hays Österreich GmbH, Bahnhof City Wien West, Europaplatz 3/5, 1150 Wien; Gutschrift (Abrechnung durch Leistungsempfänger)</t>
        </is>
      </c>
      <c r="H61" s="206" t="n">
        <v>3215.5</v>
      </c>
      <c r="I61" t="n">
        <v>20</v>
      </c>
      <c r="J61" s="206">
        <f>I61*H61/100</f>
        <v/>
      </c>
      <c r="K61" s="206">
        <f>H61+J61</f>
        <v/>
      </c>
      <c r="L61" s="44">
        <f>IF(ISBLANK(D61),"",voranmeldefrist_vierteljaehrlich(D61))</f>
        <v/>
      </c>
      <c r="N61" s="43">
        <f>IF(ISBLANK(D61),IF(TODAY()&gt;C61,TODAY()-C61,0),IF(D61&gt;C61,D61-C61,0))</f>
        <v/>
      </c>
    </row>
    <row r="62">
      <c r="A62" s="43" t="n">
        <v>12019001</v>
      </c>
      <c r="B62" s="44" t="n">
        <v>43559</v>
      </c>
      <c r="C62" s="1">
        <f>B62+14</f>
        <v/>
      </c>
      <c r="D62" s="44" t="n">
        <v>43648</v>
      </c>
      <c r="F62" s="43" t="inlineStr">
        <is>
          <t>Dr. Arno Kolbitsch, Zivilingenieur, Gütleweg 1, 6822 Satteins</t>
        </is>
      </c>
      <c r="H62" s="206" t="n">
        <v>12.42</v>
      </c>
      <c r="I62" t="n">
        <v>20</v>
      </c>
      <c r="J62" s="206">
        <f>I62*H62/100</f>
        <v/>
      </c>
      <c r="K62" s="206">
        <f>H62+J62</f>
        <v/>
      </c>
      <c r="L62" s="44">
        <f>IF(ISBLANK(D62),"",voranmeldefrist_vierteljaehrlich(D62))</f>
        <v/>
      </c>
      <c r="N62" s="43">
        <f>IF(ISBLANK(D62),IF(TODAY()&gt;C62,TODAY()-C62,0),IF(D62&gt;C62,D62-C62,0))</f>
        <v/>
      </c>
    </row>
    <row r="63">
      <c r="A63" t="n">
        <v>12019002</v>
      </c>
      <c r="B63" s="44" t="n">
        <v>43559</v>
      </c>
      <c r="C63" s="1">
        <f>B63+14</f>
        <v/>
      </c>
      <c r="D63" s="44" t="n">
        <v>43564</v>
      </c>
      <c r="F63" t="inlineStr">
        <is>
          <t>Stokol GmbH, Weiglg. 10/10d/11, 1150 Wien</t>
        </is>
      </c>
      <c r="H63" s="206" t="n">
        <v>649.4</v>
      </c>
      <c r="I63" s="43" t="n">
        <v>20</v>
      </c>
      <c r="J63" s="206">
        <f>I63*H63/100</f>
        <v/>
      </c>
      <c r="K63" s="206">
        <f>H63+J63</f>
        <v/>
      </c>
      <c r="L63" s="44">
        <f>IF(ISBLANK(D63),"",voranmeldefrist_vierteljaehrlich(D63))</f>
        <v/>
      </c>
      <c r="N63" s="43">
        <f>IF(ISBLANK(D63),IF(TODAY()&gt;C63,TODAY()-C63,0),IF(D63&gt;C63,D63-C63,0))</f>
        <v/>
      </c>
    </row>
    <row r="64">
      <c r="A64" s="43" t="n">
        <v>12019003</v>
      </c>
      <c r="B64" s="44" t="n">
        <v>43559</v>
      </c>
      <c r="C64" s="1">
        <f>B64+14</f>
        <v/>
      </c>
      <c r="D64" s="44" t="n">
        <v>43571</v>
      </c>
      <c r="F64" t="inlineStr">
        <is>
          <t>Schick Küchendesign e.U. Alexander Schick, Linzerstraße 247, 1140 Wien</t>
        </is>
      </c>
      <c r="H64" s="206" t="n">
        <v>700.75</v>
      </c>
      <c r="I64" t="n">
        <v>20</v>
      </c>
      <c r="J64" s="206">
        <f>I64*H64/100</f>
        <v/>
      </c>
      <c r="K64" s="206">
        <f>H64+J64</f>
        <v/>
      </c>
      <c r="L64" s="44">
        <f>IF(ISBLANK(D64),"",voranmeldefrist_vierteljaehrlich(D64))</f>
        <v/>
      </c>
      <c r="N64" s="43">
        <f>IF(ISBLANK(D64),IF(TODAY()&gt;C64,TODAY()-C64,0),IF(D64&gt;C64,D64-C64,0))</f>
        <v/>
      </c>
    </row>
    <row r="65">
      <c r="A65" t="n">
        <v>12019004</v>
      </c>
      <c r="B65" s="1" t="n">
        <v>43560</v>
      </c>
      <c r="C65" s="1">
        <f>B65+14</f>
        <v/>
      </c>
      <c r="D65" s="44" t="n">
        <v>43565</v>
      </c>
      <c r="F65" s="43" t="inlineStr">
        <is>
          <t>H. Jaros e.U., Fischhof 3/23, 1010 Wien, ATU 67698048</t>
        </is>
      </c>
      <c r="H65" s="206" t="n">
        <v>5101.16</v>
      </c>
      <c r="I65" t="n">
        <v>20</v>
      </c>
      <c r="J65" s="206">
        <f>I65*H65/100</f>
        <v/>
      </c>
      <c r="K65" s="206">
        <f>H65+J65</f>
        <v/>
      </c>
      <c r="L65" s="44">
        <f>IF(ISBLANK(D65),"",voranmeldefrist_vierteljaehrlich(D65))</f>
        <v/>
      </c>
      <c r="N65" s="43">
        <f>IF(ISBLANK(D65),IF(TODAY()&gt;C65,TODAY()-C65,0),IF(D65&gt;C65,D65-C65,0))</f>
        <v/>
      </c>
    </row>
    <row r="66">
      <c r="A66" s="43" t="n">
        <v>12019005</v>
      </c>
      <c r="B66" s="44" t="n">
        <v>43584</v>
      </c>
      <c r="C66" s="1">
        <f>B66+14</f>
        <v/>
      </c>
      <c r="D66" s="44" t="n">
        <v>43598</v>
      </c>
      <c r="F66" t="inlineStr">
        <is>
          <t>Franz Hauer GesmbH &amp; Co KG, Werksstraße 6, 3125 Statzendorf</t>
        </is>
      </c>
      <c r="H66" s="206" t="n">
        <v>3671.15</v>
      </c>
      <c r="I66" s="43" t="n">
        <v>20</v>
      </c>
      <c r="J66" s="206">
        <f>I66*H66/100</f>
        <v/>
      </c>
      <c r="K66" s="206">
        <f>H66+J66</f>
        <v/>
      </c>
      <c r="L66" s="44">
        <f>IF(ISBLANK(D66),"",voranmeldefrist_vierteljaehrlich(D66))</f>
        <v/>
      </c>
      <c r="N66" s="43">
        <f>IF(ISBLANK(D66),IF(TODAY()&gt;C66,TODAY()-C66,0),IF(D66&gt;C66,D66-C66,0))</f>
        <v/>
      </c>
    </row>
    <row r="67">
      <c r="A67" t="n">
        <v>12019006</v>
      </c>
      <c r="B67" s="44" t="n">
        <v>43616</v>
      </c>
      <c r="C67" s="1">
        <f>B67+14</f>
        <v/>
      </c>
      <c r="D67" s="44" t="n">
        <v>43629</v>
      </c>
      <c r="F67" s="43" t="inlineStr">
        <is>
          <t>Wedding Avenue e.U., Mayerweckstrasse 2-8/99/1, 1210 Wien</t>
        </is>
      </c>
      <c r="H67" s="206" t="n">
        <v>1657.5</v>
      </c>
      <c r="I67" s="43" t="n">
        <v>20</v>
      </c>
      <c r="J67" s="206">
        <f>I67*H67/100</f>
        <v/>
      </c>
      <c r="K67" s="206">
        <f>H67+J67</f>
        <v/>
      </c>
      <c r="L67" s="44">
        <f>IF(ISBLANK(D67),"",voranmeldefrist_vierteljaehrlich(D67))</f>
        <v/>
      </c>
      <c r="N67" s="43">
        <f>IF(ISBLANK(D67),IF(TODAY()&gt;C67,TODAY()-C67,0),IF(D67&gt;C67,D67-C67,0))</f>
        <v/>
      </c>
    </row>
    <row r="68">
      <c r="A68" t="n">
        <v>12019007</v>
      </c>
      <c r="B68" s="44" t="n">
        <v>43633</v>
      </c>
      <c r="C68" s="1">
        <f>B68+14</f>
        <v/>
      </c>
      <c r="D68" s="44" t="n">
        <v>43647</v>
      </c>
      <c r="F68" t="inlineStr">
        <is>
          <t>Franz Hauer GesmbH &amp; Co KG, Werksstraße 6, 3125 Statzendorf</t>
        </is>
      </c>
      <c r="H68" s="206" t="n">
        <v>2502.5</v>
      </c>
      <c r="I68" s="43" t="n">
        <v>20</v>
      </c>
      <c r="J68" s="206">
        <f>I68*H68/100</f>
        <v/>
      </c>
      <c r="K68" s="206">
        <f>H68+J68</f>
        <v/>
      </c>
      <c r="L68" s="44">
        <f>IF(ISBLANK(D68),"",voranmeldefrist_vierteljaehrlich(D68))</f>
        <v/>
      </c>
      <c r="N68" s="43">
        <f>IF(ISBLANK(D68),IF(TODAY()&gt;C68,TODAY()-C68,0),IF(D68&gt;C68,D68-C68,0))</f>
        <v/>
      </c>
    </row>
    <row r="69">
      <c r="A69" t="n">
        <v>12019008</v>
      </c>
      <c r="B69" s="44" t="n">
        <v>43647</v>
      </c>
      <c r="C69" s="1">
        <f>B69+14</f>
        <v/>
      </c>
      <c r="D69" s="44" t="n">
        <v>43648</v>
      </c>
      <c r="F69" s="43" t="inlineStr">
        <is>
          <t>Dr. Arno Kolbitsch, Zivilingenieur, Gütleweg 1, 6822 Satteins</t>
        </is>
      </c>
      <c r="H69" s="206" t="n">
        <v>134.6</v>
      </c>
      <c r="I69" s="43" t="n">
        <v>20</v>
      </c>
      <c r="J69" s="206">
        <f>I69*H69/100</f>
        <v/>
      </c>
      <c r="K69" s="206">
        <f>H69+J69</f>
        <v/>
      </c>
      <c r="L69" s="44">
        <f>IF(ISBLANK(D69),"",voranmeldefrist_vierteljaehrlich(D69))</f>
        <v/>
      </c>
      <c r="N69" s="43">
        <f>IF(ISBLANK(D69),IF(TODAY()&gt;C69,TODAY()-C69,0),IF(D69&gt;C69,D69-C69,0))</f>
        <v/>
      </c>
    </row>
    <row r="70">
      <c r="A70" t="n">
        <v>12019009</v>
      </c>
      <c r="B70" s="44" t="n">
        <v>43647</v>
      </c>
      <c r="C70" s="1">
        <f>B70+14</f>
        <v/>
      </c>
      <c r="D70" s="44" t="n">
        <v>43661</v>
      </c>
      <c r="F70" t="inlineStr">
        <is>
          <t>Franz Hauer GesmbH &amp; Co KG, Werksstraße 6, 3125 Statzendorf</t>
        </is>
      </c>
      <c r="H70" s="206" t="n">
        <v>1805.6</v>
      </c>
      <c r="I70" s="43" t="n">
        <v>20</v>
      </c>
      <c r="J70" s="206">
        <f>I70*H70/100</f>
        <v/>
      </c>
      <c r="K70" s="206">
        <f>H70+J70</f>
        <v/>
      </c>
      <c r="L70" s="44">
        <f>IF(ISBLANK(D70),"",voranmeldefrist_vierteljaehrlich(D70))</f>
        <v/>
      </c>
      <c r="N70" s="43">
        <f>IF(ISBLANK(D70),IF(TODAY()&gt;C70,TODAY()-C70,0),IF(D70&gt;C70,D70-C70,0))</f>
        <v/>
      </c>
    </row>
    <row r="71">
      <c r="A71" t="n">
        <v>12019010</v>
      </c>
      <c r="B71" s="44" t="n">
        <v>43647</v>
      </c>
      <c r="C71" s="1">
        <f>B71+14</f>
        <v/>
      </c>
      <c r="D71" s="44" t="n">
        <v>43654</v>
      </c>
      <c r="F71" t="inlineStr">
        <is>
          <t>Stokol GmbH, Weiglg. 10/10d/11, 1150 Wien</t>
        </is>
      </c>
      <c r="H71" s="206" t="n">
        <v>170.63</v>
      </c>
      <c r="I71" s="43" t="n">
        <v>20</v>
      </c>
      <c r="J71" s="206">
        <f>I71*H71/100</f>
        <v/>
      </c>
      <c r="K71" s="206" t="n">
        <v>204.75</v>
      </c>
      <c r="L71" s="44">
        <f>IF(ISBLANK(D71),"",voranmeldefrist_vierteljaehrlich(D71))</f>
        <v/>
      </c>
      <c r="N71" s="43">
        <f>IF(ISBLANK(D71),IF(TODAY()&gt;C71,TODAY()-C71,0),IF(D71&gt;C71,D71-C71,0))</f>
        <v/>
      </c>
    </row>
    <row r="72">
      <c r="A72" t="n">
        <v>12019011</v>
      </c>
      <c r="B72" s="44" t="n">
        <v>43647</v>
      </c>
      <c r="C72" s="1">
        <f>B72+14</f>
        <v/>
      </c>
      <c r="D72" s="44" t="n">
        <v>43661</v>
      </c>
      <c r="F72" t="inlineStr">
        <is>
          <t>Schick Küchendesign e.U. Alexander Schick, Linzerstraße 247, 1140 Wien</t>
        </is>
      </c>
      <c r="H72" s="206" t="n">
        <v>356.25</v>
      </c>
      <c r="I72" s="43" t="n">
        <v>20</v>
      </c>
      <c r="J72" s="206">
        <f>I72*H72/100</f>
        <v/>
      </c>
      <c r="K72" s="206">
        <f>H72+J72</f>
        <v/>
      </c>
      <c r="L72" s="44">
        <f>IF(ISBLANK(D72),"",voranmeldefrist_vierteljaehrlich(D72))</f>
        <v/>
      </c>
      <c r="N72" s="43">
        <f>IF(ISBLANK(D72),IF(TODAY()&gt;C72,TODAY()-C72,0),IF(D72&gt;C72,D72-C72,0))</f>
        <v/>
      </c>
    </row>
    <row r="73">
      <c r="A73" t="n">
        <v>12019012</v>
      </c>
      <c r="B73" s="44" t="n">
        <v>43650</v>
      </c>
      <c r="C73" s="1">
        <f>B73+14</f>
        <v/>
      </c>
      <c r="D73" s="44" t="n">
        <v>43669</v>
      </c>
      <c r="F73" s="43" t="inlineStr">
        <is>
          <t>Wedding Avenue e.U., Mayerweckstrasse 2-8/99/1, 1210 Wien</t>
        </is>
      </c>
      <c r="H73" s="206">
        <f>2000/1.2</f>
        <v/>
      </c>
      <c r="I73" s="43" t="n">
        <v>20</v>
      </c>
      <c r="J73" s="206">
        <f>I73*H73/100</f>
        <v/>
      </c>
      <c r="K73" s="206">
        <f>H73+J73</f>
        <v/>
      </c>
      <c r="L73" s="44">
        <f>IF(ISBLANK(D73),"",voranmeldefrist_vierteljaehrlich(D73))</f>
        <v/>
      </c>
      <c r="N73" s="43">
        <f>IF(ISBLANK(D73),IF(TODAY()&gt;C73,TODAY()-C73,0),IF(D73&gt;C73,D73-C73,0))</f>
        <v/>
      </c>
    </row>
    <row r="74">
      <c r="A74" t="n">
        <v>12019012</v>
      </c>
      <c r="B74" s="44" t="n">
        <v>43650</v>
      </c>
      <c r="C74" s="1">
        <f>B74+14</f>
        <v/>
      </c>
      <c r="D74" s="44" t="n">
        <v>43679</v>
      </c>
      <c r="F74" s="43" t="inlineStr">
        <is>
          <t>Wedding Avenue e.U., Mayerweckstrasse 2-8/99/1, 1210 Wien</t>
        </is>
      </c>
      <c r="H74" s="206">
        <f>3351.13-2000/1.2</f>
        <v/>
      </c>
      <c r="I74" s="43" t="n">
        <v>20</v>
      </c>
      <c r="J74" s="206">
        <f>I74*H74/100</f>
        <v/>
      </c>
      <c r="K74" s="206">
        <f>H74+J74</f>
        <v/>
      </c>
      <c r="L74" s="44">
        <f>IF(ISBLANK(D74),"",voranmeldefrist_vierteljaehrlich(D74))</f>
        <v/>
      </c>
      <c r="N74" s="43">
        <f>IF(ISBLANK(D74),IF(TODAY()&gt;C74,TODAY()-C74,0),IF(D74&gt;C74,D74-C74,0))</f>
        <v/>
      </c>
    </row>
    <row r="75">
      <c r="A75" t="n">
        <v>12019013</v>
      </c>
      <c r="B75" s="44" t="n">
        <v>43682</v>
      </c>
      <c r="C75" s="1">
        <f>B75+14</f>
        <v/>
      </c>
      <c r="D75" s="44" t="n">
        <v>43683</v>
      </c>
      <c r="F75" t="inlineStr">
        <is>
          <t>vemap Einkaufsmanagement GmbH, zHd. Frau Mag. Tina Zimmermann, Berggasse 31, 1090 Wien</t>
        </is>
      </c>
      <c r="H75" s="206" t="n">
        <v>752.5</v>
      </c>
      <c r="I75" t="n">
        <v>20</v>
      </c>
      <c r="J75" s="206">
        <f>I75*H75/100</f>
        <v/>
      </c>
      <c r="K75" s="206">
        <f>H75+J75</f>
        <v/>
      </c>
      <c r="L75" s="44">
        <f>IF(ISBLANK(D75),"",voranmeldefrist_vierteljaehrlich(D75))</f>
        <v/>
      </c>
      <c r="N75" s="43">
        <f>IF(ISBLANK(D75),IF(TODAY()&gt;C75,TODAY()-C75,0),IF(D75&gt;C75,D75-C75,0))</f>
        <v/>
      </c>
    </row>
    <row r="76">
      <c r="A76" t="n">
        <v>12019014</v>
      </c>
      <c r="B76" s="44" t="n">
        <v>43689</v>
      </c>
      <c r="C76" s="1">
        <f>B76+14</f>
        <v/>
      </c>
      <c r="D76" s="44" t="n">
        <v>43703</v>
      </c>
      <c r="F76" t="inlineStr">
        <is>
          <t>Franz Hauer GesmbH &amp; Co KG, Werksstraße 6, 3125 Statzendorf</t>
        </is>
      </c>
      <c r="H76" s="206" t="n">
        <v>551</v>
      </c>
      <c r="I76" t="n">
        <v>20</v>
      </c>
      <c r="J76" s="206">
        <f>I76*H76/100</f>
        <v/>
      </c>
      <c r="K76" s="206">
        <f>H76+J76</f>
        <v/>
      </c>
      <c r="L76" s="44">
        <f>IF(ISBLANK(D76),"",voranmeldefrist_vierteljaehrlich(D76))</f>
        <v/>
      </c>
      <c r="N76" s="43">
        <f>IF(ISBLANK(D76),IF(TODAY()&gt;C76,TODAY()-C76,0),IF(D76&gt;C76,D76-C76,0))</f>
        <v/>
      </c>
    </row>
    <row r="77">
      <c r="A77" t="n">
        <v>12019015</v>
      </c>
      <c r="B77" s="44" t="n">
        <v>43703</v>
      </c>
      <c r="C77" s="1">
        <f>B77+14</f>
        <v/>
      </c>
      <c r="D77" s="44" t="n">
        <v>43717</v>
      </c>
      <c r="F77" t="inlineStr">
        <is>
          <t>Franz Hauer GesmbH &amp; Co KG, Werksstraße 6, 3125 Statzendorf</t>
        </is>
      </c>
      <c r="H77" s="206" t="n">
        <v>2708.4</v>
      </c>
      <c r="I77" t="n">
        <v>20</v>
      </c>
      <c r="J77" s="206">
        <f>I77*H77/100</f>
        <v/>
      </c>
      <c r="K77" s="206">
        <f>H77+J77</f>
        <v/>
      </c>
      <c r="L77" s="44">
        <f>IF(ISBLANK(D77),"",voranmeldefrist_vierteljaehrlich(D77))</f>
        <v/>
      </c>
      <c r="N77" s="43">
        <f>IF(ISBLANK(D77),IF(TODAY()&gt;C77,TODAY()-C77,0),IF(D77&gt;C77,D77-C77,0))</f>
        <v/>
      </c>
    </row>
    <row r="78">
      <c r="A78" t="n">
        <v>12019016</v>
      </c>
      <c r="B78" s="44" t="n">
        <v>43713</v>
      </c>
      <c r="C78" s="1">
        <f>B78+14</f>
        <v/>
      </c>
      <c r="D78" s="44" t="n">
        <v>43717</v>
      </c>
      <c r="F78" t="inlineStr">
        <is>
          <t>vemap Einkaufsmanagement GmbH, zHd. Frau Mag. Tina Zimmermann, Berggasse 31, 1090 Wien</t>
        </is>
      </c>
      <c r="H78" s="206" t="n">
        <v>1435</v>
      </c>
      <c r="I78" t="n">
        <v>20</v>
      </c>
      <c r="J78" s="206">
        <f>I78*H78/100</f>
        <v/>
      </c>
      <c r="K78" s="206">
        <f>H78+J78</f>
        <v/>
      </c>
      <c r="L78" s="44">
        <f>IF(ISBLANK(D78),"",voranmeldefrist_vierteljaehrlich(D78))</f>
        <v/>
      </c>
      <c r="N78" s="43">
        <f>IF(ISBLANK(D78),IF(TODAY()&gt;C78,TODAY()-C78,0),IF(D78&gt;C78,D78-C78,0))</f>
        <v/>
      </c>
    </row>
    <row r="79">
      <c r="A79" t="n">
        <v>12019017</v>
      </c>
      <c r="B79" s="44" t="n">
        <v>43739</v>
      </c>
      <c r="C79" s="1">
        <f>B79+14</f>
        <v/>
      </c>
      <c r="D79" s="44" t="n">
        <v>43755</v>
      </c>
      <c r="F79" t="inlineStr">
        <is>
          <t>Franz Hauer GesmbH &amp; Co KG, Werksstraße 6, 3125 Statzendorf</t>
        </is>
      </c>
      <c r="H79" s="206" t="n">
        <v>2188.75</v>
      </c>
      <c r="I79" t="n">
        <v>20</v>
      </c>
      <c r="J79" s="206">
        <f>I79*H79/100</f>
        <v/>
      </c>
      <c r="K79" s="206">
        <f>H79+J79</f>
        <v/>
      </c>
      <c r="L79" s="44">
        <f>IF(ISBLANK(D79),"",voranmeldefrist_vierteljaehrlich(D79))</f>
        <v/>
      </c>
      <c r="N79" s="43">
        <f>IF(ISBLANK(D79),IF(TODAY()&gt;C79,TODAY()-C79,0),IF(D79&gt;C79,D79-C79,0))</f>
        <v/>
      </c>
    </row>
    <row r="80">
      <c r="A80" t="n">
        <v>12019018</v>
      </c>
      <c r="B80" s="44" t="n">
        <v>43739</v>
      </c>
      <c r="C80" s="44">
        <f>B80+14</f>
        <v/>
      </c>
      <c r="D80" s="44" t="n">
        <v>43742</v>
      </c>
      <c r="F80" t="inlineStr">
        <is>
          <t>vemap Einkaufsmanagement GmbH, zHd. Frau Mag. Tina Zimmermann, Berggasse 31, 1090 Wien</t>
        </is>
      </c>
      <c r="H80" s="206" t="n">
        <v>1680</v>
      </c>
      <c r="I80" t="n">
        <v>20</v>
      </c>
      <c r="J80" s="206">
        <f>I80*H80/100</f>
        <v/>
      </c>
      <c r="K80" s="206">
        <f>H80+J80</f>
        <v/>
      </c>
      <c r="L80" s="44">
        <f>IF(ISBLANK(D80),"",voranmeldefrist_vierteljaehrlich(D80))</f>
        <v/>
      </c>
      <c r="N80" s="43">
        <f>IF(ISBLANK(D80),IF(TODAY()&gt;C80,TODAY()-C80,0),IF(D80&gt;C80,D80-C80,0))</f>
        <v/>
      </c>
    </row>
    <row r="81">
      <c r="A81" t="n">
        <v>12019019</v>
      </c>
      <c r="B81" s="44" t="n">
        <v>43739</v>
      </c>
      <c r="C81" s="44">
        <f>B81+14</f>
        <v/>
      </c>
      <c r="D81" s="44" t="n">
        <v>43768</v>
      </c>
      <c r="E81" s="44" t="n">
        <v>43759</v>
      </c>
      <c r="F81" s="43" t="inlineStr">
        <is>
          <t>Wedding Avenue e.U., Mayerweckstrasse 2-8/99/1, 1210 Wien</t>
        </is>
      </c>
      <c r="H81" s="206" t="n">
        <v>786.25</v>
      </c>
      <c r="I81" t="n">
        <v>20</v>
      </c>
      <c r="J81" s="206">
        <f>I81*H81/100</f>
        <v/>
      </c>
      <c r="K81" s="206">
        <f>H81+J81</f>
        <v/>
      </c>
      <c r="L81" s="44">
        <f>IF(ISBLANK(D81),"",voranmeldefrist_vierteljaehrlich(D81))</f>
        <v/>
      </c>
      <c r="N81" s="43">
        <f>IF(ISBLANK(D81),IF(TODAY()&gt;C81,TODAY()-C81,0),IF(D81&gt;C81,D81-C81,0))</f>
        <v/>
      </c>
    </row>
    <row r="82">
      <c r="A82" t="n">
        <v>12019020</v>
      </c>
      <c r="B82" s="44" t="n">
        <v>43739</v>
      </c>
      <c r="C82" s="1">
        <f>B82+14</f>
        <v/>
      </c>
      <c r="D82" s="44" t="n">
        <v>43752</v>
      </c>
      <c r="F82" t="inlineStr">
        <is>
          <t>Schick Küchendesign e.U. Alexander Schick, Linzerstraße 247, 1140 Wien</t>
        </is>
      </c>
      <c r="H82" s="206" t="n">
        <v>450</v>
      </c>
      <c r="I82" t="n">
        <v>20</v>
      </c>
      <c r="J82" s="206">
        <f>I82*H82/100</f>
        <v/>
      </c>
      <c r="K82" s="206">
        <f>H82+J82</f>
        <v/>
      </c>
      <c r="L82" s="44">
        <f>IF(ISBLANK(D82),"",voranmeldefrist_vierteljaehrlich(D82))</f>
        <v/>
      </c>
      <c r="N82" s="43">
        <f>IF(ISBLANK(D82),IF(TODAY()&gt;C82,TODAY()-C82,0),IF(D82&gt;C82,D82-C82,0))</f>
        <v/>
      </c>
    </row>
    <row r="83">
      <c r="A83" t="n">
        <v>12019021</v>
      </c>
      <c r="B83" s="44" t="n">
        <v>43739</v>
      </c>
      <c r="C83" s="1">
        <f>B83+14</f>
        <v/>
      </c>
      <c r="D83" s="44" t="n">
        <v>43752</v>
      </c>
      <c r="F83" s="43" t="inlineStr">
        <is>
          <t>Dr. Arno Kolbitsch, Zivilingenieur, Gütleweg 1, 6822 Satteins</t>
        </is>
      </c>
      <c r="H83" s="206" t="n">
        <v>231.43</v>
      </c>
      <c r="I83" t="n">
        <v>20</v>
      </c>
      <c r="J83" s="206">
        <f>I83*H83/100</f>
        <v/>
      </c>
      <c r="K83" s="206">
        <f>H83+J83</f>
        <v/>
      </c>
      <c r="L83" s="44">
        <f>IF(ISBLANK(D83),"",voranmeldefrist_vierteljaehrlich(D83))</f>
        <v/>
      </c>
      <c r="N83" s="43">
        <f>IF(ISBLANK(D83),IF(TODAY()&gt;C83,TODAY()-C83,0),IF(D83&gt;C83,D83-C83,0))</f>
        <v/>
      </c>
    </row>
    <row r="84">
      <c r="A84" s="43" t="n">
        <v>12019022</v>
      </c>
      <c r="B84" s="44" t="n">
        <v>43753</v>
      </c>
      <c r="C84" s="1">
        <f>B84+45</f>
        <v/>
      </c>
      <c r="D84" s="44" t="n">
        <v>43795</v>
      </c>
      <c r="F84" t="inlineStr">
        <is>
          <t>Hays Österreich GmbH, Bahnhof City Wien West, Europaplatz 3/5, 1150 Wien; Gutschrift (Abrechnung durch Leistungsempfänger)</t>
        </is>
      </c>
      <c r="H84" s="206" t="n">
        <v>1268.5</v>
      </c>
      <c r="I84" t="n">
        <v>20</v>
      </c>
      <c r="J84" s="206">
        <f>I84*H84/100</f>
        <v/>
      </c>
      <c r="K84" s="206">
        <f>H84+J84</f>
        <v/>
      </c>
      <c r="L84" s="44">
        <f>IF(ISBLANK(D84),"",voranmeldefrist_vierteljaehrlich(D84))</f>
        <v/>
      </c>
      <c r="N84" s="43">
        <f>IF(ISBLANK(D84),IF(TODAY()&gt;C84,TODAY()-C84,0),IF(D84&gt;C84,D84-C84,0))</f>
        <v/>
      </c>
    </row>
    <row r="85">
      <c r="A85" t="n">
        <v>12019023</v>
      </c>
      <c r="B85" s="44" t="n">
        <v>43773</v>
      </c>
      <c r="C85" s="1">
        <f>B85+14</f>
        <v/>
      </c>
      <c r="D85" s="44" t="n">
        <v>43781</v>
      </c>
      <c r="F85" s="43" t="inlineStr">
        <is>
          <t>vemap academy GmbH, Berggasse 31, 1090 Wien</t>
        </is>
      </c>
      <c r="H85" s="206" t="n">
        <v>2940</v>
      </c>
      <c r="I85" t="n">
        <v>20</v>
      </c>
      <c r="J85" s="206">
        <f>I85*H85/100</f>
        <v/>
      </c>
      <c r="K85" s="206">
        <f>H85+J85</f>
        <v/>
      </c>
      <c r="L85" s="44">
        <f>IF(ISBLANK(D85),"",voranmeldefrist_vierteljaehrlich(D85))</f>
        <v/>
      </c>
      <c r="N85" s="43">
        <f>IF(ISBLANK(D85),IF(TODAY()&gt;C85,TODAY()-C85,0),IF(D85&gt;C85,D85-C85,0))</f>
        <v/>
      </c>
    </row>
    <row r="86">
      <c r="A86" t="n">
        <v>12019024</v>
      </c>
      <c r="B86" s="44" t="n">
        <v>43773</v>
      </c>
      <c r="C86" s="1">
        <f>B86+35</f>
        <v/>
      </c>
      <c r="D86" s="44" t="n">
        <v>43817</v>
      </c>
      <c r="F86" s="43" t="inlineStr">
        <is>
          <t>vemap academy GmbH, Berggasse 31, 1090 Wien</t>
        </is>
      </c>
      <c r="H86" s="206" t="n">
        <v>900</v>
      </c>
      <c r="I86" t="n">
        <v>20</v>
      </c>
      <c r="J86" s="206">
        <f>I86*H86/100</f>
        <v/>
      </c>
      <c r="K86" s="206">
        <f>H86+J86</f>
        <v/>
      </c>
      <c r="L86" s="44">
        <f>IF(ISBLANK(D86),"",voranmeldefrist_vierteljaehrlich(D86))</f>
        <v/>
      </c>
      <c r="N86" s="43">
        <f>IF(ISBLANK(D86),IF(TODAY()&gt;C86,TODAY()-C86,0),IF(D86&gt;C86,D86-C86,0))</f>
        <v/>
      </c>
    </row>
    <row r="87">
      <c r="A87" t="n">
        <v>12019025</v>
      </c>
      <c r="B87" s="44" t="n">
        <v>43796</v>
      </c>
      <c r="C87" s="1">
        <f>B87+14</f>
        <v/>
      </c>
      <c r="D87" s="44" t="n">
        <v>43797</v>
      </c>
      <c r="F87" t="inlineStr">
        <is>
          <t>Theresa Häfele-Kolbitsch, Josef-Mohrgasse 9, 2102 Bisamberg</t>
        </is>
      </c>
      <c r="H87" s="206" t="n">
        <v>520.58</v>
      </c>
      <c r="I87" s="43" t="n">
        <v>20</v>
      </c>
      <c r="J87" s="206">
        <f>I87*H87/100</f>
        <v/>
      </c>
      <c r="K87" s="206">
        <f>H87+J87</f>
        <v/>
      </c>
      <c r="L87" s="44">
        <f>IF(ISBLANK(D87),"",voranmeldefrist_vierteljaehrlich(D87))</f>
        <v/>
      </c>
      <c r="N87" s="43">
        <f>IF(ISBLANK(D87),IF(TODAY()&gt;C87,TODAY()-C87,0),IF(D87&gt;C87,D87-C87,0))</f>
        <v/>
      </c>
    </row>
    <row r="88">
      <c r="A88" t="n">
        <v>12019026</v>
      </c>
      <c r="B88" s="44" t="n">
        <v>43801</v>
      </c>
      <c r="C88" s="44">
        <f>B88+14</f>
        <v/>
      </c>
      <c r="D88" s="44" t="n">
        <v>43802</v>
      </c>
      <c r="F88" s="43" t="inlineStr">
        <is>
          <t>vemap academy GmbH, Berggasse 31, 1090 Wien</t>
        </is>
      </c>
      <c r="H88" s="206" t="n">
        <v>3517.5</v>
      </c>
      <c r="I88" s="43" t="n">
        <v>20</v>
      </c>
      <c r="J88" s="206">
        <f>I88*H88/100</f>
        <v/>
      </c>
      <c r="K88" s="206">
        <f>H88+J88</f>
        <v/>
      </c>
      <c r="L88" s="44">
        <f>IF(ISBLANK(D88),"",voranmeldefrist_vierteljaehrlich(D88))</f>
        <v/>
      </c>
      <c r="N88" s="43">
        <f>IF(ISBLANK(D88),IF(TODAY()&gt;C88,TODAY()-C88,0),IF(D88&gt;C88,D88-C88,0))</f>
        <v/>
      </c>
    </row>
    <row r="89">
      <c r="A89" t="n">
        <v>12019027</v>
      </c>
      <c r="B89" s="44" t="n">
        <v>43801</v>
      </c>
      <c r="C89" s="1">
        <f>B89+35</f>
        <v/>
      </c>
      <c r="D89" s="44" t="n">
        <v>43802</v>
      </c>
      <c r="F89" s="43" t="inlineStr">
        <is>
          <t>vemap academy GmbH, Berggasse 31, 1090 Wien</t>
        </is>
      </c>
      <c r="H89" s="206" t="n">
        <v>2910</v>
      </c>
      <c r="I89" s="43" t="n">
        <v>20</v>
      </c>
      <c r="J89" s="206">
        <f>I89*H89/100</f>
        <v/>
      </c>
      <c r="K89" s="206">
        <f>H89+J89</f>
        <v/>
      </c>
      <c r="L89" s="44">
        <f>IF(ISBLANK(D89),"",voranmeldefrist_vierteljaehrlich(D89))</f>
        <v/>
      </c>
      <c r="N89" s="43">
        <f>IF(ISBLANK(D89),IF(TODAY()&gt;C89,TODAY()-C89,0),IF(D89&gt;C89,D89-C89,0))</f>
        <v/>
      </c>
    </row>
    <row r="90">
      <c r="A90" t="n">
        <v>12019028</v>
      </c>
      <c r="B90" s="44" t="n">
        <v>43801</v>
      </c>
      <c r="C90" s="44">
        <f>B90+14</f>
        <v/>
      </c>
      <c r="D90" s="44" t="n">
        <v>43808</v>
      </c>
      <c r="F90" s="43" t="inlineStr">
        <is>
          <t>foxcraft - Dipl.-Ing. Mag. Alexander Wagner, Leschetitzkygasse 30/5, 1180 Wien</t>
        </is>
      </c>
      <c r="H90" s="206" t="n">
        <v>265.32</v>
      </c>
      <c r="I90" s="43" t="n">
        <v>20</v>
      </c>
      <c r="J90" s="206">
        <f>I90*H90/100</f>
        <v/>
      </c>
      <c r="K90" s="206">
        <f>H90+J90</f>
        <v/>
      </c>
      <c r="L90" s="44">
        <f>IF(ISBLANK(D90),"",voranmeldefrist_vierteljaehrlich(D90))</f>
        <v/>
      </c>
      <c r="N90" s="43">
        <f>IF(ISBLANK(D90),IF(TODAY()&gt;C90,TODAY()-C90,0),IF(D90&gt;C90,D90-C90,0))</f>
        <v/>
      </c>
    </row>
    <row r="91">
      <c r="A91" t="n">
        <v>12019029</v>
      </c>
      <c r="B91" s="44" t="n">
        <v>43822</v>
      </c>
      <c r="C91" s="44">
        <f>B91+14</f>
        <v/>
      </c>
      <c r="D91" s="44" t="n">
        <v>43829</v>
      </c>
      <c r="F91" s="43" t="inlineStr">
        <is>
          <t>vemap academy GmbH, Berggasse 31, 1090 Wien</t>
        </is>
      </c>
      <c r="H91" s="206" t="n">
        <v>2800</v>
      </c>
      <c r="I91" s="43" t="n">
        <v>20</v>
      </c>
      <c r="J91" s="206">
        <f>I91*H91/100</f>
        <v/>
      </c>
      <c r="K91" s="206">
        <f>H91+J91</f>
        <v/>
      </c>
      <c r="L91" s="44">
        <f>IF(ISBLANK(D91),"",voranmeldefrist_vierteljaehrlich(D91))</f>
        <v/>
      </c>
      <c r="N91" s="43">
        <f>IF(ISBLANK(D91),IF(TODAY()&gt;C91,TODAY()-C91,0),IF(D91&gt;C91,D91-C91,0))</f>
        <v/>
      </c>
    </row>
    <row r="92">
      <c r="A92" t="n">
        <v>12020001</v>
      </c>
      <c r="B92" s="44" t="n">
        <v>43837</v>
      </c>
      <c r="C92" s="1">
        <f>B92+14</f>
        <v/>
      </c>
      <c r="D92" s="44" t="n">
        <v>43838</v>
      </c>
      <c r="F92" s="43" t="inlineStr">
        <is>
          <t>Martin Dürauer e.U., Schreinergasse 7, A-3100 St. Pölten</t>
        </is>
      </c>
      <c r="H92" s="206">
        <f>85*2</f>
        <v/>
      </c>
      <c r="I92" s="43" t="n">
        <v>20</v>
      </c>
      <c r="J92" s="206">
        <f>I92*H92/100</f>
        <v/>
      </c>
      <c r="K92" s="206">
        <f>H92+J92</f>
        <v/>
      </c>
      <c r="L92" s="44">
        <f>IF(ISBLANK(D92),"",voranmeldefrist_vierteljaehrlich(D92))</f>
        <v/>
      </c>
      <c r="N92" s="43">
        <f>IF(ISBLANK(D92),IF(TODAY()&gt;C92,TODAY()-C92,0),IF(D92&gt;C92,D92-C92,0))</f>
        <v/>
      </c>
      <c r="Q92" s="208" t="n">
        <v>170</v>
      </c>
      <c r="R92" s="43">
        <f>Q92=H92</f>
        <v/>
      </c>
    </row>
    <row r="93">
      <c r="A93" t="n">
        <v>12020002</v>
      </c>
      <c r="B93" s="44" t="n">
        <v>43837</v>
      </c>
      <c r="C93" s="1">
        <f>B93+14</f>
        <v/>
      </c>
      <c r="D93" s="44" t="n">
        <v>43838</v>
      </c>
      <c r="F93" s="43" t="inlineStr">
        <is>
          <t>Martin Dürauer e.U., Schreinergasse 7, A-3100 St. Pölten</t>
        </is>
      </c>
      <c r="H93" s="206" t="n">
        <v>100</v>
      </c>
      <c r="I93" s="43" t="n">
        <v>20</v>
      </c>
      <c r="J93" s="206">
        <f>I93*H93/100</f>
        <v/>
      </c>
      <c r="K93" s="206">
        <f>H93+J93</f>
        <v/>
      </c>
      <c r="L93" s="44">
        <f>IF(ISBLANK(D93),"",voranmeldefrist_vierteljaehrlich(D93))</f>
        <v/>
      </c>
      <c r="N93" s="43">
        <f>IF(ISBLANK(D93),IF(TODAY()&gt;C93,TODAY()-C93,0),IF(D93&gt;C93,D93-C93,0))</f>
        <v/>
      </c>
      <c r="Q93" s="208" t="n">
        <v>100</v>
      </c>
      <c r="R93" s="43">
        <f>Q93=H93</f>
        <v/>
      </c>
    </row>
    <row r="94">
      <c r="A94" t="n">
        <v>12020003</v>
      </c>
      <c r="B94" s="44" t="n">
        <v>43837</v>
      </c>
      <c r="C94" s="1">
        <f>B94+14</f>
        <v/>
      </c>
      <c r="D94" s="44" t="n">
        <v>43838</v>
      </c>
      <c r="F94" t="inlineStr">
        <is>
          <t>Theresa Häfele-Kolbitsch, Josef-Mohrgasse 9, 2102 Bisamberg</t>
        </is>
      </c>
      <c r="H94" s="206">
        <f>1260*0.6</f>
        <v/>
      </c>
      <c r="I94" s="43" t="n">
        <v>20</v>
      </c>
      <c r="J94" s="206">
        <f>I94*H94/100</f>
        <v/>
      </c>
      <c r="K94" s="206">
        <f>H94+J94</f>
        <v/>
      </c>
      <c r="L94" s="44">
        <f>IF(ISBLANK(D94),"",voranmeldefrist_vierteljaehrlich(D94))</f>
        <v/>
      </c>
      <c r="N94" s="43">
        <f>IF(ISBLANK(D94),IF(TODAY()&gt;C94,TODAY()-C94,0),IF(D94&gt;C94,D94-C94,0))</f>
        <v/>
      </c>
      <c r="Q94" s="208" t="n">
        <v>756</v>
      </c>
      <c r="R94" s="43">
        <f>Q94=H94</f>
        <v/>
      </c>
    </row>
    <row r="95">
      <c r="A95" t="n">
        <v>12019031</v>
      </c>
      <c r="B95" s="44" t="n">
        <v>43822</v>
      </c>
      <c r="C95" s="44">
        <f>B95+14</f>
        <v/>
      </c>
      <c r="D95" s="44" t="n">
        <v>43844</v>
      </c>
      <c r="F95" t="inlineStr">
        <is>
          <t>Schick Küchendesign e.U. Alexander Schick, Linzerstraße 247, 1140 Wien</t>
        </is>
      </c>
      <c r="H95" s="206" t="n">
        <v>187.5</v>
      </c>
      <c r="I95" s="43" t="n">
        <v>20</v>
      </c>
      <c r="J95" s="206">
        <f>I95*H95/100</f>
        <v/>
      </c>
      <c r="K95" s="206">
        <f>H95+J95</f>
        <v/>
      </c>
      <c r="L95" s="44">
        <f>IF(ISBLANK(D95),"",voranmeldefrist_vierteljaehrlich(D95))</f>
        <v/>
      </c>
      <c r="N95" s="43">
        <f>IF(ISBLANK(D95),IF(TODAY()&gt;C95,TODAY()-C95,0),IF(D95&gt;C95,D95-C95,0))</f>
        <v/>
      </c>
      <c r="Q95" s="208" t="n">
        <v>187.5</v>
      </c>
      <c r="R95" s="43">
        <f>Q95=H95</f>
        <v/>
      </c>
    </row>
    <row r="96">
      <c r="A96" t="n">
        <v>12019033</v>
      </c>
      <c r="B96" s="44" t="n">
        <v>43823</v>
      </c>
      <c r="C96" s="44">
        <f>B96+14</f>
        <v/>
      </c>
      <c r="D96" s="44" t="n">
        <v>43845</v>
      </c>
      <c r="F96" t="inlineStr">
        <is>
          <t>Franz Hauer GesmbH &amp; Co KG, Werksstraße 6, 3125 Statzendorf</t>
        </is>
      </c>
      <c r="H96" s="206" t="n">
        <v>233.75</v>
      </c>
      <c r="I96" s="43" t="n">
        <v>20</v>
      </c>
      <c r="J96" s="206">
        <f>I96*H96/100</f>
        <v/>
      </c>
      <c r="K96" s="206">
        <f>H96+J96</f>
        <v/>
      </c>
      <c r="L96" s="44">
        <f>IF(ISBLANK(D96),"",voranmeldefrist_vierteljaehrlich(D96))</f>
        <v/>
      </c>
      <c r="N96" s="43">
        <f>IF(ISBLANK(D96),IF(TODAY()&gt;C96,TODAY()-C96,0),IF(D96&gt;C96,D96-C96,0))</f>
        <v/>
      </c>
      <c r="Q96" s="208" t="n">
        <v>233.75</v>
      </c>
      <c r="R96" s="43">
        <f>Q96=H96</f>
        <v/>
      </c>
    </row>
    <row r="97">
      <c r="A97" t="n">
        <v>12019030</v>
      </c>
      <c r="B97" s="44" t="n">
        <v>43822</v>
      </c>
      <c r="C97" s="1">
        <f>B97+35</f>
        <v/>
      </c>
      <c r="D97" s="44" t="n">
        <v>43851</v>
      </c>
      <c r="F97" s="43" t="inlineStr">
        <is>
          <t>vemap academy GmbH, Berggasse 31, 1090 Wien</t>
        </is>
      </c>
      <c r="H97" s="206" t="n">
        <v>6480</v>
      </c>
      <c r="I97" s="43" t="n">
        <v>20</v>
      </c>
      <c r="J97" s="206">
        <f>I97*H97/100</f>
        <v/>
      </c>
      <c r="K97" s="206">
        <f>H97+J97</f>
        <v/>
      </c>
      <c r="L97" s="44">
        <f>IF(ISBLANK(D97),"",voranmeldefrist_vierteljaehrlich(D97))</f>
        <v/>
      </c>
      <c r="N97" s="43">
        <f>IF(ISBLANK(D97),IF(TODAY()&gt;C97,TODAY()-C97,0),IF(D97&gt;C97,D97-C97,0))</f>
        <v/>
      </c>
      <c r="Q97" s="208" t="n">
        <v>6480</v>
      </c>
      <c r="R97" s="43">
        <f>Q97=H97</f>
        <v/>
      </c>
    </row>
    <row r="98">
      <c r="A98" t="n">
        <v>12020004</v>
      </c>
      <c r="B98" s="44" t="n">
        <v>43864</v>
      </c>
      <c r="C98" s="1">
        <f>B98+14</f>
        <v/>
      </c>
      <c r="D98" s="44" t="n">
        <v>43874</v>
      </c>
      <c r="F98" t="inlineStr">
        <is>
          <t>DCF - Digital Coding Factory GmbH, Bauernfeldplatz 4/12, 1090 Wien</t>
        </is>
      </c>
      <c r="H98" s="206" t="n">
        <v>647.5</v>
      </c>
      <c r="I98" s="43" t="n">
        <v>20</v>
      </c>
      <c r="J98" s="206">
        <f>I98*H98/100</f>
        <v/>
      </c>
      <c r="K98" s="206">
        <f>H98+J98</f>
        <v/>
      </c>
      <c r="L98" s="44">
        <f>IF(ISBLANK(D98),"",voranmeldefrist_vierteljaehrlich(D98))</f>
        <v/>
      </c>
      <c r="N98" s="43">
        <f>IF(ISBLANK(D98),IF(TODAY()&gt;C98,TODAY()-C98,0),IF(D98&gt;C98,D98-C98,0))</f>
        <v/>
      </c>
      <c r="Q98" s="208" t="n">
        <v>647.5</v>
      </c>
      <c r="R98" s="43">
        <f>Q98=H98</f>
        <v/>
      </c>
    </row>
    <row r="99">
      <c r="A99" t="n">
        <v>12019032</v>
      </c>
      <c r="B99" s="44" t="n">
        <v>43823</v>
      </c>
      <c r="C99" s="44">
        <f>B99+14</f>
        <v/>
      </c>
      <c r="D99" s="44" t="n">
        <v>43875</v>
      </c>
      <c r="E99" s="44" t="n">
        <v>43864</v>
      </c>
      <c r="F99" s="43" t="inlineStr">
        <is>
          <t>Wedding Avenue e.U., Mayerweckstrasse 2-8/99/1, 1210 Wien</t>
        </is>
      </c>
      <c r="H99" s="206" t="n">
        <v>297.5</v>
      </c>
      <c r="I99" s="43" t="n">
        <v>20</v>
      </c>
      <c r="J99" s="206">
        <f>I99*H99/100</f>
        <v/>
      </c>
      <c r="K99" s="206">
        <f>H99+J99</f>
        <v/>
      </c>
      <c r="L99" s="44">
        <f>IF(ISBLANK(D99),"",voranmeldefrist_vierteljaehrlich(D99))</f>
        <v/>
      </c>
      <c r="N99" s="43">
        <f>IF(ISBLANK(D99),IF(TODAY()&gt;C99,TODAY()-C99,0),IF(D99&gt;C99,D99-C99,0))</f>
        <v/>
      </c>
      <c r="Q99" s="208" t="n">
        <v>297.5</v>
      </c>
      <c r="R99" s="43">
        <f>Q99=H99</f>
        <v/>
      </c>
    </row>
    <row r="100">
      <c r="A100" t="n">
        <v>12020006</v>
      </c>
      <c r="B100" s="44" t="n">
        <v>43894</v>
      </c>
      <c r="C100" s="1">
        <f>B100+14</f>
        <v/>
      </c>
      <c r="D100" s="44" t="n">
        <v>43900</v>
      </c>
      <c r="F100" s="43" t="inlineStr">
        <is>
          <t>Wedding Avenue e.U., Mayerweckstrasse 2-8/99/1, 1210 Wien</t>
        </is>
      </c>
      <c r="H100" s="206" t="n">
        <v>262.5</v>
      </c>
      <c r="I100" s="43" t="n">
        <v>20</v>
      </c>
      <c r="J100" s="206">
        <f>I100*H100/100</f>
        <v/>
      </c>
      <c r="K100" s="206">
        <f>H100+J100</f>
        <v/>
      </c>
      <c r="L100" s="44">
        <f>IF(ISBLANK(D100),"",voranmeldefrist_vierteljaehrlich(D100))</f>
        <v/>
      </c>
      <c r="N100" s="43">
        <f>IF(ISBLANK(D100),IF(TODAY()&gt;C100,TODAY()-C100,0),IF(D100&gt;C100,D100-C100,0))</f>
        <v/>
      </c>
      <c r="Q100" s="208" t="n">
        <v>262.5</v>
      </c>
      <c r="R100" s="43">
        <f>Q100=H100</f>
        <v/>
      </c>
    </row>
    <row r="101">
      <c r="A101" t="n">
        <v>12020007</v>
      </c>
      <c r="B101" s="44" t="n">
        <v>43894</v>
      </c>
      <c r="C101" s="1">
        <f>B101+14</f>
        <v/>
      </c>
      <c r="D101" s="44" t="n">
        <v>43900</v>
      </c>
      <c r="F101" t="inlineStr">
        <is>
          <t>DCF - Digital Coding Factory GmbH, Bauernfeldplatz 4/12, 1090 Wien</t>
        </is>
      </c>
      <c r="H101" s="206" t="n">
        <v>892.5</v>
      </c>
      <c r="I101" s="43" t="n">
        <v>20</v>
      </c>
      <c r="J101" s="206">
        <f>I101*H101/100</f>
        <v/>
      </c>
      <c r="K101" s="206">
        <f>H101+J101</f>
        <v/>
      </c>
      <c r="L101" s="44">
        <f>IF(ISBLANK(D101),"",voranmeldefrist_vierteljaehrlich(D101))</f>
        <v/>
      </c>
      <c r="N101" s="43">
        <f>IF(ISBLANK(D101),IF(TODAY()&gt;C101,TODAY()-C101,0),IF(D101&gt;C101,D101-C101,0))</f>
        <v/>
      </c>
      <c r="Q101" s="208" t="n">
        <v>892.5</v>
      </c>
      <c r="R101" s="43">
        <f>Q101=H101</f>
        <v/>
      </c>
    </row>
    <row r="102">
      <c r="A102" t="n">
        <v>12020005</v>
      </c>
      <c r="B102" s="44" t="n">
        <v>43864</v>
      </c>
      <c r="C102" s="1">
        <f>B102+35</f>
        <v/>
      </c>
      <c r="D102" s="44" t="n">
        <v>43902</v>
      </c>
      <c r="F102" t="inlineStr">
        <is>
          <t>DCF - Digital Coding Factory GmbH, Bauernfeldplatz 4/12, 1090 Wien</t>
        </is>
      </c>
      <c r="H102" s="206" t="n">
        <v>6450</v>
      </c>
      <c r="I102" s="43" t="n">
        <v>20</v>
      </c>
      <c r="J102" s="206">
        <f>I102*H102/100</f>
        <v/>
      </c>
      <c r="K102" s="206">
        <f>H102+J102</f>
        <v/>
      </c>
      <c r="L102" s="44">
        <f>IF(ISBLANK(D102),"",voranmeldefrist_vierteljaehrlich(D102))</f>
        <v/>
      </c>
      <c r="N102" s="43">
        <f>IF(ISBLANK(D102),IF(TODAY()&gt;C102,TODAY()-C102,0),IF(D102&gt;C102,D102-C102,0))</f>
        <v/>
      </c>
      <c r="Q102" s="208" t="n">
        <v>6450</v>
      </c>
      <c r="R102" s="43">
        <f>Q102=H102</f>
        <v/>
      </c>
    </row>
    <row r="103">
      <c r="A103" t="n">
        <v>12020008</v>
      </c>
      <c r="B103" s="44" t="n">
        <v>43894</v>
      </c>
      <c r="C103" s="1">
        <f>B103+35</f>
        <v/>
      </c>
      <c r="D103" s="44" t="n">
        <v>43922</v>
      </c>
      <c r="F103" t="inlineStr">
        <is>
          <t>DCF - Digital Coding Factory GmbH, Bauernfeldplatz 4/12, 1090 Wien</t>
        </is>
      </c>
      <c r="H103" s="206" t="n">
        <v>9030</v>
      </c>
      <c r="I103" s="43" t="n">
        <v>20</v>
      </c>
      <c r="J103" s="206">
        <f>I103*H103/100</f>
        <v/>
      </c>
      <c r="K103" s="206">
        <f>H103+J103</f>
        <v/>
      </c>
      <c r="L103" s="44">
        <f>IF(ISBLANK(D103),"",voranmeldefrist_vierteljaehrlich(D103))</f>
        <v/>
      </c>
      <c r="N103" s="43">
        <f>IF(ISBLANK(D103),IF(TODAY()&gt;C103,TODAY()-C103,0),IF(D103&gt;C103,D103-C103,0))</f>
        <v/>
      </c>
      <c r="Q103" s="208" t="n">
        <v>9030</v>
      </c>
      <c r="R103" s="43">
        <f>Q103=H103</f>
        <v/>
      </c>
    </row>
    <row r="104">
      <c r="A104" t="n">
        <v>12020011</v>
      </c>
      <c r="B104" s="44" t="n">
        <v>43922</v>
      </c>
      <c r="C104" s="1">
        <f>B104+14</f>
        <v/>
      </c>
      <c r="D104" s="44" t="n">
        <v>43922</v>
      </c>
      <c r="F104" t="inlineStr">
        <is>
          <t>DCF - Digital Coding Factory GmbH, Bauernfeldplatz 4/12, 1090 Wien</t>
        </is>
      </c>
      <c r="H104" s="206" t="n">
        <v>2292.5</v>
      </c>
      <c r="I104" s="43" t="n">
        <v>20</v>
      </c>
      <c r="J104" s="206">
        <f>I104*H104/100</f>
        <v/>
      </c>
      <c r="K104" s="206">
        <f>H104+J104</f>
        <v/>
      </c>
      <c r="L104" s="44">
        <f>IF(ISBLANK(D104),"",voranmeldefrist_vierteljaehrlich(D104))</f>
        <v/>
      </c>
      <c r="N104" s="43">
        <f>IF(ISBLANK(D104),IF(TODAY()&gt;C104,TODAY()-C104,0),IF(D104&gt;C104,D104-C104,0))</f>
        <v/>
      </c>
      <c r="Q104" s="208" t="n">
        <v>2292.5</v>
      </c>
      <c r="R104" s="43">
        <f>Q104=H104</f>
        <v/>
      </c>
    </row>
    <row r="105">
      <c r="A105" t="n">
        <v>12020010</v>
      </c>
      <c r="B105" s="44" t="n">
        <v>43922</v>
      </c>
      <c r="C105" s="1">
        <f>B105+14</f>
        <v/>
      </c>
      <c r="D105" s="44" t="n">
        <v>43928</v>
      </c>
      <c r="F105" s="43" t="inlineStr">
        <is>
          <t>Wedding Avenue e.U., Mayerweckstrasse 2-8/99/1, 1210 Wien</t>
        </is>
      </c>
      <c r="H105" s="206" t="n">
        <v>87.5</v>
      </c>
      <c r="I105" s="43" t="n">
        <v>20</v>
      </c>
      <c r="J105" s="206">
        <f>I105*H105/100</f>
        <v/>
      </c>
      <c r="K105" s="206">
        <f>H105+J105</f>
        <v/>
      </c>
      <c r="L105" s="44">
        <f>IF(ISBLANK(D105),"",voranmeldefrist_vierteljaehrlich(D105))</f>
        <v/>
      </c>
      <c r="N105" s="43">
        <f>IF(ISBLANK(D105),IF(TODAY()&gt;C105,TODAY()-C105,0),IF(D105&gt;C105,D105-C105,0))</f>
        <v/>
      </c>
      <c r="Q105" s="208" t="n">
        <v>87.5</v>
      </c>
      <c r="R105" s="43">
        <f>Q105=H105</f>
        <v/>
      </c>
    </row>
    <row r="106">
      <c r="A106" t="n">
        <v>12020012</v>
      </c>
      <c r="B106" s="44" t="n">
        <v>43922</v>
      </c>
      <c r="C106" s="1">
        <f>B106+14</f>
        <v/>
      </c>
      <c r="D106" s="1" t="n">
        <v>43928</v>
      </c>
      <c r="F106" t="inlineStr">
        <is>
          <t>Theresa Häfele-Kolbitsch, Josef-Mohrgasse 9, 2102 Bisamberg</t>
        </is>
      </c>
      <c r="H106" s="206" t="n">
        <v>109.38</v>
      </c>
      <c r="I106" s="43" t="n">
        <v>20</v>
      </c>
      <c r="J106" s="206">
        <f>I106*H106/100</f>
        <v/>
      </c>
      <c r="K106" s="209">
        <f>H106+J106</f>
        <v/>
      </c>
      <c r="L106" s="44">
        <f>IF(ISBLANK(D106),"",voranmeldefrist_vierteljaehrlich(D106))</f>
        <v/>
      </c>
      <c r="N106" s="43">
        <f>IF(ISBLANK(D106),IF(TODAY()&gt;C106,TODAY()-C106,0),IF(D106&gt;C106,D106-C106,0))</f>
        <v/>
      </c>
      <c r="Q106" s="208" t="n">
        <v>109.38</v>
      </c>
      <c r="R106" s="43">
        <f>Q106=H106</f>
        <v/>
      </c>
    </row>
    <row r="107">
      <c r="A107" t="n">
        <v>12020009</v>
      </c>
      <c r="B107" s="44" t="n">
        <v>43922</v>
      </c>
      <c r="C107" s="1">
        <f>B107+14</f>
        <v/>
      </c>
      <c r="D107" s="44" t="n">
        <v>43936</v>
      </c>
      <c r="F107" t="inlineStr">
        <is>
          <t>Schick Küchendesign e.U. Alexander Schick, Linzerstraße 247, 1140 Wien</t>
        </is>
      </c>
      <c r="H107" s="206" t="n">
        <v>173.25</v>
      </c>
      <c r="I107" s="43" t="n">
        <v>20</v>
      </c>
      <c r="J107" s="206">
        <f>I107*H107/100</f>
        <v/>
      </c>
      <c r="K107" s="206">
        <f>H107+J107</f>
        <v/>
      </c>
      <c r="L107" s="44">
        <f>IF(ISBLANK(D107),"",voranmeldefrist_vierteljaehrlich(D107))</f>
        <v/>
      </c>
      <c r="N107" s="43">
        <f>IF(ISBLANK(D107),IF(TODAY()&gt;C107,TODAY()-C107,0),IF(D107&gt;C107,D107-C107,0))</f>
        <v/>
      </c>
      <c r="Q107" s="208" t="n">
        <v>173.25</v>
      </c>
      <c r="R107" s="43">
        <f>Q107=H107</f>
        <v/>
      </c>
    </row>
    <row r="108">
      <c r="A108" t="n">
        <v>12020015</v>
      </c>
      <c r="B108" s="44" t="n">
        <v>43955</v>
      </c>
      <c r="C108" s="1">
        <f>B108+14</f>
        <v/>
      </c>
      <c r="D108" s="44" t="n">
        <v>43956</v>
      </c>
      <c r="F108" s="43" t="inlineStr">
        <is>
          <t>Wedding Avenue e.U., Mayerweckstrasse 2-8/99/1, 1210 Wien</t>
        </is>
      </c>
      <c r="H108" s="206" t="n">
        <v>43.75</v>
      </c>
      <c r="I108" s="43" t="n">
        <v>20</v>
      </c>
      <c r="J108" s="206">
        <f>I108*H108/100</f>
        <v/>
      </c>
      <c r="K108" s="206">
        <f>H108+J108</f>
        <v/>
      </c>
      <c r="L108" s="44">
        <f>IF(ISBLANK(D108),"",voranmeldefrist_vierteljaehrlich(D108))</f>
        <v/>
      </c>
      <c r="N108" s="43">
        <f>IF(ISBLANK(D108),IF(TODAY()&gt;C108,TODAY()-C108,0),IF(D108&gt;C108,D108-C108,0))</f>
        <v/>
      </c>
      <c r="Q108" s="208" t="n">
        <v>43.75</v>
      </c>
      <c r="R108" s="43">
        <f>Q108=H108</f>
        <v/>
      </c>
    </row>
    <row r="109">
      <c r="A109" t="n">
        <v>12020014</v>
      </c>
      <c r="B109" s="44" t="n">
        <v>43923</v>
      </c>
      <c r="C109" s="1">
        <f>B109+35</f>
        <v/>
      </c>
      <c r="D109" s="44" t="n">
        <v>43963</v>
      </c>
      <c r="F109" t="inlineStr">
        <is>
          <t>DCF - Digital Coding Factory GmbH, Bauernfeldplatz 4/12, 1090 Wien</t>
        </is>
      </c>
      <c r="H109" s="206" t="n">
        <v>7050</v>
      </c>
      <c r="I109" s="43" t="n">
        <v>20</v>
      </c>
      <c r="J109" s="206">
        <f>I109*H109/100</f>
        <v/>
      </c>
      <c r="K109" s="206">
        <f>H109+J109</f>
        <v/>
      </c>
      <c r="L109" s="44">
        <f>IF(ISBLANK(D109),"",voranmeldefrist_vierteljaehrlich(D109))</f>
        <v/>
      </c>
      <c r="N109" s="43">
        <f>IF(ISBLANK(D109),IF(TODAY()&gt;C109,TODAY()-C109,0),IF(D109&gt;C109,D109-C109,0))</f>
        <v/>
      </c>
      <c r="Q109" s="208" t="n">
        <v>7050</v>
      </c>
      <c r="R109" s="43">
        <f>Q109=H109</f>
        <v/>
      </c>
    </row>
    <row r="110">
      <c r="A110" t="n">
        <v>12020016</v>
      </c>
      <c r="B110" s="44" t="n">
        <v>43955</v>
      </c>
      <c r="C110" s="1">
        <f>B110+14</f>
        <v/>
      </c>
      <c r="D110" s="44" t="n">
        <v>43963</v>
      </c>
      <c r="F110" t="inlineStr">
        <is>
          <t>DCF - Digital Coding Factory GmbH, Bauernfeldplatz 4/12, 1090 Wien</t>
        </is>
      </c>
      <c r="H110" s="206" t="n">
        <v>157.5</v>
      </c>
      <c r="I110" s="43" t="n">
        <v>20</v>
      </c>
      <c r="J110" s="206">
        <f>I110*H110/100</f>
        <v/>
      </c>
      <c r="K110" s="206">
        <f>H110+J110</f>
        <v/>
      </c>
      <c r="L110" s="44">
        <f>IF(ISBLANK(D110),"",voranmeldefrist_vierteljaehrlich(D110))</f>
        <v/>
      </c>
      <c r="N110" s="43">
        <f>IF(ISBLANK(D110),IF(TODAY()&gt;C110,TODAY()-C110,0),IF(D110&gt;C110,D110-C110,0))</f>
        <v/>
      </c>
      <c r="Q110" s="208" t="n">
        <v>157.5</v>
      </c>
      <c r="R110" s="43">
        <f>Q110=H110</f>
        <v/>
      </c>
    </row>
    <row r="111">
      <c r="A111" t="n">
        <v>12020018</v>
      </c>
      <c r="B111" s="44" t="n">
        <v>43955</v>
      </c>
      <c r="C111" s="1">
        <f>B111+35</f>
        <v/>
      </c>
      <c r="D111" s="44" t="n">
        <v>43992</v>
      </c>
      <c r="F111" t="inlineStr">
        <is>
          <t>DCF - Digital Coding Factory GmbH, Bauernfeldplatz 4/12, 1090 Wien</t>
        </is>
      </c>
      <c r="H111" s="206" t="n">
        <v>2130</v>
      </c>
      <c r="I111" s="43" t="n">
        <v>20</v>
      </c>
      <c r="J111" s="206">
        <f>I111*H111/100</f>
        <v/>
      </c>
      <c r="K111" s="206">
        <f>H111+J111</f>
        <v/>
      </c>
      <c r="L111" s="44">
        <f>IF(ISBLANK(D111),"",voranmeldefrist_vierteljaehrlich(D111))</f>
        <v/>
      </c>
      <c r="N111" s="43">
        <f>IF(ISBLANK(D111),IF(TODAY()&gt;C111,TODAY()-C111,0),IF(D111&gt;C111,D111-C111,0))</f>
        <v/>
      </c>
      <c r="Q111" s="208" t="n">
        <v>2130</v>
      </c>
      <c r="R111" s="43">
        <f>Q111=H111</f>
        <v/>
      </c>
    </row>
    <row r="112">
      <c r="A112" t="n">
        <v>12020017</v>
      </c>
      <c r="B112" s="44" t="n">
        <v>43955</v>
      </c>
      <c r="C112" s="1">
        <f>B112+35</f>
        <v/>
      </c>
      <c r="D112" s="44" t="n">
        <v>44000</v>
      </c>
      <c r="F112" t="inlineStr">
        <is>
          <t>DCF - Digital Coding Factory GmbH, Bauernfeldplatz 4/12, 1090 Wien</t>
        </is>
      </c>
      <c r="H112" s="206" t="n">
        <v>7560</v>
      </c>
      <c r="I112" s="43" t="n">
        <v>20</v>
      </c>
      <c r="J112" s="206">
        <f>I112*H112/100</f>
        <v/>
      </c>
      <c r="K112" s="206">
        <f>H112+J112</f>
        <v/>
      </c>
      <c r="L112" s="44">
        <f>IF(ISBLANK(D112),"",voranmeldefrist_vierteljaehrlich(D112))</f>
        <v/>
      </c>
      <c r="N112" s="43">
        <f>IF(ISBLANK(D112),IF(TODAY()&gt;C112,TODAY()-C112,0),IF(D112&gt;C112,D112-C112,0))</f>
        <v/>
      </c>
      <c r="Q112" s="208" t="n">
        <v>7560</v>
      </c>
      <c r="R112" s="43">
        <f>Q112=H112</f>
        <v/>
      </c>
    </row>
    <row r="113">
      <c r="A113" t="n">
        <v>12020013</v>
      </c>
      <c r="B113" s="44" t="n">
        <v>43922</v>
      </c>
      <c r="C113" s="1">
        <f>B113+14</f>
        <v/>
      </c>
      <c r="D113" s="44" t="n">
        <v>44014</v>
      </c>
      <c r="F113" s="43" t="inlineStr">
        <is>
          <t>Dr. Arno Kolbitsch, Zivilingenieur, Gütleweg 1, 6822 Satteins</t>
        </is>
      </c>
      <c r="H113" s="206" t="n">
        <v>362.4</v>
      </c>
      <c r="I113" s="43" t="n">
        <v>20</v>
      </c>
      <c r="J113" s="206">
        <f>I113*H113/100</f>
        <v/>
      </c>
      <c r="K113" s="206">
        <f>H113+J113</f>
        <v/>
      </c>
      <c r="L113" s="44">
        <f>IF(ISBLANK(D113),"",voranmeldefrist_vierteljaehrlich(D113))</f>
        <v/>
      </c>
      <c r="N113" s="43">
        <f>IF(ISBLANK(D113),IF(TODAY()&gt;C113,TODAY()-C113,0),IF(D113&gt;C113,D113-C113,0))</f>
        <v/>
      </c>
      <c r="Q113" s="208" t="n">
        <v>362.4</v>
      </c>
      <c r="R113" s="43">
        <f>Q113=H113</f>
        <v/>
      </c>
    </row>
    <row r="114">
      <c r="A114" t="n">
        <v>12020024</v>
      </c>
      <c r="B114" s="44" t="n">
        <v>44013</v>
      </c>
      <c r="C114" s="1">
        <f>B114+14</f>
        <v/>
      </c>
      <c r="D114" s="44" t="n">
        <v>44014</v>
      </c>
      <c r="F114" s="43" t="inlineStr">
        <is>
          <t>Dr. Arno Kolbitsch, Zivilingenieur, Gütleweg 1, 6822 Satteins</t>
        </is>
      </c>
      <c r="H114" s="206" t="n">
        <v>306.25</v>
      </c>
      <c r="I114" t="n">
        <v>20</v>
      </c>
      <c r="J114" s="206">
        <f>I114*H114/100</f>
        <v/>
      </c>
      <c r="K114" s="206">
        <f>H114+J114</f>
        <v/>
      </c>
      <c r="L114" s="44">
        <f>IF(ISBLANK(D114),"",voranmeldefrist_vierteljaehrlich(D114))</f>
        <v/>
      </c>
      <c r="N114" s="43">
        <f>IF(ISBLANK(D114),IF(TODAY()&gt;C114,TODAY()-C114,0),IF(D114&gt;C114,D114-C114,0))</f>
        <v/>
      </c>
      <c r="Q114" s="208" t="n">
        <v>306.25</v>
      </c>
      <c r="R114" s="43">
        <f>Q114=H114</f>
        <v/>
      </c>
    </row>
    <row r="115">
      <c r="A115" t="n">
        <v>12020023</v>
      </c>
      <c r="B115" s="44" t="n">
        <v>44013</v>
      </c>
      <c r="C115" s="1">
        <f>B115+14</f>
        <v/>
      </c>
      <c r="D115" s="44" t="n">
        <v>44020</v>
      </c>
      <c r="F115" s="43" t="inlineStr">
        <is>
          <t>Paperholic all 'bout paper e.U., Sandfeld 9F, 2100 Stetten</t>
        </is>
      </c>
      <c r="H115" s="206" t="n">
        <v>901</v>
      </c>
      <c r="I115" t="n">
        <v>20</v>
      </c>
      <c r="J115" s="206">
        <f>I115*H115/100</f>
        <v/>
      </c>
      <c r="K115" s="206">
        <f>H115+J115</f>
        <v/>
      </c>
      <c r="L115" s="44">
        <f>IF(ISBLANK(D115),"",voranmeldefrist_vierteljaehrlich(D115))</f>
        <v/>
      </c>
      <c r="N115" s="43">
        <f>IF(ISBLANK(D115),IF(TODAY()&gt;C115,TODAY()-C115,0),IF(D115&gt;C115,D115-C115,0))</f>
        <v/>
      </c>
      <c r="Q115" s="208" t="n">
        <v>901</v>
      </c>
      <c r="R115" s="43">
        <f>Q115=H115</f>
        <v/>
      </c>
    </row>
    <row r="116">
      <c r="A116" t="n">
        <v>12020022</v>
      </c>
      <c r="B116" s="44" t="n">
        <v>44013</v>
      </c>
      <c r="C116" s="1">
        <f>B116+14</f>
        <v/>
      </c>
      <c r="D116" s="44" t="n">
        <v>44025</v>
      </c>
      <c r="F116" t="inlineStr">
        <is>
          <t>Schick Küchendesign e.U. Alexander Schick, Linzerstraße 247, 1140 Wien</t>
        </is>
      </c>
      <c r="H116" s="206" t="n">
        <v>250.25</v>
      </c>
      <c r="I116" t="n">
        <v>20</v>
      </c>
      <c r="J116" s="206">
        <f>I116*H116/100</f>
        <v/>
      </c>
      <c r="K116" s="206">
        <f>H116+J116</f>
        <v/>
      </c>
      <c r="L116" s="44">
        <f>IF(ISBLANK(D116),"",voranmeldefrist_vierteljaehrlich(D116))</f>
        <v/>
      </c>
      <c r="N116" s="43">
        <f>IF(ISBLANK(D116),IF(TODAY()&gt;C116,TODAY()-C116,0),IF(D116&gt;C116,D116-C116,0))</f>
        <v/>
      </c>
      <c r="Q116" s="208" t="n">
        <v>250.25</v>
      </c>
      <c r="R116" s="43">
        <f>Q116=H116</f>
        <v/>
      </c>
    </row>
    <row r="117">
      <c r="A117" t="n">
        <v>12020027</v>
      </c>
      <c r="B117" s="44" t="n">
        <v>44013</v>
      </c>
      <c r="C117" s="1">
        <f>B117+14</f>
        <v/>
      </c>
      <c r="D117" s="44" t="n">
        <v>44027</v>
      </c>
      <c r="F117" s="43" t="inlineStr">
        <is>
          <t>Musikschule Bad Vöslau, z. Hd. Herr Christian Sauer, Hauptstraße 14, 2540 Bad Vöslau</t>
        </is>
      </c>
      <c r="H117" s="206">
        <f>4*87.5</f>
        <v/>
      </c>
      <c r="I117" t="n">
        <v>20</v>
      </c>
      <c r="J117" s="206">
        <f>I117*H117/100</f>
        <v/>
      </c>
      <c r="K117" s="206">
        <f>H117+J117</f>
        <v/>
      </c>
      <c r="L117" s="44">
        <f>IF(ISBLANK(D117),"",voranmeldefrist_vierteljaehrlich(D117))</f>
        <v/>
      </c>
      <c r="N117" s="43">
        <f>IF(ISBLANK(D117),IF(TODAY()&gt;C117,TODAY()-C117,0),IF(D117&gt;C117,D117-C117,0))</f>
        <v/>
      </c>
      <c r="Q117" s="208" t="n">
        <v>350</v>
      </c>
      <c r="R117" s="43">
        <f>Q117=H117</f>
        <v/>
      </c>
    </row>
    <row r="118">
      <c r="A118" t="n">
        <v>12020020</v>
      </c>
      <c r="B118" s="44" t="n">
        <v>43984</v>
      </c>
      <c r="C118" s="1">
        <f>B118+35</f>
        <v/>
      </c>
      <c r="D118" s="44" t="n">
        <v>44036</v>
      </c>
      <c r="F118" t="inlineStr">
        <is>
          <t>DCF - Digital Coding Factory GmbH, Bauernfeldplatz 4/12, 1090 Wien</t>
        </is>
      </c>
      <c r="G118" s="43" t="inlineStr">
        <is>
          <t>Inspire</t>
        </is>
      </c>
      <c r="H118" s="206" t="n">
        <v>2790</v>
      </c>
      <c r="I118" s="43" t="n">
        <v>20</v>
      </c>
      <c r="J118" s="206">
        <f>I118*H118/100</f>
        <v/>
      </c>
      <c r="K118" s="206">
        <f>H118+J118</f>
        <v/>
      </c>
      <c r="L118" s="44">
        <f>IF(ISBLANK(D118),"",voranmeldefrist_vierteljaehrlich(D118))</f>
        <v/>
      </c>
      <c r="N118" s="43">
        <f>IF(ISBLANK(D118),IF(TODAY()&gt;C118,TODAY()-C118,0),IF(D118&gt;C118,D118-C118,0))</f>
        <v/>
      </c>
      <c r="Q118" s="208" t="n">
        <v>2790</v>
      </c>
      <c r="R118" s="43">
        <f>Q118=H118</f>
        <v/>
      </c>
    </row>
    <row r="119">
      <c r="A119" t="n">
        <v>12020021</v>
      </c>
      <c r="B119" s="44" t="n">
        <v>43984</v>
      </c>
      <c r="C119" s="1">
        <f>B119+35</f>
        <v/>
      </c>
      <c r="D119" s="44" t="n">
        <v>44036</v>
      </c>
      <c r="F119" t="inlineStr">
        <is>
          <t>DCF - Digital Coding Factory GmbH, Bauernfeldplatz 4/12, 1090 Wien</t>
        </is>
      </c>
      <c r="G119" s="43" t="inlineStr">
        <is>
          <t>JLC</t>
        </is>
      </c>
      <c r="H119" s="206" t="n">
        <v>2250</v>
      </c>
      <c r="I119" t="n">
        <v>20</v>
      </c>
      <c r="J119" s="206">
        <f>I119*H119/100</f>
        <v/>
      </c>
      <c r="K119" s="206">
        <f>H119+J119</f>
        <v/>
      </c>
      <c r="L119" s="44">
        <f>IF(ISBLANK(D119),"",voranmeldefrist_vierteljaehrlich(D119))</f>
        <v/>
      </c>
      <c r="N119" s="43">
        <f>IF(ISBLANK(D119),IF(TODAY()&gt;C119,TODAY()-C119,0),IF(D119&gt;C119,D119-C119,0))</f>
        <v/>
      </c>
      <c r="Q119" s="208" t="n">
        <v>2250</v>
      </c>
      <c r="R119" s="43">
        <f>Q119=H119</f>
        <v/>
      </c>
    </row>
    <row r="120">
      <c r="A120" t="n">
        <v>12020019</v>
      </c>
      <c r="B120" s="44" t="n">
        <v>43984</v>
      </c>
      <c r="C120" s="1">
        <f>B120+14</f>
        <v/>
      </c>
      <c r="D120" s="44" t="n">
        <v>44039</v>
      </c>
      <c r="E120" s="43" t="inlineStr">
        <is>
          <t>RE NICHT GESCHICKT</t>
        </is>
      </c>
      <c r="F120" s="43" t="inlineStr">
        <is>
          <t>Wedding Avenue e.U., Mayerweckstrasse 2-8/99/1, 1210 Wien</t>
        </is>
      </c>
      <c r="H120" s="206" t="n">
        <v>131.25</v>
      </c>
      <c r="I120" s="43" t="n">
        <v>20</v>
      </c>
      <c r="J120" s="206">
        <f>I120*H120/100</f>
        <v/>
      </c>
      <c r="K120" s="206">
        <f>H120+J120</f>
        <v/>
      </c>
      <c r="L120" s="44">
        <f>IF(ISBLANK(D120),"",voranmeldefrist_vierteljaehrlich(D120))</f>
        <v/>
      </c>
      <c r="N120" s="43">
        <f>IF(ISBLANK(D120),IF(TODAY()&gt;C120,TODAY()-C120,0),IF(D120&gt;C120,D120-C120,0))</f>
        <v/>
      </c>
      <c r="Q120" s="208" t="n">
        <v>131.25</v>
      </c>
      <c r="R120" s="43">
        <f>Q120=H120</f>
        <v/>
      </c>
    </row>
    <row r="121">
      <c r="A121" t="n">
        <v>12020025</v>
      </c>
      <c r="B121" s="44" t="n">
        <v>44013</v>
      </c>
      <c r="C121" s="1">
        <f>B121+65</f>
        <v/>
      </c>
      <c r="D121" s="44" t="n">
        <v>44078</v>
      </c>
      <c r="F121" t="inlineStr">
        <is>
          <t>DCF - Digital Coding Factory GmbH, Bauernfeldplatz 4/12, 1090 Wien</t>
        </is>
      </c>
      <c r="G121" s="43" t="inlineStr">
        <is>
          <t>Inspire</t>
        </is>
      </c>
      <c r="H121" s="206">
        <f>19.25*120</f>
        <v/>
      </c>
      <c r="I121" t="n">
        <v>20</v>
      </c>
      <c r="J121" s="206">
        <f>I121*H121/100</f>
        <v/>
      </c>
      <c r="K121" s="206">
        <f>H121+J121</f>
        <v/>
      </c>
      <c r="L121" s="44">
        <f>IF(ISBLANK(D121),"",voranmeldefrist_vierteljaehrlich(D121))</f>
        <v/>
      </c>
      <c r="N121" s="43">
        <f>IF(ISBLANK(D121),IF(TODAY()&gt;C121,TODAY()-C121,0),IF(D121&gt;C121,D121-C121,0))</f>
        <v/>
      </c>
      <c r="Q121" s="208" t="n">
        <v>2310</v>
      </c>
      <c r="R121" s="43">
        <f>Q121=H121</f>
        <v/>
      </c>
    </row>
    <row r="122">
      <c r="A122" t="n">
        <v>12020026</v>
      </c>
      <c r="B122" s="44" t="n">
        <v>44013</v>
      </c>
      <c r="C122" s="1">
        <f>B122+65</f>
        <v/>
      </c>
      <c r="D122" s="44" t="n">
        <v>44078</v>
      </c>
      <c r="F122" t="inlineStr">
        <is>
          <t>DCF - Digital Coding Factory GmbH, Bauernfeldplatz 4/12, 1090 Wien</t>
        </is>
      </c>
      <c r="G122" s="43" t="inlineStr">
        <is>
          <t>JLC</t>
        </is>
      </c>
      <c r="H122" s="206">
        <f>57*120</f>
        <v/>
      </c>
      <c r="I122" t="n">
        <v>20</v>
      </c>
      <c r="J122" s="206">
        <f>I122*H122/100</f>
        <v/>
      </c>
      <c r="K122" s="206">
        <f>H122+J122</f>
        <v/>
      </c>
      <c r="L122" s="44">
        <f>IF(ISBLANK(D122),"",voranmeldefrist_vierteljaehrlich(D122))</f>
        <v/>
      </c>
      <c r="N122" s="43">
        <f>IF(ISBLANK(D122),IF(TODAY()&gt;C122,TODAY()-C122,0),IF(D122&gt;C122,D122-C122,0))</f>
        <v/>
      </c>
      <c r="Q122" s="208" t="n">
        <v>6840</v>
      </c>
      <c r="R122" s="43">
        <f>Q122=H122</f>
        <v/>
      </c>
    </row>
    <row r="123">
      <c r="A123" t="n">
        <v>12020028</v>
      </c>
      <c r="B123" s="44" t="n">
        <v>44044</v>
      </c>
      <c r="C123" s="1">
        <f>B123+14</f>
        <v/>
      </c>
      <c r="D123" s="44" t="n">
        <v>44097</v>
      </c>
      <c r="F123" s="43" t="inlineStr">
        <is>
          <t>Paperholic all 'bout paper e.U., Sandfeld 9F, 2100 Stetten</t>
        </is>
      </c>
      <c r="H123" s="206" t="n">
        <v>175</v>
      </c>
      <c r="I123" t="n">
        <v>20</v>
      </c>
      <c r="J123" s="206">
        <f>I123*H123/100</f>
        <v/>
      </c>
      <c r="K123" s="206">
        <f>H123+J123</f>
        <v/>
      </c>
      <c r="L123" s="44">
        <f>IF(ISBLANK(D123),"",voranmeldefrist_vierteljaehrlich(D123))</f>
        <v/>
      </c>
      <c r="N123" s="43">
        <f>IF(ISBLANK(D123),IF(TODAY()&gt;C123,TODAY()-C123,0),IF(D123&gt;C123,D123-C123,0))</f>
        <v/>
      </c>
      <c r="Q123" s="208" t="n">
        <v>175</v>
      </c>
      <c r="R123" s="43">
        <f>Q123=H123</f>
        <v/>
      </c>
    </row>
    <row r="124">
      <c r="A124" t="n">
        <v>12020029</v>
      </c>
      <c r="B124" s="44" t="n">
        <v>44046</v>
      </c>
      <c r="C124" s="1">
        <f>B124+35</f>
        <v/>
      </c>
      <c r="D124" s="44" t="n">
        <v>44102</v>
      </c>
      <c r="F124" t="inlineStr">
        <is>
          <t>DCF - Digital Coding Factory GmbH, Bauernfeldplatz 4/12, 1090 Wien</t>
        </is>
      </c>
      <c r="G124" s="43" t="inlineStr">
        <is>
          <t>Inspire</t>
        </is>
      </c>
      <c r="H124" s="206" t="n">
        <v>300</v>
      </c>
      <c r="I124" t="n">
        <v>20</v>
      </c>
      <c r="J124" s="206">
        <f>I124*H124/100</f>
        <v/>
      </c>
      <c r="K124" s="206">
        <f>H124+J124</f>
        <v/>
      </c>
      <c r="L124" s="44">
        <f>IF(ISBLANK(D124),"",voranmeldefrist_vierteljaehrlich(D124))</f>
        <v/>
      </c>
      <c r="N124" s="43">
        <f>IF(ISBLANK(D124),IF(TODAY()&gt;C124,TODAY()-C124,0),IF(D124&gt;C124,D124-C124,0))</f>
        <v/>
      </c>
      <c r="Q124" s="208" t="n">
        <v>300.5000000000001</v>
      </c>
      <c r="R124" s="43">
        <f>Q124=H124</f>
        <v/>
      </c>
    </row>
    <row r="125">
      <c r="A125" t="n">
        <v>12020030</v>
      </c>
      <c r="B125" s="44" t="n">
        <v>44046</v>
      </c>
      <c r="C125" s="1">
        <f>B125+35</f>
        <v/>
      </c>
      <c r="D125" s="44" t="n">
        <v>44102</v>
      </c>
      <c r="F125" t="inlineStr">
        <is>
          <t>DCF - Digital Coding Factory GmbH, Bauernfeldplatz 4/12, 1090 Wien</t>
        </is>
      </c>
      <c r="G125" s="43" t="inlineStr">
        <is>
          <t>JLC</t>
        </is>
      </c>
      <c r="H125" s="206" t="n">
        <v>12510</v>
      </c>
      <c r="I125" t="n">
        <v>20</v>
      </c>
      <c r="J125" s="206">
        <f>I125*H125/100</f>
        <v/>
      </c>
      <c r="K125" s="206">
        <f>H125+J125</f>
        <v/>
      </c>
      <c r="L125" s="44">
        <f>IF(ISBLANK(D125),"",voranmeldefrist_vierteljaehrlich(D125))</f>
        <v/>
      </c>
      <c r="N125" s="43">
        <f>IF(ISBLANK(D125),IF(TODAY()&gt;C125,TODAY()-C125,0),IF(D125&gt;C125,D125-C125,0))</f>
        <v/>
      </c>
      <c r="Q125" s="208" t="n">
        <v>12510</v>
      </c>
      <c r="R125" s="43">
        <f>Q125=H125</f>
        <v/>
      </c>
    </row>
    <row r="126">
      <c r="A126" t="n">
        <v>12020033</v>
      </c>
      <c r="B126" s="44" t="n">
        <v>44102</v>
      </c>
      <c r="C126" s="44">
        <f>B126+14</f>
        <v/>
      </c>
      <c r="D126" s="44" t="n">
        <v>44102</v>
      </c>
      <c r="F126" s="43" t="inlineStr">
        <is>
          <t>Dr. Arno Kolbitsch, Zivilingenieur, Gütleweg 1, 6822 Satteins</t>
        </is>
      </c>
      <c r="H126" s="206" t="n">
        <v>2185.98</v>
      </c>
      <c r="I126" t="n">
        <v>20</v>
      </c>
      <c r="J126" s="206">
        <f>I126*H126/100</f>
        <v/>
      </c>
      <c r="K126" s="206">
        <f>H126+J126</f>
        <v/>
      </c>
      <c r="L126" s="44">
        <f>IF(ISBLANK(D126),"",voranmeldefrist_vierteljaehrlich(D126))</f>
        <v/>
      </c>
      <c r="N126" s="43">
        <f>IF(ISBLANK(D126),IF(TODAY()&gt;C126,TODAY()-C126,0),IF(D126&gt;C126,D126-C126,0))</f>
        <v/>
      </c>
      <c r="Q126" s="208" t="n">
        <v>2185.98</v>
      </c>
      <c r="R126" s="43">
        <f>Q126=H126</f>
        <v/>
      </c>
    </row>
    <row r="127">
      <c r="A127" t="n">
        <v>12020034</v>
      </c>
      <c r="B127" s="44" t="n">
        <v>44106</v>
      </c>
      <c r="C127" s="1">
        <f>B127+35</f>
        <v/>
      </c>
      <c r="D127" s="44" t="n">
        <v>44144</v>
      </c>
      <c r="F127" t="inlineStr">
        <is>
          <t>DCF - Digital Coding Factory GmbH, Bauernfeldplatz 4/12, 1090 Wien</t>
        </is>
      </c>
      <c r="G127" s="43" t="inlineStr">
        <is>
          <t>Inspire</t>
        </is>
      </c>
      <c r="H127" s="206" t="n">
        <v>420</v>
      </c>
      <c r="I127" t="n">
        <v>20</v>
      </c>
      <c r="J127" s="206">
        <f>I127*H127/100</f>
        <v/>
      </c>
      <c r="K127" s="206">
        <f>H127+J127</f>
        <v/>
      </c>
      <c r="L127" s="44">
        <f>IF(ISBLANK(D127),"",voranmeldefrist_vierteljaehrlich(D127))</f>
        <v/>
      </c>
      <c r="N127" s="43">
        <f>IF(ISBLANK(D127),IF(TODAY()&gt;C127,TODAY()-C127,0),IF(D127&gt;C127,D127-C127,0))</f>
        <v/>
      </c>
      <c r="Q127" s="208" t="n">
        <v>420</v>
      </c>
      <c r="R127" s="43">
        <f>Q127=H127</f>
        <v/>
      </c>
    </row>
    <row r="128">
      <c r="A128" t="n">
        <v>12020035</v>
      </c>
      <c r="B128" s="44" t="n">
        <v>44106</v>
      </c>
      <c r="C128" s="1">
        <f>B128+35</f>
        <v/>
      </c>
      <c r="D128" s="44" t="n">
        <v>44144</v>
      </c>
      <c r="F128" t="inlineStr">
        <is>
          <t>DCF - Digital Coding Factory GmbH, Bauernfeldplatz 4/12, 1090 Wien</t>
        </is>
      </c>
      <c r="G128" s="43" t="inlineStr">
        <is>
          <t>JLC</t>
        </is>
      </c>
      <c r="H128" s="206" t="n">
        <v>9810</v>
      </c>
      <c r="I128" t="n">
        <v>20</v>
      </c>
      <c r="J128" s="206">
        <f>I128*H128/100</f>
        <v/>
      </c>
      <c r="K128" s="206">
        <f>H128+J128</f>
        <v/>
      </c>
      <c r="L128" s="44">
        <f>IF(ISBLANK(D128),"",voranmeldefrist_vierteljaehrlich(D128))</f>
        <v/>
      </c>
      <c r="N128" s="43">
        <f>IF(ISBLANK(D128),IF(TODAY()&gt;C128,TODAY()-C128,0),IF(D128&gt;C128,D128-C128,0))</f>
        <v/>
      </c>
      <c r="Q128" s="208" t="n">
        <v>9810</v>
      </c>
      <c r="R128" s="43">
        <f>Q128=H128</f>
        <v/>
      </c>
    </row>
    <row r="129">
      <c r="A129" t="n">
        <v>12020037</v>
      </c>
      <c r="B129" s="44" t="n">
        <v>44134</v>
      </c>
      <c r="C129" s="1">
        <f>B129+14</f>
        <v/>
      </c>
      <c r="D129" s="44" t="n">
        <v>44146</v>
      </c>
      <c r="F129" t="inlineStr">
        <is>
          <t>DCF - Digital Coding Factory GmbH, Bauernfeldplatz 4/12, 1090 Wien</t>
        </is>
      </c>
      <c r="G129" t="inlineStr">
        <is>
          <t>Reporty</t>
        </is>
      </c>
      <c r="H129" s="206" t="n">
        <v>14.94</v>
      </c>
      <c r="I129" t="n">
        <v>20</v>
      </c>
      <c r="J129" s="206">
        <f>I129*H129/100</f>
        <v/>
      </c>
      <c r="K129" s="206">
        <f>H129+J129</f>
        <v/>
      </c>
      <c r="L129" s="44">
        <f>IF(ISBLANK(D129),"",voranmeldefrist_vierteljaehrlich(D129))</f>
        <v/>
      </c>
      <c r="N129" s="43">
        <f>IF(ISBLANK(D129),IF(TODAY()&gt;C129,TODAY()-C129,0),IF(D129&gt;C129,D129-C129,0))</f>
        <v/>
      </c>
      <c r="Q129" s="208" t="n">
        <v>510</v>
      </c>
      <c r="R129" s="43">
        <f>Q129=H129</f>
        <v/>
      </c>
      <c r="T129" s="210" t="n"/>
    </row>
    <row r="130">
      <c r="A130" t="n">
        <v>12020031</v>
      </c>
      <c r="B130" s="44" t="n">
        <v>44077</v>
      </c>
      <c r="C130" s="44">
        <f>B130+65</f>
        <v/>
      </c>
      <c r="D130" s="44" t="n">
        <v>44179</v>
      </c>
      <c r="F130" t="inlineStr">
        <is>
          <t>DCF - Digital Coding Factory GmbH, Bauernfeldplatz 4/12, 1090 Wien</t>
        </is>
      </c>
      <c r="G130" s="43" t="inlineStr">
        <is>
          <t>Inspire</t>
        </is>
      </c>
      <c r="H130" s="206" t="n">
        <v>510</v>
      </c>
      <c r="I130" t="n">
        <v>20</v>
      </c>
      <c r="J130" s="206">
        <f>I130*H130/100</f>
        <v/>
      </c>
      <c r="K130" s="206">
        <f>H130+J130</f>
        <v/>
      </c>
      <c r="L130" s="44">
        <f>IF(ISBLANK(D130),"",voranmeldefrist_vierteljaehrlich(D130))</f>
        <v/>
      </c>
      <c r="N130" s="43">
        <f>IF(ISBLANK(D130),IF(TODAY()&gt;C130,TODAY()-C130,0),IF(D130&gt;C130,D130-C130,0))</f>
        <v/>
      </c>
      <c r="Q130" s="208" t="n">
        <v>7260</v>
      </c>
      <c r="R130" s="43">
        <f>Q130=H130</f>
        <v/>
      </c>
      <c r="T130" s="210" t="n"/>
    </row>
    <row r="131">
      <c r="A131" t="n">
        <v>12020036</v>
      </c>
      <c r="B131" s="44" t="n">
        <v>44134</v>
      </c>
      <c r="C131" s="1">
        <f>B131+35</f>
        <v/>
      </c>
      <c r="D131" s="44" t="n">
        <v>44229</v>
      </c>
      <c r="F131" t="inlineStr">
        <is>
          <t>DCF - Digital Coding Factory GmbH, Bauernfeldplatz 4/12, 1090 Wien</t>
        </is>
      </c>
      <c r="G131" t="inlineStr">
        <is>
          <t>JLC</t>
        </is>
      </c>
      <c r="H131" s="206" t="n">
        <v>8340</v>
      </c>
      <c r="I131" t="n">
        <v>20</v>
      </c>
      <c r="J131" s="206">
        <f>I131*H131/100</f>
        <v/>
      </c>
      <c r="K131" s="206">
        <f>H131+J131</f>
        <v/>
      </c>
      <c r="L131" s="44">
        <f>IF(ISBLANK(D131),"",voranmeldefrist_vierteljaehrlich(D131))</f>
        <v/>
      </c>
      <c r="N131" s="43">
        <f>IF(ISBLANK(D131),IF(TODAY()&gt;C131,TODAY()-C131,0),IF(D131&gt;C131,D131-C131,0))</f>
        <v/>
      </c>
      <c r="Q131" s="208" t="n">
        <v>14.94</v>
      </c>
      <c r="T131" s="210" t="n">
        <v>2130</v>
      </c>
    </row>
    <row r="132">
      <c r="A132" t="n">
        <v>12020032</v>
      </c>
      <c r="B132" s="44" t="n">
        <v>44077</v>
      </c>
      <c r="C132" s="44">
        <f>B132+65</f>
        <v/>
      </c>
      <c r="D132" s="44" t="n">
        <v>44179</v>
      </c>
      <c r="F132" t="inlineStr">
        <is>
          <t>DCF - Digital Coding Factory GmbH, Bauernfeldplatz 4/12, 1090 Wien</t>
        </is>
      </c>
      <c r="G132" s="43" t="inlineStr">
        <is>
          <t>JLC</t>
        </is>
      </c>
      <c r="H132" s="206" t="n">
        <v>7260</v>
      </c>
      <c r="I132" t="n">
        <v>20</v>
      </c>
      <c r="J132" s="206">
        <f>I132*H132/100</f>
        <v/>
      </c>
      <c r="K132" s="206">
        <f>H132+J132</f>
        <v/>
      </c>
      <c r="L132" s="44">
        <f>IF(ISBLANK(D132),"",voranmeldefrist_vierteljaehrlich(D132))</f>
        <v/>
      </c>
      <c r="N132" s="43">
        <f>IF(ISBLANK(D132),IF(TODAY()&gt;C132,TODAY()-C132,0),IF(D132&gt;C132,D132-C132,0))</f>
        <v/>
      </c>
      <c r="Q132" s="208" t="n">
        <v>2130</v>
      </c>
      <c r="R132" s="43">
        <f>Q132=H132</f>
        <v/>
      </c>
    </row>
    <row r="133">
      <c r="A133" t="n">
        <v>12020038</v>
      </c>
      <c r="B133" s="44" t="n">
        <v>44151</v>
      </c>
      <c r="C133" s="44" t="n">
        <v>44210</v>
      </c>
      <c r="D133" s="44" t="n">
        <v>44207</v>
      </c>
      <c r="F133" s="43" t="inlineStr">
        <is>
          <t>foxcraft - Dipl.-Ing. Mag. Alexander Wagner, Leschetitzkygasse 30/5, 1180 Wien</t>
        </is>
      </c>
      <c r="H133" s="206" t="n">
        <v>218.78</v>
      </c>
      <c r="I133" s="43" t="n">
        <v>20</v>
      </c>
      <c r="J133" s="206">
        <f>I133*H133/100</f>
        <v/>
      </c>
      <c r="K133" s="206">
        <f>H133+J133</f>
        <v/>
      </c>
      <c r="L133" s="44">
        <f>IF(ISBLANK(D133),"",voranmeldefrist_vierteljaehrlich(D133))</f>
        <v/>
      </c>
      <c r="N133" s="43">
        <f>IF(ISBLANK(D133),IF(TODAY()&gt;C133,TODAY()-C133,0),IF(D133&gt;C133,D133-C133,0))</f>
        <v/>
      </c>
      <c r="Q133" s="208" t="n">
        <v>2130</v>
      </c>
    </row>
    <row r="134">
      <c r="A134" t="n">
        <v>12021001</v>
      </c>
      <c r="B134" s="44" t="n">
        <v>44203</v>
      </c>
      <c r="C134" s="1">
        <f>B134+14</f>
        <v/>
      </c>
      <c r="D134" s="44" t="n">
        <v>44203</v>
      </c>
      <c r="F134" s="43" t="inlineStr">
        <is>
          <t>Dr. Arno Kolbitsch, Zivilingenieur, Gütleweg 1, 6822 Satteins</t>
        </is>
      </c>
      <c r="H134" s="206" t="n">
        <v>8600</v>
      </c>
      <c r="I134" s="43" t="n">
        <v>20</v>
      </c>
      <c r="J134" s="206">
        <f>I134*H134/100</f>
        <v/>
      </c>
      <c r="K134" s="206">
        <f>H134+J134</f>
        <v/>
      </c>
      <c r="L134" s="44">
        <f>IF(ISBLANK(D134),"",voranmeldefrist_vierteljaehrlich(D134))</f>
        <v/>
      </c>
      <c r="N134" s="43">
        <f>IF(ISBLANK(D134),IF(TODAY()&gt;C134,TODAY()-C134,0),IF(D134&gt;C134,D134-C134,0))</f>
        <v/>
      </c>
    </row>
    <row r="135">
      <c r="A135" t="n">
        <v>12021002</v>
      </c>
      <c r="B135" s="44" t="n">
        <v>44203</v>
      </c>
      <c r="C135" s="1">
        <f>B135+14</f>
        <v/>
      </c>
      <c r="D135" s="44" t="n">
        <v>44235</v>
      </c>
      <c r="F135" s="43" t="inlineStr">
        <is>
          <t>Paperholic all 'bout paper e.U., Sandfeld 9F, 2100 Stetten</t>
        </is>
      </c>
      <c r="H135" s="206" t="n">
        <v>459.38</v>
      </c>
      <c r="I135" s="43" t="n">
        <v>20</v>
      </c>
      <c r="J135" s="206">
        <f>I135*H135/100</f>
        <v/>
      </c>
      <c r="K135" s="206">
        <f>H135+J135</f>
        <v/>
      </c>
      <c r="L135" s="44">
        <f>IF(ISBLANK(D135),"",voranmeldefrist_vierteljaehrlich(D135))</f>
        <v/>
      </c>
      <c r="N135" s="43">
        <f>IF(ISBLANK(D135),IF(TODAY()&gt;C135,TODAY()-C135,0),IF(D135&gt;C135,D135-C135,0))</f>
        <v/>
      </c>
    </row>
    <row r="136">
      <c r="A136" t="n">
        <v>12021003</v>
      </c>
      <c r="B136" s="44" t="n">
        <v>44203</v>
      </c>
      <c r="C136" s="1">
        <f>B136+14</f>
        <v/>
      </c>
      <c r="D136" s="44" t="n">
        <v>44224</v>
      </c>
      <c r="F136" s="43" t="inlineStr">
        <is>
          <t>Musikschule Bad Vöslau, z. Hd. Herr Christian Sauer, Hauptstraße 14, 2540 Bad Vöslau</t>
        </is>
      </c>
      <c r="H136" s="206" t="n">
        <v>131.25</v>
      </c>
      <c r="I136" s="43" t="n">
        <v>20</v>
      </c>
      <c r="J136" s="206">
        <f>I136*H136/100</f>
        <v/>
      </c>
      <c r="K136" s="206">
        <f>H136+J136</f>
        <v/>
      </c>
      <c r="L136" s="44">
        <f>IF(ISBLANK(D136),"",voranmeldefrist_vierteljaehrlich(D136))</f>
        <v/>
      </c>
      <c r="N136" s="43">
        <f>IF(ISBLANK(D136),IF(TODAY()&gt;C136,TODAY()-C136,0),IF(D136&gt;C136,D136-C136,0))</f>
        <v/>
      </c>
    </row>
    <row r="137">
      <c r="A137" t="n">
        <v>12021004</v>
      </c>
      <c r="B137" s="44" t="n">
        <v>44203</v>
      </c>
      <c r="C137" s="1">
        <f>B137+14</f>
        <v/>
      </c>
      <c r="D137" s="44" t="n">
        <v>44218</v>
      </c>
      <c r="F137" t="inlineStr">
        <is>
          <t>Schick Küchendesign e.U. Alexander Schick, Linzerstraße 247, 1140 Wien</t>
        </is>
      </c>
      <c r="H137" s="206" t="n">
        <v>404.25</v>
      </c>
      <c r="I137" s="43" t="n">
        <v>20</v>
      </c>
      <c r="J137" s="206">
        <f>I137*H137/100</f>
        <v/>
      </c>
      <c r="K137" s="206">
        <f>H137+J137</f>
        <v/>
      </c>
      <c r="L137" s="44">
        <f>IF(ISBLANK(D137),"",voranmeldefrist_vierteljaehrlich(D137))</f>
        <v/>
      </c>
      <c r="N137" s="43">
        <f>IF(ISBLANK(D137),IF(TODAY()&gt;C137,TODAY()-C137,0),IF(D137&gt;C137,D137-C137,0))</f>
        <v/>
      </c>
    </row>
    <row r="138">
      <c r="A138" t="n">
        <v>12021005</v>
      </c>
      <c r="B138" s="44" t="n">
        <v>44203</v>
      </c>
      <c r="C138" s="1">
        <f>B138+14</f>
        <v/>
      </c>
      <c r="D138" s="44" t="n">
        <v>44208</v>
      </c>
      <c r="F138" s="43" t="inlineStr">
        <is>
          <t>H. Jaros e.U., Fischhof 3/23, 1010 Wien, ATU 67698048</t>
        </is>
      </c>
      <c r="H138" s="206" t="n">
        <v>350</v>
      </c>
      <c r="I138" s="43" t="n">
        <v>20</v>
      </c>
      <c r="J138" s="206">
        <f>I138*H138/100</f>
        <v/>
      </c>
      <c r="K138" s="206">
        <f>H138+J138</f>
        <v/>
      </c>
      <c r="L138" s="44">
        <f>IF(ISBLANK(D138),"",voranmeldefrist_vierteljaehrlich(D138))</f>
        <v/>
      </c>
      <c r="N138" s="43">
        <f>IF(ISBLANK(D138),IF(TODAY()&gt;C138,TODAY()-C138,0),IF(D138&gt;C138,D138-C138,0))</f>
        <v/>
      </c>
    </row>
    <row r="139">
      <c r="A139" t="n">
        <v>12021006</v>
      </c>
      <c r="B139" s="44" t="n">
        <v>44203</v>
      </c>
      <c r="C139" s="1">
        <f>B139+14</f>
        <v/>
      </c>
      <c r="D139" s="44" t="n">
        <v>44228</v>
      </c>
      <c r="F139" t="inlineStr">
        <is>
          <t>Franz Hauer GesmbH &amp; Co KG, Werksstraße 6, 3125 Statzendorf</t>
        </is>
      </c>
      <c r="H139" s="206" t="n">
        <v>196.88</v>
      </c>
      <c r="I139" s="43" t="n">
        <v>20</v>
      </c>
      <c r="J139" s="206">
        <f>I139*H139/100</f>
        <v/>
      </c>
      <c r="K139" s="206">
        <f>H139+J139</f>
        <v/>
      </c>
      <c r="L139" s="44">
        <f>IF(ISBLANK(D139),"",voranmeldefrist_vierteljaehrlich(D139))</f>
        <v/>
      </c>
      <c r="N139" s="43">
        <f>IF(ISBLANK(D139),IF(TODAY()&gt;C139,TODAY()-C139,0),IF(D139&gt;C139,D139-C139,0))</f>
        <v/>
      </c>
    </row>
    <row r="140">
      <c r="A140" t="n">
        <v>12021007</v>
      </c>
      <c r="B140" s="44" t="n">
        <v>44203</v>
      </c>
      <c r="C140" s="1">
        <f>B140+14</f>
        <v/>
      </c>
      <c r="D140" s="44" t="n">
        <v>44204</v>
      </c>
      <c r="F140" t="inlineStr">
        <is>
          <t>Theresa Häfele-Kolbitsch, Josef-Mohrgasse 9, 2102 Bisamberg</t>
        </is>
      </c>
      <c r="H140" s="206" t="n">
        <v>235.33</v>
      </c>
      <c r="I140" s="43" t="n">
        <v>20</v>
      </c>
      <c r="J140" s="206">
        <f>I140*H140/100</f>
        <v/>
      </c>
      <c r="K140" s="206">
        <f>H140+J140</f>
        <v/>
      </c>
      <c r="L140" s="44">
        <f>IF(ISBLANK(D140),"",voranmeldefrist_vierteljaehrlich(D140))</f>
        <v/>
      </c>
      <c r="N140" s="43">
        <f>IF(ISBLANK(D140),IF(TODAY()&gt;C140,TODAY()-C140,0),IF(D140&gt;C140,D140-C140,0))</f>
        <v/>
      </c>
    </row>
    <row r="141">
      <c r="A141" t="n">
        <v>12021008</v>
      </c>
      <c r="B141" s="44" t="n">
        <v>44203</v>
      </c>
      <c r="C141" s="1">
        <f>B141+14</f>
        <v/>
      </c>
      <c r="D141" s="44" t="n">
        <v>44221</v>
      </c>
      <c r="F141" s="43" t="inlineStr">
        <is>
          <t>Martin Dürauer e.U., Schreinergasse 7, A-3100 St. Pölten</t>
        </is>
      </c>
      <c r="H141" s="206" t="n">
        <v>100</v>
      </c>
      <c r="I141" s="43" t="n">
        <v>20</v>
      </c>
      <c r="J141" s="206">
        <f>I141*H141/100</f>
        <v/>
      </c>
      <c r="K141" s="206">
        <f>H141+J141</f>
        <v/>
      </c>
      <c r="L141" s="44">
        <f>IF(ISBLANK(D141),"",voranmeldefrist_vierteljaehrlich(D141))</f>
        <v/>
      </c>
      <c r="N141" s="43">
        <f>IF(ISBLANK(D141),IF(TODAY()&gt;C141,TODAY()-C141,0),IF(D141&gt;C141,D141-C141,0))</f>
        <v/>
      </c>
    </row>
    <row r="142">
      <c r="A142" t="n">
        <v>12021009</v>
      </c>
      <c r="B142" s="44" t="n">
        <v>44286</v>
      </c>
      <c r="C142" s="1">
        <f>B142+14</f>
        <v/>
      </c>
      <c r="D142" s="44" t="n">
        <v>44287</v>
      </c>
      <c r="F142" s="43" t="inlineStr">
        <is>
          <t>Dr. Arno Kolbitsch, Zivilingenieur, Gütleweg 1, 6822 Satteins</t>
        </is>
      </c>
      <c r="H142" s="206" t="n">
        <v>8140.37</v>
      </c>
      <c r="I142" s="43" t="n">
        <v>20</v>
      </c>
      <c r="J142" s="206">
        <f>I142*H142/100</f>
        <v/>
      </c>
      <c r="K142" s="206">
        <f>H142+J142</f>
        <v/>
      </c>
      <c r="L142" s="44">
        <f>IF(ISBLANK(D142),"",voranmeldefrist_vierteljaehrlich(D142))</f>
        <v/>
      </c>
      <c r="N142" s="43">
        <f>IF(ISBLANK(D142),IF(TODAY()&gt;C142,TODAY()-C142,0),IF(D142&gt;C142,D142-C142,0))</f>
        <v/>
      </c>
    </row>
    <row r="143">
      <c r="A143" t="n">
        <v>12021010</v>
      </c>
      <c r="B143" s="44" t="n">
        <v>44286</v>
      </c>
      <c r="C143" s="1">
        <f>B143+14</f>
        <v/>
      </c>
      <c r="D143" s="44" t="n">
        <v>44295</v>
      </c>
      <c r="F143" t="inlineStr">
        <is>
          <t>Schick Küchendesign e.U. Alexander Schick, Linzerstraße 247, 1140 Wien</t>
        </is>
      </c>
      <c r="H143" s="206" t="n">
        <v>1959.56</v>
      </c>
      <c r="I143" s="43" t="n">
        <v>20</v>
      </c>
      <c r="J143" s="206">
        <f>I143*H143/100</f>
        <v/>
      </c>
      <c r="K143" s="206">
        <f>H143+J143</f>
        <v/>
      </c>
      <c r="L143" s="44">
        <f>IF(ISBLANK(D143),"",voranmeldefrist_vierteljaehrlich(D143))</f>
        <v/>
      </c>
      <c r="N143" s="43">
        <f>IF(ISBLANK(D143),IF(TODAY()&gt;C143,TODAY()-C143,0),IF(D143&gt;C143,D143-C143,0))</f>
        <v/>
      </c>
    </row>
    <row r="144">
      <c r="A144" t="n">
        <v>12021011</v>
      </c>
      <c r="B144" s="44" t="n">
        <v>44286</v>
      </c>
      <c r="C144" s="1">
        <f>B144+14</f>
        <v/>
      </c>
      <c r="D144" s="44" t="n">
        <v>44293</v>
      </c>
      <c r="F144" t="inlineStr">
        <is>
          <t>Theresa Häfele-Kolbitsch, Josef-Mohrgasse 9, 2102 Bisamberg</t>
        </is>
      </c>
      <c r="H144" s="206" t="n">
        <v>489.5</v>
      </c>
      <c r="I144" s="43" t="n">
        <v>20</v>
      </c>
      <c r="J144" s="206">
        <f>I144*H144/100</f>
        <v/>
      </c>
      <c r="K144" s="206">
        <f>H144+J144</f>
        <v/>
      </c>
      <c r="L144" s="44">
        <f>IF(ISBLANK(D144),"",voranmeldefrist_vierteljaehrlich(D144))</f>
        <v/>
      </c>
      <c r="N144" s="43">
        <f>IF(ISBLANK(D144),IF(TODAY()&gt;C144,TODAY()-C144,0),IF(D144&gt;C144,D144-C144,0))</f>
        <v/>
      </c>
    </row>
    <row r="145">
      <c r="A145" t="n">
        <v>12021012</v>
      </c>
      <c r="B145" s="44" t="n">
        <v>44286</v>
      </c>
      <c r="C145" s="1">
        <f>B145+14</f>
        <v/>
      </c>
      <c r="D145" s="44" t="n">
        <v>44316</v>
      </c>
      <c r="F145" s="43" t="inlineStr">
        <is>
          <t>Musikschule Bad Vöslau, z. Hd. Herr Christian Sauer, Hauptstraße 14, 2540 Bad Vöslau</t>
        </is>
      </c>
      <c r="H145" s="206" t="n">
        <v>44.5</v>
      </c>
      <c r="I145" s="43" t="n">
        <v>20</v>
      </c>
      <c r="J145" s="206">
        <f>I145*H145/100</f>
        <v/>
      </c>
      <c r="K145" s="206">
        <f>H145+J145</f>
        <v/>
      </c>
      <c r="L145" s="44">
        <f>IF(ISBLANK(D145),"",voranmeldefrist_vierteljaehrlich(D145))</f>
        <v/>
      </c>
      <c r="N145" s="43">
        <f>IF(ISBLANK(D145),IF(TODAY()&gt;C145,TODAY()-C145,0),IF(D145&gt;C145,D145-C145,0))</f>
        <v/>
      </c>
    </row>
    <row r="146">
      <c r="A146" t="n">
        <v>12021013</v>
      </c>
      <c r="B146" s="44" t="n">
        <v>44286</v>
      </c>
      <c r="C146" s="1">
        <f>B146+14</f>
        <v/>
      </c>
      <c r="D146" s="44" t="n">
        <v>44287</v>
      </c>
      <c r="E146" s="44" t="n"/>
      <c r="F146" s="43" t="inlineStr">
        <is>
          <t>Mag. DI Dr. Philipp Kolbitsch, Josef-Mohr-Gasse 9, 2102 Bisamberg</t>
        </is>
      </c>
      <c r="H146" s="206" t="n">
        <v>801</v>
      </c>
      <c r="I146" s="43" t="n">
        <v>20</v>
      </c>
      <c r="J146" s="206">
        <f>I146*H146/100</f>
        <v/>
      </c>
      <c r="K146" s="206">
        <f>H146+J146</f>
        <v/>
      </c>
      <c r="L146" s="44">
        <f>IF(ISBLANK(D146),"",voranmeldefrist_vierteljaehrlich(D146))</f>
        <v/>
      </c>
      <c r="N146" s="43">
        <f>IF(ISBLANK(D146),IF(TODAY()&gt;C146,TODAY()-C146,0),IF(D146&gt;C146,D146-C146,0))</f>
        <v/>
      </c>
    </row>
    <row r="147">
      <c r="A147" t="n">
        <v>12021014</v>
      </c>
      <c r="B147" s="44" t="n">
        <v>44347</v>
      </c>
      <c r="C147" s="1">
        <f>B147+14</f>
        <v/>
      </c>
      <c r="D147" s="44" t="n">
        <v>44354</v>
      </c>
      <c r="F147" t="inlineStr">
        <is>
          <t>DCF - Digital Coding Factory GmbH, Bauernfeldplatz 4/12, 1090 Wien</t>
        </is>
      </c>
      <c r="G147" t="inlineStr">
        <is>
          <t>Reporty</t>
        </is>
      </c>
      <c r="H147" s="206" t="n">
        <v>14.94</v>
      </c>
      <c r="I147" s="43" t="n">
        <v>20</v>
      </c>
      <c r="J147" s="206">
        <f>I147*H147/100</f>
        <v/>
      </c>
      <c r="K147" s="206">
        <f>H147+J147</f>
        <v/>
      </c>
      <c r="L147" s="44">
        <f>IF(ISBLANK(D147),"",voranmeldefrist_vierteljaehrlich(D147))</f>
        <v/>
      </c>
      <c r="N147" s="43">
        <f>IF(ISBLANK(D147),IF(TODAY()&gt;C147,TODAY()-C147,0),IF(D147&gt;C147,D147-C147,0))</f>
        <v/>
      </c>
    </row>
    <row r="148">
      <c r="A148" t="n">
        <v>12021015</v>
      </c>
      <c r="B148" s="44" t="n">
        <v>44378</v>
      </c>
      <c r="C148" s="1">
        <f>B148+14</f>
        <v/>
      </c>
      <c r="D148" s="44" t="n">
        <v>44414</v>
      </c>
      <c r="F148" t="inlineStr">
        <is>
          <t>Schick Küchendesign e.U. Alexander Schick, Linzerstraße 247, 1140 Wien</t>
        </is>
      </c>
      <c r="H148" s="206" t="n">
        <v>1170</v>
      </c>
      <c r="I148" s="43" t="n">
        <v>20</v>
      </c>
      <c r="J148" s="206">
        <f>I148*H148/100</f>
        <v/>
      </c>
      <c r="K148" s="206">
        <f>H148+J148</f>
        <v/>
      </c>
      <c r="L148" s="44">
        <f>IF(ISBLANK(D148),"",voranmeldefrist_vierteljaehrlich(D148))</f>
        <v/>
      </c>
      <c r="N148" s="43">
        <f>IF(ISBLANK(D148),IF(TODAY()&gt;C148,TODAY()-C148,0),IF(D148&gt;C148,D148-C148,0))</f>
        <v/>
      </c>
    </row>
    <row r="149">
      <c r="A149" t="n">
        <v>12021016</v>
      </c>
      <c r="B149" s="44" t="n">
        <v>44378</v>
      </c>
      <c r="C149" s="1">
        <f>B149+14</f>
        <v/>
      </c>
      <c r="D149" s="44" t="n">
        <v>44379</v>
      </c>
      <c r="F149" s="43" t="inlineStr">
        <is>
          <t>H. Jaros e.U., Fischhof 3/23, 1010 Wien, ATU 67698048</t>
        </is>
      </c>
      <c r="H149" s="206" t="n">
        <v>175</v>
      </c>
      <c r="I149" s="43" t="n">
        <v>20</v>
      </c>
      <c r="J149" s="206">
        <f>I149*H149/100</f>
        <v/>
      </c>
      <c r="K149" s="206">
        <f>H149+J149</f>
        <v/>
      </c>
      <c r="L149" s="44">
        <f>IF(ISBLANK(D149),"",voranmeldefrist_vierteljaehrlich(D149))</f>
        <v/>
      </c>
      <c r="N149" s="43">
        <f>IF(ISBLANK(D149),IF(TODAY()&gt;C149,TODAY()-C149,0),IF(D149&gt;C149,D149-C149,0))</f>
        <v/>
      </c>
    </row>
    <row r="150">
      <c r="A150" t="n">
        <v>12021017</v>
      </c>
      <c r="B150" s="44" t="n">
        <v>44378</v>
      </c>
      <c r="C150" s="1">
        <f>B150+14</f>
        <v/>
      </c>
      <c r="D150" s="44" t="n">
        <v>44382</v>
      </c>
      <c r="F150" s="43" t="inlineStr">
        <is>
          <t>Martin Dürauer e.U., Schreinergasse 7, A-3100 St. Pölten</t>
        </is>
      </c>
      <c r="H150" s="206" t="n">
        <v>100</v>
      </c>
      <c r="I150" s="43" t="n">
        <v>20</v>
      </c>
      <c r="J150" s="206">
        <f>I150*H150/100</f>
        <v/>
      </c>
      <c r="K150" s="206">
        <f>H150+J150</f>
        <v/>
      </c>
      <c r="L150" s="44">
        <f>IF(ISBLANK(D150),"",voranmeldefrist_vierteljaehrlich(D150))</f>
        <v/>
      </c>
      <c r="N150" s="43">
        <f>IF(ISBLANK(D150),IF(TODAY()&gt;C150,TODAY()-C150,0),IF(D150&gt;C150,D150-C150,0))</f>
        <v/>
      </c>
    </row>
    <row r="151">
      <c r="A151" t="n">
        <v>12021018</v>
      </c>
      <c r="B151" s="44" t="n">
        <v>44378</v>
      </c>
      <c r="C151" s="1">
        <f>B151+14</f>
        <v/>
      </c>
      <c r="D151" s="44" t="n">
        <v>44411</v>
      </c>
      <c r="F151" s="43" t="inlineStr">
        <is>
          <t>Paperholic all 'bout paper e.U., Sandfeld 9F, 2100 Stetten</t>
        </is>
      </c>
      <c r="H151" s="206" t="n">
        <v>660.65</v>
      </c>
      <c r="I151" s="43" t="n">
        <v>20</v>
      </c>
      <c r="J151" s="206">
        <f>I151*H151/100</f>
        <v/>
      </c>
      <c r="K151" s="206">
        <f>H151+J151</f>
        <v/>
      </c>
      <c r="L151" s="44">
        <f>IF(ISBLANK(D151),"",voranmeldefrist_vierteljaehrlich(D151))</f>
        <v/>
      </c>
      <c r="N151" s="43">
        <f>IF(ISBLANK(D151),IF(TODAY()&gt;C151,TODAY()-C151,0),IF(D151&gt;C151,D151-C151,0))</f>
        <v/>
      </c>
    </row>
    <row r="152">
      <c r="A152" t="n">
        <v>12021019</v>
      </c>
      <c r="B152" s="44" t="n">
        <v>44378</v>
      </c>
      <c r="C152" s="1">
        <f>B152+14</f>
        <v/>
      </c>
      <c r="D152" s="44" t="n">
        <v>44391</v>
      </c>
      <c r="F152" s="43" t="inlineStr">
        <is>
          <t>Musikschule Bad Vöslau, z. Hd. Herr Christian Sauer, Hauptstraße 14, 2540 Bad Vöslau</t>
        </is>
      </c>
      <c r="H152" s="206" t="n">
        <v>44.5</v>
      </c>
      <c r="I152" s="43" t="n">
        <v>20</v>
      </c>
      <c r="J152" s="206">
        <f>I152*H152/100</f>
        <v/>
      </c>
      <c r="K152" s="206">
        <f>H152+J152</f>
        <v/>
      </c>
      <c r="L152" s="44">
        <f>IF(ISBLANK(D152),"",voranmeldefrist_vierteljaehrlich(D152))</f>
        <v/>
      </c>
      <c r="N152" s="43">
        <f>IF(ISBLANK(D152),IF(TODAY()&gt;C152,TODAY()-C152,0),IF(D152&gt;C152,D152-C152,0))</f>
        <v/>
      </c>
    </row>
    <row r="153">
      <c r="A153" t="n">
        <v>12021020</v>
      </c>
      <c r="B153" s="44" t="n">
        <v>44378</v>
      </c>
      <c r="C153" s="1">
        <f>B153+14</f>
        <v/>
      </c>
      <c r="D153" s="44" t="n">
        <v>44378</v>
      </c>
      <c r="E153" s="44" t="n"/>
      <c r="F153" s="43" t="inlineStr">
        <is>
          <t>Mag. DI Dr. Philipp Kolbitsch, Josef-Mohr-Gasse 9, 2102 Bisamberg</t>
        </is>
      </c>
      <c r="H153" s="206" t="n">
        <v>89</v>
      </c>
      <c r="I153" s="43" t="n">
        <v>20</v>
      </c>
      <c r="J153" s="206">
        <f>I153*H153/100</f>
        <v/>
      </c>
      <c r="K153" s="206">
        <f>H153+J153</f>
        <v/>
      </c>
      <c r="L153" s="44">
        <f>IF(ISBLANK(D153),"",voranmeldefrist_vierteljaehrlich(D153))</f>
        <v/>
      </c>
      <c r="N153" s="43">
        <f>IF(ISBLANK(D153),IF(TODAY()&gt;C153,TODAY()-C153,0),IF(D153&gt;C153,D153-C153,0))</f>
        <v/>
      </c>
    </row>
    <row r="154">
      <c r="A154" t="n">
        <v>12021021</v>
      </c>
      <c r="B154" s="44" t="n">
        <v>44378</v>
      </c>
      <c r="C154" s="1">
        <f>B154+14</f>
        <v/>
      </c>
      <c r="D154" s="44" t="n">
        <v>44393</v>
      </c>
      <c r="F154" t="inlineStr">
        <is>
          <t>immo 360 grad gmbh, Feldgasse 6-8, 1080 Wien; zHd. Fr. Mag Claudia Spielmeyer; Ihre Order ID: EK105139DV</t>
        </is>
      </c>
      <c r="H154" s="206" t="n">
        <v>475</v>
      </c>
      <c r="I154" s="43" t="n">
        <v>20</v>
      </c>
      <c r="J154" s="206">
        <f>I154*H154/100</f>
        <v/>
      </c>
      <c r="K154" s="206">
        <f>H154+J154</f>
        <v/>
      </c>
      <c r="L154" s="44">
        <f>IF(ISBLANK(D154),"",voranmeldefrist_vierteljaehrlich(D154))</f>
        <v/>
      </c>
      <c r="N154" s="43">
        <f>IF(ISBLANK(D154),IF(TODAY()&gt;C154,TODAY()-C154,0),IF(D154&gt;C154,D154-C154,0))</f>
        <v/>
      </c>
    </row>
    <row r="155">
      <c r="A155" t="n">
        <v>12021022</v>
      </c>
      <c r="B155" s="44" t="n">
        <v>44378</v>
      </c>
      <c r="C155" s="1">
        <f>B155+14</f>
        <v/>
      </c>
      <c r="D155" s="44" t="n">
        <v>44378</v>
      </c>
      <c r="F155" s="43" t="inlineStr">
        <is>
          <t>Dr. Arno Kolbitsch, Zivilingenieur, Gütleweg 1, 6822 Satteins</t>
        </is>
      </c>
      <c r="H155" s="206" t="n">
        <v>18500</v>
      </c>
      <c r="I155" s="43" t="n">
        <v>20</v>
      </c>
      <c r="J155" s="206">
        <f>I155*H155/100</f>
        <v/>
      </c>
      <c r="K155" s="206">
        <f>H155+J155</f>
        <v/>
      </c>
      <c r="L155" s="44">
        <f>IF(ISBLANK(D155),"",voranmeldefrist_vierteljaehrlich(D155))</f>
        <v/>
      </c>
      <c r="N155" s="43">
        <f>IF(ISBLANK(D155),IF(TODAY()&gt;C155,TODAY()-C155,0),IF(D155&gt;C155,D155-C155,0))</f>
        <v/>
      </c>
    </row>
    <row r="156">
      <c r="A156" t="n">
        <v>12021023</v>
      </c>
      <c r="B156" s="44" t="n">
        <v>44470</v>
      </c>
      <c r="C156" s="1">
        <f>B156+14</f>
        <v/>
      </c>
      <c r="D156" s="44" t="n">
        <v>44519</v>
      </c>
      <c r="E156" s="44" t="n">
        <v>44515</v>
      </c>
      <c r="F156" t="inlineStr">
        <is>
          <t>Schick Küchendesign e.U. Alexander Schick, Linzerstraße 247, 1140 Wien</t>
        </is>
      </c>
      <c r="H156" s="206" t="n">
        <v>585</v>
      </c>
      <c r="I156" s="43" t="n">
        <v>20</v>
      </c>
      <c r="J156" s="206">
        <f>I156*H156/100</f>
        <v/>
      </c>
      <c r="K156" s="206">
        <f>H156+J156</f>
        <v/>
      </c>
      <c r="L156" s="44">
        <f>IF(ISBLANK(D156),"",voranmeldefrist_vierteljaehrlich(D156))</f>
        <v/>
      </c>
      <c r="N156" s="43">
        <f>IF(ISBLANK(D156),IF(TODAY()&gt;C156,TODAY()-C156,0),IF(D156&gt;C156,D156-C156,0))</f>
        <v/>
      </c>
    </row>
    <row r="157">
      <c r="A157" t="n">
        <v>12021024</v>
      </c>
      <c r="B157" s="44" t="n">
        <v>44470</v>
      </c>
      <c r="C157" s="1">
        <f>B157+14</f>
        <v/>
      </c>
      <c r="D157" s="44" t="n">
        <v>44470</v>
      </c>
      <c r="F157" s="43" t="inlineStr">
        <is>
          <t>Dr. Arno Kolbitsch, Zivilingenieur, Gütleweg 1, 6822 Satteins</t>
        </is>
      </c>
      <c r="H157" s="206" t="n">
        <v>14035.92</v>
      </c>
      <c r="I157" s="43" t="n">
        <v>20</v>
      </c>
      <c r="J157" s="206">
        <f>I157*H157/100</f>
        <v/>
      </c>
      <c r="K157" s="206">
        <f>H157+J157</f>
        <v/>
      </c>
      <c r="L157" s="44">
        <f>IF(ISBLANK(D157),"",voranmeldefrist_vierteljaehrlich(D157))</f>
        <v/>
      </c>
      <c r="N157" s="43">
        <f>IF(ISBLANK(D157),IF(TODAY()&gt;C157,TODAY()-C157,0),IF(D157&gt;C157,D157-C157,0))</f>
        <v/>
      </c>
    </row>
    <row r="158">
      <c r="A158" t="n">
        <v>12021025</v>
      </c>
      <c r="B158" s="44" t="n">
        <v>44470</v>
      </c>
      <c r="C158" s="1">
        <f>B158+14</f>
        <v/>
      </c>
      <c r="D158" s="44" t="n">
        <v>44470</v>
      </c>
      <c r="F158" s="43" t="inlineStr">
        <is>
          <t>Mag. DI Dr. Philipp Kolbitsch, Josef-Mohr-Gasse 9, 2102 Bisamberg</t>
        </is>
      </c>
      <c r="H158" s="206" t="n">
        <v>400.5</v>
      </c>
      <c r="I158" s="43" t="n">
        <v>20</v>
      </c>
      <c r="J158" s="206">
        <f>I158*H158/100</f>
        <v/>
      </c>
      <c r="K158" s="206">
        <f>H158+J158</f>
        <v/>
      </c>
      <c r="L158" s="44">
        <f>IF(ISBLANK(D158),"",voranmeldefrist_vierteljaehrlich(D158))</f>
        <v/>
      </c>
      <c r="N158" s="43">
        <f>IF(ISBLANK(D158),IF(TODAY()&gt;C158,TODAY()-C158,0),IF(D158&gt;C158,D158-C158,0))</f>
        <v/>
      </c>
    </row>
    <row r="159">
      <c r="A159" t="n">
        <v>12021026</v>
      </c>
      <c r="B159" s="44" t="n">
        <v>44470</v>
      </c>
      <c r="C159" s="1">
        <f>B159+14</f>
        <v/>
      </c>
      <c r="D159" s="44" t="n">
        <v>44482</v>
      </c>
      <c r="F159" s="43" t="inlineStr">
        <is>
          <t>Musikschule Bad Vöslau, z. Hd. Herr Christian Sauer, Hauptstraße 14, 2540 Bad Vöslau</t>
        </is>
      </c>
      <c r="H159" s="206" t="n">
        <v>1620</v>
      </c>
      <c r="I159" s="43" t="n">
        <v>20</v>
      </c>
      <c r="J159" s="206">
        <f>I159*H159/100</f>
        <v/>
      </c>
      <c r="K159" s="206">
        <f>H159+J159</f>
        <v/>
      </c>
      <c r="L159" s="44">
        <f>IF(ISBLANK(D159),"",voranmeldefrist_vierteljaehrlich(D159))</f>
        <v/>
      </c>
      <c r="N159" s="43">
        <f>IF(ISBLANK(D159),IF(TODAY()&gt;C159,TODAY()-C159,0),IF(D159&gt;C159,D159-C159,0))</f>
        <v/>
      </c>
    </row>
    <row r="160">
      <c r="A160" t="n">
        <v>12021027</v>
      </c>
      <c r="B160" s="44" t="n">
        <v>44515</v>
      </c>
      <c r="C160" s="1">
        <f>B160+14</f>
        <v/>
      </c>
      <c r="D160" s="44" t="n">
        <v>44526</v>
      </c>
      <c r="F160" s="43" t="inlineStr">
        <is>
          <t>Musikschule Bad Vöslau, z. Hd. Herr Christian Sauer, Hauptstraße 14, 2540 Bad Vöslau</t>
        </is>
      </c>
      <c r="H160" s="206" t="n">
        <v>3780</v>
      </c>
      <c r="I160" s="43" t="n">
        <v>20</v>
      </c>
      <c r="J160" s="206">
        <f>I160*H160/100</f>
        <v/>
      </c>
      <c r="K160" s="206">
        <f>H160+J160</f>
        <v/>
      </c>
      <c r="L160" s="44">
        <f>IF(ISBLANK(D160),"",voranmeldefrist_vierteljaehrlich(D160))</f>
        <v/>
      </c>
      <c r="N160" s="43">
        <f>IF(ISBLANK(D160),IF(TODAY()&gt;C160,TODAY()-C160,0),IF(D160&gt;C160,D160-C160,0))</f>
        <v/>
      </c>
    </row>
    <row r="161">
      <c r="A161" t="n">
        <v>12021028</v>
      </c>
      <c r="B161" s="44" t="n">
        <v>44533</v>
      </c>
      <c r="C161" s="1">
        <f>B161+14</f>
        <v/>
      </c>
      <c r="D161" s="44" t="n">
        <v>44537</v>
      </c>
      <c r="F161" s="43" t="inlineStr">
        <is>
          <t>foxcraft - Dipl.-Ing. Mag. Alexander Wagner, Leschetitzkygasse 30/5, 1180 Wien</t>
        </is>
      </c>
      <c r="H161" s="206" t="n">
        <v>150.78</v>
      </c>
      <c r="I161" s="43" t="n">
        <v>20</v>
      </c>
      <c r="J161" s="206">
        <f>I161*H161/100</f>
        <v/>
      </c>
      <c r="K161" s="206">
        <f>H161+J161</f>
        <v/>
      </c>
      <c r="L161" s="44">
        <f>IF(ISBLANK(D161),"",voranmeldefrist_vierteljaehrlich(D161))</f>
        <v/>
      </c>
      <c r="N161" s="43">
        <f>IF(ISBLANK(D161),IF(TODAY()&gt;C161,TODAY()-C161,0),IF(D161&gt;C161,D161-C161,0))</f>
        <v/>
      </c>
    </row>
    <row r="162">
      <c r="A162" t="n">
        <v>12021029</v>
      </c>
      <c r="B162" s="44" t="n">
        <v>44530</v>
      </c>
      <c r="C162" s="1">
        <f>B162+45</f>
        <v/>
      </c>
      <c r="D162" s="44" t="n">
        <v>44574</v>
      </c>
      <c r="F162" t="inlineStr">
        <is>
          <t>Hays Österreich GmbH, Bahnhof City Wien West, Europaplatz 3/5, 1150 Wien</t>
        </is>
      </c>
      <c r="G162" s="43" t="n">
        <v>168041072</v>
      </c>
      <c r="H162" s="206" t="n">
        <v>3997.5</v>
      </c>
      <c r="I162" t="n">
        <v>20</v>
      </c>
      <c r="J162" s="206">
        <f>I162*H162/100</f>
        <v/>
      </c>
      <c r="K162" s="206">
        <f>H162+J162</f>
        <v/>
      </c>
      <c r="L162" s="44">
        <f>IF(ISBLANK(D162),"",voranmeldefrist_vierteljaehrlich(D162))</f>
        <v/>
      </c>
      <c r="N162" s="43">
        <f>IF(ISBLANK(D162),IF(TODAY()&gt;C162,TODAY()-C162,0),IF(D162&gt;C162,D162-C162,0))</f>
        <v/>
      </c>
    </row>
    <row r="163">
      <c r="A163" t="n">
        <v>12021030</v>
      </c>
      <c r="B163" s="44" t="n">
        <v>44551</v>
      </c>
      <c r="C163" s="1">
        <f>B163+14</f>
        <v/>
      </c>
      <c r="D163" s="44" t="n">
        <v>44551</v>
      </c>
      <c r="F163" s="43" t="inlineStr">
        <is>
          <t>Dr. Arno Kolbitsch, Zivilingenieur, Gütleweg 1, 6822 Satteins</t>
        </is>
      </c>
      <c r="H163" s="206" t="n">
        <v>6351.81</v>
      </c>
      <c r="I163" t="n">
        <v>20</v>
      </c>
      <c r="J163" s="206">
        <f>I163*H163/100</f>
        <v/>
      </c>
      <c r="K163" s="206">
        <f>H163+J163</f>
        <v/>
      </c>
      <c r="L163" s="44">
        <f>IF(ISBLANK(D163),"",voranmeldefrist_vierteljaehrlich(D163))</f>
        <v/>
      </c>
      <c r="N163" s="43">
        <f>IF(ISBLANK(D163),IF(TODAY()&gt;C163,TODAY()-C163,0),IF(D163&gt;C163,D163-C163,0))</f>
        <v/>
      </c>
    </row>
    <row r="164">
      <c r="A164" t="n">
        <v>12021031</v>
      </c>
      <c r="B164" s="44" t="n">
        <v>44552</v>
      </c>
      <c r="C164" s="1">
        <f>B164+45</f>
        <v/>
      </c>
      <c r="D164" s="44" t="n">
        <v>44596</v>
      </c>
      <c r="F164" t="inlineStr">
        <is>
          <t>Hays Österreich GmbH, Bahnhof City Wien West, Europaplatz 3/5, 1150 Wien</t>
        </is>
      </c>
      <c r="H164" s="206" t="n">
        <v>7872</v>
      </c>
      <c r="I164" t="n">
        <v>20</v>
      </c>
      <c r="J164" s="206">
        <f>I164*H164/100</f>
        <v/>
      </c>
      <c r="K164" s="206">
        <f>H164+J164</f>
        <v/>
      </c>
      <c r="L164" s="44">
        <f>IF(ISBLANK(D164),"",voranmeldefrist_vierteljaehrlich(D164))</f>
        <v/>
      </c>
      <c r="N164" s="43">
        <f>IF(ISBLANK(D164),IF(TODAY()&gt;C164,TODAY()-C164,0),IF(D164&gt;C164,D164-C164,0))</f>
        <v/>
      </c>
    </row>
    <row r="165">
      <c r="A165" t="n">
        <v>12021032</v>
      </c>
      <c r="B165" s="44" t="n">
        <v>44557</v>
      </c>
      <c r="C165" s="1">
        <f>B165+14</f>
        <v/>
      </c>
      <c r="D165" s="44" t="n">
        <v>44558</v>
      </c>
      <c r="F165" s="43" t="inlineStr">
        <is>
          <t>Mag. DI Dr. Philipp Kolbitsch, Josef-Mohr-Gasse 9, 2102 Bisamberg</t>
        </is>
      </c>
      <c r="H165" s="206" t="n">
        <v>1134.75</v>
      </c>
      <c r="I165" t="n">
        <v>20</v>
      </c>
      <c r="J165" s="206">
        <f>I165*H165/100</f>
        <v/>
      </c>
      <c r="K165" s="206">
        <f>H165+J165</f>
        <v/>
      </c>
      <c r="L165" s="44">
        <f>IF(ISBLANK(D165),"",voranmeldefrist_vierteljaehrlich(D165))</f>
        <v/>
      </c>
      <c r="N165" s="43">
        <f>IF(ISBLANK(D165),IF(TODAY()&gt;C165,TODAY()-C165,0),IF(D165&gt;C165,D165-C165,0))</f>
        <v/>
      </c>
    </row>
    <row r="166">
      <c r="A166" t="n">
        <v>12021033</v>
      </c>
      <c r="B166" s="44" t="n">
        <v>44557</v>
      </c>
      <c r="C166" s="1">
        <f>B166+14</f>
        <v/>
      </c>
      <c r="D166" s="44" t="n">
        <v>44566</v>
      </c>
      <c r="F166" s="43" t="inlineStr">
        <is>
          <t>H. Jaros e.U., Fischhof 3/23, 1010 Wien, ATU 67698048</t>
        </is>
      </c>
      <c r="H166" s="206" t="n">
        <v>87.5</v>
      </c>
      <c r="I166" t="n">
        <v>20</v>
      </c>
      <c r="J166" s="206">
        <f>I166*H166/100</f>
        <v/>
      </c>
      <c r="K166" s="206">
        <f>H166+J166</f>
        <v/>
      </c>
      <c r="L166" s="44">
        <f>IF(ISBLANK(D166),"",voranmeldefrist_vierteljaehrlich(D166))</f>
        <v/>
      </c>
      <c r="N166" s="43">
        <f>IF(ISBLANK(D166),IF(TODAY()&gt;C166,TODAY()-C166,0),IF(D166&gt;C166,D166-C166,0))</f>
        <v/>
      </c>
    </row>
    <row r="167">
      <c r="A167" t="n">
        <v>12021034</v>
      </c>
      <c r="B167" s="44" t="n">
        <v>44557</v>
      </c>
      <c r="C167" s="1">
        <f>B167+14</f>
        <v/>
      </c>
      <c r="D167" s="44" t="n">
        <v>44568</v>
      </c>
      <c r="F167" t="inlineStr">
        <is>
          <t>Schick Küchendesign e.U. Alexander Schick, Linzerstraße 247, 1140 Wien</t>
        </is>
      </c>
      <c r="H167" s="206" t="n">
        <v>448.5</v>
      </c>
      <c r="I167" t="n">
        <v>20</v>
      </c>
      <c r="J167" s="206">
        <f>I167*H167/100</f>
        <v/>
      </c>
      <c r="K167" s="206">
        <f>H167+J167</f>
        <v/>
      </c>
      <c r="L167" s="44">
        <f>IF(ISBLANK(D167),"",voranmeldefrist_vierteljaehrlich(D167))</f>
        <v/>
      </c>
      <c r="N167" s="43">
        <f>IF(ISBLANK(D167),IF(TODAY()&gt;C167,TODAY()-C167,0),IF(D167&gt;C167,D167-C167,0))</f>
        <v/>
      </c>
    </row>
    <row r="168">
      <c r="A168" t="n">
        <v>12021035</v>
      </c>
      <c r="B168" s="44" t="n">
        <v>44557</v>
      </c>
      <c r="C168" s="1">
        <f>B168+14</f>
        <v/>
      </c>
      <c r="D168" s="44" t="n">
        <v>44565</v>
      </c>
      <c r="F168" t="inlineStr">
        <is>
          <t>DCF - Digital Coding Factory GmbH, Bauernfeldplatz 4/12, 1090 Wien</t>
        </is>
      </c>
      <c r="H168" s="206" t="n">
        <v>14.94</v>
      </c>
      <c r="I168" t="n">
        <v>20</v>
      </c>
      <c r="J168" s="206">
        <f>I168*H168/100</f>
        <v/>
      </c>
      <c r="K168" s="206">
        <f>H168+J168</f>
        <v/>
      </c>
      <c r="L168" s="44">
        <f>IF(ISBLANK(D168),"",voranmeldefrist_vierteljaehrlich(D168))</f>
        <v/>
      </c>
      <c r="N168" s="43">
        <f>IF(ISBLANK(D168),IF(TODAY()&gt;C168,TODAY()-C168,0),IF(D168&gt;C168,D168-C168,0))</f>
        <v/>
      </c>
    </row>
    <row r="169">
      <c r="A169" t="n">
        <v>12021036</v>
      </c>
      <c r="B169" s="44" t="n">
        <v>44559</v>
      </c>
      <c r="C169" s="1">
        <f>B169+14</f>
        <v/>
      </c>
      <c r="D169" s="44" t="n">
        <v>44585</v>
      </c>
      <c r="F169" s="43" t="inlineStr">
        <is>
          <t>Musikschule Bad Vöslau, z. Hd. Herr Christian Sauer, Hauptstraße 14, 2540 Bad Vöslau</t>
        </is>
      </c>
      <c r="H169" s="206" t="n">
        <v>92.11</v>
      </c>
      <c r="I169" t="n">
        <v>20</v>
      </c>
      <c r="J169" s="206">
        <f>I169*H169/100</f>
        <v/>
      </c>
      <c r="K169" s="206">
        <f>H169+J169</f>
        <v/>
      </c>
      <c r="L169" s="44">
        <f>IF(ISBLANK(D169),"",voranmeldefrist_vierteljaehrlich(D169))</f>
        <v/>
      </c>
      <c r="N169" s="43">
        <f>IF(ISBLANK(D169),IF(TODAY()&gt;C169,TODAY()-C169,0),IF(D169&gt;C169,D169-C169,0))</f>
        <v/>
      </c>
    </row>
    <row r="170">
      <c r="A170" t="n">
        <v>12022001</v>
      </c>
      <c r="B170" s="44" t="n">
        <v>44593</v>
      </c>
      <c r="C170" s="1">
        <f>B170+45</f>
        <v/>
      </c>
      <c r="D170" s="44" t="n">
        <v>44637</v>
      </c>
      <c r="F170" t="inlineStr">
        <is>
          <t>Hays Österreich GmbH, Bahnhof City Wien West, Europaplatz 3/5, 1150 Wien</t>
        </is>
      </c>
      <c r="H170" s="206" t="n">
        <v>11890</v>
      </c>
      <c r="I170" t="n">
        <v>20</v>
      </c>
      <c r="J170" s="206">
        <f>I170*H170/100</f>
        <v/>
      </c>
      <c r="K170" s="206">
        <f>H170+J170</f>
        <v/>
      </c>
      <c r="L170" s="44">
        <f>IF(ISBLANK(D170),"",voranmeldefrist_vierteljaehrlich(D170))</f>
        <v/>
      </c>
      <c r="N170" s="43">
        <f>IF(ISBLANK(D170),IF(TODAY()&gt;C170,TODAY()-C170,0),IF(D170&gt;C170,D170-C170,0))</f>
        <v/>
      </c>
    </row>
    <row r="171">
      <c r="A171" t="n">
        <v>12022002</v>
      </c>
      <c r="B171" s="44" t="n">
        <v>44602</v>
      </c>
      <c r="C171" s="1">
        <f>B171+14</f>
        <v/>
      </c>
      <c r="D171" s="44" t="n">
        <v>44608</v>
      </c>
      <c r="F171" t="inlineStr">
        <is>
          <t>DCF - Digital Coding Factory GmbH, Bauernfeldplatz 4/12, 1090 Wien</t>
        </is>
      </c>
      <c r="H171" s="206" t="n">
        <v>2.49</v>
      </c>
      <c r="I171" t="n">
        <v>20</v>
      </c>
      <c r="J171" s="206">
        <f>I171*H171/100</f>
        <v/>
      </c>
      <c r="K171" s="206">
        <f>H171+J171</f>
        <v/>
      </c>
      <c r="L171" s="44">
        <f>IF(ISBLANK(D171),"",voranmeldefrist_vierteljaehrlich(D171))</f>
        <v/>
      </c>
      <c r="N171" s="43">
        <f>IF(ISBLANK(D171),IF(TODAY()&gt;C171,TODAY()-C171,0),IF(D171&gt;C171,D171-C171,0))</f>
        <v/>
      </c>
    </row>
    <row r="172">
      <c r="A172" t="n">
        <v>12022003</v>
      </c>
      <c r="B172" s="44" t="n">
        <v>44621</v>
      </c>
      <c r="C172" s="1">
        <f>B172+45</f>
        <v/>
      </c>
      <c r="D172" s="44" t="n">
        <v>44665</v>
      </c>
      <c r="F172" t="inlineStr">
        <is>
          <t>Hays Österreich GmbH, Bahnhof City Wien West, Europaplatz 3/5, 1150 Wien</t>
        </is>
      </c>
      <c r="G172" s="152" t="n">
        <v>44593</v>
      </c>
      <c r="H172" s="206">
        <f>184.75*82</f>
        <v/>
      </c>
      <c r="I172" t="n">
        <v>20</v>
      </c>
      <c r="J172" s="206">
        <f>I172*H172/100</f>
        <v/>
      </c>
      <c r="K172" s="206">
        <f>H172+J172</f>
        <v/>
      </c>
      <c r="L172" s="44">
        <f>IF(ISBLANK(D172),"",voranmeldefrist_vierteljaehrlich(D172))</f>
        <v/>
      </c>
      <c r="N172" s="43">
        <f>IF(ISBLANK(D172),IF(TODAY()&gt;C172,TODAY()-C172,0),IF(D172&gt;C172,D172-C172,0))</f>
        <v/>
      </c>
    </row>
    <row r="173">
      <c r="A173" t="n">
        <v>12022004</v>
      </c>
      <c r="B173" s="44" t="n">
        <v>44622</v>
      </c>
      <c r="C173" s="1">
        <f>B173+14</f>
        <v/>
      </c>
      <c r="D173" s="44" t="n">
        <v>44657</v>
      </c>
      <c r="F173" s="43" t="inlineStr">
        <is>
          <t>Paperholic all 'bout paper e.U., Sandfeld 9F, 2100 Stetten</t>
        </is>
      </c>
      <c r="H173" s="206" t="n">
        <v>270</v>
      </c>
      <c r="I173" t="n">
        <v>20</v>
      </c>
      <c r="J173" s="206">
        <f>I173*H173/100</f>
        <v/>
      </c>
      <c r="K173" s="206">
        <f>H173+J173</f>
        <v/>
      </c>
      <c r="L173" s="44">
        <f>IF(ISBLANK(D173),"",voranmeldefrist_vierteljaehrlich(D173))</f>
        <v/>
      </c>
      <c r="N173" s="43">
        <f>IF(ISBLANK(D173),IF(TODAY()&gt;C173,TODAY()-C173,0),IF(D173&gt;C173,D173-C173,0))</f>
        <v/>
      </c>
    </row>
    <row r="174">
      <c r="A174" t="n">
        <v>12022005</v>
      </c>
      <c r="B174" s="44" t="n">
        <v>44652</v>
      </c>
      <c r="C174" s="44">
        <f>B174+14</f>
        <v/>
      </c>
      <c r="D174" s="44" t="n">
        <v>44662</v>
      </c>
      <c r="F174" t="inlineStr">
        <is>
          <t>Schick Küchendesign e.U. Alexander Schick, Linzerstraße 247, 1140 Wien</t>
        </is>
      </c>
      <c r="H174" s="206" t="n">
        <v>520</v>
      </c>
      <c r="I174" t="n">
        <v>20</v>
      </c>
      <c r="J174" s="206">
        <f>I174*H174/100</f>
        <v/>
      </c>
      <c r="K174" s="206">
        <f>H174+J174</f>
        <v/>
      </c>
      <c r="L174" s="44">
        <f>IF(ISBLANK(D174),"",voranmeldefrist_vierteljaehrlich(D174))</f>
        <v/>
      </c>
      <c r="N174" s="43">
        <f>IF(ISBLANK(D174),IF(TODAY()&gt;C174,TODAY()-C174,0),IF(D174&gt;C174,D174-C174,0))</f>
        <v/>
      </c>
    </row>
    <row r="175">
      <c r="A175" t="n">
        <v>12022006</v>
      </c>
      <c r="B175" s="44" t="n">
        <v>44652</v>
      </c>
      <c r="C175" s="44">
        <f>B175+14</f>
        <v/>
      </c>
      <c r="D175" s="44" t="n">
        <v>44652</v>
      </c>
      <c r="F175" s="43" t="inlineStr">
        <is>
          <t>Dr. Arno Kolbitsch, Zivilingenieur, Gütleweg 1, 6822 Satteins</t>
        </is>
      </c>
      <c r="H175" s="206" t="n">
        <v>2835.42</v>
      </c>
      <c r="I175" t="n">
        <v>20</v>
      </c>
      <c r="J175" s="206">
        <f>I175*H175/100</f>
        <v/>
      </c>
      <c r="K175" s="206">
        <f>H175+J175</f>
        <v/>
      </c>
      <c r="L175" s="44">
        <f>IF(ISBLANK(D175),"",voranmeldefrist_vierteljaehrlich(D175))</f>
        <v/>
      </c>
      <c r="N175" s="43">
        <f>IF(ISBLANK(D175),IF(TODAY()&gt;C175,TODAY()-C175,0),IF(D175&gt;C175,D175-C175,0))</f>
        <v/>
      </c>
    </row>
    <row r="176">
      <c r="A176" t="n">
        <v>12022007</v>
      </c>
      <c r="B176" s="44" t="n">
        <v>44652</v>
      </c>
      <c r="C176" s="44">
        <f>B176+14</f>
        <v/>
      </c>
      <c r="D176" s="44" t="n">
        <v>44652</v>
      </c>
      <c r="F176" s="43" t="inlineStr">
        <is>
          <t>Mag. DI Dr. Philipp Kolbitsch, Josef-Mohr-Gasse 9, 2102 Bisamberg</t>
        </is>
      </c>
      <c r="H176" s="206" t="n">
        <v>183</v>
      </c>
      <c r="I176" t="n">
        <v>20</v>
      </c>
      <c r="J176" s="206">
        <f>I176*H176/100</f>
        <v/>
      </c>
      <c r="K176" s="206">
        <f>H176+J176</f>
        <v/>
      </c>
      <c r="L176" s="44">
        <f>IF(ISBLANK(D176),"",voranmeldefrist_vierteljaehrlich(D176))</f>
        <v/>
      </c>
      <c r="N176" s="43">
        <f>IF(ISBLANK(D176),IF(TODAY()&gt;C176,TODAY()-C176,0),IF(D176&gt;C176,D176-C176,0))</f>
        <v/>
      </c>
    </row>
    <row r="177">
      <c r="A177" t="n">
        <v>12022008</v>
      </c>
      <c r="B177" s="44" t="n">
        <v>44652</v>
      </c>
      <c r="C177" s="1">
        <f>B177+45</f>
        <v/>
      </c>
      <c r="D177" s="44" t="n">
        <v>44694</v>
      </c>
      <c r="F177" t="inlineStr">
        <is>
          <t>Hays Österreich GmbH, Bahnhof City Wien West, Europaplatz 3/5, 1150 Wien</t>
        </is>
      </c>
      <c r="G177" s="152" t="inlineStr">
        <is>
          <t>168042941: 3/23</t>
        </is>
      </c>
      <c r="H177" s="206">
        <f>26.22*82</f>
        <v/>
      </c>
      <c r="I177" t="n">
        <v>20</v>
      </c>
      <c r="J177" s="206">
        <f>I177*H177/100</f>
        <v/>
      </c>
      <c r="K177" s="206">
        <f>H177+J177</f>
        <v/>
      </c>
      <c r="L177" s="44">
        <f>IF(ISBLANK(D177),"",voranmeldefrist_vierteljaehrlich(D177))</f>
        <v/>
      </c>
      <c r="N177" s="43">
        <f>IF(ISBLANK(D177),IF(TODAY()&gt;C177,TODAY()-C177,0),IF(D177&gt;C177,D177-C177,0))</f>
        <v/>
      </c>
    </row>
    <row r="178">
      <c r="A178" t="n">
        <v>12022009</v>
      </c>
      <c r="B178" s="44" t="n">
        <v>44652</v>
      </c>
      <c r="C178" s="1">
        <f>B178+45</f>
        <v/>
      </c>
      <c r="D178" s="44" t="n">
        <v>44694</v>
      </c>
      <c r="F178" t="inlineStr">
        <is>
          <t>Hays Österreich GmbH, Bahnhof City Wien West, Europaplatz 3/5, 1150 Wien</t>
        </is>
      </c>
      <c r="G178" s="43" t="inlineStr">
        <is>
          <t>168043041: 3/23</t>
        </is>
      </c>
      <c r="H178" s="206">
        <f>183.53*82</f>
        <v/>
      </c>
      <c r="I178" t="n">
        <v>20</v>
      </c>
      <c r="J178" s="206">
        <f>I178*H178/100</f>
        <v/>
      </c>
      <c r="K178" s="206">
        <f>H178+J178</f>
        <v/>
      </c>
      <c r="L178" s="44">
        <f>IF(ISBLANK(D178),"",voranmeldefrist_vierteljaehrlich(D178))</f>
        <v/>
      </c>
      <c r="N178" s="43">
        <f>IF(ISBLANK(D178),IF(TODAY()&gt;C178,TODAY()-C178,0),IF(D178&gt;C178,D178-C178,0))</f>
        <v/>
      </c>
    </row>
    <row r="179">
      <c r="A179" t="n">
        <v>12022010</v>
      </c>
      <c r="B179" s="44" t="n">
        <v>44685</v>
      </c>
      <c r="C179" s="1">
        <f>B179+45</f>
        <v/>
      </c>
      <c r="D179" s="44" t="n">
        <v>44729</v>
      </c>
      <c r="F179" t="inlineStr">
        <is>
          <t>Hays Österreich GmbH, Bahnhof City Wien West, Europaplatz 3/5, 1150 Wien</t>
        </is>
      </c>
      <c r="G179" s="43" t="n">
        <v>168043527</v>
      </c>
      <c r="H179" s="206" t="n">
        <v>11910.5</v>
      </c>
      <c r="I179" t="n">
        <v>20</v>
      </c>
      <c r="J179" s="206">
        <f>I179*H179/100</f>
        <v/>
      </c>
      <c r="K179" s="206">
        <f>H179+J179</f>
        <v/>
      </c>
      <c r="L179" s="44">
        <f>IF(ISBLANK(D179),"",voranmeldefrist_vierteljaehrlich(D179))</f>
        <v/>
      </c>
      <c r="N179" s="43">
        <f>IF(ISBLANK(D179),IF(TODAY()&gt;C179,TODAY()-C179,0),IF(D179&gt;C179,D179-C179,0))</f>
        <v/>
      </c>
    </row>
    <row r="180">
      <c r="A180" t="n">
        <v>12022011</v>
      </c>
      <c r="B180" s="44" t="n">
        <v>44712</v>
      </c>
      <c r="C180" s="1">
        <f>B180+45</f>
        <v/>
      </c>
      <c r="D180" s="44" t="n">
        <v>44756</v>
      </c>
      <c r="F180" t="inlineStr">
        <is>
          <t>Hays Österreich GmbH, Bahnhof City Wien West, Europaplatz 3/5, 1150 Wien</t>
        </is>
      </c>
      <c r="G180" s="43" t="n">
        <v>168043885</v>
      </c>
      <c r="H180" s="206" t="n">
        <v>13571</v>
      </c>
      <c r="I180" t="n">
        <v>20</v>
      </c>
      <c r="J180" s="206">
        <f>I180*H180/100</f>
        <v/>
      </c>
      <c r="K180" s="206">
        <f>H180+J180</f>
        <v/>
      </c>
      <c r="L180" s="44">
        <f>IF(ISBLANK(D180),"",voranmeldefrist_vierteljaehrlich(D180))</f>
        <v/>
      </c>
      <c r="N180" s="43">
        <f>IF(ISBLANK(D180),IF(TODAY()&gt;C180,TODAY()-C180,0),IF(D180&gt;C180,D180-C180,0))</f>
        <v/>
      </c>
    </row>
    <row r="181">
      <c r="A181" t="n">
        <v>12022012</v>
      </c>
      <c r="B181" s="44" t="n">
        <v>44746</v>
      </c>
      <c r="C181" s="44">
        <f>B181+14</f>
        <v/>
      </c>
      <c r="D181" s="44" t="n">
        <v>44746</v>
      </c>
      <c r="F181" s="43" t="inlineStr">
        <is>
          <t>Dr. Arno Kolbitsch, Zivilingenieur, Gütleweg 1, 6822 Satteins</t>
        </is>
      </c>
      <c r="H181" s="206" t="n">
        <v>1667.3</v>
      </c>
      <c r="I181" t="n">
        <v>20</v>
      </c>
      <c r="J181" s="206">
        <f>I181*H181/100</f>
        <v/>
      </c>
      <c r="K181" s="206">
        <f>H181+J181</f>
        <v/>
      </c>
      <c r="L181" s="44">
        <f>IF(ISBLANK(D181),"",voranmeldefrist_vierteljaehrlich(D181))</f>
        <v/>
      </c>
      <c r="N181" s="43">
        <f>IF(ISBLANK(D181),IF(TODAY()&gt;C181,TODAY()-C181,0),IF(D181&gt;C181,D181-C181,0))</f>
        <v/>
      </c>
    </row>
    <row r="182">
      <c r="A182" t="n">
        <v>12022013</v>
      </c>
      <c r="B182" s="44" t="n">
        <v>44746</v>
      </c>
      <c r="C182" s="44">
        <f>B182+14</f>
        <v/>
      </c>
      <c r="D182" s="44" t="n">
        <v>44770</v>
      </c>
      <c r="F182" s="43" t="inlineStr">
        <is>
          <t>Paperholic all 'bout paper e.U., Sandfeld 9F, 2100 Stetten</t>
        </is>
      </c>
      <c r="H182" s="206" t="n">
        <v>27.75</v>
      </c>
      <c r="I182" t="n">
        <v>20</v>
      </c>
      <c r="J182" s="206">
        <f>I182*H182/100</f>
        <v/>
      </c>
      <c r="K182" s="206">
        <f>H182+J182</f>
        <v/>
      </c>
      <c r="L182" s="44">
        <f>IF(ISBLANK(D182),"",voranmeldefrist_vierteljaehrlich(D182))</f>
        <v/>
      </c>
      <c r="N182" s="43">
        <f>IF(ISBLANK(D182),IF(TODAY()&gt;C182,TODAY()-C182,0),IF(D182&gt;C182,D182-C182,0))</f>
        <v/>
      </c>
    </row>
    <row r="183">
      <c r="A183" t="n">
        <v>12022014</v>
      </c>
      <c r="B183" s="44" t="n">
        <v>44746</v>
      </c>
      <c r="C183" s="44">
        <f>B183+14</f>
        <v/>
      </c>
      <c r="D183" s="44" t="n">
        <v>44746</v>
      </c>
      <c r="F183" s="43" t="inlineStr">
        <is>
          <t>Mag. DI Dr. Philipp Kolbitsch, Josef-Mohr-Gasse 9, 2102 Bisamberg</t>
        </is>
      </c>
      <c r="H183" s="206" t="n">
        <v>91.5</v>
      </c>
      <c r="I183" t="n">
        <v>20</v>
      </c>
      <c r="J183" s="206">
        <f>I183*H183/100</f>
        <v/>
      </c>
      <c r="K183" s="206">
        <f>H183+J183</f>
        <v/>
      </c>
      <c r="L183" s="44">
        <f>IF(ISBLANK(D183),"",voranmeldefrist_vierteljaehrlich(D183))</f>
        <v/>
      </c>
      <c r="N183" s="43">
        <f>IF(ISBLANK(D183),IF(TODAY()&gt;C183,TODAY()-C183,0),IF(D183&gt;C183,D183-C183,0))</f>
        <v/>
      </c>
    </row>
    <row r="184">
      <c r="A184" t="n">
        <v>12022015</v>
      </c>
      <c r="B184" s="44" t="n">
        <v>44746</v>
      </c>
      <c r="C184" s="44">
        <f>B184+14</f>
        <v/>
      </c>
      <c r="D184" s="44" t="n">
        <v>44757</v>
      </c>
      <c r="F184" t="inlineStr">
        <is>
          <t>Schick Küchendesign e.U. Alexander Schick, Linzerstraße 247, 1140 Wien</t>
        </is>
      </c>
      <c r="H184" s="206" t="n">
        <v>240</v>
      </c>
      <c r="I184" t="n">
        <v>20</v>
      </c>
      <c r="J184" s="206">
        <f>I184*H184/100</f>
        <v/>
      </c>
      <c r="K184" s="206">
        <f>H184+J184</f>
        <v/>
      </c>
      <c r="L184" s="44">
        <f>IF(ISBLANK(D184),"",voranmeldefrist_vierteljaehrlich(D184))</f>
        <v/>
      </c>
      <c r="N184" s="43">
        <f>IF(ISBLANK(D184),IF(TODAY()&gt;C184,TODAY()-C184,0),IF(D184&gt;C184,D184-C184,0))</f>
        <v/>
      </c>
    </row>
    <row r="185">
      <c r="A185" t="n">
        <v>12022016</v>
      </c>
      <c r="B185" s="44" t="n">
        <v>44747</v>
      </c>
      <c r="C185" s="1">
        <f>B185+45</f>
        <v/>
      </c>
      <c r="D185" s="44" t="n">
        <v>44790</v>
      </c>
      <c r="F185" t="inlineStr">
        <is>
          <t>Hays Österreich GmbH, Bahnhof City Wien West, Europaplatz 3/5, 1150 Wien</t>
        </is>
      </c>
      <c r="G185" s="43" t="inlineStr">
        <is>
          <t>168044680: 6/22</t>
        </is>
      </c>
      <c r="H185" s="206" t="n">
        <v>15293</v>
      </c>
      <c r="I185" t="n">
        <v>20</v>
      </c>
      <c r="J185" s="206">
        <f>I185*H185/100</f>
        <v/>
      </c>
      <c r="K185" s="206">
        <f>H185+J185</f>
        <v/>
      </c>
      <c r="L185" s="44">
        <f>IF(ISBLANK(D185),"",voranmeldefrist_vierteljaehrlich(D185))</f>
        <v/>
      </c>
      <c r="N185" s="43">
        <f>IF(ISBLANK(D185),IF(TODAY()&gt;C185,TODAY()-C185,0),IF(D185&gt;C185,D185-C185,0))</f>
        <v/>
      </c>
    </row>
    <row r="186">
      <c r="A186" t="n">
        <v>12022017</v>
      </c>
      <c r="B186" s="44" t="n">
        <v>44774</v>
      </c>
      <c r="C186" s="1">
        <f>B186+45</f>
        <v/>
      </c>
      <c r="D186" s="44" t="n">
        <v>44818</v>
      </c>
      <c r="F186" t="inlineStr">
        <is>
          <t>Hays Österreich GmbH, Bahnhof City Wien West, Europaplatz 3/5, 1150 Wien</t>
        </is>
      </c>
      <c r="G186" s="43" t="inlineStr">
        <is>
          <t>168045114: 7/22</t>
        </is>
      </c>
      <c r="H186" s="206" t="n">
        <v>19950</v>
      </c>
      <c r="I186" t="n">
        <v>20</v>
      </c>
      <c r="J186" s="206">
        <f>I186*H186/100</f>
        <v/>
      </c>
      <c r="K186" s="206">
        <f>H186+J186</f>
        <v/>
      </c>
      <c r="L186" s="44">
        <f>IF(ISBLANK(D186),"",voranmeldefrist_vierteljaehrlich(D186))</f>
        <v/>
      </c>
      <c r="N186" s="43">
        <f>IF(ISBLANK(D186),IF(TODAY()&gt;C186,TODAY()-C186,0),IF(D186&gt;C186,D186-C186,0))</f>
        <v/>
      </c>
    </row>
    <row r="187">
      <c r="A187" t="n">
        <v>12022018</v>
      </c>
      <c r="B187" s="44" t="n">
        <v>44805</v>
      </c>
      <c r="C187" s="1">
        <f>B187+45</f>
        <v/>
      </c>
      <c r="D187" s="44" t="n">
        <v>44848</v>
      </c>
      <c r="F187" t="inlineStr">
        <is>
          <t>Hays Österreich GmbH, Bahnhof City Wien West, Europaplatz 3/5, 1150 Wien</t>
        </is>
      </c>
      <c r="G187" s="43" t="inlineStr">
        <is>
          <t>168045568: 8/22</t>
        </is>
      </c>
      <c r="H187" s="206" t="n">
        <v>20139</v>
      </c>
      <c r="I187" t="n">
        <v>20</v>
      </c>
      <c r="J187" s="206">
        <f>I187*H187/100</f>
        <v/>
      </c>
      <c r="K187" s="206">
        <f>H187+J187</f>
        <v/>
      </c>
      <c r="L187" s="44">
        <f>IF(ISBLANK(D187),"",voranmeldefrist_vierteljaehrlich(D187))</f>
        <v/>
      </c>
      <c r="N187" s="43">
        <f>IF(ISBLANK(D187),IF(TODAY()&gt;C187,TODAY()-C187,0),IF(D187&gt;C187,D187-C187,0))</f>
        <v/>
      </c>
    </row>
    <row r="188">
      <c r="A188" t="n">
        <v>12022019</v>
      </c>
      <c r="B188" s="44" t="n">
        <v>44836</v>
      </c>
      <c r="C188" s="44">
        <f>B188+14</f>
        <v/>
      </c>
      <c r="D188" s="44" t="n">
        <v>44837</v>
      </c>
      <c r="F188" s="43" t="inlineStr">
        <is>
          <t>Dr. Arno Kolbitsch, Zivilingenieur, Gütleweg 1, 6822 Satteins</t>
        </is>
      </c>
      <c r="H188" s="206" t="n">
        <v>2110.28</v>
      </c>
      <c r="I188" t="n">
        <v>20</v>
      </c>
      <c r="J188" s="206">
        <f>I188*H188/100</f>
        <v/>
      </c>
      <c r="K188" s="206">
        <f>H188+J188</f>
        <v/>
      </c>
      <c r="L188" s="44">
        <f>IF(ISBLANK(D188),"",voranmeldefrist_vierteljaehrlich(D188))</f>
        <v/>
      </c>
      <c r="N188" s="43">
        <f>IF(ISBLANK(D188),IF(TODAY()&gt;C188,TODAY()-C188,0),IF(D188&gt;C188,D188-C188,0))</f>
        <v/>
      </c>
    </row>
    <row r="189">
      <c r="A189" t="n">
        <v>12022020</v>
      </c>
      <c r="B189" s="44" t="n">
        <v>44836</v>
      </c>
      <c r="C189" s="44">
        <f>B189+14</f>
        <v/>
      </c>
      <c r="D189" s="44" t="n">
        <v>44837</v>
      </c>
      <c r="F189" s="43" t="inlineStr">
        <is>
          <t>Mag. DI Dr. Philipp Kolbitsch, Josef-Mohr-Gasse 9, 2102 Bisamberg</t>
        </is>
      </c>
      <c r="H189" s="206" t="n">
        <v>228.75</v>
      </c>
      <c r="I189" t="n">
        <v>20</v>
      </c>
      <c r="J189" s="206">
        <f>I189*H189/100</f>
        <v/>
      </c>
      <c r="K189" s="206">
        <f>H189+J189</f>
        <v/>
      </c>
      <c r="L189" s="44">
        <f>IF(ISBLANK(D189),"",voranmeldefrist_vierteljaehrlich(D189))</f>
        <v/>
      </c>
      <c r="N189" s="43">
        <f>IF(ISBLANK(D189),IF(TODAY()&gt;C189,TODAY()-C189,0),IF(D189&gt;C189,D189-C189,0))</f>
        <v/>
      </c>
    </row>
    <row r="190">
      <c r="A190" t="n">
        <v>12022021</v>
      </c>
      <c r="B190" s="44" t="n">
        <v>44836</v>
      </c>
      <c r="C190" s="44">
        <f>B190+14</f>
        <v/>
      </c>
      <c r="D190" s="44" t="n">
        <v>44841</v>
      </c>
      <c r="F190" s="43" t="inlineStr">
        <is>
          <t>Martin Dürauer e.U., Schreinergasse 7, A-3100 St. Pölten</t>
        </is>
      </c>
      <c r="H190" s="206" t="n">
        <v>380</v>
      </c>
      <c r="I190" t="n">
        <v>20</v>
      </c>
      <c r="J190" s="206">
        <f>I190*H190/100</f>
        <v/>
      </c>
      <c r="K190" s="206">
        <f>H190+J190</f>
        <v/>
      </c>
      <c r="L190" s="44">
        <f>IF(ISBLANK(D190),"",voranmeldefrist_vierteljaehrlich(D190))</f>
        <v/>
      </c>
      <c r="N190" s="43">
        <f>IF(ISBLANK(D190),IF(TODAY()&gt;C190,TODAY()-C190,0),IF(D190&gt;C190,D190-C190,0))</f>
        <v/>
      </c>
    </row>
    <row r="191">
      <c r="A191" t="n">
        <v>12022022</v>
      </c>
      <c r="B191" s="44" t="n">
        <v>44836</v>
      </c>
      <c r="C191" s="44">
        <f>B191+14</f>
        <v/>
      </c>
      <c r="D191" s="44" t="n">
        <v>44848</v>
      </c>
      <c r="F191" s="43" t="inlineStr">
        <is>
          <t>Musikschule Bad Vöslau, z. Hd. Herr Christian Sauer, Hauptstraße 14, 2540 Bad Vöslau</t>
        </is>
      </c>
      <c r="H191" s="206" t="n">
        <v>138</v>
      </c>
      <c r="I191" t="n">
        <v>20</v>
      </c>
      <c r="J191" s="206">
        <f>I191*H191/100</f>
        <v/>
      </c>
      <c r="K191" s="206">
        <f>H191+J191</f>
        <v/>
      </c>
      <c r="L191" s="44">
        <f>IF(ISBLANK(D191),"",voranmeldefrist_vierteljaehrlich(D191))</f>
        <v/>
      </c>
      <c r="N191" s="43">
        <f>IF(ISBLANK(D191),IF(TODAY()&gt;C191,TODAY()-C191,0),IF(D191&gt;C191,D191-C191,0))</f>
        <v/>
      </c>
    </row>
    <row r="192">
      <c r="A192" t="n">
        <v>12022023</v>
      </c>
      <c r="B192" s="44" t="n">
        <v>44838</v>
      </c>
      <c r="C192" s="1">
        <f>B192+45</f>
        <v/>
      </c>
      <c r="D192" s="44" t="n">
        <v>44882</v>
      </c>
      <c r="F192" t="inlineStr">
        <is>
          <t>Hays Österreich GmbH, Bahnhof City Wien West, Europaplatz 3/5, 1150 Wien</t>
        </is>
      </c>
      <c r="G192" s="43" t="inlineStr">
        <is>
          <t>168046160: 9/22</t>
        </is>
      </c>
      <c r="H192" s="206" t="n">
        <v>15141</v>
      </c>
      <c r="I192" t="n">
        <v>20</v>
      </c>
      <c r="J192" s="206">
        <f>I192*H192/100</f>
        <v/>
      </c>
      <c r="K192" s="206">
        <f>H192+J192</f>
        <v/>
      </c>
      <c r="L192" s="44">
        <f>IF(ISBLANK(D192),"",voranmeldefrist_vierteljaehrlich(D192))</f>
        <v/>
      </c>
      <c r="N192" s="43">
        <f>IF(ISBLANK(D192),IF(TODAY()&gt;C192,TODAY()-C192,0),IF(D192&gt;C192,D192-C192,0))</f>
        <v/>
      </c>
    </row>
    <row r="193">
      <c r="A193" t="n">
        <v>12022024</v>
      </c>
      <c r="B193" s="44" t="n">
        <v>44867</v>
      </c>
      <c r="C193" s="1">
        <f>B193+45</f>
        <v/>
      </c>
      <c r="D193" s="44" t="n">
        <v>44911</v>
      </c>
      <c r="F193" t="inlineStr">
        <is>
          <t>Hays Österreich GmbH, Bahnhof City Wien West, Europaplatz 3/5, 1150 Wien</t>
        </is>
      </c>
      <c r="G193" s="43" t="inlineStr">
        <is>
          <t>168046740: 10/22</t>
        </is>
      </c>
      <c r="H193" s="206" t="n">
        <v>12222</v>
      </c>
      <c r="I193" t="n">
        <v>20</v>
      </c>
      <c r="J193" s="206">
        <f>I193*H193/100</f>
        <v/>
      </c>
      <c r="K193" s="206">
        <f>H193+J193</f>
        <v/>
      </c>
      <c r="L193" s="44">
        <f>IF(ISBLANK(D193),"",voranmeldefrist_vierteljaehrlich(D193))</f>
        <v/>
      </c>
      <c r="N193" s="43">
        <f>IF(ISBLANK(D193),IF(TODAY()&gt;C193,TODAY()-C193,0),IF(D193&gt;C193,D193-C193,0))</f>
        <v/>
      </c>
    </row>
    <row r="194">
      <c r="A194" t="n">
        <v>12022025</v>
      </c>
      <c r="B194" s="44" t="n">
        <v>44895</v>
      </c>
      <c r="C194" s="1">
        <f>B194+45</f>
        <v/>
      </c>
      <c r="D194" s="44" t="n">
        <v>44939</v>
      </c>
      <c r="F194" t="inlineStr">
        <is>
          <t>Hays Österreich GmbH, Bahnhof City Wien West, Europaplatz 3/5, 1150 Wien</t>
        </is>
      </c>
      <c r="H194" s="206">
        <f>187*84</f>
        <v/>
      </c>
      <c r="I194" t="n">
        <v>20</v>
      </c>
      <c r="J194" s="206">
        <f>I194*H194/100</f>
        <v/>
      </c>
      <c r="K194" s="206">
        <f>H194+J194</f>
        <v/>
      </c>
      <c r="L194" s="44">
        <f>IF(ISBLANK(D194),"",voranmeldefrist_vierteljaehrlich(D194))</f>
        <v/>
      </c>
      <c r="N194" s="43">
        <f>IF(ISBLANK(D194),IF(TODAY()&gt;C194,TODAY()-C194,0),IF(D194&gt;C194,D194-C194,0))</f>
        <v/>
      </c>
    </row>
    <row r="195">
      <c r="A195" t="n">
        <v>12022026</v>
      </c>
      <c r="B195" s="44" t="n">
        <v>44922</v>
      </c>
      <c r="C195" s="1">
        <f>B195+45</f>
        <v/>
      </c>
      <c r="D195" s="44" t="n">
        <v>44965</v>
      </c>
      <c r="F195" t="inlineStr">
        <is>
          <t>Hays Österreich GmbH, Bahnhof City Wien West, Europaplatz 3/5, 1150 Wien</t>
        </is>
      </c>
      <c r="H195" s="206">
        <f>149.25*84</f>
        <v/>
      </c>
      <c r="I195" t="n">
        <v>20</v>
      </c>
      <c r="J195" s="206">
        <f>I195*H195/100</f>
        <v/>
      </c>
      <c r="K195" s="206">
        <f>H195+J195</f>
        <v/>
      </c>
      <c r="L195" s="44">
        <f>IF(ISBLANK(D195),"",voranmeldefrist_vierteljaehrlich(D195))</f>
        <v/>
      </c>
      <c r="N195" s="43">
        <f>IF(ISBLANK(D195),IF(TODAY()&gt;C195,TODAY()-C195,0),IF(D195&gt;C195,D195-C195,0))</f>
        <v/>
      </c>
    </row>
    <row r="196">
      <c r="A196" t="n">
        <v>12022027</v>
      </c>
      <c r="B196" s="44" t="n">
        <v>44924</v>
      </c>
      <c r="C196" s="44">
        <f>B196+14</f>
        <v/>
      </c>
      <c r="D196" s="44" t="n">
        <v>44928</v>
      </c>
      <c r="F196" s="43" t="inlineStr">
        <is>
          <t>Dr. Arno Kolbitsch, Zivilingenieur, Gütleweg 1, 6822 Satteins</t>
        </is>
      </c>
      <c r="H196" s="206" t="n">
        <v>529.3</v>
      </c>
      <c r="I196" t="n">
        <v>20</v>
      </c>
      <c r="J196" s="206">
        <f>I196*H196/100</f>
        <v/>
      </c>
      <c r="K196" s="206">
        <f>H196+J196</f>
        <v/>
      </c>
      <c r="L196" s="44">
        <f>IF(ISBLANK(D196),"",voranmeldefrist_vierteljaehrlich(D196))</f>
        <v/>
      </c>
      <c r="N196" s="43">
        <f>IF(ISBLANK(D196),IF(TODAY()&gt;C196,TODAY()-C196,0),IF(D196&gt;C196,D196-C196,0))</f>
        <v/>
      </c>
    </row>
    <row r="197">
      <c r="A197" t="n">
        <v>12022028</v>
      </c>
      <c r="B197" s="44" t="n">
        <v>44924</v>
      </c>
      <c r="C197" s="44">
        <f>B197+14</f>
        <v/>
      </c>
      <c r="D197" s="44" t="n">
        <v>44937</v>
      </c>
      <c r="F197" s="43" t="inlineStr">
        <is>
          <t>foxcraft - Dipl.-Ing. Mag. Alexander Wagner, Guttmannstraße 14, 2540 Bad Vöslau</t>
        </is>
      </c>
      <c r="H197" s="206">
        <f>-58.22</f>
        <v/>
      </c>
      <c r="I197" t="n">
        <v>20</v>
      </c>
      <c r="J197" s="206">
        <f>I197*H197/100</f>
        <v/>
      </c>
      <c r="K197" s="206">
        <f>H197+J197</f>
        <v/>
      </c>
      <c r="L197" s="44">
        <f>IF(ISBLANK(D197),"",voranmeldefrist_vierteljaehrlich(D197))</f>
        <v/>
      </c>
      <c r="N197" s="43">
        <f>IF(ISBLANK(D197),IF(TODAY()&gt;C197,TODAY()-C197,0),IF(D197&gt;C197,D197-C197,0))</f>
        <v/>
      </c>
    </row>
    <row r="198">
      <c r="A198" t="n">
        <v>12022029</v>
      </c>
      <c r="B198" s="44" t="n">
        <v>44924</v>
      </c>
      <c r="C198" s="44">
        <f>B198+14</f>
        <v/>
      </c>
      <c r="D198" s="44" t="n">
        <v>44965</v>
      </c>
      <c r="F198" s="43" t="inlineStr">
        <is>
          <t>Paperholic all 'bout paper e.U. - Birgit Horn, Koglgasse 15, 2111 Harmannsdorf</t>
        </is>
      </c>
      <c r="H198" s="206">
        <f>90*6</f>
        <v/>
      </c>
      <c r="I198" t="n">
        <v>20</v>
      </c>
      <c r="J198" s="206">
        <f>I198*H198/100</f>
        <v/>
      </c>
      <c r="K198" s="206">
        <f>H198+J198</f>
        <v/>
      </c>
      <c r="L198" s="44">
        <f>IF(ISBLANK(D198),"",voranmeldefrist_vierteljaehrlich(D198))</f>
        <v/>
      </c>
      <c r="N198" s="43">
        <f>IF(ISBLANK(D198),IF(TODAY()&gt;C198,TODAY()-C198,0),IF(D198&gt;C198,D198-C198,0))</f>
        <v/>
      </c>
    </row>
    <row r="199">
      <c r="A199" t="n">
        <v>12022030</v>
      </c>
      <c r="B199" s="44" t="n">
        <v>44925</v>
      </c>
      <c r="C199" s="44">
        <f>B199+14</f>
        <v/>
      </c>
      <c r="D199" s="44" t="n">
        <v>44943</v>
      </c>
      <c r="F199" s="43" t="inlineStr">
        <is>
          <t>Musikschule Bad Vöslau, z. Hd. Herr Christian Sauer, Hauptstraße 14, 2540 Bad Vöslau</t>
        </is>
      </c>
      <c r="H199" s="206" t="n">
        <v>178</v>
      </c>
      <c r="I199" t="n">
        <v>20</v>
      </c>
      <c r="J199" s="206">
        <f>I199*H199/100</f>
        <v/>
      </c>
      <c r="K199" s="206">
        <f>H199+J199</f>
        <v/>
      </c>
      <c r="L199" s="44">
        <f>IF(ISBLANK(D199),"",voranmeldefrist_vierteljaehrlich(D199))</f>
        <v/>
      </c>
      <c r="N199" s="43">
        <f>IF(ISBLANK(D199),IF(TODAY()&gt;C199,TODAY()-C199,0),IF(D199&gt;C199,D199-C199,0))</f>
        <v/>
      </c>
    </row>
    <row r="200">
      <c r="A200" t="n">
        <v>12023001</v>
      </c>
      <c r="B200" s="44" t="n">
        <v>44959</v>
      </c>
      <c r="C200" s="1">
        <f>B200+45</f>
        <v/>
      </c>
      <c r="D200" s="44" t="n">
        <v>45002</v>
      </c>
      <c r="F200" t="inlineStr">
        <is>
          <t>Hays Österreich GmbH, Bahnhof City Wien West, Europaplatz 3/5, 1150 Wien</t>
        </is>
      </c>
      <c r="G200" s="43" t="inlineStr">
        <is>
          <t>Projekttaetigkeit Januar</t>
        </is>
      </c>
      <c r="H200" s="206" t="n">
        <v>13075.88</v>
      </c>
      <c r="I200" t="n">
        <v>20</v>
      </c>
      <c r="J200" s="206">
        <f>I200*H200/100</f>
        <v/>
      </c>
      <c r="K200" s="206">
        <f>H200+J200</f>
        <v/>
      </c>
      <c r="L200" s="44">
        <f>IF(ISBLANK(D200),"",voranmeldefrist_vierteljaehrlich(D200))</f>
        <v/>
      </c>
      <c r="N200" s="43">
        <f>IF(ISBLANK(D200),IF(TODAY()&gt;C200,TODAY()-C200,0),IF(D200&gt;C200,D200-C200,0))</f>
        <v/>
      </c>
    </row>
    <row r="201">
      <c r="A201" t="n">
        <v>12023002</v>
      </c>
      <c r="B201" s="44" t="n">
        <v>44959</v>
      </c>
      <c r="C201" s="1">
        <f>B201+45</f>
        <v/>
      </c>
      <c r="D201" s="44" t="n">
        <v>45002</v>
      </c>
      <c r="F201" t="inlineStr">
        <is>
          <t>Hays Österreich GmbH, Bahnhof City Wien West, Europaplatz 3/5, 1150 Wien</t>
        </is>
      </c>
      <c r="G201" s="43" t="inlineStr">
        <is>
          <t>Reisekosten Januar</t>
        </is>
      </c>
      <c r="H201" s="206" t="n">
        <v>103.42</v>
      </c>
      <c r="I201" t="n">
        <v>20</v>
      </c>
      <c r="J201" s="206">
        <f>I201*H201/100</f>
        <v/>
      </c>
      <c r="K201" s="206">
        <f>H201+J201</f>
        <v/>
      </c>
      <c r="L201" s="44">
        <f>IF(ISBLANK(D201),"",voranmeldefrist_vierteljaehrlich(D201))</f>
        <v/>
      </c>
      <c r="N201" s="43">
        <f>IF(ISBLANK(D201),IF(TODAY()&gt;C201,TODAY()-C201,0),IF(D201&gt;C201,D201-C201,0))</f>
        <v/>
      </c>
    </row>
    <row r="202">
      <c r="A202" t="n">
        <v>12023003</v>
      </c>
      <c r="B202" s="44" t="n">
        <v>45017</v>
      </c>
      <c r="C202" s="44">
        <f>B202+14</f>
        <v/>
      </c>
      <c r="D202" s="44" t="n">
        <v>45019</v>
      </c>
      <c r="F202" s="43" t="inlineStr">
        <is>
          <t>Dr. Arno Kolbitsch, Zivilingenieur, Gütleweg 1, 6822 Satteins</t>
        </is>
      </c>
      <c r="H202" s="206" t="n">
        <v>2300</v>
      </c>
      <c r="I202" t="n">
        <v>20</v>
      </c>
      <c r="J202" s="206">
        <f>I202*H202/100</f>
        <v/>
      </c>
      <c r="K202" s="206">
        <f>H202+J202</f>
        <v/>
      </c>
      <c r="L202" s="44">
        <f>IF(ISBLANK(D202),"",voranmeldefrist_vierteljaehrlich(D202))</f>
        <v/>
      </c>
      <c r="N202" s="43">
        <f>IF(ISBLANK(D202),IF(TODAY()&gt;C202,TODAY()-C202,0),IF(D202&gt;C202,D202-C202,0))</f>
        <v/>
      </c>
    </row>
    <row r="203">
      <c r="A203" t="n">
        <v>12023004</v>
      </c>
      <c r="B203" s="44" t="n">
        <v>45017</v>
      </c>
      <c r="C203" s="44">
        <f>B203+14</f>
        <v/>
      </c>
      <c r="D203" s="44" t="n">
        <v>45040</v>
      </c>
      <c r="F203" s="43" t="inlineStr">
        <is>
          <t>Paperholic all 'bout paper e.U. - Birgit Horn, Koglgasse 15, 2111 Harmannsdorf</t>
        </is>
      </c>
      <c r="H203" s="206" t="n">
        <v>192</v>
      </c>
      <c r="I203" t="n">
        <v>20</v>
      </c>
      <c r="J203" s="206">
        <f>I203*H203/100</f>
        <v/>
      </c>
      <c r="K203" s="206">
        <f>H203+J203</f>
        <v/>
      </c>
      <c r="L203" s="44">
        <f>IF(ISBLANK(D203),"",voranmeldefrist_vierteljaehrlich(D203))</f>
        <v/>
      </c>
      <c r="N203" s="43">
        <f>IF(ISBLANK(D203),IF(TODAY()&gt;C203,TODAY()-C203,0),IF(D203&gt;C203,D203-C203,0))</f>
        <v/>
      </c>
    </row>
    <row r="204">
      <c r="A204" t="n">
        <v>12023005</v>
      </c>
      <c r="B204" s="44" t="n">
        <v>45017</v>
      </c>
      <c r="C204" s="44">
        <f>B204+14</f>
        <v/>
      </c>
      <c r="D204" s="44" t="n">
        <v>45021</v>
      </c>
      <c r="F204" s="43" t="inlineStr">
        <is>
          <t>H. Jaros e.U., Fischhof 3/23, 1010 Wien, ATU 67698048</t>
        </is>
      </c>
      <c r="H204" s="206" t="n">
        <v>1064</v>
      </c>
      <c r="I204" t="n">
        <v>20</v>
      </c>
      <c r="J204" s="206">
        <f>I204*H204/100</f>
        <v/>
      </c>
      <c r="K204" s="206">
        <f>H204+J204</f>
        <v/>
      </c>
      <c r="L204" s="44">
        <f>IF(ISBLANK(D204),"",voranmeldefrist_vierteljaehrlich(D204))</f>
        <v/>
      </c>
      <c r="N204" s="43">
        <f>IF(ISBLANK(D204),IF(TODAY()&gt;C204,TODAY()-C204,0),IF(D204&gt;C204,D204-C204,0))</f>
        <v/>
      </c>
    </row>
    <row r="205">
      <c r="A205" t="n">
        <v>12023006</v>
      </c>
      <c r="B205" s="44" t="n">
        <v>45017</v>
      </c>
      <c r="C205" s="44">
        <f>B205+14</f>
        <v/>
      </c>
      <c r="D205" s="44" t="n">
        <v>45019</v>
      </c>
      <c r="F205" s="43" t="inlineStr">
        <is>
          <t>foxcraft - Dipl.-Ing. Mag. Alexander Wagner, Guttmannstraße 14, 2540 Bad Vöslau</t>
        </is>
      </c>
      <c r="H205" s="206" t="n">
        <v>89</v>
      </c>
      <c r="I205" t="n">
        <v>20</v>
      </c>
      <c r="J205" s="206">
        <f>I205*H205/100</f>
        <v/>
      </c>
      <c r="K205" s="206">
        <f>H205+J205</f>
        <v/>
      </c>
      <c r="L205" s="44">
        <f>IF(ISBLANK(D205),"",voranmeldefrist_vierteljaehrlich(D205))</f>
        <v/>
      </c>
      <c r="N205" s="43">
        <f>IF(ISBLANK(D205),IF(TODAY()&gt;C205,TODAY()-C205,0),IF(D205&gt;C205,D205-C205,0))</f>
        <v/>
      </c>
    </row>
    <row r="206">
      <c r="A206" t="n">
        <v>12023007</v>
      </c>
      <c r="B206" s="44" t="n">
        <v>45017</v>
      </c>
      <c r="C206" s="44">
        <f>B206+14</f>
        <v/>
      </c>
      <c r="D206" s="44" t="n">
        <v>45019</v>
      </c>
      <c r="F206" s="43" t="inlineStr">
        <is>
          <t>Kolbitsch Engineering &amp; Consulting ZT GmbH, Josef-Mohr-Gasse 9, 2102 Bisamberg</t>
        </is>
      </c>
      <c r="H206" s="206" t="n">
        <v>485</v>
      </c>
      <c r="I206" t="n">
        <v>20</v>
      </c>
      <c r="J206" s="206">
        <f>I206*H206/100</f>
        <v/>
      </c>
      <c r="K206" s="206">
        <f>H206+J206</f>
        <v/>
      </c>
      <c r="L206" s="44">
        <f>IF(ISBLANK(D206),"",voranmeldefrist_vierteljaehrlich(D206))</f>
        <v/>
      </c>
      <c r="N206" s="43">
        <f>IF(ISBLANK(D206),IF(TODAY()&gt;C206,TODAY()-C206,0),IF(D206&gt;C206,D206-C206,0))</f>
        <v/>
      </c>
    </row>
    <row r="207">
      <c r="A207" t="n">
        <v>12023008</v>
      </c>
      <c r="B207" s="44" t="n">
        <v>44986</v>
      </c>
      <c r="C207" s="1">
        <f>B207+45</f>
        <v/>
      </c>
      <c r="D207" s="44" t="n">
        <v>45029</v>
      </c>
      <c r="F207" t="inlineStr">
        <is>
          <t>Hays Österreich GmbH, Bahnhof City Wien West, Europaplatz 3/5, 1150 Wien</t>
        </is>
      </c>
      <c r="G207" s="43" t="inlineStr">
        <is>
          <t>Projekttaetigkeit Februar</t>
        </is>
      </c>
      <c r="H207" s="206" t="n">
        <v>16638</v>
      </c>
      <c r="I207" t="n">
        <v>20</v>
      </c>
      <c r="J207" s="206">
        <f>I207*H207/100</f>
        <v/>
      </c>
      <c r="K207" s="206">
        <f>H207+J207</f>
        <v/>
      </c>
      <c r="L207" s="44">
        <f>IF(ISBLANK(D207),"",voranmeldefrist_vierteljaehrlich(D207))</f>
        <v/>
      </c>
      <c r="N207" s="43">
        <f>IF(ISBLANK(D207),IF(TODAY()&gt;C207,TODAY()-C207,0),IF(D207&gt;C207,D207-C207,0))</f>
        <v/>
      </c>
    </row>
    <row r="208">
      <c r="A208" t="n">
        <v>12023009</v>
      </c>
      <c r="B208" s="44" t="n">
        <v>45019</v>
      </c>
      <c r="C208" s="1">
        <f>B208+45</f>
        <v/>
      </c>
      <c r="D208" s="44" t="n">
        <v>45062</v>
      </c>
      <c r="F208" t="inlineStr">
        <is>
          <t>Hays Österreich GmbH, Bahnhof City Wien West, Europaplatz 3/5, 1150 Wien</t>
        </is>
      </c>
      <c r="G208" s="43" t="inlineStr">
        <is>
          <t>Projekttaetigkeit März</t>
        </is>
      </c>
      <c r="H208" s="206" t="n">
        <v>17523</v>
      </c>
      <c r="I208" t="n">
        <v>20</v>
      </c>
      <c r="J208" s="206">
        <f>I208*H208/100</f>
        <v/>
      </c>
      <c r="K208" s="206">
        <f>H208+J208</f>
        <v/>
      </c>
      <c r="L208" s="44">
        <f>IF(ISBLANK(D208),"",voranmeldefrist_vierteljaehrlich(D208))</f>
        <v/>
      </c>
      <c r="N208" s="43">
        <f>IF(ISBLANK(D208),IF(TODAY()&gt;C208,TODAY()-C208,0),IF(D208&gt;C208,D208-C208,0))</f>
        <v/>
      </c>
    </row>
    <row r="209">
      <c r="A209" t="n">
        <v>12023010</v>
      </c>
      <c r="B209" s="44" t="n">
        <v>45049</v>
      </c>
      <c r="C209" s="1">
        <f>B209+45</f>
        <v/>
      </c>
      <c r="D209" s="44" t="n">
        <v>45092</v>
      </c>
      <c r="F209" t="inlineStr">
        <is>
          <t>Hays Österreich GmbH, Bahnhof City Wien West, Europaplatz 3/5, 1150 Wien</t>
        </is>
      </c>
      <c r="H209" s="206" t="n">
        <v>17058.38</v>
      </c>
      <c r="I209" t="n">
        <v>20</v>
      </c>
      <c r="J209" s="206">
        <f>I209*H209/100</f>
        <v/>
      </c>
      <c r="K209" s="206">
        <f>H209+J209</f>
        <v/>
      </c>
      <c r="L209" s="44">
        <f>IF(ISBLANK(D209),"",voranmeldefrist_vierteljaehrlich(D209))</f>
        <v/>
      </c>
      <c r="N209" s="43">
        <f>IF(ISBLANK(D209),IF(TODAY()&gt;C209,TODAY()-C209,0),IF(D209&gt;C209,D209-C209,0))</f>
        <v/>
      </c>
    </row>
    <row r="210">
      <c r="A210" t="n">
        <v>12023011</v>
      </c>
      <c r="B210" s="44" t="n">
        <v>45109</v>
      </c>
      <c r="C210" s="1">
        <f>B210+14</f>
        <v/>
      </c>
      <c r="D210" s="44" t="n">
        <v>45110</v>
      </c>
      <c r="F210" s="43" t="inlineStr">
        <is>
          <t>Dr. Arno Kolbitsch, Zivilingenieur, Gütleweg 1, 6822 Satteins</t>
        </is>
      </c>
      <c r="H210" s="206" t="n">
        <v>1127.17</v>
      </c>
      <c r="I210" t="n">
        <v>20</v>
      </c>
      <c r="J210" s="206">
        <f>I210*H210/100</f>
        <v/>
      </c>
      <c r="K210" s="206">
        <f>H210+J210</f>
        <v/>
      </c>
      <c r="L210" s="44">
        <f>IF(ISBLANK(D210),"",voranmeldefrist_vierteljaehrlich(D210))</f>
        <v/>
      </c>
      <c r="N210" s="43">
        <f>IF(ISBLANK(D210),IF(TODAY()&gt;C210,TODAY()-C210,0),IF(D210&gt;C210,D210-C210,0))</f>
        <v/>
      </c>
    </row>
    <row r="211">
      <c r="A211" t="n">
        <v>12023012</v>
      </c>
      <c r="B211" s="44" t="n">
        <v>45109</v>
      </c>
      <c r="C211" s="1">
        <f>B211+14</f>
        <v/>
      </c>
      <c r="D211" s="1" t="n">
        <v>45120</v>
      </c>
      <c r="F211" s="43" t="inlineStr">
        <is>
          <t>Paperholic all 'bout paper e.U. - Birgit Horn, Koglgasse 15, 2111 Harmannsdorf</t>
        </is>
      </c>
      <c r="H211" s="206" t="n">
        <v>27.41</v>
      </c>
      <c r="I211" t="n">
        <v>20</v>
      </c>
      <c r="J211" s="206">
        <f>I211*H211/100</f>
        <v/>
      </c>
      <c r="K211" s="206">
        <f>H211+J211</f>
        <v/>
      </c>
      <c r="L211" s="44">
        <f>IF(ISBLANK(D211),"",voranmeldefrist_vierteljaehrlich(D211))</f>
        <v/>
      </c>
      <c r="N211" s="43">
        <f>IF(ISBLANK(D211),IF(TODAY()&gt;C211,TODAY()-C211,0),IF(D211&gt;C211,D211-C211,0))</f>
        <v/>
      </c>
    </row>
    <row r="212">
      <c r="A212" t="n">
        <v>12023013</v>
      </c>
      <c r="B212" s="44" t="n">
        <v>45109</v>
      </c>
      <c r="C212" s="1">
        <f>B212+14</f>
        <v/>
      </c>
      <c r="D212" s="44" t="n">
        <v>45113</v>
      </c>
      <c r="F212" s="43" t="inlineStr">
        <is>
          <t>Kolbitsch Engineering &amp; Consulting ZT GmbH, Josef-Mohr-Gasse 9, 2102 Bisamberg</t>
        </is>
      </c>
      <c r="H212" s="206" t="n">
        <v>388</v>
      </c>
      <c r="I212" t="n">
        <v>20</v>
      </c>
      <c r="J212" s="206">
        <f>I212*H212/100</f>
        <v/>
      </c>
      <c r="K212" s="206">
        <f>H212+J212</f>
        <v/>
      </c>
      <c r="L212" s="44">
        <f>IF(ISBLANK(D212),"",voranmeldefrist_vierteljaehrlich(D212))</f>
        <v/>
      </c>
      <c r="N212" s="43">
        <f>IF(ISBLANK(D212),IF(TODAY()&gt;C212,TODAY()-C212,0),IF(D212&gt;C212,D212-C212,0))</f>
        <v/>
      </c>
    </row>
    <row r="213">
      <c r="A213" t="n">
        <v>12023014</v>
      </c>
      <c r="B213" s="44" t="n">
        <v>45078</v>
      </c>
      <c r="C213" s="1">
        <f>B213+45</f>
        <v/>
      </c>
      <c r="D213" s="44" t="n">
        <v>45121</v>
      </c>
      <c r="F213" t="inlineStr">
        <is>
          <t>Hays Österreich GmbH, Bahnhof City Wien West, Europaplatz 3/5, 1150 Wien</t>
        </is>
      </c>
      <c r="H213" s="206" t="n">
        <v>228.52</v>
      </c>
      <c r="I213" t="n">
        <v>20</v>
      </c>
      <c r="J213" s="206">
        <f>I213*H213/100</f>
        <v/>
      </c>
      <c r="K213" s="206">
        <f>H213+J213</f>
        <v/>
      </c>
      <c r="L213" s="44">
        <f>IF(ISBLANK(D213),"",voranmeldefrist_vierteljaehrlich(D213))</f>
        <v/>
      </c>
      <c r="N213" s="43">
        <f>IF(ISBLANK(D213),IF(TODAY()&gt;C213,TODAY()-C213,0),IF(D213&gt;C213,D213-C213,0))</f>
        <v/>
      </c>
    </row>
    <row r="214">
      <c r="A214" t="n">
        <v>12023015</v>
      </c>
      <c r="B214" s="44" t="n">
        <v>45078</v>
      </c>
      <c r="C214" s="1">
        <f>B214+45</f>
        <v/>
      </c>
      <c r="D214" s="44" t="n">
        <v>45121</v>
      </c>
      <c r="F214" t="inlineStr">
        <is>
          <t>Hays Österreich GmbH, Bahnhof City Wien West, Europaplatz 3/5, 1150 Wien</t>
        </is>
      </c>
      <c r="H214" s="206" t="n">
        <v>14890.13</v>
      </c>
      <c r="I214" t="n">
        <v>20</v>
      </c>
      <c r="J214" s="206">
        <f>I214*H214/100</f>
        <v/>
      </c>
      <c r="K214" s="206">
        <f>H214+J214</f>
        <v/>
      </c>
      <c r="L214" s="44">
        <f>IF(ISBLANK(D214),"",voranmeldefrist_vierteljaehrlich(D214))</f>
        <v/>
      </c>
      <c r="N214" s="43">
        <f>IF(ISBLANK(D214),IF(TODAY()&gt;C214,TODAY()-C214,0),IF(D214&gt;C214,D214-C214,0))</f>
        <v/>
      </c>
    </row>
    <row r="215">
      <c r="A215" t="n">
        <v>12023016</v>
      </c>
      <c r="B215" s="44" t="n">
        <v>45110</v>
      </c>
      <c r="C215" s="1">
        <f>B215+45</f>
        <v/>
      </c>
      <c r="D215" s="44" t="n">
        <v>45153</v>
      </c>
      <c r="F215" t="inlineStr">
        <is>
          <t>Hays Österreich GmbH, Bahnhof City Wien West, Europaplatz 3/5, 1150 Wien</t>
        </is>
      </c>
      <c r="H215" s="206" t="n">
        <v>6593.25</v>
      </c>
      <c r="I215" t="n">
        <v>20</v>
      </c>
      <c r="J215" s="206">
        <f>I215*H215/100</f>
        <v/>
      </c>
      <c r="K215" s="206">
        <f>H215+J215</f>
        <v/>
      </c>
      <c r="L215" s="44">
        <f>IF(ISBLANK(D215),"",voranmeldefrist_vierteljaehrlich(D215))</f>
        <v/>
      </c>
      <c r="N215" s="43">
        <f>IF(ISBLANK(D215),IF(TODAY()&gt;C215,TODAY()-C215,0),IF(D215&gt;C215,D215-C215,0))</f>
        <v/>
      </c>
    </row>
    <row r="216">
      <c r="A216" t="n">
        <v>12023017</v>
      </c>
      <c r="B216" s="44" t="n">
        <v>45138</v>
      </c>
      <c r="C216" s="1">
        <f>B216+45</f>
        <v/>
      </c>
      <c r="D216" s="44" t="n">
        <v>45181</v>
      </c>
      <c r="F216" t="inlineStr">
        <is>
          <t>Hays Österreich GmbH, Bahnhof City Wien West, Europaplatz 3/5, 1150 Wien</t>
        </is>
      </c>
      <c r="H216" s="206" t="n">
        <v>15155.63</v>
      </c>
      <c r="I216" t="n">
        <v>20</v>
      </c>
      <c r="J216" s="206">
        <f>I216*H216/100</f>
        <v/>
      </c>
      <c r="K216" s="206">
        <f>H216+J216</f>
        <v/>
      </c>
      <c r="L216" s="44">
        <f>IF(ISBLANK(D216),"",voranmeldefrist_vierteljaehrlich(D216))</f>
        <v/>
      </c>
      <c r="N216" s="43">
        <f>IF(ISBLANK(D216),IF(TODAY()&gt;C216,TODAY()-C216,0),IF(D216&gt;C216,D216-C216,0))</f>
        <v/>
      </c>
    </row>
    <row r="217">
      <c r="A217" t="n">
        <v>12023018</v>
      </c>
      <c r="B217" s="44" t="n">
        <v>45176</v>
      </c>
      <c r="C217" s="1">
        <f>B217+45</f>
        <v/>
      </c>
      <c r="D217" s="44" t="n">
        <v>45219</v>
      </c>
      <c r="F217" t="inlineStr">
        <is>
          <t>Hays Österreich GmbH, Bahnhof City Wien West, Europaplatz 3/5, 1150 Wien</t>
        </is>
      </c>
      <c r="H217" s="206" t="n">
        <v>11969.63</v>
      </c>
      <c r="I217" t="n">
        <v>20</v>
      </c>
      <c r="J217" s="206">
        <f>I217*H217/100</f>
        <v/>
      </c>
      <c r="K217" s="206">
        <f>H217+J217</f>
        <v/>
      </c>
      <c r="L217" s="44">
        <f>IF(ISBLANK(D217),"",voranmeldefrist_vierteljaehrlich(D217))</f>
        <v/>
      </c>
      <c r="N217" s="43">
        <f>IF(ISBLANK(D217),IF(TODAY()&gt;C217,TODAY()-C217,0),IF(D217&gt;C217,D217-C217,0))</f>
        <v/>
      </c>
    </row>
    <row r="218">
      <c r="A218" t="n">
        <v>12023019</v>
      </c>
      <c r="B218" s="44" t="n">
        <v>45202</v>
      </c>
      <c r="C218" s="1">
        <f>B218+45</f>
        <v/>
      </c>
      <c r="D218" s="44" t="n">
        <v>45245</v>
      </c>
      <c r="F218" t="inlineStr">
        <is>
          <t>Hays Österreich GmbH, Bahnhof City Wien West, Europaplatz 3/5, 1150 Wien</t>
        </is>
      </c>
      <c r="H218" s="206" t="n">
        <v>16505.25</v>
      </c>
      <c r="I218" t="n">
        <v>20</v>
      </c>
      <c r="J218" s="206">
        <f>I218*H218/100</f>
        <v/>
      </c>
      <c r="K218" s="206">
        <f>H218+J218</f>
        <v/>
      </c>
      <c r="L218" s="44">
        <f>IF(ISBLANK(D218),"",voranmeldefrist_vierteljaehrlich(D218))</f>
        <v/>
      </c>
      <c r="N218" s="43">
        <f>IF(ISBLANK(D218),IF(TODAY()&gt;C218,TODAY()-C218,0),IF(D218&gt;C218,D218-C218,0))</f>
        <v/>
      </c>
    </row>
    <row r="219">
      <c r="A219" t="n">
        <v>12023020</v>
      </c>
      <c r="B219" s="44" t="n">
        <v>45237</v>
      </c>
      <c r="C219" s="1">
        <f>B219+45</f>
        <v/>
      </c>
      <c r="D219" s="44" t="n">
        <v>45280</v>
      </c>
      <c r="F219" t="inlineStr">
        <is>
          <t>Hays Österreich GmbH, Bahnhof City Wien West, Europaplatz 3/5, 1150 Wien</t>
        </is>
      </c>
      <c r="H219" s="206" t="n">
        <v>11217.38</v>
      </c>
      <c r="I219" t="n">
        <v>20</v>
      </c>
      <c r="J219" s="206">
        <f>I219*H219/100</f>
        <v/>
      </c>
      <c r="K219" s="206">
        <f>H219+J219</f>
        <v/>
      </c>
      <c r="L219" s="44">
        <f>IF(ISBLANK(D219),"",voranmeldefrist_vierteljaehrlich(D219))</f>
        <v/>
      </c>
      <c r="N219" s="43">
        <f>IF(ISBLANK(D219),IF(TODAY()&gt;C219,TODAY()-C219,0),IF(D219&gt;C219,D219-C219,0))</f>
        <v/>
      </c>
    </row>
    <row r="220">
      <c r="A220" t="n">
        <v>12024001</v>
      </c>
      <c r="B220" s="44" t="n">
        <v>45293</v>
      </c>
      <c r="C220" s="1">
        <f>B220+14</f>
        <v/>
      </c>
      <c r="D220" s="44" t="n">
        <v>45294</v>
      </c>
      <c r="F220" s="43" t="inlineStr">
        <is>
          <t>Dr. Arno Kolbitsch, Zivilingenieur, Gütleweg 1, 6822 Satteins</t>
        </is>
      </c>
      <c r="H220" s="206" t="n">
        <v>580.28</v>
      </c>
      <c r="I220" t="n">
        <v>20</v>
      </c>
      <c r="J220" s="206">
        <f>I220*H220/100</f>
        <v/>
      </c>
      <c r="K220" s="206">
        <f>H220+J220</f>
        <v/>
      </c>
      <c r="L220" s="44">
        <f>IF(ISBLANK(D220),"",voranmeldefrist_vierteljaehrlich(D220))</f>
        <v/>
      </c>
      <c r="N220" s="43">
        <f>IF(ISBLANK(D220),IF(TODAY()&gt;C220,TODAY()-C220,0),IF(D220&gt;C220,D220-C220,0))</f>
        <v/>
      </c>
    </row>
    <row r="221">
      <c r="A221" t="n">
        <v>12024002</v>
      </c>
      <c r="B221" s="44" t="n">
        <v>45260</v>
      </c>
      <c r="C221" s="1">
        <f>B221+45</f>
        <v/>
      </c>
      <c r="D221" s="44" t="n">
        <v>45303</v>
      </c>
      <c r="F221" t="inlineStr">
        <is>
          <t>Hays Österreich GmbH, Bahnhof City Wien West, Europaplatz 3/5, 1150 Wien</t>
        </is>
      </c>
      <c r="H221" s="206" t="n">
        <v>14005.13</v>
      </c>
      <c r="I221" t="n">
        <v>20</v>
      </c>
      <c r="J221" s="206">
        <f>I221*H221/100</f>
        <v/>
      </c>
      <c r="K221" s="206">
        <f>H221+J221</f>
        <v/>
      </c>
      <c r="L221" s="44">
        <f>IF(ISBLANK(D221),"",voranmeldefrist_vierteljaehrlich(D221))</f>
        <v/>
      </c>
      <c r="N221" s="43">
        <f>IF(ISBLANK(D221),IF(TODAY()&gt;C221,TODAY()-C221,0),IF(D221&gt;C221,D221-C221,0))</f>
        <v/>
      </c>
    </row>
    <row r="222">
      <c r="A222" t="n">
        <v>12024003</v>
      </c>
      <c r="B222" s="44" t="n">
        <v>45282</v>
      </c>
      <c r="C222" s="1">
        <f>B222+45</f>
        <v/>
      </c>
      <c r="D222" s="44" t="n">
        <v>45324</v>
      </c>
      <c r="F222" t="inlineStr">
        <is>
          <t>Hays Österreich GmbH, Bahnhof City Wien West, Europaplatz 3/5, 1150 Wien</t>
        </is>
      </c>
      <c r="H222" s="206" t="n">
        <v>11283.75</v>
      </c>
      <c r="I222" t="n">
        <v>20</v>
      </c>
      <c r="J222" s="206">
        <f>I222*H222/100</f>
        <v/>
      </c>
      <c r="K222" s="206">
        <f>H222+J222</f>
        <v/>
      </c>
      <c r="L222" s="44">
        <f>IF(ISBLANK(D222),"",voranmeldefrist_vierteljaehrlich(D222))</f>
        <v/>
      </c>
      <c r="N222" s="43">
        <f>IF(ISBLANK(D222),IF(TODAY()&gt;C222,TODAY()-C222,0),IF(D222&gt;C222,D222-C222,0))</f>
        <v/>
      </c>
    </row>
    <row r="223">
      <c r="A223" t="n">
        <v>12024004</v>
      </c>
      <c r="B223" s="44" t="n">
        <v>45323</v>
      </c>
      <c r="C223" s="1">
        <f>B223+45</f>
        <v/>
      </c>
      <c r="D223" s="44" t="n">
        <v>45366</v>
      </c>
      <c r="F223" t="inlineStr">
        <is>
          <t>Hays Österreich GmbH, Bahnhof City Wien West, Europaplatz 3/5, 1150 Wien</t>
        </is>
      </c>
      <c r="H223" s="206" t="n">
        <v>18401.44</v>
      </c>
      <c r="I223" t="n">
        <v>20</v>
      </c>
      <c r="J223" s="206">
        <f>I223*H223/100</f>
        <v/>
      </c>
      <c r="K223" s="206">
        <f>H223+J223</f>
        <v/>
      </c>
      <c r="L223" s="44">
        <f>IF(ISBLANK(D223),"",voranmeldefrist_vierteljaehrlich(D223))</f>
        <v/>
      </c>
      <c r="N223" s="43">
        <f>IF(ISBLANK(D223),IF(TODAY()&gt;C223,TODAY()-C223,0),IF(D223&gt;C223,D223-C223,0))</f>
        <v/>
      </c>
    </row>
    <row r="224">
      <c r="A224" t="n">
        <v>12024005</v>
      </c>
      <c r="B224" s="44" t="n">
        <v>45350</v>
      </c>
      <c r="C224" s="1">
        <f>B224+45</f>
        <v/>
      </c>
      <c r="D224" s="44" t="n">
        <v>45393</v>
      </c>
      <c r="F224" t="inlineStr">
        <is>
          <t>Hays Österreich GmbH, Bahnhof City Wien West, Europaplatz 3/5, 1150 Wien</t>
        </is>
      </c>
      <c r="H224" s="206" t="n">
        <v>20341.6</v>
      </c>
      <c r="I224" t="n">
        <v>20</v>
      </c>
      <c r="J224" s="206">
        <f>I224*H224/100</f>
        <v/>
      </c>
      <c r="K224" s="206">
        <f>H224+J224</f>
        <v/>
      </c>
      <c r="L224" s="44">
        <f>IF(ISBLANK(D224),"",voranmeldefrist_vierteljaehrlich(D224))</f>
        <v/>
      </c>
      <c r="N224" s="43">
        <f>IF(ISBLANK(D224),IF(TODAY()&gt;C224,TODAY()-C224,0),IF(D224&gt;C224,D224-C224,0))</f>
        <v/>
      </c>
    </row>
    <row r="225">
      <c r="A225" t="n">
        <v>12024006</v>
      </c>
      <c r="B225" s="44" t="n">
        <v>45384</v>
      </c>
      <c r="C225" s="1">
        <f>B225+45</f>
        <v/>
      </c>
      <c r="D225" s="44" t="n">
        <v>45428</v>
      </c>
      <c r="F225" t="inlineStr">
        <is>
          <t>Hays Österreich GmbH, Bahnhof City Wien West, Europaplatz 3/5, 1150 Wien</t>
        </is>
      </c>
      <c r="H225" s="206" t="n">
        <v>14408.32</v>
      </c>
      <c r="I225" t="n">
        <v>20</v>
      </c>
      <c r="J225" s="206">
        <f>I225*H225/100</f>
        <v/>
      </c>
      <c r="K225" s="206">
        <f>H225+J225</f>
        <v/>
      </c>
      <c r="L225" s="44">
        <f>IF(ISBLANK(D225),"",voranmeldefrist_vierteljaehrlich(D225))</f>
        <v/>
      </c>
      <c r="N225" s="43">
        <f>IF(ISBLANK(D225),IF(TODAY()&gt;C225,TODAY()-C225,0),IF(D225&gt;C225,D225-C225,0))</f>
        <v/>
      </c>
    </row>
    <row r="226">
      <c r="A226" t="n">
        <v>12024007</v>
      </c>
      <c r="B226" s="44" t="n">
        <v>45420</v>
      </c>
      <c r="C226" s="1">
        <f>B226+45</f>
        <v/>
      </c>
      <c r="D226" s="44" t="n">
        <v>45463</v>
      </c>
      <c r="F226" t="inlineStr">
        <is>
          <t>Hays Österreich GmbH, Bahnhof City Wien West, Europaplatz 3/5, 1150 Wien</t>
        </is>
      </c>
      <c r="H226" s="206" t="n">
        <v>19296.32</v>
      </c>
      <c r="I226" t="n">
        <v>20</v>
      </c>
      <c r="J226" s="206">
        <f>I226*H226/100</f>
        <v/>
      </c>
      <c r="K226" s="206">
        <f>H226+J226</f>
        <v/>
      </c>
      <c r="L226" s="44">
        <f>IF(ISBLANK(D226),"",voranmeldefrist_vierteljaehrlich(D226))</f>
        <v/>
      </c>
      <c r="N226" s="43">
        <f>IF(ISBLANK(D226),IF(TODAY()&gt;C226,TODAY()-C226,0),IF(D226&gt;C226,D226-C226,0))</f>
        <v/>
      </c>
    </row>
    <row r="227">
      <c r="A227" t="n">
        <v>12024008</v>
      </c>
      <c r="B227" s="44" t="n">
        <v>45384</v>
      </c>
      <c r="C227" s="1">
        <f>B227+45</f>
        <v/>
      </c>
      <c r="D227" s="44" t="n">
        <v>45428</v>
      </c>
      <c r="F227" t="inlineStr">
        <is>
          <t>Hays Österreich GmbH, Bahnhof City Wien West, Europaplatz 3/5, 1150 Wien</t>
        </is>
      </c>
      <c r="H227" s="206" t="n">
        <v>107.5</v>
      </c>
      <c r="I227" t="n">
        <v>20</v>
      </c>
      <c r="J227" s="206">
        <f>I227*H227/100</f>
        <v/>
      </c>
      <c r="K227" s="206">
        <f>H227+J227</f>
        <v/>
      </c>
      <c r="L227" s="44">
        <f>IF(ISBLANK(D227),"",voranmeldefrist_vierteljaehrlich(D227))</f>
        <v/>
      </c>
      <c r="N227" s="43">
        <f>IF(ISBLANK(D227),IF(TODAY()&gt;C227,TODAY()-C227,0),IF(D227&gt;C227,D227-C227,0))</f>
        <v/>
      </c>
    </row>
    <row r="228">
      <c r="A228" t="n">
        <v>12024009</v>
      </c>
      <c r="B228" s="44" t="n">
        <v>45446</v>
      </c>
      <c r="C228" s="1">
        <f>B228+45</f>
        <v/>
      </c>
      <c r="D228" s="44" t="n">
        <v>45489</v>
      </c>
      <c r="F228" t="inlineStr">
        <is>
          <t>Hays Österreich GmbH, Bahnhof City Wien West, Europaplatz 3/5, 1150 Wien</t>
        </is>
      </c>
      <c r="H228" s="206" t="n">
        <v>17175.68</v>
      </c>
      <c r="I228" t="n">
        <v>20</v>
      </c>
      <c r="J228" s="206">
        <f>I228*H228/100</f>
        <v/>
      </c>
      <c r="K228" s="206">
        <f>H228+J228</f>
        <v/>
      </c>
      <c r="L228" s="44">
        <f>IF(ISBLANK(D228),"",voranmeldefrist_vierteljaehrlich(D228))</f>
        <v/>
      </c>
      <c r="N228" s="43">
        <f>IF(ISBLANK(D228),IF(TODAY()&gt;C228,TODAY()-C228,0),IF(D228&gt;C228,D228-C228,0))</f>
        <v/>
      </c>
    </row>
    <row r="229">
      <c r="A229" t="n">
        <v>12024010</v>
      </c>
      <c r="B229" s="44" t="n">
        <v>45474</v>
      </c>
      <c r="C229" s="1">
        <f>B229+14</f>
        <v/>
      </c>
      <c r="D229" s="44" t="n">
        <v>45474</v>
      </c>
      <c r="F229" s="43" t="inlineStr">
        <is>
          <t>Dr. Arno Kolbitsch, Zivilingenieur, Gütleweg 1, 6822 Satteins</t>
        </is>
      </c>
      <c r="H229" s="206" t="n">
        <v>1174.8</v>
      </c>
      <c r="I229" t="n">
        <v>20</v>
      </c>
      <c r="J229" s="206">
        <f>I229*H229/100</f>
        <v/>
      </c>
      <c r="K229" s="206">
        <f>H229+J229</f>
        <v/>
      </c>
      <c r="L229" s="44">
        <f>IF(ISBLANK(D229),"",voranmeldefrist_vierteljaehrlich(D229))</f>
        <v/>
      </c>
      <c r="N229" s="43">
        <f>IF(ISBLANK(D229),IF(TODAY()&gt;C229,TODAY()-C229,0),IF(D229&gt;C229,D229-C229,0))</f>
        <v/>
      </c>
    </row>
    <row r="230">
      <c r="A230" t="n">
        <v>12024011</v>
      </c>
      <c r="B230" s="44" t="n">
        <v>45474</v>
      </c>
      <c r="C230" s="1">
        <f>B230+14</f>
        <v/>
      </c>
      <c r="D230" s="44" t="n">
        <v>45524</v>
      </c>
      <c r="E230" s="44" t="n">
        <v>45507</v>
      </c>
      <c r="F230" s="43" t="inlineStr">
        <is>
          <t>Paperholic all 'bout paper e.U. - Birgit Horn, Koglgasse 15, 2111 Harmannsdorf</t>
        </is>
      </c>
      <c r="H230" s="206" t="n">
        <v>637</v>
      </c>
      <c r="I230" t="n">
        <v>20</v>
      </c>
      <c r="J230" s="206">
        <f>I230*H230/100</f>
        <v/>
      </c>
      <c r="K230" s="206">
        <f>H230+J230</f>
        <v/>
      </c>
      <c r="L230" s="44">
        <f>IF(ISBLANK(D230),"",voranmeldefrist_vierteljaehrlich(D230))</f>
        <v/>
      </c>
      <c r="N230" s="43">
        <f>IF(ISBLANK(D232),IF(TODAY()&gt;C232,TODAY()-C232,0),IF(D232&gt;C232,D232-C232,0))</f>
        <v/>
      </c>
    </row>
    <row r="231">
      <c r="A231" t="n">
        <v>12024012</v>
      </c>
      <c r="B231" s="44" t="n">
        <v>45474</v>
      </c>
      <c r="C231" s="1">
        <f>B231+14</f>
        <v/>
      </c>
      <c r="D231" s="44" t="n">
        <v>45476</v>
      </c>
      <c r="F231" t="inlineStr">
        <is>
          <t>JLW - Jugend und Lebenswelt, Bahnhofplatz 2, 3100 St. Pölten, ZVR: 763011438</t>
        </is>
      </c>
      <c r="H231" s="206" t="n">
        <v>129.55</v>
      </c>
      <c r="I231" t="n">
        <v>20</v>
      </c>
      <c r="J231" s="206">
        <f>I231*H231/100</f>
        <v/>
      </c>
      <c r="K231" s="206">
        <f>H231+J231</f>
        <v/>
      </c>
      <c r="L231" s="44">
        <f>IF(ISBLANK(D231),"",voranmeldefrist_vierteljaehrlich(D231))</f>
        <v/>
      </c>
      <c r="N231" s="43">
        <f>IF(ISBLANK(D231),IF(TODAY()&gt;C231,TODAY()-C231,0),IF(D231&gt;C231,D231-C231,0))</f>
        <v/>
      </c>
    </row>
    <row r="232">
      <c r="A232" t="n">
        <v>12024013</v>
      </c>
      <c r="B232" s="1" t="n">
        <v>45474</v>
      </c>
      <c r="C232" s="1">
        <f>B232+45</f>
        <v/>
      </c>
      <c r="D232" s="44" t="n">
        <v>45517</v>
      </c>
      <c r="F232" t="inlineStr">
        <is>
          <t>Hays Österreich GmbH, Bahnhof City Wien West, Europaplatz 3/5, 1150 Wien</t>
        </is>
      </c>
      <c r="H232" s="206" t="n">
        <v>17175.68</v>
      </c>
      <c r="I232" t="n">
        <v>20</v>
      </c>
      <c r="J232" s="206">
        <f>I232*H232/100</f>
        <v/>
      </c>
      <c r="K232" s="206">
        <f>H232+J232</f>
        <v/>
      </c>
      <c r="L232" s="44">
        <f>IF(ISBLANK(D232),"",voranmeldefrist_vierteljaehrlich(D232))</f>
        <v/>
      </c>
      <c r="N232" s="43">
        <f>IF(ISBLANK(D232),IF(TODAY()&gt;C232,TODAY()-C232,0),IF(D232&gt;C232,D232-C232,0))</f>
        <v/>
      </c>
    </row>
    <row r="233">
      <c r="A233" t="n">
        <v>12024014</v>
      </c>
      <c r="B233" s="44" t="n">
        <v>45497</v>
      </c>
      <c r="C233" s="1">
        <f>B233+45</f>
        <v/>
      </c>
      <c r="D233" s="44" t="n">
        <v>45540</v>
      </c>
      <c r="F233" t="inlineStr">
        <is>
          <t>Hays Österreich GmbH, Bahnhof City Wien West, Europaplatz 3/5, 1150 Wien</t>
        </is>
      </c>
      <c r="H233" s="206" t="n">
        <v>8648</v>
      </c>
      <c r="I233" t="n">
        <v>20</v>
      </c>
      <c r="J233" s="206">
        <f>I233*H233/100</f>
        <v/>
      </c>
      <c r="K233" s="206">
        <f>H233+J233</f>
        <v/>
      </c>
      <c r="L233" s="44">
        <f>IF(ISBLANK(D233),"",voranmeldefrist_vierteljaehrlich(D233))</f>
        <v/>
      </c>
      <c r="N233" s="43">
        <f>IF(ISBLANK(D233),IF(TODAY()&gt;C233,TODAY()-C233,0),IF(D233&gt;C233,D233-C233,0))</f>
        <v/>
      </c>
    </row>
    <row r="234">
      <c r="A234" t="n">
        <v>12024015</v>
      </c>
      <c r="B234" s="44" t="n">
        <v>45534</v>
      </c>
      <c r="C234" s="1">
        <f>B234+45</f>
        <v/>
      </c>
      <c r="D234" s="44" t="n">
        <v>45576</v>
      </c>
      <c r="F234" t="inlineStr">
        <is>
          <t>Hays Österreich GmbH, Bahnhof City Wien West, Europaplatz 3/5, 1150 Wien</t>
        </is>
      </c>
      <c r="H234" s="209" t="n">
        <v>6534.88</v>
      </c>
      <c r="I234" s="197" t="n">
        <v>20</v>
      </c>
      <c r="J234" s="209">
        <f>I234*H234/100</f>
        <v/>
      </c>
      <c r="K234" s="209">
        <f>H234+J234</f>
        <v/>
      </c>
      <c r="L234" s="44">
        <f>IF(ISBLANK(D234),"",voranmeldefrist_vierteljaehrlich(D234))</f>
        <v/>
      </c>
      <c r="N234" s="43">
        <f>IF(ISBLANK(D234),IF(TODAY()&gt;C234,TODAY()-C234,0),IF(D234&gt;C234,D234-C234,0))</f>
        <v/>
      </c>
    </row>
    <row r="235">
      <c r="A235" t="n">
        <v>12024016</v>
      </c>
      <c r="B235" s="44" t="n">
        <v>45565</v>
      </c>
      <c r="C235" s="1">
        <f>B235+45</f>
        <v/>
      </c>
      <c r="D235" s="44" t="n">
        <v>45608</v>
      </c>
      <c r="F235" t="inlineStr">
        <is>
          <t>Hays Österreich GmbH, Bahnhof City Wien West, Europaplatz 3/5, 1150 Wien</t>
        </is>
      </c>
      <c r="H235" s="206" t="n">
        <v>19409.12</v>
      </c>
      <c r="I235" s="43" t="n">
        <v>20</v>
      </c>
      <c r="J235" s="206">
        <f>I235*H235/100</f>
        <v/>
      </c>
      <c r="K235" s="206">
        <f>H235+J235</f>
        <v/>
      </c>
      <c r="L235" s="44">
        <f>IF(ISBLANK(D235),"",voranmeldefrist_vierteljaehrlich(D235))</f>
        <v/>
      </c>
      <c r="N235" s="43">
        <f>IF(ISBLANK(D235),IF(TODAY()&gt;C235,TODAY()-C235,0),IF(D235&gt;C235,D235-C235,0))</f>
        <v/>
      </c>
    </row>
    <row r="236">
      <c r="A236" t="n">
        <v>12024017</v>
      </c>
      <c r="B236" s="44" t="n">
        <v>45581</v>
      </c>
      <c r="C236" s="1">
        <f>B236+14</f>
        <v/>
      </c>
      <c r="D236" s="44" t="n">
        <v>45582</v>
      </c>
      <c r="F236" s="43" t="inlineStr">
        <is>
          <t>Dr. Arno Kolbitsch, Zivilingenieur, Gütleweg 1, 6822 Satteins</t>
        </is>
      </c>
      <c r="H236" s="206" t="n">
        <v>2004.51</v>
      </c>
      <c r="I236" s="43" t="n">
        <v>20</v>
      </c>
      <c r="J236" s="206">
        <f>I236*H236/100</f>
        <v/>
      </c>
      <c r="K236" s="206">
        <f>H236+J236</f>
        <v/>
      </c>
      <c r="L236" s="44">
        <f>IF(ISBLANK(D236),"",voranmeldefrist_vierteljaehrlich(D236))</f>
        <v/>
      </c>
      <c r="N236" s="43">
        <f>IF(ISBLANK(D236),IF(TODAY()&gt;C236,TODAY()-C236,0),IF(D236&gt;C236,D236-C236,0))</f>
        <v/>
      </c>
    </row>
    <row r="237">
      <c r="A237" t="n">
        <v>12024018</v>
      </c>
      <c r="B237" s="44" t="n">
        <v>45581</v>
      </c>
      <c r="C237" s="1">
        <f>B237+14</f>
        <v/>
      </c>
      <c r="D237" s="44" t="n">
        <v>45587</v>
      </c>
      <c r="F237" s="43" t="inlineStr">
        <is>
          <t>H. Jaros e.U., Fischhof 3/23, 1010 Wien, ATU 67698048</t>
        </is>
      </c>
      <c r="H237" s="206" t="n">
        <v>165</v>
      </c>
      <c r="I237" s="43" t="n">
        <v>20</v>
      </c>
      <c r="J237" s="206">
        <f>I237*H237/100</f>
        <v/>
      </c>
      <c r="K237" s="206">
        <f>H237+J237</f>
        <v/>
      </c>
      <c r="L237" s="44">
        <f>IF(ISBLANK(D237),"",voranmeldefrist_vierteljaehrlich(D237))</f>
        <v/>
      </c>
      <c r="N237" s="43">
        <f>IF(ISBLANK(D237),IF(TODAY()&gt;C237,TODAY()-C237,0),IF(D237&gt;C237,D237-C237,0))</f>
        <v/>
      </c>
    </row>
    <row r="238">
      <c r="A238" t="n">
        <v>12024019</v>
      </c>
      <c r="B238" s="44" t="n">
        <v>45594</v>
      </c>
      <c r="C238" s="1">
        <f>B238+45</f>
        <v/>
      </c>
      <c r="D238" s="44" t="n">
        <v>45637</v>
      </c>
      <c r="F238" t="inlineStr">
        <is>
          <t>Hays Österreich GmbH, Bahnhof City Wien West, Europaplatz 3/5, 1150 Wien</t>
        </is>
      </c>
      <c r="H238" s="206" t="n">
        <v>18657.12</v>
      </c>
      <c r="I238" s="43" t="n">
        <v>20</v>
      </c>
      <c r="J238" s="206">
        <f>I238*H238/100</f>
        <v/>
      </c>
      <c r="K238" s="206">
        <f>H238+J238</f>
        <v/>
      </c>
      <c r="L238" s="44">
        <f>IF(ISBLANK(D238),"",voranmeldefrist_vierteljaehrlich(D238))</f>
        <v/>
      </c>
      <c r="N238" s="43">
        <f>IF(ISBLANK(D238),IF(TODAY()&gt;C238,TODAY()-C238,0),IF(D238&gt;C238,D238-C238,0))</f>
        <v/>
      </c>
    </row>
    <row r="239">
      <c r="A239" t="n">
        <v>12024020</v>
      </c>
      <c r="B239" s="44" t="n">
        <v>45628</v>
      </c>
      <c r="C239" s="1">
        <f>B239+45</f>
        <v/>
      </c>
      <c r="D239" s="44" t="n">
        <v>45671</v>
      </c>
      <c r="F239" t="inlineStr">
        <is>
          <t>Hays Österreich GmbH, Bahnhof City Wien West, Europaplatz 3/5, 1150 Wien</t>
        </is>
      </c>
      <c r="H239" s="206" t="n">
        <v>19484.32</v>
      </c>
      <c r="I239" s="43" t="n">
        <v>20</v>
      </c>
      <c r="J239" s="206">
        <f>I239*H239/100</f>
        <v/>
      </c>
      <c r="K239" s="206">
        <f>H239+J239</f>
        <v/>
      </c>
      <c r="L239" s="44">
        <f>IF(ISBLANK(D239),"",voranmeldefrist_vierteljaehrlich(D239))</f>
        <v/>
      </c>
      <c r="N239" s="43">
        <f>IF(ISBLANK(D239),IF(TODAY()&gt;C239,TODAY()-C239,0),IF(D239&gt;C239,D239-C239,0))</f>
        <v/>
      </c>
    </row>
    <row r="240">
      <c r="A240" t="n">
        <v>12024021</v>
      </c>
      <c r="B240" s="44" t="n">
        <v>45638</v>
      </c>
      <c r="C240" s="1">
        <f>B240+14</f>
        <v/>
      </c>
      <c r="D240" s="44" t="n">
        <v>45649</v>
      </c>
      <c r="F240" s="43" t="inlineStr">
        <is>
          <t>Musikschule Bad Vöslau, z. Hd. Herr Christian Sauer, Hauptstraße 14, 2540 Bad Vöslau</t>
        </is>
      </c>
      <c r="H240" s="206" t="n">
        <v>980</v>
      </c>
      <c r="I240" s="43" t="n">
        <v>20</v>
      </c>
      <c r="J240" s="206">
        <f>I240*H240/100</f>
        <v/>
      </c>
      <c r="K240" s="206">
        <f>H240+J240</f>
        <v/>
      </c>
      <c r="L240" s="44">
        <f>IF(ISBLANK(D240),"",voranmeldefrist_vierteljaehrlich(D240))</f>
        <v/>
      </c>
      <c r="N240" s="43">
        <f>IF(ISBLANK(D240),IF(TODAY()&gt;C240,TODAY()-C240,0),IF(D240&gt;C240,D240-C240,0))</f>
        <v/>
      </c>
    </row>
    <row r="241">
      <c r="A241" t="n">
        <v>12024022</v>
      </c>
      <c r="B241" s="44" t="n">
        <v>45638</v>
      </c>
      <c r="C241" s="1">
        <f>B241+14</f>
        <v/>
      </c>
      <c r="D241" s="44" t="n">
        <v>45645</v>
      </c>
      <c r="F241" s="43" t="inlineStr">
        <is>
          <t>Paperholic all 'bout paper e.U. - Birgit Horn, Koglgasse 15, 2111 Harmannsdorf</t>
        </is>
      </c>
      <c r="H241" s="206" t="n">
        <v>350</v>
      </c>
      <c r="I241" s="43" t="n">
        <v>20</v>
      </c>
      <c r="J241" s="206">
        <f>I241*H241/100</f>
        <v/>
      </c>
      <c r="K241" s="206">
        <f>H241+J241</f>
        <v/>
      </c>
      <c r="L241" s="44">
        <f>IF(ISBLANK(D241),"",voranmeldefrist_vierteljaehrlich(D241))</f>
        <v/>
      </c>
      <c r="N241" s="43">
        <f>IF(ISBLANK(D241),IF(TODAY()&gt;C241,TODAY()-C241,0),IF(D241&gt;C241,D241-C241,0))</f>
        <v/>
      </c>
    </row>
    <row r="242">
      <c r="A242" t="n">
        <v>12024023</v>
      </c>
      <c r="B242" s="44" t="n">
        <v>45657</v>
      </c>
      <c r="C242" s="1">
        <f>B242+45</f>
        <v/>
      </c>
      <c r="D242" s="44" t="n">
        <v>45700</v>
      </c>
      <c r="F242" t="inlineStr">
        <is>
          <t>Hays Österreich GmbH, Bahnhof City Wien West, Europaplatz 3/5, 1150 Wien</t>
        </is>
      </c>
      <c r="H242" s="206" t="n">
        <v>11280</v>
      </c>
      <c r="I242" s="43" t="n">
        <v>20</v>
      </c>
      <c r="J242" s="206">
        <f>I242*H242/100</f>
        <v/>
      </c>
      <c r="K242" s="206">
        <f>H242+J242</f>
        <v/>
      </c>
      <c r="L242" s="44">
        <f>IF(ISBLANK(D242),"",voranmeldefrist_vierteljaehrlich(D242))</f>
        <v/>
      </c>
      <c r="N242" s="43">
        <f>IF(ISBLANK(D242),IF(TODAY()&gt;C242,TODAY()-C242,0),IF(D242&gt;C242,D242-C242,0))</f>
        <v/>
      </c>
    </row>
    <row r="243">
      <c r="A243" t="n">
        <v>12025001</v>
      </c>
      <c r="B243" s="44" t="n">
        <v>45692</v>
      </c>
      <c r="C243" s="1">
        <f>B243+45</f>
        <v/>
      </c>
      <c r="D243" s="44" t="n">
        <v>45736</v>
      </c>
      <c r="F243" t="inlineStr">
        <is>
          <t>Hays Österreich GmbH, Bahnhof City Wien West, Europaplatz 3/5, 1150 Wien</t>
        </is>
      </c>
      <c r="H243" s="206" t="n">
        <v>16493.12</v>
      </c>
      <c r="I243" s="43" t="n">
        <v>20</v>
      </c>
      <c r="J243" s="206">
        <f>I243*H243/100</f>
        <v/>
      </c>
      <c r="K243" s="206">
        <f>H243+J243</f>
        <v/>
      </c>
      <c r="L243" s="44">
        <f>IF(ISBLANK(D243),"",voranmeldefrist_vierteljaehrlich(D243))</f>
        <v/>
      </c>
      <c r="N243" s="43">
        <f>IF(ISBLANK(D243),IF(TODAY()&gt;C243,TODAY()-C243,0),IF(D243&gt;C243,D243-C243,0))</f>
        <v/>
      </c>
    </row>
    <row r="244">
      <c r="A244" t="n">
        <v>12025002</v>
      </c>
      <c r="B244" s="44" t="n">
        <v>45716</v>
      </c>
      <c r="C244" s="1">
        <f>B244+45</f>
        <v/>
      </c>
      <c r="D244" s="44" t="n">
        <v>45758</v>
      </c>
      <c r="F244" t="inlineStr">
        <is>
          <t>Hays Österreich GmbH, Bahnhof City Wien West, Europaplatz 3/5, 1150 Wien</t>
        </is>
      </c>
      <c r="H244" s="206" t="n">
        <v>16588.64</v>
      </c>
      <c r="I244" s="43" t="n">
        <v>20</v>
      </c>
      <c r="J244" s="206">
        <f>I244*H244/100</f>
        <v/>
      </c>
      <c r="K244" s="206">
        <f>H244+J244</f>
        <v/>
      </c>
      <c r="L244" s="44">
        <f>IF(ISBLANK(D244),"",voranmeldefrist_vierteljaehrlich(D244))</f>
        <v/>
      </c>
      <c r="N244" s="43">
        <f>IF(ISBLANK(D244),IF(TODAY()&gt;C244,TODAY()-C244,0),IF(D244&gt;C244,D244-C244,0))</f>
        <v/>
      </c>
    </row>
    <row r="245">
      <c r="A245" t="n">
        <v>12025003</v>
      </c>
      <c r="B245" s="44" t="n">
        <v>45748</v>
      </c>
      <c r="C245" s="1">
        <f>B245+45</f>
        <v/>
      </c>
      <c r="D245" s="44" t="n">
        <v>45791</v>
      </c>
      <c r="F245" t="inlineStr">
        <is>
          <t>Hays Österreich GmbH, Bahnhof City Wien West, Europaplatz 3/5, 1150 Wien</t>
        </is>
      </c>
      <c r="H245" s="206" t="n">
        <v>19573.64</v>
      </c>
      <c r="I245" s="43" t="n">
        <v>20</v>
      </c>
      <c r="J245" s="206">
        <f>I245*H245/100</f>
        <v/>
      </c>
      <c r="K245" s="206">
        <f>H245+J245</f>
        <v/>
      </c>
      <c r="L245" s="44">
        <f>IF(ISBLANK(D245),"",voranmeldefrist_vierteljaehrlich(D245))</f>
        <v/>
      </c>
      <c r="N245" s="43">
        <f>IF(ISBLANK(D245),IF(TODAY()&gt;C245,TODAY()-C245,0),IF(D245&gt;C245,D245-C245,0))</f>
        <v/>
      </c>
    </row>
    <row r="246">
      <c r="A246" t="n">
        <v>12025004</v>
      </c>
      <c r="B246" s="44" t="n">
        <v>45781</v>
      </c>
      <c r="C246" s="1">
        <f>B246+14</f>
        <v/>
      </c>
      <c r="D246" s="44" t="n">
        <v>45782</v>
      </c>
      <c r="F246" s="43" t="inlineStr">
        <is>
          <t>Dr. Arno Kolbitsch, Zivilingenieur, Gütleweg 1, 6822 Satteins</t>
        </is>
      </c>
      <c r="H246" s="206" t="n">
        <v>2004.51</v>
      </c>
      <c r="I246" s="43" t="n">
        <v>20</v>
      </c>
      <c r="J246" s="206">
        <f>I246*H246/100</f>
        <v/>
      </c>
      <c r="K246" s="206">
        <f>H246+J246</f>
        <v/>
      </c>
      <c r="L246" s="44">
        <f>IF(ISBLANK(D246),"",voranmeldefrist_vierteljaehrlich(D246))</f>
        <v/>
      </c>
      <c r="N246" s="43">
        <f>IF(ISBLANK(D246),IF(TODAY()&gt;C246,TODAY()-C246,0),IF(D246&gt;C246,D246-C246,0))</f>
        <v/>
      </c>
    </row>
    <row r="247">
      <c r="A247" t="n">
        <v>12025005</v>
      </c>
      <c r="B247" s="44" t="n">
        <v>45781</v>
      </c>
      <c r="C247" s="1">
        <f>B247+14</f>
        <v/>
      </c>
      <c r="D247" s="44" t="n">
        <v>45784</v>
      </c>
      <c r="F247" t="inlineStr">
        <is>
          <t>JLW - Jugend und Lebenswelt, Bahnhofplatz 2, 3100 St. Pölten, ZVR: 763011438</t>
        </is>
      </c>
      <c r="H247" s="206" t="n">
        <v>385</v>
      </c>
      <c r="I247" s="43" t="n">
        <v>20</v>
      </c>
      <c r="J247" s="206">
        <f>I247*H247/100</f>
        <v/>
      </c>
      <c r="K247" s="206">
        <f>H247+J247</f>
        <v/>
      </c>
      <c r="L247" s="44">
        <f>IF(ISBLANK(D247),"",voranmeldefrist_vierteljaehrlich(D247))</f>
        <v/>
      </c>
      <c r="N247" s="43">
        <f>IF(ISBLANK(D247),IF(TODAY()&gt;C247,TODAY()-C247,0),IF(D247&gt;C247,D247-C247,0))</f>
        <v/>
      </c>
    </row>
    <row r="248">
      <c r="A248" t="n">
        <v>12025006</v>
      </c>
      <c r="B248" s="44" t="n">
        <v>45777</v>
      </c>
      <c r="C248" s="1">
        <f>B248+45</f>
        <v/>
      </c>
      <c r="D248" s="44" t="n">
        <v>45820</v>
      </c>
      <c r="F248" t="inlineStr">
        <is>
          <t>Hays Österreich GmbH, Bahnhof City Wien West, Europaplatz 3/5, 1150 Wien</t>
        </is>
      </c>
      <c r="H248" s="206" t="n">
        <v>14702.12</v>
      </c>
      <c r="I248" s="43" t="n">
        <v>20</v>
      </c>
      <c r="J248" s="206">
        <f>I248*H248/100</f>
        <v/>
      </c>
      <c r="K248" s="206">
        <f>H248+J248</f>
        <v/>
      </c>
      <c r="L248" s="44">
        <f>IF(ISBLANK(D248),"",voranmeldefrist_vierteljaehrlich(D248))</f>
        <v/>
      </c>
      <c r="N248" s="43">
        <f>IF(ISBLANK(D248),IF(TODAY()&gt;C248,TODAY()-C248,0),IF(D248&gt;C248,D248-C248,0))</f>
        <v/>
      </c>
    </row>
    <row r="249">
      <c r="A249" t="n">
        <v>12025007</v>
      </c>
      <c r="B249" s="44" t="n">
        <v>45810</v>
      </c>
      <c r="C249" s="1">
        <f>B249+45</f>
        <v/>
      </c>
      <c r="D249" s="44" t="n">
        <v>45853</v>
      </c>
      <c r="F249" t="inlineStr">
        <is>
          <t>Hays Österreich GmbH, Bahnhof City Wien West, Europaplatz 3/5, 1150 Wien</t>
        </is>
      </c>
      <c r="H249" s="206" t="n">
        <v>16389.64</v>
      </c>
      <c r="I249" s="43" t="n">
        <v>20</v>
      </c>
      <c r="J249" s="206">
        <f>I249*H249/100</f>
        <v/>
      </c>
      <c r="K249" s="206">
        <f>H249+J249</f>
        <v/>
      </c>
      <c r="L249" s="44">
        <f>IF(ISBLANK(D249),"",voranmeldefrist_vierteljaehrlich(D249))</f>
        <v/>
      </c>
      <c r="N249" s="43">
        <f>IF(ISBLANK(D249),IF(TODAY()&gt;C249,TODAY()-C249,0),IF(D249&gt;C249,D249-C249,0))</f>
        <v/>
      </c>
    </row>
    <row r="250">
      <c r="A250" t="n">
        <v>12025008</v>
      </c>
      <c r="B250" s="44" t="n">
        <v>45869</v>
      </c>
      <c r="C250" s="1">
        <f>B250+14</f>
        <v/>
      </c>
      <c r="D250" s="44" t="n">
        <v>45870</v>
      </c>
      <c r="F250" s="43" t="inlineStr">
        <is>
          <t>H. Jaros e.U., Fischhof 3/23, 1010 Wien, ATU 67698048</t>
        </is>
      </c>
      <c r="H250" s="206">
        <f>1302.38/1.2</f>
        <v/>
      </c>
      <c r="I250" s="43" t="n">
        <v>20</v>
      </c>
      <c r="J250" s="206">
        <f>I250*H250/100</f>
        <v/>
      </c>
      <c r="K250" s="206">
        <f>H250+J250</f>
        <v/>
      </c>
      <c r="L250" s="44">
        <f>IF(ISBLANK(D250),"",voranmeldefrist_vierteljaehrlich(D250))</f>
        <v/>
      </c>
      <c r="N250" s="43">
        <f>IF(ISBLANK(D250),IF(TODAY()&gt;C250,TODAY()-C250,0),IF(D250&gt;C250,D250-C250,0))</f>
        <v/>
      </c>
    </row>
    <row r="251">
      <c r="A251" t="n">
        <v>12025009</v>
      </c>
      <c r="B251" s="44" t="n">
        <v>45841</v>
      </c>
      <c r="C251" s="1">
        <f>B251+45</f>
        <v/>
      </c>
      <c r="D251" s="44" t="n">
        <v>45887</v>
      </c>
      <c r="F251" t="inlineStr">
        <is>
          <t>Hays Österreich GmbH, Bahnhof City Wien West, Europaplatz 3/5, 1150 Wien</t>
        </is>
      </c>
      <c r="H251" s="206" t="n">
        <v>18061.24</v>
      </c>
      <c r="I251" s="43" t="n">
        <v>20</v>
      </c>
      <c r="J251" s="206">
        <f>I251*H251/100</f>
        <v/>
      </c>
      <c r="K251" s="206">
        <f>H251+J251</f>
        <v/>
      </c>
      <c r="L251" s="44">
        <f>IF(ISBLANK(D251),"",voranmeldefrist_vierteljaehrlich(D251))</f>
        <v/>
      </c>
      <c r="N251" s="43">
        <f>IF(ISBLANK(D251),IF(TODAY()&gt;C251,TODAY()-C251,0),IF(D251&gt;C251,D251-C251,0))</f>
        <v/>
      </c>
    </row>
    <row r="252">
      <c r="A252" t="n">
        <v>12025010</v>
      </c>
      <c r="B252" s="44" t="n">
        <v>45867</v>
      </c>
      <c r="C252" s="1">
        <f>B252+45</f>
        <v/>
      </c>
      <c r="D252" s="44" t="n">
        <v>45910</v>
      </c>
      <c r="F252" t="inlineStr">
        <is>
          <t>Hays Österreich GmbH, Bahnhof City Wien West, Europaplatz 3/5, 1150 Wien</t>
        </is>
      </c>
      <c r="H252" s="206" t="n">
        <v>9854.48</v>
      </c>
      <c r="I252" s="43" t="n">
        <v>20</v>
      </c>
      <c r="J252" s="206">
        <f>I252*H252/100</f>
        <v/>
      </c>
      <c r="K252" s="206">
        <f>H252+J252</f>
        <v/>
      </c>
      <c r="L252" s="44">
        <f>IF(ISBLANK(D252),"",voranmeldefrist_vierteljaehrlich(D252))</f>
        <v/>
      </c>
      <c r="N252" s="43">
        <f>IF(ISBLANK(D252),IF(TODAY()&gt;C252,TODAY()-C252,0),IF(D252&gt;C252,D252-C252,0))</f>
        <v/>
      </c>
    </row>
    <row r="253">
      <c r="A253" t="n">
        <v>12025011</v>
      </c>
      <c r="B253" s="44" t="n">
        <v>45901</v>
      </c>
      <c r="C253" s="1">
        <f>B253+45</f>
        <v/>
      </c>
      <c r="D253" s="44" t="n">
        <v>45944</v>
      </c>
      <c r="F253" t="inlineStr">
        <is>
          <t>Hays Österreich GmbH, Bahnhof City Wien West, Europaplatz 3/5, 1150 Wien</t>
        </is>
      </c>
      <c r="H253" s="206" t="n">
        <v>10300.24</v>
      </c>
      <c r="I253" s="43" t="n">
        <v>20</v>
      </c>
      <c r="J253" s="206">
        <f>I253*H253/100</f>
        <v/>
      </c>
      <c r="K253" s="206">
        <f>H253+J253</f>
        <v/>
      </c>
      <c r="L253" s="44">
        <f>IF(ISBLANK(D253),"",voranmeldefrist_vierteljaehrlich(D253))</f>
        <v/>
      </c>
      <c r="N253" s="43">
        <f>IF(ISBLANK(D253),IF(TODAY()&gt;C253,TODAY()-C253,0),IF(D253&gt;C253,D253-C253,0))</f>
        <v/>
      </c>
    </row>
    <row r="254">
      <c r="A254" t="n">
        <v>12025012</v>
      </c>
      <c r="B254" s="44" t="n">
        <v>45930</v>
      </c>
      <c r="C254" s="1">
        <f>B254+45</f>
        <v/>
      </c>
      <c r="D254" s="44" t="n">
        <v>45973</v>
      </c>
      <c r="F254" t="inlineStr">
        <is>
          <t>Hays Österreich GmbH, Bahnhof City Wien West, Europaplatz 3/5, 1150 Wien</t>
        </is>
      </c>
      <c r="H254" s="206" t="n">
        <v>20027.36</v>
      </c>
      <c r="I254" s="43" t="n">
        <v>20</v>
      </c>
      <c r="J254" s="206">
        <f>I254*H254/100</f>
        <v/>
      </c>
      <c r="K254" s="206">
        <f>H254+J254</f>
        <v/>
      </c>
      <c r="L254" s="44">
        <f>IF(ISBLANK(D254),"",voranmeldefrist_vierteljaehrlich(D254))</f>
        <v/>
      </c>
      <c r="N254" s="43">
        <f>IF(ISBLANK(D254),IF(TODAY()&gt;C254,TODAY()-C254,0),IF(D254&gt;C254,D254-C254,0))</f>
        <v/>
      </c>
    </row>
    <row r="255">
      <c r="A255" t="n">
        <v>12025013</v>
      </c>
      <c r="B255" s="44" t="n">
        <v>45964</v>
      </c>
      <c r="C255" s="1">
        <f>B255+45</f>
        <v/>
      </c>
      <c r="D255" s="44" t="n">
        <v>46007</v>
      </c>
      <c r="F255" t="inlineStr">
        <is>
          <t>Hays Österreich GmbH, Bahnhof City Wien West, Europaplatz 3/5, 1150 Wien</t>
        </is>
      </c>
      <c r="H255" s="206" t="n">
        <v>13086.24</v>
      </c>
      <c r="I255" s="43" t="n">
        <v>20</v>
      </c>
      <c r="J255" s="206">
        <f>I255*H255/100</f>
        <v/>
      </c>
      <c r="K255" s="206">
        <f>H255+J255</f>
        <v/>
      </c>
      <c r="L255" s="44">
        <f>IF(ISBLANK(D255),"",voranmeldefrist_vierteljaehrlich(D255))</f>
        <v/>
      </c>
      <c r="N255" s="43">
        <f>IF(ISBLANK(D255),IF(TODAY()&gt;C255,TODAY()-C255,0),IF(D255&gt;C255,D255-C255,0))</f>
        <v/>
      </c>
    </row>
    <row r="256">
      <c r="A256" t="n">
        <v>12025014</v>
      </c>
      <c r="B256" s="44" t="n">
        <v>45992</v>
      </c>
      <c r="C256" s="1">
        <f>B256+14</f>
        <v/>
      </c>
      <c r="D256" s="44" t="n">
        <v>46009</v>
      </c>
      <c r="F256" t="inlineStr">
        <is>
          <t>Franz Hauer GesmbH &amp; Co KG, Werksstraße 6, 3125 Statzendorf</t>
        </is>
      </c>
      <c r="H256" s="206" t="n">
        <v>1234</v>
      </c>
      <c r="I256" s="43" t="n">
        <v>20</v>
      </c>
      <c r="J256" s="206">
        <f>I256*H256/100</f>
        <v/>
      </c>
      <c r="K256" s="206">
        <f>H256+J256</f>
        <v/>
      </c>
      <c r="L256" s="44">
        <f>IF(ISBLANK(D256),"",voranmeldefrist_vierteljaehrlich(D256))</f>
        <v/>
      </c>
      <c r="N256" s="43">
        <f>IF(ISBLANK(D256),IF(TODAY()&gt;C256,TODAY()-C256,0),IF(D256&gt;C256,D256-C256,0))</f>
        <v/>
      </c>
    </row>
    <row r="257">
      <c r="A257" s="205" t="n">
        <v>12025015</v>
      </c>
      <c r="B257" s="44" t="n">
        <v>45964</v>
      </c>
      <c r="C257" s="1">
        <f>B257+45</f>
        <v/>
      </c>
      <c r="D257" s="44" t="n">
        <v>46035</v>
      </c>
      <c r="F257" t="inlineStr">
        <is>
          <t>Hays Österreich GmbH, Bahnhof City Wien West, Europaplatz 3/5, 1150 Wien</t>
        </is>
      </c>
      <c r="H257" s="211" t="n">
        <v>13778.76</v>
      </c>
      <c r="I257" s="43" t="n">
        <v>20</v>
      </c>
      <c r="J257" s="206">
        <f>I257*H257/100</f>
        <v/>
      </c>
      <c r="K257" s="206">
        <f>H257+J257</f>
        <v/>
      </c>
      <c r="L257" s="44">
        <f>IF(ISBLANK(D257),"",voranmeldefrist_vierteljaehrlich(D257))</f>
        <v/>
      </c>
      <c r="N257" s="43">
        <f>IF(ISBLANK(D257),IF(TODAY()&gt;C257,TODAY()-C257,0),IF(D257&gt;C257,D257-C257,0))</f>
        <v/>
      </c>
    </row>
    <row r="258">
      <c r="A258" s="205" t="n">
        <v>12025015</v>
      </c>
      <c r="B258" s="44" t="n">
        <v>45964</v>
      </c>
      <c r="C258" s="1">
        <f>B258+45</f>
        <v/>
      </c>
      <c r="D258" s="44" t="n">
        <v>46035</v>
      </c>
      <c r="F258" t="inlineStr">
        <is>
          <t>STORNO, versehentlich aus 2025 Nummernkreis nummeriert, Zahlungsdatum 2026, siehe 12026001</t>
        </is>
      </c>
      <c r="H258" s="211" t="n">
        <v>-13778.76</v>
      </c>
      <c r="I258" s="43" t="n">
        <v>20</v>
      </c>
      <c r="J258" s="206">
        <f>I258*H258/100</f>
        <v/>
      </c>
      <c r="K258" s="206">
        <f>H258+J258</f>
        <v/>
      </c>
      <c r="L258" s="44">
        <f>IF(ISBLANK(D258),"",voranmeldefrist_vierteljaehrlich(D258))</f>
        <v/>
      </c>
      <c r="N258" s="43">
        <f>IF(ISBLANK(D258),IF(TODAY()&gt;C258,TODAY()-C258,0),IF(D258&gt;C258,D258-C258,0))</f>
        <v/>
      </c>
    </row>
    <row r="259">
      <c r="A259" t="n">
        <v>12025016</v>
      </c>
      <c r="B259" s="44" t="n">
        <v>46002</v>
      </c>
      <c r="C259" s="1">
        <f>B259+14</f>
        <v/>
      </c>
      <c r="D259" s="44" t="n">
        <v>46002</v>
      </c>
      <c r="F259" s="43" t="inlineStr">
        <is>
          <t>Dr. Arno Kolbitsch, Zivilingenieur, Gütleweg 1, 6822 Satteins</t>
        </is>
      </c>
      <c r="H259" s="206" t="n">
        <v>2200.56</v>
      </c>
      <c r="I259" s="43" t="n">
        <v>20</v>
      </c>
      <c r="J259" s="206">
        <f>I259*H259/100</f>
        <v/>
      </c>
      <c r="K259" s="206">
        <f>H259+J259</f>
        <v/>
      </c>
      <c r="L259" s="44">
        <f>IF(ISBLANK(D259),"",voranmeldefrist_vierteljaehrlich(D259))</f>
        <v/>
      </c>
      <c r="N259" s="43">
        <f>IF(ISBLANK(D259),IF(TODAY()&gt;C259,TODAY()-C259,0),IF(D259&gt;C259,D259-C259,0))</f>
        <v/>
      </c>
    </row>
    <row r="260">
      <c r="A260" s="43" t="n">
        <v>12025017</v>
      </c>
      <c r="B260" s="44" t="n">
        <v>46002</v>
      </c>
      <c r="C260" s="1">
        <f>B260+14</f>
        <v/>
      </c>
      <c r="D260" s="44" t="n">
        <v>46010</v>
      </c>
      <c r="F260" s="43" t="inlineStr">
        <is>
          <t>Paperholic all 'bout paper e.U. - Birgit Horn, Koglgasse 15, 2111 Harmannsdorf</t>
        </is>
      </c>
      <c r="H260" s="206" t="n">
        <v>720.5</v>
      </c>
      <c r="I260" s="43" t="n">
        <v>20</v>
      </c>
      <c r="J260" s="206">
        <f>I260*H260/100</f>
        <v/>
      </c>
      <c r="K260" s="206">
        <f>H260+J260</f>
        <v/>
      </c>
      <c r="L260" s="44">
        <f>IF(ISBLANK(D260),"",voranmeldefrist_vierteljaehrlich(D260))</f>
        <v/>
      </c>
      <c r="N260" s="43">
        <f>IF(ISBLANK(D260),IF(TODAY()&gt;C260,TODAY()-C260,0),IF(D260&gt;C260,D260-C260,0))</f>
        <v/>
      </c>
    </row>
    <row r="261">
      <c r="A261" s="43" t="n">
        <v>12026001</v>
      </c>
      <c r="B261" s="44" t="n">
        <v>45964</v>
      </c>
      <c r="C261" s="1">
        <f>B261+45</f>
        <v/>
      </c>
      <c r="D261" s="44" t="n">
        <v>46035</v>
      </c>
      <c r="F261" t="inlineStr">
        <is>
          <t>Hays Österreich GmbH, Bahnhof City Wien West, Europaplatz 3/5, 1150 Wien</t>
        </is>
      </c>
      <c r="H261" s="211" t="n">
        <v>13778.76</v>
      </c>
      <c r="I261" s="43" t="n">
        <v>20</v>
      </c>
      <c r="J261" s="206">
        <f>I261*H261/100</f>
        <v/>
      </c>
      <c r="K261" s="206">
        <f>H261+J261</f>
        <v/>
      </c>
      <c r="L261" s="44">
        <f>IF(ISBLANK(D261),"",voranmeldefrist_vierteljaehrlich(D261))</f>
        <v/>
      </c>
      <c r="N261" s="43">
        <f>IF(ISBLANK(D261),IF(TODAY()&gt;C261,TODAY()-C261,0),IF(D261&gt;C261,D261-C261,0))</f>
        <v/>
      </c>
    </row>
    <row r="262">
      <c r="A262" t="n">
        <v>12026002</v>
      </c>
      <c r="B262" s="44" t="n">
        <v>46022</v>
      </c>
      <c r="C262" s="1">
        <f>B262+45</f>
        <v/>
      </c>
      <c r="D262" s="44" t="n">
        <v>46065</v>
      </c>
      <c r="F262" t="inlineStr">
        <is>
          <t>Hays Österreich GmbH, Bahnhof City Wien West, Europaplatz 3/5, 1150 Wien</t>
        </is>
      </c>
      <c r="H262" s="206" t="n">
        <v>12338</v>
      </c>
      <c r="I262" s="43" t="n">
        <v>20</v>
      </c>
      <c r="J262" s="206">
        <f>I262*H262/100</f>
        <v/>
      </c>
      <c r="K262" s="206">
        <f>H262+J262</f>
        <v/>
      </c>
      <c r="L262" s="44">
        <f>IF(ISBLANK(D262),"",voranmeldefrist_vierteljaehrlich(D262))</f>
        <v/>
      </c>
      <c r="N262" s="43">
        <f>IF(ISBLANK(D262),IF(TODAY()&gt;C262,TODAY()-C262,0),IF(D262&gt;C262,D262-C262,0))</f>
        <v/>
      </c>
    </row>
    <row r="263">
      <c r="A263" s="43" t="n">
        <v>12026003</v>
      </c>
      <c r="B263" s="44" t="n">
        <v>46055</v>
      </c>
      <c r="C263" s="1">
        <f>B263+45</f>
        <v/>
      </c>
      <c r="D263" s="44" t="n">
        <v>46098</v>
      </c>
      <c r="F263" t="inlineStr">
        <is>
          <t>Hays Österreich GmbH, Bahnhof City Wien West, Europaplatz 3/5, 1150 Wien</t>
        </is>
      </c>
      <c r="H263" s="206" t="n">
        <v>17512</v>
      </c>
      <c r="I263" s="43" t="n">
        <v>20</v>
      </c>
      <c r="J263" s="206">
        <f>I263*H263/100</f>
        <v/>
      </c>
      <c r="K263" s="206">
        <f>H263+J263</f>
        <v/>
      </c>
      <c r="L263" s="44">
        <f>IF(ISBLANK(D263),"",voranmeldefrist_vierteljaehrlich(D263))</f>
        <v/>
      </c>
    </row>
    <row r="264">
      <c r="A264" s="43" t="n">
        <v>12026004</v>
      </c>
      <c r="B264" s="44" t="n">
        <v>46122</v>
      </c>
      <c r="C264" s="44">
        <f>B264+14</f>
        <v/>
      </c>
      <c r="D264" s="44" t="n">
        <v>46123</v>
      </c>
      <c r="F264" s="43" t="inlineStr">
        <is>
          <t>Dr. Arno Kolbitsch, Zivilingenieur, Gütleweg 1, 6822 Satteins</t>
        </is>
      </c>
      <c r="H264" s="206" t="n">
        <v>1661.5</v>
      </c>
      <c r="I264" s="43" t="n">
        <v>20</v>
      </c>
      <c r="J264" s="206">
        <f>I264*H264/100</f>
        <v/>
      </c>
      <c r="K264" s="206">
        <f>H264+J264</f>
        <v/>
      </c>
      <c r="L264" s="44">
        <f>IF(ISBLANK(D264),"",voranmeldefrist_vierteljaehrlich(D264))</f>
        <v/>
      </c>
    </row>
    <row r="265">
      <c r="A265" s="43" t="n">
        <v>12026005</v>
      </c>
      <c r="B265" s="44" t="n">
        <v>46122</v>
      </c>
      <c r="C265" s="44">
        <f>B265+14</f>
        <v/>
      </c>
      <c r="F265" t="inlineStr">
        <is>
          <t>Franz Hauer GesmbH &amp; Co KG, Werksstraße 6, 3125 Statzendorf</t>
        </is>
      </c>
      <c r="H265" s="206" t="n">
        <v>1785</v>
      </c>
      <c r="I265" s="43" t="n">
        <v>20</v>
      </c>
      <c r="J265" s="206">
        <f>I265*H265/100</f>
        <v/>
      </c>
      <c r="K265" s="206">
        <f>H265+J265</f>
        <v/>
      </c>
    </row>
    <row r="266">
      <c r="A266" s="43" t="n">
        <v>12026006</v>
      </c>
      <c r="B266" s="44" t="n">
        <v>46083</v>
      </c>
      <c r="C266" s="1">
        <f>B266+45</f>
        <v/>
      </c>
      <c r="F266" t="inlineStr">
        <is>
          <t>Hays Österreich GmbH, Bahnhof City Wien West, Europaplatz 3/5, 1150 Wien</t>
        </is>
      </c>
      <c r="H266" s="206" t="n">
        <v>12314.12</v>
      </c>
      <c r="I266" s="43" t="n">
        <v>20</v>
      </c>
      <c r="J266" s="206">
        <f>I266*H266/100</f>
        <v/>
      </c>
      <c r="K266" s="206">
        <f>H266+J266</f>
        <v/>
      </c>
    </row>
    <row r="267">
      <c r="B267" s="44" t="n"/>
      <c r="C267" s="1" t="n"/>
    </row>
  </sheetData>
  <autoFilter ref="A1:M256">
    <sortState ref="A131:M168">
      <sortCondition ref="A1:A256"/>
    </sortState>
  </autoFilter>
  <conditionalFormatting sqref="L1 L110 L123:L126 L134:L141 L265:L1048576">
    <cfRule type="expression" priority="145" dxfId="2">
      <formula>AND(AND($P1&lt;TODAY(),$P1&lt;&gt;""),$Q1="")</formula>
    </cfRule>
  </conditionalFormatting>
  <conditionalFormatting sqref="L11">
    <cfRule type="expression" priority="136" dxfId="2">
      <formula>AND(AND($P11&lt;TODAY(),$P11&lt;&gt;""),$Q11="")</formula>
    </cfRule>
  </conditionalFormatting>
  <conditionalFormatting sqref="D1:E17 D20:E22 D24:E49 D51:E73 D75:E78 D84:E85 D87:E91 D93:E122 D124:E131 D133:E160 D162:E170 D172:E216 D218:E229 D231:E1048576 E19">
    <cfRule type="expression" priority="135" dxfId="1390">
      <formula>OR(AND($C1&lt;TODAY(),ISBLANK($D1)),$D1&gt;$C1)</formula>
    </cfRule>
  </conditionalFormatting>
  <conditionalFormatting sqref="L12:L13">
    <cfRule type="expression" priority="132" dxfId="2">
      <formula>AND(AND($P12&lt;TODAY(),$P12&lt;&gt;""),$Q12="")</formula>
    </cfRule>
  </conditionalFormatting>
  <conditionalFormatting sqref="L2:L10">
    <cfRule type="expression" priority="130" dxfId="2">
      <formula>AND(AND($P2&lt;TODAY(),$P2&lt;&gt;""),$Q2="")</formula>
    </cfRule>
  </conditionalFormatting>
  <conditionalFormatting sqref="L14">
    <cfRule type="expression" priority="129" dxfId="2">
      <formula>AND(AND($P14&lt;TODAY(),$P14&lt;&gt;""),$Q14="")</formula>
    </cfRule>
  </conditionalFormatting>
  <conditionalFormatting sqref="L15">
    <cfRule type="expression" priority="126" dxfId="2">
      <formula>AND(AND($P15&lt;TODAY(),$P15&lt;&gt;""),$Q15="")</formula>
    </cfRule>
  </conditionalFormatting>
  <conditionalFormatting sqref="L16">
    <cfRule type="expression" priority="125" dxfId="2">
      <formula>AND(AND($P16&lt;TODAY(),$P16&lt;&gt;""),$Q16="")</formula>
    </cfRule>
  </conditionalFormatting>
  <conditionalFormatting sqref="L17">
    <cfRule type="expression" priority="124" dxfId="2">
      <formula>AND(AND($P17&lt;TODAY(),$P17&lt;&gt;""),$Q17="")</formula>
    </cfRule>
  </conditionalFormatting>
  <conditionalFormatting sqref="D18:E18">
    <cfRule type="expression" priority="123" dxfId="1390">
      <formula>OR(AND($C18&lt;TODAY(),ISBLANK($D18)),$D18&gt;$C18)</formula>
    </cfRule>
  </conditionalFormatting>
  <conditionalFormatting sqref="L18">
    <cfRule type="expression" priority="122" dxfId="2">
      <formula>AND(AND($P18&lt;TODAY(),$P18&lt;&gt;""),$Q18="")</formula>
    </cfRule>
  </conditionalFormatting>
  <conditionalFormatting sqref="D19">
    <cfRule type="expression" priority="118" dxfId="1390">
      <formula>OR(AND($C19&lt;TODAY(),ISBLANK($D19)),$D19&gt;$C19)</formula>
    </cfRule>
  </conditionalFormatting>
  <conditionalFormatting sqref="L19">
    <cfRule type="expression" priority="116" dxfId="2">
      <formula>AND(AND($P19&lt;TODAY(),$P19&lt;&gt;""),$Q19="")</formula>
    </cfRule>
  </conditionalFormatting>
  <conditionalFormatting sqref="L20">
    <cfRule type="expression" priority="115" dxfId="2">
      <formula>AND(AND($P20&lt;TODAY(),$P20&lt;&gt;""),$Q20="")</formula>
    </cfRule>
  </conditionalFormatting>
  <conditionalFormatting sqref="L21">
    <cfRule type="expression" priority="114" dxfId="2">
      <formula>AND(AND($P21&lt;TODAY(),$P21&lt;&gt;""),$Q21="")</formula>
    </cfRule>
  </conditionalFormatting>
  <conditionalFormatting sqref="L22">
    <cfRule type="expression" priority="113" dxfId="2">
      <formula>AND(AND($P22&lt;TODAY(),$P22&lt;&gt;""),$Q22="")</formula>
    </cfRule>
  </conditionalFormatting>
  <conditionalFormatting sqref="L23">
    <cfRule type="expression" priority="112" dxfId="2">
      <formula>AND(AND($P23&lt;TODAY(),$P23&lt;&gt;""),$Q23="")</formula>
    </cfRule>
  </conditionalFormatting>
  <conditionalFormatting sqref="D23:E23">
    <cfRule type="expression" priority="369" dxfId="1390">
      <formula>OR(AND($B23&lt;TODAY(),ISBLANK($D23)),$D23&gt;$B23)</formula>
    </cfRule>
  </conditionalFormatting>
  <conditionalFormatting sqref="L24">
    <cfRule type="expression" priority="111" dxfId="2">
      <formula>AND(AND($P24&lt;TODAY(),$P24&lt;&gt;""),$Q24="")</formula>
    </cfRule>
  </conditionalFormatting>
  <conditionalFormatting sqref="L25:L26">
    <cfRule type="expression" priority="110" dxfId="2">
      <formula>AND(AND($P25&lt;TODAY(),$P25&lt;&gt;""),$Q25="")</formula>
    </cfRule>
  </conditionalFormatting>
  <conditionalFormatting sqref="L27">
    <cfRule type="expression" priority="109" dxfId="2">
      <formula>AND(AND($P27&lt;TODAY(),$P27&lt;&gt;""),$Q27="")</formula>
    </cfRule>
  </conditionalFormatting>
  <conditionalFormatting sqref="L28">
    <cfRule type="expression" priority="108" dxfId="2">
      <formula>AND(AND($P28&lt;TODAY(),$P28&lt;&gt;""),$Q28="")</formula>
    </cfRule>
  </conditionalFormatting>
  <conditionalFormatting sqref="L29">
    <cfRule type="expression" priority="106" dxfId="2">
      <formula>AND(AND($P29&lt;TODAY(),$P29&lt;&gt;""),$Q29="")</formula>
    </cfRule>
  </conditionalFormatting>
  <conditionalFormatting sqref="L30:L31">
    <cfRule type="expression" priority="105" dxfId="2">
      <formula>AND(AND($P30&lt;TODAY(),$P30&lt;&gt;""),$Q30="")</formula>
    </cfRule>
  </conditionalFormatting>
  <conditionalFormatting sqref="L32">
    <cfRule type="expression" priority="104" dxfId="2">
      <formula>AND(AND($P32&lt;TODAY(),$P32&lt;&gt;""),$Q32="")</formula>
    </cfRule>
  </conditionalFormatting>
  <conditionalFormatting sqref="L33">
    <cfRule type="expression" priority="103" dxfId="2">
      <formula>AND(AND($P33&lt;TODAY(),$P33&lt;&gt;""),$Q33="")</formula>
    </cfRule>
  </conditionalFormatting>
  <conditionalFormatting sqref="L34">
    <cfRule type="expression" priority="102" dxfId="2">
      <formula>AND(AND($P34&lt;TODAY(),$P34&lt;&gt;""),$Q34="")</formula>
    </cfRule>
  </conditionalFormatting>
  <conditionalFormatting sqref="L35">
    <cfRule type="expression" priority="101" dxfId="2">
      <formula>AND(AND($P35&lt;TODAY(),$P35&lt;&gt;""),$Q35="")</formula>
    </cfRule>
  </conditionalFormatting>
  <conditionalFormatting sqref="L36">
    <cfRule type="expression" priority="100" dxfId="2">
      <formula>AND(AND($P36&lt;TODAY(),$P36&lt;&gt;""),$Q36="")</formula>
    </cfRule>
  </conditionalFormatting>
  <conditionalFormatting sqref="L37">
    <cfRule type="expression" priority="99" dxfId="2">
      <formula>AND(AND($P37&lt;TODAY(),$P37&lt;&gt;""),$Q37="")</formula>
    </cfRule>
  </conditionalFormatting>
  <conditionalFormatting sqref="L39">
    <cfRule type="expression" priority="98" dxfId="2">
      <formula>AND(AND($P39&lt;TODAY(),$P39&lt;&gt;""),$Q39="")</formula>
    </cfRule>
  </conditionalFormatting>
  <conditionalFormatting sqref="L38">
    <cfRule type="expression" priority="97" dxfId="2">
      <formula>AND(AND($P38&lt;TODAY(),$P38&lt;&gt;""),$Q38="")</formula>
    </cfRule>
  </conditionalFormatting>
  <conditionalFormatting sqref="L40">
    <cfRule type="expression" priority="96" dxfId="2">
      <formula>AND(AND($P40&lt;TODAY(),$P40&lt;&gt;""),$Q40="")</formula>
    </cfRule>
  </conditionalFormatting>
  <conditionalFormatting sqref="L41">
    <cfRule type="expression" priority="95" dxfId="2">
      <formula>AND(AND($P41&lt;TODAY(),$P41&lt;&gt;""),$Q41="")</formula>
    </cfRule>
  </conditionalFormatting>
  <conditionalFormatting sqref="L42:L44">
    <cfRule type="expression" priority="93" dxfId="2">
      <formula>AND(AND($P42&lt;TODAY(),$P42&lt;&gt;""),$Q42="")</formula>
    </cfRule>
  </conditionalFormatting>
  <conditionalFormatting sqref="L45">
    <cfRule type="expression" priority="92" dxfId="2">
      <formula>AND(AND($P45&lt;TODAY(),$P45&lt;&gt;""),$Q45="")</formula>
    </cfRule>
  </conditionalFormatting>
  <conditionalFormatting sqref="L46">
    <cfRule type="expression" priority="91" dxfId="2">
      <formula>AND(AND($P46&lt;TODAY(),$P46&lt;&gt;""),$Q46="")</formula>
    </cfRule>
  </conditionalFormatting>
  <conditionalFormatting sqref="D50:E50">
    <cfRule type="expression" priority="87" dxfId="1390">
      <formula>OR(AND($C50&lt;TODAY(),ISBLANK($D50)),$D50&gt;$C50)</formula>
    </cfRule>
  </conditionalFormatting>
  <conditionalFormatting sqref="L48:L50">
    <cfRule type="expression" priority="85" dxfId="2">
      <formula>AND(AND($P48&lt;TODAY(),$P48&lt;&gt;""),$Q48="")</formula>
    </cfRule>
  </conditionalFormatting>
  <conditionalFormatting sqref="L47">
    <cfRule type="expression" priority="84" dxfId="2">
      <formula>AND(AND($P47&lt;TODAY(),$P47&lt;&gt;""),$Q47="")</formula>
    </cfRule>
  </conditionalFormatting>
  <conditionalFormatting sqref="L51">
    <cfRule type="expression" priority="83" dxfId="2">
      <formula>AND(AND($P51&lt;TODAY(),$P51&lt;&gt;""),$Q51="")</formula>
    </cfRule>
  </conditionalFormatting>
  <conditionalFormatting sqref="L52">
    <cfRule type="expression" priority="82" dxfId="2">
      <formula>AND(AND($P52&lt;TODAY(),$P52&lt;&gt;""),$Q52="")</formula>
    </cfRule>
  </conditionalFormatting>
  <conditionalFormatting sqref="L53">
    <cfRule type="expression" priority="81" dxfId="2">
      <formula>AND(AND($P53&lt;TODAY(),$P53&lt;&gt;""),$Q53="")</formula>
    </cfRule>
  </conditionalFormatting>
  <conditionalFormatting sqref="L54:L59">
    <cfRule type="expression" priority="78" dxfId="2">
      <formula>AND(AND($P54&lt;TODAY(),$P54&lt;&gt;""),$Q54="")</formula>
    </cfRule>
  </conditionalFormatting>
  <conditionalFormatting sqref="L60:L61">
    <cfRule type="expression" priority="77" dxfId="2">
      <formula>AND(AND($P60&lt;TODAY(),$P60&lt;&gt;""),$Q60="")</formula>
    </cfRule>
  </conditionalFormatting>
  <conditionalFormatting sqref="L62:L64">
    <cfRule type="expression" priority="74" dxfId="2">
      <formula>AND(AND($P62&lt;TODAY(),$P62&lt;&gt;""),$Q62="")</formula>
    </cfRule>
  </conditionalFormatting>
  <conditionalFormatting sqref="D74:E74">
    <cfRule type="expression" priority="72" dxfId="1390">
      <formula>OR(AND($C74&lt;TODAY(),ISBLANK($D74)),$D74&gt;$C74)</formula>
    </cfRule>
  </conditionalFormatting>
  <conditionalFormatting sqref="L65:L75">
    <cfRule type="expression" priority="71" dxfId="2">
      <formula>AND(AND($P65&lt;TODAY(),$P65&lt;&gt;""),$Q65="")</formula>
    </cfRule>
  </conditionalFormatting>
  <conditionalFormatting sqref="L76:L77">
    <cfRule type="expression" priority="69" dxfId="2">
      <formula>AND(AND($P76&lt;TODAY(),$P76&lt;&gt;""),$Q76="")</formula>
    </cfRule>
  </conditionalFormatting>
  <conditionalFormatting sqref="L78">
    <cfRule type="expression" priority="68" dxfId="2">
      <formula>AND(AND($P78&lt;TODAY(),$P78&lt;&gt;""),$Q78="")</formula>
    </cfRule>
  </conditionalFormatting>
  <conditionalFormatting sqref="D79:E83">
    <cfRule type="expression" priority="66" dxfId="1390">
      <formula>OR(AND($C79&lt;TODAY(),ISBLANK($D79)),$D79&gt;$C79)</formula>
    </cfRule>
  </conditionalFormatting>
  <conditionalFormatting sqref="L81">
    <cfRule type="expression" priority="65" dxfId="2">
      <formula>AND(AND($P81&lt;TODAY(),$P81&lt;&gt;""),$Q81="")</formula>
    </cfRule>
  </conditionalFormatting>
  <conditionalFormatting sqref="L79:L80">
    <cfRule type="expression" priority="64" dxfId="2">
      <formula>AND(AND($P79&lt;TODAY(),$P79&lt;&gt;""),$Q79="")</formula>
    </cfRule>
  </conditionalFormatting>
  <conditionalFormatting sqref="L82:L84">
    <cfRule type="expression" priority="62" dxfId="2">
      <formula>AND(AND($P82&lt;TODAY(),$P82&lt;&gt;""),$Q82="")</formula>
    </cfRule>
  </conditionalFormatting>
  <conditionalFormatting sqref="D86:E86">
    <cfRule type="expression" priority="60" dxfId="1390">
      <formula>OR(AND($C86&lt;TODAY(),ISBLANK($D86)),$D86&gt;$C86)</formula>
    </cfRule>
  </conditionalFormatting>
  <conditionalFormatting sqref="D92:E92">
    <cfRule type="expression" priority="57" dxfId="1390">
      <formula>OR(AND($C92&lt;TODAY(),ISBLANK($D92)),$D92&gt;$C92)</formula>
    </cfRule>
  </conditionalFormatting>
  <conditionalFormatting sqref="L85:L109">
    <cfRule type="expression" priority="56" dxfId="2">
      <formula>AND(AND($P85&lt;TODAY(),$P85&lt;&gt;""),$Q85="")</formula>
    </cfRule>
  </conditionalFormatting>
  <conditionalFormatting sqref="N1:N116 N263:N1048576">
    <cfRule type="colorScale" priority="54">
      <colorScale>
        <cfvo type="min"/>
        <cfvo type="percentile" val="50"/>
        <cfvo type="max"/>
        <color rgb="FF63BE7B"/>
        <color rgb="FFFFEB84"/>
        <color rgb="FFF8696B"/>
      </colorScale>
    </cfRule>
  </conditionalFormatting>
  <conditionalFormatting sqref="N117:N123">
    <cfRule type="colorScale" priority="52">
      <colorScale>
        <cfvo type="min"/>
        <cfvo type="percentile" val="50"/>
        <cfvo type="max"/>
        <color rgb="FF63BE7B"/>
        <color rgb="FFFFEB84"/>
        <color rgb="FFF8696B"/>
      </colorScale>
    </cfRule>
  </conditionalFormatting>
  <conditionalFormatting sqref="D123:E123">
    <cfRule type="expression" priority="51" dxfId="1390">
      <formula>OR(AND($C123&lt;TODAY(),ISBLANK($D123)),$D123&gt;$C123)</formula>
    </cfRule>
  </conditionalFormatting>
  <conditionalFormatting sqref="N124:N125">
    <cfRule type="colorScale" priority="49">
      <colorScale>
        <cfvo type="min"/>
        <cfvo type="percentile" val="50"/>
        <cfvo type="max"/>
        <color rgb="FF63BE7B"/>
        <color rgb="FFFFEB84"/>
        <color rgb="FFF8696B"/>
      </colorScale>
    </cfRule>
  </conditionalFormatting>
  <conditionalFormatting sqref="N126:N127">
    <cfRule type="colorScale" priority="47">
      <colorScale>
        <cfvo type="min"/>
        <cfvo type="percentile" val="50"/>
        <cfvo type="max"/>
        <color rgb="FF63BE7B"/>
        <color rgb="FFFFEB84"/>
        <color rgb="FFF8696B"/>
      </colorScale>
    </cfRule>
  </conditionalFormatting>
  <conditionalFormatting sqref="N128:N130">
    <cfRule type="colorScale" priority="45">
      <colorScale>
        <cfvo type="min"/>
        <cfvo type="percentile" val="50"/>
        <cfvo type="max"/>
        <color rgb="FF63BE7B"/>
        <color rgb="FFFFEB84"/>
        <color rgb="FFF8696B"/>
      </colorScale>
    </cfRule>
  </conditionalFormatting>
  <conditionalFormatting sqref="N131">
    <cfRule type="colorScale" priority="43">
      <colorScale>
        <cfvo type="min"/>
        <cfvo type="percentile" val="50"/>
        <cfvo type="max"/>
        <color rgb="FF63BE7B"/>
        <color rgb="FFFFEB84"/>
        <color rgb="FFF8696B"/>
      </colorScale>
    </cfRule>
  </conditionalFormatting>
  <conditionalFormatting sqref="D132:E132">
    <cfRule type="expression" priority="42" dxfId="1390">
      <formula>OR(AND($C132&lt;TODAY(),ISBLANK($D132)),$D132&gt;$C132)</formula>
    </cfRule>
  </conditionalFormatting>
  <conditionalFormatting sqref="N132">
    <cfRule type="colorScale" priority="40">
      <colorScale>
        <cfvo type="min"/>
        <cfvo type="percentile" val="50"/>
        <cfvo type="max"/>
        <color rgb="FF63BE7B"/>
        <color rgb="FFFFEB84"/>
        <color rgb="FFF8696B"/>
      </colorScale>
    </cfRule>
  </conditionalFormatting>
  <conditionalFormatting sqref="N133:N141">
    <cfRule type="colorScale" priority="37">
      <colorScale>
        <cfvo type="min"/>
        <cfvo type="percentile" val="50"/>
        <cfvo type="max"/>
        <color rgb="FF63BE7B"/>
        <color rgb="FFFFEB84"/>
        <color rgb="FFF8696B"/>
      </colorScale>
    </cfRule>
  </conditionalFormatting>
  <conditionalFormatting sqref="L111 L121 L127 L132">
    <cfRule type="expression" priority="3631" dxfId="2">
      <formula>AND(AND($P111&lt;TODAY(),$P111&lt;&gt;""),$Q112="")</formula>
    </cfRule>
  </conditionalFormatting>
  <conditionalFormatting sqref="L131 L133">
    <cfRule type="expression" priority="3633" dxfId="2">
      <formula>AND(AND($P131&lt;TODAY(),$P131&lt;&gt;""),#REF!="")</formula>
    </cfRule>
  </conditionalFormatting>
  <conditionalFormatting sqref="L115 L130">
    <cfRule type="expression" priority="3640" dxfId="2">
      <formula>AND(AND($P115&lt;TODAY(),$P115&lt;&gt;""),#REF!="")</formula>
    </cfRule>
  </conditionalFormatting>
  <conditionalFormatting sqref="L116:L118 L129">
    <cfRule type="expression" priority="3648" dxfId="2">
      <formula>AND(AND($P116&lt;TODAY(),$P116&lt;&gt;""),$Q118="")</formula>
    </cfRule>
  </conditionalFormatting>
  <conditionalFormatting sqref="L112:L114">
    <cfRule type="expression" priority="3655" dxfId="2">
      <formula>AND(AND($P112&lt;TODAY(),$P112&lt;&gt;""),$Q115="")</formula>
    </cfRule>
  </conditionalFormatting>
  <conditionalFormatting sqref="L119:L120">
    <cfRule type="expression" priority="3661" dxfId="2">
      <formula>AND(AND($P119&lt;TODAY(),$P119&lt;&gt;""),$Q113="")</formula>
    </cfRule>
  </conditionalFormatting>
  <conditionalFormatting sqref="L122 L128">
    <cfRule type="expression" priority="3667" dxfId="2">
      <formula>AND(AND($P122&lt;TODAY(),$P122&lt;&gt;""),$Q121="")</formula>
    </cfRule>
  </conditionalFormatting>
  <conditionalFormatting sqref="L142">
    <cfRule type="expression" priority="36" dxfId="2">
      <formula>AND(AND($P142&lt;TODAY(),$P142&lt;&gt;""),$Q142="")</formula>
    </cfRule>
  </conditionalFormatting>
  <conditionalFormatting sqref="N142">
    <cfRule type="colorScale" priority="35">
      <colorScale>
        <cfvo type="min"/>
        <cfvo type="percentile" val="50"/>
        <cfvo type="max"/>
        <color rgb="FF63BE7B"/>
        <color rgb="FFFFEB84"/>
        <color rgb="FFF8696B"/>
      </colorScale>
    </cfRule>
  </conditionalFormatting>
  <conditionalFormatting sqref="L143:L146 L148:L150 L152:L154">
    <cfRule type="expression" priority="34" dxfId="2">
      <formula>AND(AND($P143&lt;TODAY(),$P143&lt;&gt;""),$Q143="")</formula>
    </cfRule>
  </conditionalFormatting>
  <conditionalFormatting sqref="N143:N152">
    <cfRule type="colorScale" priority="33">
      <colorScale>
        <cfvo type="min"/>
        <cfvo type="percentile" val="50"/>
        <cfvo type="max"/>
        <color rgb="FF63BE7B"/>
        <color rgb="FFFFEB84"/>
        <color rgb="FFF8696B"/>
      </colorScale>
    </cfRule>
  </conditionalFormatting>
  <conditionalFormatting sqref="L147 L151 L155">
    <cfRule type="expression" priority="32" dxfId="2">
      <formula>AND(AND($P147&lt;TODAY(),$P147&lt;&gt;""),$Q147="")</formula>
    </cfRule>
  </conditionalFormatting>
  <conditionalFormatting sqref="N153:N155">
    <cfRule type="colorScale" priority="31">
      <colorScale>
        <cfvo type="min"/>
        <cfvo type="percentile" val="50"/>
        <cfvo type="max"/>
        <color rgb="FF63BE7B"/>
        <color rgb="FFFFEB84"/>
        <color rgb="FFF8696B"/>
      </colorScale>
    </cfRule>
  </conditionalFormatting>
  <conditionalFormatting sqref="N1:N155 N263:N1048576">
    <cfRule type="colorScale" priority="30">
      <colorScale>
        <cfvo type="min"/>
        <cfvo type="percentile" val="50"/>
        <cfvo type="max"/>
        <color rgb="FF63BE7B"/>
        <color rgb="FFFFEB84"/>
        <color rgb="FFF8696B"/>
      </colorScale>
    </cfRule>
  </conditionalFormatting>
  <conditionalFormatting sqref="L156:L159">
    <cfRule type="expression" priority="29" dxfId="2">
      <formula>AND(AND($P156&lt;TODAY(),$P156&lt;&gt;""),$Q156="")</formula>
    </cfRule>
  </conditionalFormatting>
  <conditionalFormatting sqref="N156:N159">
    <cfRule type="colorScale" priority="28">
      <colorScale>
        <cfvo type="min"/>
        <cfvo type="percentile" val="50"/>
        <cfvo type="max"/>
        <color rgb="FF63BE7B"/>
        <color rgb="FFFFEB84"/>
        <color rgb="FFF8696B"/>
      </colorScale>
    </cfRule>
    <cfRule type="colorScale" priority="27">
      <colorScale>
        <cfvo type="min"/>
        <cfvo type="percentile" val="50"/>
        <cfvo type="max"/>
        <color rgb="FF63BE7B"/>
        <color rgb="FFFFEB84"/>
        <color rgb="FFF8696B"/>
      </colorScale>
    </cfRule>
  </conditionalFormatting>
  <conditionalFormatting sqref="L160 L162 L166 L168 L172 L188 L190 L202 L204 L206:L208 L216 L218 L224 L226 L228 L230:L232 L234 L236 L240 L252 L254 L256">
    <cfRule type="expression" priority="26" dxfId="2">
      <formula>AND(AND($P160&lt;TODAY(),$P160&lt;&gt;""),$Q160="")</formula>
    </cfRule>
  </conditionalFormatting>
  <conditionalFormatting sqref="N160 N162 N164 N166 N168 N170 N172 N174 N176 N178 N180 N182 N184 N186 N188 N190 N192 N194 N196 N198 N200 N202 N204 N206 N208 N210 N212 N214 N216 N218 N220 N222 N224 N226 N228 N230 N232 N234 N236 N238 N240 N242 N246 N248 N252 N254 N256">
    <cfRule type="colorScale" priority="25">
      <colorScale>
        <cfvo type="min"/>
        <cfvo type="percentile" val="50"/>
        <cfvo type="max"/>
        <color rgb="FF63BE7B"/>
        <color rgb="FFFFEB84"/>
        <color rgb="FFF8696B"/>
      </colorScale>
    </cfRule>
    <cfRule type="colorScale" priority="24">
      <colorScale>
        <cfvo type="min"/>
        <cfvo type="percentile" val="50"/>
        <cfvo type="max"/>
        <color rgb="FF63BE7B"/>
        <color rgb="FFFFEB84"/>
        <color rgb="FFF8696B"/>
      </colorScale>
    </cfRule>
  </conditionalFormatting>
  <conditionalFormatting sqref="D161:E161">
    <cfRule type="expression" priority="23" dxfId="1390">
      <formula>OR(AND($C161&lt;TODAY(),ISBLANK($D161)),$D161&gt;$C161)</formula>
    </cfRule>
  </conditionalFormatting>
  <conditionalFormatting sqref="N161 N163 N167 N169 N171 N173 N175 N177 N179 N181 N183 N185 N187 N189 N191 N193 N195 N197 N199 N201 N203 N205 N207 N209 N211 N213 N215 N217 N219 N221 N223:N233 N235 N237 N239 N241 N243:N245 N247 N249:N251 N253 N255">
    <cfRule type="colorScale" priority="18">
      <colorScale>
        <cfvo type="min"/>
        <cfvo type="percentile" val="50"/>
        <cfvo type="max"/>
        <color rgb="FF63BE7B"/>
        <color rgb="FFFFEB84"/>
        <color rgb="FFF8696B"/>
      </colorScale>
    </cfRule>
    <cfRule type="colorScale" priority="17">
      <colorScale>
        <cfvo type="min"/>
        <cfvo type="percentile" val="50"/>
        <cfvo type="max"/>
        <color rgb="FF63BE7B"/>
        <color rgb="FFFFEB84"/>
        <color rgb="FFF8696B"/>
      </colorScale>
    </cfRule>
  </conditionalFormatting>
  <conditionalFormatting sqref="L161 L163 L167 L171 L173 L187 L189 L191:L201 L203 L205 L209:L215 L217 L219:L233 L235 L237:L239 L241:L251 L253 L255">
    <cfRule type="expression" priority="19" dxfId="2">
      <formula>AND(AND($P161&lt;TODAY(),$P161&lt;&gt;""),#REF!="")</formula>
    </cfRule>
  </conditionalFormatting>
  <conditionalFormatting sqref="L164">
    <cfRule type="expression" priority="16" dxfId="2">
      <formula>AND(AND($P164&lt;TODAY(),$P164&lt;&gt;""),#REF!="")</formula>
    </cfRule>
  </conditionalFormatting>
  <conditionalFormatting sqref="N165">
    <cfRule type="colorScale" priority="15">
      <colorScale>
        <cfvo type="min"/>
        <cfvo type="percentile" val="50"/>
        <cfvo type="max"/>
        <color rgb="FF63BE7B"/>
        <color rgb="FFFFEB84"/>
        <color rgb="FFF8696B"/>
      </colorScale>
    </cfRule>
    <cfRule type="colorScale" priority="14">
      <colorScale>
        <cfvo type="min"/>
        <cfvo type="percentile" val="50"/>
        <cfvo type="max"/>
        <color rgb="FF63BE7B"/>
        <color rgb="FFFFEB84"/>
        <color rgb="FFF8696B"/>
      </colorScale>
    </cfRule>
  </conditionalFormatting>
  <conditionalFormatting sqref="L165">
    <cfRule type="expression" priority="13" dxfId="2">
      <formula>AND(AND($P165&lt;TODAY(),$P165&lt;&gt;""),#REF!="")</formula>
    </cfRule>
  </conditionalFormatting>
  <conditionalFormatting sqref="L169:L170">
    <cfRule type="expression" priority="12" dxfId="2">
      <formula>AND(AND($P169&lt;TODAY(),$P169&lt;&gt;""),$Q169="")</formula>
    </cfRule>
  </conditionalFormatting>
  <conditionalFormatting sqref="D171:E171">
    <cfRule type="expression" priority="11" dxfId="1390">
      <formula>OR(AND($C171&lt;TODAY(),ISBLANK($D171)),$D171&gt;$C171)</formula>
    </cfRule>
  </conditionalFormatting>
  <conditionalFormatting sqref="L174:L176">
    <cfRule type="expression" priority="10" dxfId="2">
      <formula>AND(AND($P174&lt;TODAY(),$P174&lt;&gt;""),#REF!="")</formula>
    </cfRule>
  </conditionalFormatting>
  <conditionalFormatting sqref="L177:L180">
    <cfRule type="expression" priority="7" dxfId="2">
      <formula>AND(AND($P177&lt;TODAY(),$P177&lt;&gt;""),#REF!="")</formula>
    </cfRule>
  </conditionalFormatting>
  <conditionalFormatting sqref="L181:L186">
    <cfRule type="expression" priority="6" dxfId="2">
      <formula>AND(AND($P181&lt;TODAY(),$P181&lt;&gt;""),#REF!="")</formula>
    </cfRule>
  </conditionalFormatting>
  <conditionalFormatting sqref="D217:E217">
    <cfRule type="expression" priority="5" dxfId="1390">
      <formula>OR(AND($C217&lt;TODAY(),ISBLANK($D217)),$D217&gt;$C217)</formula>
    </cfRule>
  </conditionalFormatting>
  <conditionalFormatting sqref="D230">
    <cfRule type="expression" priority="4" dxfId="1390">
      <formula>OR(AND($C230&lt;TODAY(),ISBLANK($D230)),$D230&gt;$C230)</formula>
    </cfRule>
  </conditionalFormatting>
  <conditionalFormatting sqref="N257:N262">
    <cfRule type="colorScale" priority="2">
      <colorScale>
        <cfvo type="min"/>
        <cfvo type="percentile" val="50"/>
        <cfvo type="max"/>
        <color rgb="FF63BE7B"/>
        <color rgb="FFFFEB84"/>
        <color rgb="FFF8696B"/>
      </colorScale>
    </cfRule>
    <cfRule type="colorScale" priority="1">
      <colorScale>
        <cfvo type="min"/>
        <cfvo type="percentile" val="50"/>
        <cfvo type="max"/>
        <color rgb="FF63BE7B"/>
        <color rgb="FFFFEB84"/>
        <color rgb="FFF8696B"/>
      </colorScale>
    </cfRule>
  </conditionalFormatting>
  <conditionalFormatting sqref="L257:L264">
    <cfRule type="expression" priority="3" dxfId="2">
      <formula>AND(AND($P257&lt;TODAY(),$P257&lt;&gt;""),#REF!="")</formula>
    </cfRule>
  </conditionalFormatting>
  <pageMargins left="0.7" right="0.7" top="0.75" bottom="0.75" header="0.3" footer="0.3"/>
  <pageSetup orientation="landscape" paperSize="9" scale="12" verticalDpi="1200"/>
  <legacyDrawing xmlns:r="http://schemas.openxmlformats.org/officeDocument/2006/relationships" r:id="anysvml"/>
</worksheet>
</file>

<file path=xl/worksheets/sheet3.xml><?xml version="1.0" encoding="utf-8"?>
<worksheet xmlns="http://schemas.openxmlformats.org/spreadsheetml/2006/main">
  <sheetPr codeName="Tabelle30">
    <tabColor theme="3" tint="0.7999816888943144"/>
    <outlinePr summaryBelow="1" summaryRight="1"/>
    <pageSetUpPr/>
  </sheetPr>
  <dimension ref="A1:V767"/>
  <sheetViews>
    <sheetView tabSelected="1" workbookViewId="0">
      <pane ySplit="1" topLeftCell="A2" activePane="bottomLeft" state="frozen"/>
      <selection pane="bottomLeft" activeCell="A2" sqref="A2"/>
    </sheetView>
  </sheetViews>
  <sheetFormatPr baseColWidth="10" defaultRowHeight="15"/>
  <cols>
    <col width="6.28515625" customWidth="1" style="212" min="1" max="1"/>
    <col width="4.140625" customWidth="1" style="213" min="2" max="2"/>
    <col width="27.5703125" customWidth="1" min="6" max="6"/>
    <col width="11.85546875" bestFit="1" customWidth="1" style="214" min="10" max="10"/>
    <col width="13.140625" customWidth="1" style="215" min="11" max="11"/>
    <col width="7.140625" bestFit="1" customWidth="1" style="159" min="12" max="12"/>
    <col width="7.7109375" bestFit="1" customWidth="1" style="159" min="13" max="13"/>
    <col width="11.42578125" customWidth="1" style="215" min="14" max="15"/>
    <col width="11.85546875" bestFit="1" customWidth="1" style="215" min="16" max="16"/>
    <col width="14.85546875" bestFit="1" customWidth="1" style="215" min="17" max="17"/>
    <col width="11.42578125" customWidth="1" style="187" min="18" max="18"/>
    <col width="7.85546875" customWidth="1" min="19" max="19"/>
    <col width="23" bestFit="1" customWidth="1" style="187" min="20" max="20"/>
    <col width="10.85546875" customWidth="1" style="194" min="21" max="21"/>
    <col width="10.85546875" customWidth="1" min="22" max="24"/>
  </cols>
  <sheetData>
    <row r="1">
      <c r="A1" s="216" t="inlineStr">
        <is>
          <t>Jahr</t>
        </is>
      </c>
      <c r="B1" s="217" t="inlineStr">
        <is>
          <t>Belegnr.</t>
        </is>
      </c>
      <c r="C1" s="79" t="inlineStr">
        <is>
          <t>Kategorie</t>
        </is>
      </c>
      <c r="D1" s="80" t="inlineStr">
        <is>
          <t>Spesenart</t>
        </is>
      </c>
      <c r="E1" s="2" t="inlineStr">
        <is>
          <t>Zahlungsdatum</t>
        </is>
      </c>
      <c r="F1" s="79" t="inlineStr">
        <is>
          <t>Bezeichnung</t>
        </is>
      </c>
      <c r="H1" s="82" t="inlineStr">
        <is>
          <t>Weiterverkauf</t>
        </is>
      </c>
      <c r="I1" s="79" t="inlineStr">
        <is>
          <t>AfA</t>
        </is>
      </c>
      <c r="J1" s="218" t="inlineStr">
        <is>
          <t>Brutto</t>
        </is>
      </c>
      <c r="K1" s="219" t="inlineStr">
        <is>
          <t>Brutto (antlg.)</t>
        </is>
      </c>
      <c r="M1" s="83" t="inlineStr">
        <is>
          <t>USt.(%)</t>
        </is>
      </c>
      <c r="N1" s="219" t="inlineStr">
        <is>
          <t>USt.</t>
        </is>
      </c>
      <c r="O1" s="219" t="inlineStr">
        <is>
          <t>USt. (antlg.)</t>
        </is>
      </c>
      <c r="P1" s="219" t="inlineStr">
        <is>
          <t>Netto</t>
        </is>
      </c>
      <c r="Q1" s="219" t="inlineStr">
        <is>
          <t>Netto  (antlg.)</t>
        </is>
      </c>
      <c r="R1" s="186" t="inlineStr">
        <is>
          <t xml:space="preserve"> USt Fälligkeit</t>
        </is>
      </c>
      <c r="S1" s="79" t="inlineStr">
        <is>
          <t>IG / in Ö steuerbar</t>
        </is>
      </c>
      <c r="T1" s="219" t="inlineStr">
        <is>
          <t>ESt: Betrag abzugsfähig</t>
        </is>
      </c>
    </row>
    <row r="2">
      <c r="A2" s="212" t="n">
        <v>2024</v>
      </c>
      <c r="B2" s="213" t="n">
        <v>1</v>
      </c>
      <c r="C2" s="71" t="inlineStr">
        <is>
          <t>Ausgaben</t>
        </is>
      </c>
      <c r="D2" t="inlineStr">
        <is>
          <t>sonstige Betriebsausgaben</t>
        </is>
      </c>
      <c r="E2" s="1" t="n">
        <v>45293</v>
      </c>
      <c r="F2" t="inlineStr">
        <is>
          <t>HoT Telekom und Service GmbH, Postfach 28, 1121 Wien</t>
        </is>
      </c>
      <c r="I2" t="b">
        <v>0</v>
      </c>
      <c r="J2" s="214" t="n">
        <v>19.9</v>
      </c>
      <c r="K2" s="215">
        <f>$J2*$L2</f>
        <v/>
      </c>
      <c r="L2" s="159" t="n">
        <v>1</v>
      </c>
      <c r="M2" s="159" t="n">
        <v>0.2</v>
      </c>
      <c r="N2" s="215">
        <f>$P2*$M2</f>
        <v/>
      </c>
      <c r="O2" s="215">
        <f>L2*$N2</f>
        <v/>
      </c>
      <c r="P2" s="215">
        <f>$J2/(100%+$M2)</f>
        <v/>
      </c>
      <c r="Q2" s="215">
        <f>$L2*$P2</f>
        <v/>
      </c>
      <c r="R2" s="192">
        <f>voranmeldefrist_vierteljaehrlich(E2)</f>
        <v/>
      </c>
      <c r="S2" t="n">
        <v>20</v>
      </c>
      <c r="T2" s="220">
        <f>IF(G2=TRUE,Q2/F2,Q2)</f>
        <v/>
      </c>
      <c r="U2" s="221">
        <f>$S2/100*$K2</f>
        <v/>
      </c>
    </row>
    <row r="3">
      <c r="A3" s="212" t="n">
        <v>2024</v>
      </c>
      <c r="B3" s="213" t="n">
        <v>2</v>
      </c>
      <c r="C3" s="71" t="inlineStr">
        <is>
          <t>Einnahmen</t>
        </is>
      </c>
      <c r="D3" t="inlineStr">
        <is>
          <t>Waren-/Leistungserlöse</t>
        </is>
      </c>
      <c r="E3" s="1" t="n">
        <v>45294</v>
      </c>
      <c r="F3" t="inlineStr">
        <is>
          <t>ZT DI Dr. Arno Kolbitsch, Gütleweg 1, 6822 Satteins</t>
        </is>
      </c>
      <c r="J3" s="214" t="n">
        <v>696.34</v>
      </c>
      <c r="K3" s="215">
        <f>$J3*$L3</f>
        <v/>
      </c>
      <c r="L3" s="159" t="n">
        <v>1</v>
      </c>
      <c r="M3" s="159" t="n">
        <v>0.2</v>
      </c>
      <c r="N3" s="215">
        <f>$P3*$M3</f>
        <v/>
      </c>
      <c r="O3" s="215">
        <f>L3*$N3</f>
        <v/>
      </c>
      <c r="P3" s="215">
        <f>$J3/(100%+$M3)</f>
        <v/>
      </c>
      <c r="Q3" s="215">
        <f>$L3*$P3</f>
        <v/>
      </c>
      <c r="R3" s="192">
        <f>voranmeldefrist_vierteljaehrlich(E3)</f>
        <v/>
      </c>
      <c r="T3" s="220">
        <f>IF(G3=TRUE,Q3/F3,Q3)</f>
        <v/>
      </c>
      <c r="U3" s="221">
        <f>$S3/100*$K3</f>
        <v/>
      </c>
    </row>
    <row r="4">
      <c r="A4" s="212" t="n">
        <v>2024</v>
      </c>
      <c r="B4" s="213" t="n">
        <v>3</v>
      </c>
      <c r="C4" s="71" t="inlineStr">
        <is>
          <t>Ausgaben</t>
        </is>
      </c>
      <c r="D4" t="inlineStr">
        <is>
          <t>sonstige Betriebsausgaben</t>
        </is>
      </c>
      <c r="E4" s="1" t="n">
        <v>45294</v>
      </c>
      <c r="F4" t="inlineStr">
        <is>
          <t>Google Ireland Ltd, Gordon House, Barrow Street, Dublin 4, Ireland; VAT number: IE 6388047V</t>
        </is>
      </c>
      <c r="I4" t="b">
        <v>0</v>
      </c>
      <c r="J4" s="214" t="n">
        <v>10.4</v>
      </c>
      <c r="K4" s="215">
        <f>$J4*$L4</f>
        <v/>
      </c>
      <c r="L4" s="159" t="n">
        <v>1</v>
      </c>
      <c r="M4" s="159" t="n">
        <v>0</v>
      </c>
      <c r="N4" s="215">
        <f>$P4*$M4</f>
        <v/>
      </c>
      <c r="O4" s="215">
        <f>L4*$N4</f>
        <v/>
      </c>
      <c r="P4" s="215">
        <f>$J4/(100%+$M4)</f>
        <v/>
      </c>
      <c r="Q4" s="215">
        <f>$L4*$P4</f>
        <v/>
      </c>
      <c r="R4" s="192">
        <f>voranmeldefrist_vierteljaehrlich(E4)</f>
        <v/>
      </c>
      <c r="S4" t="n">
        <v>20</v>
      </c>
      <c r="T4" s="220">
        <f>IF(G4=TRUE,Q4/F4,Q4)</f>
        <v/>
      </c>
      <c r="U4" s="221">
        <f>$S4/100*$K4</f>
        <v/>
      </c>
    </row>
    <row r="5">
      <c r="A5" s="212" t="n">
        <v>2024</v>
      </c>
      <c r="B5" s="213" t="n">
        <v>4</v>
      </c>
      <c r="C5" s="71" t="inlineStr">
        <is>
          <t>Ausgaben</t>
        </is>
      </c>
      <c r="D5" t="inlineStr">
        <is>
          <t>Telefon/Internet</t>
        </is>
      </c>
      <c r="E5" s="1" t="n">
        <v>45299</v>
      </c>
      <c r="F5" t="inlineStr">
        <is>
          <t>Hutchison Drei Austria GmbH, Brünner Straße 52, 1210 Wien, Österreich</t>
        </is>
      </c>
      <c r="I5" t="b">
        <v>0</v>
      </c>
      <c r="J5" s="214" t="n">
        <v>12.9</v>
      </c>
      <c r="K5" s="215">
        <f>$J5*$L5</f>
        <v/>
      </c>
      <c r="L5" s="159" t="n">
        <v>1</v>
      </c>
      <c r="M5" s="159" t="n">
        <v>0.2</v>
      </c>
      <c r="N5" s="215">
        <f>$P5*$M5</f>
        <v/>
      </c>
      <c r="O5" s="215">
        <f>L5*$N5</f>
        <v/>
      </c>
      <c r="P5" s="215">
        <f>$J5/(100%+$M5)</f>
        <v/>
      </c>
      <c r="Q5" s="215">
        <f>$L5*$P5</f>
        <v/>
      </c>
      <c r="R5" s="192">
        <f>voranmeldefrist_vierteljaehrlich(E5)</f>
        <v/>
      </c>
      <c r="T5" s="220">
        <f>IF(G5=TRUE,Q5/F5,Q5)</f>
        <v/>
      </c>
      <c r="U5" s="221">
        <f>$S5/100*$K5</f>
        <v/>
      </c>
    </row>
    <row r="6">
      <c r="A6" s="212" t="n">
        <v>2024</v>
      </c>
      <c r="B6" s="213" t="n">
        <v>5</v>
      </c>
      <c r="C6" s="71" t="inlineStr">
        <is>
          <t>Ausgaben</t>
        </is>
      </c>
      <c r="D6" t="inlineStr">
        <is>
          <t>sonstige Betriebsausgaben</t>
        </is>
      </c>
      <c r="E6" s="1" t="n">
        <v>45300</v>
      </c>
      <c r="F6" t="inlineStr">
        <is>
          <t>Aon Austria GmbH</t>
        </is>
      </c>
      <c r="I6" t="b">
        <v>0</v>
      </c>
      <c r="J6" s="214" t="n">
        <v>264.62</v>
      </c>
      <c r="K6" s="215">
        <f>$J6*$L6</f>
        <v/>
      </c>
      <c r="L6" s="159" t="n">
        <v>1</v>
      </c>
      <c r="M6" s="159" t="n">
        <v>0</v>
      </c>
      <c r="N6" s="215">
        <f>$P6*$M6</f>
        <v/>
      </c>
      <c r="O6" s="215">
        <f>L6*$N6</f>
        <v/>
      </c>
      <c r="P6" s="215">
        <f>$J6/(100%+$M6)</f>
        <v/>
      </c>
      <c r="Q6" s="215">
        <f>$L6*$P6</f>
        <v/>
      </c>
      <c r="R6" s="192">
        <f>voranmeldefrist_vierteljaehrlich(E6)</f>
        <v/>
      </c>
      <c r="T6" s="220">
        <f>IF(G6=TRUE,Q6/F6,Q6)</f>
        <v/>
      </c>
      <c r="U6" s="221">
        <f>$S6/100*$K6</f>
        <v/>
      </c>
    </row>
    <row r="7">
      <c r="A7" s="212" t="n">
        <v>2024</v>
      </c>
      <c r="B7" s="213" t="n">
        <v>6</v>
      </c>
      <c r="C7" s="71" t="inlineStr">
        <is>
          <t>Ausgaben</t>
        </is>
      </c>
      <c r="D7" t="inlineStr">
        <is>
          <t>sonstige Betriebsausgaben</t>
        </is>
      </c>
      <c r="E7" s="1" t="n">
        <v>45301</v>
      </c>
      <c r="F7" t="inlineStr">
        <is>
          <t>Wien Energie</t>
        </is>
      </c>
      <c r="I7" t="b">
        <v>0</v>
      </c>
      <c r="J7" s="214" t="n">
        <v>265.22</v>
      </c>
      <c r="K7" s="215">
        <f>$J7*$L7</f>
        <v/>
      </c>
      <c r="L7" s="159">
        <f>14.6/158.43</f>
        <v/>
      </c>
      <c r="M7" s="159" t="n">
        <v>0.2</v>
      </c>
      <c r="N7" s="215">
        <f>$P7*$M7</f>
        <v/>
      </c>
      <c r="O7" s="215">
        <f>L7*$N7</f>
        <v/>
      </c>
      <c r="P7" s="215">
        <f>$J7/(100%+$M7)</f>
        <v/>
      </c>
      <c r="Q7" s="215">
        <f>$L7*$P7</f>
        <v/>
      </c>
      <c r="R7" s="192">
        <f>voranmeldefrist_vierteljaehrlich(E7)</f>
        <v/>
      </c>
      <c r="T7" s="220">
        <f>IF(G7=TRUE,Q7/F7,Q7)</f>
        <v/>
      </c>
      <c r="U7" s="221">
        <f>$S7/100*$K7</f>
        <v/>
      </c>
    </row>
    <row r="8">
      <c r="A8" s="212" t="n">
        <v>2024</v>
      </c>
      <c r="B8" s="213" t="n">
        <v>7</v>
      </c>
      <c r="C8" s="71" t="inlineStr">
        <is>
          <t>Ausgaben</t>
        </is>
      </c>
      <c r="D8" t="inlineStr">
        <is>
          <t>sonstige Betriebsausgaben</t>
        </is>
      </c>
      <c r="E8" s="1" t="n">
        <v>45302</v>
      </c>
      <c r="F8" t="inlineStr">
        <is>
          <t>Hetzner Online GmbH, Industriestraße 25, 91710 Gunzenhausen</t>
        </is>
      </c>
      <c r="I8" t="b">
        <v>0</v>
      </c>
      <c r="J8" s="214" t="n">
        <v>52.21</v>
      </c>
      <c r="K8" s="215">
        <f>$J8*$L8</f>
        <v/>
      </c>
      <c r="L8" s="159" t="n">
        <v>1</v>
      </c>
      <c r="M8" s="159" t="n">
        <v>0</v>
      </c>
      <c r="N8" s="215">
        <f>$P8*$M8</f>
        <v/>
      </c>
      <c r="O8" s="215">
        <f>L8*$N8</f>
        <v/>
      </c>
      <c r="P8" s="215">
        <f>$J8/(100%+$M8)</f>
        <v/>
      </c>
      <c r="Q8" s="215">
        <f>$L8*$P8</f>
        <v/>
      </c>
      <c r="R8" s="192">
        <f>voranmeldefrist_vierteljaehrlich(E8)</f>
        <v/>
      </c>
      <c r="S8" t="n">
        <v>20</v>
      </c>
      <c r="T8" s="220">
        <f>IF(G8=TRUE,Q8/F8,Q8)</f>
        <v/>
      </c>
      <c r="U8" s="221">
        <f>$S8/100*$K8</f>
        <v/>
      </c>
    </row>
    <row r="9">
      <c r="A9" s="212" t="n">
        <v>2024</v>
      </c>
      <c r="B9" s="213" t="n">
        <v>8</v>
      </c>
      <c r="C9" s="71" t="inlineStr">
        <is>
          <t>Einnahmen</t>
        </is>
      </c>
      <c r="D9" t="inlineStr">
        <is>
          <t>Waren-/Leistungserlöse</t>
        </is>
      </c>
      <c r="E9" s="1" t="n">
        <v>45303</v>
      </c>
      <c r="F9" t="inlineStr">
        <is>
          <t>Hays Österreich GmbH, Bahnhof City Wien West - Europaplatz 3/5, 1150 Wien</t>
        </is>
      </c>
      <c r="J9" s="214" t="n">
        <v>16806.16</v>
      </c>
      <c r="K9" s="215">
        <f>$J9*$L9</f>
        <v/>
      </c>
      <c r="L9" s="159" t="n">
        <v>1</v>
      </c>
      <c r="M9" s="159" t="n">
        <v>0.2</v>
      </c>
      <c r="N9" s="215">
        <f>$P9*$M9</f>
        <v/>
      </c>
      <c r="O9" s="215">
        <f>L9*$N9</f>
        <v/>
      </c>
      <c r="P9" s="215">
        <f>$J9/(100%+$M9)</f>
        <v/>
      </c>
      <c r="Q9" s="215">
        <f>$L9*$P9</f>
        <v/>
      </c>
      <c r="R9" s="192">
        <f>voranmeldefrist_vierteljaehrlich(E9)</f>
        <v/>
      </c>
      <c r="T9" s="220">
        <f>IF(G9=TRUE,Q9/F9,Q9)</f>
        <v/>
      </c>
      <c r="U9" s="221">
        <f>$S9/100*$K9</f>
        <v/>
      </c>
    </row>
    <row r="10">
      <c r="A10" s="212" t="n">
        <v>2024</v>
      </c>
      <c r="B10" s="213" t="n">
        <v>9</v>
      </c>
      <c r="C10" s="71" t="inlineStr">
        <is>
          <t>Ausgaben</t>
        </is>
      </c>
      <c r="D10" t="inlineStr">
        <is>
          <t>Telefon/Internet</t>
        </is>
      </c>
      <c r="E10" s="1" t="n">
        <v>45305</v>
      </c>
      <c r="F10" t="inlineStr">
        <is>
          <t>kabelplus GmbH, Südstadtzentrum 4, 2344 Maria Enzersdorf</t>
        </is>
      </c>
      <c r="I10" t="b">
        <v>0</v>
      </c>
      <c r="J10" s="214" t="n">
        <v>1.9</v>
      </c>
      <c r="K10" s="215">
        <f>$J10*$L10</f>
        <v/>
      </c>
      <c r="L10" s="159" t="n">
        <v>0.67</v>
      </c>
      <c r="M10" s="159" t="n">
        <v>0.2</v>
      </c>
      <c r="N10" s="215">
        <f>$P10*$M10</f>
        <v/>
      </c>
      <c r="O10" s="215">
        <f>L10*$N10</f>
        <v/>
      </c>
      <c r="P10" s="215">
        <f>$J10/(100%+$M10)</f>
        <v/>
      </c>
      <c r="Q10" s="215">
        <f>$L10*$P10</f>
        <v/>
      </c>
      <c r="R10" s="192">
        <f>voranmeldefrist_vierteljaehrlich(E10)</f>
        <v/>
      </c>
      <c r="T10" s="220">
        <f>IF(G10=TRUE,Q10/F10,Q10)</f>
        <v/>
      </c>
      <c r="U10" s="221">
        <f>$S10/100*$K10</f>
        <v/>
      </c>
    </row>
    <row r="11">
      <c r="A11" s="212" t="n">
        <v>2024</v>
      </c>
      <c r="B11" s="213" t="n">
        <v>10</v>
      </c>
      <c r="C11" s="71" t="inlineStr">
        <is>
          <t>Ausgaben</t>
        </is>
      </c>
      <c r="D11" t="inlineStr">
        <is>
          <t>Personalaufwand</t>
        </is>
      </c>
      <c r="E11" s="1" t="n">
        <v>45306</v>
      </c>
      <c r="F11" t="inlineStr">
        <is>
          <t>Eva Jaros-Kolbitsch</t>
        </is>
      </c>
      <c r="I11" t="b">
        <v>0</v>
      </c>
      <c r="J11" s="214" t="n">
        <v>365</v>
      </c>
      <c r="K11" s="215">
        <f>$J11*$L11</f>
        <v/>
      </c>
      <c r="L11" s="159" t="n">
        <v>1</v>
      </c>
      <c r="M11" s="159" t="n">
        <v>0</v>
      </c>
      <c r="N11" s="215">
        <f>$P11*$M11</f>
        <v/>
      </c>
      <c r="O11" s="215">
        <f>L11*$N11</f>
        <v/>
      </c>
      <c r="P11" s="215">
        <f>$J11/(100%+$M11)</f>
        <v/>
      </c>
      <c r="Q11" s="215">
        <f>$L11*$P11</f>
        <v/>
      </c>
      <c r="R11" s="192">
        <f>voranmeldefrist_vierteljaehrlich(E11)</f>
        <v/>
      </c>
      <c r="T11" s="220">
        <f>IF(G11=TRUE,Q11/F11,Q11)</f>
        <v/>
      </c>
      <c r="U11" s="221">
        <f>$S11/100*$K11</f>
        <v/>
      </c>
    </row>
    <row r="12">
      <c r="A12" s="212" t="n">
        <v>2024</v>
      </c>
      <c r="B12" s="213" t="n">
        <v>11</v>
      </c>
      <c r="C12" s="71" t="inlineStr">
        <is>
          <t>Ausgaben</t>
        </is>
      </c>
      <c r="D12" t="inlineStr">
        <is>
          <t>Büromaterial</t>
        </is>
      </c>
      <c r="E12" s="1" t="n">
        <v>45307</v>
      </c>
      <c r="F12" t="inlineStr">
        <is>
          <t>Amazon EU S. à r.l., 38 avenue John F. Kennedy, L-1855 Luxembourg</t>
        </is>
      </c>
      <c r="I12" t="b">
        <v>0</v>
      </c>
      <c r="J12" s="214" t="n">
        <v>276.39</v>
      </c>
      <c r="K12" s="215">
        <f>$J12*$L12</f>
        <v/>
      </c>
      <c r="L12" s="159" t="n">
        <v>1</v>
      </c>
      <c r="M12" s="159" t="n">
        <v>0.2</v>
      </c>
      <c r="N12" s="215">
        <f>$P12*$M12</f>
        <v/>
      </c>
      <c r="O12" s="215">
        <f>L12*$N12</f>
        <v/>
      </c>
      <c r="P12" s="215">
        <f>$J12/(100%+$M12)</f>
        <v/>
      </c>
      <c r="Q12" s="215">
        <f>$L12*$P12</f>
        <v/>
      </c>
      <c r="R12" s="192">
        <f>voranmeldefrist_vierteljaehrlich(E12)</f>
        <v/>
      </c>
      <c r="T12" s="220">
        <f>IF(G12=TRUE,Q12/F12,Q12)</f>
        <v/>
      </c>
      <c r="U12" s="221">
        <f>$S12/100*$K12</f>
        <v/>
      </c>
    </row>
    <row r="13">
      <c r="A13" s="212" t="n">
        <v>2024</v>
      </c>
      <c r="B13" s="213" t="n">
        <v>12</v>
      </c>
      <c r="C13" s="71" t="inlineStr">
        <is>
          <t>Ausgaben</t>
        </is>
      </c>
      <c r="D13" t="inlineStr">
        <is>
          <t>Büromaterial</t>
        </is>
      </c>
      <c r="E13" s="1" t="n">
        <v>45307</v>
      </c>
      <c r="F13" t="inlineStr">
        <is>
          <t>Lemon Technologies GmbH, Unterweißenbach 181, 8330 Feldbach: Dell Precision 3580 Laptop</t>
        </is>
      </c>
      <c r="I13" t="b">
        <v>0</v>
      </c>
      <c r="J13" s="214" t="n">
        <v>138.08</v>
      </c>
      <c r="K13" s="215">
        <f>$J13*$L13</f>
        <v/>
      </c>
      <c r="L13" s="159" t="n">
        <v>1</v>
      </c>
      <c r="M13" s="159" t="n">
        <v>0.2</v>
      </c>
      <c r="N13" s="215">
        <f>$P13*$M13</f>
        <v/>
      </c>
      <c r="O13" s="215">
        <f>L13*$N13</f>
        <v/>
      </c>
      <c r="P13" s="215">
        <f>$J13/(100%+$M13)</f>
        <v/>
      </c>
      <c r="Q13" s="215">
        <f>$L13*$P13</f>
        <v/>
      </c>
      <c r="R13" s="192">
        <f>voranmeldefrist_vierteljaehrlich(E13)</f>
        <v/>
      </c>
      <c r="T13" s="220">
        <f>IF(G13=TRUE,Q13/F13,Q13)</f>
        <v/>
      </c>
      <c r="U13" s="221">
        <f>$S13/100*$K13</f>
        <v/>
      </c>
    </row>
    <row r="14">
      <c r="A14" s="212" t="n">
        <v>2024</v>
      </c>
      <c r="B14" s="213" t="n">
        <v>13</v>
      </c>
      <c r="C14" s="71" t="inlineStr">
        <is>
          <t>Ausgaben</t>
        </is>
      </c>
      <c r="D14" t="inlineStr">
        <is>
          <t>sonstige Betriebsausgaben</t>
        </is>
      </c>
      <c r="E14" s="1" t="n">
        <v>45310</v>
      </c>
      <c r="F14" t="inlineStr">
        <is>
          <t>Microsoft Ireland Operations Ltd. One Microsoft Place, South County, Business Park, Leopardstown, Dublin 18, D18 P521, Ireland</t>
        </is>
      </c>
      <c r="I14" t="b">
        <v>0</v>
      </c>
      <c r="J14" s="214" t="n">
        <v>11.7</v>
      </c>
      <c r="K14" s="215">
        <f>$J14*$L14</f>
        <v/>
      </c>
      <c r="L14" s="159" t="n">
        <v>1</v>
      </c>
      <c r="M14" s="159" t="n">
        <v>0</v>
      </c>
      <c r="N14" s="215">
        <f>$P14*$M14</f>
        <v/>
      </c>
      <c r="O14" s="215">
        <f>L14*$N14</f>
        <v/>
      </c>
      <c r="P14" s="215">
        <f>$J14/(100%+$M14)</f>
        <v/>
      </c>
      <c r="Q14" s="215">
        <f>$L14*$P14</f>
        <v/>
      </c>
      <c r="R14" s="192">
        <f>voranmeldefrist_vierteljaehrlich(E14)</f>
        <v/>
      </c>
      <c r="S14" t="n">
        <v>20</v>
      </c>
      <c r="T14" s="220">
        <f>IF(G14=TRUE,Q14/F14,Q14)</f>
        <v/>
      </c>
      <c r="U14" s="221">
        <f>$S14/100*$K14</f>
        <v/>
      </c>
    </row>
    <row r="15">
      <c r="A15" s="212" t="n">
        <v>2024</v>
      </c>
      <c r="B15" s="213" t="n">
        <v>14</v>
      </c>
      <c r="C15" s="71" t="inlineStr">
        <is>
          <t>Ausgaben</t>
        </is>
      </c>
      <c r="D15" t="inlineStr">
        <is>
          <t>sonstige Betriebsausgaben</t>
        </is>
      </c>
      <c r="E15" s="1" t="n">
        <v>45316</v>
      </c>
      <c r="F15" t="inlineStr">
        <is>
          <t>Hetzner Online GmbH, Industriestraße 25, 91710 Gunzenhausen</t>
        </is>
      </c>
      <c r="I15" t="b">
        <v>0</v>
      </c>
      <c r="J15" s="214" t="n">
        <v>10.08</v>
      </c>
      <c r="K15" s="215">
        <f>$J15*$L15</f>
        <v/>
      </c>
      <c r="L15" s="159" t="n">
        <v>1</v>
      </c>
      <c r="M15" s="159" t="n">
        <v>0</v>
      </c>
      <c r="N15" s="215">
        <f>$P15*$M15</f>
        <v/>
      </c>
      <c r="O15" s="215">
        <f>L15*$N15</f>
        <v/>
      </c>
      <c r="P15" s="215">
        <f>$J15/(100%+$M15)</f>
        <v/>
      </c>
      <c r="Q15" s="215">
        <f>$L15*$P15</f>
        <v/>
      </c>
      <c r="R15" s="192">
        <f>voranmeldefrist_vierteljaehrlich(E15)</f>
        <v/>
      </c>
      <c r="S15" t="n">
        <v>20</v>
      </c>
      <c r="T15" s="220">
        <f>IF(G15=TRUE,Q15/F15,Q15)</f>
        <v/>
      </c>
      <c r="U15" s="221">
        <f>$S15/100*$K15</f>
        <v/>
      </c>
    </row>
    <row r="16">
      <c r="A16" s="212" t="n">
        <v>2024</v>
      </c>
      <c r="B16" s="213" t="n">
        <v>15</v>
      </c>
      <c r="C16" s="71" t="inlineStr">
        <is>
          <t>Ausgaben</t>
        </is>
      </c>
      <c r="D16" t="inlineStr">
        <is>
          <t>Reise- und Fahrtspesen inkl. Kilometergeld und Diäten</t>
        </is>
      </c>
      <c r="E16" s="1" t="n">
        <v>45317</v>
      </c>
      <c r="F16" t="inlineStr">
        <is>
          <t>ISTmobil GmbH, Conrad-von-Hötzendorf-Straße 110, 8010 Graz</t>
        </is>
      </c>
      <c r="I16" t="b">
        <v>0</v>
      </c>
      <c r="J16" s="214" t="n">
        <v>6.5</v>
      </c>
      <c r="K16" s="215">
        <f>$J16*$L16</f>
        <v/>
      </c>
      <c r="L16" s="159" t="n">
        <v>1</v>
      </c>
      <c r="M16" s="159" t="n">
        <v>0.1</v>
      </c>
      <c r="N16" s="215">
        <f>$P16*$M16</f>
        <v/>
      </c>
      <c r="O16" s="215">
        <f>L16*$N16</f>
        <v/>
      </c>
      <c r="P16" s="215">
        <f>$J16/(100%+$M16)</f>
        <v/>
      </c>
      <c r="Q16" s="215">
        <f>$L16*$P16</f>
        <v/>
      </c>
      <c r="R16" s="192">
        <f>voranmeldefrist_vierteljaehrlich(E16)</f>
        <v/>
      </c>
      <c r="T16" s="220">
        <f>IF(G16=TRUE,Q16/F16,Q16)</f>
        <v/>
      </c>
      <c r="U16" s="221">
        <f>$S16/100*$K16</f>
        <v/>
      </c>
    </row>
    <row r="17">
      <c r="A17" s="212" t="n">
        <v>2024</v>
      </c>
      <c r="B17" s="213" t="n">
        <v>16</v>
      </c>
      <c r="C17" s="71" t="inlineStr">
        <is>
          <t>Ausgaben</t>
        </is>
      </c>
      <c r="D17" t="inlineStr">
        <is>
          <t>Reise- und Fahrtspesen inkl. Kilometergeld und Diäten</t>
        </is>
      </c>
      <c r="E17" s="1" t="n">
        <v>45320</v>
      </c>
      <c r="F17" t="inlineStr">
        <is>
          <t>Uber B.V. Burgenweeshuispad 301, 1076 HR Amsterdam</t>
        </is>
      </c>
      <c r="I17" t="b">
        <v>0</v>
      </c>
      <c r="J17" s="214" t="n">
        <v>11.14</v>
      </c>
      <c r="K17" s="215">
        <f>$J17*$L17</f>
        <v/>
      </c>
      <c r="L17" s="159" t="n">
        <v>1</v>
      </c>
      <c r="M17" s="159" t="n">
        <v>0</v>
      </c>
      <c r="N17" s="215">
        <f>$P17*$M17</f>
        <v/>
      </c>
      <c r="O17" s="215">
        <f>L17*$N17</f>
        <v/>
      </c>
      <c r="P17" s="215">
        <f>$J17/(100%+$M17)</f>
        <v/>
      </c>
      <c r="Q17" s="215">
        <f>$L17*$P17</f>
        <v/>
      </c>
      <c r="R17" s="192">
        <f>voranmeldefrist_vierteljaehrlich(E17)</f>
        <v/>
      </c>
      <c r="T17" s="220">
        <f>IF(G17=TRUE,Q17/F17,Q17)</f>
        <v/>
      </c>
      <c r="U17" s="221">
        <f>$S17/100*$K17</f>
        <v/>
      </c>
    </row>
    <row r="18">
      <c r="A18" s="212" t="n">
        <v>2024</v>
      </c>
      <c r="B18" s="213" t="n">
        <v>17</v>
      </c>
      <c r="C18" s="71" t="inlineStr">
        <is>
          <t>Ausgaben</t>
        </is>
      </c>
      <c r="D18" t="inlineStr">
        <is>
          <t>sonstige Betriebsausgaben</t>
        </is>
      </c>
      <c r="E18" s="1" t="n">
        <v>45322</v>
      </c>
      <c r="F18" t="inlineStr">
        <is>
          <t>Marktgemeinde Bisamberg, Hauptstraße 2, 2102 Bisamberg</t>
        </is>
      </c>
      <c r="I18" t="b">
        <v>0</v>
      </c>
      <c r="J18" s="214" t="n">
        <v>924.51</v>
      </c>
      <c r="K18" s="215">
        <f>$J18*$L18</f>
        <v/>
      </c>
      <c r="L18" s="159">
        <f>14.6/158.43</f>
        <v/>
      </c>
      <c r="M18" s="159" t="n">
        <v>0.2</v>
      </c>
      <c r="N18" s="215">
        <f>$P18*$M18</f>
        <v/>
      </c>
      <c r="O18" s="215">
        <f>L18*$N18</f>
        <v/>
      </c>
      <c r="P18" s="215">
        <f>$J18/(100%+$M18)</f>
        <v/>
      </c>
      <c r="Q18" s="215">
        <f>$L18*$P18</f>
        <v/>
      </c>
      <c r="R18" s="192">
        <f>voranmeldefrist_vierteljaehrlich(E18)</f>
        <v/>
      </c>
      <c r="T18" s="220">
        <f>IF(G18=TRUE,Q18/F18,Q18)</f>
        <v/>
      </c>
      <c r="U18" s="221">
        <f>$S18/100*$K18</f>
        <v/>
      </c>
    </row>
    <row r="19">
      <c r="A19" s="212" t="n">
        <v>2024</v>
      </c>
      <c r="B19" s="213" t="n">
        <v>18</v>
      </c>
      <c r="C19" s="71" t="inlineStr">
        <is>
          <t>Ausgaben</t>
        </is>
      </c>
      <c r="D19" t="inlineStr">
        <is>
          <t>Telefon/Internet</t>
        </is>
      </c>
      <c r="E19" s="1" t="n">
        <v>45323</v>
      </c>
      <c r="F19" t="inlineStr">
        <is>
          <t>Hutchison Drei Austria GmbH, Brünner Straße 52, 1210 Wien, Österreich</t>
        </is>
      </c>
      <c r="I19" t="b">
        <v>0</v>
      </c>
      <c r="J19" s="214" t="n">
        <v>12.9</v>
      </c>
      <c r="K19" s="215">
        <f>$J19*$L19</f>
        <v/>
      </c>
      <c r="L19" s="159" t="n">
        <v>1</v>
      </c>
      <c r="M19" s="159" t="n">
        <v>0.2</v>
      </c>
      <c r="N19" s="215">
        <f>$P19*$M19</f>
        <v/>
      </c>
      <c r="O19" s="215">
        <f>L19*$N19</f>
        <v/>
      </c>
      <c r="P19" s="215">
        <f>$J19/(100%+$M19)</f>
        <v/>
      </c>
      <c r="Q19" s="215">
        <f>$L19*$P19</f>
        <v/>
      </c>
      <c r="R19" s="192">
        <f>voranmeldefrist_vierteljaehrlich(E19)</f>
        <v/>
      </c>
      <c r="T19" s="220">
        <f>IF(G19=TRUE,Q19/F19,Q19)</f>
        <v/>
      </c>
      <c r="U19" s="221">
        <f>$S19/100*$K19</f>
        <v/>
      </c>
    </row>
    <row r="20">
      <c r="A20" s="212" t="n">
        <v>2024</v>
      </c>
      <c r="B20" s="213" t="n">
        <v>19</v>
      </c>
      <c r="C20" s="71" t="inlineStr">
        <is>
          <t>Ausgaben</t>
        </is>
      </c>
      <c r="D20" t="inlineStr">
        <is>
          <t>sonstige Betriebsausgaben</t>
        </is>
      </c>
      <c r="E20" s="1" t="n">
        <v>45323</v>
      </c>
      <c r="F20" t="inlineStr">
        <is>
          <t>Wirtschaftskammer Niederösterreich Grundumlage</t>
        </is>
      </c>
      <c r="I20" t="b">
        <v>0</v>
      </c>
      <c r="J20" s="214" t="n">
        <v>61</v>
      </c>
      <c r="K20" s="215">
        <f>$J20*$L20</f>
        <v/>
      </c>
      <c r="L20" s="159" t="n">
        <v>1</v>
      </c>
      <c r="M20" s="159" t="n">
        <v>0</v>
      </c>
      <c r="N20" s="215">
        <f>$P20*$M20</f>
        <v/>
      </c>
      <c r="O20" s="215">
        <f>L20*$N20</f>
        <v/>
      </c>
      <c r="P20" s="215">
        <f>$J20/(100%+$M20)</f>
        <v/>
      </c>
      <c r="Q20" s="215">
        <f>$L20*$P20</f>
        <v/>
      </c>
      <c r="R20" s="192">
        <f>voranmeldefrist_vierteljaehrlich(E20)</f>
        <v/>
      </c>
      <c r="T20" s="220">
        <f>IF(G20=TRUE,Q20/F20,Q20)</f>
        <v/>
      </c>
      <c r="U20" s="221">
        <f>$S20/100*$K20</f>
        <v/>
      </c>
    </row>
    <row r="21">
      <c r="A21" s="212" t="n">
        <v>2024</v>
      </c>
      <c r="B21" s="213" t="n">
        <v>20</v>
      </c>
      <c r="C21" s="71" t="inlineStr">
        <is>
          <t>Einnahmen</t>
        </is>
      </c>
      <c r="D21" t="inlineStr">
        <is>
          <t>Waren-/Leistungserlöse</t>
        </is>
      </c>
      <c r="E21" s="1" t="n">
        <v>45324</v>
      </c>
      <c r="F21" t="inlineStr">
        <is>
          <t>Hays Österreich GmbH, Bahnhof City Wien West - Europaplatz 3/5, 1150 Wien</t>
        </is>
      </c>
      <c r="J21" s="214" t="n">
        <v>13540.5</v>
      </c>
      <c r="K21" s="215">
        <f>$J21*$L21</f>
        <v/>
      </c>
      <c r="L21" s="159" t="n">
        <v>1</v>
      </c>
      <c r="M21" s="159" t="n">
        <v>0.2</v>
      </c>
      <c r="N21" s="215">
        <f>$P21*$M21</f>
        <v/>
      </c>
      <c r="O21" s="215">
        <f>L21*$N21</f>
        <v/>
      </c>
      <c r="P21" s="215">
        <f>$J21/(100%+$M21)</f>
        <v/>
      </c>
      <c r="Q21" s="215">
        <f>$L21*$P21</f>
        <v/>
      </c>
      <c r="R21" s="192">
        <f>voranmeldefrist_vierteljaehrlich(E21)</f>
        <v/>
      </c>
      <c r="T21" s="220">
        <f>IF(G21=TRUE,Q21/F21,Q21)</f>
        <v/>
      </c>
      <c r="U21" s="221">
        <f>$S21/100*$K21</f>
        <v/>
      </c>
    </row>
    <row r="22">
      <c r="A22" s="212" t="n">
        <v>2024</v>
      </c>
      <c r="B22" s="213" t="n">
        <v>21</v>
      </c>
      <c r="C22" s="71" t="inlineStr">
        <is>
          <t>Ausgaben</t>
        </is>
      </c>
      <c r="D22" t="inlineStr">
        <is>
          <t>sonstige Betriebsausgaben</t>
        </is>
      </c>
      <c r="E22" s="1" t="n">
        <v>45327</v>
      </c>
      <c r="F22" t="inlineStr">
        <is>
          <t>Google Ireland Ltd, Gordon House, Barrow Street, Dublin 4, Ireland; VAT number: IE 6388047V</t>
        </is>
      </c>
      <c r="I22" t="b">
        <v>0</v>
      </c>
      <c r="J22" s="214" t="n">
        <v>10.4</v>
      </c>
      <c r="K22" s="215">
        <f>$J22*$L22</f>
        <v/>
      </c>
      <c r="L22" s="159" t="n">
        <v>1</v>
      </c>
      <c r="M22" s="159" t="n">
        <v>0</v>
      </c>
      <c r="N22" s="215">
        <f>$P22*$M22</f>
        <v/>
      </c>
      <c r="O22" s="215">
        <f>L22*$N22</f>
        <v/>
      </c>
      <c r="P22" s="215">
        <f>$J22/(100%+$M22)</f>
        <v/>
      </c>
      <c r="Q22" s="215">
        <f>$L22*$P22</f>
        <v/>
      </c>
      <c r="R22" s="192">
        <f>voranmeldefrist_vierteljaehrlich(E22)</f>
        <v/>
      </c>
      <c r="S22" t="n">
        <v>20</v>
      </c>
      <c r="T22" s="220">
        <f>IF(G22=TRUE,Q22/F22,Q22)</f>
        <v/>
      </c>
      <c r="U22" s="221">
        <f>$S22/100*$K22</f>
        <v/>
      </c>
    </row>
    <row r="23">
      <c r="A23" s="212" t="n">
        <v>2024</v>
      </c>
      <c r="B23" s="213" t="n">
        <v>22</v>
      </c>
      <c r="C23" s="71" t="inlineStr">
        <is>
          <t>Ausgaben</t>
        </is>
      </c>
      <c r="D23" t="inlineStr">
        <is>
          <t>Zinsen und ähnliche Aufwendungen</t>
        </is>
      </c>
      <c r="E23" s="1" t="n">
        <v>45293</v>
      </c>
      <c r="F23" t="inlineStr">
        <is>
          <t>Erste Bank der österreichischen Sparkassen AG, Am Belvedere 1, 1100 Wien</t>
        </is>
      </c>
      <c r="I23" t="b">
        <v>0</v>
      </c>
      <c r="J23" s="214" t="n">
        <v>1701.85</v>
      </c>
      <c r="K23" s="215">
        <f>$J23*$L23</f>
        <v/>
      </c>
      <c r="L23" s="159">
        <f>14.6/158.43</f>
        <v/>
      </c>
      <c r="M23" s="159" t="n">
        <v>0</v>
      </c>
      <c r="N23" s="215">
        <f>$P23*$M23</f>
        <v/>
      </c>
      <c r="O23" s="215">
        <f>L23*$N23</f>
        <v/>
      </c>
      <c r="P23" s="215">
        <f>$J23/(100%+$M23)</f>
        <v/>
      </c>
      <c r="Q23" s="215">
        <f>$L23*$P23</f>
        <v/>
      </c>
      <c r="R23" s="192">
        <f>voranmeldefrist_vierteljaehrlich(E23)</f>
        <v/>
      </c>
      <c r="T23" s="220">
        <f>IF(G23=TRUE,Q23/F23,Q23)</f>
        <v/>
      </c>
      <c r="U23" s="221">
        <f>$S23/100*$K23</f>
        <v/>
      </c>
    </row>
    <row r="24">
      <c r="A24" s="212" t="n">
        <v>2024</v>
      </c>
      <c r="B24" s="213" t="n">
        <v>23</v>
      </c>
      <c r="C24" s="71" t="inlineStr">
        <is>
          <t>Ausgaben</t>
        </is>
      </c>
      <c r="D24" t="inlineStr">
        <is>
          <t>sonstige Betriebsausgaben</t>
        </is>
      </c>
      <c r="E24" s="1" t="n">
        <v>45293</v>
      </c>
      <c r="F24" t="inlineStr">
        <is>
          <t>Elektrotechnik Winkler GmbH</t>
        </is>
      </c>
      <c r="I24" t="b">
        <v>1</v>
      </c>
      <c r="J24" s="214" t="n">
        <v>24028.08</v>
      </c>
      <c r="K24" s="215">
        <f>$J24*$L24</f>
        <v/>
      </c>
      <c r="L24" s="159">
        <f>14.6/158.43</f>
        <v/>
      </c>
      <c r="M24" s="159" t="n">
        <v>0.2</v>
      </c>
      <c r="N24" s="215">
        <f>$P24*$M24</f>
        <v/>
      </c>
      <c r="O24" s="215">
        <f>L24*$N24</f>
        <v/>
      </c>
      <c r="P24" s="215">
        <f>$J24/(100%+$M24)</f>
        <v/>
      </c>
      <c r="Q24" s="215">
        <f>$L24*$P24</f>
        <v/>
      </c>
      <c r="R24" s="192">
        <f>voranmeldefrist_vierteljaehrlich(E24)</f>
        <v/>
      </c>
      <c r="T24" s="220">
        <f>IF(G24=TRUE,Q24/F24,Q24)</f>
        <v/>
      </c>
      <c r="U24" s="221">
        <f>$S24/100*$K24</f>
        <v/>
      </c>
    </row>
    <row r="25">
      <c r="A25" s="212" t="n">
        <v>2024</v>
      </c>
      <c r="B25" s="213" t="n">
        <v>24</v>
      </c>
      <c r="C25" s="71" t="inlineStr">
        <is>
          <t>Ausgaben</t>
        </is>
      </c>
      <c r="D25" t="inlineStr">
        <is>
          <t>sonstige Betriebsausgaben</t>
        </is>
      </c>
      <c r="E25" s="1" t="n">
        <v>45302</v>
      </c>
      <c r="F25" t="inlineStr">
        <is>
          <t>Elektrotechnik Winkler GmbH</t>
        </is>
      </c>
      <c r="I25" t="b">
        <v>1</v>
      </c>
      <c r="J25" s="214" t="n">
        <v>3000</v>
      </c>
      <c r="K25" s="215">
        <f>$J25*$L25</f>
        <v/>
      </c>
      <c r="L25" s="159">
        <f>14.6/158.43</f>
        <v/>
      </c>
      <c r="M25" s="159" t="n">
        <v>0.2</v>
      </c>
      <c r="N25" s="215">
        <f>$P25*$M25</f>
        <v/>
      </c>
      <c r="O25" s="215">
        <f>L25*$N25</f>
        <v/>
      </c>
      <c r="P25" s="215">
        <f>$J25/(100%+$M25)</f>
        <v/>
      </c>
      <c r="Q25" s="215">
        <f>$L25*$P25</f>
        <v/>
      </c>
      <c r="R25" s="192">
        <f>voranmeldefrist_vierteljaehrlich(E25)</f>
        <v/>
      </c>
      <c r="T25" s="220">
        <f>IF(G25=TRUE,Q25/F25,Q25)</f>
        <v/>
      </c>
      <c r="U25" s="221">
        <f>$S25/100*$K25</f>
        <v/>
      </c>
    </row>
    <row r="26">
      <c r="A26" s="212" t="n">
        <v>2024</v>
      </c>
      <c r="B26" s="213" t="n">
        <v>25</v>
      </c>
      <c r="C26" s="71" t="inlineStr">
        <is>
          <t>Ausgaben</t>
        </is>
      </c>
      <c r="D26" t="inlineStr">
        <is>
          <t>sonstige Betriebsausgaben</t>
        </is>
      </c>
      <c r="E26" s="1" t="n">
        <v>45327</v>
      </c>
      <c r="F26" t="inlineStr">
        <is>
          <t>Google Ireland Ltd, Gordon House, Barrow Street, Dublin 4, Ireland; VAT number: IE 6388047V</t>
        </is>
      </c>
      <c r="I26" t="b">
        <v>0</v>
      </c>
      <c r="J26" s="214" t="n">
        <v>10.4</v>
      </c>
      <c r="K26" s="215">
        <f>$J26*$L26</f>
        <v/>
      </c>
      <c r="L26" s="159" t="n">
        <v>1</v>
      </c>
      <c r="M26" s="159" t="n">
        <v>0</v>
      </c>
      <c r="N26" s="215">
        <f>$P26*$M26</f>
        <v/>
      </c>
      <c r="O26" s="215">
        <f>L26*$N26</f>
        <v/>
      </c>
      <c r="P26" s="215">
        <f>$J26/(100%+$M26)</f>
        <v/>
      </c>
      <c r="Q26" s="215">
        <f>$L26*$P26</f>
        <v/>
      </c>
      <c r="R26" s="192">
        <f>voranmeldefrist_vierteljaehrlich(E26)</f>
        <v/>
      </c>
      <c r="S26" t="n">
        <v>20</v>
      </c>
      <c r="T26" s="220">
        <f>IF(G26=TRUE,Q26/F26,Q26)</f>
        <v/>
      </c>
      <c r="U26" s="221">
        <f>$S26/100*$K26</f>
        <v/>
      </c>
    </row>
    <row r="27">
      <c r="A27" s="212" t="n">
        <v>2024</v>
      </c>
      <c r="B27" s="213" t="n">
        <v>26</v>
      </c>
      <c r="C27" s="71" t="inlineStr">
        <is>
          <t>Ausgaben</t>
        </is>
      </c>
      <c r="D27" t="inlineStr">
        <is>
          <t>sonstige Betriebsausgaben</t>
        </is>
      </c>
      <c r="E27" s="1" t="n">
        <v>45334</v>
      </c>
      <c r="F27" t="inlineStr">
        <is>
          <t>Wien Energie Vertrieb GmbH &amp; Co KG, 1030 Wien, Pf 520</t>
        </is>
      </c>
      <c r="I27" t="b">
        <v>0</v>
      </c>
      <c r="J27" s="214" t="n">
        <v>284</v>
      </c>
      <c r="K27" s="215">
        <f>$J27*$L27</f>
        <v/>
      </c>
      <c r="L27" s="159">
        <f>14.6/158.43</f>
        <v/>
      </c>
      <c r="M27" s="159" t="n">
        <v>0.2</v>
      </c>
      <c r="N27" s="215">
        <f>$P27*$M27</f>
        <v/>
      </c>
      <c r="O27" s="215">
        <f>L27*$N27</f>
        <v/>
      </c>
      <c r="P27" s="215">
        <f>$J27/(100%+$M27)</f>
        <v/>
      </c>
      <c r="Q27" s="215">
        <f>$L27*$P27</f>
        <v/>
      </c>
      <c r="R27" s="192">
        <f>voranmeldefrist_vierteljaehrlich(E27)</f>
        <v/>
      </c>
      <c r="T27" s="220">
        <f>IF(G27=TRUE,Q27/F27,Q27)</f>
        <v/>
      </c>
      <c r="U27" s="221">
        <f>$S27/100*$K27</f>
        <v/>
      </c>
    </row>
    <row r="28">
      <c r="A28" s="212" t="n">
        <v>2024</v>
      </c>
      <c r="B28" s="213" t="n">
        <v>27</v>
      </c>
      <c r="C28" s="71" t="inlineStr">
        <is>
          <t>Ausgaben</t>
        </is>
      </c>
      <c r="D28" t="inlineStr">
        <is>
          <t>Pflichversicherungsbeiträge</t>
        </is>
      </c>
      <c r="E28" s="1" t="n">
        <v>45334</v>
      </c>
      <c r="F28" t="inlineStr">
        <is>
          <t>Österreichische Gesundheitskasse</t>
        </is>
      </c>
      <c r="I28" t="b">
        <v>0</v>
      </c>
      <c r="J28" s="214" t="n">
        <v>119.52</v>
      </c>
      <c r="K28" s="215">
        <f>$J28*$L28</f>
        <v/>
      </c>
      <c r="L28" s="159" t="n">
        <v>1</v>
      </c>
      <c r="M28" s="159" t="n">
        <v>0</v>
      </c>
      <c r="N28" s="215">
        <f>$P28*$M28</f>
        <v/>
      </c>
      <c r="O28" s="215">
        <f>L28*$N28</f>
        <v/>
      </c>
      <c r="P28" s="215">
        <f>$J28/(100%+$M28)</f>
        <v/>
      </c>
      <c r="Q28" s="215">
        <f>$L28*$P28</f>
        <v/>
      </c>
      <c r="R28" s="192">
        <f>voranmeldefrist_vierteljaehrlich(E28)</f>
        <v/>
      </c>
      <c r="T28" s="220">
        <f>IF(G28=TRUE,Q28/F28,Q28)</f>
        <v/>
      </c>
      <c r="U28" s="221">
        <f>$S28/100*$K28</f>
        <v/>
      </c>
    </row>
    <row r="29">
      <c r="A29" s="212" t="n">
        <v>2024</v>
      </c>
      <c r="B29" s="213" t="n">
        <v>28</v>
      </c>
      <c r="C29" s="71" t="inlineStr">
        <is>
          <t>Ausgaben</t>
        </is>
      </c>
      <c r="D29" t="inlineStr">
        <is>
          <t>sonstige Betriebsausgaben</t>
        </is>
      </c>
      <c r="E29" s="1" t="n">
        <v>45335</v>
      </c>
      <c r="F29" t="inlineStr">
        <is>
          <t>Hetzner Online GmbH, Industriestraße 25, 91710 Gunzenhausen</t>
        </is>
      </c>
      <c r="I29" t="b">
        <v>0</v>
      </c>
      <c r="J29" s="214" t="n">
        <v>52.21</v>
      </c>
      <c r="K29" s="215">
        <f>$J29*$L29</f>
        <v/>
      </c>
      <c r="L29" s="159" t="n">
        <v>1</v>
      </c>
      <c r="M29" s="159" t="n">
        <v>0</v>
      </c>
      <c r="N29" s="215">
        <f>$P29*$M29</f>
        <v/>
      </c>
      <c r="O29" s="215">
        <f>L29*$N29</f>
        <v/>
      </c>
      <c r="P29" s="215">
        <f>$J29/(100%+$M29)</f>
        <v/>
      </c>
      <c r="Q29" s="215">
        <f>$L29*$P29</f>
        <v/>
      </c>
      <c r="R29" s="192">
        <f>voranmeldefrist_vierteljaehrlich(E29)</f>
        <v/>
      </c>
      <c r="S29" t="n">
        <v>20</v>
      </c>
      <c r="T29" s="220">
        <f>IF(G29=TRUE,Q29/F29,Q29)</f>
        <v/>
      </c>
      <c r="U29" s="221">
        <f>$S29/100*$K29</f>
        <v/>
      </c>
    </row>
    <row r="30">
      <c r="A30" s="212" t="n">
        <v>2024</v>
      </c>
      <c r="B30" s="213" t="n">
        <v>29</v>
      </c>
      <c r="C30" s="71" t="inlineStr">
        <is>
          <t>Ausgaben</t>
        </is>
      </c>
      <c r="D30" t="inlineStr">
        <is>
          <t>Personalaufwand</t>
        </is>
      </c>
      <c r="E30" s="1" t="n">
        <v>45337</v>
      </c>
      <c r="F30" t="inlineStr">
        <is>
          <t>Eva Jaros-Kolbitsch</t>
        </is>
      </c>
      <c r="I30" t="b">
        <v>0</v>
      </c>
      <c r="J30" s="214" t="n">
        <v>365</v>
      </c>
      <c r="K30" s="215">
        <f>$J30*$L30</f>
        <v/>
      </c>
      <c r="L30" s="159" t="n">
        <v>1</v>
      </c>
      <c r="M30" s="159" t="n">
        <v>0</v>
      </c>
      <c r="N30" s="215">
        <f>$P30*$M30</f>
        <v/>
      </c>
      <c r="O30" s="215">
        <f>L30*$N30</f>
        <v/>
      </c>
      <c r="P30" s="215">
        <f>$J30/(100%+$M30)</f>
        <v/>
      </c>
      <c r="Q30" s="215">
        <f>$L30*$P30</f>
        <v/>
      </c>
      <c r="R30" s="192">
        <f>voranmeldefrist_vierteljaehrlich(E30)</f>
        <v/>
      </c>
      <c r="T30" s="220">
        <f>IF(G30=TRUE,Q30/F30,Q30)</f>
        <v/>
      </c>
      <c r="U30" s="221">
        <f>$S30/100*$K30</f>
        <v/>
      </c>
    </row>
    <row r="31">
      <c r="A31" s="212" t="n">
        <v>2024</v>
      </c>
      <c r="B31" s="213" t="n">
        <v>30</v>
      </c>
      <c r="C31" s="71" t="inlineStr">
        <is>
          <t>Ausgaben</t>
        </is>
      </c>
      <c r="D31" t="inlineStr">
        <is>
          <t>sonstige Betriebsausgaben</t>
        </is>
      </c>
      <c r="E31" s="1" t="n">
        <v>45342</v>
      </c>
      <c r="F31" t="inlineStr">
        <is>
          <t>Microsoft Ireland Operations Ltd. One Microsoft Place, South County, Business Park, Leopardstown, Dublin 18, D18 P521, Ireland</t>
        </is>
      </c>
      <c r="I31" t="b">
        <v>0</v>
      </c>
      <c r="J31" s="214" t="n">
        <v>11.7</v>
      </c>
      <c r="K31" s="215">
        <f>$J31*$L31</f>
        <v/>
      </c>
      <c r="L31" s="159" t="n">
        <v>1</v>
      </c>
      <c r="M31" s="159" t="n">
        <v>0</v>
      </c>
      <c r="N31" s="215">
        <f>$P31*$M31</f>
        <v/>
      </c>
      <c r="O31" s="215">
        <f>L31*$N31</f>
        <v/>
      </c>
      <c r="P31" s="215">
        <f>$J31/(100%+$M31)</f>
        <v/>
      </c>
      <c r="Q31" s="215">
        <f>$L31*$P31</f>
        <v/>
      </c>
      <c r="R31" s="192">
        <f>voranmeldefrist_vierteljaehrlich(E31)</f>
        <v/>
      </c>
      <c r="S31" t="n">
        <v>20</v>
      </c>
      <c r="T31" s="220">
        <f>IF(G31=TRUE,Q31/F31,Q31)</f>
        <v/>
      </c>
      <c r="U31" s="221">
        <f>$S31/100*$K31</f>
        <v/>
      </c>
    </row>
    <row r="32">
      <c r="A32" s="212" t="n">
        <v>2024</v>
      </c>
      <c r="B32" s="222" t="n">
        <v>31</v>
      </c>
      <c r="C32" s="71" t="inlineStr">
        <is>
          <t>Ausgaben</t>
        </is>
      </c>
      <c r="D32" t="inlineStr">
        <is>
          <t>sonstige Betriebsausgaben</t>
        </is>
      </c>
      <c r="E32" s="1" t="n">
        <v>45345</v>
      </c>
      <c r="F32" t="inlineStr">
        <is>
          <t>Hetzner Online GmbH, Industriestraße 25, 91710 Gunzenhausen</t>
        </is>
      </c>
      <c r="I32" t="b">
        <v>0</v>
      </c>
      <c r="J32" s="214" t="n">
        <v>1.76</v>
      </c>
      <c r="K32" s="215">
        <f>$J32*$L32</f>
        <v/>
      </c>
      <c r="L32" s="159" t="n">
        <v>1</v>
      </c>
      <c r="M32" s="159" t="n">
        <v>0</v>
      </c>
      <c r="N32" s="215">
        <f>$P32*$M32</f>
        <v/>
      </c>
      <c r="O32" s="215">
        <f>L32*$N32</f>
        <v/>
      </c>
      <c r="P32" s="215">
        <f>$J32/(100%+$M32)</f>
        <v/>
      </c>
      <c r="Q32" s="215">
        <f>$L32*$P32</f>
        <v/>
      </c>
      <c r="R32" s="192">
        <f>voranmeldefrist_vierteljaehrlich(E32)</f>
        <v/>
      </c>
      <c r="S32" t="n">
        <v>20</v>
      </c>
      <c r="T32" s="220">
        <f>IF(G32=TRUE,Q32/F32,Q32)</f>
        <v/>
      </c>
      <c r="U32" s="221">
        <f>$S32/100*$K32</f>
        <v/>
      </c>
    </row>
    <row r="33">
      <c r="A33" s="212" t="n">
        <v>2024</v>
      </c>
      <c r="B33" s="222" t="n">
        <v>32</v>
      </c>
      <c r="C33" s="71" t="inlineStr">
        <is>
          <t>Ausgaben</t>
        </is>
      </c>
      <c r="D33" t="inlineStr">
        <is>
          <t>sonstige Betriebsausgaben</t>
        </is>
      </c>
      <c r="E33" s="1" t="n">
        <v>45348</v>
      </c>
      <c r="F33" t="inlineStr">
        <is>
          <t>EVN Wasser GmbH</t>
        </is>
      </c>
      <c r="I33" t="b">
        <v>0</v>
      </c>
      <c r="J33" s="214" t="n">
        <v>55</v>
      </c>
      <c r="K33" s="215">
        <f>$J33*$L33</f>
        <v/>
      </c>
      <c r="L33" s="159">
        <f>14.6/158.43</f>
        <v/>
      </c>
      <c r="M33" s="159" t="n">
        <v>0.1</v>
      </c>
      <c r="N33" s="215">
        <f>$P33*$M33</f>
        <v/>
      </c>
      <c r="O33" s="215">
        <f>L33*$N33</f>
        <v/>
      </c>
      <c r="P33" s="215">
        <f>$J33/(100%+$M33)</f>
        <v/>
      </c>
      <c r="Q33" s="215">
        <f>$L33*$P33</f>
        <v/>
      </c>
      <c r="R33" s="192">
        <f>voranmeldefrist_vierteljaehrlich(E33)</f>
        <v/>
      </c>
      <c r="T33" s="220">
        <f>IF(G33=TRUE,Q33/F33,Q33)</f>
        <v/>
      </c>
      <c r="U33" s="221">
        <f>$S33/100*$K33</f>
        <v/>
      </c>
    </row>
    <row r="34">
      <c r="A34" s="212" t="n">
        <v>2024</v>
      </c>
      <c r="B34" s="222" t="n">
        <v>33</v>
      </c>
      <c r="C34" s="71" t="inlineStr">
        <is>
          <t>Ausgaben</t>
        </is>
      </c>
      <c r="D34" t="inlineStr">
        <is>
          <t>sonstige Betriebsausgaben</t>
        </is>
      </c>
      <c r="E34" s="1" t="n">
        <v>45348</v>
      </c>
      <c r="F34" t="inlineStr">
        <is>
          <t>OpenAI, LLC, 548 Market Street, PMB 97273, San Francisco, California 94104-5401, United States</t>
        </is>
      </c>
      <c r="I34" t="b">
        <v>0</v>
      </c>
      <c r="J34" s="214" t="n">
        <v>22.55</v>
      </c>
      <c r="K34" s="215">
        <f>$J34*$L34</f>
        <v/>
      </c>
      <c r="L34" s="159" t="n">
        <v>1</v>
      </c>
      <c r="M34" s="159" t="n">
        <v>0.2</v>
      </c>
      <c r="N34" s="215">
        <f>$P34*$M34</f>
        <v/>
      </c>
      <c r="O34" s="215">
        <f>L34*$N34</f>
        <v/>
      </c>
      <c r="P34" s="215">
        <f>($J34-0.32)/(100%+$M34)</f>
        <v/>
      </c>
      <c r="Q34" s="215">
        <f>$L34*$P34</f>
        <v/>
      </c>
      <c r="R34" s="192">
        <f>voranmeldefrist_vierteljaehrlich(E34)</f>
        <v/>
      </c>
      <c r="T34" s="220">
        <f>IF(G34=TRUE,Q34/F34,Q34)</f>
        <v/>
      </c>
      <c r="U34" s="221">
        <f>$S34/100*$K34</f>
        <v/>
      </c>
    </row>
    <row r="35">
      <c r="A35" s="212" t="n">
        <v>2024</v>
      </c>
      <c r="B35" s="222" t="n">
        <v>34</v>
      </c>
      <c r="C35" s="71" t="inlineStr">
        <is>
          <t>Ausgaben</t>
        </is>
      </c>
      <c r="D35" t="inlineStr">
        <is>
          <t>Pflichversicherungsbeiträge</t>
        </is>
      </c>
      <c r="E35" s="1" t="n">
        <v>45351</v>
      </c>
      <c r="F35" t="inlineStr">
        <is>
          <t>SVS</t>
        </is>
      </c>
      <c r="I35" t="b">
        <v>0</v>
      </c>
      <c r="J35" s="214" t="n">
        <v>5053.16</v>
      </c>
      <c r="K35" s="215">
        <f>$J35*$L35</f>
        <v/>
      </c>
      <c r="L35" s="159" t="n">
        <v>1</v>
      </c>
      <c r="M35" s="159" t="n">
        <v>0</v>
      </c>
      <c r="N35" s="215">
        <f>$P35*$M35</f>
        <v/>
      </c>
      <c r="O35" s="215">
        <f>L35*$N35</f>
        <v/>
      </c>
      <c r="P35" s="215">
        <f>$J35/(100%+$M35)</f>
        <v/>
      </c>
      <c r="Q35" s="215">
        <f>$L35*$P35</f>
        <v/>
      </c>
      <c r="R35" s="192">
        <f>voranmeldefrist_vierteljaehrlich(E35)</f>
        <v/>
      </c>
      <c r="T35" s="220">
        <f>IF(G35=TRUE,Q35/F35,Q35)</f>
        <v/>
      </c>
      <c r="U35" s="221">
        <f>$S35/100*$K35</f>
        <v/>
      </c>
    </row>
    <row r="36">
      <c r="A36" s="212" t="n">
        <v>2024</v>
      </c>
      <c r="B36" s="222" t="n">
        <v>35</v>
      </c>
      <c r="C36" s="71" t="inlineStr">
        <is>
          <t>Ausgaben</t>
        </is>
      </c>
      <c r="D36" t="inlineStr">
        <is>
          <t>sonstige Betriebsausgaben</t>
        </is>
      </c>
      <c r="E36" s="1" t="n">
        <v>45355</v>
      </c>
      <c r="F36" t="inlineStr">
        <is>
          <t>Marktgemeinde Bisamberg, Hauptstraße 2, 2102 Bisamberg</t>
        </is>
      </c>
      <c r="I36" t="b">
        <v>0</v>
      </c>
      <c r="J36" s="214" t="n">
        <v>5129.15</v>
      </c>
      <c r="K36" s="215">
        <f>$J36*$L36</f>
        <v/>
      </c>
      <c r="L36" s="159">
        <f>14.6/158.43</f>
        <v/>
      </c>
      <c r="M36" s="159" t="n">
        <v>0</v>
      </c>
      <c r="N36" s="215">
        <f>$P36*$M36</f>
        <v/>
      </c>
      <c r="O36" s="215">
        <f>L36*$N36</f>
        <v/>
      </c>
      <c r="P36" s="215">
        <f>$J36/(100%+$M36)</f>
        <v/>
      </c>
      <c r="Q36" s="215">
        <f>$L36*$P36</f>
        <v/>
      </c>
      <c r="R36" s="192">
        <f>voranmeldefrist_vierteljaehrlich(E36)</f>
        <v/>
      </c>
      <c r="T36" s="220">
        <f>IF(G36=TRUE,Q36/F36,Q36)</f>
        <v/>
      </c>
      <c r="U36" s="221">
        <f>$S36/100*$K36</f>
        <v/>
      </c>
    </row>
    <row r="37">
      <c r="A37" s="212" t="n">
        <v>2024</v>
      </c>
      <c r="B37" s="222" t="n">
        <v>36</v>
      </c>
      <c r="C37" s="71" t="inlineStr">
        <is>
          <t>Ausgaben</t>
        </is>
      </c>
      <c r="D37" t="inlineStr">
        <is>
          <t>sonstige Betriebsausgaben</t>
        </is>
      </c>
      <c r="E37" s="1" t="n">
        <v>45355</v>
      </c>
      <c r="F37" t="inlineStr">
        <is>
          <t>Google Ireland Ltd, Gordon House, Barrow Street, Dublin 4, Ireland; VAT number: IE 6388047V</t>
        </is>
      </c>
      <c r="I37" t="b">
        <v>0</v>
      </c>
      <c r="J37" s="214" t="n">
        <v>10.4</v>
      </c>
      <c r="K37" s="215">
        <f>$J37*$L37</f>
        <v/>
      </c>
      <c r="L37" s="159" t="n">
        <v>1</v>
      </c>
      <c r="M37" s="159" t="n">
        <v>0</v>
      </c>
      <c r="N37" s="215">
        <f>$P37*$M37</f>
        <v/>
      </c>
      <c r="O37" s="215">
        <f>L37*$N37</f>
        <v/>
      </c>
      <c r="P37" s="215">
        <f>$J37/(100%+$M37)</f>
        <v/>
      </c>
      <c r="Q37" s="215">
        <f>$L37*$P37</f>
        <v/>
      </c>
      <c r="R37" s="192">
        <f>voranmeldefrist_vierteljaehrlich(E37)</f>
        <v/>
      </c>
      <c r="S37" t="n">
        <v>20</v>
      </c>
      <c r="T37" s="220">
        <f>IF(G37=TRUE,Q37/F37,Q37)</f>
        <v/>
      </c>
      <c r="U37" s="221">
        <f>$S37/100*$K37</f>
        <v/>
      </c>
    </row>
    <row r="38">
      <c r="A38" s="212" t="n">
        <v>2024</v>
      </c>
      <c r="B38" s="222" t="n">
        <v>37</v>
      </c>
      <c r="C38" s="71" t="inlineStr">
        <is>
          <t>Ausgaben</t>
        </is>
      </c>
      <c r="D38" t="inlineStr">
        <is>
          <t>Telefon/Internet</t>
        </is>
      </c>
      <c r="E38" s="1" t="n">
        <v>45356</v>
      </c>
      <c r="F38" t="inlineStr">
        <is>
          <t>Hutchison Drei Austria GmbH, Brünner Straße 52, 1210 Wien, Österreich</t>
        </is>
      </c>
      <c r="I38" t="b">
        <v>0</v>
      </c>
      <c r="J38" s="214" t="n">
        <v>12.9</v>
      </c>
      <c r="K38" s="215">
        <f>$J38*$L38</f>
        <v/>
      </c>
      <c r="L38" s="159" t="n">
        <v>1</v>
      </c>
      <c r="M38" s="159" t="n">
        <v>0.2</v>
      </c>
      <c r="N38" s="215">
        <f>$P38*$M38</f>
        <v/>
      </c>
      <c r="O38" s="215">
        <f>L38*$N38</f>
        <v/>
      </c>
      <c r="P38" s="215">
        <f>$J38/(100%+$M38)</f>
        <v/>
      </c>
      <c r="Q38" s="215">
        <f>$L38*$P38</f>
        <v/>
      </c>
      <c r="R38" s="192">
        <f>voranmeldefrist_vierteljaehrlich(E38)</f>
        <v/>
      </c>
      <c r="T38" s="220">
        <f>IF(G38=TRUE,Q38/F38,Q38)</f>
        <v/>
      </c>
      <c r="U38" s="221">
        <f>$S38/100*$K38</f>
        <v/>
      </c>
    </row>
    <row r="39">
      <c r="A39" s="212" t="n">
        <v>2024</v>
      </c>
      <c r="B39" s="222" t="n">
        <v>38</v>
      </c>
      <c r="C39" s="71" t="inlineStr">
        <is>
          <t>Ausgaben</t>
        </is>
      </c>
      <c r="D39" t="inlineStr">
        <is>
          <t>sonstige Betriebsausgaben</t>
        </is>
      </c>
      <c r="E39" s="1" t="n">
        <v>45357</v>
      </c>
      <c r="F39" t="inlineStr">
        <is>
          <t>Wien Energie Vertrieb GmbH &amp; Co KG, 1030 Wien, Pf 520</t>
        </is>
      </c>
      <c r="I39" t="b">
        <v>0</v>
      </c>
      <c r="J39" s="214" t="n">
        <v>24</v>
      </c>
      <c r="K39" s="215">
        <f>$J39*$L39</f>
        <v/>
      </c>
      <c r="L39" s="159">
        <f>14.6/158.43</f>
        <v/>
      </c>
      <c r="M39" s="159" t="n">
        <v>0.2</v>
      </c>
      <c r="N39" s="215">
        <f>$P39*$M39</f>
        <v/>
      </c>
      <c r="O39" s="215">
        <f>L39*$N39</f>
        <v/>
      </c>
      <c r="P39" s="215">
        <f>$J39/(100%+$M39)</f>
        <v/>
      </c>
      <c r="Q39" s="215">
        <f>$L39*$P39</f>
        <v/>
      </c>
      <c r="R39" s="192">
        <f>voranmeldefrist_vierteljaehrlich(E39)</f>
        <v/>
      </c>
      <c r="T39" s="220">
        <f>IF(G39=TRUE,Q39/F39,Q39)</f>
        <v/>
      </c>
      <c r="U39" s="221">
        <f>$S39/100*$K39</f>
        <v/>
      </c>
    </row>
    <row r="40">
      <c r="A40" s="212" t="n">
        <v>2024</v>
      </c>
      <c r="B40" s="222" t="n">
        <v>39</v>
      </c>
      <c r="C40" s="71" t="inlineStr">
        <is>
          <t>Ausgaben</t>
        </is>
      </c>
      <c r="D40" t="inlineStr">
        <is>
          <t>Reise- und Fahrtspesen inkl. Kilometergeld und Diäten</t>
        </is>
      </c>
      <c r="E40" s="1" t="n">
        <v>45357</v>
      </c>
      <c r="F40" t="inlineStr">
        <is>
          <t>ISTmobil GmbH, Conrad-von-Hötzendorf-Straße 110, 8010 Graz</t>
        </is>
      </c>
      <c r="I40" t="b">
        <v>0</v>
      </c>
      <c r="J40" s="214" t="n">
        <v>6.6</v>
      </c>
      <c r="K40" s="215">
        <f>$J40*$L40</f>
        <v/>
      </c>
      <c r="L40" s="159" t="n">
        <v>1</v>
      </c>
      <c r="M40" s="159" t="n">
        <v>0.1</v>
      </c>
      <c r="N40" s="215">
        <f>$P40*$M40</f>
        <v/>
      </c>
      <c r="O40" s="215">
        <f>L40*$N40</f>
        <v/>
      </c>
      <c r="P40" s="215">
        <f>$J40/(100%+$M40)</f>
        <v/>
      </c>
      <c r="Q40" s="215">
        <f>$L40*$P40</f>
        <v/>
      </c>
      <c r="R40" s="192">
        <f>voranmeldefrist_vierteljaehrlich(E40)</f>
        <v/>
      </c>
      <c r="T40" s="220">
        <f>IF(G40=TRUE,Q40/F40,Q40)</f>
        <v/>
      </c>
      <c r="U40" s="221">
        <f>$S40/100*$K40</f>
        <v/>
      </c>
    </row>
    <row r="41">
      <c r="A41" s="212" t="n">
        <v>2024</v>
      </c>
      <c r="B41" s="222" t="n">
        <v>40</v>
      </c>
      <c r="C41" s="71" t="inlineStr">
        <is>
          <t>Ausgaben</t>
        </is>
      </c>
      <c r="D41" t="inlineStr">
        <is>
          <t>sonstige Betriebsausgaben</t>
        </is>
      </c>
      <c r="E41" s="1" t="n">
        <v>45357</v>
      </c>
      <c r="F41" t="inlineStr">
        <is>
          <t>Wien Energie Vertrieb GmbH &amp; Co KG, 1030 Wien, Pf 520</t>
        </is>
      </c>
      <c r="I41" t="b">
        <v>0</v>
      </c>
      <c r="J41" s="214" t="n">
        <v>257.74</v>
      </c>
      <c r="K41" s="215">
        <f>$J41*$L41</f>
        <v/>
      </c>
      <c r="L41" s="159">
        <f>14.6/158.43</f>
        <v/>
      </c>
      <c r="M41" s="159" t="n">
        <v>0.2</v>
      </c>
      <c r="N41" s="215">
        <f>$P41*$M41</f>
        <v/>
      </c>
      <c r="O41" s="215">
        <f>L41*$N41</f>
        <v/>
      </c>
      <c r="P41" s="215">
        <f>$J41/(100%+$M41)</f>
        <v/>
      </c>
      <c r="Q41" s="215">
        <f>$L41*$P41</f>
        <v/>
      </c>
      <c r="R41" s="192">
        <f>voranmeldefrist_vierteljaehrlich(E41)</f>
        <v/>
      </c>
      <c r="T41" s="220">
        <f>IF(G41=TRUE,Q41/F41,Q41)</f>
        <v/>
      </c>
      <c r="U41" s="221">
        <f>$S41/100*$K41</f>
        <v/>
      </c>
    </row>
    <row r="42">
      <c r="A42" s="212" t="n">
        <v>2024</v>
      </c>
      <c r="B42" s="222" t="n">
        <v>41</v>
      </c>
      <c r="C42" s="71" t="inlineStr">
        <is>
          <t>Ausgaben</t>
        </is>
      </c>
      <c r="D42" t="inlineStr">
        <is>
          <t>sonstige Betriebsausgaben</t>
        </is>
      </c>
      <c r="E42" s="1" t="n">
        <v>45364</v>
      </c>
      <c r="F42" t="inlineStr">
        <is>
          <t>Hetzner Online GmbH, Industriestraße 25, 91710 Gunzenhausen</t>
        </is>
      </c>
      <c r="I42" t="b">
        <v>0</v>
      </c>
      <c r="J42" s="214" t="n">
        <v>1.76</v>
      </c>
      <c r="K42" s="215">
        <f>$J42*$L42</f>
        <v/>
      </c>
      <c r="L42" s="159" t="n">
        <v>1</v>
      </c>
      <c r="M42" s="159" t="n">
        <v>0</v>
      </c>
      <c r="N42" s="215">
        <f>$P42*$M42</f>
        <v/>
      </c>
      <c r="O42" s="215">
        <f>L42*$N42</f>
        <v/>
      </c>
      <c r="P42" s="215">
        <f>$J42/(100%+$M42)</f>
        <v/>
      </c>
      <c r="Q42" s="215">
        <f>$L42*$P42</f>
        <v/>
      </c>
      <c r="R42" s="192">
        <f>voranmeldefrist_vierteljaehrlich(E42)</f>
        <v/>
      </c>
      <c r="S42" t="n">
        <v>20</v>
      </c>
      <c r="T42" s="220">
        <f>IF(G42=TRUE,Q42/F42,Q42)</f>
        <v/>
      </c>
      <c r="U42" s="221">
        <f>$S42/100*$K42</f>
        <v/>
      </c>
    </row>
    <row r="43">
      <c r="A43" s="212" t="n">
        <v>2024</v>
      </c>
      <c r="B43" s="222" t="n">
        <v>42</v>
      </c>
      <c r="C43" s="71" t="inlineStr">
        <is>
          <t>Ausgaben</t>
        </is>
      </c>
      <c r="D43" t="inlineStr">
        <is>
          <t>Personalaufwand</t>
        </is>
      </c>
      <c r="E43" s="1" t="n">
        <v>45366</v>
      </c>
      <c r="F43" t="inlineStr">
        <is>
          <t>Eva Jaros-Kolbitsch</t>
        </is>
      </c>
      <c r="I43" t="b">
        <v>0</v>
      </c>
      <c r="J43" s="214" t="n">
        <v>365</v>
      </c>
      <c r="K43" s="215">
        <f>$J43*$L43</f>
        <v/>
      </c>
      <c r="L43" s="159" t="n">
        <v>1</v>
      </c>
      <c r="M43" s="159" t="n">
        <v>0</v>
      </c>
      <c r="N43" s="215">
        <f>$P43*$M43</f>
        <v/>
      </c>
      <c r="O43" s="215">
        <f>L43*$N43</f>
        <v/>
      </c>
      <c r="P43" s="215">
        <f>$J43/(100%+$M43)</f>
        <v/>
      </c>
      <c r="Q43" s="215">
        <f>$L43*$P43</f>
        <v/>
      </c>
      <c r="R43" s="192">
        <f>voranmeldefrist_vierteljaehrlich(E43)</f>
        <v/>
      </c>
      <c r="T43" s="220">
        <f>IF(G43=TRUE,Q43/F43,Q43)</f>
        <v/>
      </c>
      <c r="U43" s="221">
        <f>$S43/100*$K43</f>
        <v/>
      </c>
    </row>
    <row r="44">
      <c r="A44" s="212" t="n">
        <v>2024</v>
      </c>
      <c r="B44" s="222" t="n">
        <v>43</v>
      </c>
      <c r="C44" s="71" t="inlineStr">
        <is>
          <t>Einnahmen</t>
        </is>
      </c>
      <c r="D44" t="inlineStr">
        <is>
          <t>Waren-/Leistungserlöse</t>
        </is>
      </c>
      <c r="E44" s="1" t="n">
        <v>45366</v>
      </c>
      <c r="F44" t="inlineStr">
        <is>
          <t>Hays Österreich GmbH, Bahnhof City Wien West - Europaplatz 3/5, 1150 Wien</t>
        </is>
      </c>
      <c r="J44" s="214" t="n">
        <v>22081.73</v>
      </c>
      <c r="K44" s="215">
        <f>$J44*$L44</f>
        <v/>
      </c>
      <c r="L44" s="159" t="n">
        <v>1</v>
      </c>
      <c r="M44" s="159" t="n">
        <v>0.2</v>
      </c>
      <c r="N44" s="215">
        <f>$P44*$M44</f>
        <v/>
      </c>
      <c r="O44" s="215">
        <f>L44*$N44</f>
        <v/>
      </c>
      <c r="P44" s="215">
        <f>$J44/(100%+$M44)</f>
        <v/>
      </c>
      <c r="Q44" s="215">
        <f>$L44*$P44</f>
        <v/>
      </c>
      <c r="R44" s="192">
        <f>voranmeldefrist_vierteljaehrlich(E44)</f>
        <v/>
      </c>
      <c r="T44" s="220">
        <f>IF(G44=TRUE,Q44/F44,Q44)</f>
        <v/>
      </c>
      <c r="U44" s="221">
        <f>$S44/100*$K44</f>
        <v/>
      </c>
    </row>
    <row r="45">
      <c r="A45" s="212" t="n">
        <v>2024</v>
      </c>
      <c r="B45" s="222" t="n">
        <v>44</v>
      </c>
      <c r="C45" s="71" t="inlineStr">
        <is>
          <t>Ausgaben</t>
        </is>
      </c>
      <c r="D45" t="inlineStr">
        <is>
          <t>sonstige Betriebsausgaben</t>
        </is>
      </c>
      <c r="E45" s="1" t="n">
        <v>45371</v>
      </c>
      <c r="F45" t="inlineStr">
        <is>
          <t>easyname</t>
        </is>
      </c>
      <c r="I45" t="b">
        <v>0</v>
      </c>
      <c r="J45" s="214" t="n">
        <v>23.9</v>
      </c>
      <c r="K45" s="215">
        <f>$J45*$L45</f>
        <v/>
      </c>
      <c r="L45" s="159" t="n">
        <v>1</v>
      </c>
      <c r="M45" s="159" t="n">
        <v>0.2</v>
      </c>
      <c r="N45" s="215">
        <f>$P45*$M45</f>
        <v/>
      </c>
      <c r="O45" s="215">
        <f>L45*$N45</f>
        <v/>
      </c>
      <c r="P45" s="215">
        <f>$J45/(100%+$M45)</f>
        <v/>
      </c>
      <c r="Q45" s="215">
        <f>$L45*$P45</f>
        <v/>
      </c>
      <c r="R45" s="192">
        <f>voranmeldefrist_vierteljaehrlich(E45)</f>
        <v/>
      </c>
      <c r="T45" s="220">
        <f>IF(G45=TRUE,Q45/F45,Q45)</f>
        <v/>
      </c>
      <c r="U45" s="221">
        <f>$S45/100*$K45</f>
        <v/>
      </c>
    </row>
    <row r="46">
      <c r="A46" s="212" t="n">
        <v>2024</v>
      </c>
      <c r="B46" s="222" t="n">
        <v>45</v>
      </c>
      <c r="C46" s="71" t="inlineStr">
        <is>
          <t>Ausgaben</t>
        </is>
      </c>
      <c r="D46" t="inlineStr">
        <is>
          <t>sonstige Betriebsausgaben</t>
        </is>
      </c>
      <c r="E46" s="1" t="n">
        <v>45371</v>
      </c>
      <c r="F46" t="inlineStr">
        <is>
          <t>Microsoft Ireland Operations Ltd. One Microsoft Place, South County, Business Park, Leopardstown, Dublin 18, D18 P521, Ireland</t>
        </is>
      </c>
      <c r="I46" t="b">
        <v>0</v>
      </c>
      <c r="J46" s="214" t="n">
        <v>11.7</v>
      </c>
      <c r="K46" s="215">
        <f>$J46*$L46</f>
        <v/>
      </c>
      <c r="L46" s="159" t="n">
        <v>1</v>
      </c>
      <c r="M46" s="159" t="n">
        <v>0</v>
      </c>
      <c r="N46" s="215">
        <f>$P46*$M46</f>
        <v/>
      </c>
      <c r="O46" s="215">
        <f>L46*$N46</f>
        <v/>
      </c>
      <c r="P46" s="215">
        <f>$J46/(100%+$M46)</f>
        <v/>
      </c>
      <c r="Q46" s="215">
        <f>$L46*$P46</f>
        <v/>
      </c>
      <c r="R46" s="192">
        <f>voranmeldefrist_vierteljaehrlich(E46)</f>
        <v/>
      </c>
      <c r="S46" t="n">
        <v>20</v>
      </c>
      <c r="T46" s="220">
        <f>IF(G46=TRUE,Q46/F46,Q46)</f>
        <v/>
      </c>
      <c r="U46" s="221">
        <f>$S46/100*$K46</f>
        <v/>
      </c>
    </row>
    <row r="47">
      <c r="A47" s="212" t="n">
        <v>2024</v>
      </c>
      <c r="B47" s="222" t="n">
        <v>46</v>
      </c>
      <c r="C47" s="71" t="inlineStr">
        <is>
          <t>Ausgaben</t>
        </is>
      </c>
      <c r="D47" t="inlineStr">
        <is>
          <t>sonstige Betriebsausgaben</t>
        </is>
      </c>
      <c r="E47" s="1" t="n">
        <v>45376</v>
      </c>
      <c r="F47" t="inlineStr">
        <is>
          <t>OpenAI, LLC, 548 Market Street, PMB 97273, San Francisco, California 94104-5401, United States</t>
        </is>
      </c>
      <c r="I47" t="b">
        <v>0</v>
      </c>
      <c r="J47" s="214" t="n">
        <v>22.55</v>
      </c>
      <c r="K47" s="215">
        <f>$J47*$L47</f>
        <v/>
      </c>
      <c r="L47" s="159" t="n">
        <v>1</v>
      </c>
      <c r="M47" s="159" t="n">
        <v>0.2</v>
      </c>
      <c r="N47" s="215">
        <f>$P47*$M47</f>
        <v/>
      </c>
      <c r="O47" s="215">
        <f>L47*$N47</f>
        <v/>
      </c>
      <c r="P47" s="215">
        <f>($J47-0.32)/(100%+$M47)</f>
        <v/>
      </c>
      <c r="Q47" s="215">
        <f>$L47*$P47</f>
        <v/>
      </c>
      <c r="R47" s="192">
        <f>voranmeldefrist_vierteljaehrlich(E47)</f>
        <v/>
      </c>
      <c r="T47" s="220">
        <f>IF(G47=TRUE,Q47/F47,Q47)</f>
        <v/>
      </c>
      <c r="U47" s="221">
        <f>$S47/100*$K47</f>
        <v/>
      </c>
    </row>
    <row r="48">
      <c r="A48" s="212" t="n">
        <v>2024</v>
      </c>
      <c r="B48" s="222" t="n">
        <v>47</v>
      </c>
      <c r="C48" s="71" t="inlineStr">
        <is>
          <t>Ausgaben</t>
        </is>
      </c>
      <c r="D48" t="inlineStr">
        <is>
          <t>sonstige Betriebsausgaben</t>
        </is>
      </c>
      <c r="E48" s="1" t="n">
        <v>45380</v>
      </c>
      <c r="F48" t="inlineStr">
        <is>
          <t>aap.architekten ZT-GmbH, Albertplatz 1/6, 1080 Wien</t>
        </is>
      </c>
      <c r="I48" t="b">
        <v>1</v>
      </c>
      <c r="J48" s="214" t="n">
        <v>31920</v>
      </c>
      <c r="K48" s="215">
        <f>$J48*$L48</f>
        <v/>
      </c>
      <c r="L48" s="159">
        <f>14.6/158.43</f>
        <v/>
      </c>
      <c r="M48" s="159" t="n">
        <v>0.2</v>
      </c>
      <c r="N48" s="215">
        <f>$P48*$M48</f>
        <v/>
      </c>
      <c r="O48" s="215">
        <f>L48*$N48</f>
        <v/>
      </c>
      <c r="P48" s="215">
        <f>$J48/(100%+$M48)</f>
        <v/>
      </c>
      <c r="Q48" s="215">
        <f>$L48*$P48</f>
        <v/>
      </c>
      <c r="R48" s="192">
        <f>voranmeldefrist_vierteljaehrlich(E48)</f>
        <v/>
      </c>
      <c r="T48" s="220">
        <f>IF(G48=TRUE,Q48/F48,Q48)</f>
        <v/>
      </c>
      <c r="U48" s="221">
        <f>$S48/100*$K48</f>
        <v/>
      </c>
    </row>
    <row r="49">
      <c r="A49" s="212" t="n">
        <v>2024</v>
      </c>
      <c r="B49" s="222" t="n">
        <v>48</v>
      </c>
      <c r="C49" s="71" t="inlineStr">
        <is>
          <t>Ausgaben</t>
        </is>
      </c>
      <c r="D49" t="inlineStr">
        <is>
          <t>sonstige Betriebsausgaben</t>
        </is>
      </c>
      <c r="E49" s="1" t="n">
        <v>45380</v>
      </c>
      <c r="F49" t="inlineStr">
        <is>
          <t>aap.architekten ZT-GmbH, Albertplatz 1/6, 1080 Wien</t>
        </is>
      </c>
      <c r="I49" t="b">
        <v>1</v>
      </c>
      <c r="J49" s="214" t="n">
        <v>12000</v>
      </c>
      <c r="K49" s="215">
        <f>$J49*$L49</f>
        <v/>
      </c>
      <c r="L49" s="159">
        <f>14.6/158.43</f>
        <v/>
      </c>
      <c r="M49" s="159" t="n">
        <v>0.2</v>
      </c>
      <c r="N49" s="215">
        <f>$P49*$M49</f>
        <v/>
      </c>
      <c r="O49" s="215">
        <f>L49*$N49</f>
        <v/>
      </c>
      <c r="P49" s="215">
        <f>$J49/(100%+$M49)</f>
        <v/>
      </c>
      <c r="Q49" s="215">
        <f>$L49*$P49</f>
        <v/>
      </c>
      <c r="R49" s="192">
        <f>voranmeldefrist_vierteljaehrlich(E49)</f>
        <v/>
      </c>
      <c r="T49" s="220">
        <f>IF(G49=TRUE,Q49/F49,Q49)</f>
        <v/>
      </c>
      <c r="U49" s="221">
        <f>$S49/100*$K49</f>
        <v/>
      </c>
    </row>
    <row r="50">
      <c r="A50" s="212" t="n">
        <v>2024</v>
      </c>
      <c r="B50" s="213" t="n">
        <v>49</v>
      </c>
      <c r="C50" s="71" t="inlineStr">
        <is>
          <t>Ausgaben</t>
        </is>
      </c>
      <c r="D50" t="inlineStr">
        <is>
          <t>sonstige Betriebsausgaben</t>
        </is>
      </c>
      <c r="E50" s="1" t="n">
        <v>45384</v>
      </c>
      <c r="F50" t="inlineStr">
        <is>
          <t>TeamViewer Germany Gmbh, Bahnhofsplatz 2, 73033 Göppingen</t>
        </is>
      </c>
      <c r="H50" t="inlineStr">
        <is>
          <t>ja</t>
        </is>
      </c>
      <c r="I50" t="b">
        <v>0</v>
      </c>
      <c r="J50" s="214" t="n">
        <v>394.8</v>
      </c>
      <c r="K50" s="215">
        <f>$J50*$L50</f>
        <v/>
      </c>
      <c r="L50" s="159" t="n">
        <v>1</v>
      </c>
      <c r="M50" s="159" t="n">
        <v>0</v>
      </c>
      <c r="N50" s="215">
        <f>$P50*$M50</f>
        <v/>
      </c>
      <c r="O50" s="215">
        <f>L50*$N50</f>
        <v/>
      </c>
      <c r="P50" s="215">
        <f>$J50/(100%+$M50)</f>
        <v/>
      </c>
      <c r="Q50" s="215">
        <f>$L50*$P50</f>
        <v/>
      </c>
      <c r="R50" s="192">
        <f>voranmeldefrist_vierteljaehrlich(E50)</f>
        <v/>
      </c>
      <c r="S50" t="n">
        <v>20</v>
      </c>
      <c r="T50" s="220">
        <f>IF(G50=TRUE,Q50/F50,Q50)</f>
        <v/>
      </c>
      <c r="U50" s="221">
        <f>$S50/100*$K50</f>
        <v/>
      </c>
    </row>
    <row r="51">
      <c r="A51" s="212" t="n">
        <v>2024</v>
      </c>
      <c r="B51" s="213" t="n">
        <v>50</v>
      </c>
      <c r="C51" s="71" t="inlineStr">
        <is>
          <t>Ausgaben</t>
        </is>
      </c>
      <c r="D51" t="inlineStr">
        <is>
          <t>sonstige Betriebsausgaben</t>
        </is>
      </c>
      <c r="E51" s="1" t="n">
        <v>45385</v>
      </c>
      <c r="F51" t="inlineStr">
        <is>
          <t>muki POL 3000081716, ReNr 9001577939</t>
        </is>
      </c>
      <c r="I51" t="b">
        <v>0</v>
      </c>
      <c r="J51" s="214" t="n">
        <v>38.48</v>
      </c>
      <c r="K51" s="215">
        <f>$J51*$L51</f>
        <v/>
      </c>
      <c r="L51" s="159">
        <f>14.6/158.43</f>
        <v/>
      </c>
      <c r="M51" s="159" t="n">
        <v>0</v>
      </c>
      <c r="N51" s="215">
        <f>$P51*$M51</f>
        <v/>
      </c>
      <c r="O51" s="215">
        <f>L51*$N51</f>
        <v/>
      </c>
      <c r="P51" s="215">
        <f>$J51/(100%+$M51)</f>
        <v/>
      </c>
      <c r="Q51" s="215">
        <f>$L51*$P51</f>
        <v/>
      </c>
      <c r="R51" s="192">
        <f>voranmeldefrist_vierteljaehrlich(E51)</f>
        <v/>
      </c>
      <c r="T51" s="220">
        <f>IF(G51=TRUE,Q51/F51,Q51)</f>
        <v/>
      </c>
      <c r="U51" s="221">
        <f>$S51/100*$K51</f>
        <v/>
      </c>
    </row>
    <row r="52">
      <c r="A52" s="212" t="n">
        <v>2024</v>
      </c>
      <c r="B52" s="213" t="n">
        <v>51</v>
      </c>
      <c r="C52" s="71" t="inlineStr">
        <is>
          <t>Ausgaben</t>
        </is>
      </c>
      <c r="D52" t="inlineStr">
        <is>
          <t>sonstige Betriebsausgaben</t>
        </is>
      </c>
      <c r="E52" s="1" t="n">
        <v>45385</v>
      </c>
      <c r="F52" t="inlineStr">
        <is>
          <t>Google Ireland Ltd, Gordon House, Barrow Street, Dublin 4, Ireland; VAT number: IE 6388047V</t>
        </is>
      </c>
      <c r="I52" t="b">
        <v>0</v>
      </c>
      <c r="J52" s="214" t="n">
        <v>12.56</v>
      </c>
      <c r="K52" s="215">
        <f>$J52*$L52</f>
        <v/>
      </c>
      <c r="L52" s="159" t="n">
        <v>1</v>
      </c>
      <c r="M52" s="159" t="n">
        <v>0</v>
      </c>
      <c r="N52" s="215">
        <f>$P52*$M52</f>
        <v/>
      </c>
      <c r="O52" s="215">
        <f>L52*$N52</f>
        <v/>
      </c>
      <c r="P52" s="215">
        <f>$J52/(100%+$M52)</f>
        <v/>
      </c>
      <c r="Q52" s="215">
        <f>$L52*$P52</f>
        <v/>
      </c>
      <c r="R52" s="192">
        <f>voranmeldefrist_vierteljaehrlich(E52)</f>
        <v/>
      </c>
      <c r="S52" t="n">
        <v>20</v>
      </c>
      <c r="T52" s="220">
        <f>IF(G52=TRUE,Q52/F52,Q52)</f>
        <v/>
      </c>
      <c r="U52" s="221">
        <f>$S52/100*$K52</f>
        <v/>
      </c>
    </row>
    <row r="53">
      <c r="A53" s="212" t="n">
        <v>2024</v>
      </c>
      <c r="B53" s="213" t="n">
        <v>52</v>
      </c>
      <c r="C53" s="71" t="inlineStr">
        <is>
          <t>Ausgaben</t>
        </is>
      </c>
      <c r="D53" t="inlineStr">
        <is>
          <t>sonstige Betriebsausgaben</t>
        </is>
      </c>
      <c r="E53" s="1" t="n">
        <v>45385</v>
      </c>
      <c r="F53" t="inlineStr">
        <is>
          <t>Google Ireland Ltd, Gordon House, Barrow Street, Dublin 4, Ireland; VAT number: IE 6388047V</t>
        </is>
      </c>
      <c r="I53" t="b">
        <v>0</v>
      </c>
      <c r="J53" s="214" t="n">
        <v>11.59</v>
      </c>
      <c r="K53" s="215">
        <f>$J53*$L53</f>
        <v/>
      </c>
      <c r="L53" s="159" t="n">
        <v>1</v>
      </c>
      <c r="M53" s="159" t="n">
        <v>0</v>
      </c>
      <c r="N53" s="215">
        <f>$P53*$M53</f>
        <v/>
      </c>
      <c r="O53" s="215">
        <f>L53*$N53</f>
        <v/>
      </c>
      <c r="P53" s="215">
        <f>$J53/(100%+$M53)</f>
        <v/>
      </c>
      <c r="Q53" s="215">
        <f>$L53*$P53</f>
        <v/>
      </c>
      <c r="R53" s="192">
        <f>voranmeldefrist_vierteljaehrlich(E53)</f>
        <v/>
      </c>
      <c r="S53" t="n">
        <v>20</v>
      </c>
      <c r="T53" s="220">
        <f>IF(G53=TRUE,Q53/F53,Q53)</f>
        <v/>
      </c>
      <c r="U53" s="221">
        <f>$S53/100*$K53</f>
        <v/>
      </c>
    </row>
    <row r="54">
      <c r="A54" s="212" t="n">
        <v>2024</v>
      </c>
      <c r="B54" s="213" t="n">
        <v>53</v>
      </c>
      <c r="C54" s="71" t="inlineStr">
        <is>
          <t>Ausgaben</t>
        </is>
      </c>
      <c r="D54" t="inlineStr">
        <is>
          <t>Telefon/Internet</t>
        </is>
      </c>
      <c r="E54" s="1" t="n">
        <v>45386</v>
      </c>
      <c r="F54" t="inlineStr">
        <is>
          <t>Hutchison Drei Austria GmbH, Brünner Straße 52, 1210 Wien, Österreich</t>
        </is>
      </c>
      <c r="I54" t="b">
        <v>0</v>
      </c>
      <c r="J54" s="214" t="n">
        <v>12.9</v>
      </c>
      <c r="K54" s="215">
        <f>$J54*$L54</f>
        <v/>
      </c>
      <c r="L54" s="159" t="n">
        <v>1</v>
      </c>
      <c r="M54" s="159" t="n">
        <v>0.2</v>
      </c>
      <c r="N54" s="215">
        <f>$P54*$M54</f>
        <v/>
      </c>
      <c r="O54" s="215">
        <f>L54*$N54</f>
        <v/>
      </c>
      <c r="P54" s="215">
        <f>$J54/(100%+$M54)</f>
        <v/>
      </c>
      <c r="Q54" s="215">
        <f>$L54*$P54</f>
        <v/>
      </c>
      <c r="T54" s="187">
        <f>IF(G54=TRUE,Q54/F54,Q54)</f>
        <v/>
      </c>
      <c r="U54" s="221">
        <f>$S54/100*$K54</f>
        <v/>
      </c>
    </row>
    <row r="55">
      <c r="A55" s="212" t="n">
        <v>2024</v>
      </c>
      <c r="B55" s="213" t="n">
        <v>54</v>
      </c>
      <c r="C55" s="71" t="inlineStr">
        <is>
          <t>Ausgaben</t>
        </is>
      </c>
      <c r="D55" t="inlineStr">
        <is>
          <t>sonstige Betriebsausgaben</t>
        </is>
      </c>
      <c r="E55" s="1" t="n">
        <v>45390</v>
      </c>
      <c r="F55" t="inlineStr">
        <is>
          <t>Wiener Netze GmbH</t>
        </is>
      </c>
      <c r="I55" t="b">
        <v>0</v>
      </c>
      <c r="J55" s="214" t="n">
        <v>24</v>
      </c>
      <c r="K55" s="215">
        <f>$J55*$L55</f>
        <v/>
      </c>
      <c r="L55" s="159" t="n">
        <v>1</v>
      </c>
      <c r="M55" s="159" t="n">
        <v>0.2</v>
      </c>
      <c r="N55" s="215">
        <f>$P55*$M55</f>
        <v/>
      </c>
      <c r="O55" s="215">
        <f>L55*$N55</f>
        <v/>
      </c>
      <c r="P55" s="215">
        <f>$J55/(100%+$M55)</f>
        <v/>
      </c>
      <c r="Q55" s="215">
        <f>$L55*$P55</f>
        <v/>
      </c>
      <c r="T55" s="187">
        <f>IF(G55=TRUE,Q55/F55,Q55)</f>
        <v/>
      </c>
      <c r="U55" s="221">
        <f>$S55/100*$K55</f>
        <v/>
      </c>
    </row>
    <row r="56">
      <c r="A56" s="212" t="n">
        <v>2024</v>
      </c>
      <c r="B56" s="213" t="n">
        <v>55</v>
      </c>
      <c r="C56" s="71" t="inlineStr">
        <is>
          <t>Ausgaben</t>
        </is>
      </c>
      <c r="D56" t="inlineStr">
        <is>
          <t>Telefon/Internet</t>
        </is>
      </c>
      <c r="E56" s="1" t="n">
        <v>45397</v>
      </c>
      <c r="F56" t="inlineStr">
        <is>
          <t>kabelplus GmbH, Südstadtzentrum 4, 2344 Maria Enzersdorf</t>
        </is>
      </c>
      <c r="I56" t="b">
        <v>0</v>
      </c>
      <c r="J56" s="214" t="n">
        <v>1.9</v>
      </c>
      <c r="K56" s="215">
        <f>$J56*$L56</f>
        <v/>
      </c>
      <c r="L56" s="159" t="n">
        <v>0.67</v>
      </c>
      <c r="M56" s="159" t="n">
        <v>0.2</v>
      </c>
      <c r="N56" s="215">
        <f>$P56*$M56</f>
        <v/>
      </c>
      <c r="O56" s="215">
        <f>L56*$N56</f>
        <v/>
      </c>
      <c r="P56" s="215">
        <f>$J56/(100%+$M56)</f>
        <v/>
      </c>
      <c r="Q56" s="215">
        <f>$L56*$P56</f>
        <v/>
      </c>
      <c r="R56" s="192">
        <f>voranmeldefrist_vierteljaehrlich(E56)</f>
        <v/>
      </c>
      <c r="T56" s="220">
        <f>IF(G56=TRUE,Q56/F56,Q56)</f>
        <v/>
      </c>
      <c r="U56" s="221">
        <f>$S56/100*$K56</f>
        <v/>
      </c>
    </row>
    <row r="57">
      <c r="A57" s="212" t="n">
        <v>2024</v>
      </c>
      <c r="B57" s="213" t="n">
        <v>56</v>
      </c>
      <c r="C57" s="71" t="inlineStr">
        <is>
          <t>Ausgaben</t>
        </is>
      </c>
      <c r="D57" t="inlineStr">
        <is>
          <t>sonstige Betriebsausgaben</t>
        </is>
      </c>
      <c r="E57" s="1" t="n">
        <v>45393</v>
      </c>
      <c r="F57" t="inlineStr">
        <is>
          <t>Hetzner Online GmbH, Industriestraße 25, 91710 Gunzenhausen</t>
        </is>
      </c>
      <c r="I57" t="b">
        <v>0</v>
      </c>
      <c r="J57" s="214" t="n">
        <v>8.390000000000001</v>
      </c>
      <c r="K57" s="215">
        <f>$J57*$L57</f>
        <v/>
      </c>
      <c r="L57" s="159" t="n">
        <v>1</v>
      </c>
      <c r="M57" s="159" t="n">
        <v>0</v>
      </c>
      <c r="N57" s="215">
        <f>$P57*$M57</f>
        <v/>
      </c>
      <c r="O57" s="215">
        <f>L57*$N57</f>
        <v/>
      </c>
      <c r="P57" s="215">
        <f>$J57/(100%+$M57)</f>
        <v/>
      </c>
      <c r="Q57" s="215">
        <f>$L57*$P57</f>
        <v/>
      </c>
      <c r="R57" s="192">
        <f>voranmeldefrist_vierteljaehrlich(E57)</f>
        <v/>
      </c>
      <c r="S57" t="n">
        <v>20</v>
      </c>
      <c r="T57" s="220">
        <f>IF(G57=TRUE,Q57/F57,Q57)</f>
        <v/>
      </c>
      <c r="U57" s="221">
        <f>$S57/100*$K57</f>
        <v/>
      </c>
    </row>
    <row r="58">
      <c r="A58" s="212" t="n">
        <v>2024</v>
      </c>
      <c r="B58" s="213" t="n">
        <v>57</v>
      </c>
      <c r="C58" s="71" t="inlineStr">
        <is>
          <t>Einnahmen</t>
        </is>
      </c>
      <c r="D58" t="inlineStr">
        <is>
          <t>Waren-/Leistungserlöse</t>
        </is>
      </c>
      <c r="E58" s="1" t="n">
        <v>45393</v>
      </c>
      <c r="F58" t="inlineStr">
        <is>
          <t>Hays Österreich GmbH, Bahnhof City Wien West - Europaplatz 3/5, 1150 Wien</t>
        </is>
      </c>
      <c r="J58" s="214" t="n">
        <v>24409.92</v>
      </c>
      <c r="K58" s="215">
        <f>$J58*$L58</f>
        <v/>
      </c>
      <c r="L58" s="159" t="n">
        <v>1</v>
      </c>
      <c r="M58" s="159" t="n">
        <v>0.2</v>
      </c>
      <c r="N58" s="215">
        <f>$P58*$M58</f>
        <v/>
      </c>
      <c r="O58" s="215">
        <f>L58*$N58</f>
        <v/>
      </c>
      <c r="P58" s="215">
        <f>$J58/(100%+$M58)</f>
        <v/>
      </c>
      <c r="Q58" s="215">
        <f>$L58*$P58</f>
        <v/>
      </c>
      <c r="R58" s="192">
        <f>voranmeldefrist_vierteljaehrlich(E58)</f>
        <v/>
      </c>
      <c r="T58" s="220">
        <f>IF(G58=TRUE,Q58/F58,Q58)</f>
        <v/>
      </c>
      <c r="U58" s="221">
        <f>$S58/100*$K58</f>
        <v/>
      </c>
    </row>
    <row r="59">
      <c r="A59" s="212" t="n">
        <v>2024</v>
      </c>
      <c r="B59" s="213" t="n">
        <v>58</v>
      </c>
      <c r="C59" s="71" t="inlineStr">
        <is>
          <t>Ausgaben</t>
        </is>
      </c>
      <c r="D59" t="inlineStr">
        <is>
          <t>Lizenzgebühren</t>
        </is>
      </c>
      <c r="E59" s="1" t="n">
        <v>45394</v>
      </c>
      <c r="F59" t="inlineStr">
        <is>
          <t>OnTheGoSystems Limited, 22/F 3 Lockhart Road, Wanchai, Hong Kong</t>
        </is>
      </c>
      <c r="H59" t="inlineStr">
        <is>
          <t>ja</t>
        </is>
      </c>
      <c r="I59" t="b">
        <v>0</v>
      </c>
      <c r="J59" s="214" t="n">
        <v>46.8</v>
      </c>
      <c r="K59" s="215">
        <f>$J59*$L59</f>
        <v/>
      </c>
      <c r="L59" s="159" t="n">
        <v>1</v>
      </c>
      <c r="M59" s="159" t="n">
        <v>0.2</v>
      </c>
      <c r="N59" s="215">
        <f>$P59*$M59</f>
        <v/>
      </c>
      <c r="O59" s="215">
        <f>L59*$N59</f>
        <v/>
      </c>
      <c r="P59" s="215">
        <f>$J59/(100%+$M59)</f>
        <v/>
      </c>
      <c r="Q59" s="215">
        <f>$L59*$P59</f>
        <v/>
      </c>
      <c r="T59" s="187">
        <f>IF(G59=TRUE,Q59/F59,Q59)</f>
        <v/>
      </c>
      <c r="U59" s="221">
        <f>$S59/100*$K59</f>
        <v/>
      </c>
    </row>
    <row r="60">
      <c r="A60" s="212" t="n">
        <v>2024</v>
      </c>
      <c r="B60" s="213" t="n">
        <v>59</v>
      </c>
      <c r="C60" s="71" t="inlineStr">
        <is>
          <t>Ausgaben</t>
        </is>
      </c>
      <c r="D60" t="inlineStr">
        <is>
          <t>Personalaufwand</t>
        </is>
      </c>
      <c r="E60" s="1" t="n">
        <v>45397</v>
      </c>
      <c r="F60" t="inlineStr">
        <is>
          <t>Eva Jaros-Kolbitsch</t>
        </is>
      </c>
      <c r="I60" t="b">
        <v>0</v>
      </c>
      <c r="J60" s="214" t="n">
        <v>365</v>
      </c>
      <c r="K60" s="215">
        <f>$J60*$L60</f>
        <v/>
      </c>
      <c r="L60" s="159" t="n">
        <v>1</v>
      </c>
      <c r="M60" s="159" t="n">
        <v>0</v>
      </c>
      <c r="N60" s="215">
        <f>$P60*$M60</f>
        <v/>
      </c>
      <c r="O60" s="215">
        <f>L60*$N60</f>
        <v/>
      </c>
      <c r="P60" s="215">
        <f>$J60/(100%+$M60)</f>
        <v/>
      </c>
      <c r="Q60" s="215">
        <f>$L60*$P60</f>
        <v/>
      </c>
      <c r="R60" s="192">
        <f>voranmeldefrist_vierteljaehrlich(E60)</f>
        <v/>
      </c>
      <c r="T60" s="220">
        <f>IF(G60=TRUE,Q60/F60,Q60)</f>
        <v/>
      </c>
      <c r="U60" s="221">
        <f>$S60/100*$K60</f>
        <v/>
      </c>
    </row>
    <row r="61">
      <c r="A61" s="212" t="n">
        <v>2024</v>
      </c>
      <c r="B61" s="213" t="n">
        <v>60</v>
      </c>
      <c r="C61" s="71" t="inlineStr">
        <is>
          <t>Ausgaben</t>
        </is>
      </c>
      <c r="D61" t="inlineStr">
        <is>
          <t>sonstige Betriebsausgaben</t>
        </is>
      </c>
      <c r="E61" s="1" t="n">
        <v>45428</v>
      </c>
      <c r="F61" t="inlineStr">
        <is>
          <t>Hetzner Online GmbH, Industriestraße 25, 91710 Gunzenhausen</t>
        </is>
      </c>
      <c r="I61" t="b">
        <v>0</v>
      </c>
      <c r="J61" s="214" t="n">
        <v>1.6</v>
      </c>
      <c r="K61" s="215">
        <f>$J61*$L61</f>
        <v/>
      </c>
      <c r="L61" s="159" t="n">
        <v>1</v>
      </c>
      <c r="M61" s="159" t="n">
        <v>0</v>
      </c>
      <c r="N61" s="215">
        <f>$P61*$M61</f>
        <v/>
      </c>
      <c r="O61" s="215">
        <f>L61*$N61</f>
        <v/>
      </c>
      <c r="P61" s="215">
        <f>$J61/(100%+$M61)</f>
        <v/>
      </c>
      <c r="Q61" s="215">
        <f>$L61*$P61</f>
        <v/>
      </c>
      <c r="R61" s="192">
        <f>voranmeldefrist_vierteljaehrlich(E61)</f>
        <v/>
      </c>
      <c r="S61" t="n">
        <v>20</v>
      </c>
      <c r="T61" s="220">
        <f>IF(G61=TRUE,Q61/F61,Q61)</f>
        <v/>
      </c>
      <c r="U61" s="221">
        <f>$S61/100*$K61</f>
        <v/>
      </c>
    </row>
    <row r="62">
      <c r="A62" s="212" t="n">
        <v>2024</v>
      </c>
      <c r="B62" s="213" t="n">
        <v>61</v>
      </c>
      <c r="C62" s="71" t="inlineStr">
        <is>
          <t>Ausgaben</t>
        </is>
      </c>
      <c r="D62" t="inlineStr">
        <is>
          <t>sonstige Betriebsausgaben</t>
        </is>
      </c>
      <c r="E62" s="1" t="n">
        <v>45404</v>
      </c>
      <c r="F62" t="inlineStr">
        <is>
          <t>Microsoft Ireland Operations Ltd. One Microsoft Place, South County, Business Park, Leopardstown, Dublin 18, D18 P521, Ireland</t>
        </is>
      </c>
      <c r="I62" t="b">
        <v>0</v>
      </c>
      <c r="J62" s="214" t="n">
        <v>11.7</v>
      </c>
      <c r="K62" s="215">
        <f>$J62*$L62</f>
        <v/>
      </c>
      <c r="L62" s="159" t="n">
        <v>1</v>
      </c>
      <c r="M62" s="159" t="n">
        <v>0</v>
      </c>
      <c r="N62" s="215">
        <f>$P62*$M62</f>
        <v/>
      </c>
      <c r="O62" s="215">
        <f>L62*$N62</f>
        <v/>
      </c>
      <c r="P62" s="215">
        <f>$J62/(100%+$M62)</f>
        <v/>
      </c>
      <c r="Q62" s="215">
        <f>$L62*$P62</f>
        <v/>
      </c>
      <c r="R62" s="192">
        <f>voranmeldefrist_vierteljaehrlich(E62)</f>
        <v/>
      </c>
      <c r="S62" t="n">
        <v>20</v>
      </c>
      <c r="T62" s="220">
        <f>IF(G62=TRUE,Q62/F62,Q62)</f>
        <v/>
      </c>
      <c r="U62" s="221">
        <f>$S62/100*$K62</f>
        <v/>
      </c>
    </row>
    <row r="63">
      <c r="A63" s="212" t="n">
        <v>2024</v>
      </c>
      <c r="B63" s="213" t="n">
        <v>62</v>
      </c>
      <c r="C63" s="71" t="inlineStr">
        <is>
          <t>Ausgaben</t>
        </is>
      </c>
      <c r="D63" t="inlineStr">
        <is>
          <t>sonstige Betriebsausgaben</t>
        </is>
      </c>
      <c r="E63" s="1" t="n">
        <v>45407</v>
      </c>
      <c r="F63" t="inlineStr">
        <is>
          <t>OpenAI, LLC, 548 Market Street, PMB 97273, San Francisco, California 94104-5401, United States</t>
        </is>
      </c>
      <c r="I63" t="b">
        <v>0</v>
      </c>
      <c r="J63" s="214" t="n">
        <v>22.93</v>
      </c>
      <c r="K63" s="215">
        <f>$J63*$L63</f>
        <v/>
      </c>
      <c r="L63" s="159" t="n">
        <v>1</v>
      </c>
      <c r="M63" s="159" t="n">
        <v>0.2</v>
      </c>
      <c r="N63" s="215">
        <f>$P63*$M63</f>
        <v/>
      </c>
      <c r="O63" s="215">
        <f>L63*$N63</f>
        <v/>
      </c>
      <c r="P63" s="215">
        <f>($J63-0.32)/(100%+$M63)</f>
        <v/>
      </c>
      <c r="Q63" s="215">
        <f>$L63*$P63</f>
        <v/>
      </c>
      <c r="R63" s="192">
        <f>voranmeldefrist_vierteljaehrlich(E63)</f>
        <v/>
      </c>
      <c r="T63" s="220">
        <f>IF(G63=TRUE,Q63/F63,Q63)</f>
        <v/>
      </c>
      <c r="U63" s="221">
        <f>$S63/100*$K63</f>
        <v/>
      </c>
    </row>
    <row r="64">
      <c r="A64" s="212" t="n">
        <v>2024</v>
      </c>
      <c r="B64" s="213" t="n">
        <v>63</v>
      </c>
      <c r="C64" s="71" t="inlineStr">
        <is>
          <t>Ausgaben</t>
        </is>
      </c>
      <c r="D64" t="inlineStr">
        <is>
          <t>Telefon/Internet</t>
        </is>
      </c>
      <c r="E64" s="1" t="n">
        <v>45415</v>
      </c>
      <c r="F64" t="inlineStr">
        <is>
          <t>Hutchison Drei Austria GmbH, Brünner Straße 52, 1210 Wien, Österreich</t>
        </is>
      </c>
      <c r="I64" t="b">
        <v>0</v>
      </c>
      <c r="J64" s="214" t="n">
        <v>13.91</v>
      </c>
      <c r="K64" s="215">
        <f>$J64*$L64</f>
        <v/>
      </c>
      <c r="L64" s="159" t="n">
        <v>1</v>
      </c>
      <c r="M64" s="159" t="n">
        <v>0.2</v>
      </c>
      <c r="N64" s="215">
        <f>$P64*$M64</f>
        <v/>
      </c>
      <c r="O64" s="215">
        <f>L64*$N64</f>
        <v/>
      </c>
      <c r="P64" s="215">
        <f>$J64/(100%+$M64)</f>
        <v/>
      </c>
      <c r="Q64" s="215">
        <f>$L64*$P64</f>
        <v/>
      </c>
      <c r="T64" s="187">
        <f>IF(G64=TRUE,Q64/F64,Q64)</f>
        <v/>
      </c>
      <c r="U64" s="221">
        <f>$S64/100*$K64</f>
        <v/>
      </c>
    </row>
    <row r="65">
      <c r="A65" s="212" t="n">
        <v>2024</v>
      </c>
      <c r="B65" s="213" t="n">
        <v>64</v>
      </c>
      <c r="C65" s="71" t="inlineStr">
        <is>
          <t>Ausgaben</t>
        </is>
      </c>
      <c r="D65" t="inlineStr">
        <is>
          <t>sonstige Betriebsausgaben</t>
        </is>
      </c>
      <c r="E65" s="1" t="n">
        <v>45415</v>
      </c>
      <c r="F65" t="inlineStr">
        <is>
          <t>Google Ireland Ltd, Gordon House, Barrow Street, Dublin 4, Ireland; VAT number: IE 6388047V</t>
        </is>
      </c>
      <c r="I65" t="b">
        <v>0</v>
      </c>
      <c r="J65" s="214" t="n">
        <v>32.82</v>
      </c>
      <c r="K65" s="215">
        <f>$J65*$L65</f>
        <v/>
      </c>
      <c r="L65" s="159" t="n">
        <v>1</v>
      </c>
      <c r="M65" s="159" t="n">
        <v>0</v>
      </c>
      <c r="N65" s="215">
        <f>$P65*$M65</f>
        <v/>
      </c>
      <c r="O65" s="215">
        <f>L65*$N65</f>
        <v/>
      </c>
      <c r="P65" s="215">
        <f>$J65/(100%+$M65)</f>
        <v/>
      </c>
      <c r="Q65" s="215">
        <f>$L65*$P65</f>
        <v/>
      </c>
      <c r="R65" s="192">
        <f>voranmeldefrist_vierteljaehrlich(E65)</f>
        <v/>
      </c>
      <c r="S65" t="n">
        <v>20</v>
      </c>
      <c r="T65" s="220">
        <f>IF(G65=TRUE,Q65/F65,Q65)</f>
        <v/>
      </c>
      <c r="U65" s="221">
        <f>$S65/100*$K65</f>
        <v/>
      </c>
    </row>
    <row r="66">
      <c r="A66" s="212" t="n">
        <v>2024</v>
      </c>
      <c r="B66" s="213" t="n">
        <v>65</v>
      </c>
      <c r="C66" s="71" t="inlineStr">
        <is>
          <t>Ausgaben</t>
        </is>
      </c>
      <c r="D66" t="inlineStr">
        <is>
          <t>sonstige Betriebsausgaben</t>
        </is>
      </c>
      <c r="E66" s="1" t="n">
        <v>45426</v>
      </c>
      <c r="F66" t="inlineStr">
        <is>
          <t>Hetzner Online GmbH, Industriestraße 25, 91710 Gunzenhausen</t>
        </is>
      </c>
      <c r="I66" t="b">
        <v>0</v>
      </c>
      <c r="J66" s="214" t="n">
        <v>52.21</v>
      </c>
      <c r="K66" s="215">
        <f>$J66*$L66</f>
        <v/>
      </c>
      <c r="L66" s="159" t="n">
        <v>1</v>
      </c>
      <c r="M66" s="159" t="n">
        <v>0</v>
      </c>
      <c r="N66" s="215">
        <f>$P66*$M66</f>
        <v/>
      </c>
      <c r="O66" s="215">
        <f>L66*$N66</f>
        <v/>
      </c>
      <c r="P66" s="215">
        <f>$J66/(100%+$M66)</f>
        <v/>
      </c>
      <c r="Q66" s="215">
        <f>$L66*$P66</f>
        <v/>
      </c>
      <c r="R66" s="192">
        <f>voranmeldefrist_vierteljaehrlich(E66)</f>
        <v/>
      </c>
      <c r="S66" t="n">
        <v>20</v>
      </c>
      <c r="T66" s="220">
        <f>IF(G66=TRUE,Q66/F66,Q66)</f>
        <v/>
      </c>
      <c r="U66" s="221">
        <f>$S66/100*$K66</f>
        <v/>
      </c>
    </row>
    <row r="67">
      <c r="A67" s="212" t="n">
        <v>2024</v>
      </c>
      <c r="B67" s="213" t="n">
        <v>66</v>
      </c>
      <c r="C67" s="71" t="inlineStr">
        <is>
          <t>Ausgaben</t>
        </is>
      </c>
      <c r="D67" t="inlineStr">
        <is>
          <t>sonstige Betriebsausgaben</t>
        </is>
      </c>
      <c r="E67" s="1" t="n">
        <v>45427</v>
      </c>
      <c r="F67" t="inlineStr">
        <is>
          <t>Marktgemeinde Bisamberg, Hauptstraße 2, 2102 Bisamberg</t>
        </is>
      </c>
      <c r="I67" t="b">
        <v>0</v>
      </c>
      <c r="J67" s="214">
        <f>746.61-332.01-86.5</f>
        <v/>
      </c>
      <c r="K67" s="215">
        <f>$J67*$L67</f>
        <v/>
      </c>
      <c r="L67" s="159">
        <f>14.6/158.43</f>
        <v/>
      </c>
      <c r="M67" s="98">
        <f>N67/P67</f>
        <v/>
      </c>
      <c r="N67" s="223">
        <f>10%*144.62+10%*62.24+10%*11.39</f>
        <v/>
      </c>
      <c r="O67" s="215">
        <f>L67*$N67</f>
        <v/>
      </c>
      <c r="P67">
        <f>26.75+53.5+144.62+3.75+62.24+11.39</f>
        <v/>
      </c>
      <c r="Q67" s="215">
        <f>$L67*$P67</f>
        <v/>
      </c>
      <c r="R67" s="192">
        <f>voranmeldefrist_vierteljaehrlich(E67)</f>
        <v/>
      </c>
      <c r="T67" s="220">
        <f>IF(G67=TRUE,Q67/F67,Q67)</f>
        <v/>
      </c>
      <c r="U67" s="221">
        <f>$S67/100*$K67</f>
        <v/>
      </c>
    </row>
    <row r="68">
      <c r="A68" s="212" t="n">
        <v>2024</v>
      </c>
      <c r="B68" s="213" t="n">
        <v>67</v>
      </c>
      <c r="C68" s="71" t="inlineStr">
        <is>
          <t>Ausgaben</t>
        </is>
      </c>
      <c r="D68" t="inlineStr">
        <is>
          <t>Personalaufwand</t>
        </is>
      </c>
      <c r="E68" s="1" t="n">
        <v>45427</v>
      </c>
      <c r="F68" t="inlineStr">
        <is>
          <t>Eva Jaros-Kolbitsch</t>
        </is>
      </c>
      <c r="I68" t="b">
        <v>0</v>
      </c>
      <c r="J68" s="214" t="n">
        <v>365</v>
      </c>
      <c r="K68" s="215">
        <f>$J68*$L68</f>
        <v/>
      </c>
      <c r="L68" s="159" t="n">
        <v>1</v>
      </c>
      <c r="M68" s="159" t="n">
        <v>0</v>
      </c>
      <c r="N68" s="215">
        <f>$P68*$M68</f>
        <v/>
      </c>
      <c r="O68" s="215">
        <f>L68*$N68</f>
        <v/>
      </c>
      <c r="P68" s="215">
        <f>$J68/(100%+$M68)</f>
        <v/>
      </c>
      <c r="Q68" s="215">
        <f>$L68*$P68</f>
        <v/>
      </c>
      <c r="R68" s="192">
        <f>voranmeldefrist_vierteljaehrlich(E68)</f>
        <v/>
      </c>
      <c r="T68" s="220">
        <f>IF(G68=TRUE,Q68/F68,Q68)</f>
        <v/>
      </c>
      <c r="U68" s="221">
        <f>$S68/100*$K68</f>
        <v/>
      </c>
    </row>
    <row r="69">
      <c r="A69" s="212" t="n">
        <v>2024</v>
      </c>
      <c r="B69" s="213" t="n">
        <v>68</v>
      </c>
      <c r="C69" s="71" t="inlineStr">
        <is>
          <t>Ausgaben</t>
        </is>
      </c>
      <c r="D69" t="inlineStr">
        <is>
          <t>Telefon/Internet</t>
        </is>
      </c>
      <c r="E69" s="1" t="n">
        <v>45428</v>
      </c>
      <c r="F69" t="inlineStr">
        <is>
          <t>kabelplus GmbH, Südstadtzentrum 4, 2344 Maria Enzersdorf</t>
        </is>
      </c>
      <c r="I69" t="b">
        <v>0</v>
      </c>
      <c r="J69" s="214" t="n">
        <v>1.9</v>
      </c>
      <c r="K69" s="215">
        <f>$J69*$L69</f>
        <v/>
      </c>
      <c r="L69" s="159" t="n">
        <v>0.67</v>
      </c>
      <c r="M69" s="159" t="n">
        <v>0.2</v>
      </c>
      <c r="N69" s="215">
        <f>$P69*$M69</f>
        <v/>
      </c>
      <c r="O69" s="215">
        <f>L69*$N69</f>
        <v/>
      </c>
      <c r="P69" s="215">
        <f>$J69/(100%+$M69)</f>
        <v/>
      </c>
      <c r="Q69" s="215">
        <f>$L69*$P69</f>
        <v/>
      </c>
      <c r="R69" s="192">
        <f>voranmeldefrist_vierteljaehrlich(E69)</f>
        <v/>
      </c>
      <c r="T69" s="220">
        <f>IF(G69=TRUE,Q69/F69,Q69)</f>
        <v/>
      </c>
      <c r="U69" s="221">
        <f>$S69/100*$K69</f>
        <v/>
      </c>
    </row>
    <row r="70">
      <c r="A70" s="212" t="n">
        <v>2024</v>
      </c>
      <c r="B70" s="213" t="n">
        <v>69</v>
      </c>
      <c r="C70" s="71" t="inlineStr">
        <is>
          <t>Ausgaben</t>
        </is>
      </c>
      <c r="D70" t="inlineStr">
        <is>
          <t>sonstige Betriebsausgaben</t>
        </is>
      </c>
      <c r="E70" s="1" t="n">
        <v>45428</v>
      </c>
      <c r="F70" t="inlineStr">
        <is>
          <t>Hetzner Online GmbH, Industriestraße 25, 91710 Gunzenhausen</t>
        </is>
      </c>
      <c r="I70" t="b">
        <v>0</v>
      </c>
      <c r="J70" s="214" t="n">
        <v>52.21</v>
      </c>
      <c r="K70" s="215">
        <f>$J70*$L70</f>
        <v/>
      </c>
      <c r="L70" s="159" t="n">
        <v>1</v>
      </c>
      <c r="M70" s="159" t="n">
        <v>0</v>
      </c>
      <c r="N70" s="215">
        <f>$P70*$M70</f>
        <v/>
      </c>
      <c r="O70" s="215">
        <f>L70*$N70</f>
        <v/>
      </c>
      <c r="P70" s="215">
        <f>$J70/(100%+$M70)</f>
        <v/>
      </c>
      <c r="Q70" s="215">
        <f>$L70*$P70</f>
        <v/>
      </c>
      <c r="R70" s="192">
        <f>voranmeldefrist_vierteljaehrlich(E70)</f>
        <v/>
      </c>
      <c r="S70" t="n">
        <v>20</v>
      </c>
      <c r="T70" s="220">
        <f>IF(G70=TRUE,Q70/F70,Q70)</f>
        <v/>
      </c>
      <c r="U70" s="221">
        <f>$S70/100*$K70</f>
        <v/>
      </c>
    </row>
    <row r="71">
      <c r="A71" s="212" t="n">
        <v>2024</v>
      </c>
      <c r="B71" s="213" t="n">
        <v>70</v>
      </c>
      <c r="C71" s="71" t="inlineStr">
        <is>
          <t>Einnahmen</t>
        </is>
      </c>
      <c r="D71" t="inlineStr">
        <is>
          <t>Waren-/Leistungserlöse</t>
        </is>
      </c>
      <c r="E71" s="1" t="n">
        <v>45428</v>
      </c>
      <c r="F71" t="inlineStr">
        <is>
          <t>Hays Österreich GmbH, Bahnhof City Wien West - Europaplatz 3/5, 1150 Wien</t>
        </is>
      </c>
      <c r="J71" s="214" t="n">
        <v>17289.98</v>
      </c>
      <c r="K71" s="215">
        <f>$J71*$L71</f>
        <v/>
      </c>
      <c r="L71" s="159" t="n">
        <v>1</v>
      </c>
      <c r="M71" s="159" t="n">
        <v>0.2</v>
      </c>
      <c r="N71" s="215">
        <f>$P71*$M71</f>
        <v/>
      </c>
      <c r="O71" s="215">
        <f>L71*$N71</f>
        <v/>
      </c>
      <c r="P71" s="215">
        <f>$J71/(100%+$M71)</f>
        <v/>
      </c>
      <c r="Q71" s="215">
        <f>$L71*$P71</f>
        <v/>
      </c>
      <c r="R71" s="192">
        <f>voranmeldefrist_vierteljaehrlich(E71)</f>
        <v/>
      </c>
      <c r="T71" s="220">
        <f>IF(G71=TRUE,Q71/F71,Q71)</f>
        <v/>
      </c>
      <c r="U71" s="221">
        <f>$S71/100*$K71</f>
        <v/>
      </c>
    </row>
    <row r="72">
      <c r="A72" s="212" t="n">
        <v>2024</v>
      </c>
      <c r="B72" s="213" t="n">
        <v>71</v>
      </c>
      <c r="C72" s="71" t="inlineStr">
        <is>
          <t>Ausgaben</t>
        </is>
      </c>
      <c r="D72" t="inlineStr">
        <is>
          <t>sonstige Betriebsausgaben</t>
        </is>
      </c>
      <c r="E72" s="1" t="n">
        <v>45433</v>
      </c>
      <c r="F72" t="inlineStr">
        <is>
          <t>Microsoft Ireland Operations Ltd. One Microsoft Place, South County, Business Park, Leopardstown, Dublin 18, D18 P521, Ireland</t>
        </is>
      </c>
      <c r="I72" t="b">
        <v>0</v>
      </c>
      <c r="J72" s="214" t="n">
        <v>11.7</v>
      </c>
      <c r="K72" s="215">
        <f>$J72*$L72</f>
        <v/>
      </c>
      <c r="L72" s="159" t="n">
        <v>1</v>
      </c>
      <c r="M72" s="159" t="n">
        <v>0</v>
      </c>
      <c r="N72" s="215">
        <f>$P72*$M72</f>
        <v/>
      </c>
      <c r="O72" s="215">
        <f>L72*$N72</f>
        <v/>
      </c>
      <c r="P72" s="215">
        <f>$J72/(100%+$M72)</f>
        <v/>
      </c>
      <c r="Q72" s="215">
        <f>$L72*$P72</f>
        <v/>
      </c>
      <c r="R72" s="192">
        <f>voranmeldefrist_vierteljaehrlich(E72)</f>
        <v/>
      </c>
      <c r="S72" t="n">
        <v>20</v>
      </c>
      <c r="T72" s="220">
        <f>IF(G72=TRUE,Q72/F72,Q72)</f>
        <v/>
      </c>
      <c r="U72" s="221">
        <f>$S72/100*$K72</f>
        <v/>
      </c>
    </row>
    <row r="73">
      <c r="A73" s="212" t="n">
        <v>2024</v>
      </c>
      <c r="B73" s="213" t="n">
        <v>72</v>
      </c>
      <c r="C73" s="71" t="inlineStr">
        <is>
          <t>Ausgaben</t>
        </is>
      </c>
      <c r="D73" t="inlineStr">
        <is>
          <t>Reise- und Fahrtspesen inkl. Kilometergeld und Diäten</t>
        </is>
      </c>
      <c r="E73" s="1" t="n">
        <v>45434</v>
      </c>
      <c r="F73" t="inlineStr">
        <is>
          <t>Wiener Linien GmbH &amp; Co KG</t>
        </is>
      </c>
      <c r="I73" t="b">
        <v>0</v>
      </c>
      <c r="J73" s="214" t="n">
        <v>365</v>
      </c>
      <c r="K73" s="215">
        <f>$J73*$L73</f>
        <v/>
      </c>
      <c r="L73" s="159" t="n">
        <v>1</v>
      </c>
      <c r="M73" s="159" t="n">
        <v>0.1</v>
      </c>
      <c r="N73" s="215">
        <f>$P73*$M73</f>
        <v/>
      </c>
      <c r="O73" s="215">
        <f>L73*$N73</f>
        <v/>
      </c>
      <c r="P73" s="215">
        <f>$J73/(100%+$M73)</f>
        <v/>
      </c>
      <c r="Q73" s="215">
        <f>$L73*$P73</f>
        <v/>
      </c>
      <c r="R73" s="192">
        <f>voranmeldefrist_vierteljaehrlich(E73)</f>
        <v/>
      </c>
      <c r="T73" s="220">
        <f>IF(G73=TRUE,Q73/F73,Q73)</f>
        <v/>
      </c>
      <c r="U73" s="221">
        <f>$S73/100*$K73</f>
        <v/>
      </c>
    </row>
    <row r="74">
      <c r="A74" s="212" t="n">
        <v>2024</v>
      </c>
      <c r="B74" s="213" t="n">
        <v>73</v>
      </c>
      <c r="C74" s="71" t="inlineStr">
        <is>
          <t>Ausgaben</t>
        </is>
      </c>
      <c r="D74" t="inlineStr">
        <is>
          <t>sonstige Betriebsausgaben</t>
        </is>
      </c>
      <c r="E74" s="1" t="n">
        <v>45439</v>
      </c>
      <c r="F74" t="inlineStr">
        <is>
          <t>OpenAI, LLC, 548 Market Street, PMB 97273, San Francisco, California 94104-5401, United States</t>
        </is>
      </c>
      <c r="I74" t="b">
        <v>0</v>
      </c>
      <c r="J74" s="214" t="n">
        <v>22.52</v>
      </c>
      <c r="K74" s="215">
        <f>$J74*$L74</f>
        <v/>
      </c>
      <c r="L74" s="159" t="n">
        <v>1</v>
      </c>
      <c r="M74" s="159" t="n">
        <v>0.2</v>
      </c>
      <c r="N74" s="215">
        <f>$P74*$M74</f>
        <v/>
      </c>
      <c r="O74" s="215">
        <f>L74*$N74</f>
        <v/>
      </c>
      <c r="P74" s="215">
        <f>($J74-0.32)/(100%+$M74)</f>
        <v/>
      </c>
      <c r="Q74" s="215">
        <f>$L74*$P74</f>
        <v/>
      </c>
      <c r="R74" s="192">
        <f>voranmeldefrist_vierteljaehrlich(E74)</f>
        <v/>
      </c>
      <c r="T74" s="220">
        <f>IF(G74=TRUE,Q74/F74,Q74)</f>
        <v/>
      </c>
      <c r="U74" s="221">
        <f>$S74/100*$K74</f>
        <v/>
      </c>
    </row>
    <row r="75">
      <c r="A75" s="212" t="n">
        <v>2024</v>
      </c>
      <c r="B75" s="213" t="n">
        <v>74</v>
      </c>
      <c r="C75" s="71" t="inlineStr">
        <is>
          <t>Ausgaben</t>
        </is>
      </c>
      <c r="D75" t="inlineStr">
        <is>
          <t>Pflichversicherungsbeiträge</t>
        </is>
      </c>
      <c r="E75" s="1" t="n">
        <v>45443</v>
      </c>
      <c r="F75" t="inlineStr">
        <is>
          <t>SVS</t>
        </is>
      </c>
      <c r="I75" t="b">
        <v>0</v>
      </c>
      <c r="J75" s="214" t="n">
        <v>4986.2</v>
      </c>
      <c r="K75" s="215">
        <f>$J75*$L75</f>
        <v/>
      </c>
      <c r="L75" s="159" t="n">
        <v>1</v>
      </c>
      <c r="M75" s="159" t="n">
        <v>0</v>
      </c>
      <c r="N75" s="215">
        <f>$P75*$M75</f>
        <v/>
      </c>
      <c r="O75" s="215">
        <f>L75*$N75</f>
        <v/>
      </c>
      <c r="P75" s="215">
        <f>$J75/(100%+$M75)</f>
        <v/>
      </c>
      <c r="Q75" s="215">
        <f>$L75*$P75</f>
        <v/>
      </c>
      <c r="R75" s="192">
        <f>voranmeldefrist_vierteljaehrlich(E75)</f>
        <v/>
      </c>
      <c r="T75" s="220">
        <f>IF(G75=TRUE,Q75/F75,Q75)</f>
        <v/>
      </c>
      <c r="U75" s="221">
        <f>$S75/100*$K75</f>
        <v/>
      </c>
    </row>
    <row r="76">
      <c r="A76" s="212" t="n">
        <v>2024</v>
      </c>
      <c r="B76" s="213" t="n">
        <v>75</v>
      </c>
      <c r="C76" s="71" t="inlineStr">
        <is>
          <t>Ausgaben</t>
        </is>
      </c>
      <c r="D76" t="inlineStr">
        <is>
          <t>Telefon/Internet</t>
        </is>
      </c>
      <c r="E76" s="1" t="n">
        <v>45446</v>
      </c>
      <c r="F76" t="inlineStr">
        <is>
          <t>Hutchison Drei Austria GmbH, Brünner Straße 52, 1210 Wien, Österreich</t>
        </is>
      </c>
      <c r="I76" t="b">
        <v>0</v>
      </c>
      <c r="J76" s="214" t="n">
        <v>40.91</v>
      </c>
      <c r="K76" s="215">
        <f>$J76*$L76</f>
        <v/>
      </c>
      <c r="L76" s="159" t="n">
        <v>1</v>
      </c>
      <c r="M76" s="159" t="n">
        <v>0.2</v>
      </c>
      <c r="N76" s="215">
        <f>$P76*$M76</f>
        <v/>
      </c>
      <c r="O76" s="215">
        <f>L76*$N76</f>
        <v/>
      </c>
      <c r="P76" s="215">
        <f>$J76/(100%+$M76)</f>
        <v/>
      </c>
      <c r="Q76" s="215">
        <f>$L76*$P76</f>
        <v/>
      </c>
      <c r="T76" s="187">
        <f>IF(G76=TRUE,Q76/F76,Q76)</f>
        <v/>
      </c>
      <c r="U76" s="221">
        <f>$S76/100*$K76</f>
        <v/>
      </c>
    </row>
    <row r="77">
      <c r="A77" s="212" t="n">
        <v>2024</v>
      </c>
      <c r="B77" s="213" t="n">
        <v>76</v>
      </c>
      <c r="C77" s="71" t="inlineStr">
        <is>
          <t>Ausgaben</t>
        </is>
      </c>
      <c r="D77" t="inlineStr">
        <is>
          <t>sonstige Betriebsausgaben</t>
        </is>
      </c>
      <c r="E77" s="1" t="n">
        <v>45446</v>
      </c>
      <c r="F77" t="inlineStr">
        <is>
          <t>Google Ireland Ltd, Gordon House, Barrow Street, Dublin 4, Ireland; VAT number: IE 6388047V</t>
        </is>
      </c>
      <c r="I77" t="b">
        <v>0</v>
      </c>
      <c r="J77" s="214" t="n">
        <v>31.67</v>
      </c>
      <c r="K77" s="215">
        <f>$J77*$L77</f>
        <v/>
      </c>
      <c r="L77" s="159" t="n">
        <v>1</v>
      </c>
      <c r="M77" s="159" t="n">
        <v>0</v>
      </c>
      <c r="N77" s="215">
        <f>$P77*$M77</f>
        <v/>
      </c>
      <c r="O77" s="215">
        <f>L77*$N77</f>
        <v/>
      </c>
      <c r="P77" s="215">
        <f>$J77/(100%+$M77)</f>
        <v/>
      </c>
      <c r="Q77" s="215">
        <f>$L77*$P77</f>
        <v/>
      </c>
      <c r="R77" s="192">
        <f>voranmeldefrist_vierteljaehrlich(E77)</f>
        <v/>
      </c>
      <c r="S77" t="n">
        <v>20</v>
      </c>
      <c r="T77" s="220">
        <f>IF(G77=TRUE,Q77/F77,Q77)</f>
        <v/>
      </c>
      <c r="U77" s="221">
        <f>$S77/100*$K77</f>
        <v/>
      </c>
    </row>
    <row r="78">
      <c r="A78" s="212" t="n">
        <v>2024</v>
      </c>
      <c r="B78" s="213" t="n">
        <v>77</v>
      </c>
      <c r="C78" s="71" t="inlineStr">
        <is>
          <t>Ausgaben</t>
        </is>
      </c>
      <c r="D78" t="inlineStr">
        <is>
          <t>sonstige Betriebsausgaben</t>
        </is>
      </c>
      <c r="E78" s="1" t="n">
        <v>45446</v>
      </c>
      <c r="F78" t="inlineStr">
        <is>
          <t>Google Ireland Ltd, Gordon House, Barrow Street, Dublin 4, Ireland; VAT number: IE 6388047V</t>
        </is>
      </c>
      <c r="I78" t="b">
        <v>0</v>
      </c>
      <c r="J78" s="214" t="n">
        <v>13.8</v>
      </c>
      <c r="K78" s="215">
        <f>$J78*$L78</f>
        <v/>
      </c>
      <c r="L78" s="159" t="n">
        <v>1</v>
      </c>
      <c r="M78" s="159" t="n">
        <v>0</v>
      </c>
      <c r="N78" s="215">
        <f>$P78*$M78</f>
        <v/>
      </c>
      <c r="O78" s="215">
        <f>L78*$N78</f>
        <v/>
      </c>
      <c r="P78" s="215">
        <f>$J78/(100%+$M78)</f>
        <v/>
      </c>
      <c r="Q78" s="215">
        <f>$L78*$P78</f>
        <v/>
      </c>
      <c r="R78" s="192">
        <f>voranmeldefrist_vierteljaehrlich(E78)</f>
        <v/>
      </c>
      <c r="S78" t="n">
        <v>20</v>
      </c>
      <c r="T78" s="220">
        <f>IF(G78=TRUE,Q78/F78,Q78)</f>
        <v/>
      </c>
      <c r="U78" s="221">
        <f>$S78/100*$K78</f>
        <v/>
      </c>
    </row>
    <row r="79">
      <c r="A79" s="212" t="n">
        <v>2024</v>
      </c>
      <c r="B79" s="213" t="n">
        <v>78</v>
      </c>
      <c r="C79" s="71" t="inlineStr">
        <is>
          <t>Ausgaben</t>
        </is>
      </c>
      <c r="D79" t="inlineStr">
        <is>
          <t>Lizenzgebühren</t>
        </is>
      </c>
      <c r="E79" s="1" t="n">
        <v>45453</v>
      </c>
      <c r="F79" t="inlineStr">
        <is>
          <t>Woocommerce, kein Beleg</t>
        </is>
      </c>
      <c r="H79" t="inlineStr">
        <is>
          <t>ja</t>
        </is>
      </c>
      <c r="I79" t="b">
        <v>0</v>
      </c>
      <c r="J79" s="224" t="n">
        <v>46.06</v>
      </c>
      <c r="K79" s="215">
        <f>$J79*$L79</f>
        <v/>
      </c>
      <c r="L79" s="159" t="n">
        <v>1</v>
      </c>
      <c r="M79" s="159" t="n">
        <v>0</v>
      </c>
      <c r="N79" s="215">
        <f>$P79*$M79</f>
        <v/>
      </c>
      <c r="O79" s="215">
        <f>L79*$N79</f>
        <v/>
      </c>
      <c r="P79" s="215">
        <f>$J79/(100%+$M79)</f>
        <v/>
      </c>
      <c r="Q79" s="215">
        <f>$L79*$P79</f>
        <v/>
      </c>
      <c r="R79" s="192">
        <f>voranmeldefrist_vierteljaehrlich(E79)</f>
        <v/>
      </c>
      <c r="T79" s="220">
        <f>IF(G79=TRUE,Q79/F79,Q79)</f>
        <v/>
      </c>
      <c r="U79" s="221">
        <f>$S79/100*$K79</f>
        <v/>
      </c>
    </row>
    <row r="80">
      <c r="A80" s="212" t="n">
        <v>2024</v>
      </c>
      <c r="B80" s="213" t="n">
        <v>79</v>
      </c>
      <c r="C80" s="71" t="inlineStr">
        <is>
          <t>Ausgaben</t>
        </is>
      </c>
      <c r="D80" t="inlineStr">
        <is>
          <t>Reise- und Fahrtspesen inkl. Kilometergeld und Diäten</t>
        </is>
      </c>
      <c r="E80" s="1" t="n">
        <v>45455</v>
      </c>
      <c r="F80" t="inlineStr">
        <is>
          <t>Uber B.V. Burgenweeshuispad 301, 1076 HR Amsterdam</t>
        </is>
      </c>
      <c r="I80" t="b">
        <v>0</v>
      </c>
      <c r="J80" s="214" t="n">
        <v>36.21</v>
      </c>
      <c r="K80" s="215">
        <f>$J80*$L80</f>
        <v/>
      </c>
      <c r="L80" s="159" t="n">
        <v>1</v>
      </c>
      <c r="M80" s="159" t="n">
        <v>0.1</v>
      </c>
      <c r="N80" s="215">
        <f>$P80*$M80</f>
        <v/>
      </c>
      <c r="O80" s="215">
        <f>L80*$N80</f>
        <v/>
      </c>
      <c r="P80" s="215">
        <f>$J80/(100%+$M80)</f>
        <v/>
      </c>
      <c r="Q80" s="215">
        <f>$L80*$P80</f>
        <v/>
      </c>
      <c r="R80" s="192">
        <f>voranmeldefrist_vierteljaehrlich(E80)</f>
        <v/>
      </c>
      <c r="T80" s="220">
        <f>IF(G80=TRUE,Q80/F80,Q80)</f>
        <v/>
      </c>
      <c r="U80" s="221">
        <f>$S80/100*$K80</f>
        <v/>
      </c>
    </row>
    <row r="81">
      <c r="A81" s="212" t="n">
        <v>2024</v>
      </c>
      <c r="B81" s="213" t="n">
        <v>80</v>
      </c>
      <c r="C81" s="71" t="inlineStr">
        <is>
          <t>Ausgaben</t>
        </is>
      </c>
      <c r="D81" t="inlineStr">
        <is>
          <t>sonstige Betriebsausgaben</t>
        </is>
      </c>
      <c r="E81" s="1" t="n">
        <v>45456</v>
      </c>
      <c r="F81" t="inlineStr">
        <is>
          <t>Hetzner Online GmbH, Industriestraße 25, 91710 Gunzenhausen</t>
        </is>
      </c>
      <c r="I81" t="b">
        <v>0</v>
      </c>
      <c r="J81" s="214" t="n">
        <v>52.21</v>
      </c>
      <c r="K81" s="215">
        <f>$J81*$L81</f>
        <v/>
      </c>
      <c r="L81" s="159" t="n">
        <v>1</v>
      </c>
      <c r="M81" s="159" t="n">
        <v>0</v>
      </c>
      <c r="N81" s="215">
        <f>$P81*$M81</f>
        <v/>
      </c>
      <c r="O81" s="215">
        <f>L81*$N81</f>
        <v/>
      </c>
      <c r="P81" s="215">
        <f>$J81/(100%+$M81)</f>
        <v/>
      </c>
      <c r="Q81" s="215">
        <f>$L81*$P81</f>
        <v/>
      </c>
      <c r="R81" s="192">
        <f>voranmeldefrist_vierteljaehrlich(E81)</f>
        <v/>
      </c>
      <c r="S81" t="n">
        <v>20</v>
      </c>
      <c r="T81" s="220">
        <f>IF(G81=TRUE,Q81/F81,Q81)</f>
        <v/>
      </c>
      <c r="U81" s="221">
        <f>$S81/100*$K81</f>
        <v/>
      </c>
    </row>
    <row r="82">
      <c r="A82" s="212" t="n">
        <v>2024</v>
      </c>
      <c r="B82" s="213" t="n">
        <v>81</v>
      </c>
      <c r="C82" s="71" t="inlineStr">
        <is>
          <t>Ausgaben</t>
        </is>
      </c>
      <c r="D82" t="inlineStr">
        <is>
          <t>Telefon/Internet</t>
        </is>
      </c>
      <c r="E82" s="1" t="n">
        <v>45457</v>
      </c>
      <c r="F82" t="inlineStr">
        <is>
          <t>kabelplus GmbH, Südstadtzentrum 4, 2344 Maria Enzersdorf</t>
        </is>
      </c>
      <c r="I82" t="b">
        <v>0</v>
      </c>
      <c r="J82" s="214" t="n">
        <v>57.44</v>
      </c>
      <c r="K82" s="215">
        <f>$J82*$L82</f>
        <v/>
      </c>
      <c r="L82" s="159" t="n">
        <v>0.67</v>
      </c>
      <c r="M82" s="98">
        <f>N82/P82</f>
        <v/>
      </c>
      <c r="N82" s="215">
        <f>1.36+7.07</f>
        <v/>
      </c>
      <c r="O82" s="215">
        <f>L82*$N82</f>
        <v/>
      </c>
      <c r="P82" s="215">
        <f>13.64+35.37</f>
        <v/>
      </c>
      <c r="Q82" s="215">
        <f>$L82*$P82</f>
        <v/>
      </c>
      <c r="R82" s="192">
        <f>voranmeldefrist_vierteljaehrlich(E82)</f>
        <v/>
      </c>
      <c r="T82" s="220">
        <f>IF(G82=TRUE,Q82/F82,Q82)</f>
        <v/>
      </c>
      <c r="U82" s="221">
        <f>$S82/100*$K82</f>
        <v/>
      </c>
    </row>
    <row r="83">
      <c r="A83" s="212" t="n">
        <v>2024</v>
      </c>
      <c r="B83" s="213" t="n">
        <v>82</v>
      </c>
      <c r="C83" s="71" t="inlineStr">
        <is>
          <t>Ausgaben</t>
        </is>
      </c>
      <c r="D83" t="inlineStr">
        <is>
          <t>sonstige Betriebsausgaben</t>
        </is>
      </c>
      <c r="E83" s="1" t="n">
        <v>45457</v>
      </c>
      <c r="F83" t="inlineStr">
        <is>
          <t>Hetzner Online GmbH, Industriestraße 25, 91710 Gunzenhausen</t>
        </is>
      </c>
      <c r="I83" t="b">
        <v>0</v>
      </c>
      <c r="J83" s="214" t="n">
        <v>1.76</v>
      </c>
      <c r="K83" s="215">
        <f>$J83*$L83</f>
        <v/>
      </c>
      <c r="L83" s="159" t="n">
        <v>1</v>
      </c>
      <c r="M83" s="159" t="n">
        <v>0</v>
      </c>
      <c r="N83" s="215">
        <f>$P83*$M83</f>
        <v/>
      </c>
      <c r="O83" s="215">
        <f>L83*$N83</f>
        <v/>
      </c>
      <c r="P83" s="215">
        <f>$J83/(100%+$M83)</f>
        <v/>
      </c>
      <c r="Q83" s="215">
        <f>$L83*$P83</f>
        <v/>
      </c>
      <c r="R83" s="192">
        <f>voranmeldefrist_vierteljaehrlich(E83)</f>
        <v/>
      </c>
      <c r="S83" t="n">
        <v>20</v>
      </c>
      <c r="T83" s="220">
        <f>IF(G83=TRUE,Q83/F83,Q83)</f>
        <v/>
      </c>
      <c r="U83" s="221">
        <f>$S83/100*$K83</f>
        <v/>
      </c>
    </row>
    <row r="84">
      <c r="A84" s="212" t="n">
        <v>2024</v>
      </c>
      <c r="B84" s="213" t="n">
        <v>83</v>
      </c>
      <c r="C84" s="71" t="inlineStr">
        <is>
          <t>Ausgaben</t>
        </is>
      </c>
      <c r="D84" t="inlineStr">
        <is>
          <t>Büromaterial</t>
        </is>
      </c>
      <c r="E84" s="1" t="n">
        <v>45459</v>
      </c>
      <c r="F84" t="inlineStr">
        <is>
          <t>Amazon EU S. à r.l., 38 avenue John F. Kennedy, L-1855 Luxembourg</t>
        </is>
      </c>
      <c r="I84" t="b">
        <v>0</v>
      </c>
      <c r="J84" s="214" t="n">
        <v>50.58</v>
      </c>
      <c r="K84" s="215">
        <f>$J84*$L84</f>
        <v/>
      </c>
      <c r="L84" s="159" t="n">
        <v>1</v>
      </c>
      <c r="M84" s="159" t="n">
        <v>0.2</v>
      </c>
      <c r="N84" s="215">
        <f>$P84*$M84</f>
        <v/>
      </c>
      <c r="O84" s="215">
        <f>L84*$N84</f>
        <v/>
      </c>
      <c r="P84" s="215">
        <f>$J84/(100%+$M84)</f>
        <v/>
      </c>
      <c r="Q84" s="215">
        <f>$L84*$P84</f>
        <v/>
      </c>
      <c r="R84" s="192">
        <f>voranmeldefrist_vierteljaehrlich(E84)</f>
        <v/>
      </c>
      <c r="T84" s="220">
        <f>IF(G84=TRUE,Q84/F84,Q84)</f>
        <v/>
      </c>
      <c r="U84" s="221">
        <f>$S84/100*$K84</f>
        <v/>
      </c>
    </row>
    <row r="85">
      <c r="A85" s="212" t="n">
        <v>2024</v>
      </c>
      <c r="B85" s="213" t="n">
        <v>84</v>
      </c>
      <c r="C85" s="71" t="inlineStr">
        <is>
          <t>Ausgaben</t>
        </is>
      </c>
      <c r="D85" t="inlineStr">
        <is>
          <t>Personalaufwand</t>
        </is>
      </c>
      <c r="E85" s="1" t="n">
        <v>45460</v>
      </c>
      <c r="F85" t="inlineStr">
        <is>
          <t>Eva Jaros-Kolbitsch</t>
        </is>
      </c>
      <c r="I85" t="b">
        <v>0</v>
      </c>
      <c r="J85" s="214" t="n">
        <v>365</v>
      </c>
      <c r="K85" s="215">
        <f>$J85*$L85</f>
        <v/>
      </c>
      <c r="L85" s="159" t="n">
        <v>1</v>
      </c>
      <c r="M85" s="159" t="n">
        <v>0</v>
      </c>
      <c r="N85" s="215">
        <f>$P85*$M85</f>
        <v/>
      </c>
      <c r="O85" s="215">
        <f>L85*$N85</f>
        <v/>
      </c>
      <c r="P85" s="215">
        <f>$J85/(100%+$M85)</f>
        <v/>
      </c>
      <c r="Q85" s="215">
        <f>$L85*$P85</f>
        <v/>
      </c>
      <c r="R85" s="192">
        <f>voranmeldefrist_vierteljaehrlich(E85)</f>
        <v/>
      </c>
      <c r="T85" s="220">
        <f>IF(G85=TRUE,Q85/F85,Q85)</f>
        <v/>
      </c>
      <c r="U85" s="221">
        <f>$S85/100*$K85</f>
        <v/>
      </c>
    </row>
    <row r="86">
      <c r="A86" s="212" t="n">
        <v>2024</v>
      </c>
      <c r="B86" s="213" t="n">
        <v>85</v>
      </c>
      <c r="C86" s="71" t="inlineStr">
        <is>
          <t>Ausgaben</t>
        </is>
      </c>
      <c r="D86" t="inlineStr">
        <is>
          <t>Büromaterial</t>
        </is>
      </c>
      <c r="E86" s="1" t="n">
        <v>45461</v>
      </c>
      <c r="F86" t="inlineStr">
        <is>
          <t>Amazon EU S. à r.l., 38 avenue John F. Kennedy, L-1855 Luxembourg</t>
        </is>
      </c>
      <c r="I86" t="b">
        <v>0</v>
      </c>
      <c r="J86" s="214" t="n">
        <v>31.38</v>
      </c>
      <c r="K86" s="215">
        <f>$J86*$L86</f>
        <v/>
      </c>
      <c r="L86" s="159" t="n">
        <v>1</v>
      </c>
      <c r="M86" s="159" t="n">
        <v>0.2</v>
      </c>
      <c r="N86" s="215">
        <f>$P86*$M86</f>
        <v/>
      </c>
      <c r="O86" s="215">
        <f>L86*$N86</f>
        <v/>
      </c>
      <c r="P86" s="215">
        <f>$J86/(100%+$M86)</f>
        <v/>
      </c>
      <c r="Q86" s="215">
        <f>$L86*$P86</f>
        <v/>
      </c>
      <c r="R86" s="192">
        <f>voranmeldefrist_vierteljaehrlich(E86)</f>
        <v/>
      </c>
      <c r="T86" s="220">
        <f>IF(G86=TRUE,Q86/F86,Q86)</f>
        <v/>
      </c>
      <c r="U86" s="221">
        <f>$S86/100*$K86</f>
        <v/>
      </c>
    </row>
    <row r="87">
      <c r="A87" s="212" t="n">
        <v>2024</v>
      </c>
      <c r="B87" s="213" t="n">
        <v>86</v>
      </c>
      <c r="C87" s="71" t="inlineStr">
        <is>
          <t>Ausgaben</t>
        </is>
      </c>
      <c r="D87" t="inlineStr">
        <is>
          <t>sonstige Betriebsausgaben</t>
        </is>
      </c>
      <c r="E87" s="1" t="n">
        <v>45462</v>
      </c>
      <c r="F87" t="inlineStr">
        <is>
          <t>Microsoft Ireland Operations Ltd. One Microsoft Place, South County, Business Park, Leopardstown, Dublin 18, D18 P521, Ireland</t>
        </is>
      </c>
      <c r="I87" t="b">
        <v>0</v>
      </c>
      <c r="J87" s="214" t="n">
        <v>11.7</v>
      </c>
      <c r="K87" s="215">
        <f>$J87*$L87</f>
        <v/>
      </c>
      <c r="L87" s="159" t="n">
        <v>1</v>
      </c>
      <c r="M87" s="159" t="n">
        <v>0</v>
      </c>
      <c r="N87" s="215">
        <f>$P87*$M87</f>
        <v/>
      </c>
      <c r="O87" s="215">
        <f>L87*$N87</f>
        <v/>
      </c>
      <c r="P87" s="215">
        <f>$J87/(100%+$M87)</f>
        <v/>
      </c>
      <c r="Q87" s="215">
        <f>$L87*$P87</f>
        <v/>
      </c>
      <c r="R87" s="192">
        <f>voranmeldefrist_vierteljaehrlich(E87)</f>
        <v/>
      </c>
      <c r="S87" t="n">
        <v>20</v>
      </c>
      <c r="T87" s="220">
        <f>IF(G87=TRUE,Q87/F87,Q87)</f>
        <v/>
      </c>
      <c r="U87" s="221">
        <f>$S87/100*$K87</f>
        <v/>
      </c>
    </row>
    <row r="88">
      <c r="A88" s="212" t="n">
        <v>2024</v>
      </c>
      <c r="B88" s="213" t="n">
        <v>87</v>
      </c>
      <c r="C88" s="71" t="inlineStr">
        <is>
          <t>Einnahmen</t>
        </is>
      </c>
      <c r="D88" t="inlineStr">
        <is>
          <t>Waren-/Leistungserlöse</t>
        </is>
      </c>
      <c r="E88" s="1" t="n">
        <v>45463</v>
      </c>
      <c r="F88" t="inlineStr">
        <is>
          <t>Hays Österreich GmbH, Bahnhof City Wien West - Europaplatz 3/5, 1150 Wien</t>
        </is>
      </c>
      <c r="J88" s="214" t="n">
        <v>23155.58</v>
      </c>
      <c r="K88" s="215">
        <f>$J88*$L88</f>
        <v/>
      </c>
      <c r="L88" s="159" t="n">
        <v>1</v>
      </c>
      <c r="M88" s="159" t="n">
        <v>0.2</v>
      </c>
      <c r="N88" s="215">
        <f>$P88*$M88</f>
        <v/>
      </c>
      <c r="O88" s="215">
        <f>L88*$N88</f>
        <v/>
      </c>
      <c r="P88" s="215">
        <f>$J88/(100%+$M88)</f>
        <v/>
      </c>
      <c r="Q88" s="215">
        <f>$L88*$P88</f>
        <v/>
      </c>
      <c r="R88" s="192">
        <f>voranmeldefrist_vierteljaehrlich(E88)</f>
        <v/>
      </c>
      <c r="T88" s="220">
        <f>IF(G88=TRUE,Q88/F88,Q88)</f>
        <v/>
      </c>
      <c r="U88" s="221">
        <f>$S88/100*$K88</f>
        <v/>
      </c>
    </row>
    <row r="89">
      <c r="A89" s="212" t="n">
        <v>2024</v>
      </c>
      <c r="B89" s="213" t="n">
        <v>88</v>
      </c>
      <c r="C89" s="71" t="inlineStr">
        <is>
          <t>Ausgaben</t>
        </is>
      </c>
      <c r="D89" t="inlineStr">
        <is>
          <t>sonstige Betriebsausgaben</t>
        </is>
      </c>
      <c r="E89" s="1" t="n">
        <v>45462</v>
      </c>
      <c r="F89" t="inlineStr">
        <is>
          <t>Microsoft Ireland Operations Ltd. One Microsoft Place, South County, Business Park, Leopardstown, Dublin 18, D18 P521, Ireland</t>
        </is>
      </c>
      <c r="I89" t="b">
        <v>0</v>
      </c>
      <c r="J89" s="214" t="n">
        <v>69</v>
      </c>
      <c r="K89" s="215">
        <f>$J89*$L89</f>
        <v/>
      </c>
      <c r="L89" s="159" t="n">
        <v>1</v>
      </c>
      <c r="M89" s="159" t="n">
        <v>0.2</v>
      </c>
      <c r="N89" s="215">
        <f>$P89*$M89</f>
        <v/>
      </c>
      <c r="O89" s="215">
        <f>L89*$N89</f>
        <v/>
      </c>
      <c r="P89" s="215">
        <f>$J89/(100%+$M89)</f>
        <v/>
      </c>
      <c r="Q89" s="215">
        <f>$L89*$P89</f>
        <v/>
      </c>
      <c r="R89" s="192">
        <f>voranmeldefrist_vierteljaehrlich(E89)</f>
        <v/>
      </c>
      <c r="T89" s="220">
        <f>IF(G89=TRUE,Q89/F89,Q89)</f>
        <v/>
      </c>
      <c r="U89" s="221">
        <f>$S89/100*$K89</f>
        <v/>
      </c>
    </row>
    <row r="90">
      <c r="A90" s="212" t="n">
        <v>2024</v>
      </c>
      <c r="B90" s="213" t="n">
        <v>89</v>
      </c>
      <c r="C90" s="71" t="inlineStr">
        <is>
          <t>Ausgaben</t>
        </is>
      </c>
      <c r="D90" t="inlineStr">
        <is>
          <t>sonstige Betriebsausgaben</t>
        </is>
      </c>
      <c r="E90" s="1" t="n">
        <v>45468</v>
      </c>
      <c r="F90" t="inlineStr">
        <is>
          <t>EVN Wasser GmbH</t>
        </is>
      </c>
      <c r="I90" t="b">
        <v>0</v>
      </c>
      <c r="J90" s="214" t="n">
        <v>55</v>
      </c>
      <c r="K90" s="215">
        <f>$J90*$L90</f>
        <v/>
      </c>
      <c r="L90" s="159">
        <f>14.6/158.43</f>
        <v/>
      </c>
      <c r="M90" s="159" t="n">
        <v>0.1</v>
      </c>
      <c r="N90" s="215">
        <f>$P90*$M90</f>
        <v/>
      </c>
      <c r="O90" s="215">
        <f>L90*$N90</f>
        <v/>
      </c>
      <c r="P90" s="215">
        <f>$J90/(100%+$M90)</f>
        <v/>
      </c>
      <c r="Q90" s="215">
        <f>$L90*$P90</f>
        <v/>
      </c>
      <c r="R90" s="192">
        <f>voranmeldefrist_vierteljaehrlich(E90)</f>
        <v/>
      </c>
      <c r="T90" s="220">
        <f>IF(G90=TRUE,Q90/F90,Q90)</f>
        <v/>
      </c>
      <c r="U90" s="221">
        <f>$S90/100*$K90</f>
        <v/>
      </c>
    </row>
    <row r="91">
      <c r="A91" s="212" t="n">
        <v>2024</v>
      </c>
      <c r="B91" s="213" t="n">
        <v>90</v>
      </c>
      <c r="C91" s="71" t="inlineStr">
        <is>
          <t>Ausgaben</t>
        </is>
      </c>
      <c r="D91" t="inlineStr">
        <is>
          <t>sonstige Betriebsausgaben</t>
        </is>
      </c>
      <c r="E91" s="1" t="n">
        <v>45468</v>
      </c>
      <c r="F91" t="inlineStr">
        <is>
          <t>OpenAI, LLC, 548 Market Street, PMB 97273, San Francisco, California 94104-5401, United States</t>
        </is>
      </c>
      <c r="I91" t="b">
        <v>0</v>
      </c>
      <c r="J91" s="224" t="n">
        <v>55</v>
      </c>
      <c r="K91" s="215">
        <f>$J91*$L91</f>
        <v/>
      </c>
      <c r="L91" s="159" t="n">
        <v>1</v>
      </c>
      <c r="M91" s="159" t="n">
        <v>0.2</v>
      </c>
      <c r="N91" s="215">
        <f>$P91*$M91</f>
        <v/>
      </c>
      <c r="O91" s="215">
        <f>L91*$N91</f>
        <v/>
      </c>
      <c r="P91" s="215">
        <f>($J91-0.32)/(100%+$M91)</f>
        <v/>
      </c>
      <c r="Q91" s="215">
        <f>$L91*$P91</f>
        <v/>
      </c>
      <c r="R91" s="192">
        <f>voranmeldefrist_vierteljaehrlich(E91)</f>
        <v/>
      </c>
      <c r="T91" s="220">
        <f>IF(G91=TRUE,Q91/F91,Q91)</f>
        <v/>
      </c>
      <c r="U91" s="221">
        <f>$S91/100*$K91</f>
        <v/>
      </c>
    </row>
    <row r="92">
      <c r="A92" s="212" t="n">
        <v>2024</v>
      </c>
      <c r="B92" s="213" t="n">
        <v>91</v>
      </c>
      <c r="C92" s="71" t="inlineStr">
        <is>
          <t>Ausgaben</t>
        </is>
      </c>
      <c r="D92" t="inlineStr">
        <is>
          <t>Büromaterial</t>
        </is>
      </c>
      <c r="E92" s="1" t="n">
        <v>45470</v>
      </c>
      <c r="F92" t="inlineStr">
        <is>
          <t>Amazon EU S. à r.l., 38 avenue John F. Kennedy, L-1855 Luxembourg</t>
        </is>
      </c>
      <c r="I92" t="b">
        <v>0</v>
      </c>
      <c r="J92" s="214" t="n">
        <v>557.88</v>
      </c>
      <c r="K92" s="215">
        <f>$J92*$L92</f>
        <v/>
      </c>
      <c r="L92" s="159" t="n">
        <v>1</v>
      </c>
      <c r="M92" s="159" t="n">
        <v>0.2</v>
      </c>
      <c r="N92" s="215">
        <f>$P92*$M92</f>
        <v/>
      </c>
      <c r="O92" s="215">
        <f>L92*$N92</f>
        <v/>
      </c>
      <c r="P92" s="215">
        <f>$J92/(100%+$M92)</f>
        <v/>
      </c>
      <c r="Q92" s="215">
        <f>$L92*$P92</f>
        <v/>
      </c>
      <c r="R92" s="192">
        <f>voranmeldefrist_vierteljaehrlich(E92)</f>
        <v/>
      </c>
      <c r="T92" s="220">
        <f>IF(G92=TRUE,Q92/F92,Q92)</f>
        <v/>
      </c>
      <c r="U92" s="221">
        <f>$S92/100*$K92</f>
        <v/>
      </c>
    </row>
    <row r="93">
      <c r="A93" s="212" t="n">
        <v>2024</v>
      </c>
      <c r="B93" s="213" t="n">
        <v>92</v>
      </c>
      <c r="C93" s="71" t="inlineStr">
        <is>
          <t>Einnahmen</t>
        </is>
      </c>
      <c r="D93" t="inlineStr">
        <is>
          <t>Waren-/Leistungserlöse</t>
        </is>
      </c>
      <c r="E93" s="1" t="n">
        <v>45474</v>
      </c>
      <c r="F93" t="inlineStr">
        <is>
          <t>ZT DI Dr. Arno Kolbitsch, Gütleweg 1, 6822 Satteins</t>
        </is>
      </c>
      <c r="J93" s="214" t="n">
        <v>1409.76</v>
      </c>
      <c r="K93" s="215">
        <f>$J93*$L93</f>
        <v/>
      </c>
      <c r="L93" s="159" t="n">
        <v>1</v>
      </c>
      <c r="M93" s="159" t="n">
        <v>0.2</v>
      </c>
      <c r="N93" s="215">
        <f>$P93*$M93</f>
        <v/>
      </c>
      <c r="O93" s="215">
        <f>L93*$N93</f>
        <v/>
      </c>
      <c r="P93" s="215">
        <f>$J93/(100%+$M93)</f>
        <v/>
      </c>
      <c r="Q93" s="215">
        <f>$L93*$P93</f>
        <v/>
      </c>
      <c r="R93" s="192">
        <f>voranmeldefrist_vierteljaehrlich(E93)</f>
        <v/>
      </c>
      <c r="T93" s="220">
        <f>IF(G93=TRUE,Q93/F93,Q93)</f>
        <v/>
      </c>
      <c r="U93" s="221">
        <f>$S93/100*$K93</f>
        <v/>
      </c>
    </row>
    <row r="94">
      <c r="A94" s="212" t="n">
        <v>2024</v>
      </c>
      <c r="B94" s="213" t="n">
        <v>93</v>
      </c>
      <c r="C94" s="71" t="inlineStr">
        <is>
          <t>Ausgaben</t>
        </is>
      </c>
      <c r="D94" t="inlineStr">
        <is>
          <t>Telefon/Internet</t>
        </is>
      </c>
      <c r="E94" s="1" t="n">
        <v>45475</v>
      </c>
      <c r="F94" t="inlineStr">
        <is>
          <t>Hutchison Drei Austria GmbH, Brünner Straße 52, 1210 Wien, Österreich</t>
        </is>
      </c>
      <c r="I94" t="b">
        <v>0</v>
      </c>
      <c r="J94" s="214" t="n">
        <v>13.91</v>
      </c>
      <c r="K94" s="215">
        <f>$J94*$L94</f>
        <v/>
      </c>
      <c r="L94" s="159" t="n">
        <v>1</v>
      </c>
      <c r="M94" s="159" t="n">
        <v>0.2</v>
      </c>
      <c r="N94" s="215">
        <f>$P94*$M94</f>
        <v/>
      </c>
      <c r="O94" s="215">
        <f>L94*$N94</f>
        <v/>
      </c>
      <c r="P94" s="215">
        <f>$J94/(100%+$M94)</f>
        <v/>
      </c>
      <c r="Q94" s="215">
        <f>$L94*$P94</f>
        <v/>
      </c>
      <c r="R94" s="192">
        <f>voranmeldefrist_vierteljaehrlich(E94)</f>
        <v/>
      </c>
      <c r="T94" s="220">
        <f>IF(G94=TRUE,Q94/F94,Q94)</f>
        <v/>
      </c>
      <c r="U94" s="221">
        <f>$S94/100*$K94</f>
        <v/>
      </c>
    </row>
    <row r="95">
      <c r="A95" s="212" t="n">
        <v>2024</v>
      </c>
      <c r="B95" s="213" t="n">
        <v>94</v>
      </c>
      <c r="C95" s="71" t="inlineStr">
        <is>
          <t>Einnahmen</t>
        </is>
      </c>
      <c r="D95" t="inlineStr">
        <is>
          <t>Waren-/Leistungserlöse</t>
        </is>
      </c>
      <c r="E95" s="1" t="n">
        <v>45476</v>
      </c>
      <c r="F95" t="inlineStr">
        <is>
          <t>JLW - Jugend und Lebenswelt, Bahnhofsplatz 2, 3100 St Pölten</t>
        </is>
      </c>
      <c r="J95" s="214" t="n">
        <v>155.46</v>
      </c>
      <c r="K95" s="215">
        <f>$J95*$L95</f>
        <v/>
      </c>
      <c r="L95" s="159" t="n">
        <v>1</v>
      </c>
      <c r="M95" s="159" t="n">
        <v>0.2</v>
      </c>
      <c r="N95" s="215">
        <f>$P95*$M95</f>
        <v/>
      </c>
      <c r="O95" s="215">
        <f>L95*$N95</f>
        <v/>
      </c>
      <c r="P95" s="215">
        <f>$J95/(100%+$M95)</f>
        <v/>
      </c>
      <c r="Q95" s="215">
        <f>$L95*$P95</f>
        <v/>
      </c>
      <c r="R95" s="192">
        <f>voranmeldefrist_vierteljaehrlich(E95)</f>
        <v/>
      </c>
      <c r="T95" s="220">
        <f>IF(G95=TRUE,Q95/F95,Q95)</f>
        <v/>
      </c>
      <c r="U95" s="221">
        <f>$S95/100*$K95</f>
        <v/>
      </c>
    </row>
    <row r="96">
      <c r="A96" s="212" t="n">
        <v>2024</v>
      </c>
      <c r="B96" s="213" t="n">
        <v>95</v>
      </c>
      <c r="C96" s="71" t="inlineStr">
        <is>
          <t>Ausgaben</t>
        </is>
      </c>
      <c r="D96" t="inlineStr">
        <is>
          <t>sonstige Betriebsausgaben</t>
        </is>
      </c>
      <c r="E96" s="1" t="n">
        <v>45476</v>
      </c>
      <c r="F96" t="inlineStr">
        <is>
          <t>Google Ireland Ltd, Gordon House, Barrow Street, Dublin 4, Ireland; VAT number: IE 6388047V</t>
        </is>
      </c>
      <c r="I96" t="b">
        <v>0</v>
      </c>
      <c r="J96" s="214" t="n">
        <v>13.8</v>
      </c>
      <c r="K96" s="215">
        <f>$J96*$L96</f>
        <v/>
      </c>
      <c r="L96" s="159" t="n">
        <v>1</v>
      </c>
      <c r="M96" s="159" t="n">
        <v>0</v>
      </c>
      <c r="N96" s="215">
        <f>$P96*$M96</f>
        <v/>
      </c>
      <c r="O96" s="215">
        <f>L96*$N96</f>
        <v/>
      </c>
      <c r="P96" s="215">
        <f>$J96/(100%+$M96)</f>
        <v/>
      </c>
      <c r="Q96" s="215">
        <f>$L96*$P96</f>
        <v/>
      </c>
      <c r="R96" s="192">
        <f>voranmeldefrist_vierteljaehrlich(E96)</f>
        <v/>
      </c>
      <c r="S96" t="n">
        <v>20</v>
      </c>
      <c r="T96" s="220">
        <f>IF(G96=TRUE,Q96/F96,Q96)</f>
        <v/>
      </c>
      <c r="U96" s="221">
        <f>$S96/100*$K96</f>
        <v/>
      </c>
    </row>
    <row r="97">
      <c r="A97" s="212" t="n">
        <v>2024</v>
      </c>
      <c r="B97" s="213" t="n">
        <v>96</v>
      </c>
      <c r="C97" s="71" t="inlineStr">
        <is>
          <t>Ausgaben</t>
        </is>
      </c>
      <c r="D97" t="inlineStr">
        <is>
          <t>sonstige Betriebsausgaben</t>
        </is>
      </c>
      <c r="E97" s="1" t="n">
        <v>45483</v>
      </c>
      <c r="F97" t="inlineStr">
        <is>
          <t>LG Korneuburg: 33 Fr 1261/24 i - 3</t>
        </is>
      </c>
      <c r="I97" t="b">
        <v>0</v>
      </c>
      <c r="J97" s="214" t="n">
        <v>19</v>
      </c>
      <c r="K97" s="215">
        <f>$J97*$L97</f>
        <v/>
      </c>
      <c r="L97" s="159" t="n">
        <v>1</v>
      </c>
      <c r="M97" s="159" t="n">
        <v>0</v>
      </c>
      <c r="N97" s="215">
        <f>$P97*$M97</f>
        <v/>
      </c>
      <c r="O97" s="215">
        <f>L97*$N97</f>
        <v/>
      </c>
      <c r="P97" s="215">
        <f>$J97/(100%+$M97)</f>
        <v/>
      </c>
      <c r="Q97" s="215">
        <f>$L97*$P97</f>
        <v/>
      </c>
      <c r="R97" s="192">
        <f>voranmeldefrist_vierteljaehrlich(E97)</f>
        <v/>
      </c>
      <c r="T97" s="220">
        <f>IF(G97=TRUE,Q97/F97,Q97)</f>
        <v/>
      </c>
      <c r="U97" s="221">
        <f>$S97/100*$K97</f>
        <v/>
      </c>
    </row>
    <row r="98">
      <c r="A98" s="212" t="n">
        <v>2024</v>
      </c>
      <c r="B98" s="213" t="n">
        <v>97</v>
      </c>
      <c r="C98" s="71" t="inlineStr">
        <is>
          <t>Ausgaben</t>
        </is>
      </c>
      <c r="D98" t="inlineStr">
        <is>
          <t>sonstige Betriebsausgaben</t>
        </is>
      </c>
      <c r="E98" s="1" t="n">
        <v>45484</v>
      </c>
      <c r="F98" t="inlineStr">
        <is>
          <t>Hetzner Online GmbH, Industriestraße 25, 91710 Gunzenhausen</t>
        </is>
      </c>
      <c r="I98" t="b">
        <v>0</v>
      </c>
      <c r="J98" s="214" t="n">
        <v>52.21</v>
      </c>
      <c r="K98" s="215">
        <f>$J98*$L98</f>
        <v/>
      </c>
      <c r="L98" s="159" t="n">
        <v>1</v>
      </c>
      <c r="M98" s="159" t="n">
        <v>0</v>
      </c>
      <c r="N98" s="215">
        <f>$P98*$M98</f>
        <v/>
      </c>
      <c r="O98" s="215">
        <f>L98*$N98</f>
        <v/>
      </c>
      <c r="P98" s="215">
        <f>$J98/(100%+$M98)</f>
        <v/>
      </c>
      <c r="Q98" s="215">
        <f>$L98*$P98</f>
        <v/>
      </c>
      <c r="R98" s="192">
        <f>voranmeldefrist_vierteljaehrlich(E98)</f>
        <v/>
      </c>
      <c r="S98" t="n">
        <v>20</v>
      </c>
      <c r="T98" s="220">
        <f>IF(G98=TRUE,Q98/F98,Q98)</f>
        <v/>
      </c>
      <c r="U98" s="221">
        <f>$S98/100*$K98</f>
        <v/>
      </c>
    </row>
    <row r="99">
      <c r="A99" s="212" t="n">
        <v>2024</v>
      </c>
      <c r="B99" s="213" t="n">
        <v>98</v>
      </c>
      <c r="C99" s="71" t="inlineStr">
        <is>
          <t>Ausgaben</t>
        </is>
      </c>
      <c r="D99" t="inlineStr">
        <is>
          <t>Telefon/Internet</t>
        </is>
      </c>
      <c r="E99" s="1" t="n">
        <v>45488</v>
      </c>
      <c r="F99" t="inlineStr">
        <is>
          <t>kabelplus GmbH, Südstadtzentrum 4, 2344 Maria Enzersdorf</t>
        </is>
      </c>
      <c r="I99" t="b">
        <v>0</v>
      </c>
      <c r="J99" s="214" t="n">
        <v>55.7</v>
      </c>
      <c r="K99" s="215">
        <f>$J99*$L99</f>
        <v/>
      </c>
      <c r="L99" s="159" t="n">
        <v>0.67</v>
      </c>
      <c r="M99" s="98">
        <f>N99/P99</f>
        <v/>
      </c>
      <c r="N99" s="215">
        <f>1.32+6.86</f>
        <v/>
      </c>
      <c r="O99" s="215">
        <f>L99*$N99</f>
        <v/>
      </c>
      <c r="P99" s="215">
        <f>13.21+34.31</f>
        <v/>
      </c>
      <c r="Q99" s="215">
        <f>$L99*$P99</f>
        <v/>
      </c>
      <c r="R99" s="192">
        <f>voranmeldefrist_vierteljaehrlich(E99)</f>
        <v/>
      </c>
      <c r="T99" s="220">
        <f>IF(G99=TRUE,Q99/F99,Q99)</f>
        <v/>
      </c>
      <c r="U99" s="221">
        <f>$S99/100*$K99</f>
        <v/>
      </c>
    </row>
    <row r="100">
      <c r="A100" s="212" t="n">
        <v>2024</v>
      </c>
      <c r="B100" s="213" t="n">
        <v>99</v>
      </c>
      <c r="C100" s="71" t="inlineStr">
        <is>
          <t>Ausgaben</t>
        </is>
      </c>
      <c r="D100" t="inlineStr">
        <is>
          <t>Personalaufwand</t>
        </is>
      </c>
      <c r="E100" s="1" t="n">
        <v>45488</v>
      </c>
      <c r="F100" t="inlineStr">
        <is>
          <t>Eva Jaros-Kolbitsch</t>
        </is>
      </c>
      <c r="I100" t="b">
        <v>0</v>
      </c>
      <c r="J100" s="214" t="n">
        <v>365</v>
      </c>
      <c r="K100" s="215">
        <f>$J100*$L100</f>
        <v/>
      </c>
      <c r="L100" s="159" t="n">
        <v>1</v>
      </c>
      <c r="M100" s="159" t="n">
        <v>0</v>
      </c>
      <c r="N100" s="215">
        <f>$P100*$M100</f>
        <v/>
      </c>
      <c r="O100" s="215">
        <f>L100*$N100</f>
        <v/>
      </c>
      <c r="P100" s="215">
        <f>$J100/(100%+$M100)</f>
        <v/>
      </c>
      <c r="Q100" s="215">
        <f>$L100*$P100</f>
        <v/>
      </c>
      <c r="R100" s="192">
        <f>voranmeldefrist_vierteljaehrlich(E100)</f>
        <v/>
      </c>
      <c r="T100" s="220">
        <f>IF(G100=TRUE,Q100/F100,Q100)</f>
        <v/>
      </c>
      <c r="U100" s="221">
        <f>$S100/100*$K100</f>
        <v/>
      </c>
    </row>
    <row r="101">
      <c r="A101" s="212" t="n">
        <v>2024</v>
      </c>
      <c r="B101" s="213" t="n">
        <v>100</v>
      </c>
      <c r="C101" s="71" t="inlineStr">
        <is>
          <t>Ausgaben</t>
        </is>
      </c>
      <c r="D101" t="inlineStr">
        <is>
          <t>sonstige Betriebsausgaben</t>
        </is>
      </c>
      <c r="E101" s="1" t="n">
        <v>45489</v>
      </c>
      <c r="F101" t="inlineStr">
        <is>
          <t>Hetzner Online GmbH, Industriestraße 25, 91710 Gunzenhausen</t>
        </is>
      </c>
      <c r="I101" t="b">
        <v>0</v>
      </c>
      <c r="J101" s="214" t="n">
        <v>1.76</v>
      </c>
      <c r="K101" s="215">
        <f>$J101*$L101</f>
        <v/>
      </c>
      <c r="L101" s="159" t="n">
        <v>1</v>
      </c>
      <c r="M101" s="159" t="n">
        <v>0</v>
      </c>
      <c r="N101" s="215">
        <f>$P101*$M101</f>
        <v/>
      </c>
      <c r="O101" s="215">
        <f>L101*$N101</f>
        <v/>
      </c>
      <c r="P101" s="215">
        <f>$J101/(100%+$M101)</f>
        <v/>
      </c>
      <c r="Q101" s="215">
        <f>$L101*$P101</f>
        <v/>
      </c>
      <c r="R101" s="192">
        <f>voranmeldefrist_vierteljaehrlich(E101)</f>
        <v/>
      </c>
      <c r="S101" t="n">
        <v>20</v>
      </c>
      <c r="T101" s="220">
        <f>IF(G101=TRUE,Q101/F101,Q101)</f>
        <v/>
      </c>
      <c r="U101" s="221">
        <f>$S101/100*$K101</f>
        <v/>
      </c>
    </row>
    <row r="102">
      <c r="A102" s="212" t="n">
        <v>2024</v>
      </c>
      <c r="B102" s="213" t="n">
        <v>101</v>
      </c>
      <c r="C102" s="71" t="inlineStr">
        <is>
          <t>Einnahmen</t>
        </is>
      </c>
      <c r="D102" t="inlineStr">
        <is>
          <t>Waren-/Leistungserlöse</t>
        </is>
      </c>
      <c r="E102" s="1" t="n">
        <v>45489</v>
      </c>
      <c r="F102" t="inlineStr">
        <is>
          <t>Hays Österreich GmbH, Bahnhof City Wien West - Europaplatz 3/5, 1150 Wien</t>
        </is>
      </c>
      <c r="J102" s="214" t="n">
        <v>20610.82</v>
      </c>
      <c r="K102" s="215">
        <f>$J102*$L102</f>
        <v/>
      </c>
      <c r="L102" s="159" t="n">
        <v>1</v>
      </c>
      <c r="M102" s="159" t="n">
        <v>0.2</v>
      </c>
      <c r="N102" s="215">
        <f>$P102*$M102</f>
        <v/>
      </c>
      <c r="O102" s="215">
        <f>L102*$N102</f>
        <v/>
      </c>
      <c r="P102" s="215">
        <f>$J102/(100%+$M102)</f>
        <v/>
      </c>
      <c r="Q102" s="215">
        <f>$L102*$P102</f>
        <v/>
      </c>
      <c r="R102" s="192">
        <f>voranmeldefrist_vierteljaehrlich(E102)</f>
        <v/>
      </c>
      <c r="T102" s="220">
        <f>IF(G102=TRUE,Q102/F102,Q102)</f>
        <v/>
      </c>
      <c r="U102" s="221">
        <f>$S102/100*$K102</f>
        <v/>
      </c>
    </row>
    <row r="103">
      <c r="A103" s="212" t="n">
        <v>2024</v>
      </c>
      <c r="B103" s="213" t="n">
        <v>102</v>
      </c>
      <c r="C103" s="71" t="inlineStr">
        <is>
          <t>Ausgaben</t>
        </is>
      </c>
      <c r="D103" t="inlineStr">
        <is>
          <t>sonstige Betriebsausgaben</t>
        </is>
      </c>
      <c r="E103" s="1" t="n">
        <v>45490</v>
      </c>
      <c r="F103" t="inlineStr">
        <is>
          <t>ipc computer, Hauptstraße 37, 77960 Seelbach, Deutschland</t>
        </is>
      </c>
      <c r="H103" t="inlineStr">
        <is>
          <t>ja</t>
        </is>
      </c>
      <c r="I103" t="b">
        <v>0</v>
      </c>
      <c r="J103" s="214" t="n">
        <v>84.51000000000001</v>
      </c>
      <c r="K103" s="215">
        <f>$J103*$L103</f>
        <v/>
      </c>
      <c r="L103" s="159" t="n">
        <v>1</v>
      </c>
      <c r="M103" s="159" t="n">
        <v>0</v>
      </c>
      <c r="N103" s="215">
        <f>$P103*$M103</f>
        <v/>
      </c>
      <c r="O103" s="215">
        <f>L103*$N103</f>
        <v/>
      </c>
      <c r="P103" s="215">
        <f>$J103/(100%+$M103)</f>
        <v/>
      </c>
      <c r="Q103" s="215">
        <f>$L103*$P103</f>
        <v/>
      </c>
      <c r="R103" s="192">
        <f>voranmeldefrist_vierteljaehrlich(E103)</f>
        <v/>
      </c>
      <c r="S103" t="n">
        <v>20</v>
      </c>
      <c r="T103" s="220">
        <f>IF(G103=TRUE,Q103/F103,Q103)</f>
        <v/>
      </c>
      <c r="U103" s="221">
        <f>$S103/100*$K103</f>
        <v/>
      </c>
    </row>
    <row r="104">
      <c r="A104" s="212" t="n">
        <v>2024</v>
      </c>
      <c r="B104" s="213" t="n">
        <v>103</v>
      </c>
      <c r="C104" s="71" t="inlineStr">
        <is>
          <t>Ausgaben</t>
        </is>
      </c>
      <c r="D104" t="inlineStr">
        <is>
          <t>sonstige Betriebsausgaben</t>
        </is>
      </c>
      <c r="E104" s="1" t="n">
        <v>45495</v>
      </c>
      <c r="F104" t="inlineStr">
        <is>
          <t>Microsoft Ireland Operations Ltd. One Microsoft Place, South County, Business Park, Leopardstown, Dublin 18, D18 P521, Ireland</t>
        </is>
      </c>
      <c r="I104" t="b">
        <v>0</v>
      </c>
      <c r="J104" s="214" t="n">
        <v>11.7</v>
      </c>
      <c r="K104" s="215">
        <f>$J104*$L104</f>
        <v/>
      </c>
      <c r="L104" s="159" t="n">
        <v>1</v>
      </c>
      <c r="M104" s="159" t="n">
        <v>0</v>
      </c>
      <c r="N104" s="215">
        <f>$P104*$M104</f>
        <v/>
      </c>
      <c r="O104" s="215">
        <f>L104*$N104</f>
        <v/>
      </c>
      <c r="P104" s="215">
        <f>$J104/(100%+$M104)</f>
        <v/>
      </c>
      <c r="Q104" s="215">
        <f>$L104*$P104</f>
        <v/>
      </c>
      <c r="R104" s="192">
        <f>voranmeldefrist_vierteljaehrlich(E104)</f>
        <v/>
      </c>
      <c r="S104" t="n">
        <v>20</v>
      </c>
      <c r="T104" s="220">
        <f>IF(G104=TRUE,Q104/F104,Q104)</f>
        <v/>
      </c>
      <c r="U104" s="221">
        <f>$S104/100*$K104</f>
        <v/>
      </c>
    </row>
    <row r="105">
      <c r="A105" s="212" t="n">
        <v>2024</v>
      </c>
      <c r="B105" s="213" t="n">
        <v>104</v>
      </c>
      <c r="C105" s="71" t="inlineStr">
        <is>
          <t>Ausgaben</t>
        </is>
      </c>
      <c r="D105" t="inlineStr">
        <is>
          <t>sonstige Betriebsausgaben</t>
        </is>
      </c>
      <c r="E105" s="1" t="n">
        <v>45498</v>
      </c>
      <c r="F105" t="inlineStr">
        <is>
          <t>OpenAI, LLC, 548 Market Street, PMB 97273, San Francisco, California 94104-5401, United States</t>
        </is>
      </c>
      <c r="I105" t="b">
        <v>0</v>
      </c>
      <c r="J105" s="224" t="n">
        <v>55</v>
      </c>
      <c r="K105" s="215">
        <f>$J105*$L105</f>
        <v/>
      </c>
      <c r="L105" s="159" t="n">
        <v>1</v>
      </c>
      <c r="M105" s="159" t="n">
        <v>0.2</v>
      </c>
      <c r="N105" s="215">
        <f>$P105*$M105</f>
        <v/>
      </c>
      <c r="O105" s="215">
        <f>L105*$N105</f>
        <v/>
      </c>
      <c r="P105" s="215">
        <f>($J105-0.32)/(100%+$M105)</f>
        <v/>
      </c>
      <c r="Q105" s="215">
        <f>$L105*$P105</f>
        <v/>
      </c>
      <c r="R105" s="192">
        <f>voranmeldefrist_vierteljaehrlich(E105)</f>
        <v/>
      </c>
      <c r="T105" s="220">
        <f>IF(G105=TRUE,Q105/F105,Q105)</f>
        <v/>
      </c>
      <c r="U105" s="221">
        <f>$S105/100*$K105</f>
        <v/>
      </c>
    </row>
    <row r="106">
      <c r="A106" s="212" t="n">
        <v>2024</v>
      </c>
      <c r="B106" s="213" t="n">
        <v>105</v>
      </c>
      <c r="C106" s="71" t="inlineStr">
        <is>
          <t>Ausgaben</t>
        </is>
      </c>
      <c r="D106" t="inlineStr">
        <is>
          <t>Büromaterial</t>
        </is>
      </c>
      <c r="E106" s="1" t="n">
        <v>45470</v>
      </c>
      <c r="F106" t="inlineStr">
        <is>
          <t>Amazon EU S. à r.l., 38 avenue John F. Kennedy, L-1855 Luxembourg</t>
        </is>
      </c>
      <c r="I106" t="b">
        <v>0</v>
      </c>
      <c r="J106" s="214" t="n">
        <v>4.94</v>
      </c>
      <c r="K106" s="215">
        <f>$J106*$L106</f>
        <v/>
      </c>
      <c r="L106" s="159" t="n">
        <v>1</v>
      </c>
      <c r="M106" s="159" t="n">
        <v>0.2</v>
      </c>
      <c r="N106" s="215">
        <f>$P106*$M106</f>
        <v/>
      </c>
      <c r="O106" s="215">
        <f>L106*$N106</f>
        <v/>
      </c>
      <c r="P106" s="215">
        <f>$J106/(100%+$M106)</f>
        <v/>
      </c>
      <c r="Q106" s="215">
        <f>$L106*$P106</f>
        <v/>
      </c>
      <c r="R106" s="192">
        <f>voranmeldefrist_vierteljaehrlich(E106)</f>
        <v/>
      </c>
      <c r="T106" s="220">
        <f>IF(G106=TRUE,Q106/F106,Q106)</f>
        <v/>
      </c>
      <c r="U106" s="221">
        <f>$S106/100*$K106</f>
        <v/>
      </c>
    </row>
    <row r="107">
      <c r="A107" s="212" t="n">
        <v>2024</v>
      </c>
      <c r="B107" s="213" t="n">
        <v>106</v>
      </c>
      <c r="C107" s="71" t="inlineStr">
        <is>
          <t>Ausgaben</t>
        </is>
      </c>
      <c r="D107" t="inlineStr">
        <is>
          <t>Telefon/Internet</t>
        </is>
      </c>
      <c r="E107" s="1" t="n">
        <v>45505</v>
      </c>
      <c r="F107" t="inlineStr">
        <is>
          <t>Hutchison Drei Austria GmbH, Brünner Straße 52, 1210 Wien, Österreich</t>
        </is>
      </c>
      <c r="I107" t="b">
        <v>0</v>
      </c>
      <c r="J107" s="214" t="n">
        <v>13.91</v>
      </c>
      <c r="K107" s="215">
        <f>$J107*$L107</f>
        <v/>
      </c>
      <c r="L107" s="159" t="n">
        <v>1</v>
      </c>
      <c r="M107" s="159" t="n">
        <v>0.2</v>
      </c>
      <c r="N107" s="215">
        <f>$P107*$M107</f>
        <v/>
      </c>
      <c r="O107" s="215">
        <f>L107*$N107</f>
        <v/>
      </c>
      <c r="P107" s="215">
        <f>$J107/(100%+$M107)</f>
        <v/>
      </c>
      <c r="Q107" s="215">
        <f>$L107*$P107</f>
        <v/>
      </c>
      <c r="R107" s="192">
        <f>voranmeldefrist_vierteljaehrlich(E107)</f>
        <v/>
      </c>
      <c r="T107" s="220">
        <f>IF(G107=TRUE,Q107/F107,Q107)</f>
        <v/>
      </c>
      <c r="U107" s="221">
        <f>$S107/100*$K107</f>
        <v/>
      </c>
    </row>
    <row r="108">
      <c r="A108" s="212" t="n">
        <v>2024</v>
      </c>
      <c r="B108" s="213" t="n">
        <v>107</v>
      </c>
      <c r="C108" s="71" t="inlineStr">
        <is>
          <t>Ausgaben</t>
        </is>
      </c>
      <c r="D108" t="inlineStr">
        <is>
          <t>sonstige Betriebsausgaben</t>
        </is>
      </c>
      <c r="E108" s="1" t="n">
        <v>45509</v>
      </c>
      <c r="F108" t="inlineStr">
        <is>
          <t>Google Ireland Ltd, Gordon House, Barrow Street, Dublin 4, Ireland; VAT number: IE 6388047V</t>
        </is>
      </c>
      <c r="I108" t="b">
        <v>0</v>
      </c>
      <c r="J108" s="214" t="n">
        <v>13.8</v>
      </c>
      <c r="K108" s="215">
        <f>$J108*$L108</f>
        <v/>
      </c>
      <c r="L108" s="159" t="n">
        <v>1</v>
      </c>
      <c r="M108" s="159" t="n">
        <v>0</v>
      </c>
      <c r="N108" s="215">
        <f>$P108*$M108</f>
        <v/>
      </c>
      <c r="O108" s="215">
        <f>L108*$N108</f>
        <v/>
      </c>
      <c r="P108" s="215">
        <f>$J108/(100%+$M108)</f>
        <v/>
      </c>
      <c r="Q108" s="215">
        <f>$L108*$P108</f>
        <v/>
      </c>
      <c r="R108" s="192">
        <f>voranmeldefrist_vierteljaehrlich(E108)</f>
        <v/>
      </c>
      <c r="S108" t="n">
        <v>20</v>
      </c>
      <c r="T108" s="220">
        <f>IF(G108=TRUE,Q108/F108,Q108)</f>
        <v/>
      </c>
      <c r="U108" s="221">
        <f>$S108/100*$K108</f>
        <v/>
      </c>
    </row>
    <row r="109">
      <c r="A109" s="212" t="n">
        <v>2024</v>
      </c>
      <c r="B109" s="213" t="n">
        <v>108</v>
      </c>
      <c r="C109" s="71" t="inlineStr">
        <is>
          <t>Ausgaben</t>
        </is>
      </c>
      <c r="D109" t="inlineStr">
        <is>
          <t>sonstige Betriebsausgaben</t>
        </is>
      </c>
      <c r="E109" s="1" t="n">
        <v>45517</v>
      </c>
      <c r="F109" t="inlineStr">
        <is>
          <t>Hetzner Online GmbH, Industriestraße 25, 91710 Gunzenhausen</t>
        </is>
      </c>
      <c r="I109" t="b">
        <v>0</v>
      </c>
      <c r="J109" s="214" t="n">
        <v>52.42</v>
      </c>
      <c r="K109" s="215">
        <f>$J109*$L109</f>
        <v/>
      </c>
      <c r="L109" s="159" t="n">
        <v>1</v>
      </c>
      <c r="M109" s="159" t="n">
        <v>0</v>
      </c>
      <c r="N109" s="215">
        <f>$P109*$M109</f>
        <v/>
      </c>
      <c r="O109" s="215">
        <f>L109*$N109</f>
        <v/>
      </c>
      <c r="P109" s="215">
        <f>$J109/(100%+$M109)</f>
        <v/>
      </c>
      <c r="Q109" s="215">
        <f>$L109*$P109</f>
        <v/>
      </c>
      <c r="R109" s="192">
        <f>voranmeldefrist_vierteljaehrlich(E109)</f>
        <v/>
      </c>
      <c r="S109" t="n">
        <v>20</v>
      </c>
      <c r="T109" s="220">
        <f>IF(G109=TRUE,Q109/F109,Q109)</f>
        <v/>
      </c>
      <c r="U109" s="221">
        <f>$S109/100*$K109</f>
        <v/>
      </c>
    </row>
    <row r="110">
      <c r="A110" s="212" t="n">
        <v>2024</v>
      </c>
      <c r="B110" s="213" t="n">
        <v>109</v>
      </c>
      <c r="C110" s="71" t="inlineStr">
        <is>
          <t>Einnahmen</t>
        </is>
      </c>
      <c r="D110" t="inlineStr">
        <is>
          <t>Waren-/Leistungserlöse</t>
        </is>
      </c>
      <c r="E110" s="1" t="n">
        <v>45517</v>
      </c>
      <c r="F110" t="inlineStr">
        <is>
          <t>Hays Österreich GmbH, Bahnhof City Wien West - Europaplatz 3/5, 1150 Wien</t>
        </is>
      </c>
      <c r="J110" s="214" t="n">
        <v>20610.82</v>
      </c>
      <c r="K110" s="215">
        <f>$J110*$L110</f>
        <v/>
      </c>
      <c r="L110" s="159" t="n">
        <v>1</v>
      </c>
      <c r="M110" s="159" t="n">
        <v>0.2</v>
      </c>
      <c r="N110" s="215">
        <f>$P110*$M110</f>
        <v/>
      </c>
      <c r="O110" s="215">
        <f>L110*$N110</f>
        <v/>
      </c>
      <c r="P110" s="215">
        <f>$J110/(100%+$M110)</f>
        <v/>
      </c>
      <c r="Q110" s="215">
        <f>$L110*$P110</f>
        <v/>
      </c>
      <c r="R110" s="192">
        <f>voranmeldefrist_vierteljaehrlich(E110)</f>
        <v/>
      </c>
      <c r="T110" s="220">
        <f>IF(G110=TRUE,Q110/F110,Q110)</f>
        <v/>
      </c>
      <c r="U110" s="221">
        <f>$S110/100*$K110</f>
        <v/>
      </c>
    </row>
    <row r="111">
      <c r="A111" s="212" t="n">
        <v>2024</v>
      </c>
      <c r="B111" s="213" t="n">
        <v>110</v>
      </c>
      <c r="C111" s="71" t="inlineStr">
        <is>
          <t>Ausgaben</t>
        </is>
      </c>
      <c r="D111" t="inlineStr">
        <is>
          <t>Telefon/Internet</t>
        </is>
      </c>
      <c r="E111" s="1" t="n">
        <v>45518</v>
      </c>
      <c r="F111" t="inlineStr">
        <is>
          <t>kabelplus GmbH, Südstadtzentrum 4, 2344 Maria Enzersdorf</t>
        </is>
      </c>
      <c r="I111" t="b">
        <v>0</v>
      </c>
      <c r="J111" s="214" t="n">
        <v>55.7</v>
      </c>
      <c r="K111" s="215">
        <f>$J111*$L111</f>
        <v/>
      </c>
      <c r="L111" s="159" t="n">
        <v>0.67</v>
      </c>
      <c r="M111" s="98">
        <f>N111/P111</f>
        <v/>
      </c>
      <c r="N111" s="215">
        <f>1.32+6.86</f>
        <v/>
      </c>
      <c r="O111" s="215">
        <f>L111*$N111</f>
        <v/>
      </c>
      <c r="P111" s="215">
        <f>13.21+34.31</f>
        <v/>
      </c>
      <c r="Q111" s="215">
        <f>$L111*$P111</f>
        <v/>
      </c>
      <c r="R111" s="192">
        <f>voranmeldefrist_vierteljaehrlich(E111)</f>
        <v/>
      </c>
      <c r="T111" s="220">
        <f>IF(G111=TRUE,Q111/F111,Q111)</f>
        <v/>
      </c>
      <c r="U111" s="221">
        <f>$S111/100*$K111</f>
        <v/>
      </c>
    </row>
    <row r="112">
      <c r="A112" s="212" t="n">
        <v>2024</v>
      </c>
      <c r="B112" s="213" t="n">
        <v>111</v>
      </c>
      <c r="C112" s="71" t="inlineStr">
        <is>
          <t>Ausgaben</t>
        </is>
      </c>
      <c r="D112" t="inlineStr">
        <is>
          <t>sonstige Betriebsausgaben</t>
        </is>
      </c>
      <c r="E112" s="1" t="n">
        <v>45518</v>
      </c>
      <c r="F112" t="inlineStr">
        <is>
          <t>Marktgemeinde Bisamberg, Hauptstraße 2, 2102 Bisamberg</t>
        </is>
      </c>
      <c r="I112" t="b">
        <v>0</v>
      </c>
      <c r="J112" s="214">
        <f>P112+N112</f>
        <v/>
      </c>
      <c r="K112" s="215">
        <f>$J112*$L112</f>
        <v/>
      </c>
      <c r="L112" s="159">
        <f>14.6/158.43</f>
        <v/>
      </c>
      <c r="M112" s="98">
        <f>N112/P112</f>
        <v/>
      </c>
      <c r="N112" s="215">
        <f>10%*62.24+10%*144.62</f>
        <v/>
      </c>
      <c r="O112" s="215">
        <f>L112*$N112</f>
        <v/>
      </c>
      <c r="P112" s="215">
        <f>62.24+3.75-39.2+144.62</f>
        <v/>
      </c>
      <c r="Q112" s="215">
        <f>$L112*$P112</f>
        <v/>
      </c>
      <c r="R112" s="192">
        <f>voranmeldefrist_vierteljaehrlich(E112)</f>
        <v/>
      </c>
      <c r="T112" s="220">
        <f>IF(G112=TRUE,Q112/F112,Q112)</f>
        <v/>
      </c>
      <c r="U112" s="221">
        <f>$S112/100*$K112</f>
        <v/>
      </c>
    </row>
    <row r="113">
      <c r="A113" s="212" t="n">
        <v>2024</v>
      </c>
      <c r="B113" s="213" t="n">
        <v>112</v>
      </c>
      <c r="C113" s="71" t="inlineStr">
        <is>
          <t>Ausgaben</t>
        </is>
      </c>
      <c r="D113" t="inlineStr">
        <is>
          <t>sonstige Betriebsausgaben</t>
        </is>
      </c>
      <c r="E113" s="1" t="n">
        <v>45519</v>
      </c>
      <c r="F113" t="inlineStr">
        <is>
          <t>Hetzner Online GmbH, Industriestraße 25, 91710 Gunzenhausen</t>
        </is>
      </c>
      <c r="I113" t="b">
        <v>0</v>
      </c>
      <c r="J113" s="214" t="n">
        <v>1.76</v>
      </c>
      <c r="K113" s="215">
        <f>$J113*$L113</f>
        <v/>
      </c>
      <c r="L113" s="159" t="n">
        <v>1</v>
      </c>
      <c r="M113" s="159" t="n">
        <v>0</v>
      </c>
      <c r="N113" s="215">
        <f>$P113*$M113</f>
        <v/>
      </c>
      <c r="O113" s="215">
        <f>L113*$N113</f>
        <v/>
      </c>
      <c r="P113" s="215">
        <f>$J113/(100%+$M113)</f>
        <v/>
      </c>
      <c r="Q113" s="215">
        <f>$L113*$P113</f>
        <v/>
      </c>
      <c r="R113" s="192">
        <f>voranmeldefrist_vierteljaehrlich(E113)</f>
        <v/>
      </c>
      <c r="S113" t="n">
        <v>20</v>
      </c>
      <c r="T113" s="220">
        <f>IF(G113=TRUE,Q113/F113,Q113)</f>
        <v/>
      </c>
      <c r="U113" s="221">
        <f>$S113/100*$K113</f>
        <v/>
      </c>
    </row>
    <row r="114">
      <c r="A114" s="212" t="n">
        <v>2024</v>
      </c>
      <c r="B114" s="213" t="n">
        <v>113</v>
      </c>
      <c r="C114" s="71" t="inlineStr">
        <is>
          <t>Ausgaben</t>
        </is>
      </c>
      <c r="D114" t="inlineStr">
        <is>
          <t>Personalaufwand</t>
        </is>
      </c>
      <c r="E114" s="1" t="n">
        <v>45522</v>
      </c>
      <c r="F114" t="inlineStr">
        <is>
          <t>Eva Jaros-Kolbitsch</t>
        </is>
      </c>
      <c r="I114" t="b">
        <v>0</v>
      </c>
      <c r="J114" s="214" t="n">
        <v>365</v>
      </c>
      <c r="K114" s="215">
        <f>$J114*$L114</f>
        <v/>
      </c>
      <c r="L114" s="159" t="n">
        <v>1</v>
      </c>
      <c r="M114" s="159" t="n">
        <v>0</v>
      </c>
      <c r="N114" s="215">
        <f>$P114*$M114</f>
        <v/>
      </c>
      <c r="O114" s="215">
        <f>L114*$N114</f>
        <v/>
      </c>
      <c r="P114" s="215">
        <f>$J114/(100%+$M114)</f>
        <v/>
      </c>
      <c r="Q114" s="215">
        <f>$L114*$P114</f>
        <v/>
      </c>
      <c r="R114" s="192">
        <f>voranmeldefrist_vierteljaehrlich(E114)</f>
        <v/>
      </c>
      <c r="T114" s="220">
        <f>IF(G114=TRUE,Q114/F114,Q114)</f>
        <v/>
      </c>
      <c r="U114" s="221">
        <f>$S114/100*$K114</f>
        <v/>
      </c>
    </row>
    <row r="115">
      <c r="A115" s="212" t="n">
        <v>2024</v>
      </c>
      <c r="B115" s="213" t="n">
        <v>114</v>
      </c>
      <c r="C115" s="71" t="inlineStr">
        <is>
          <t>Einnahmen</t>
        </is>
      </c>
      <c r="D115" t="inlineStr">
        <is>
          <t>Waren-/Leistungserlöse</t>
        </is>
      </c>
      <c r="E115" s="1" t="n">
        <v>45524</v>
      </c>
      <c r="F115" t="inlineStr">
        <is>
          <t>Paperholic all ´bout paper e.U. - Birgit Horn, Koglgasse 15, 2111 Harmannsdorf</t>
        </is>
      </c>
      <c r="J115" s="214" t="n">
        <v>764.4</v>
      </c>
      <c r="K115" s="215">
        <f>$J115*$L115</f>
        <v/>
      </c>
      <c r="L115" s="159" t="n">
        <v>1</v>
      </c>
      <c r="M115" s="159" t="n">
        <v>0.2</v>
      </c>
      <c r="N115" s="215">
        <f>$P115*$M115</f>
        <v/>
      </c>
      <c r="O115" s="215">
        <f>L115*$N115</f>
        <v/>
      </c>
      <c r="P115" s="215">
        <f>$J115/(100%+$M115)</f>
        <v/>
      </c>
      <c r="Q115" s="215">
        <f>$L115*$P115</f>
        <v/>
      </c>
      <c r="R115" s="192">
        <f>voranmeldefrist_vierteljaehrlich(E115)</f>
        <v/>
      </c>
      <c r="T115" s="220">
        <f>IF(G115=TRUE,Q115/F115,Q115)</f>
        <v/>
      </c>
      <c r="U115" s="221">
        <f>$S115/100*$K115</f>
        <v/>
      </c>
    </row>
    <row r="116">
      <c r="A116" s="212" t="n">
        <v>2024</v>
      </c>
      <c r="B116" s="213" t="n">
        <v>115</v>
      </c>
      <c r="C116" s="71" t="inlineStr">
        <is>
          <t>Ausgaben</t>
        </is>
      </c>
      <c r="D116" t="inlineStr">
        <is>
          <t>sonstige Betriebsausgaben</t>
        </is>
      </c>
      <c r="E116" s="1" t="n">
        <v>45525</v>
      </c>
      <c r="F116" t="inlineStr">
        <is>
          <t>Microsoft Ireland Operations Ltd. One Microsoft Place, South County, Business Park, Leopardstown, Dublin 18, D18 P521, Ireland</t>
        </is>
      </c>
      <c r="I116" t="b">
        <v>0</v>
      </c>
      <c r="J116" s="214" t="n">
        <v>11.7</v>
      </c>
      <c r="K116" s="215">
        <f>$J116*$L116</f>
        <v/>
      </c>
      <c r="L116" s="159" t="n">
        <v>1</v>
      </c>
      <c r="M116" s="159" t="n">
        <v>0</v>
      </c>
      <c r="N116" s="215">
        <f>$P116*$M116</f>
        <v/>
      </c>
      <c r="O116" s="215">
        <f>L116*$N116</f>
        <v/>
      </c>
      <c r="P116" s="215">
        <f>$J116/(100%+$M116)</f>
        <v/>
      </c>
      <c r="Q116" s="215">
        <f>$L116*$P116</f>
        <v/>
      </c>
      <c r="R116" s="192">
        <f>voranmeldefrist_vierteljaehrlich(E116)</f>
        <v/>
      </c>
      <c r="S116" t="n">
        <v>20</v>
      </c>
      <c r="T116" s="220">
        <f>IF(G116=TRUE,Q116/F116,Q116)</f>
        <v/>
      </c>
      <c r="U116" s="221">
        <f>$S116/100*$K116</f>
        <v/>
      </c>
    </row>
    <row r="117">
      <c r="A117" s="212" t="n">
        <v>2024</v>
      </c>
      <c r="B117" s="213" t="n">
        <v>116</v>
      </c>
      <c r="C117" s="71" t="inlineStr">
        <is>
          <t>Ausgaben</t>
        </is>
      </c>
      <c r="D117" t="inlineStr">
        <is>
          <t>Reise- und Fahrtspesen inkl. Kilometergeld und Diäten</t>
        </is>
      </c>
      <c r="E117" s="1" t="n">
        <v>45526</v>
      </c>
      <c r="F117" t="inlineStr">
        <is>
          <t>Verkehrsbund Ost-Region (VOR) GesmbH</t>
        </is>
      </c>
      <c r="I117" t="b">
        <v>0</v>
      </c>
      <c r="J117" s="214" t="n">
        <v>860</v>
      </c>
      <c r="K117" s="215">
        <f>$J117*$L117</f>
        <v/>
      </c>
      <c r="L117" s="159" t="n">
        <v>1</v>
      </c>
      <c r="M117" s="159" t="n">
        <v>0.1</v>
      </c>
      <c r="N117" s="215">
        <f>$P117*$M117</f>
        <v/>
      </c>
      <c r="O117" s="215">
        <f>L117*$N117</f>
        <v/>
      </c>
      <c r="P117" s="215">
        <f>$J117/(100%+$M117)</f>
        <v/>
      </c>
      <c r="Q117" s="215">
        <f>$L117*$P117</f>
        <v/>
      </c>
      <c r="R117" s="192">
        <f>voranmeldefrist_vierteljaehrlich(E117)</f>
        <v/>
      </c>
      <c r="T117" s="220">
        <f>IF(G117=TRUE,Q117/F117,Q117)</f>
        <v/>
      </c>
      <c r="U117" s="221">
        <f>$S117/100*$K117</f>
        <v/>
      </c>
    </row>
    <row r="118">
      <c r="A118" s="212" t="n">
        <v>2024</v>
      </c>
      <c r="B118" s="213" t="n">
        <v>117</v>
      </c>
      <c r="C118" s="71" t="inlineStr">
        <is>
          <t>Ausgaben</t>
        </is>
      </c>
      <c r="D118" t="inlineStr">
        <is>
          <t>sonstige Betriebsausgaben</t>
        </is>
      </c>
      <c r="E118" s="1" t="n">
        <v>45530</v>
      </c>
      <c r="F118" t="inlineStr">
        <is>
          <t>OpenAI, LLC, 548 Market Street, PMB 97273, San Francisco, California 94104-5401, United States</t>
        </is>
      </c>
      <c r="I118" t="b">
        <v>0</v>
      </c>
      <c r="J118" s="214" t="n">
        <v>21.95</v>
      </c>
      <c r="K118" s="215">
        <f>$J118*$L118</f>
        <v/>
      </c>
      <c r="L118" s="159" t="n">
        <v>1</v>
      </c>
      <c r="M118" s="159" t="n">
        <v>0.2</v>
      </c>
      <c r="N118" s="215">
        <f>$P118*$M118</f>
        <v/>
      </c>
      <c r="O118" s="215">
        <f>L118*$N118</f>
        <v/>
      </c>
      <c r="P118" s="215">
        <f>($J118-0.32)/(100%+$M118)</f>
        <v/>
      </c>
      <c r="Q118" s="215">
        <f>$L118*$P118</f>
        <v/>
      </c>
      <c r="R118" s="192">
        <f>voranmeldefrist_vierteljaehrlich(E118)</f>
        <v/>
      </c>
      <c r="T118" s="220">
        <f>IF(G118=TRUE,Q118/F118,Q118)</f>
        <v/>
      </c>
      <c r="U118" s="221">
        <f>$S118/100*$K118</f>
        <v/>
      </c>
    </row>
    <row r="119">
      <c r="A119" s="212" t="n">
        <v>2024</v>
      </c>
      <c r="B119" s="213" t="n">
        <v>118</v>
      </c>
      <c r="C119" s="71" t="inlineStr">
        <is>
          <t>Ausgaben</t>
        </is>
      </c>
      <c r="D119" t="inlineStr">
        <is>
          <t>Pflichversicherungsbeiträge</t>
        </is>
      </c>
      <c r="E119" s="1" t="n">
        <v>45534</v>
      </c>
      <c r="F119" t="inlineStr">
        <is>
          <t>SVS</t>
        </is>
      </c>
      <c r="I119" t="b">
        <v>0</v>
      </c>
      <c r="J119" s="214" t="n">
        <v>4993.46</v>
      </c>
      <c r="K119" s="215">
        <f>$J119*$L119</f>
        <v/>
      </c>
      <c r="L119" s="159" t="n">
        <v>1</v>
      </c>
      <c r="M119" s="159" t="n">
        <v>0</v>
      </c>
      <c r="N119" s="215">
        <f>$P119*$M119</f>
        <v/>
      </c>
      <c r="O119" s="215">
        <f>L119*$N119</f>
        <v/>
      </c>
      <c r="P119" s="215">
        <f>$J119/(100%+$M119)</f>
        <v/>
      </c>
      <c r="Q119" s="215">
        <f>$L119*$P119</f>
        <v/>
      </c>
      <c r="R119" s="192">
        <f>voranmeldefrist_vierteljaehrlich(E119)</f>
        <v/>
      </c>
      <c r="T119" s="220">
        <f>IF(G119=TRUE,Q119/F119,Q119)</f>
        <v/>
      </c>
      <c r="U119" s="221">
        <f>$S119/100*$K119</f>
        <v/>
      </c>
    </row>
    <row r="120">
      <c r="A120" s="212" t="n">
        <v>2024</v>
      </c>
      <c r="B120" s="213" t="n">
        <v>119</v>
      </c>
      <c r="C120" s="71" t="inlineStr">
        <is>
          <t>Ausgaben</t>
        </is>
      </c>
      <c r="D120" t="inlineStr">
        <is>
          <t>sonstige Betriebsausgaben</t>
        </is>
      </c>
      <c r="E120" s="1" t="n">
        <v>45537</v>
      </c>
      <c r="F120" t="inlineStr">
        <is>
          <t>EVN Wasser GmbH</t>
        </is>
      </c>
      <c r="I120" t="b">
        <v>0</v>
      </c>
      <c r="J120" s="214" t="n">
        <v>354.16</v>
      </c>
      <c r="K120" s="215">
        <f>$J120*$L120</f>
        <v/>
      </c>
      <c r="L120" s="159">
        <f>14.6/158.43</f>
        <v/>
      </c>
      <c r="M120" s="159" t="n">
        <v>0.1</v>
      </c>
      <c r="N120" s="215">
        <f>$P120*$M120</f>
        <v/>
      </c>
      <c r="O120" s="215">
        <f>L120*$N120</f>
        <v/>
      </c>
      <c r="P120" s="215">
        <f>$J120/(100%+$M120)</f>
        <v/>
      </c>
      <c r="Q120" s="215">
        <f>$L120*$P120</f>
        <v/>
      </c>
      <c r="R120" s="192">
        <f>voranmeldefrist_vierteljaehrlich(E120)</f>
        <v/>
      </c>
      <c r="T120" s="220">
        <f>IF(G120=TRUE,Q120/F120,Q120)</f>
        <v/>
      </c>
      <c r="U120" s="221">
        <f>$S120/100*$K120</f>
        <v/>
      </c>
    </row>
    <row r="121">
      <c r="A121" s="212" t="n">
        <v>2024</v>
      </c>
      <c r="B121" s="213" t="n">
        <v>120</v>
      </c>
      <c r="C121" s="71" t="inlineStr">
        <is>
          <t>Ausgaben</t>
        </is>
      </c>
      <c r="D121" t="inlineStr">
        <is>
          <t>Telefon/Internet</t>
        </is>
      </c>
      <c r="E121" s="1" t="n">
        <v>45538</v>
      </c>
      <c r="F121" t="inlineStr">
        <is>
          <t>Hutchison Drei Austria GmbH, Brünner Straße 52, 1210 Wien, Österreich</t>
        </is>
      </c>
      <c r="I121" t="b">
        <v>0</v>
      </c>
      <c r="J121" s="214" t="n">
        <v>13.91</v>
      </c>
      <c r="K121" s="215">
        <f>$J121*$L121</f>
        <v/>
      </c>
      <c r="L121" s="159" t="n">
        <v>1</v>
      </c>
      <c r="M121" s="159" t="n">
        <v>0.2</v>
      </c>
      <c r="N121" s="215">
        <f>$P121*$M121</f>
        <v/>
      </c>
      <c r="O121" s="215">
        <f>L121*$N121</f>
        <v/>
      </c>
      <c r="P121" s="215">
        <f>$J121/(100%+$M121)</f>
        <v/>
      </c>
      <c r="Q121" s="215">
        <f>$L121*$P121</f>
        <v/>
      </c>
      <c r="R121" s="192">
        <f>voranmeldefrist_vierteljaehrlich(E121)</f>
        <v/>
      </c>
      <c r="T121" s="220">
        <f>IF(G121=TRUE,Q121/F121,Q121)</f>
        <v/>
      </c>
      <c r="U121" s="221">
        <f>$S121/100*$K121</f>
        <v/>
      </c>
    </row>
    <row r="122">
      <c r="A122" s="212" t="n">
        <v>2024</v>
      </c>
      <c r="B122" s="213" t="n">
        <v>121</v>
      </c>
      <c r="C122" s="71" t="inlineStr">
        <is>
          <t>Ausgaben</t>
        </is>
      </c>
      <c r="D122" t="inlineStr">
        <is>
          <t>sonstige Betriebsausgaben</t>
        </is>
      </c>
      <c r="E122" s="1" t="n">
        <v>45538</v>
      </c>
      <c r="F122" t="inlineStr">
        <is>
          <t>Wirtschaftskammer Niederösterreich Grundumlage</t>
        </is>
      </c>
      <c r="I122" t="b">
        <v>0</v>
      </c>
      <c r="J122" s="214" t="n">
        <v>13.91</v>
      </c>
      <c r="K122" s="215">
        <f>$J122*$L122</f>
        <v/>
      </c>
      <c r="L122" s="159" t="n">
        <v>1</v>
      </c>
      <c r="M122" s="159" t="n">
        <v>0</v>
      </c>
      <c r="N122" s="215">
        <f>$P122*$M122</f>
        <v/>
      </c>
      <c r="O122" s="215">
        <f>L122*$N122</f>
        <v/>
      </c>
      <c r="P122" s="215">
        <f>$J122/(100%+$M122)</f>
        <v/>
      </c>
      <c r="Q122" s="215">
        <f>$L122*$P122</f>
        <v/>
      </c>
      <c r="R122" s="192">
        <f>voranmeldefrist_vierteljaehrlich(E122)</f>
        <v/>
      </c>
      <c r="T122" s="220">
        <f>IF(G122=TRUE,Q122/F122,Q122)</f>
        <v/>
      </c>
      <c r="U122" s="221">
        <f>$S122/100*$K122</f>
        <v/>
      </c>
    </row>
    <row r="123">
      <c r="A123" s="212" t="n">
        <v>2024</v>
      </c>
      <c r="B123" s="213" t="n">
        <v>122</v>
      </c>
      <c r="C123" s="71" t="inlineStr">
        <is>
          <t>Ausgaben</t>
        </is>
      </c>
      <c r="D123" t="inlineStr">
        <is>
          <t>sonstige Betriebsausgaben</t>
        </is>
      </c>
      <c r="E123" s="1" t="n">
        <v>45538</v>
      </c>
      <c r="F123" t="inlineStr">
        <is>
          <t>Google Ireland Ltd, Gordon House, Barrow Street, Dublin 4, Ireland; VAT number: IE 6388047V</t>
        </is>
      </c>
      <c r="I123" t="b">
        <v>0</v>
      </c>
      <c r="J123" s="214" t="n">
        <v>13.8</v>
      </c>
      <c r="K123" s="215">
        <f>$J123*$L123</f>
        <v/>
      </c>
      <c r="L123" s="159" t="n">
        <v>1</v>
      </c>
      <c r="M123" s="159" t="n">
        <v>0</v>
      </c>
      <c r="N123" s="215">
        <f>$P123*$M123</f>
        <v/>
      </c>
      <c r="O123" s="215">
        <f>L123*$N123</f>
        <v/>
      </c>
      <c r="P123" s="215">
        <f>$J123/(100%+$M123)</f>
        <v/>
      </c>
      <c r="Q123" s="215">
        <f>$L123*$P123</f>
        <v/>
      </c>
      <c r="R123" s="192">
        <f>voranmeldefrist_vierteljaehrlich(E123)</f>
        <v/>
      </c>
      <c r="S123" t="n">
        <v>20</v>
      </c>
      <c r="T123" s="220">
        <f>IF(G123=TRUE,Q123/F123,Q123)</f>
        <v/>
      </c>
      <c r="U123" s="221">
        <f>$S123/100*$K123</f>
        <v/>
      </c>
    </row>
    <row r="124">
      <c r="A124" s="212" t="n">
        <v>2024</v>
      </c>
      <c r="B124" s="213" t="n">
        <v>123</v>
      </c>
      <c r="C124" s="71" t="inlineStr">
        <is>
          <t>Einnahmen</t>
        </is>
      </c>
      <c r="D124" t="inlineStr">
        <is>
          <t>Waren-/Leistungserlöse</t>
        </is>
      </c>
      <c r="E124" s="1" t="n">
        <v>45540</v>
      </c>
      <c r="F124" t="inlineStr">
        <is>
          <t>Hays Österreich GmbH, Bahnhof City Wien West - Europaplatz 3/5, 1150 Wien</t>
        </is>
      </c>
      <c r="J124" s="214" t="n">
        <v>10377.6</v>
      </c>
      <c r="K124" s="215">
        <f>$J124*$L124</f>
        <v/>
      </c>
      <c r="L124" s="159" t="n">
        <v>1</v>
      </c>
      <c r="M124" s="159" t="n">
        <v>0.2</v>
      </c>
      <c r="N124" s="215">
        <f>$P124*$M124</f>
        <v/>
      </c>
      <c r="O124" s="215">
        <f>L124*$N124</f>
        <v/>
      </c>
      <c r="P124" s="215">
        <f>$J124/(100%+$M124)</f>
        <v/>
      </c>
      <c r="Q124" s="215">
        <f>$L124*$P124</f>
        <v/>
      </c>
      <c r="R124" s="192">
        <f>voranmeldefrist_vierteljaehrlich(E124)</f>
        <v/>
      </c>
      <c r="T124" s="220">
        <f>IF(G124=TRUE,Q124/F124,Q124)</f>
        <v/>
      </c>
      <c r="U124" s="221">
        <f>$S124/100*$K124</f>
        <v/>
      </c>
    </row>
    <row r="125">
      <c r="A125" s="212" t="n">
        <v>2024</v>
      </c>
      <c r="B125" s="213" t="n">
        <v>124</v>
      </c>
      <c r="C125" s="71" t="inlineStr">
        <is>
          <t>Ausgaben</t>
        </is>
      </c>
      <c r="D125" t="inlineStr">
        <is>
          <t>Reise- und Fahrtspesen inkl. Kilometergeld und Diäten</t>
        </is>
      </c>
      <c r="E125" s="1" t="n">
        <v>45540</v>
      </c>
      <c r="F125" t="inlineStr">
        <is>
          <t>Wiener Linien GmbH &amp; Co KG</t>
        </is>
      </c>
      <c r="I125" t="b">
        <v>0</v>
      </c>
      <c r="J125" s="214" t="n">
        <v>-273.75</v>
      </c>
      <c r="K125" s="215">
        <f>$J125*$L125</f>
        <v/>
      </c>
      <c r="L125" s="159" t="n">
        <v>1</v>
      </c>
      <c r="M125" s="159" t="n">
        <v>0.1</v>
      </c>
      <c r="N125" s="215">
        <f>$P125*$M125</f>
        <v/>
      </c>
      <c r="O125" s="215">
        <f>L125*$N125</f>
        <v/>
      </c>
      <c r="P125" s="215">
        <f>$J125/(100%+$M125)</f>
        <v/>
      </c>
      <c r="Q125" s="215">
        <f>$L125*$P125</f>
        <v/>
      </c>
      <c r="R125" s="192">
        <f>voranmeldefrist_vierteljaehrlich(E125)</f>
        <v/>
      </c>
      <c r="T125" s="220">
        <f>IF(G125=TRUE,Q125/F125,Q125)</f>
        <v/>
      </c>
      <c r="U125" s="221">
        <f>$S125/100*$K125</f>
        <v/>
      </c>
    </row>
    <row r="126">
      <c r="A126" s="212" t="n">
        <v>2024</v>
      </c>
      <c r="B126" s="213" t="n">
        <v>125</v>
      </c>
      <c r="C126" s="71" t="inlineStr">
        <is>
          <t>Ausgaben</t>
        </is>
      </c>
      <c r="D126" t="inlineStr">
        <is>
          <t>sonstige Betriebsausgaben</t>
        </is>
      </c>
      <c r="E126" s="1" t="n">
        <v>45544</v>
      </c>
      <c r="F126" t="inlineStr">
        <is>
          <t>Wien Energie Vertrieb GmbH &amp; Co KG, 1030 Wien, Pf 520</t>
        </is>
      </c>
      <c r="I126" t="b">
        <v>0</v>
      </c>
      <c r="J126" s="214" t="n">
        <v>341.35</v>
      </c>
      <c r="K126" s="215">
        <f>$J126*$L126</f>
        <v/>
      </c>
      <c r="L126" s="159">
        <f>14.6/158.43</f>
        <v/>
      </c>
      <c r="M126" s="159" t="n">
        <v>0.2</v>
      </c>
      <c r="N126" s="215">
        <f>$P126*$M126</f>
        <v/>
      </c>
      <c r="O126" s="215">
        <f>L126*$N126</f>
        <v/>
      </c>
      <c r="P126" s="215">
        <f>$J126/(100%+$M126)</f>
        <v/>
      </c>
      <c r="Q126" s="215">
        <f>$L126*$P126</f>
        <v/>
      </c>
      <c r="R126" s="192">
        <f>voranmeldefrist_vierteljaehrlich(E126)</f>
        <v/>
      </c>
      <c r="T126" s="220">
        <f>IF(G126=TRUE,Q126/F126,Q126)</f>
        <v/>
      </c>
      <c r="U126" s="221">
        <f>$S126/100*$K126</f>
        <v/>
      </c>
    </row>
    <row r="127">
      <c r="A127" s="212" t="n">
        <v>2024</v>
      </c>
      <c r="B127" s="213" t="n">
        <v>126</v>
      </c>
      <c r="C127" s="71" t="inlineStr">
        <is>
          <t>Ausgaben</t>
        </is>
      </c>
      <c r="D127" t="inlineStr">
        <is>
          <t>Lizenzgebühren</t>
        </is>
      </c>
      <c r="E127" s="1" t="n">
        <v>45544</v>
      </c>
      <c r="F127" t="inlineStr">
        <is>
          <t>usoft GbmbH, A-1060 Wien, Liniengasse 2a/5, UID ATU71481256</t>
        </is>
      </c>
      <c r="H127" s="2" t="inlineStr">
        <is>
          <t>ja</t>
        </is>
      </c>
      <c r="I127" t="b">
        <v>0</v>
      </c>
      <c r="J127" s="214" t="n">
        <v>45</v>
      </c>
      <c r="K127" s="215">
        <f>$J127*$L127</f>
        <v/>
      </c>
      <c r="L127" s="159" t="n">
        <v>1</v>
      </c>
      <c r="M127" s="159" t="n">
        <v>0.2</v>
      </c>
      <c r="N127" s="215">
        <f>$P127*$M127</f>
        <v/>
      </c>
      <c r="O127" s="215">
        <f>L127*$N127</f>
        <v/>
      </c>
      <c r="P127" s="215">
        <f>$J127/(100%+$M127)</f>
        <v/>
      </c>
      <c r="Q127" s="215">
        <f>$L127*$P127</f>
        <v/>
      </c>
      <c r="R127" s="192">
        <f>voranmeldefrist_vierteljaehrlich(E127)</f>
        <v/>
      </c>
      <c r="T127" s="220">
        <f>IF(G127=TRUE,Q127/F127,Q127)</f>
        <v/>
      </c>
      <c r="U127" s="221">
        <f>$S127/100*$K127</f>
        <v/>
      </c>
    </row>
    <row r="128">
      <c r="A128" s="212" t="n">
        <v>2024</v>
      </c>
      <c r="B128" s="213" t="n">
        <v>127</v>
      </c>
      <c r="C128" s="71" t="inlineStr">
        <is>
          <t>Ausgaben</t>
        </is>
      </c>
      <c r="D128" t="inlineStr">
        <is>
          <t>sonstige Betriebsausgaben</t>
        </is>
      </c>
      <c r="E128" s="1" t="n">
        <v>45547</v>
      </c>
      <c r="F128" t="inlineStr">
        <is>
          <t>Hetzner Online GmbH, Industriestraße 25, 91710 Gunzenhausen</t>
        </is>
      </c>
      <c r="I128" t="b">
        <v>0</v>
      </c>
      <c r="J128" s="214" t="n">
        <v>56</v>
      </c>
      <c r="K128" s="215">
        <f>$J128*$L128</f>
        <v/>
      </c>
      <c r="L128" s="159" t="n">
        <v>1</v>
      </c>
      <c r="M128" s="159" t="n">
        <v>0</v>
      </c>
      <c r="N128" s="215">
        <f>$P128*$M128</f>
        <v/>
      </c>
      <c r="O128" s="215">
        <f>L128*$N128</f>
        <v/>
      </c>
      <c r="P128" s="215">
        <f>$J128/(100%+$M128)</f>
        <v/>
      </c>
      <c r="Q128" s="215">
        <f>$L128*$P128</f>
        <v/>
      </c>
      <c r="R128" s="192">
        <f>voranmeldefrist_vierteljaehrlich(E128)</f>
        <v/>
      </c>
      <c r="S128" t="n">
        <v>20</v>
      </c>
      <c r="T128" s="220">
        <f>IF(G128=TRUE,Q128/F128,Q128)</f>
        <v/>
      </c>
      <c r="U128" s="221">
        <f>$S128/100*$K128</f>
        <v/>
      </c>
    </row>
    <row r="129">
      <c r="A129" s="212" t="n">
        <v>2024</v>
      </c>
      <c r="B129" s="213" t="n">
        <v>128</v>
      </c>
      <c r="C129" s="71" t="inlineStr">
        <is>
          <t>Ausgaben</t>
        </is>
      </c>
      <c r="D129" t="inlineStr">
        <is>
          <t>Telefon/Internet</t>
        </is>
      </c>
      <c r="E129" s="1" t="n">
        <v>45548</v>
      </c>
      <c r="F129" t="inlineStr">
        <is>
          <t>kabelplus GmbH, Südstadtzentrum 4, 2344 Maria Enzersdorf</t>
        </is>
      </c>
      <c r="I129" t="b">
        <v>0</v>
      </c>
      <c r="J129" s="214" t="n">
        <v>55.7</v>
      </c>
      <c r="K129" s="215">
        <f>$J129*$L129</f>
        <v/>
      </c>
      <c r="L129" s="159" t="n">
        <v>0.67</v>
      </c>
      <c r="M129" s="98">
        <f>N129/P129</f>
        <v/>
      </c>
      <c r="N129" s="215">
        <f>1.32+6.86</f>
        <v/>
      </c>
      <c r="O129" s="215">
        <f>L129*$N129</f>
        <v/>
      </c>
      <c r="P129" s="215">
        <f>13.21+34.31</f>
        <v/>
      </c>
      <c r="Q129" s="215">
        <f>$L129*$P129</f>
        <v/>
      </c>
      <c r="R129" s="192">
        <f>voranmeldefrist_vierteljaehrlich(E129)</f>
        <v/>
      </c>
      <c r="T129" s="220">
        <f>IF(G129=TRUE,Q129/F129,Q129)</f>
        <v/>
      </c>
      <c r="U129" s="221">
        <f>$S129/100*$K129</f>
        <v/>
      </c>
    </row>
    <row r="130">
      <c r="A130" s="212" t="n">
        <v>2024</v>
      </c>
      <c r="B130" s="213" t="n">
        <v>129</v>
      </c>
      <c r="C130" s="71" t="inlineStr">
        <is>
          <t>Ausgaben</t>
        </is>
      </c>
      <c r="D130" t="inlineStr">
        <is>
          <t>Telefon/Internet</t>
        </is>
      </c>
      <c r="E130" s="1" t="n">
        <v>45551</v>
      </c>
      <c r="F130" t="inlineStr">
        <is>
          <t>Hoval GesmbH, A-4614 Marchtrenk, Hovalstraße 11</t>
        </is>
      </c>
      <c r="I130" t="b">
        <v>0</v>
      </c>
      <c r="J130" s="214" t="n">
        <v>177.6</v>
      </c>
      <c r="K130" s="215">
        <f>$J130*$L130</f>
        <v/>
      </c>
      <c r="L130" s="159">
        <f>14.6/158.43</f>
        <v/>
      </c>
      <c r="M130" s="159" t="n">
        <v>0.2</v>
      </c>
      <c r="N130" s="215">
        <f>$P130*$M130</f>
        <v/>
      </c>
      <c r="O130" s="215">
        <f>L130*$N130</f>
        <v/>
      </c>
      <c r="P130" s="215">
        <f>$J130/(100%+$M130)</f>
        <v/>
      </c>
      <c r="Q130" s="215">
        <f>$L130*$P130</f>
        <v/>
      </c>
      <c r="R130" s="192">
        <f>voranmeldefrist_vierteljaehrlich(E130)</f>
        <v/>
      </c>
      <c r="T130" s="220">
        <f>IF(G130=TRUE,Q130/F130,Q130)</f>
        <v/>
      </c>
      <c r="U130" s="221">
        <f>$S130/100*$K130</f>
        <v/>
      </c>
    </row>
    <row r="131">
      <c r="A131" s="212" t="n">
        <v>2024</v>
      </c>
      <c r="B131" s="213" t="n">
        <v>130</v>
      </c>
      <c r="C131" s="71" t="inlineStr">
        <is>
          <t>Einnahmen</t>
        </is>
      </c>
      <c r="D131" t="inlineStr">
        <is>
          <t>Waren-/Leistungserlöse</t>
        </is>
      </c>
      <c r="E131" s="1" t="n">
        <v>45551</v>
      </c>
      <c r="F131" t="inlineStr">
        <is>
          <t>ACHTUNG: Jahresabrechnung  Betriebsausgabe, wegen Vorsteuer als Einnahme deklariert; Techem Messtechnik GmbH</t>
        </is>
      </c>
      <c r="J131" s="214" t="n">
        <v>1148.14</v>
      </c>
      <c r="K131" s="215">
        <f>$J131*$L131</f>
        <v/>
      </c>
      <c r="L131" s="159" t="n">
        <v>1</v>
      </c>
      <c r="M131" s="159" t="n">
        <v>0.2</v>
      </c>
      <c r="N131" s="215">
        <f>$P131*$M131</f>
        <v/>
      </c>
      <c r="O131" s="215">
        <f>L131*$N131</f>
        <v/>
      </c>
      <c r="P131" s="215">
        <f>$J131/(100%+$M131)</f>
        <v/>
      </c>
      <c r="Q131" s="215">
        <f>$L131*$P131</f>
        <v/>
      </c>
      <c r="R131" s="192">
        <f>voranmeldefrist_vierteljaehrlich(E131)</f>
        <v/>
      </c>
      <c r="T131" s="220">
        <f>IF(G131=TRUE,Q131/F131,Q131)</f>
        <v/>
      </c>
      <c r="U131" s="221">
        <f>$S131/100*$K131</f>
        <v/>
      </c>
    </row>
    <row r="132">
      <c r="A132" s="212" t="n">
        <v>2024</v>
      </c>
      <c r="B132" s="213" t="n">
        <v>131</v>
      </c>
      <c r="C132" s="71" t="inlineStr">
        <is>
          <t>Ausgaben</t>
        </is>
      </c>
      <c r="D132" t="inlineStr">
        <is>
          <t>sonstige Betriebsausgaben</t>
        </is>
      </c>
      <c r="E132" s="1" t="n">
        <v>45551</v>
      </c>
      <c r="F132" t="inlineStr">
        <is>
          <t>Hetzner Online GmbH, Industriestraße 25, 91710 Gunzenhausen</t>
        </is>
      </c>
      <c r="I132" t="b">
        <v>0</v>
      </c>
      <c r="J132" s="214" t="n">
        <v>19.6936</v>
      </c>
      <c r="K132" s="215">
        <f>$J132*$L132</f>
        <v/>
      </c>
      <c r="L132" s="159" t="n">
        <v>1</v>
      </c>
      <c r="M132" s="159" t="n">
        <v>0</v>
      </c>
      <c r="N132" s="215">
        <f>$P132*$M132</f>
        <v/>
      </c>
      <c r="O132" s="215">
        <f>L132*$N132</f>
        <v/>
      </c>
      <c r="P132" s="215">
        <f>$J132/(100%+$M132)</f>
        <v/>
      </c>
      <c r="Q132" s="215">
        <f>$L132*$P132</f>
        <v/>
      </c>
      <c r="R132" s="192">
        <f>voranmeldefrist_vierteljaehrlich(E132)</f>
        <v/>
      </c>
      <c r="S132" t="n">
        <v>20</v>
      </c>
      <c r="T132" s="220">
        <f>IF(G132=TRUE,Q132/F132,Q132)</f>
        <v/>
      </c>
      <c r="U132" s="221">
        <f>$S132/100*$K132</f>
        <v/>
      </c>
    </row>
    <row r="133">
      <c r="A133" s="212" t="n">
        <v>2024</v>
      </c>
      <c r="B133" s="213" t="n">
        <v>132</v>
      </c>
      <c r="C133" s="71" t="inlineStr">
        <is>
          <t>Ausgaben</t>
        </is>
      </c>
      <c r="D133" t="inlineStr">
        <is>
          <t>sonstige Betriebsausgaben</t>
        </is>
      </c>
      <c r="E133" s="1" t="n">
        <v>45555</v>
      </c>
      <c r="F133" t="inlineStr">
        <is>
          <t>Microsoft Ireland Operations Ltd. One Microsoft Place, South County, Business Park, Leopardstown, Dublin 18, D18 P521, Ireland</t>
        </is>
      </c>
      <c r="I133" t="b">
        <v>0</v>
      </c>
      <c r="J133" s="214" t="n">
        <v>11.7</v>
      </c>
      <c r="K133" s="215">
        <f>$J133*$L133</f>
        <v/>
      </c>
      <c r="L133" s="159" t="n">
        <v>1</v>
      </c>
      <c r="M133" s="159" t="n">
        <v>0</v>
      </c>
      <c r="N133" s="215">
        <f>$P133*$M133</f>
        <v/>
      </c>
      <c r="O133" s="215">
        <f>L133*$N133</f>
        <v/>
      </c>
      <c r="P133" s="215">
        <f>$J133/(100%+$M133)</f>
        <v/>
      </c>
      <c r="Q133" s="215">
        <f>$L133*$P133</f>
        <v/>
      </c>
      <c r="R133" s="192">
        <f>voranmeldefrist_vierteljaehrlich(E133)</f>
        <v/>
      </c>
      <c r="S133" t="n">
        <v>20</v>
      </c>
      <c r="T133" s="220">
        <f>IF(G133=TRUE,Q133/F133,Q133)</f>
        <v/>
      </c>
      <c r="U133" s="221">
        <f>$S133/100*$K133</f>
        <v/>
      </c>
    </row>
    <row r="134">
      <c r="A134" s="212" t="n">
        <v>2024</v>
      </c>
      <c r="B134" s="213" t="n">
        <v>133</v>
      </c>
      <c r="C134" s="71" t="inlineStr">
        <is>
          <t>Ausgaben</t>
        </is>
      </c>
      <c r="D134" t="inlineStr">
        <is>
          <t>sonstige Betriebsausgaben</t>
        </is>
      </c>
      <c r="E134" s="1" t="n">
        <v>45560</v>
      </c>
      <c r="F134" t="inlineStr">
        <is>
          <t>OpenAI, LLC, 548 Market Street, PMB 97273, San Francisco, California 94104-5401, United States</t>
        </is>
      </c>
      <c r="I134" t="b">
        <v>0</v>
      </c>
      <c r="J134" s="214" t="n">
        <v>21.87</v>
      </c>
      <c r="K134" s="215">
        <f>$J134*$L134</f>
        <v/>
      </c>
      <c r="L134" s="159" t="n">
        <v>1</v>
      </c>
      <c r="M134" s="159" t="n">
        <v>0.2</v>
      </c>
      <c r="N134" s="215">
        <f>$P134*$M134</f>
        <v/>
      </c>
      <c r="O134" s="215">
        <f>L134*$N134</f>
        <v/>
      </c>
      <c r="P134" s="215">
        <f>($J134-0.32)/(100%+$M134)</f>
        <v/>
      </c>
      <c r="Q134" s="215">
        <f>$L134*$P134</f>
        <v/>
      </c>
      <c r="R134" s="192">
        <f>voranmeldefrist_vierteljaehrlich(E134)</f>
        <v/>
      </c>
      <c r="T134" s="220">
        <f>IF(G134=TRUE,Q134/F134,Q134)</f>
        <v/>
      </c>
      <c r="U134" s="221">
        <f>$S134/100*$K134</f>
        <v/>
      </c>
    </row>
    <row r="135">
      <c r="A135" s="212" t="n">
        <v>2024</v>
      </c>
      <c r="B135" s="213" t="n">
        <v>134</v>
      </c>
      <c r="C135" s="71" t="inlineStr">
        <is>
          <t>Ausgaben</t>
        </is>
      </c>
      <c r="D135" t="inlineStr">
        <is>
          <t>Telefon/Internet</t>
        </is>
      </c>
      <c r="E135" s="1" t="n">
        <v>45567</v>
      </c>
      <c r="F135" t="inlineStr">
        <is>
          <t>Hutchison Drei Austria GmbH, Brünner Straße 52, 1210 Wien, Österreich</t>
        </is>
      </c>
      <c r="I135" t="b">
        <v>0</v>
      </c>
      <c r="J135" s="214" t="n">
        <v>13.91</v>
      </c>
      <c r="K135" s="215">
        <f>$J135*$L135</f>
        <v/>
      </c>
      <c r="L135" s="159" t="n">
        <v>1</v>
      </c>
      <c r="M135" s="159" t="n">
        <v>0.2</v>
      </c>
      <c r="N135" s="215">
        <f>$P135*$M135</f>
        <v/>
      </c>
      <c r="O135" s="215">
        <f>L135*$N135</f>
        <v/>
      </c>
      <c r="P135" s="215">
        <f>$J135/(100%+$M135)</f>
        <v/>
      </c>
      <c r="Q135" s="215">
        <f>$L135*$P135</f>
        <v/>
      </c>
      <c r="R135" s="192">
        <f>voranmeldefrist_vierteljaehrlich(E135)</f>
        <v/>
      </c>
      <c r="T135" s="220">
        <f>IF(G135=TRUE,Q135/F135,Q135)</f>
        <v/>
      </c>
      <c r="U135" s="221">
        <f>$S135/100*$K135</f>
        <v/>
      </c>
    </row>
    <row r="136">
      <c r="A136" s="212" t="n">
        <v>2024</v>
      </c>
      <c r="B136" s="213" t="n">
        <v>135</v>
      </c>
      <c r="C136" s="71" t="inlineStr">
        <is>
          <t>Ausgaben</t>
        </is>
      </c>
      <c r="D136" t="inlineStr">
        <is>
          <t>Lizenzgebühren</t>
        </is>
      </c>
      <c r="E136" s="1" t="n">
        <v>45567</v>
      </c>
      <c r="F136" t="inlineStr">
        <is>
          <t>Trimble Europe B.V., Industrieweg 187A, 5683 CC Best, Netherlands, VAT ID: NL.00.32.57.447.B01</t>
        </is>
      </c>
      <c r="I136" t="b">
        <v>0</v>
      </c>
      <c r="J136" s="214" t="n">
        <v>337</v>
      </c>
      <c r="K136" s="215">
        <f>$J136*$L136</f>
        <v/>
      </c>
      <c r="L136" s="159" t="n">
        <v>1</v>
      </c>
      <c r="M136" s="159" t="n">
        <v>0</v>
      </c>
      <c r="N136" s="215">
        <f>$P136*$M136</f>
        <v/>
      </c>
      <c r="O136" s="215">
        <f>L136*$N136</f>
        <v/>
      </c>
      <c r="P136" s="215">
        <f>$J136/(100%+$M136)</f>
        <v/>
      </c>
      <c r="Q136" s="215">
        <f>$L136*$P136</f>
        <v/>
      </c>
      <c r="R136" s="192">
        <f>voranmeldefrist_vierteljaehrlich(E136)</f>
        <v/>
      </c>
      <c r="S136" t="n">
        <v>20</v>
      </c>
      <c r="T136" s="220">
        <f>IF(G136=TRUE,Q136/F136,Q136)</f>
        <v/>
      </c>
      <c r="U136" s="221">
        <f>$S136/100*$K136</f>
        <v/>
      </c>
    </row>
    <row r="137">
      <c r="A137" s="212" t="n">
        <v>2024</v>
      </c>
      <c r="B137" s="213" t="n">
        <v>136</v>
      </c>
      <c r="C137" s="71" t="inlineStr">
        <is>
          <t>Ausgaben</t>
        </is>
      </c>
      <c r="D137" t="inlineStr">
        <is>
          <t>sonstige Betriebsausgaben</t>
        </is>
      </c>
      <c r="E137" s="1" t="n">
        <v>45568</v>
      </c>
      <c r="F137" t="inlineStr">
        <is>
          <t>Google Ireland Ltd, Gordon House, Barrow Street, Dublin 4, Ireland; VAT number: IE 6388047V</t>
        </is>
      </c>
      <c r="I137" t="b">
        <v>0</v>
      </c>
      <c r="J137" s="214" t="n">
        <v>13.8</v>
      </c>
      <c r="K137" s="215">
        <f>$J137*$L137</f>
        <v/>
      </c>
      <c r="L137" s="159" t="n">
        <v>1</v>
      </c>
      <c r="M137" s="159" t="n">
        <v>0</v>
      </c>
      <c r="N137" s="215">
        <f>$P137*$M137</f>
        <v/>
      </c>
      <c r="O137" s="215">
        <f>L137*$N137</f>
        <v/>
      </c>
      <c r="P137" s="215">
        <f>$J137/(100%+$M137)</f>
        <v/>
      </c>
      <c r="Q137" s="215">
        <f>$L137*$P137</f>
        <v/>
      </c>
      <c r="R137" s="192">
        <f>voranmeldefrist_vierteljaehrlich(E137)</f>
        <v/>
      </c>
      <c r="S137" t="n">
        <v>20</v>
      </c>
      <c r="T137" s="220">
        <f>IF(G137=TRUE,Q137/F137,Q137)</f>
        <v/>
      </c>
      <c r="U137" s="221">
        <f>$S137/100*$K137</f>
        <v/>
      </c>
    </row>
    <row r="138">
      <c r="A138" s="212" t="n">
        <v>2024</v>
      </c>
      <c r="B138" s="213" t="n">
        <v>137</v>
      </c>
      <c r="C138" s="71" t="inlineStr">
        <is>
          <t>Ausgaben</t>
        </is>
      </c>
      <c r="D138" t="inlineStr">
        <is>
          <t>sonstige Betriebsausgaben</t>
        </is>
      </c>
      <c r="E138" s="1" t="n">
        <v>45576</v>
      </c>
      <c r="F138" t="inlineStr">
        <is>
          <t>Hetzner Online GmbH, Industriestraße 25, 91710 Gunzenhausen</t>
        </is>
      </c>
      <c r="I138" t="b">
        <v>0</v>
      </c>
      <c r="J138" s="214" t="n">
        <v>56</v>
      </c>
      <c r="K138" s="215">
        <f>$J138*$L138</f>
        <v/>
      </c>
      <c r="L138" s="159" t="n">
        <v>1</v>
      </c>
      <c r="M138" s="159" t="n">
        <v>0</v>
      </c>
      <c r="N138" s="215">
        <f>$P138*$M138</f>
        <v/>
      </c>
      <c r="O138" s="215">
        <f>L138*$N138</f>
        <v/>
      </c>
      <c r="P138" s="215">
        <f>$J138/(100%+$M138)</f>
        <v/>
      </c>
      <c r="Q138" s="215">
        <f>$L138*$P138</f>
        <v/>
      </c>
      <c r="R138" s="192">
        <f>voranmeldefrist_vierteljaehrlich(E138)</f>
        <v/>
      </c>
      <c r="S138" t="n">
        <v>20</v>
      </c>
      <c r="T138" s="220">
        <f>IF(G138=TRUE,Q138/F138,Q138)</f>
        <v/>
      </c>
      <c r="U138" s="221">
        <f>$S138/100*$K138</f>
        <v/>
      </c>
    </row>
    <row r="139">
      <c r="A139" s="212" t="n">
        <v>2024</v>
      </c>
      <c r="B139" s="213" t="n">
        <v>138</v>
      </c>
      <c r="C139" s="71" t="inlineStr">
        <is>
          <t>Einnahmen</t>
        </is>
      </c>
      <c r="D139" t="inlineStr">
        <is>
          <t>Waren-/Leistungserlöse</t>
        </is>
      </c>
      <c r="E139" s="1" t="n">
        <v>45576</v>
      </c>
      <c r="F139" t="inlineStr">
        <is>
          <t>Hays Österreich GmbH, Bahnhof City Wien West - Europaplatz 3/5, 1150 Wien</t>
        </is>
      </c>
      <c r="J139" s="214" t="n">
        <v>7841.86</v>
      </c>
      <c r="K139" s="215">
        <f>$J139*$L139</f>
        <v/>
      </c>
      <c r="L139" s="159" t="n">
        <v>1</v>
      </c>
      <c r="M139" s="159" t="n">
        <v>0.2</v>
      </c>
      <c r="N139" s="215">
        <f>$P139*$M139</f>
        <v/>
      </c>
      <c r="O139" s="215">
        <f>L139*$N139</f>
        <v/>
      </c>
      <c r="P139" s="215">
        <f>$J139/(100%+$M139)</f>
        <v/>
      </c>
      <c r="Q139" s="215">
        <f>$L139*$P139</f>
        <v/>
      </c>
      <c r="R139" s="192">
        <f>voranmeldefrist_vierteljaehrlich(E139)</f>
        <v/>
      </c>
      <c r="T139" s="220">
        <f>IF(G139=TRUE,Q139/F139,Q139)</f>
        <v/>
      </c>
      <c r="U139" s="221">
        <f>$S139/100*$K139</f>
        <v/>
      </c>
    </row>
    <row r="140">
      <c r="A140" s="212" t="n">
        <v>2024</v>
      </c>
      <c r="B140" s="213" t="n">
        <v>139</v>
      </c>
      <c r="C140" s="71" t="inlineStr">
        <is>
          <t>Einnahmen</t>
        </is>
      </c>
      <c r="D140" t="inlineStr">
        <is>
          <t>Übrige Erträge</t>
        </is>
      </c>
      <c r="E140" s="1" t="n">
        <v>45551</v>
      </c>
      <c r="F140" t="inlineStr">
        <is>
          <t>Fachgruppenverwaltung Förderaktion KlimaTicket UBIT NÖ</t>
        </is>
      </c>
      <c r="J140" s="214" t="n">
        <v>450</v>
      </c>
      <c r="K140" s="215">
        <f>$J140*$L140</f>
        <v/>
      </c>
      <c r="L140" s="159" t="n">
        <v>1</v>
      </c>
      <c r="M140" s="159" t="n">
        <v>0</v>
      </c>
      <c r="N140" s="215">
        <f>$P140*$M140</f>
        <v/>
      </c>
      <c r="O140" s="215">
        <f>L140*$N140</f>
        <v/>
      </c>
      <c r="P140" s="215">
        <f>$J140/(100%+$M140)</f>
        <v/>
      </c>
      <c r="Q140" s="215">
        <f>$L140*$P140</f>
        <v/>
      </c>
      <c r="R140" s="192">
        <f>voranmeldefrist_vierteljaehrlich(E140)</f>
        <v/>
      </c>
      <c r="T140" s="220">
        <f>IF(G140=TRUE,Q140/F140,Q140)</f>
        <v/>
      </c>
      <c r="U140" s="221">
        <f>$S140/100*$K140</f>
        <v/>
      </c>
    </row>
    <row r="141">
      <c r="A141" s="212" t="n">
        <v>2024</v>
      </c>
      <c r="B141" s="213" t="n">
        <v>140</v>
      </c>
      <c r="C141" s="71" t="inlineStr">
        <is>
          <t>Ausgaben</t>
        </is>
      </c>
      <c r="D141" t="inlineStr">
        <is>
          <t>Telefon/Internet</t>
        </is>
      </c>
      <c r="E141" s="1" t="n">
        <v>45580</v>
      </c>
      <c r="F141" t="inlineStr">
        <is>
          <t>kabelplus GmbH, Südstadtzentrum 4, 2344 Maria Enzersdorf</t>
        </is>
      </c>
      <c r="I141" t="b">
        <v>0</v>
      </c>
      <c r="J141" s="214" t="n">
        <v>55.7</v>
      </c>
      <c r="K141" s="215">
        <f>$J141*$L141</f>
        <v/>
      </c>
      <c r="L141" s="159" t="n">
        <v>0.67</v>
      </c>
      <c r="M141" s="98">
        <f>N141/P141</f>
        <v/>
      </c>
      <c r="N141" s="215">
        <f>1.32+6.86</f>
        <v/>
      </c>
      <c r="O141" s="215">
        <f>L141*$N141</f>
        <v/>
      </c>
      <c r="P141" s="215">
        <f>13.21+34.31</f>
        <v/>
      </c>
      <c r="Q141" s="215">
        <f>$L141*$P141</f>
        <v/>
      </c>
      <c r="R141" s="192">
        <f>voranmeldefrist_vierteljaehrlich(E141)</f>
        <v/>
      </c>
      <c r="T141" s="220">
        <f>IF(G141=TRUE,Q141/F141,Q141)</f>
        <v/>
      </c>
      <c r="U141" s="221">
        <f>$S141/100*$K141</f>
        <v/>
      </c>
    </row>
    <row r="142">
      <c r="A142" s="212" t="n">
        <v>2024</v>
      </c>
      <c r="B142" s="213" t="n">
        <v>141</v>
      </c>
      <c r="C142" s="71" t="inlineStr">
        <is>
          <t>Ausgaben</t>
        </is>
      </c>
      <c r="D142" t="inlineStr">
        <is>
          <t>sonstige Betriebsausgaben</t>
        </is>
      </c>
      <c r="E142" s="1" t="n">
        <v>45581</v>
      </c>
      <c r="F142" t="inlineStr">
        <is>
          <t>Hetzner Online GmbH, Industriestraße 25, 91710 Gunzenhausen</t>
        </is>
      </c>
      <c r="I142" t="b">
        <v>0</v>
      </c>
      <c r="J142" s="214" t="n">
        <v>9.16</v>
      </c>
      <c r="K142" s="215">
        <f>$J142*$L142</f>
        <v/>
      </c>
      <c r="L142" s="159" t="n">
        <v>1</v>
      </c>
      <c r="M142" s="159" t="n">
        <v>0</v>
      </c>
      <c r="N142" s="215">
        <f>$P142*$M142</f>
        <v/>
      </c>
      <c r="O142" s="215">
        <f>L142*$N142</f>
        <v/>
      </c>
      <c r="P142" s="215">
        <f>$J142/(100%+$M142)</f>
        <v/>
      </c>
      <c r="Q142" s="215">
        <f>$L142*$P142</f>
        <v/>
      </c>
      <c r="R142" s="192">
        <f>voranmeldefrist_vierteljaehrlich(E142)</f>
        <v/>
      </c>
      <c r="S142" t="n">
        <v>20</v>
      </c>
      <c r="T142" s="220">
        <f>IF(G142=TRUE,Q142/F142,Q142)</f>
        <v/>
      </c>
      <c r="U142" s="221">
        <f>$S142/100*$K142</f>
        <v/>
      </c>
    </row>
    <row r="143">
      <c r="A143" s="212" t="n">
        <v>2024</v>
      </c>
      <c r="B143" s="213" t="n">
        <v>142</v>
      </c>
      <c r="C143" s="71" t="inlineStr">
        <is>
          <t>Einnahmen</t>
        </is>
      </c>
      <c r="D143" t="inlineStr">
        <is>
          <t>Waren-/Leistungserlöse</t>
        </is>
      </c>
      <c r="E143" s="1" t="n">
        <v>45582</v>
      </c>
      <c r="F143" t="inlineStr">
        <is>
          <t>ZT DI Dr. Arno Kolbitsch, Gütleweg 1, 6822 Satteins</t>
        </is>
      </c>
      <c r="J143" s="214" t="n">
        <v>2405.41</v>
      </c>
      <c r="K143" s="215">
        <f>$J143*$L143</f>
        <v/>
      </c>
      <c r="L143" s="159" t="n">
        <v>1</v>
      </c>
      <c r="M143" s="159" t="n">
        <v>0.2</v>
      </c>
      <c r="N143" s="215">
        <f>$P143*$M143</f>
        <v/>
      </c>
      <c r="O143" s="215">
        <f>L143*$N143</f>
        <v/>
      </c>
      <c r="P143" s="215">
        <f>$J143/(100%+$M143)</f>
        <v/>
      </c>
      <c r="Q143" s="215">
        <f>$L143*$P143</f>
        <v/>
      </c>
      <c r="R143" s="192">
        <f>voranmeldefrist_vierteljaehrlich(E143)</f>
        <v/>
      </c>
      <c r="T143" s="220">
        <f>IF(G143=TRUE,Q143/F143,Q143)</f>
        <v/>
      </c>
      <c r="U143" s="221">
        <f>$S143/100*$K143</f>
        <v/>
      </c>
    </row>
    <row r="144">
      <c r="A144" s="212" t="n">
        <v>2024</v>
      </c>
      <c r="B144" s="213" t="n">
        <v>143</v>
      </c>
      <c r="C144" s="71" t="inlineStr">
        <is>
          <t>Ausgaben</t>
        </is>
      </c>
      <c r="D144" t="inlineStr">
        <is>
          <t>Büromaterial</t>
        </is>
      </c>
      <c r="E144" s="1" t="n">
        <v>45586</v>
      </c>
      <c r="F144" t="inlineStr">
        <is>
          <t>Lemon Technologies GmbH, Unterweißenbach 181, 8330 Feldbach: Dell Precision 3580 Laptop</t>
        </is>
      </c>
      <c r="H144" s="2" t="n"/>
      <c r="I144" t="b">
        <v>0</v>
      </c>
      <c r="J144" s="214" t="n">
        <v>118.75</v>
      </c>
      <c r="K144" s="215">
        <f>$J144*$L144</f>
        <v/>
      </c>
      <c r="L144" s="159" t="n">
        <v>1</v>
      </c>
      <c r="M144" s="159" t="n">
        <v>0.2</v>
      </c>
      <c r="N144" s="215">
        <f>$P144*$M144</f>
        <v/>
      </c>
      <c r="O144" s="215">
        <f>L144*$N144</f>
        <v/>
      </c>
      <c r="P144" s="215">
        <f>$J144/(100%+$M144)</f>
        <v/>
      </c>
      <c r="Q144" s="215">
        <f>$L144*$P144</f>
        <v/>
      </c>
      <c r="R144" s="192">
        <f>voranmeldefrist_vierteljaehrlich(E144)</f>
        <v/>
      </c>
      <c r="T144" s="220">
        <f>IF(G144=TRUE,Q144/F144,Q144)</f>
        <v/>
      </c>
      <c r="U144" s="221">
        <f>$S144/100*$K144</f>
        <v/>
      </c>
    </row>
    <row r="145">
      <c r="A145" s="212" t="n">
        <v>2024</v>
      </c>
      <c r="B145" s="213" t="n">
        <v>144</v>
      </c>
      <c r="C145" s="71" t="inlineStr">
        <is>
          <t>Ausgaben</t>
        </is>
      </c>
      <c r="D145" t="inlineStr">
        <is>
          <t>sonstige Betriebsausgaben</t>
        </is>
      </c>
      <c r="E145" s="1" t="n">
        <v>45586</v>
      </c>
      <c r="F145" t="inlineStr">
        <is>
          <t>Microsoft Ireland Operations Ltd. One Microsoft Place, South County, Business Park, Leopardstown, Dublin 18, D18 P521, Ireland</t>
        </is>
      </c>
      <c r="I145" t="b">
        <v>0</v>
      </c>
      <c r="J145" s="214" t="n">
        <v>11.7</v>
      </c>
      <c r="K145" s="215">
        <f>$J145*$L145</f>
        <v/>
      </c>
      <c r="L145" s="159" t="n">
        <v>1</v>
      </c>
      <c r="M145" s="159" t="n">
        <v>0</v>
      </c>
      <c r="N145" s="215">
        <f>$P145*$M145</f>
        <v/>
      </c>
      <c r="O145" s="215">
        <f>L145*$N145</f>
        <v/>
      </c>
      <c r="P145" s="215">
        <f>$J145/(100%+$M145)</f>
        <v/>
      </c>
      <c r="Q145" s="215">
        <f>$L145*$P145</f>
        <v/>
      </c>
      <c r="R145" s="192">
        <f>voranmeldefrist_vierteljaehrlich(E145)</f>
        <v/>
      </c>
      <c r="S145" t="n">
        <v>20</v>
      </c>
      <c r="T145" s="220">
        <f>IF(G145=TRUE,Q145/F145,Q145)</f>
        <v/>
      </c>
      <c r="U145" s="221">
        <f>$S145/100*$K145</f>
        <v/>
      </c>
    </row>
    <row r="146">
      <c r="A146" s="212" t="n">
        <v>2024</v>
      </c>
      <c r="B146" s="213" t="n">
        <v>145</v>
      </c>
      <c r="C146" s="71" t="inlineStr">
        <is>
          <t>Einnahmen</t>
        </is>
      </c>
      <c r="D146" t="inlineStr">
        <is>
          <t>Waren-/Leistungserlöse</t>
        </is>
      </c>
      <c r="E146" s="1" t="n">
        <v>45587</v>
      </c>
      <c r="F146" t="inlineStr">
        <is>
          <t>H. Jaros e.U., Kohlmarkt 16/2/2/15a</t>
        </is>
      </c>
      <c r="J146" s="214" t="n">
        <v>198</v>
      </c>
      <c r="K146" s="215">
        <f>$J146*$L146</f>
        <v/>
      </c>
      <c r="L146" s="159" t="n">
        <v>1</v>
      </c>
      <c r="M146" s="159" t="n">
        <v>0.2</v>
      </c>
      <c r="N146" s="215">
        <f>$P146*$M146</f>
        <v/>
      </c>
      <c r="O146" s="215">
        <f>L146*$N146</f>
        <v/>
      </c>
      <c r="P146" s="215">
        <f>$J146/(100%+$M146)</f>
        <v/>
      </c>
      <c r="Q146" s="215">
        <f>$L146*$P146</f>
        <v/>
      </c>
      <c r="R146" s="192">
        <f>voranmeldefrist_vierteljaehrlich(E146)</f>
        <v/>
      </c>
      <c r="T146" s="220">
        <f>IF(G146=TRUE,Q146/F146,Q146)</f>
        <v/>
      </c>
      <c r="U146" s="221">
        <f>$S146/100*$K146</f>
        <v/>
      </c>
    </row>
    <row r="147">
      <c r="A147" s="212" t="n">
        <v>2024</v>
      </c>
      <c r="B147" s="213" t="n">
        <v>146</v>
      </c>
      <c r="C147" s="71" t="inlineStr">
        <is>
          <t>Ausgaben</t>
        </is>
      </c>
      <c r="D147" t="inlineStr">
        <is>
          <t>sonstige Betriebsausgaben</t>
        </is>
      </c>
      <c r="E147" s="1" t="n">
        <v>45590</v>
      </c>
      <c r="F147" t="inlineStr">
        <is>
          <t>OpenAI, LLC, 548 Market Street, PMB 97273, San Francisco, California 94104-5401, United States</t>
        </is>
      </c>
      <c r="I147" t="b">
        <v>0</v>
      </c>
      <c r="J147" s="214" t="n">
        <v>22.57</v>
      </c>
      <c r="K147" s="215">
        <f>$J147*$L147</f>
        <v/>
      </c>
      <c r="L147" s="159" t="n">
        <v>1</v>
      </c>
      <c r="M147" s="159" t="n">
        <v>0.2</v>
      </c>
      <c r="N147" s="215">
        <f>$P147*$M147</f>
        <v/>
      </c>
      <c r="O147" s="215">
        <f>L147*$N147</f>
        <v/>
      </c>
      <c r="P147" s="215">
        <f>($J147-0.32)/(100%+$M147)</f>
        <v/>
      </c>
      <c r="Q147" s="215">
        <f>$L147*$P147</f>
        <v/>
      </c>
      <c r="R147" s="192">
        <f>voranmeldefrist_vierteljaehrlich(E147)</f>
        <v/>
      </c>
      <c r="T147" s="220">
        <f>IF(G147=TRUE,Q147/F147,Q147)</f>
        <v/>
      </c>
      <c r="U147" s="221">
        <f>$S147/100*$K147</f>
        <v/>
      </c>
    </row>
    <row r="148">
      <c r="A148" s="212" t="n">
        <v>2024</v>
      </c>
      <c r="B148" s="213" t="n">
        <v>147</v>
      </c>
      <c r="C148" s="71" t="inlineStr">
        <is>
          <t>Ausgaben</t>
        </is>
      </c>
      <c r="D148" t="inlineStr">
        <is>
          <t>Lizenzgebühren</t>
        </is>
      </c>
      <c r="E148" s="1" t="n">
        <v>45593</v>
      </c>
      <c r="F148" t="inlineStr">
        <is>
          <t>Adobe Systems Software Ireland Ltd, 4-6 Riverwalk, Citywest Business Park, Dublin 24, Ireland, UID: IE6364992H</t>
        </is>
      </c>
      <c r="H148" s="2" t="inlineStr">
        <is>
          <t>ja</t>
        </is>
      </c>
      <c r="I148" t="b">
        <v>0</v>
      </c>
      <c r="J148" s="214" t="n">
        <v>20.28</v>
      </c>
      <c r="K148" s="215">
        <f>$J148*$L148</f>
        <v/>
      </c>
      <c r="L148" s="159" t="n">
        <v>1</v>
      </c>
      <c r="M148" s="159" t="n">
        <v>0</v>
      </c>
      <c r="N148" s="215">
        <f>$P148*$M148</f>
        <v/>
      </c>
      <c r="O148" s="215">
        <f>L148*$N148</f>
        <v/>
      </c>
      <c r="P148" s="215">
        <f>$J148/(100%+$M148)</f>
        <v/>
      </c>
      <c r="Q148" s="215">
        <f>$L148*$P148</f>
        <v/>
      </c>
      <c r="R148" s="192">
        <f>voranmeldefrist_vierteljaehrlich(E148)</f>
        <v/>
      </c>
      <c r="S148" t="n">
        <v>20</v>
      </c>
      <c r="T148" s="220">
        <f>IF(G148=TRUE,Q148/F148,Q148)</f>
        <v/>
      </c>
      <c r="U148" s="221">
        <f>$S148/100*$K148</f>
        <v/>
      </c>
    </row>
    <row r="149">
      <c r="A149" s="212" t="n">
        <v>2024</v>
      </c>
      <c r="B149" s="213" t="n">
        <v>148</v>
      </c>
      <c r="C149" s="71" t="inlineStr">
        <is>
          <t>Ausgaben</t>
        </is>
      </c>
      <c r="D149" t="inlineStr">
        <is>
          <t>sonstige Betriebsausgaben</t>
        </is>
      </c>
      <c r="E149" s="1" t="n">
        <v>45596</v>
      </c>
      <c r="F149" t="inlineStr">
        <is>
          <t>tonershop.at Primus office products HandelsgesmbH &amp; Co KG, Goldschlagstra0e 172, 1140 Wien</t>
        </is>
      </c>
      <c r="I149" t="b">
        <v>0</v>
      </c>
      <c r="J149" s="214" t="n">
        <v>380.9</v>
      </c>
      <c r="K149" s="215">
        <f>$J149*$L149</f>
        <v/>
      </c>
      <c r="L149" s="159" t="n">
        <v>1</v>
      </c>
      <c r="M149" s="159" t="n">
        <v>0.2</v>
      </c>
      <c r="N149" s="215">
        <f>$P149*$M149</f>
        <v/>
      </c>
      <c r="O149" s="215">
        <f>L149*$N149</f>
        <v/>
      </c>
      <c r="P149" s="215">
        <f>$J149/(100%+$M149)</f>
        <v/>
      </c>
      <c r="Q149" s="215">
        <f>$L149*$P149</f>
        <v/>
      </c>
      <c r="R149" s="192">
        <f>voranmeldefrist_vierteljaehrlich(E149)</f>
        <v/>
      </c>
      <c r="T149" s="220">
        <f>IF(G149=TRUE,Q149/F149,Q149)</f>
        <v/>
      </c>
      <c r="U149" s="221">
        <f>$S149/100*$K149</f>
        <v/>
      </c>
    </row>
    <row r="150">
      <c r="A150" s="212" t="n">
        <v>2024</v>
      </c>
      <c r="B150" s="213" t="n">
        <v>149</v>
      </c>
      <c r="C150" s="71" t="inlineStr">
        <is>
          <t>Ausgaben</t>
        </is>
      </c>
      <c r="D150" t="inlineStr">
        <is>
          <t>sonstige Betriebsausgaben</t>
        </is>
      </c>
      <c r="E150" s="1" t="n">
        <v>45600</v>
      </c>
      <c r="F150" t="inlineStr">
        <is>
          <t>Marktgemeinde Bisamberg, Hauptstraße 2, 2102 Bisamberg</t>
        </is>
      </c>
      <c r="I150" t="b">
        <v>0</v>
      </c>
      <c r="J150" s="214" t="n">
        <v>234.71</v>
      </c>
      <c r="K150" s="215">
        <f>$J150*$L150</f>
        <v/>
      </c>
      <c r="L150" s="159">
        <f>14.6/158.43</f>
        <v/>
      </c>
      <c r="M150" s="98">
        <f>N150/P150</f>
        <v/>
      </c>
      <c r="N150" s="215" t="n">
        <v>20.99</v>
      </c>
      <c r="O150" s="215">
        <f>L150*$N150</f>
        <v/>
      </c>
      <c r="P150" s="215" t="n">
        <v>213.72</v>
      </c>
      <c r="Q150" s="215">
        <f>$L150*$P150</f>
        <v/>
      </c>
      <c r="R150" s="192">
        <f>voranmeldefrist_vierteljaehrlich(E150)</f>
        <v/>
      </c>
      <c r="T150" s="220">
        <f>IF(G150=TRUE,Q150/F150,Q150)</f>
        <v/>
      </c>
      <c r="U150" s="221">
        <f>$S150/100*$K150</f>
        <v/>
      </c>
    </row>
    <row r="151">
      <c r="A151" s="212" t="n">
        <v>2024</v>
      </c>
      <c r="B151" s="213" t="n">
        <v>150</v>
      </c>
      <c r="C151" s="71" t="inlineStr">
        <is>
          <t>Ausgaben</t>
        </is>
      </c>
      <c r="D151" t="inlineStr">
        <is>
          <t>Telefon/Internet</t>
        </is>
      </c>
      <c r="E151" s="1" t="n">
        <v>45600</v>
      </c>
      <c r="F151" t="inlineStr">
        <is>
          <t>Hutchison Drei Austria GmbH, Brünner Straße 52, 1210 Wien, Österreich</t>
        </is>
      </c>
      <c r="I151" t="b">
        <v>0</v>
      </c>
      <c r="J151" s="214" t="n">
        <v>15.28</v>
      </c>
      <c r="K151" s="215">
        <f>$J151*$L151</f>
        <v/>
      </c>
      <c r="L151" s="159" t="n">
        <v>1</v>
      </c>
      <c r="M151" s="159" t="n">
        <v>0.2</v>
      </c>
      <c r="N151" s="215">
        <f>$P151*$M151</f>
        <v/>
      </c>
      <c r="O151" s="215">
        <f>L151*$N151</f>
        <v/>
      </c>
      <c r="P151" s="215">
        <f>$J151/(100%+$M151)</f>
        <v/>
      </c>
      <c r="Q151" s="215">
        <f>$L151*$P151</f>
        <v/>
      </c>
      <c r="R151" s="192">
        <f>voranmeldefrist_vierteljaehrlich(E151)</f>
        <v/>
      </c>
      <c r="T151" s="220">
        <f>IF(G151=TRUE,Q151/F151,Q151)</f>
        <v/>
      </c>
      <c r="U151" s="221">
        <f>$S151/100*$K151</f>
        <v/>
      </c>
    </row>
    <row r="152">
      <c r="A152" s="212" t="n">
        <v>2024</v>
      </c>
      <c r="B152" s="213" t="n">
        <v>151</v>
      </c>
      <c r="C152" s="71" t="inlineStr">
        <is>
          <t>Ausgaben</t>
        </is>
      </c>
      <c r="D152" t="inlineStr">
        <is>
          <t>sonstige Betriebsausgaben</t>
        </is>
      </c>
      <c r="E152" s="1" t="n">
        <v>45600</v>
      </c>
      <c r="F152" t="inlineStr">
        <is>
          <t>Google Ireland Ltd, Gordon House, Barrow Street, Dublin 4, Ireland; VAT number: IE 6388047V</t>
        </is>
      </c>
      <c r="I152" t="b">
        <v>0</v>
      </c>
      <c r="J152" s="214" t="n">
        <v>13.8</v>
      </c>
      <c r="K152" s="215">
        <f>$J152*$L152</f>
        <v/>
      </c>
      <c r="L152" s="159" t="n">
        <v>1</v>
      </c>
      <c r="M152" s="159" t="n">
        <v>0</v>
      </c>
      <c r="N152" s="215">
        <f>$P152*$M152</f>
        <v/>
      </c>
      <c r="O152" s="215">
        <f>L152*$N152</f>
        <v/>
      </c>
      <c r="P152" s="215">
        <f>$J152/(100%+$M152)</f>
        <v/>
      </c>
      <c r="Q152" s="215">
        <f>$L152*$P152</f>
        <v/>
      </c>
      <c r="R152" s="192">
        <f>voranmeldefrist_vierteljaehrlich(E152)</f>
        <v/>
      </c>
      <c r="S152" t="n">
        <v>20</v>
      </c>
      <c r="T152" s="220">
        <f>IF(G152=TRUE,Q152/F152,Q152)</f>
        <v/>
      </c>
      <c r="U152" s="221">
        <f>$S152/100*$K152</f>
        <v/>
      </c>
    </row>
    <row r="153">
      <c r="A153" s="212" t="n">
        <v>2024</v>
      </c>
      <c r="B153" s="213" t="n">
        <v>152</v>
      </c>
      <c r="C153" s="71" t="inlineStr">
        <is>
          <t>Einnahmen</t>
        </is>
      </c>
      <c r="D153" t="inlineStr">
        <is>
          <t>Waren-/Leistungserlöse</t>
        </is>
      </c>
      <c r="E153" s="1" t="n">
        <v>45608</v>
      </c>
      <c r="F153" t="inlineStr">
        <is>
          <t>Hays Österreich GmbH, Bahnhof City Wien West - Europaplatz 3/5, 1150 Wien</t>
        </is>
      </c>
      <c r="J153" s="214" t="n">
        <v>23290.94</v>
      </c>
      <c r="K153" s="215">
        <f>$J153*$L153</f>
        <v/>
      </c>
      <c r="L153" s="159" t="n">
        <v>1</v>
      </c>
      <c r="M153" s="159" t="n">
        <v>0.2</v>
      </c>
      <c r="N153" s="215">
        <f>$P153*$M153</f>
        <v/>
      </c>
      <c r="O153" s="215">
        <f>L153*$N153</f>
        <v/>
      </c>
      <c r="P153" s="215">
        <f>$J153/(100%+$M153)</f>
        <v/>
      </c>
      <c r="Q153" s="215">
        <f>$L153*$P153</f>
        <v/>
      </c>
      <c r="R153" s="192">
        <f>voranmeldefrist_vierteljaehrlich(E153)</f>
        <v/>
      </c>
      <c r="T153" s="220">
        <f>IF(G153=TRUE,Q153/F153,Q153)</f>
        <v/>
      </c>
      <c r="U153" s="221">
        <f>$S153/100*$K153</f>
        <v/>
      </c>
    </row>
    <row r="154">
      <c r="A154" s="212" t="n">
        <v>2024</v>
      </c>
      <c r="B154" s="213" t="n">
        <v>153</v>
      </c>
      <c r="C154" s="71" t="inlineStr">
        <is>
          <t>Ausgaben</t>
        </is>
      </c>
      <c r="D154" t="inlineStr">
        <is>
          <t>sonstige Betriebsausgaben</t>
        </is>
      </c>
      <c r="E154" s="1" t="n">
        <v>45609</v>
      </c>
      <c r="F154" t="inlineStr">
        <is>
          <t>Hetzner Online GmbH, Industriestraße 25, 91710 Gunzenhausen</t>
        </is>
      </c>
      <c r="I154" t="b">
        <v>0</v>
      </c>
      <c r="J154" s="214" t="n">
        <v>56</v>
      </c>
      <c r="K154" s="215">
        <f>$J154*$L154</f>
        <v/>
      </c>
      <c r="L154" s="159" t="n">
        <v>1</v>
      </c>
      <c r="M154" s="159" t="n">
        <v>0</v>
      </c>
      <c r="N154" s="215">
        <f>$P154*$M154</f>
        <v/>
      </c>
      <c r="O154" s="215">
        <f>L154*$N154</f>
        <v/>
      </c>
      <c r="P154" s="215">
        <f>$J154/(100%+$M154)</f>
        <v/>
      </c>
      <c r="Q154" s="215">
        <f>$L154*$P154</f>
        <v/>
      </c>
      <c r="R154" s="192">
        <f>voranmeldefrist_vierteljaehrlich(E154)</f>
        <v/>
      </c>
      <c r="S154" t="n">
        <v>20</v>
      </c>
      <c r="T154" s="220">
        <f>IF(G154=TRUE,Q154/F154,Q154)</f>
        <v/>
      </c>
      <c r="U154" s="221">
        <f>$S154/100*$K154</f>
        <v/>
      </c>
    </row>
    <row r="155">
      <c r="A155" s="212" t="n">
        <v>2024</v>
      </c>
      <c r="B155" s="213" t="n">
        <v>154</v>
      </c>
      <c r="C155" s="71" t="inlineStr">
        <is>
          <t>Ausgaben</t>
        </is>
      </c>
      <c r="D155" t="inlineStr">
        <is>
          <t>sonstige Betriebsausgaben</t>
        </is>
      </c>
      <c r="E155" s="1" t="n">
        <v>45610</v>
      </c>
      <c r="F155" t="inlineStr">
        <is>
          <t>Hetzner Online GmbH, Industriestraße 25, 91710 Gunzenhausen</t>
        </is>
      </c>
      <c r="I155" t="b">
        <v>0</v>
      </c>
      <c r="J155" s="214" t="n">
        <v>9.16</v>
      </c>
      <c r="K155" s="215">
        <f>$J155*$L155</f>
        <v/>
      </c>
      <c r="L155" s="159" t="n">
        <v>1</v>
      </c>
      <c r="M155" s="159" t="n">
        <v>0</v>
      </c>
      <c r="N155" s="215">
        <f>$P155*$M155</f>
        <v/>
      </c>
      <c r="O155" s="215">
        <f>L155*$N155</f>
        <v/>
      </c>
      <c r="P155" s="215">
        <f>$J155/(100%+$M155)</f>
        <v/>
      </c>
      <c r="Q155" s="215">
        <f>$L155*$P155</f>
        <v/>
      </c>
      <c r="R155" s="192">
        <f>voranmeldefrist_vierteljaehrlich(E155)</f>
        <v/>
      </c>
      <c r="S155" t="n">
        <v>20</v>
      </c>
      <c r="T155" s="220">
        <f>IF(G155=TRUE,Q155/F155,Q155)</f>
        <v/>
      </c>
      <c r="U155" s="221">
        <f>$S155/100*$K155</f>
        <v/>
      </c>
    </row>
    <row r="156">
      <c r="A156" s="212" t="n">
        <v>2024</v>
      </c>
      <c r="B156" s="213" t="n">
        <v>155</v>
      </c>
      <c r="C156" s="71" t="inlineStr">
        <is>
          <t>Ausgaben</t>
        </is>
      </c>
      <c r="D156" t="inlineStr">
        <is>
          <t>Telefon/Internet</t>
        </is>
      </c>
      <c r="E156" s="1" t="n">
        <v>45611</v>
      </c>
      <c r="F156" t="inlineStr">
        <is>
          <t>kabelplus GmbH, Südstadtzentrum 4, 2344 Maria Enzersdorf</t>
        </is>
      </c>
      <c r="I156" t="b">
        <v>0</v>
      </c>
      <c r="J156" s="214" t="n">
        <v>55.7</v>
      </c>
      <c r="K156" s="215">
        <f>$J156*$L156</f>
        <v/>
      </c>
      <c r="L156" s="159" t="n">
        <v>0.67</v>
      </c>
      <c r="M156" s="98">
        <f>N156/P156</f>
        <v/>
      </c>
      <c r="N156" s="215">
        <f>1.32+6.86</f>
        <v/>
      </c>
      <c r="O156" s="215">
        <f>L156*$N156</f>
        <v/>
      </c>
      <c r="P156" s="215">
        <f>13.21+34.31</f>
        <v/>
      </c>
      <c r="Q156" s="215">
        <f>$L156*$P156</f>
        <v/>
      </c>
      <c r="R156" s="192">
        <f>voranmeldefrist_vierteljaehrlich(E156)</f>
        <v/>
      </c>
      <c r="T156" s="220">
        <f>IF(G156=TRUE,Q156/F156,Q156)</f>
        <v/>
      </c>
      <c r="U156" s="221">
        <f>$S156/100*$K156</f>
        <v/>
      </c>
    </row>
    <row r="157">
      <c r="A157" s="212" t="n">
        <v>2024</v>
      </c>
      <c r="B157" s="213" t="n">
        <v>156</v>
      </c>
      <c r="C157" s="71" t="inlineStr">
        <is>
          <t>Ausgaben</t>
        </is>
      </c>
      <c r="D157" t="inlineStr">
        <is>
          <t>sonstige Betriebsausgaben</t>
        </is>
      </c>
      <c r="E157" s="1" t="n">
        <v>45615</v>
      </c>
      <c r="F157" t="inlineStr">
        <is>
          <t>Microsoft Ireland Operations Ltd. One Microsoft Place, South County, Business Park, Leopardstown, Dublin 18, D18 P521, Ireland</t>
        </is>
      </c>
      <c r="I157" t="b">
        <v>0</v>
      </c>
      <c r="J157" s="214" t="n">
        <v>11.7</v>
      </c>
      <c r="K157" s="215">
        <f>$J157*$L157</f>
        <v/>
      </c>
      <c r="L157" s="159" t="n">
        <v>1</v>
      </c>
      <c r="M157" s="159" t="n">
        <v>0</v>
      </c>
      <c r="N157" s="215">
        <f>$P157*$M157</f>
        <v/>
      </c>
      <c r="O157" s="215">
        <f>L157*$N157</f>
        <v/>
      </c>
      <c r="P157" s="215">
        <f>$J157/(100%+$M157)</f>
        <v/>
      </c>
      <c r="Q157" s="215">
        <f>$L157*$P157</f>
        <v/>
      </c>
      <c r="R157" s="192">
        <f>voranmeldefrist_vierteljaehrlich(E157)</f>
        <v/>
      </c>
      <c r="S157" t="n">
        <v>20</v>
      </c>
      <c r="T157" s="220">
        <f>IF(G157=TRUE,Q157/F157,Q157)</f>
        <v/>
      </c>
      <c r="U157" s="221">
        <f>$S157/100*$K157</f>
        <v/>
      </c>
    </row>
    <row r="158">
      <c r="A158" s="212" t="n">
        <v>2024</v>
      </c>
      <c r="B158" s="213" t="n">
        <v>157</v>
      </c>
      <c r="C158" s="71" t="inlineStr">
        <is>
          <t>Ausgaben</t>
        </is>
      </c>
      <c r="D158" t="inlineStr">
        <is>
          <t>sonstige Betriebsausgaben</t>
        </is>
      </c>
      <c r="E158" s="1" t="n">
        <v>45621</v>
      </c>
      <c r="F158" t="inlineStr">
        <is>
          <t>OpenAI, LLC, 548 Market Street, PMB 97273, San Francisco, California 94104-5401, United States</t>
        </is>
      </c>
      <c r="I158" t="b">
        <v>0</v>
      </c>
      <c r="J158" s="214" t="n">
        <v>23.58</v>
      </c>
      <c r="K158" s="215">
        <f>$J158*$L158</f>
        <v/>
      </c>
      <c r="L158" s="159" t="n">
        <v>1</v>
      </c>
      <c r="M158" s="159" t="n">
        <v>0.2</v>
      </c>
      <c r="N158" s="215">
        <f>$P158*$M158</f>
        <v/>
      </c>
      <c r="O158" s="215">
        <f>L158*$N158</f>
        <v/>
      </c>
      <c r="P158" s="215">
        <f>($J158-0.32)/(100%+$M158)</f>
        <v/>
      </c>
      <c r="Q158" s="215">
        <f>$L158*$P158</f>
        <v/>
      </c>
      <c r="R158" s="192">
        <f>voranmeldefrist_vierteljaehrlich(E158)</f>
        <v/>
      </c>
      <c r="T158" s="220">
        <f>IF(G158=TRUE,Q158/F158,Q158)</f>
        <v/>
      </c>
      <c r="U158" s="221">
        <f>$S158/100*$K158</f>
        <v/>
      </c>
    </row>
    <row r="159">
      <c r="A159" s="212" t="n">
        <v>2024</v>
      </c>
      <c r="B159" s="213" t="n">
        <v>158</v>
      </c>
      <c r="C159" s="71" t="inlineStr">
        <is>
          <t>Ausgaben</t>
        </is>
      </c>
      <c r="D159" t="inlineStr">
        <is>
          <t>Pflichversicherungsbeiträge</t>
        </is>
      </c>
      <c r="E159" s="1" t="n">
        <v>45625</v>
      </c>
      <c r="F159" t="inlineStr">
        <is>
          <t>SVS</t>
        </is>
      </c>
      <c r="I159" t="b">
        <v>0</v>
      </c>
      <c r="J159" s="214" t="n">
        <v>5069.38</v>
      </c>
      <c r="K159" s="215">
        <f>$J159*$L159</f>
        <v/>
      </c>
      <c r="L159" s="159" t="n">
        <v>1</v>
      </c>
      <c r="M159" s="159" t="n">
        <v>0</v>
      </c>
      <c r="N159" s="215">
        <f>$P159*$M159</f>
        <v/>
      </c>
      <c r="O159" s="215">
        <f>L159*$N159</f>
        <v/>
      </c>
      <c r="P159" s="215">
        <f>$J159/(100%+$M159)</f>
        <v/>
      </c>
      <c r="Q159" s="215">
        <f>$L159*$P159</f>
        <v/>
      </c>
      <c r="R159" s="192">
        <f>voranmeldefrist_vierteljaehrlich(E159)</f>
        <v/>
      </c>
      <c r="T159" s="220">
        <f>IF(G159=TRUE,Q159/F159,Q159)</f>
        <v/>
      </c>
      <c r="U159" s="221">
        <f>$S159/100*$K159</f>
        <v/>
      </c>
    </row>
    <row r="160">
      <c r="A160" s="212" t="n">
        <v>2024</v>
      </c>
      <c r="B160" s="213" t="n">
        <v>159</v>
      </c>
      <c r="C160" s="71" t="inlineStr">
        <is>
          <t>Ausgaben</t>
        </is>
      </c>
      <c r="D160" t="inlineStr">
        <is>
          <t>sonstige Betriebsausgaben</t>
        </is>
      </c>
      <c r="E160" s="1" t="n">
        <v>45629</v>
      </c>
      <c r="F160" t="inlineStr">
        <is>
          <t>muki POL 3000081716, ReNr 9002185373</t>
        </is>
      </c>
      <c r="I160" t="b">
        <v>0</v>
      </c>
      <c r="J160" s="214" t="n">
        <v>436.5</v>
      </c>
      <c r="K160" s="215">
        <f>$J160*$L160</f>
        <v/>
      </c>
      <c r="L160" s="159">
        <f>14.6/158.43</f>
        <v/>
      </c>
      <c r="M160" s="159" t="n">
        <v>0</v>
      </c>
      <c r="N160" s="215">
        <f>$P160*$M160</f>
        <v/>
      </c>
      <c r="O160" s="215">
        <f>L160*$N160</f>
        <v/>
      </c>
      <c r="P160" s="215">
        <f>$J160/(100%+$M160)</f>
        <v/>
      </c>
      <c r="Q160" s="215">
        <f>$L160*$P160</f>
        <v/>
      </c>
      <c r="R160" s="192">
        <f>voranmeldefrist_vierteljaehrlich(E160)</f>
        <v/>
      </c>
      <c r="T160" s="220">
        <f>IF(G160=TRUE,Q160/F160,Q160)</f>
        <v/>
      </c>
      <c r="U160" s="221">
        <f>$S160/100*$K160</f>
        <v/>
      </c>
    </row>
    <row r="161">
      <c r="A161" s="212" t="n">
        <v>2024</v>
      </c>
      <c r="B161" s="213" t="n">
        <v>160</v>
      </c>
      <c r="C161" s="71" t="inlineStr">
        <is>
          <t>Ausgaben</t>
        </is>
      </c>
      <c r="D161" t="inlineStr">
        <is>
          <t>Telefon/Internet</t>
        </is>
      </c>
      <c r="E161" s="1" t="n">
        <v>45629</v>
      </c>
      <c r="F161" t="inlineStr">
        <is>
          <t>Hutchison Drei Austria GmbH, Brünner Straße 52, 1210 Wien, Österreich</t>
        </is>
      </c>
      <c r="I161" t="b">
        <v>0</v>
      </c>
      <c r="J161" s="214" t="n">
        <v>13.91</v>
      </c>
      <c r="K161" s="215">
        <f>$J161*$L161</f>
        <v/>
      </c>
      <c r="L161" s="159" t="n">
        <v>1</v>
      </c>
      <c r="M161" s="159" t="n">
        <v>0.2</v>
      </c>
      <c r="N161" s="215">
        <f>$P161*$M161</f>
        <v/>
      </c>
      <c r="O161" s="215">
        <f>L161*$N161</f>
        <v/>
      </c>
      <c r="P161" s="215">
        <f>$J161/(100%+$M161)</f>
        <v/>
      </c>
      <c r="Q161" s="215">
        <f>$L161*$P161</f>
        <v/>
      </c>
      <c r="R161" s="192">
        <f>voranmeldefrist_vierteljaehrlich(E161)</f>
        <v/>
      </c>
      <c r="T161" s="220">
        <f>IF(G161=TRUE,Q161/F161,Q161)</f>
        <v/>
      </c>
      <c r="U161" s="221">
        <f>$S161/100*$K161</f>
        <v/>
      </c>
    </row>
    <row r="162">
      <c r="A162" s="212" t="n">
        <v>2024</v>
      </c>
      <c r="B162" s="213" t="n">
        <v>161</v>
      </c>
      <c r="C162" s="71" t="inlineStr">
        <is>
          <t>Ausgaben</t>
        </is>
      </c>
      <c r="D162" t="inlineStr">
        <is>
          <t>sonstige Betriebsausgaben</t>
        </is>
      </c>
      <c r="E162" s="1" t="n">
        <v>45629</v>
      </c>
      <c r="F162" t="inlineStr">
        <is>
          <t>Google Ireland Ltd, Gordon House, Barrow Street, Dublin 4, Ireland; VAT number: IE 6388047V</t>
        </is>
      </c>
      <c r="I162" t="b">
        <v>0</v>
      </c>
      <c r="J162" s="214" t="n">
        <v>13.8</v>
      </c>
      <c r="K162" s="215">
        <f>$J162*$L162</f>
        <v/>
      </c>
      <c r="L162" s="159" t="n">
        <v>1</v>
      </c>
      <c r="M162" s="159" t="n">
        <v>0</v>
      </c>
      <c r="N162" s="215">
        <f>$P162*$M162</f>
        <v/>
      </c>
      <c r="O162" s="215">
        <f>L162*$N162</f>
        <v/>
      </c>
      <c r="P162" s="215">
        <f>$J162/(100%+$M162)</f>
        <v/>
      </c>
      <c r="Q162" s="215">
        <f>$L162*$P162</f>
        <v/>
      </c>
      <c r="R162" s="192">
        <f>voranmeldefrist_vierteljaehrlich(E162)</f>
        <v/>
      </c>
      <c r="S162" t="n">
        <v>20</v>
      </c>
      <c r="T162" s="220">
        <f>IF(G162=TRUE,Q162/F162,Q162)</f>
        <v/>
      </c>
      <c r="U162" s="221">
        <f>$S162/100*$K162</f>
        <v/>
      </c>
    </row>
    <row r="163">
      <c r="A163" s="212" t="n">
        <v>2024</v>
      </c>
      <c r="B163" s="213" t="n">
        <v>162</v>
      </c>
      <c r="C163" s="71" t="inlineStr">
        <is>
          <t>Ausgaben</t>
        </is>
      </c>
      <c r="D163" t="inlineStr">
        <is>
          <t>sonstige Betriebsausgaben</t>
        </is>
      </c>
      <c r="E163" s="1" t="n">
        <v>45635</v>
      </c>
      <c r="F163" t="inlineStr">
        <is>
          <t>3W Die Steuerkanzlei, Roter Hof 1a, 1080 Wien</t>
        </is>
      </c>
      <c r="I163" t="b">
        <v>0</v>
      </c>
      <c r="J163" s="214" t="n">
        <v>2160</v>
      </c>
      <c r="K163" s="215">
        <f>$J163*$L163</f>
        <v/>
      </c>
      <c r="L163" s="159" t="n">
        <v>1</v>
      </c>
      <c r="M163" s="159" t="n">
        <v>0.2</v>
      </c>
      <c r="N163" s="215">
        <f>$P163*$M163</f>
        <v/>
      </c>
      <c r="O163" s="215">
        <f>L163*$N163</f>
        <v/>
      </c>
      <c r="P163" s="215">
        <f>$J163/(100%+$M163)</f>
        <v/>
      </c>
      <c r="Q163" s="215">
        <f>$L163*$P163</f>
        <v/>
      </c>
      <c r="R163" s="192">
        <f>voranmeldefrist_vierteljaehrlich(E163)</f>
        <v/>
      </c>
      <c r="T163" s="220">
        <f>IF(G163=TRUE,Q163/F163,Q163)</f>
        <v/>
      </c>
      <c r="U163" s="221">
        <f>$S163/100*$K163</f>
        <v/>
      </c>
    </row>
    <row r="164">
      <c r="A164" s="212" t="n">
        <v>2024</v>
      </c>
      <c r="B164" s="213" t="n">
        <v>163</v>
      </c>
      <c r="C164" s="71" t="inlineStr">
        <is>
          <t>Einnahmen</t>
        </is>
      </c>
      <c r="D164" t="inlineStr">
        <is>
          <t>Waren-/Leistungserlöse</t>
        </is>
      </c>
      <c r="E164" s="1" t="n">
        <v>45637</v>
      </c>
      <c r="F164" t="inlineStr">
        <is>
          <t>Hays Österreich GmbH, Bahnhof City Wien West - Europaplatz 3/5, 1150 Wien</t>
        </is>
      </c>
      <c r="J164" s="214" t="n">
        <v>22388.54</v>
      </c>
      <c r="K164" s="215">
        <f>$J164*$L164</f>
        <v/>
      </c>
      <c r="L164" s="159" t="n">
        <v>1</v>
      </c>
      <c r="M164" s="159" t="n">
        <v>0.2</v>
      </c>
      <c r="N164" s="215">
        <f>$P164*$M164</f>
        <v/>
      </c>
      <c r="O164" s="215">
        <f>L164*$N164</f>
        <v/>
      </c>
      <c r="P164" s="215">
        <f>$J164/(100%+$M164)</f>
        <v/>
      </c>
      <c r="Q164" s="215">
        <f>$L164*$P164</f>
        <v/>
      </c>
      <c r="R164" s="192">
        <f>voranmeldefrist_vierteljaehrlich(E164)</f>
        <v/>
      </c>
      <c r="T164" s="220">
        <f>IF(G164=TRUE,Q164/F164,Q164)</f>
        <v/>
      </c>
      <c r="U164" s="221">
        <f>$S164/100*$K164</f>
        <v/>
      </c>
    </row>
    <row r="165">
      <c r="A165" s="212" t="n">
        <v>2024</v>
      </c>
      <c r="B165" s="213" t="n">
        <v>164</v>
      </c>
      <c r="C165" s="71" t="inlineStr">
        <is>
          <t>Ausgaben</t>
        </is>
      </c>
      <c r="D165" t="inlineStr">
        <is>
          <t>sonstige Betriebsausgaben</t>
        </is>
      </c>
      <c r="E165" s="1" t="n">
        <v>45638</v>
      </c>
      <c r="F165" t="inlineStr">
        <is>
          <t>Hetzner Online GmbH, Industriestraße 25, 91710 Gunzenhausen</t>
        </is>
      </c>
      <c r="I165" t="b">
        <v>0</v>
      </c>
      <c r="J165" s="214" t="n">
        <v>56</v>
      </c>
      <c r="K165" s="215">
        <f>$J165*$L165</f>
        <v/>
      </c>
      <c r="L165" s="159" t="n">
        <v>1</v>
      </c>
      <c r="M165" s="159" t="n">
        <v>0</v>
      </c>
      <c r="N165" s="215">
        <f>$P165*$M165</f>
        <v/>
      </c>
      <c r="O165" s="215">
        <f>L165*$N165</f>
        <v/>
      </c>
      <c r="P165" s="215">
        <f>$J165/(100%+$M165)</f>
        <v/>
      </c>
      <c r="Q165" s="215">
        <f>$L165*$P165</f>
        <v/>
      </c>
      <c r="R165" s="192">
        <f>voranmeldefrist_vierteljaehrlich(E165)</f>
        <v/>
      </c>
      <c r="S165" t="n">
        <v>20</v>
      </c>
      <c r="T165" s="220">
        <f>IF(G165=TRUE,Q165/F165,Q165)</f>
        <v/>
      </c>
      <c r="U165" s="221">
        <f>$S165/100*$K165</f>
        <v/>
      </c>
    </row>
    <row r="166">
      <c r="A166" s="212" t="n">
        <v>2024</v>
      </c>
      <c r="B166" s="213" t="n">
        <v>165</v>
      </c>
      <c r="C166" s="71" t="inlineStr">
        <is>
          <t>Ausgaben</t>
        </is>
      </c>
      <c r="D166" t="inlineStr">
        <is>
          <t>Telefon/Internet</t>
        </is>
      </c>
      <c r="E166" s="1" t="n">
        <v>45639</v>
      </c>
      <c r="F166" t="inlineStr">
        <is>
          <t>kabelplus GmbH, Südstadtzentrum 4, 2344 Maria Enzersdorf</t>
        </is>
      </c>
      <c r="I166" t="b">
        <v>0</v>
      </c>
      <c r="J166" s="214" t="n">
        <v>55.7</v>
      </c>
      <c r="K166" s="215">
        <f>$J166*$L166</f>
        <v/>
      </c>
      <c r="L166" s="159" t="n">
        <v>0.67</v>
      </c>
      <c r="M166" s="98">
        <f>N166/P166</f>
        <v/>
      </c>
      <c r="N166" s="215">
        <f>1.32+6.86</f>
        <v/>
      </c>
      <c r="O166" s="215">
        <f>L166*$N166</f>
        <v/>
      </c>
      <c r="P166" s="215">
        <f>13.21+34.31</f>
        <v/>
      </c>
      <c r="Q166" s="215">
        <f>$L166*$P166</f>
        <v/>
      </c>
      <c r="R166" s="192">
        <f>voranmeldefrist_vierteljaehrlich(E166)</f>
        <v/>
      </c>
      <c r="T166" s="220">
        <f>IF(G166=TRUE,Q166/F166,Q166)</f>
        <v/>
      </c>
      <c r="U166" s="221">
        <f>$S166/100*$K166</f>
        <v/>
      </c>
    </row>
    <row r="167">
      <c r="A167" s="212" t="n">
        <v>2024</v>
      </c>
      <c r="B167" s="213" t="n">
        <v>166</v>
      </c>
      <c r="C167" s="71" t="inlineStr">
        <is>
          <t>Ausgaben</t>
        </is>
      </c>
      <c r="D167" t="inlineStr">
        <is>
          <t>sonstige Betriebsausgaben</t>
        </is>
      </c>
      <c r="E167" s="1" t="n">
        <v>45642</v>
      </c>
      <c r="F167" t="inlineStr">
        <is>
          <t>Hetzner Online GmbH, Industriestraße 25, 91710 Gunzenhausen</t>
        </is>
      </c>
      <c r="I167" t="b">
        <v>0</v>
      </c>
      <c r="J167" s="214" t="n">
        <v>9.16</v>
      </c>
      <c r="K167" s="215">
        <f>$J167*$L167</f>
        <v/>
      </c>
      <c r="L167" s="159" t="n">
        <v>1</v>
      </c>
      <c r="M167" s="159" t="n">
        <v>0</v>
      </c>
      <c r="N167" s="215">
        <f>$P167*$M167</f>
        <v/>
      </c>
      <c r="O167" s="215">
        <f>L167*$N167</f>
        <v/>
      </c>
      <c r="P167" s="215">
        <f>$J167/(100%+$M167)</f>
        <v/>
      </c>
      <c r="Q167" s="215">
        <f>$L167*$P167</f>
        <v/>
      </c>
      <c r="R167" s="192">
        <f>voranmeldefrist_vierteljaehrlich(E167)</f>
        <v/>
      </c>
      <c r="S167" t="n">
        <v>20</v>
      </c>
      <c r="T167" s="220">
        <f>IF(G167=TRUE,Q167/F167,Q167)</f>
        <v/>
      </c>
      <c r="U167" s="221">
        <f>$S167/100*$K167</f>
        <v/>
      </c>
    </row>
    <row r="168">
      <c r="A168" s="212" t="n">
        <v>2024</v>
      </c>
      <c r="B168" s="213" t="n">
        <v>167</v>
      </c>
      <c r="C168" s="71" t="inlineStr">
        <is>
          <t>Einnahmen</t>
        </is>
      </c>
      <c r="D168" t="inlineStr">
        <is>
          <t>Waren-/Leistungserlöse</t>
        </is>
      </c>
      <c r="E168" s="1" t="n">
        <v>45645</v>
      </c>
      <c r="F168" t="inlineStr">
        <is>
          <t>Paperholic all ´bout paper e.U. - Birgit Horn, Koglgasse 15, 2111 Harmannsdorf</t>
        </is>
      </c>
      <c r="J168" s="214" t="n">
        <v>420</v>
      </c>
      <c r="K168" s="215">
        <f>$J168*$L168</f>
        <v/>
      </c>
      <c r="L168" s="159" t="n">
        <v>1</v>
      </c>
      <c r="M168" s="159" t="n">
        <v>0.2</v>
      </c>
      <c r="N168" s="215">
        <f>$P168*$M168</f>
        <v/>
      </c>
      <c r="O168" s="215">
        <f>L168*$N168</f>
        <v/>
      </c>
      <c r="P168" s="215">
        <f>$J168/(100%+$M168)</f>
        <v/>
      </c>
      <c r="Q168" s="215">
        <f>$L168*$P168</f>
        <v/>
      </c>
      <c r="R168" s="192">
        <f>voranmeldefrist_vierteljaehrlich(E168)</f>
        <v/>
      </c>
      <c r="T168" s="220">
        <f>IF(G168=TRUE,Q168/F168,Q168)</f>
        <v/>
      </c>
      <c r="U168" s="221">
        <f>$S168/100*$K168</f>
        <v/>
      </c>
    </row>
    <row r="169">
      <c r="A169" s="212" t="n">
        <v>2024</v>
      </c>
      <c r="B169" s="213" t="n">
        <v>168</v>
      </c>
      <c r="C169" s="71" t="inlineStr">
        <is>
          <t>Ausgaben</t>
        </is>
      </c>
      <c r="D169" t="inlineStr">
        <is>
          <t>sonstige Betriebsausgaben</t>
        </is>
      </c>
      <c r="E169" s="1" t="n">
        <v>45646</v>
      </c>
      <c r="F169" t="inlineStr">
        <is>
          <t>EVN Wasser GmbH</t>
        </is>
      </c>
      <c r="I169" t="b">
        <v>0</v>
      </c>
      <c r="J169" s="214" t="n">
        <v>110</v>
      </c>
      <c r="K169" s="215">
        <f>$J169*$L169</f>
        <v/>
      </c>
      <c r="L169" s="159">
        <f>14.6/158.43</f>
        <v/>
      </c>
      <c r="M169" s="159" t="n">
        <v>0.1</v>
      </c>
      <c r="N169" s="215">
        <f>$P169*$M169</f>
        <v/>
      </c>
      <c r="O169" s="215">
        <f>L169*$N169</f>
        <v/>
      </c>
      <c r="P169" s="215">
        <f>$J169/(100%+$M169)</f>
        <v/>
      </c>
      <c r="Q169" s="215">
        <f>$L169*$P169</f>
        <v/>
      </c>
      <c r="R169" s="192">
        <f>voranmeldefrist_vierteljaehrlich(E169)</f>
        <v/>
      </c>
      <c r="T169" s="220">
        <f>IF(G169=TRUE,Q169/F169,Q169)</f>
        <v/>
      </c>
      <c r="U169" s="221">
        <f>$S169/100*$K169</f>
        <v/>
      </c>
    </row>
    <row r="170">
      <c r="A170" s="212" t="n">
        <v>2024</v>
      </c>
      <c r="B170" s="213" t="n">
        <v>169</v>
      </c>
      <c r="C170" s="71" t="inlineStr">
        <is>
          <t>Ausgaben</t>
        </is>
      </c>
      <c r="D170" t="inlineStr">
        <is>
          <t>sonstige Betriebsausgaben</t>
        </is>
      </c>
      <c r="E170" s="1" t="n">
        <v>45646</v>
      </c>
      <c r="F170" t="inlineStr">
        <is>
          <t>Microsoft Ireland Operations Ltd. One Microsoft Place, South County, Business Park, Leopardstown, Dublin 18, D18 P521, Ireland</t>
        </is>
      </c>
      <c r="I170" t="b">
        <v>0</v>
      </c>
      <c r="J170" s="214" t="n">
        <v>11.7</v>
      </c>
      <c r="K170" s="215">
        <f>$J170*$L170</f>
        <v/>
      </c>
      <c r="L170" s="159" t="n">
        <v>1</v>
      </c>
      <c r="M170" s="159" t="n">
        <v>0</v>
      </c>
      <c r="N170" s="215">
        <f>$P170*$M170</f>
        <v/>
      </c>
      <c r="O170" s="215">
        <f>L170*$N170</f>
        <v/>
      </c>
      <c r="P170" s="215">
        <f>$J170/(100%+$M170)</f>
        <v/>
      </c>
      <c r="Q170" s="215">
        <f>$L170*$P170</f>
        <v/>
      </c>
      <c r="R170" s="192">
        <f>voranmeldefrist_vierteljaehrlich(E170)</f>
        <v/>
      </c>
      <c r="S170" t="n">
        <v>20</v>
      </c>
      <c r="T170" s="220">
        <f>IF(G170=TRUE,Q170/F170,Q170)</f>
        <v/>
      </c>
      <c r="U170" s="221">
        <f>$S170/100*$K170</f>
        <v/>
      </c>
    </row>
    <row r="171">
      <c r="A171" s="212" t="n">
        <v>2024</v>
      </c>
      <c r="B171" s="213" t="n">
        <v>170</v>
      </c>
      <c r="C171" s="71" t="inlineStr">
        <is>
          <t>Einnahmen</t>
        </is>
      </c>
      <c r="D171" t="inlineStr">
        <is>
          <t>Waren-/Leistungserlöse</t>
        </is>
      </c>
      <c r="E171" s="1" t="n">
        <v>45649</v>
      </c>
      <c r="F171" t="inlineStr">
        <is>
          <t>Musikschule Bad Vöslau, Hauptstraße 14, 2540 Bad Vöslau</t>
        </is>
      </c>
      <c r="J171" s="214" t="n">
        <v>1176</v>
      </c>
      <c r="K171" s="215">
        <f>$J171*$L171</f>
        <v/>
      </c>
      <c r="L171" s="159" t="n">
        <v>1</v>
      </c>
      <c r="M171" s="159" t="n">
        <v>0.2</v>
      </c>
      <c r="N171" s="215">
        <f>$P171*$M171</f>
        <v/>
      </c>
      <c r="O171" s="215">
        <f>L171*$N171</f>
        <v/>
      </c>
      <c r="P171" s="215">
        <f>$J171/(100%+$M171)</f>
        <v/>
      </c>
      <c r="Q171" s="215">
        <f>$L171*$P171</f>
        <v/>
      </c>
      <c r="R171" s="192">
        <f>voranmeldefrist_vierteljaehrlich(E171)</f>
        <v/>
      </c>
      <c r="T171" s="220">
        <f>IF(G171=TRUE,Q171/F171,Q171)</f>
        <v/>
      </c>
      <c r="U171" s="221">
        <f>$S171/100*$K171</f>
        <v/>
      </c>
    </row>
    <row r="172">
      <c r="A172" s="212" t="n">
        <v>2024</v>
      </c>
      <c r="B172" s="213" t="n">
        <v>171</v>
      </c>
      <c r="C172" s="71" t="inlineStr">
        <is>
          <t>Ausgaben</t>
        </is>
      </c>
      <c r="D172" t="inlineStr">
        <is>
          <t>Pflichversicherungsbeiträge</t>
        </is>
      </c>
      <c r="E172" s="1" t="n">
        <v>45653</v>
      </c>
      <c r="F172" t="inlineStr">
        <is>
          <t>SVS Vorauszahlung</t>
        </is>
      </c>
      <c r="I172" t="b">
        <v>0</v>
      </c>
      <c r="J172" s="214" t="n">
        <v>30000</v>
      </c>
      <c r="K172" s="215">
        <f>$J172*$L172</f>
        <v/>
      </c>
      <c r="L172" s="159" t="n">
        <v>1</v>
      </c>
      <c r="M172" s="159" t="n">
        <v>0</v>
      </c>
      <c r="N172" s="215">
        <f>$P172*$M172</f>
        <v/>
      </c>
      <c r="O172" s="215">
        <f>L172*$N172</f>
        <v/>
      </c>
      <c r="P172" s="215">
        <f>$J172/(100%+$M172)</f>
        <v/>
      </c>
      <c r="Q172" s="215">
        <f>$L172*$P172</f>
        <v/>
      </c>
      <c r="R172" s="192">
        <f>voranmeldefrist_vierteljaehrlich(E172)</f>
        <v/>
      </c>
      <c r="T172" s="220">
        <f>IF(G172=TRUE,Q172/F172,Q172)</f>
        <v/>
      </c>
      <c r="U172" s="221">
        <f>$S172/100*$K172</f>
        <v/>
      </c>
    </row>
    <row r="173">
      <c r="A173" s="212" t="n">
        <v>2024</v>
      </c>
      <c r="B173" s="213" t="n">
        <v>172</v>
      </c>
      <c r="C173" s="71" t="inlineStr">
        <is>
          <t>Ausgaben</t>
        </is>
      </c>
      <c r="D173" t="inlineStr">
        <is>
          <t>sonstige Betriebsausgaben</t>
        </is>
      </c>
      <c r="E173" s="1" t="n">
        <v>45653</v>
      </c>
      <c r="F173" t="inlineStr">
        <is>
          <t>OpenAI, LLC, 548 Market Street, PMB 97273, San Francisco, California 94104-5401, United States</t>
        </is>
      </c>
      <c r="I173" t="b">
        <v>0</v>
      </c>
      <c r="J173" s="214" t="n">
        <v>23.56</v>
      </c>
      <c r="K173" s="215">
        <f>$J173*$L173</f>
        <v/>
      </c>
      <c r="L173" s="159" t="n">
        <v>1</v>
      </c>
      <c r="M173" s="159" t="n">
        <v>0.2</v>
      </c>
      <c r="N173" s="215">
        <f>$P173*$M173</f>
        <v/>
      </c>
      <c r="O173" s="215">
        <f>L173*$N173</f>
        <v/>
      </c>
      <c r="P173" s="215">
        <f>($J173-0.32)/(100%+$M173)</f>
        <v/>
      </c>
      <c r="Q173" s="215">
        <f>$L173*$P173</f>
        <v/>
      </c>
      <c r="R173" s="192">
        <f>voranmeldefrist_vierteljaehrlich(E173)</f>
        <v/>
      </c>
      <c r="T173" s="220">
        <f>IF(G173=TRUE,Q173/F173,Q173)</f>
        <v/>
      </c>
      <c r="U173" s="221">
        <f>$S173/100*$K173</f>
        <v/>
      </c>
    </row>
    <row r="174">
      <c r="A174" s="212" t="n">
        <v>2024</v>
      </c>
      <c r="B174" s="213" t="n">
        <v>173</v>
      </c>
      <c r="C174" s="71" t="inlineStr">
        <is>
          <t>Einnahmen</t>
        </is>
      </c>
      <c r="D174" t="inlineStr">
        <is>
          <t>Waren-/Leistungserlöse</t>
        </is>
      </c>
      <c r="E174" s="1" t="n">
        <v>45546</v>
      </c>
      <c r="F174" t="inlineStr">
        <is>
          <t>Wien Energie PV Ertrag</t>
        </is>
      </c>
      <c r="J174" s="214" t="n">
        <v>971.6799999999999</v>
      </c>
      <c r="K174" s="215">
        <f>$J174*$L174</f>
        <v/>
      </c>
      <c r="L174" s="159" t="n">
        <v>1</v>
      </c>
      <c r="M174" s="159" t="n">
        <v>0</v>
      </c>
      <c r="N174" s="215">
        <f>$P174*$M174</f>
        <v/>
      </c>
      <c r="O174" s="215">
        <f>L174*$N174</f>
        <v/>
      </c>
      <c r="P174" s="215">
        <f>($J174-0.32)/(100%+$M174)</f>
        <v/>
      </c>
      <c r="Q174" s="215">
        <f>$L174*$P174</f>
        <v/>
      </c>
      <c r="R174" s="192" t="n"/>
      <c r="S174" t="n">
        <v>20</v>
      </c>
      <c r="T174" s="220">
        <f>IF(G174=TRUE,Q174/F174,Q174)</f>
        <v/>
      </c>
      <c r="U174" s="221" t="n"/>
    </row>
    <row r="175">
      <c r="A175" s="212" t="n">
        <v>2024</v>
      </c>
      <c r="B175" s="213" t="n">
        <v>174</v>
      </c>
      <c r="C175" s="71" t="inlineStr">
        <is>
          <t>Ausgaben</t>
        </is>
      </c>
      <c r="D175" t="inlineStr">
        <is>
          <t>sonstige Betriebsausgaben</t>
        </is>
      </c>
      <c r="E175" s="1" t="n">
        <v>45643</v>
      </c>
      <c r="F175" t="inlineStr">
        <is>
          <t>Republik Österreich Bundesschatz 2030 1096 8725 - 4 J AUSZ</t>
        </is>
      </c>
      <c r="I175" t="b">
        <v>0</v>
      </c>
      <c r="J175" s="214" t="n">
        <v>10550</v>
      </c>
      <c r="K175" s="215">
        <f>$J175*$L175</f>
        <v/>
      </c>
      <c r="L175" s="159" t="n">
        <v>1</v>
      </c>
      <c r="M175" s="159" t="n">
        <v>0</v>
      </c>
      <c r="N175" s="215">
        <f>$P175*$M175</f>
        <v/>
      </c>
      <c r="O175" s="215">
        <f>L175*$N175</f>
        <v/>
      </c>
      <c r="P175" s="215">
        <f>($J175-0.32)/(100%+$M175)</f>
        <v/>
      </c>
      <c r="Q175" s="215">
        <f>$L175*$P175</f>
        <v/>
      </c>
      <c r="R175" s="192" t="n"/>
      <c r="T175" s="220">
        <f>IF(G175=TRUE,Q175/F175,Q175)</f>
        <v/>
      </c>
      <c r="U175" s="221" t="n"/>
    </row>
    <row r="176">
      <c r="A176" s="212" t="n">
        <v>2024</v>
      </c>
      <c r="B176" s="213" t="n">
        <v>175</v>
      </c>
      <c r="C176" s="71" t="inlineStr">
        <is>
          <t>Ausgaben</t>
        </is>
      </c>
      <c r="D176" t="inlineStr">
        <is>
          <t>Zinsen und ähnliche Aufwendungen</t>
        </is>
      </c>
      <c r="E176" s="1" t="n">
        <v>45657</v>
      </c>
      <c r="F176" t="inlineStr">
        <is>
          <t>WBF Zinsen, Hypo NOE Landesbank für Niederösterreich und Wien AG, Hypogasse 1, 3100 St Pölten</t>
        </is>
      </c>
      <c r="I176" t="b">
        <v>0</v>
      </c>
      <c r="J176" s="214" t="n">
        <v>297</v>
      </c>
      <c r="K176" s="215">
        <f>$J176*$L176</f>
        <v/>
      </c>
      <c r="L176" s="159">
        <f>14.6/158.43</f>
        <v/>
      </c>
      <c r="M176" s="159" t="n">
        <v>0</v>
      </c>
      <c r="N176" s="215">
        <f>$P176*$M176</f>
        <v/>
      </c>
      <c r="O176" s="215">
        <f>L176*$N176</f>
        <v/>
      </c>
      <c r="P176" s="215">
        <f>($J176-0.32)/(100%+$M176)</f>
        <v/>
      </c>
      <c r="Q176" s="215">
        <f>$L176*$P176</f>
        <v/>
      </c>
      <c r="R176" s="192" t="n"/>
      <c r="T176" s="220">
        <f>IF(G176=TRUE,Q176/F176,Q176)</f>
        <v/>
      </c>
      <c r="U176" s="221" t="n"/>
    </row>
    <row r="177">
      <c r="A177" s="212" t="n">
        <v>2024</v>
      </c>
      <c r="B177" s="213" t="n">
        <v>176</v>
      </c>
      <c r="C177" s="71" t="inlineStr">
        <is>
          <t>Ausgaben</t>
        </is>
      </c>
      <c r="D177" t="inlineStr">
        <is>
          <t>Zinsen und ähnliche Aufwendungen</t>
        </is>
      </c>
      <c r="E177" s="1" t="n">
        <v>45657</v>
      </c>
      <c r="F177" t="inlineStr">
        <is>
          <t>Kreditzinsen, Erste Bank der österreichischen Sparkassen AG, Am Belvedere 1, 1100 Wien</t>
        </is>
      </c>
      <c r="I177" t="b">
        <v>0</v>
      </c>
      <c r="J177" s="214">
        <f>6954.12+140</f>
        <v/>
      </c>
      <c r="K177" s="215">
        <f>$J177*$L177</f>
        <v/>
      </c>
      <c r="L177" s="159">
        <f>14.6/158.43</f>
        <v/>
      </c>
      <c r="M177" s="159" t="n">
        <v>0</v>
      </c>
      <c r="N177" s="215">
        <f>$P177*$M177</f>
        <v/>
      </c>
      <c r="O177" s="215">
        <f>L177*$N177</f>
        <v/>
      </c>
      <c r="P177" s="215">
        <f>($J177-0.32)/(100%+$M177)</f>
        <v/>
      </c>
      <c r="Q177" s="215">
        <f>$L177*$P177</f>
        <v/>
      </c>
      <c r="R177" s="192" t="n"/>
      <c r="T177" s="220">
        <f>IF(G177=TRUE,Q177/F177,Q177)</f>
        <v/>
      </c>
      <c r="U177" s="221" t="n"/>
    </row>
    <row r="178">
      <c r="A178" s="212" t="n">
        <v>2024</v>
      </c>
      <c r="B178" s="213" t="n">
        <v>177</v>
      </c>
      <c r="C178" s="71" t="inlineStr">
        <is>
          <t>Einnahmen</t>
        </is>
      </c>
      <c r="D178" t="inlineStr">
        <is>
          <t>Zinsen und ähnliche Aufwendungen</t>
        </is>
      </c>
      <c r="E178" s="1" t="n">
        <v>45293</v>
      </c>
      <c r="F178" t="inlineStr">
        <is>
          <t>STORNO 2024-022</t>
        </is>
      </c>
      <c r="I178" t="b">
        <v>0</v>
      </c>
      <c r="J178" s="214" t="n">
        <v>1701.85</v>
      </c>
      <c r="K178" s="215">
        <f>$J178*$L178</f>
        <v/>
      </c>
      <c r="L178" s="159">
        <f>14.6/158.43</f>
        <v/>
      </c>
      <c r="M178" s="159" t="n">
        <v>0</v>
      </c>
      <c r="N178" s="215">
        <f>$P178*$M178</f>
        <v/>
      </c>
      <c r="O178" s="215">
        <f>L178*$N178</f>
        <v/>
      </c>
      <c r="P178" s="215">
        <f>$J178/(100%+$M178)</f>
        <v/>
      </c>
      <c r="Q178" s="215">
        <f>$L178*$P178</f>
        <v/>
      </c>
      <c r="R178" s="192">
        <f>voranmeldefrist_vierteljaehrlich(E178)</f>
        <v/>
      </c>
      <c r="T178" s="220">
        <f>IF(G178=TRUE,Q178/F178,Q178)</f>
        <v/>
      </c>
      <c r="U178" s="221">
        <f>$S178/100*$K178</f>
        <v/>
      </c>
    </row>
    <row r="179">
      <c r="A179" s="212" t="n">
        <v>2025</v>
      </c>
      <c r="B179" s="213" t="n">
        <v>1</v>
      </c>
      <c r="C179" s="71" t="inlineStr">
        <is>
          <t>Ausgaben</t>
        </is>
      </c>
      <c r="D179" t="inlineStr">
        <is>
          <t>sonstige Betriebsausgaben</t>
        </is>
      </c>
      <c r="E179" s="1" t="n">
        <v>45660</v>
      </c>
      <c r="F179" t="inlineStr">
        <is>
          <t>Google Ireland Ltd, Gordon House, Barrow Street, Dublin 4, Ireland; VAT number: IE 6388047V</t>
        </is>
      </c>
      <c r="I179" t="b">
        <v>0</v>
      </c>
      <c r="J179" s="214" t="n">
        <v>13.8</v>
      </c>
      <c r="K179" s="215">
        <f>$J179*$L179</f>
        <v/>
      </c>
      <c r="L179" s="159" t="n">
        <v>1</v>
      </c>
      <c r="M179" s="159" t="n">
        <v>0</v>
      </c>
      <c r="N179" s="215">
        <f>$P179*$M179</f>
        <v/>
      </c>
      <c r="O179" s="215">
        <f>L179*$N179</f>
        <v/>
      </c>
      <c r="P179" s="215">
        <f>$J179/(100%+$M179)</f>
        <v/>
      </c>
      <c r="Q179" s="215">
        <f>$L179*$P179</f>
        <v/>
      </c>
      <c r="R179" s="192">
        <f>voranmeldefrist_vierteljaehrlich(E179)</f>
        <v/>
      </c>
      <c r="S179" t="n">
        <v>20</v>
      </c>
      <c r="T179" s="220">
        <f>IF(G179=TRUE,Q179/F179,Q179)</f>
        <v/>
      </c>
      <c r="U179" s="221">
        <f>$S179/100*$K179</f>
        <v/>
      </c>
    </row>
    <row r="180">
      <c r="A180" s="212" t="n">
        <v>2025</v>
      </c>
      <c r="B180" s="213" t="n">
        <v>2</v>
      </c>
      <c r="C180" s="71" t="inlineStr">
        <is>
          <t>Ausgaben</t>
        </is>
      </c>
      <c r="D180" t="inlineStr">
        <is>
          <t>Telefon/Internet</t>
        </is>
      </c>
      <c r="E180" s="1" t="n">
        <v>45665</v>
      </c>
      <c r="F180" t="inlineStr">
        <is>
          <t>Hutchison Drei Austria GmbH, Brünner Straße 52, 1210 Wien, Österreich</t>
        </is>
      </c>
      <c r="I180" t="b">
        <v>0</v>
      </c>
      <c r="J180" s="214" t="n">
        <v>14.26</v>
      </c>
      <c r="K180" s="215">
        <f>$J180*$L180</f>
        <v/>
      </c>
      <c r="L180" s="159" t="n">
        <v>1</v>
      </c>
      <c r="M180" s="159" t="n">
        <v>0.2</v>
      </c>
      <c r="N180" s="215">
        <f>$P180*$M180</f>
        <v/>
      </c>
      <c r="O180" s="215">
        <f>L180*$N180</f>
        <v/>
      </c>
      <c r="P180" s="215">
        <f>$J180/(100%+$M180)</f>
        <v/>
      </c>
      <c r="Q180" s="215">
        <f>$L180*$P180</f>
        <v/>
      </c>
      <c r="R180" s="192">
        <f>voranmeldefrist_vierteljaehrlich(E180)</f>
        <v/>
      </c>
      <c r="T180" s="220">
        <f>IF(G180=TRUE,Q180/F180,Q180)</f>
        <v/>
      </c>
      <c r="U180" s="221">
        <f>$S180/100*$K180</f>
        <v/>
      </c>
    </row>
    <row r="181">
      <c r="A181" s="212" t="n">
        <v>2025</v>
      </c>
      <c r="B181" s="213" t="n">
        <v>3</v>
      </c>
      <c r="C181" s="71" t="inlineStr">
        <is>
          <t>Ausgaben</t>
        </is>
      </c>
      <c r="D181" t="inlineStr">
        <is>
          <t>sonstige Betriebsausgaben</t>
        </is>
      </c>
      <c r="E181" s="1" t="n">
        <v>45670</v>
      </c>
      <c r="F181" t="inlineStr">
        <is>
          <t>Hetzner Online GmbH, Industriestraße 25, 91710 Gunzenhausen</t>
        </is>
      </c>
      <c r="I181" t="b">
        <v>0</v>
      </c>
      <c r="J181" s="214" t="n">
        <v>56</v>
      </c>
      <c r="K181" s="215">
        <f>$J181*$L181</f>
        <v/>
      </c>
      <c r="L181" s="159" t="n">
        <v>1</v>
      </c>
      <c r="M181" s="159" t="n">
        <v>0</v>
      </c>
      <c r="N181" s="215">
        <f>$P181*$M181</f>
        <v/>
      </c>
      <c r="O181" s="215">
        <f>L181*$N181</f>
        <v/>
      </c>
      <c r="P181" s="215">
        <f>$J181/(100%+$M181)</f>
        <v/>
      </c>
      <c r="Q181" s="215">
        <f>$L181*$P181</f>
        <v/>
      </c>
      <c r="R181" s="192">
        <f>voranmeldefrist_vierteljaehrlich(E181)</f>
        <v/>
      </c>
      <c r="S181" t="n">
        <v>20</v>
      </c>
      <c r="T181" s="220">
        <f>IF(G181=TRUE,Q181/F181,Q181)</f>
        <v/>
      </c>
      <c r="U181" s="221">
        <f>$S181/100*$K181</f>
        <v/>
      </c>
    </row>
    <row r="182">
      <c r="A182" s="212" t="n">
        <v>2025</v>
      </c>
      <c r="B182" s="213" t="n">
        <v>4</v>
      </c>
      <c r="C182" s="71" t="inlineStr">
        <is>
          <t>Einnahmen</t>
        </is>
      </c>
      <c r="D182" t="inlineStr">
        <is>
          <t>Waren-/Leistungserlöse</t>
        </is>
      </c>
      <c r="E182" s="1" t="n">
        <v>45671</v>
      </c>
      <c r="F182" t="inlineStr">
        <is>
          <t>Hays Österreich GmbH, Bahnhof City Wien West - Europaplatz 3/5, 1150 Wien</t>
        </is>
      </c>
      <c r="I182" t="b">
        <v>0</v>
      </c>
      <c r="J182" s="214" t="n">
        <v>23381.18</v>
      </c>
      <c r="K182" s="215">
        <f>$J182*$L182</f>
        <v/>
      </c>
      <c r="L182" s="159" t="n">
        <v>1</v>
      </c>
      <c r="M182" s="159" t="n">
        <v>0.2</v>
      </c>
      <c r="N182" s="215">
        <f>$P182*$M182</f>
        <v/>
      </c>
      <c r="O182" s="215">
        <f>L182*$N182</f>
        <v/>
      </c>
      <c r="P182" s="215">
        <f>$J182/(100%+$M182)</f>
        <v/>
      </c>
      <c r="Q182" s="215">
        <f>$L182*$P182</f>
        <v/>
      </c>
      <c r="R182" s="192">
        <f>voranmeldefrist_vierteljaehrlich(E182)</f>
        <v/>
      </c>
      <c r="T182" s="220">
        <f>IF(G182=TRUE,Q182/F182,Q182)</f>
        <v/>
      </c>
      <c r="U182" s="221">
        <f>$S182/100*$K182</f>
        <v/>
      </c>
    </row>
    <row r="183">
      <c r="A183" s="212" t="n">
        <v>2025</v>
      </c>
      <c r="B183" s="213" t="n">
        <v>5</v>
      </c>
      <c r="C183" s="71" t="inlineStr">
        <is>
          <t>Ausgaben</t>
        </is>
      </c>
      <c r="D183" t="inlineStr">
        <is>
          <t>Telefon/Internet</t>
        </is>
      </c>
      <c r="E183" s="198" t="n">
        <v>45673</v>
      </c>
      <c r="F183" t="inlineStr">
        <is>
          <t>kabelplus GmbH, Südstadtzentrum 4, 2344 Maria Enzersdorf</t>
        </is>
      </c>
      <c r="I183" t="b">
        <v>0</v>
      </c>
      <c r="J183" s="214" t="n">
        <v>55.7</v>
      </c>
      <c r="K183" s="215">
        <f>$J183*$L183</f>
        <v/>
      </c>
      <c r="L183" s="159" t="n">
        <v>0.67</v>
      </c>
      <c r="M183" s="159" t="inlineStr">
        <is>
          <t>gemischt</t>
        </is>
      </c>
      <c r="N183" s="215">
        <f>1.36+7.07</f>
        <v/>
      </c>
      <c r="O183" s="215">
        <f>L183*$N183</f>
        <v/>
      </c>
      <c r="P183" s="215" t="n">
        <v>49.01</v>
      </c>
      <c r="Q183" s="215">
        <f>$L183*$P183</f>
        <v/>
      </c>
      <c r="R183" s="192">
        <f>voranmeldefrist_vierteljaehrlich(E183)</f>
        <v/>
      </c>
      <c r="T183" s="220">
        <f>IF(G183=TRUE,Q183/F183,Q183)</f>
        <v/>
      </c>
      <c r="U183" s="221">
        <f>$S183/100*$K183</f>
        <v/>
      </c>
    </row>
    <row r="184">
      <c r="A184" s="212" t="n">
        <v>2025</v>
      </c>
      <c r="B184" s="213" t="n">
        <v>6</v>
      </c>
      <c r="C184" s="71" t="inlineStr">
        <is>
          <t>Ausgaben</t>
        </is>
      </c>
      <c r="D184" t="inlineStr">
        <is>
          <t>sonstige Betriebsausgaben</t>
        </is>
      </c>
      <c r="E184" s="1" t="n">
        <v>45673</v>
      </c>
      <c r="F184" t="inlineStr">
        <is>
          <t>Hetzner Online GmbH, Industriestraße 25, 91710 Gunzenhausen</t>
        </is>
      </c>
      <c r="I184" t="b">
        <v>0</v>
      </c>
      <c r="J184" s="214" t="n">
        <v>20.16</v>
      </c>
      <c r="K184" s="215">
        <f>$J184*$L184</f>
        <v/>
      </c>
      <c r="L184" s="159" t="n">
        <v>1</v>
      </c>
      <c r="M184" s="159" t="n">
        <v>0</v>
      </c>
      <c r="N184" s="215">
        <f>$P184*$M184</f>
        <v/>
      </c>
      <c r="O184" s="215">
        <f>L184*$N184</f>
        <v/>
      </c>
      <c r="P184" s="215">
        <f>$J184/(100%+$M184)</f>
        <v/>
      </c>
      <c r="Q184" s="215">
        <f>$L184*$P184</f>
        <v/>
      </c>
      <c r="R184" s="192">
        <f>voranmeldefrist_vierteljaehrlich(E184)</f>
        <v/>
      </c>
      <c r="S184" t="n">
        <v>20</v>
      </c>
      <c r="T184" s="220">
        <f>IF(G184=TRUE,Q184/F184,Q184)</f>
        <v/>
      </c>
      <c r="U184" s="221">
        <f>$S184/100*$K184</f>
        <v/>
      </c>
    </row>
    <row r="185">
      <c r="A185" s="212" t="n">
        <v>2025</v>
      </c>
      <c r="B185" s="213" t="n">
        <v>7</v>
      </c>
      <c r="C185" s="71" t="inlineStr">
        <is>
          <t>Ausgaben</t>
        </is>
      </c>
      <c r="D185" t="inlineStr">
        <is>
          <t>sonstige Betriebsausgaben</t>
        </is>
      </c>
      <c r="E185" s="1" t="n">
        <v>45677</v>
      </c>
      <c r="F185" t="inlineStr">
        <is>
          <t>Microsoft Ireland Operations Ltd. One Microsoft Place, South County, Business Park, Leopardstown, Dublin 18, D18 P521, Ireland</t>
        </is>
      </c>
      <c r="I185" t="b">
        <v>0</v>
      </c>
      <c r="J185" s="214" t="n">
        <v>11.7</v>
      </c>
      <c r="K185" s="215">
        <f>$J185*$L185</f>
        <v/>
      </c>
      <c r="L185" s="159" t="n">
        <v>1</v>
      </c>
      <c r="M185" s="159" t="n">
        <v>0</v>
      </c>
      <c r="N185" s="215">
        <f>$P185*$M185</f>
        <v/>
      </c>
      <c r="O185" s="215">
        <f>L185*$N185</f>
        <v/>
      </c>
      <c r="P185" s="215">
        <f>$J185/(100%+$M185)</f>
        <v/>
      </c>
      <c r="Q185" s="215">
        <f>$L185*$P185</f>
        <v/>
      </c>
      <c r="R185" s="192">
        <f>voranmeldefrist_vierteljaehrlich(E185)</f>
        <v/>
      </c>
      <c r="S185" t="n">
        <v>20</v>
      </c>
      <c r="T185" s="220">
        <f>IF(G185=TRUE,Q185/F185,Q185)</f>
        <v/>
      </c>
      <c r="U185" s="221">
        <f>$S185/100*$K185</f>
        <v/>
      </c>
    </row>
    <row r="186">
      <c r="A186" s="212" t="n">
        <v>2025</v>
      </c>
      <c r="B186" s="213" t="n">
        <v>8</v>
      </c>
      <c r="C186" s="71" t="inlineStr">
        <is>
          <t>Ausgaben</t>
        </is>
      </c>
      <c r="D186" t="inlineStr">
        <is>
          <t>sonstige Betriebsausgaben</t>
        </is>
      </c>
      <c r="E186" s="198" t="n">
        <v>45678</v>
      </c>
      <c r="F186" t="inlineStr">
        <is>
          <t>Aon Austria GmbH</t>
        </is>
      </c>
      <c r="I186" t="b">
        <v>0</v>
      </c>
      <c r="J186" s="214" t="n">
        <v>289.74</v>
      </c>
      <c r="K186" s="215">
        <f>$J186*$L186</f>
        <v/>
      </c>
      <c r="L186" s="159" t="n">
        <v>1</v>
      </c>
      <c r="M186" s="159" t="n">
        <v>0</v>
      </c>
      <c r="N186" s="215">
        <f>$P186*$M186</f>
        <v/>
      </c>
      <c r="O186" s="215">
        <f>L186*$N186</f>
        <v/>
      </c>
      <c r="P186" s="215">
        <f>$J186/(100%+$M186)</f>
        <v/>
      </c>
      <c r="Q186" s="215">
        <f>$L186*$P186</f>
        <v/>
      </c>
      <c r="R186" s="192">
        <f>voranmeldefrist_vierteljaehrlich(E186)</f>
        <v/>
      </c>
      <c r="T186" s="220">
        <f>IF(G186=TRUE,Q186/F186,Q186)</f>
        <v/>
      </c>
      <c r="U186" s="221">
        <f>$S186/100*$K186</f>
        <v/>
      </c>
    </row>
    <row r="187">
      <c r="A187" s="212" t="n">
        <v>2025</v>
      </c>
      <c r="B187" s="213" t="n">
        <v>9</v>
      </c>
      <c r="C187" s="71" t="inlineStr">
        <is>
          <t>Ausgaben</t>
        </is>
      </c>
      <c r="D187" t="inlineStr">
        <is>
          <t>sonstige Betriebsausgaben</t>
        </is>
      </c>
      <c r="E187" s="1" t="n">
        <v>45681</v>
      </c>
      <c r="F187" t="inlineStr">
        <is>
          <t>OpenAI, LLC, 548 Market Street, PMB 97273, San Francisco, California 94104-5401, United States</t>
        </is>
      </c>
      <c r="I187" t="b">
        <v>0</v>
      </c>
      <c r="J187" s="214" t="n">
        <v>23.44</v>
      </c>
      <c r="K187" s="215">
        <f>$J187*$L187</f>
        <v/>
      </c>
      <c r="L187" s="159" t="n">
        <v>1</v>
      </c>
      <c r="M187" s="159" t="n">
        <v>0.2</v>
      </c>
      <c r="N187" s="215">
        <f>$P187*$M187</f>
        <v/>
      </c>
      <c r="O187" s="215">
        <f>L187*$N187</f>
        <v/>
      </c>
      <c r="P187" s="215">
        <f>($J187-0.32)/(100%+$M187)</f>
        <v/>
      </c>
      <c r="Q187" s="215">
        <f>$L187*$P187</f>
        <v/>
      </c>
      <c r="R187" s="192">
        <f>voranmeldefrist_vierteljaehrlich(E187)</f>
        <v/>
      </c>
      <c r="T187" s="220">
        <f>IF(G187=TRUE,Q187/F187,Q187)</f>
        <v/>
      </c>
      <c r="U187" s="221">
        <f>$S187/100*$K187</f>
        <v/>
      </c>
    </row>
    <row r="188">
      <c r="A188" s="212" t="n">
        <v>2025</v>
      </c>
      <c r="B188" s="213" t="n">
        <v>10</v>
      </c>
      <c r="C188" s="71" t="inlineStr">
        <is>
          <t>Ausgaben</t>
        </is>
      </c>
      <c r="D188" t="inlineStr">
        <is>
          <t>sonstige Betriebsausgaben</t>
        </is>
      </c>
      <c r="E188" s="1" t="n">
        <v>45688</v>
      </c>
      <c r="F188" t="inlineStr">
        <is>
          <t>Marktgemeinde Bisamberg, Hauptstraße 2, 2102 Bisamberg</t>
        </is>
      </c>
      <c r="I188" t="b">
        <v>0</v>
      </c>
      <c r="J188" s="214" t="n">
        <v>234.71</v>
      </c>
      <c r="K188" s="215">
        <f>$J188*$L188</f>
        <v/>
      </c>
      <c r="L188" s="159">
        <f>14.6/158.43</f>
        <v/>
      </c>
      <c r="M188" s="159" t="inlineStr">
        <is>
          <t>gemischt</t>
        </is>
      </c>
      <c r="N188" s="215" t="n">
        <v>20.99</v>
      </c>
      <c r="O188" s="215">
        <f>L188*$N188</f>
        <v/>
      </c>
      <c r="P188" s="215" t="n">
        <v>213.72</v>
      </c>
      <c r="Q188" s="215">
        <f>$L188*$P188</f>
        <v/>
      </c>
      <c r="R188" s="192">
        <f>voranmeldefrist_vierteljaehrlich(E188)</f>
        <v/>
      </c>
      <c r="T188" s="220">
        <f>IF(G188=TRUE,Q188/F188,Q188)</f>
        <v/>
      </c>
      <c r="U188" s="221">
        <f>$S188/100*$K188</f>
        <v/>
      </c>
    </row>
    <row r="189">
      <c r="A189" s="212" t="n">
        <v>2025</v>
      </c>
      <c r="B189" s="213" t="n">
        <v>11</v>
      </c>
      <c r="C189" s="71" t="inlineStr">
        <is>
          <t>Ausgaben</t>
        </is>
      </c>
      <c r="D189" t="inlineStr">
        <is>
          <t>sonstige Betriebsausgaben</t>
        </is>
      </c>
      <c r="E189" s="1" t="n">
        <v>45691</v>
      </c>
      <c r="F189" t="inlineStr">
        <is>
          <t>Google Ireland Ltd, Gordon House, Barrow Street, Dublin 4, Ireland; VAT number: IE 6388047V</t>
        </is>
      </c>
      <c r="I189" t="b">
        <v>0</v>
      </c>
      <c r="J189" s="214" t="n">
        <v>13.8</v>
      </c>
      <c r="K189" s="215">
        <f>$J189*$L189</f>
        <v/>
      </c>
      <c r="L189" s="159" t="n">
        <v>1</v>
      </c>
      <c r="M189" s="159" t="n">
        <v>0</v>
      </c>
      <c r="N189" s="215">
        <f>$P189*$M189</f>
        <v/>
      </c>
      <c r="O189" s="215">
        <f>L189*$N189</f>
        <v/>
      </c>
      <c r="P189" s="215">
        <f>$J189/(100%+$M189)</f>
        <v/>
      </c>
      <c r="Q189" s="215">
        <f>$L189*$P189</f>
        <v/>
      </c>
      <c r="R189" s="192">
        <f>voranmeldefrist_vierteljaehrlich(E189)</f>
        <v/>
      </c>
      <c r="S189" t="n">
        <v>20</v>
      </c>
      <c r="T189" s="220">
        <f>IF(G189=TRUE,Q189/F189,Q189)</f>
        <v/>
      </c>
      <c r="U189" s="221">
        <f>$S189/100*$K189</f>
        <v/>
      </c>
    </row>
    <row r="190">
      <c r="A190" s="212" t="n">
        <v>2025</v>
      </c>
      <c r="B190" s="213" t="n">
        <v>12</v>
      </c>
      <c r="C190" s="71" t="inlineStr">
        <is>
          <t>Ausgaben</t>
        </is>
      </c>
      <c r="D190" t="inlineStr">
        <is>
          <t>Telefon/Internet</t>
        </is>
      </c>
      <c r="E190" s="1" t="n">
        <v>45692</v>
      </c>
      <c r="F190" t="inlineStr">
        <is>
          <t>Hutchison Drei Austria GmbH, Brünner Straße 52, 1210 Wien, Österreich</t>
        </is>
      </c>
      <c r="I190" t="b">
        <v>0</v>
      </c>
      <c r="J190" s="214" t="n">
        <v>13.91</v>
      </c>
      <c r="K190" s="215">
        <f>$J190*$L190</f>
        <v/>
      </c>
      <c r="L190" s="159" t="n">
        <v>1</v>
      </c>
      <c r="M190" s="159" t="n">
        <v>0.2</v>
      </c>
      <c r="N190" s="215">
        <f>$P190*$M190</f>
        <v/>
      </c>
      <c r="O190" s="215">
        <f>L190*$N190</f>
        <v/>
      </c>
      <c r="P190" s="215">
        <f>$J190/(100%+$M190)</f>
        <v/>
      </c>
      <c r="Q190" s="215">
        <f>$L190*$P190</f>
        <v/>
      </c>
      <c r="R190" s="192">
        <f>voranmeldefrist_vierteljaehrlich(E190)</f>
        <v/>
      </c>
      <c r="T190" s="220">
        <f>IF(G190=TRUE,Q190/F190,Q190)</f>
        <v/>
      </c>
      <c r="U190" s="221">
        <f>$S190/100*$K190</f>
        <v/>
      </c>
    </row>
    <row r="191">
      <c r="A191" s="212" t="n">
        <v>2025</v>
      </c>
      <c r="B191" s="213" t="n">
        <v>13</v>
      </c>
      <c r="C191" s="71" t="inlineStr">
        <is>
          <t>Ausgaben</t>
        </is>
      </c>
      <c r="D191" t="inlineStr">
        <is>
          <t>sonstige Betriebsausgaben</t>
        </is>
      </c>
      <c r="E191" s="1" t="n">
        <v>45691</v>
      </c>
      <c r="F191" t="inlineStr">
        <is>
          <t>Google Ireland Ltd, Gordon House, Barrow Street, Dublin 4, Ireland; VAT number: IE 6388047V</t>
        </is>
      </c>
      <c r="I191" t="b">
        <v>0</v>
      </c>
      <c r="J191" s="214" t="n">
        <v>13.8</v>
      </c>
      <c r="K191" s="215">
        <f>$J191*$L191</f>
        <v/>
      </c>
      <c r="L191" s="159" t="n">
        <v>1</v>
      </c>
      <c r="M191" s="159" t="n">
        <v>0</v>
      </c>
      <c r="N191" s="215">
        <f>$P191*$M191</f>
        <v/>
      </c>
      <c r="O191" s="215">
        <f>L191*$N191</f>
        <v/>
      </c>
      <c r="P191" s="215">
        <f>$J191/(100%+$M191)</f>
        <v/>
      </c>
      <c r="Q191" s="215">
        <f>$L191*$P191</f>
        <v/>
      </c>
      <c r="R191" s="192">
        <f>voranmeldefrist_vierteljaehrlich(E191)</f>
        <v/>
      </c>
      <c r="S191" t="n">
        <v>20</v>
      </c>
      <c r="T191" s="220">
        <f>IF(G191=TRUE,Q191/F191,Q191)</f>
        <v/>
      </c>
      <c r="U191" s="221">
        <f>$S191/100*$K191</f>
        <v/>
      </c>
    </row>
    <row r="192">
      <c r="A192" s="212" t="n">
        <v>2025</v>
      </c>
      <c r="B192" s="213" t="n">
        <v>14</v>
      </c>
      <c r="C192" s="71" t="inlineStr">
        <is>
          <t>Ausgaben</t>
        </is>
      </c>
      <c r="D192" t="inlineStr">
        <is>
          <t>Telefon/Internet</t>
        </is>
      </c>
      <c r="E192" s="1" t="n">
        <v>45692</v>
      </c>
      <c r="F192" t="inlineStr">
        <is>
          <t>Hutchison Drei Austria GmbH, Brünner Straße 52, 1210 Wien, Österreich</t>
        </is>
      </c>
      <c r="I192" t="b">
        <v>0</v>
      </c>
      <c r="J192" s="214" t="n">
        <v>13.91</v>
      </c>
      <c r="K192" s="215">
        <f>$J192*$L192</f>
        <v/>
      </c>
      <c r="L192" s="159" t="n">
        <v>1</v>
      </c>
      <c r="M192" s="159" t="n">
        <v>0.2</v>
      </c>
      <c r="N192" s="215">
        <f>$P192*$M192</f>
        <v/>
      </c>
      <c r="O192" s="215">
        <f>L192*$N192</f>
        <v/>
      </c>
      <c r="P192" s="215">
        <f>$J192/(100%+$M192)</f>
        <v/>
      </c>
      <c r="Q192" s="215">
        <f>$L192*$P192</f>
        <v/>
      </c>
      <c r="R192" s="192">
        <f>voranmeldefrist_vierteljaehrlich(E192)</f>
        <v/>
      </c>
      <c r="T192" s="220">
        <f>IF(G192=TRUE,Q192/F192,Q192)</f>
        <v/>
      </c>
      <c r="U192" s="221">
        <f>$S192/100*$K192</f>
        <v/>
      </c>
    </row>
    <row r="193">
      <c r="A193" s="212" t="n">
        <v>2025</v>
      </c>
      <c r="B193" s="213" t="n">
        <v>15</v>
      </c>
      <c r="C193" s="71" t="inlineStr">
        <is>
          <t>Einnahmen</t>
        </is>
      </c>
      <c r="D193" t="inlineStr">
        <is>
          <t>Waren-/Leistungserlöse</t>
        </is>
      </c>
      <c r="E193" s="1" t="n">
        <v>45700</v>
      </c>
      <c r="F193" t="inlineStr">
        <is>
          <t>Hays Österreich GmbH, Bahnhof City Wien West - Europaplatz 3/5, 1150 Wien</t>
        </is>
      </c>
      <c r="I193" t="b">
        <v>0</v>
      </c>
      <c r="J193" s="214" t="n">
        <v>13536</v>
      </c>
      <c r="K193" s="215">
        <f>$J193*$L193</f>
        <v/>
      </c>
      <c r="L193" s="159" t="n">
        <v>1</v>
      </c>
      <c r="M193" s="159" t="n">
        <v>0.2</v>
      </c>
      <c r="N193" s="215">
        <f>$P193*$M193</f>
        <v/>
      </c>
      <c r="O193" s="215">
        <f>L193*$N193</f>
        <v/>
      </c>
      <c r="P193" s="215">
        <f>$J193/(100%+$M193)</f>
        <v/>
      </c>
      <c r="Q193" s="215">
        <f>$L193*$P193</f>
        <v/>
      </c>
      <c r="R193" s="192">
        <f>voranmeldefrist_vierteljaehrlich(E193)</f>
        <v/>
      </c>
      <c r="T193" s="220">
        <f>IF(G193=TRUE,Q193/F193,Q193)</f>
        <v/>
      </c>
      <c r="U193" s="221">
        <f>$S193/100*$K193</f>
        <v/>
      </c>
    </row>
    <row r="194">
      <c r="A194" s="212" t="n">
        <v>2025</v>
      </c>
      <c r="B194" s="213" t="n">
        <v>16</v>
      </c>
      <c r="C194" s="71" t="inlineStr">
        <is>
          <t>Ausgaben</t>
        </is>
      </c>
      <c r="D194" t="inlineStr">
        <is>
          <t>sonstige Betriebsausgaben</t>
        </is>
      </c>
      <c r="E194" s="1" t="n">
        <v>45701</v>
      </c>
      <c r="F194" t="inlineStr">
        <is>
          <t>Hetzner Online GmbH, Industriestraße 25, 91710 Gunzenhausen</t>
        </is>
      </c>
      <c r="I194" t="b">
        <v>0</v>
      </c>
      <c r="J194" s="214" t="n">
        <v>56</v>
      </c>
      <c r="K194" s="215">
        <f>$J194*$L194</f>
        <v/>
      </c>
      <c r="L194" s="159" t="n">
        <v>1</v>
      </c>
      <c r="M194" s="159" t="n">
        <v>0</v>
      </c>
      <c r="N194" s="215">
        <f>$P194*$M194</f>
        <v/>
      </c>
      <c r="O194" s="215">
        <f>L194*$N194</f>
        <v/>
      </c>
      <c r="P194" s="215">
        <f>$J194/(100%+$M194)</f>
        <v/>
      </c>
      <c r="Q194" s="215">
        <f>$L194*$P194</f>
        <v/>
      </c>
      <c r="R194" s="192">
        <f>voranmeldefrist_vierteljaehrlich(E194)</f>
        <v/>
      </c>
      <c r="S194" t="n">
        <v>20</v>
      </c>
      <c r="T194" s="220">
        <f>IF(G194=TRUE,Q194/F194,Q194)</f>
        <v/>
      </c>
      <c r="U194" s="221">
        <f>$S194/100*$K194</f>
        <v/>
      </c>
    </row>
    <row r="195">
      <c r="A195" s="212" t="n">
        <v>2025</v>
      </c>
      <c r="B195" s="213" t="n">
        <v>17</v>
      </c>
      <c r="C195" s="71" t="inlineStr">
        <is>
          <t>Ausgaben</t>
        </is>
      </c>
      <c r="D195" t="inlineStr">
        <is>
          <t>Telefon/Internet</t>
        </is>
      </c>
      <c r="E195" s="1" t="n">
        <v>45702</v>
      </c>
      <c r="F195" t="inlineStr">
        <is>
          <t>kabelplus GmbH, Südstadtzentrum 4, 2344 Maria Enzersdorf</t>
        </is>
      </c>
      <c r="I195" t="b">
        <v>0</v>
      </c>
      <c r="J195" s="214" t="n">
        <v>55.7</v>
      </c>
      <c r="K195" s="215">
        <f>$J195*$L195</f>
        <v/>
      </c>
      <c r="L195" s="159" t="n">
        <v>0.67</v>
      </c>
      <c r="M195" s="159" t="inlineStr">
        <is>
          <t>gemischt</t>
        </is>
      </c>
      <c r="N195" s="215">
        <f>1.36+7.07</f>
        <v/>
      </c>
      <c r="O195" s="215">
        <f>L195*$N195</f>
        <v/>
      </c>
      <c r="P195" s="215" t="n">
        <v>49.01</v>
      </c>
      <c r="Q195" s="215">
        <f>$L195*$P195</f>
        <v/>
      </c>
      <c r="R195" s="192">
        <f>voranmeldefrist_vierteljaehrlich(E195)</f>
        <v/>
      </c>
      <c r="T195" s="220">
        <f>IF(G195=TRUE,Q195/F195,Q195)</f>
        <v/>
      </c>
      <c r="U195" s="221">
        <f>$S195/100*$K195</f>
        <v/>
      </c>
    </row>
    <row r="196">
      <c r="A196" s="212" t="n">
        <v>2025</v>
      </c>
      <c r="B196" s="213" t="n">
        <v>18</v>
      </c>
      <c r="C196" s="71" t="inlineStr">
        <is>
          <t>Ausgaben</t>
        </is>
      </c>
      <c r="D196" t="inlineStr">
        <is>
          <t>sonstige Betriebsausgaben</t>
        </is>
      </c>
      <c r="E196" s="1" t="n">
        <v>45702</v>
      </c>
      <c r="F196" t="inlineStr">
        <is>
          <t>Hetzner Online GmbH, Industriestraße 25, 91710 Gunzenhausen</t>
        </is>
      </c>
      <c r="I196" t="b">
        <v>0</v>
      </c>
      <c r="J196" s="214" t="n">
        <v>9.16</v>
      </c>
      <c r="K196" s="215">
        <f>$J196*$L196</f>
        <v/>
      </c>
      <c r="L196" s="159" t="n">
        <v>1</v>
      </c>
      <c r="M196" s="159" t="n">
        <v>0</v>
      </c>
      <c r="N196" s="215">
        <f>$P196*$M196</f>
        <v/>
      </c>
      <c r="O196" s="215">
        <f>L196*$N196</f>
        <v/>
      </c>
      <c r="P196" s="215">
        <f>$J196/(100%+$M196)</f>
        <v/>
      </c>
      <c r="Q196" s="215">
        <f>$L196*$P196</f>
        <v/>
      </c>
      <c r="R196" s="192">
        <f>voranmeldefrist_vierteljaehrlich(E196)</f>
        <v/>
      </c>
      <c r="S196" t="n">
        <v>20</v>
      </c>
      <c r="T196" s="220">
        <f>IF(G196=TRUE,Q196/F196,Q196)</f>
        <v/>
      </c>
      <c r="U196" s="221">
        <f>$S196/100*$K196</f>
        <v/>
      </c>
    </row>
    <row r="197">
      <c r="A197" s="212" t="n">
        <v>2025</v>
      </c>
      <c r="B197" s="213" t="n">
        <v>19</v>
      </c>
      <c r="C197" s="71" t="inlineStr">
        <is>
          <t>Ausgaben</t>
        </is>
      </c>
      <c r="D197" t="inlineStr">
        <is>
          <t>sonstige Betriebsausgaben</t>
        </is>
      </c>
      <c r="E197" s="1" t="n">
        <v>45708</v>
      </c>
      <c r="F197" t="inlineStr">
        <is>
          <t>Microsoft Ireland Operations Ltd. One Microsoft Place, South County, Business Park, Leopardstown, Dublin 18, D18 P521, Ireland</t>
        </is>
      </c>
      <c r="I197" t="b">
        <v>0</v>
      </c>
      <c r="J197" s="214" t="n">
        <v>11.7</v>
      </c>
      <c r="K197" s="215">
        <f>$J197*$L197</f>
        <v/>
      </c>
      <c r="L197" s="159" t="n">
        <v>1</v>
      </c>
      <c r="M197" s="159" t="n">
        <v>0</v>
      </c>
      <c r="N197" s="215">
        <f>$P197*$M197</f>
        <v/>
      </c>
      <c r="O197" s="215">
        <f>L197*$N197</f>
        <v/>
      </c>
      <c r="P197" s="215">
        <f>$J197/(100%+$M197)</f>
        <v/>
      </c>
      <c r="Q197" s="215">
        <f>$L197*$P197</f>
        <v/>
      </c>
      <c r="R197" s="192">
        <f>voranmeldefrist_vierteljaehrlich(E197)</f>
        <v/>
      </c>
      <c r="S197" t="n">
        <v>20</v>
      </c>
      <c r="T197" s="220">
        <f>IF(G197=TRUE,Q197/F197,Q197)</f>
        <v/>
      </c>
      <c r="U197" s="221">
        <f>$S197/100*$K197</f>
        <v/>
      </c>
    </row>
    <row r="198">
      <c r="A198" s="212" t="n">
        <v>2025</v>
      </c>
      <c r="B198" s="213" t="n">
        <v>20</v>
      </c>
      <c r="C198" s="71" t="inlineStr">
        <is>
          <t>Ausgaben</t>
        </is>
      </c>
      <c r="D198" t="inlineStr">
        <is>
          <t>sonstige Betriebsausgaben</t>
        </is>
      </c>
      <c r="E198" s="1" t="n">
        <v>45713</v>
      </c>
      <c r="F198" t="inlineStr">
        <is>
          <t>OpenAI, LLC, 548 Market Street, PMB 97273, San Francisco, California 94104-5401, United States</t>
        </is>
      </c>
      <c r="I198" t="b">
        <v>0</v>
      </c>
      <c r="J198" s="214" t="n">
        <v>23.32</v>
      </c>
      <c r="K198" s="215">
        <f>$J198*$L198</f>
        <v/>
      </c>
      <c r="L198" s="159" t="n">
        <v>1</v>
      </c>
      <c r="M198" s="159" t="n">
        <v>0.2</v>
      </c>
      <c r="N198" s="215">
        <f>$P198*$M198</f>
        <v/>
      </c>
      <c r="O198" s="215">
        <f>L198*$N198</f>
        <v/>
      </c>
      <c r="P198" s="215">
        <f>($J198-0.32)/(100%+$M198)</f>
        <v/>
      </c>
      <c r="Q198" s="215">
        <f>$L198*$P198</f>
        <v/>
      </c>
      <c r="R198" s="192">
        <f>voranmeldefrist_vierteljaehrlich(E198)</f>
        <v/>
      </c>
      <c r="T198" s="220">
        <f>IF(G198=TRUE,Q198/F198,Q198)</f>
        <v/>
      </c>
      <c r="U198" s="221">
        <f>$S198/100*$K198</f>
        <v/>
      </c>
    </row>
    <row r="199">
      <c r="A199" s="212" t="n">
        <v>2025</v>
      </c>
      <c r="B199" s="213" t="n">
        <v>21</v>
      </c>
      <c r="C199" s="71" t="inlineStr">
        <is>
          <t>Ausgaben</t>
        </is>
      </c>
      <c r="D199" t="inlineStr">
        <is>
          <t>sonstige Betriebsausgaben</t>
        </is>
      </c>
      <c r="E199" s="1" t="n">
        <v>45719</v>
      </c>
      <c r="F199" t="inlineStr">
        <is>
          <t>Google Ireland Ltd, Gordon House, Barrow Street, Dublin 4, Ireland; VAT number: IE 6388047V</t>
        </is>
      </c>
      <c r="I199" t="b">
        <v>0</v>
      </c>
      <c r="J199" s="214" t="n">
        <v>13.8</v>
      </c>
      <c r="K199" s="215">
        <f>$J199*$L199</f>
        <v/>
      </c>
      <c r="L199" s="159" t="n">
        <v>1</v>
      </c>
      <c r="M199" s="159" t="n">
        <v>0</v>
      </c>
      <c r="N199" s="215">
        <f>$P199*$M199</f>
        <v/>
      </c>
      <c r="O199" s="215">
        <f>L199*$N199</f>
        <v/>
      </c>
      <c r="P199" s="215">
        <f>$J199/(100%+$M199)</f>
        <v/>
      </c>
      <c r="Q199" s="215">
        <f>$L199*$P199</f>
        <v/>
      </c>
      <c r="R199" s="192">
        <f>voranmeldefrist_vierteljaehrlich(E199)</f>
        <v/>
      </c>
      <c r="S199" t="n">
        <v>20</v>
      </c>
      <c r="T199" s="220">
        <f>IF(G199=TRUE,Q199/F199,Q199)</f>
        <v/>
      </c>
      <c r="U199" s="221">
        <f>$S199/100*$K199</f>
        <v/>
      </c>
    </row>
    <row r="200">
      <c r="A200" s="212" t="n">
        <v>2025</v>
      </c>
      <c r="B200" s="213" t="n">
        <v>22</v>
      </c>
      <c r="C200" s="71" t="inlineStr">
        <is>
          <t>Ausgaben</t>
        </is>
      </c>
      <c r="D200" t="inlineStr">
        <is>
          <t>Telefon/Internet</t>
        </is>
      </c>
      <c r="E200" s="1" t="n">
        <v>45721</v>
      </c>
      <c r="F200" t="inlineStr">
        <is>
          <t>Hutchison Drei Austria GmbH, Brünner Straße 52, 1210 Wien, Österreich</t>
        </is>
      </c>
      <c r="I200" t="b">
        <v>0</v>
      </c>
      <c r="J200" s="214" t="n">
        <v>13.91</v>
      </c>
      <c r="K200" s="215">
        <f>$J200*$L200</f>
        <v/>
      </c>
      <c r="L200" s="159" t="n">
        <v>1</v>
      </c>
      <c r="M200" s="159" t="n">
        <v>0.2</v>
      </c>
      <c r="N200" s="215">
        <f>$P200*$M200</f>
        <v/>
      </c>
      <c r="O200" s="215">
        <f>L200*$N200</f>
        <v/>
      </c>
      <c r="P200" s="215">
        <f>$J200/(100%+$M200)</f>
        <v/>
      </c>
      <c r="Q200" s="215">
        <f>$L200*$P200</f>
        <v/>
      </c>
      <c r="R200" s="192">
        <f>voranmeldefrist_vierteljaehrlich(E200)</f>
        <v/>
      </c>
      <c r="T200" s="220">
        <f>IF(G200=TRUE,Q200/F200,Q200)</f>
        <v/>
      </c>
      <c r="U200" s="221">
        <f>$S200/100*$K200</f>
        <v/>
      </c>
    </row>
    <row r="201">
      <c r="A201" s="212" t="n">
        <v>2025</v>
      </c>
      <c r="B201" s="213" t="n">
        <v>23</v>
      </c>
      <c r="C201" s="71" t="inlineStr">
        <is>
          <t>Ausgaben</t>
        </is>
      </c>
      <c r="D201" t="inlineStr">
        <is>
          <t>sonstige Betriebsausgaben</t>
        </is>
      </c>
      <c r="E201" s="1" t="n">
        <v>45726</v>
      </c>
      <c r="F201" t="inlineStr">
        <is>
          <t>Wien Energie Vertrieb GmbH &amp; Co KG, 1030 Wien, Pf 520</t>
        </is>
      </c>
      <c r="I201" t="b">
        <v>0</v>
      </c>
      <c r="J201" s="214" t="n">
        <v>24</v>
      </c>
      <c r="K201" s="215">
        <f>$J201*$L201</f>
        <v/>
      </c>
      <c r="L201" s="159">
        <f>14.6/158.43</f>
        <v/>
      </c>
      <c r="M201" s="159" t="n">
        <v>0.2</v>
      </c>
      <c r="N201" s="215">
        <f>$P201*$M201</f>
        <v/>
      </c>
      <c r="O201" s="215">
        <f>L201*$N201</f>
        <v/>
      </c>
      <c r="P201" s="215">
        <f>$J201/(100%+$M201)</f>
        <v/>
      </c>
      <c r="Q201" s="215">
        <f>$L201*$P201</f>
        <v/>
      </c>
      <c r="R201" s="192">
        <f>voranmeldefrist_vierteljaehrlich(E201)</f>
        <v/>
      </c>
      <c r="T201" s="220">
        <f>IF(G201=TRUE,Q201/F201,Q201)</f>
        <v/>
      </c>
      <c r="U201" s="221">
        <f>$S201/100*$K201</f>
        <v/>
      </c>
    </row>
    <row r="202">
      <c r="A202" s="212" t="n">
        <v>2025</v>
      </c>
      <c r="B202" s="213" t="n">
        <v>24</v>
      </c>
      <c r="C202" s="71" t="inlineStr">
        <is>
          <t>Ausgaben</t>
        </is>
      </c>
      <c r="D202" t="inlineStr">
        <is>
          <t>sonstige Betriebsausgaben</t>
        </is>
      </c>
      <c r="E202" s="1" t="n">
        <v>45729</v>
      </c>
      <c r="F202" t="inlineStr">
        <is>
          <t>Hetzner Online GmbH, Industriestraße 25, 91710 Gunzenhausen</t>
        </is>
      </c>
      <c r="I202" t="b">
        <v>0</v>
      </c>
      <c r="J202" s="214" t="n">
        <v>56</v>
      </c>
      <c r="K202" s="215">
        <f>$J202*$L202</f>
        <v/>
      </c>
      <c r="L202" s="159" t="n">
        <v>1</v>
      </c>
      <c r="M202" s="159" t="n">
        <v>0</v>
      </c>
      <c r="N202" s="215">
        <f>$P202*$M202</f>
        <v/>
      </c>
      <c r="O202" s="215">
        <f>L202*$N202</f>
        <v/>
      </c>
      <c r="P202" s="215">
        <f>$J202/(100%+$M202)</f>
        <v/>
      </c>
      <c r="Q202" s="215">
        <f>$L202*$P202</f>
        <v/>
      </c>
      <c r="R202" s="192">
        <f>voranmeldefrist_vierteljaehrlich(E202)</f>
        <v/>
      </c>
      <c r="S202" t="n">
        <v>20</v>
      </c>
      <c r="T202" s="220">
        <f>IF(G202=TRUE,Q202/F202,Q202)</f>
        <v/>
      </c>
      <c r="U202" s="221">
        <f>$S202/100*$K202</f>
        <v/>
      </c>
    </row>
    <row r="203">
      <c r="A203" s="212" t="n">
        <v>2025</v>
      </c>
      <c r="B203" s="213" t="n">
        <v>25</v>
      </c>
      <c r="C203" s="71" t="inlineStr">
        <is>
          <t>Ausgaben</t>
        </is>
      </c>
      <c r="D203" t="inlineStr">
        <is>
          <t>Telefon/Internet</t>
        </is>
      </c>
      <c r="E203" s="1" t="n">
        <v>45730</v>
      </c>
      <c r="F203" t="inlineStr">
        <is>
          <t>kabelplus GmbH, Südstadtzentrum 4, 2344 Maria Enzersdorf</t>
        </is>
      </c>
      <c r="I203" t="b">
        <v>0</v>
      </c>
      <c r="J203" s="214" t="n">
        <v>58.89</v>
      </c>
      <c r="K203" s="215">
        <f>$J203*$L203</f>
        <v/>
      </c>
      <c r="L203" s="159" t="n">
        <v>0.67</v>
      </c>
      <c r="M203" s="159" t="inlineStr">
        <is>
          <t>gemischt</t>
        </is>
      </c>
      <c r="N203" s="215">
        <f>1.38+7.29</f>
        <v/>
      </c>
      <c r="O203" s="215">
        <f>L203*$N203</f>
        <v/>
      </c>
      <c r="P203" s="215" t="n">
        <v>50.22</v>
      </c>
      <c r="Q203" s="215">
        <f>$L203*$P203</f>
        <v/>
      </c>
      <c r="R203" s="192">
        <f>voranmeldefrist_vierteljaehrlich(E203)</f>
        <v/>
      </c>
      <c r="T203" s="220">
        <f>IF(G203=TRUE,Q203/F203,Q203)</f>
        <v/>
      </c>
      <c r="U203" s="221">
        <f>$S203/100*$K203</f>
        <v/>
      </c>
    </row>
    <row r="204">
      <c r="A204" s="212" t="n">
        <v>2025</v>
      </c>
      <c r="B204" s="213" t="n">
        <v>26</v>
      </c>
      <c r="C204" s="71" t="inlineStr">
        <is>
          <t>Ausgaben</t>
        </is>
      </c>
      <c r="D204" t="inlineStr">
        <is>
          <t>sonstige Betriebsausgaben</t>
        </is>
      </c>
      <c r="E204" s="1" t="n">
        <v>45730</v>
      </c>
      <c r="F204" t="inlineStr">
        <is>
          <t>Hetzner Online GmbH, Industriestraße 25, 91710 Gunzenhausen</t>
        </is>
      </c>
      <c r="I204" t="b">
        <v>0</v>
      </c>
      <c r="J204" s="214" t="n">
        <v>9.16</v>
      </c>
      <c r="K204" s="215">
        <f>$J204*$L204</f>
        <v/>
      </c>
      <c r="L204" s="159" t="n">
        <v>1</v>
      </c>
      <c r="M204" s="159" t="n">
        <v>0</v>
      </c>
      <c r="N204" s="215">
        <f>$P204*$M204</f>
        <v/>
      </c>
      <c r="O204" s="215">
        <f>L204*$N204</f>
        <v/>
      </c>
      <c r="P204" s="215">
        <f>$J204/(100%+$M204)</f>
        <v/>
      </c>
      <c r="Q204" s="215">
        <f>$L204*$P204</f>
        <v/>
      </c>
      <c r="R204" s="192">
        <f>voranmeldefrist_vierteljaehrlich(E204)</f>
        <v/>
      </c>
      <c r="S204" t="n">
        <v>20</v>
      </c>
      <c r="T204" s="220">
        <f>IF(G204=TRUE,Q204/F204,Q204)</f>
        <v/>
      </c>
      <c r="U204" s="221">
        <f>$S204/100*$K204</f>
        <v/>
      </c>
    </row>
    <row r="205">
      <c r="A205" s="212" t="n">
        <v>2025</v>
      </c>
      <c r="B205" s="213" t="n">
        <v>27</v>
      </c>
      <c r="C205" s="71" t="inlineStr">
        <is>
          <t>Einnahmen</t>
        </is>
      </c>
      <c r="D205" t="inlineStr">
        <is>
          <t>Waren-/Leistungserlöse</t>
        </is>
      </c>
      <c r="E205" s="1" t="n">
        <v>45736</v>
      </c>
      <c r="F205" t="inlineStr">
        <is>
          <t>Hays Österreich GmbH, Bahnhof City Wien West - Europaplatz 3/5, 1150 Wien</t>
        </is>
      </c>
      <c r="I205" t="b">
        <v>0</v>
      </c>
      <c r="J205" s="214" t="n">
        <v>19791.74</v>
      </c>
      <c r="K205" s="215">
        <f>$J205*$L205</f>
        <v/>
      </c>
      <c r="L205" s="159" t="n">
        <v>1</v>
      </c>
      <c r="M205" s="159" t="n">
        <v>0.2</v>
      </c>
      <c r="N205" s="215">
        <f>$P205*$M205</f>
        <v/>
      </c>
      <c r="O205" s="215">
        <f>L205*$N205</f>
        <v/>
      </c>
      <c r="P205" s="215">
        <f>$J205/(100%+$M205)</f>
        <v/>
      </c>
      <c r="Q205" s="215">
        <f>$L205*$P205</f>
        <v/>
      </c>
      <c r="R205" s="192">
        <f>voranmeldefrist_vierteljaehrlich(E205)</f>
        <v/>
      </c>
      <c r="T205" s="220">
        <f>IF(G205=TRUE,Q205/F205,Q205)</f>
        <v/>
      </c>
      <c r="U205" s="221">
        <f>$S205/100*$K205</f>
        <v/>
      </c>
    </row>
    <row r="206">
      <c r="A206" s="212" t="n">
        <v>2025</v>
      </c>
      <c r="B206" s="213" t="n">
        <v>28</v>
      </c>
      <c r="C206" s="71" t="inlineStr">
        <is>
          <t>Ausgaben</t>
        </is>
      </c>
      <c r="D206" t="inlineStr">
        <is>
          <t>sonstige Betriebsausgaben</t>
        </is>
      </c>
      <c r="E206" s="1" t="n">
        <v>45740</v>
      </c>
      <c r="F206" t="inlineStr">
        <is>
          <t>EVN Wasser GmbH</t>
        </is>
      </c>
      <c r="I206" t="b">
        <v>0</v>
      </c>
      <c r="J206" s="214" t="n">
        <v>110</v>
      </c>
      <c r="K206" s="215">
        <f>$J206*$L206</f>
        <v/>
      </c>
      <c r="L206" s="159">
        <f>14.6/158.43</f>
        <v/>
      </c>
      <c r="M206" s="159" t="n">
        <v>0.1</v>
      </c>
      <c r="N206" s="215">
        <f>$P206*$M206</f>
        <v/>
      </c>
      <c r="O206" s="215">
        <f>L206*$N206</f>
        <v/>
      </c>
      <c r="P206" s="215">
        <f>$J206/(100%+$M206)</f>
        <v/>
      </c>
      <c r="Q206" s="215">
        <f>$L206*$P206</f>
        <v/>
      </c>
      <c r="R206" s="192">
        <f>voranmeldefrist_vierteljaehrlich(E206)</f>
        <v/>
      </c>
      <c r="T206" s="220">
        <f>IF(G206=TRUE,Q206/F206,Q206)</f>
        <v/>
      </c>
      <c r="U206" s="221">
        <f>$S206/100*$K206</f>
        <v/>
      </c>
    </row>
    <row r="207">
      <c r="A207" s="212" t="n">
        <v>2025</v>
      </c>
      <c r="B207" s="213" t="n">
        <v>29</v>
      </c>
      <c r="C207" s="71" t="inlineStr">
        <is>
          <t>Ausgaben</t>
        </is>
      </c>
      <c r="D207" t="inlineStr">
        <is>
          <t>sonstige Betriebsausgaben</t>
        </is>
      </c>
      <c r="E207" s="1" t="n">
        <v>45741</v>
      </c>
      <c r="F207" t="inlineStr">
        <is>
          <t>OpenAI, LLC, 548 Market Street, PMB 97273, San Francisco, California 94104-5401, United States</t>
        </is>
      </c>
      <c r="I207" t="b">
        <v>0</v>
      </c>
      <c r="J207" s="214" t="n">
        <v>22.56</v>
      </c>
      <c r="K207" s="215">
        <f>$J207*$L207</f>
        <v/>
      </c>
      <c r="L207" s="159" t="n">
        <v>1</v>
      </c>
      <c r="M207" s="159" t="n">
        <v>0.2</v>
      </c>
      <c r="N207" s="215">
        <f>$P207*$M207</f>
        <v/>
      </c>
      <c r="O207" s="215">
        <f>L207*$N207</f>
        <v/>
      </c>
      <c r="P207" s="215">
        <f>($J207-0.32)/(100%+$M207)</f>
        <v/>
      </c>
      <c r="Q207" s="215">
        <f>$L207*$P207</f>
        <v/>
      </c>
      <c r="R207" s="192">
        <f>voranmeldefrist_vierteljaehrlich(E207)</f>
        <v/>
      </c>
      <c r="T207" s="220">
        <f>IF(G207=TRUE,Q207/F207,Q207)</f>
        <v/>
      </c>
      <c r="U207" s="221">
        <f>$S207/100*$K207</f>
        <v/>
      </c>
    </row>
    <row r="208">
      <c r="A208" s="212" t="n">
        <v>2025</v>
      </c>
      <c r="B208" s="213" t="n">
        <v>30</v>
      </c>
      <c r="C208" s="71" t="inlineStr">
        <is>
          <t>Ausgaben</t>
        </is>
      </c>
      <c r="D208" t="inlineStr">
        <is>
          <t>Zinsen und ähnliche Aufwendungen</t>
        </is>
      </c>
      <c r="E208" s="1" t="n">
        <v>45747</v>
      </c>
      <c r="F208" t="inlineStr">
        <is>
          <t>Sollzinsen Kredit, Erste Bank der österreichischen Sparkassen AG, Am Belvedere 1, 1100 Wien</t>
        </is>
      </c>
      <c r="I208" t="b">
        <v>0</v>
      </c>
      <c r="J208" s="214" t="n">
        <v>1679.84</v>
      </c>
      <c r="K208" s="215">
        <f>$J208*$L208</f>
        <v/>
      </c>
      <c r="L208" s="159">
        <f>14.6/158.43</f>
        <v/>
      </c>
      <c r="M208" s="159" t="n">
        <v>0</v>
      </c>
      <c r="N208" s="215">
        <f>$P208*$M208</f>
        <v/>
      </c>
      <c r="O208" s="215">
        <f>L208*$N208</f>
        <v/>
      </c>
      <c r="P208" s="215">
        <f>$J208/(100%+$M208)</f>
        <v/>
      </c>
      <c r="Q208" s="215">
        <f>$L208*$P208</f>
        <v/>
      </c>
      <c r="R208" s="192">
        <f>voranmeldefrist_vierteljaehrlich(E208)</f>
        <v/>
      </c>
      <c r="T208" s="220">
        <f>IF(G208=TRUE,Q208/F208,Q208)</f>
        <v/>
      </c>
      <c r="U208" s="221">
        <f>$S208/100*$K208</f>
        <v/>
      </c>
    </row>
    <row r="209">
      <c r="A209" s="212" t="n">
        <v>2025</v>
      </c>
      <c r="B209" s="213" t="n">
        <v>31</v>
      </c>
      <c r="C209" s="71" t="inlineStr">
        <is>
          <t>Ausgaben</t>
        </is>
      </c>
      <c r="D209" t="inlineStr">
        <is>
          <t>Zinsen und ähnliche Aufwendungen</t>
        </is>
      </c>
      <c r="E209" s="1" t="n">
        <v>45747</v>
      </c>
      <c r="F209" t="inlineStr">
        <is>
          <t>Kontoführung Kredit, Erste Bank der österreichischen Sparkassen AG, Am Belvedere 1, 1100 Wien</t>
        </is>
      </c>
      <c r="I209" t="b">
        <v>0</v>
      </c>
      <c r="J209" s="214" t="n">
        <v>35</v>
      </c>
      <c r="K209" s="215">
        <f>$J209*$L209</f>
        <v/>
      </c>
      <c r="L209" s="159">
        <f>14.6/158.43</f>
        <v/>
      </c>
      <c r="M209" s="159" t="n">
        <v>0</v>
      </c>
      <c r="N209" s="215">
        <f>$P209*$M209</f>
        <v/>
      </c>
      <c r="O209" s="215">
        <f>L209*$N209</f>
        <v/>
      </c>
      <c r="P209" s="215">
        <f>$J209/(100%+$M209)</f>
        <v/>
      </c>
      <c r="Q209" s="215">
        <f>$L209*$P209</f>
        <v/>
      </c>
      <c r="R209" s="192">
        <f>voranmeldefrist_vierteljaehrlich(E209)</f>
        <v/>
      </c>
      <c r="T209" s="220">
        <f>IF(G209=TRUE,Q209/F209,Q209)</f>
        <v/>
      </c>
      <c r="U209" s="221">
        <f>$S209/100*$K209</f>
        <v/>
      </c>
    </row>
    <row r="210">
      <c r="A210" s="212" t="n">
        <v>2025</v>
      </c>
      <c r="B210" s="213" t="n">
        <v>32</v>
      </c>
      <c r="C210" s="71" t="inlineStr">
        <is>
          <t>Ausgaben</t>
        </is>
      </c>
      <c r="D210" t="inlineStr">
        <is>
          <t>sonstige Betriebsausgaben</t>
        </is>
      </c>
      <c r="E210" s="1" t="n">
        <v>45736</v>
      </c>
      <c r="F210" t="inlineStr">
        <is>
          <t>Microsoft Ireland Operations Ltd. One Microsoft Place, South County, Business Park, Leopardstown, Dublin 18, D18 P521, Ireland</t>
        </is>
      </c>
      <c r="I210" t="b">
        <v>0</v>
      </c>
      <c r="J210" s="214" t="n">
        <v>11.7</v>
      </c>
      <c r="K210" s="215">
        <f>$J210*$L210</f>
        <v/>
      </c>
      <c r="L210" s="159" t="n">
        <v>1</v>
      </c>
      <c r="M210" s="159" t="n">
        <v>0</v>
      </c>
      <c r="N210" s="215">
        <f>$P210*$M210</f>
        <v/>
      </c>
      <c r="O210" s="215">
        <f>L210*$N210</f>
        <v/>
      </c>
      <c r="P210" s="215">
        <f>$J210/(100%+$M210)</f>
        <v/>
      </c>
      <c r="Q210" s="215">
        <f>$L210*$P210</f>
        <v/>
      </c>
      <c r="R210" s="192">
        <f>voranmeldefrist_vierteljaehrlich(E210)</f>
        <v/>
      </c>
      <c r="S210" t="n">
        <v>20</v>
      </c>
      <c r="T210" s="220">
        <f>IF(G210=TRUE,Q210/F210,Q210)</f>
        <v/>
      </c>
      <c r="U210" s="221">
        <f>$S210/100*$K210</f>
        <v/>
      </c>
    </row>
    <row r="211">
      <c r="A211" s="212" t="n">
        <v>2025</v>
      </c>
      <c r="B211" s="213" t="n">
        <v>33</v>
      </c>
      <c r="C211" s="71" t="inlineStr">
        <is>
          <t>Ausgaben</t>
        </is>
      </c>
      <c r="D211" t="inlineStr">
        <is>
          <t>Telefon/Internet</t>
        </is>
      </c>
      <c r="E211" s="1" t="n">
        <v>45748</v>
      </c>
      <c r="F211" t="inlineStr">
        <is>
          <t>Hutchison Drei Austria GmbH, Brünner Straße 52, 1210 Wien, Österreich</t>
        </is>
      </c>
      <c r="I211" t="b">
        <v>0</v>
      </c>
      <c r="J211" s="214" t="n">
        <v>13.91</v>
      </c>
      <c r="K211" s="215">
        <f>$J211*$L211</f>
        <v/>
      </c>
      <c r="L211" s="159" t="n">
        <v>1</v>
      </c>
      <c r="M211" s="159" t="n">
        <v>0.2</v>
      </c>
      <c r="N211" s="215">
        <f>$P211*$M211</f>
        <v/>
      </c>
      <c r="O211" s="215">
        <f>L211*$N211</f>
        <v/>
      </c>
      <c r="P211" s="215">
        <f>$J211/(100%+$M211)</f>
        <v/>
      </c>
      <c r="Q211" s="215">
        <f>$L211*$P211</f>
        <v/>
      </c>
      <c r="R211" s="192">
        <f>voranmeldefrist_vierteljaehrlich(E211)</f>
        <v/>
      </c>
      <c r="T211" s="220">
        <f>IF(G211=TRUE,Q211/F211,Q211)</f>
        <v/>
      </c>
      <c r="U211" s="221">
        <f>$S211/100*$K211</f>
        <v/>
      </c>
    </row>
    <row r="212">
      <c r="A212" s="212" t="n">
        <v>2025</v>
      </c>
      <c r="B212" s="213" t="n">
        <v>34</v>
      </c>
      <c r="C212" s="71" t="inlineStr">
        <is>
          <t>Ausgaben</t>
        </is>
      </c>
      <c r="D212" t="inlineStr">
        <is>
          <t>sonstige Betriebsausgaben</t>
        </is>
      </c>
      <c r="E212" s="1" t="n">
        <v>45750</v>
      </c>
      <c r="F212" t="inlineStr">
        <is>
          <t>Google Ireland Ltd, Gordon House, Barrow Street, Dublin 4, Ireland; VAT number: IE 6388047V</t>
        </is>
      </c>
      <c r="I212" t="b">
        <v>0</v>
      </c>
      <c r="J212" s="214" t="n">
        <v>13.8</v>
      </c>
      <c r="K212" s="215">
        <f>$J212*$L212</f>
        <v/>
      </c>
      <c r="L212" s="159" t="n">
        <v>1</v>
      </c>
      <c r="M212" s="159" t="n">
        <v>0</v>
      </c>
      <c r="N212" s="215">
        <f>$P212*$M212</f>
        <v/>
      </c>
      <c r="O212" s="215">
        <f>L212*$N212</f>
        <v/>
      </c>
      <c r="P212" s="215">
        <f>$J212/(100%+$M212)</f>
        <v/>
      </c>
      <c r="Q212" s="215">
        <f>$L212*$P212</f>
        <v/>
      </c>
      <c r="R212" s="192">
        <f>voranmeldefrist_vierteljaehrlich(E212)</f>
        <v/>
      </c>
      <c r="S212" t="n">
        <v>20</v>
      </c>
      <c r="T212" s="220">
        <f>IF(G212=TRUE,Q212/F212,Q212)</f>
        <v/>
      </c>
      <c r="U212" s="221">
        <f>$S212/100*$K212</f>
        <v/>
      </c>
    </row>
    <row r="213">
      <c r="A213" s="212" t="n">
        <v>2025</v>
      </c>
      <c r="B213" s="213" t="n">
        <v>35</v>
      </c>
      <c r="C213" s="71" t="inlineStr">
        <is>
          <t>Ausgaben</t>
        </is>
      </c>
      <c r="D213" t="inlineStr">
        <is>
          <t>sonstige Betriebsausgaben</t>
        </is>
      </c>
      <c r="E213" s="1" t="n">
        <v>45750</v>
      </c>
      <c r="F213" t="inlineStr">
        <is>
          <t>TeamViewer Germany Gmbh, Bahnhofsplatz 2, 73033 Göppingen</t>
        </is>
      </c>
      <c r="I213" t="b">
        <v>0</v>
      </c>
      <c r="J213" s="214" t="n">
        <v>442.8</v>
      </c>
      <c r="K213" s="215">
        <f>$J213*$L213</f>
        <v/>
      </c>
      <c r="L213" s="159" t="n">
        <v>1</v>
      </c>
      <c r="M213" s="159" t="n">
        <v>0</v>
      </c>
      <c r="N213" s="215">
        <f>$P213*$M213</f>
        <v/>
      </c>
      <c r="O213" s="215">
        <f>L213*$N213</f>
        <v/>
      </c>
      <c r="P213" s="215">
        <f>$J213/(100%+$M213)</f>
        <v/>
      </c>
      <c r="Q213" s="215">
        <f>$L213*$P213</f>
        <v/>
      </c>
      <c r="R213" s="192">
        <f>voranmeldefrist_vierteljaehrlich(E213)</f>
        <v/>
      </c>
      <c r="S213" t="n">
        <v>20</v>
      </c>
      <c r="T213" s="220">
        <f>IF(G213=TRUE,Q213/F213,Q213)</f>
        <v/>
      </c>
      <c r="U213" s="221">
        <f>$S213/100*$K213</f>
        <v/>
      </c>
    </row>
    <row r="214">
      <c r="A214" s="212" t="n">
        <v>2025</v>
      </c>
      <c r="B214" s="213" t="n">
        <v>36</v>
      </c>
      <c r="C214" s="71" t="inlineStr">
        <is>
          <t>Ausgaben</t>
        </is>
      </c>
      <c r="D214" t="inlineStr">
        <is>
          <t>sonstige Betriebsausgaben</t>
        </is>
      </c>
      <c r="E214" s="1" t="n">
        <v>45751</v>
      </c>
      <c r="F214" t="inlineStr">
        <is>
          <t>Google Cloud EMEA Limited, Velasco, Clanwilliam Place, Dublin 2, Ireland, VAT IE3668997OH</t>
        </is>
      </c>
      <c r="I214" t="b">
        <v>0</v>
      </c>
      <c r="J214" s="214" t="n">
        <v>249.69</v>
      </c>
      <c r="K214" s="215">
        <f>$J214*$L214</f>
        <v/>
      </c>
      <c r="L214" s="159" t="n">
        <v>1</v>
      </c>
      <c r="M214" s="159" t="n">
        <v>0</v>
      </c>
      <c r="N214" s="215">
        <f>$P214*$M214</f>
        <v/>
      </c>
      <c r="O214" s="215">
        <f>L214*$N214</f>
        <v/>
      </c>
      <c r="P214" s="215">
        <f>$J214/(100%+$M214)</f>
        <v/>
      </c>
      <c r="Q214" s="215">
        <f>$L214*$P214</f>
        <v/>
      </c>
      <c r="R214" s="192">
        <f>voranmeldefrist_vierteljaehrlich(E214)</f>
        <v/>
      </c>
      <c r="S214" t="n">
        <v>20</v>
      </c>
      <c r="T214" s="220">
        <f>IF(G214=TRUE,Q214/F214,Q214)</f>
        <v/>
      </c>
      <c r="U214" s="221">
        <f>$S214/100*$K214</f>
        <v/>
      </c>
    </row>
    <row r="215">
      <c r="A215" s="212" t="n">
        <v>2025</v>
      </c>
      <c r="B215" s="213" t="n">
        <v>37</v>
      </c>
      <c r="C215" s="71" t="inlineStr">
        <is>
          <t>Ausgaben</t>
        </is>
      </c>
      <c r="D215" t="inlineStr">
        <is>
          <t>sonstige Betriebsausgaben</t>
        </is>
      </c>
      <c r="E215" s="1" t="n">
        <v>45758</v>
      </c>
      <c r="F215" t="inlineStr">
        <is>
          <t>Hetzner Online GmbH, Industriestraße 25, 91710 Gunzenhausen</t>
        </is>
      </c>
      <c r="I215" t="b">
        <v>0</v>
      </c>
      <c r="J215" s="214" t="n">
        <v>56</v>
      </c>
      <c r="K215" s="215">
        <f>$J215*$L215</f>
        <v/>
      </c>
      <c r="L215" s="159" t="n">
        <v>1</v>
      </c>
      <c r="M215" s="159" t="n">
        <v>0</v>
      </c>
      <c r="N215" s="215">
        <f>$P215*$M215</f>
        <v/>
      </c>
      <c r="O215" s="215">
        <f>L215*$N215</f>
        <v/>
      </c>
      <c r="P215" s="215">
        <f>$J215/(100%+$M215)</f>
        <v/>
      </c>
      <c r="Q215" s="215">
        <f>$L215*$P215</f>
        <v/>
      </c>
      <c r="R215" s="192">
        <f>voranmeldefrist_vierteljaehrlich(E215)</f>
        <v/>
      </c>
      <c r="S215" t="n">
        <v>20</v>
      </c>
      <c r="T215" s="220">
        <f>IF(G215=TRUE,Q215/F215,Q215)</f>
        <v/>
      </c>
      <c r="U215" s="221">
        <f>$S215/100*$K215</f>
        <v/>
      </c>
    </row>
    <row r="216">
      <c r="A216" s="212" t="n">
        <v>2025</v>
      </c>
      <c r="B216" s="213" t="n">
        <v>38</v>
      </c>
      <c r="C216" s="71" t="inlineStr">
        <is>
          <t>Einnahmen</t>
        </is>
      </c>
      <c r="D216" t="inlineStr">
        <is>
          <t>Waren-/Leistungserlöse</t>
        </is>
      </c>
      <c r="E216" s="1" t="n">
        <v>45758</v>
      </c>
      <c r="F216" t="inlineStr">
        <is>
          <t>Hays Österreich GmbH, Bahnhof City Wien West - Europaplatz 3/5, 1150 Wien</t>
        </is>
      </c>
      <c r="I216" t="b">
        <v>0</v>
      </c>
      <c r="J216" s="214" t="n">
        <v>19906.37</v>
      </c>
      <c r="K216" s="215">
        <f>$J216*$L216</f>
        <v/>
      </c>
      <c r="L216" s="159" t="n">
        <v>1</v>
      </c>
      <c r="M216" s="159" t="n">
        <v>0.2</v>
      </c>
      <c r="N216" s="215">
        <f>$P216*$M216</f>
        <v/>
      </c>
      <c r="O216" s="215">
        <f>L216*$N216</f>
        <v/>
      </c>
      <c r="P216" s="215">
        <f>$J216/(100%+$M216)</f>
        <v/>
      </c>
      <c r="Q216" s="215">
        <f>$L216*$P216</f>
        <v/>
      </c>
      <c r="R216" s="192">
        <f>voranmeldefrist_vierteljaehrlich(E216)</f>
        <v/>
      </c>
      <c r="T216" s="220">
        <f>IF(G216=TRUE,Q216/F216,Q216)</f>
        <v/>
      </c>
      <c r="U216" s="221">
        <f>$S216/100*$K216</f>
        <v/>
      </c>
    </row>
    <row r="217">
      <c r="A217" s="212" t="n">
        <v>2025</v>
      </c>
      <c r="B217" s="213" t="n">
        <v>39</v>
      </c>
      <c r="C217" s="71" t="inlineStr">
        <is>
          <t>Ausgaben</t>
        </is>
      </c>
      <c r="D217" t="inlineStr">
        <is>
          <t>Lizenzgebühren</t>
        </is>
      </c>
      <c r="E217" s="1" t="n">
        <v>45761</v>
      </c>
      <c r="F217" t="inlineStr">
        <is>
          <t>OnTheGoSystems Limited, 22/F 3 Lockhart Road, Wanchai, Hong Kong</t>
        </is>
      </c>
      <c r="I217" t="b">
        <v>0</v>
      </c>
      <c r="J217" s="214" t="n">
        <v>46.8</v>
      </c>
      <c r="K217" s="215">
        <f>$J217*$L217</f>
        <v/>
      </c>
      <c r="L217" s="159" t="n">
        <v>1</v>
      </c>
      <c r="M217" s="159" t="n">
        <v>0.2</v>
      </c>
      <c r="N217" s="215">
        <f>$P217*$M217</f>
        <v/>
      </c>
      <c r="O217" s="215">
        <f>L217*$N217</f>
        <v/>
      </c>
      <c r="P217" s="215">
        <f>$J217/(100%+$M217)</f>
        <v/>
      </c>
      <c r="Q217" s="215">
        <f>$L217*$P217</f>
        <v/>
      </c>
      <c r="T217" s="187">
        <f>IF(G217=TRUE,Q217/F217,Q217)</f>
        <v/>
      </c>
      <c r="U217" s="221">
        <f>$S217/100*$K217</f>
        <v/>
      </c>
    </row>
    <row r="218">
      <c r="A218" s="212" t="n">
        <v>2025</v>
      </c>
      <c r="B218" s="213" t="n">
        <v>40</v>
      </c>
      <c r="C218" s="71" t="inlineStr">
        <is>
          <t>Ausgaben</t>
        </is>
      </c>
      <c r="D218" t="inlineStr">
        <is>
          <t>Telefon/Internet</t>
        </is>
      </c>
      <c r="E218" s="1" t="n">
        <v>45762</v>
      </c>
      <c r="F218" t="inlineStr">
        <is>
          <t>kabelplus GmbH, Südstadtzentrum 4, 2344 Maria Enzersdorf</t>
        </is>
      </c>
      <c r="I218" t="b">
        <v>0</v>
      </c>
      <c r="J218" s="214" t="n">
        <v>58.89</v>
      </c>
      <c r="K218" s="215">
        <f>$J218*$L218</f>
        <v/>
      </c>
      <c r="L218" s="159" t="n">
        <v>0.67</v>
      </c>
      <c r="M218" s="159" t="inlineStr">
        <is>
          <t>gemischt</t>
        </is>
      </c>
      <c r="N218" s="215">
        <f>1.38+7.29</f>
        <v/>
      </c>
      <c r="O218" s="215">
        <f>L218*$N218</f>
        <v/>
      </c>
      <c r="P218" s="215" t="n">
        <v>50.22</v>
      </c>
      <c r="Q218" s="215">
        <f>$L218*$P218</f>
        <v/>
      </c>
      <c r="R218" s="192">
        <f>voranmeldefrist_vierteljaehrlich(E218)</f>
        <v/>
      </c>
      <c r="T218" s="220">
        <f>IF(G218=TRUE,Q218/F218,Q218)</f>
        <v/>
      </c>
      <c r="U218" s="221">
        <f>$S218/100*$K218</f>
        <v/>
      </c>
    </row>
    <row r="219">
      <c r="A219" s="212" t="n">
        <v>2025</v>
      </c>
      <c r="B219" s="213" t="n">
        <v>41</v>
      </c>
      <c r="C219" s="71" t="inlineStr">
        <is>
          <t>Ausgaben</t>
        </is>
      </c>
      <c r="D219" t="inlineStr">
        <is>
          <t>sonstige Betriebsausgaben</t>
        </is>
      </c>
      <c r="E219" s="1" t="n">
        <v>45763</v>
      </c>
      <c r="F219" t="inlineStr">
        <is>
          <t>Hetzner Online GmbH, Industriestraße 25, 91710 Gunzenhausen</t>
        </is>
      </c>
      <c r="I219" t="b">
        <v>0</v>
      </c>
      <c r="J219" s="214" t="n">
        <v>9.16</v>
      </c>
      <c r="K219" s="215">
        <f>$J219*$L219</f>
        <v/>
      </c>
      <c r="L219" s="159" t="n">
        <v>1</v>
      </c>
      <c r="M219" s="159" t="n">
        <v>0</v>
      </c>
      <c r="N219" s="215">
        <f>$P219*$M219</f>
        <v/>
      </c>
      <c r="O219" s="215">
        <f>L219*$N219</f>
        <v/>
      </c>
      <c r="P219" s="215">
        <f>$J219/(100%+$M219)</f>
        <v/>
      </c>
      <c r="Q219" s="215">
        <f>$L219*$P219</f>
        <v/>
      </c>
      <c r="R219" s="192">
        <f>voranmeldefrist_vierteljaehrlich(E219)</f>
        <v/>
      </c>
      <c r="S219" t="n">
        <v>20</v>
      </c>
      <c r="T219" s="220">
        <f>IF(G219=TRUE,Q219/F219,Q219)</f>
        <v/>
      </c>
      <c r="U219" s="221">
        <f>$S219/100*$K219</f>
        <v/>
      </c>
    </row>
    <row r="220">
      <c r="A220" s="212" t="n">
        <v>2025</v>
      </c>
      <c r="B220" s="213" t="n">
        <v>42</v>
      </c>
      <c r="C220" s="71" t="inlineStr">
        <is>
          <t>Ausgaben</t>
        </is>
      </c>
      <c r="D220" t="inlineStr">
        <is>
          <t>sonstige Betriebsausgaben</t>
        </is>
      </c>
      <c r="E220" s="1" t="n">
        <v>45764</v>
      </c>
      <c r="F220" t="inlineStr">
        <is>
          <t>Google Cloud EMEA Limited, Velasco, Clanwilliam Place, Dublin 2, Ireland, VAT IE3668997OH</t>
        </is>
      </c>
      <c r="I220" t="b">
        <v>0</v>
      </c>
      <c r="J220" s="214" t="n">
        <v>-249.69</v>
      </c>
      <c r="K220" s="215">
        <f>$J220*$L220</f>
        <v/>
      </c>
      <c r="L220" s="159" t="n">
        <v>1</v>
      </c>
      <c r="M220" s="159" t="n">
        <v>0</v>
      </c>
      <c r="N220" s="215">
        <f>$P220*$M220</f>
        <v/>
      </c>
      <c r="O220" s="215">
        <f>L220*$N220</f>
        <v/>
      </c>
      <c r="P220" s="215">
        <f>$J220/(100%+$M220)</f>
        <v/>
      </c>
      <c r="Q220" s="215">
        <f>$L220*$P220</f>
        <v/>
      </c>
      <c r="R220" s="192">
        <f>voranmeldefrist_vierteljaehrlich(E220)</f>
        <v/>
      </c>
      <c r="S220" t="n">
        <v>20</v>
      </c>
      <c r="T220" s="220">
        <f>IF(G220=TRUE,Q220/F220,Q220)</f>
        <v/>
      </c>
      <c r="U220" s="221">
        <f>$S220/100*$K220</f>
        <v/>
      </c>
    </row>
    <row r="221">
      <c r="A221" s="212" t="n">
        <v>2025</v>
      </c>
      <c r="B221" s="213" t="n">
        <v>43</v>
      </c>
      <c r="C221" s="71" t="inlineStr">
        <is>
          <t>Ausgaben</t>
        </is>
      </c>
      <c r="D221" t="inlineStr">
        <is>
          <t>sonstige Betriebsausgaben</t>
        </is>
      </c>
      <c r="E221" s="1" t="n">
        <v>45769</v>
      </c>
      <c r="F221" t="inlineStr">
        <is>
          <t>Microsoft Ireland Operations Ltd. One Microsoft Place, South County, Business Park, Leopardstown, Dublin 18, D18 P521, Ireland</t>
        </is>
      </c>
      <c r="I221" t="b">
        <v>0</v>
      </c>
      <c r="J221" s="214" t="n">
        <v>11.7</v>
      </c>
      <c r="K221" s="215">
        <f>$J221*$L221</f>
        <v/>
      </c>
      <c r="L221" s="159" t="n">
        <v>1</v>
      </c>
      <c r="M221" s="159" t="n">
        <v>0</v>
      </c>
      <c r="N221" s="215">
        <f>$P221*$M221</f>
        <v/>
      </c>
      <c r="O221" s="215">
        <f>L221*$N221</f>
        <v/>
      </c>
      <c r="P221" s="215">
        <f>$J221/(100%+$M221)</f>
        <v/>
      </c>
      <c r="Q221" s="215">
        <f>$L221*$P221</f>
        <v/>
      </c>
      <c r="R221" s="192">
        <f>voranmeldefrist_vierteljaehrlich(E221)</f>
        <v/>
      </c>
      <c r="S221" t="n">
        <v>20</v>
      </c>
      <c r="T221" s="220">
        <f>IF(G221=TRUE,Q221/F221,Q221)</f>
        <v/>
      </c>
      <c r="U221" s="221">
        <f>$S221/100*$K221</f>
        <v/>
      </c>
    </row>
    <row r="222">
      <c r="A222" s="212" t="n">
        <v>2025</v>
      </c>
      <c r="B222" s="213" t="n">
        <v>44</v>
      </c>
      <c r="C222" s="71" t="inlineStr">
        <is>
          <t>Ausgaben</t>
        </is>
      </c>
      <c r="D222" t="inlineStr">
        <is>
          <t>Lizenzgebühren</t>
        </is>
      </c>
      <c r="E222" s="1" t="n">
        <v>45771</v>
      </c>
      <c r="F222" t="inlineStr">
        <is>
          <t>KNX Association CVBA, De Kleetlan 5 bus 11 - 1831 Diegem - Belgium - UID Nr. BE 0441.460.064</t>
        </is>
      </c>
      <c r="I222" t="b">
        <v>0</v>
      </c>
      <c r="J222" s="214" t="n">
        <v>420</v>
      </c>
      <c r="K222" s="215">
        <f>$J222*$L222</f>
        <v/>
      </c>
      <c r="L222" s="159" t="n">
        <v>1</v>
      </c>
      <c r="M222" s="159" t="n">
        <v>0.2</v>
      </c>
      <c r="N222" s="215">
        <f>$P222*$M222</f>
        <v/>
      </c>
      <c r="O222" s="215">
        <f>L222*$N222</f>
        <v/>
      </c>
      <c r="P222" s="215">
        <f>$J222/(100%+$M222)</f>
        <v/>
      </c>
      <c r="Q222" s="215">
        <f>$L222*$P222</f>
        <v/>
      </c>
      <c r="R222" s="192">
        <f>voranmeldefrist_vierteljaehrlich(E222)</f>
        <v/>
      </c>
      <c r="T222" s="220">
        <f>IF(G222=TRUE,Q222/F222,Q222)</f>
        <v/>
      </c>
      <c r="U222" s="221">
        <f>$S222/100*$K222</f>
        <v/>
      </c>
    </row>
    <row r="223">
      <c r="A223" s="212" t="n">
        <v>2025</v>
      </c>
      <c r="B223" s="213" t="n">
        <v>45</v>
      </c>
      <c r="C223" s="71" t="inlineStr">
        <is>
          <t>Ausgaben</t>
        </is>
      </c>
      <c r="D223" t="inlineStr">
        <is>
          <t>sonstige Betriebsausgaben</t>
        </is>
      </c>
      <c r="E223" s="1" t="n">
        <v>45772</v>
      </c>
      <c r="F223" t="inlineStr">
        <is>
          <t>OpenAI, LLC, 548 Market Street, PMB 97273, San Francisco, California 94104-5401, United States</t>
        </is>
      </c>
      <c r="I223" t="b">
        <v>0</v>
      </c>
      <c r="J223" s="214" t="n">
        <v>21.34</v>
      </c>
      <c r="K223" s="215">
        <f>$J223*$L223</f>
        <v/>
      </c>
      <c r="L223" s="159" t="n">
        <v>1</v>
      </c>
      <c r="M223" s="159" t="n">
        <v>0.2</v>
      </c>
      <c r="N223" s="215">
        <f>$P223*$M223</f>
        <v/>
      </c>
      <c r="O223" s="215">
        <f>L223*$N223</f>
        <v/>
      </c>
      <c r="P223" s="215">
        <f>($J223-0.32)/(100%+$M223)</f>
        <v/>
      </c>
      <c r="Q223" s="215">
        <f>$L223*$P223</f>
        <v/>
      </c>
      <c r="R223" s="192">
        <f>voranmeldefrist_vierteljaehrlich(E223)</f>
        <v/>
      </c>
      <c r="T223" s="220">
        <f>IF(G223=TRUE,Q223/F223,Q223)</f>
        <v/>
      </c>
      <c r="U223" s="221">
        <f>$S223/100*$K223</f>
        <v/>
      </c>
    </row>
    <row r="224">
      <c r="A224" s="212" t="n">
        <v>2025</v>
      </c>
      <c r="B224" s="213" t="n">
        <v>46</v>
      </c>
      <c r="C224" s="71" t="inlineStr">
        <is>
          <t>Ausgaben</t>
        </is>
      </c>
      <c r="D224" t="inlineStr">
        <is>
          <t>Telefon/Internet</t>
        </is>
      </c>
      <c r="E224" s="1" t="n">
        <v>45770</v>
      </c>
      <c r="F224" t="inlineStr">
        <is>
          <t>Hutchison Drei Austria GmbH, Brünner Straße 52, 1210 Wien, Österreich</t>
        </is>
      </c>
      <c r="I224" t="b">
        <v>0</v>
      </c>
      <c r="J224" s="214" t="n">
        <v>13.91</v>
      </c>
      <c r="K224" s="215">
        <f>$J224*$L224</f>
        <v/>
      </c>
      <c r="L224" s="159" t="n">
        <v>1</v>
      </c>
      <c r="M224" s="159" t="n">
        <v>0.2</v>
      </c>
      <c r="N224" s="215">
        <f>$P224*$M224</f>
        <v/>
      </c>
      <c r="O224" s="215">
        <f>L224*$N224</f>
        <v/>
      </c>
      <c r="P224" s="215">
        <f>$J224/(100%+$M224)</f>
        <v/>
      </c>
      <c r="Q224" s="215">
        <f>$L224*$P224</f>
        <v/>
      </c>
      <c r="R224" s="192">
        <f>voranmeldefrist_vierteljaehrlich(E224)</f>
        <v/>
      </c>
      <c r="T224" s="220">
        <f>IF(G224=TRUE,Q224/F224,Q224)</f>
        <v/>
      </c>
      <c r="U224" s="221">
        <f>$S224/100*$K224</f>
        <v/>
      </c>
    </row>
    <row r="225">
      <c r="A225" s="212" t="n">
        <v>2025</v>
      </c>
      <c r="B225" s="213" t="n">
        <v>47</v>
      </c>
      <c r="C225" s="71" t="inlineStr">
        <is>
          <t>Einnahmen</t>
        </is>
      </c>
      <c r="D225" t="inlineStr">
        <is>
          <t>Waren-/Leistungserlöse</t>
        </is>
      </c>
      <c r="E225" s="1" t="n">
        <v>45782</v>
      </c>
      <c r="F225" t="inlineStr">
        <is>
          <t>ZT DI Dr. Arno Kolbitsch, Gütleweg 1, 6822 Satteins</t>
        </is>
      </c>
      <c r="I225" t="b">
        <v>0</v>
      </c>
      <c r="J225" s="214" t="n">
        <v>1665.36</v>
      </c>
      <c r="K225" s="215">
        <f>$J225*$L225</f>
        <v/>
      </c>
      <c r="L225" s="159" t="n">
        <v>1</v>
      </c>
      <c r="M225" s="159" t="n">
        <v>0.2</v>
      </c>
      <c r="N225" s="215">
        <f>$P225*$M225</f>
        <v/>
      </c>
      <c r="O225" s="215">
        <f>L225*$N225</f>
        <v/>
      </c>
      <c r="P225" s="215">
        <f>$J225/(100%+$M225)</f>
        <v/>
      </c>
      <c r="Q225" s="215">
        <f>$L225*$P225</f>
        <v/>
      </c>
      <c r="R225" s="192">
        <f>voranmeldefrist_vierteljaehrlich(E225)</f>
        <v/>
      </c>
      <c r="T225" s="220">
        <f>IF(G225=TRUE,Q225/F225,Q225)</f>
        <v/>
      </c>
      <c r="U225" s="221">
        <f>$S225/100*$K225</f>
        <v/>
      </c>
    </row>
    <row r="226">
      <c r="A226" s="212" t="n">
        <v>2025</v>
      </c>
      <c r="B226" s="213" t="n">
        <v>48</v>
      </c>
      <c r="C226" s="71" t="inlineStr">
        <is>
          <t>Ausgaben</t>
        </is>
      </c>
      <c r="D226" t="inlineStr">
        <is>
          <t>sonstige Betriebsausgaben</t>
        </is>
      </c>
      <c r="E226" s="1" t="n">
        <v>45782</v>
      </c>
      <c r="F226" t="inlineStr">
        <is>
          <t>Google Cloud EMEA Limited, Velasco, Clanwilliam Place, Dublin 2, Ireland, VAT IE3668997OH</t>
        </is>
      </c>
      <c r="I226" t="b">
        <v>0</v>
      </c>
      <c r="J226" s="214" t="n">
        <v>13.8</v>
      </c>
      <c r="K226" s="215">
        <f>$J226*$L226</f>
        <v/>
      </c>
      <c r="L226" s="159" t="n">
        <v>1</v>
      </c>
      <c r="M226" s="159" t="n">
        <v>0</v>
      </c>
      <c r="N226" s="215">
        <f>$P226*$M226</f>
        <v/>
      </c>
      <c r="O226" s="215">
        <f>L226*$N226</f>
        <v/>
      </c>
      <c r="P226" s="215">
        <f>$J226/(100%+$M226)</f>
        <v/>
      </c>
      <c r="Q226" s="215">
        <f>$L226*$P226</f>
        <v/>
      </c>
      <c r="R226" s="192">
        <f>voranmeldefrist_vierteljaehrlich(E226)</f>
        <v/>
      </c>
      <c r="S226" t="n">
        <v>20</v>
      </c>
      <c r="T226" s="220">
        <f>IF(G226=TRUE,Q226/F226,Q226)</f>
        <v/>
      </c>
      <c r="U226" s="221">
        <f>$S226/100*$K226</f>
        <v/>
      </c>
    </row>
    <row r="227">
      <c r="A227" s="212" t="n">
        <v>2025</v>
      </c>
      <c r="B227" s="213" t="n">
        <v>49</v>
      </c>
      <c r="C227" s="71" t="inlineStr">
        <is>
          <t>Einnahmen</t>
        </is>
      </c>
      <c r="D227" t="inlineStr">
        <is>
          <t>Waren-/Leistungserlöse</t>
        </is>
      </c>
      <c r="E227" s="1" t="n">
        <v>45784</v>
      </c>
      <c r="F227" t="inlineStr">
        <is>
          <t>JLW - Jugend und Lebenswelt, Bahnhofsplatz 2, 3100 St Pölten</t>
        </is>
      </c>
      <c r="I227" t="b">
        <v>0</v>
      </c>
      <c r="J227" s="214" t="n">
        <v>462</v>
      </c>
      <c r="K227" s="215">
        <f>$J227*$L227</f>
        <v/>
      </c>
      <c r="L227" s="159" t="n">
        <v>1</v>
      </c>
      <c r="M227" s="159" t="n">
        <v>0.2</v>
      </c>
      <c r="N227" s="215">
        <f>$P227*$M227</f>
        <v/>
      </c>
      <c r="O227" s="215">
        <f>L227*$N227</f>
        <v/>
      </c>
      <c r="P227" s="215">
        <f>$J227/(100%+$M227)</f>
        <v/>
      </c>
      <c r="Q227" s="215">
        <f>$L227*$P227</f>
        <v/>
      </c>
      <c r="R227" s="192">
        <f>voranmeldefrist_vierteljaehrlich(E227)</f>
        <v/>
      </c>
      <c r="T227" s="220">
        <f>IF(G227=TRUE,Q227/F227,Q227)</f>
        <v/>
      </c>
      <c r="U227" s="221">
        <f>$S227/100*$K227</f>
        <v/>
      </c>
    </row>
    <row r="228">
      <c r="A228" s="212" t="n">
        <v>2025</v>
      </c>
      <c r="B228" s="213" t="n">
        <v>50</v>
      </c>
      <c r="C228" s="71" t="inlineStr">
        <is>
          <t>Ausgaben</t>
        </is>
      </c>
      <c r="D228" t="inlineStr">
        <is>
          <t>sonstige Betriebsausgaben</t>
        </is>
      </c>
      <c r="E228" s="1" t="n">
        <v>45790</v>
      </c>
      <c r="F228" t="inlineStr">
        <is>
          <t>Hetzner Online GmbH, Industriestraße 25, 91710 Gunzenhausen</t>
        </is>
      </c>
      <c r="I228" t="b">
        <v>0</v>
      </c>
      <c r="J228" s="214" t="n">
        <v>56</v>
      </c>
      <c r="K228" s="215">
        <f>$J228*$L228</f>
        <v/>
      </c>
      <c r="L228" s="159" t="n">
        <v>1</v>
      </c>
      <c r="M228" s="159" t="n">
        <v>0</v>
      </c>
      <c r="N228" s="215">
        <f>$P228*$M228</f>
        <v/>
      </c>
      <c r="O228" s="215">
        <f>L228*$N228</f>
        <v/>
      </c>
      <c r="P228" s="215">
        <f>$J228/(100%+$M228)</f>
        <v/>
      </c>
      <c r="Q228" s="215">
        <f>$L228*$P228</f>
        <v/>
      </c>
      <c r="R228" s="192">
        <f>voranmeldefrist_vierteljaehrlich(E228)</f>
        <v/>
      </c>
      <c r="S228" t="n">
        <v>20</v>
      </c>
      <c r="T228" s="220">
        <f>IF(G228=TRUE,Q228/F228,Q228)</f>
        <v/>
      </c>
      <c r="U228" s="221">
        <f>$S228/100*$K228</f>
        <v/>
      </c>
    </row>
    <row r="229">
      <c r="A229" s="212" t="n">
        <v>2025</v>
      </c>
      <c r="B229" s="213" t="n">
        <v>51</v>
      </c>
      <c r="C229" s="71" t="inlineStr">
        <is>
          <t>Einnahmen</t>
        </is>
      </c>
      <c r="D229" t="inlineStr">
        <is>
          <t>Waren-/Leistungserlöse</t>
        </is>
      </c>
      <c r="E229" s="1" t="n">
        <v>45791</v>
      </c>
      <c r="F229" t="inlineStr">
        <is>
          <t>Hays Österreich GmbH, Bahnhof City Wien West - Europaplatz 3/5, 1150 Wien</t>
        </is>
      </c>
      <c r="I229" t="b">
        <v>0</v>
      </c>
      <c r="J229" s="214" t="n">
        <v>23488.37</v>
      </c>
      <c r="K229" s="215">
        <f>$J229*$L229</f>
        <v/>
      </c>
      <c r="L229" s="159" t="n">
        <v>1</v>
      </c>
      <c r="M229" s="159" t="n">
        <v>0.2</v>
      </c>
      <c r="N229" s="215">
        <f>$P229*$M229</f>
        <v/>
      </c>
      <c r="O229" s="215">
        <f>L229*$N229</f>
        <v/>
      </c>
      <c r="P229" s="215">
        <f>$J229/(100%+$M229)</f>
        <v/>
      </c>
      <c r="Q229" s="215">
        <f>$L229*$P229</f>
        <v/>
      </c>
      <c r="R229" s="192">
        <f>voranmeldefrist_vierteljaehrlich(E229)</f>
        <v/>
      </c>
      <c r="T229" s="220">
        <f>IF(G229=TRUE,Q229/F229,Q229)</f>
        <v/>
      </c>
      <c r="U229" s="221">
        <f>$S229/100*$K229</f>
        <v/>
      </c>
    </row>
    <row r="230">
      <c r="A230" s="212" t="n">
        <v>2025</v>
      </c>
      <c r="B230" s="213" t="n">
        <v>52</v>
      </c>
      <c r="C230" s="71" t="inlineStr">
        <is>
          <t>Ausgaben</t>
        </is>
      </c>
      <c r="D230" t="inlineStr">
        <is>
          <t>sonstige Betriebsausgaben</t>
        </is>
      </c>
      <c r="E230" s="1" t="n">
        <v>45792</v>
      </c>
      <c r="F230" t="inlineStr">
        <is>
          <t>Hetzner Online GmbH, Industriestraße 25, 91710 Gunzenhausen</t>
        </is>
      </c>
      <c r="I230" t="b">
        <v>0</v>
      </c>
      <c r="J230" s="214" t="n">
        <v>9.16</v>
      </c>
      <c r="K230" s="215">
        <f>$J230*$L230</f>
        <v/>
      </c>
      <c r="L230" s="159" t="n">
        <v>1</v>
      </c>
      <c r="M230" s="159" t="n">
        <v>0</v>
      </c>
      <c r="N230" s="215">
        <f>$P230*$M230</f>
        <v/>
      </c>
      <c r="O230" s="215">
        <f>L230*$N230</f>
        <v/>
      </c>
      <c r="P230" s="215">
        <f>$J230/(100%+$M230)</f>
        <v/>
      </c>
      <c r="Q230" s="215">
        <f>$L230*$P230</f>
        <v/>
      </c>
      <c r="R230" s="192">
        <f>voranmeldefrist_vierteljaehrlich(E230)</f>
        <v/>
      </c>
      <c r="S230" t="n">
        <v>20</v>
      </c>
      <c r="T230" s="220">
        <f>IF(G230=TRUE,Q230/F230,Q230)</f>
        <v/>
      </c>
      <c r="U230" s="221">
        <f>$S230/100*$K230</f>
        <v/>
      </c>
    </row>
    <row r="231">
      <c r="A231" s="212" t="n">
        <v>2025</v>
      </c>
      <c r="B231" s="213" t="n">
        <v>53</v>
      </c>
      <c r="C231" s="71" t="inlineStr">
        <is>
          <t>Ausgaben</t>
        </is>
      </c>
      <c r="D231" t="inlineStr">
        <is>
          <t>Telefon/Internet</t>
        </is>
      </c>
      <c r="E231" s="1" t="n">
        <v>45793</v>
      </c>
      <c r="F231" t="inlineStr">
        <is>
          <t>kabelplus GmbH, Südstadtzentrum 4, 2344 Maria Enzersdorf</t>
        </is>
      </c>
      <c r="I231" t="b">
        <v>0</v>
      </c>
      <c r="J231" s="214" t="n">
        <v>58.89</v>
      </c>
      <c r="K231" s="215">
        <f>$J231*$L231</f>
        <v/>
      </c>
      <c r="L231" s="159" t="n">
        <v>0.67</v>
      </c>
      <c r="M231" s="159" t="inlineStr">
        <is>
          <t>gemischt</t>
        </is>
      </c>
      <c r="N231" s="215">
        <f>1.38+7.29</f>
        <v/>
      </c>
      <c r="O231" s="215">
        <f>L231*$N231</f>
        <v/>
      </c>
      <c r="P231" s="215" t="n">
        <v>50.22</v>
      </c>
      <c r="Q231" s="215">
        <f>$L231*$P231</f>
        <v/>
      </c>
      <c r="R231" s="192">
        <f>voranmeldefrist_vierteljaehrlich(E231)</f>
        <v/>
      </c>
      <c r="T231" s="220">
        <f>IF(G231=TRUE,Q231/F231,Q231)</f>
        <v/>
      </c>
      <c r="U231" s="221">
        <f>$S231/100*$K231</f>
        <v/>
      </c>
    </row>
    <row r="232">
      <c r="A232" s="212" t="n">
        <v>2025</v>
      </c>
      <c r="B232" s="213" t="n">
        <v>54</v>
      </c>
      <c r="C232" s="71" t="inlineStr">
        <is>
          <t>Ausgaben</t>
        </is>
      </c>
      <c r="D232" t="inlineStr">
        <is>
          <t>Büromaterial</t>
        </is>
      </c>
      <c r="E232" s="1" t="n">
        <v>45796</v>
      </c>
      <c r="F232" t="inlineStr">
        <is>
          <t>Lemon Technologies GmbH, Unterweißenbach 181, 8330 Feldbach</t>
        </is>
      </c>
      <c r="H232" t="inlineStr">
        <is>
          <t>ja</t>
        </is>
      </c>
      <c r="I232" t="b">
        <v>0</v>
      </c>
      <c r="J232" s="214" t="n">
        <v>294.38</v>
      </c>
      <c r="K232" s="215">
        <f>$J232*$L232</f>
        <v/>
      </c>
      <c r="L232" s="159" t="n">
        <v>1</v>
      </c>
      <c r="M232" s="159" t="n">
        <v>0.2</v>
      </c>
      <c r="N232" s="215">
        <f>$P232*$M232</f>
        <v/>
      </c>
      <c r="O232" s="215">
        <f>L232*$N232</f>
        <v/>
      </c>
      <c r="P232" s="215">
        <f>$J232/(100%+$M232)</f>
        <v/>
      </c>
      <c r="Q232" s="215">
        <f>$L232*$P232</f>
        <v/>
      </c>
      <c r="R232" s="192">
        <f>voranmeldefrist_vierteljaehrlich(E232)</f>
        <v/>
      </c>
      <c r="T232" s="220">
        <f>IF(G232=TRUE,Q232/F232,Q232)</f>
        <v/>
      </c>
      <c r="U232" s="221">
        <f>$S232/100*$K232</f>
        <v/>
      </c>
    </row>
    <row r="233">
      <c r="A233" s="212" t="n">
        <v>2025</v>
      </c>
      <c r="B233" s="213" t="n">
        <v>55</v>
      </c>
      <c r="C233" s="71" t="inlineStr">
        <is>
          <t>Ausgaben</t>
        </is>
      </c>
      <c r="D233" t="inlineStr">
        <is>
          <t>sonstige Betriebsausgaben</t>
        </is>
      </c>
      <c r="E233" s="1" t="n">
        <v>45797</v>
      </c>
      <c r="F233" t="inlineStr">
        <is>
          <t>Microsoft Ireland Operations Ltd. One Microsoft Place, South County, Business Park, Leopardstown, Dublin 18, D18 P521, Ireland</t>
        </is>
      </c>
      <c r="I233" t="b">
        <v>0</v>
      </c>
      <c r="J233" s="214" t="n">
        <v>11.7</v>
      </c>
      <c r="K233" s="215">
        <f>$J233*$L233</f>
        <v/>
      </c>
      <c r="L233" s="159" t="n">
        <v>1</v>
      </c>
      <c r="M233" s="159" t="n">
        <v>0</v>
      </c>
      <c r="N233" s="215">
        <f>$P233*$M233</f>
        <v/>
      </c>
      <c r="O233" s="215">
        <f>L233*$N233</f>
        <v/>
      </c>
      <c r="P233" s="215">
        <f>$J233/(100%+$M233)</f>
        <v/>
      </c>
      <c r="Q233" s="215">
        <f>$L233*$P233</f>
        <v/>
      </c>
      <c r="R233" s="192">
        <f>voranmeldefrist_vierteljaehrlich(E233)</f>
        <v/>
      </c>
      <c r="S233" t="n">
        <v>20</v>
      </c>
      <c r="T233" s="220">
        <f>IF(G233=TRUE,Q233/F233,Q233)</f>
        <v/>
      </c>
      <c r="U233" s="221">
        <f>$S233/100*$K233</f>
        <v/>
      </c>
    </row>
    <row r="234">
      <c r="A234" s="212" t="n">
        <v>2025</v>
      </c>
      <c r="B234" s="213" t="n">
        <v>56</v>
      </c>
      <c r="C234" s="71" t="inlineStr">
        <is>
          <t>Ausgaben</t>
        </is>
      </c>
      <c r="D234" t="inlineStr">
        <is>
          <t>sonstige Betriebsausgaben</t>
        </is>
      </c>
      <c r="E234" s="1" t="n">
        <v>45803</v>
      </c>
      <c r="F234" t="inlineStr">
        <is>
          <t>OpenAI, LLC, 548 Market Street, PMB 97273, San Francisco, California 94104-5401, United States</t>
        </is>
      </c>
      <c r="I234" t="b">
        <v>0</v>
      </c>
      <c r="J234" s="214" t="n">
        <v>21.65</v>
      </c>
      <c r="K234" s="215">
        <f>$J234*$L234</f>
        <v/>
      </c>
      <c r="L234" s="159" t="n">
        <v>1</v>
      </c>
      <c r="M234" s="159" t="n">
        <v>0.2</v>
      </c>
      <c r="N234" s="215">
        <f>$P234*$M234</f>
        <v/>
      </c>
      <c r="O234" s="215">
        <f>L234*$N234</f>
        <v/>
      </c>
      <c r="P234" s="215">
        <f>($J234-0.32)/(100%+$M234)</f>
        <v/>
      </c>
      <c r="Q234" s="215">
        <f>$L234*$P234</f>
        <v/>
      </c>
      <c r="R234" s="192">
        <f>voranmeldefrist_vierteljaehrlich(E234)</f>
        <v/>
      </c>
      <c r="T234" s="220">
        <f>IF(G234=TRUE,Q234/F234,Q234)</f>
        <v/>
      </c>
      <c r="U234" s="221">
        <f>$S234/100*$K234</f>
        <v/>
      </c>
    </row>
    <row r="235">
      <c r="A235" s="212" t="n">
        <v>2025</v>
      </c>
      <c r="B235" s="213" t="n">
        <v>57</v>
      </c>
      <c r="C235" s="71" t="inlineStr">
        <is>
          <t>Ausgaben</t>
        </is>
      </c>
      <c r="D235" t="inlineStr">
        <is>
          <t>sonstige Betriebsausgaben</t>
        </is>
      </c>
      <c r="E235" s="1" t="n">
        <v>45807</v>
      </c>
      <c r="F235" t="inlineStr">
        <is>
          <t>Marktgemeinde Bisamberg, Hauptstraße 2, 2102 Bisamberg</t>
        </is>
      </c>
      <c r="I235" t="b">
        <v>0</v>
      </c>
      <c r="J235" s="214" t="n">
        <v>261.46</v>
      </c>
      <c r="K235" s="215">
        <f>$J235*$L235</f>
        <v/>
      </c>
      <c r="L235" s="159">
        <f>14.6/158.43</f>
        <v/>
      </c>
      <c r="M235" s="159" t="inlineStr">
        <is>
          <t>gemischt</t>
        </is>
      </c>
      <c r="N235" s="215" t="n">
        <v>20.99</v>
      </c>
      <c r="O235" s="215">
        <f>L235*$N235</f>
        <v/>
      </c>
      <c r="P235" s="215" t="n">
        <v>240.47</v>
      </c>
      <c r="Q235" s="215">
        <f>$L235*$P235</f>
        <v/>
      </c>
      <c r="R235" s="192">
        <f>voranmeldefrist_vierteljaehrlich(E235)</f>
        <v/>
      </c>
      <c r="T235" s="220">
        <f>IF(G235=TRUE,Q235/F235,Q235)</f>
        <v/>
      </c>
      <c r="U235" s="221">
        <f>$S235/100*$K235</f>
        <v/>
      </c>
    </row>
    <row r="236">
      <c r="A236" s="212" t="n">
        <v>2025</v>
      </c>
      <c r="B236" s="213" t="n">
        <v>58</v>
      </c>
      <c r="C236" s="71" t="inlineStr">
        <is>
          <t>Ausgaben</t>
        </is>
      </c>
      <c r="D236" t="inlineStr">
        <is>
          <t>Telefon/Internet</t>
        </is>
      </c>
      <c r="E236" s="1" t="n">
        <v>45811</v>
      </c>
      <c r="F236" t="inlineStr">
        <is>
          <t>Hutchison Drei Austria GmbH, Brünner Straße 52, 1210 Wien, Österreich</t>
        </is>
      </c>
      <c r="I236" t="b">
        <v>0</v>
      </c>
      <c r="J236" s="214" t="n">
        <v>40.91</v>
      </c>
      <c r="K236" s="215">
        <f>$J236*$L236</f>
        <v/>
      </c>
      <c r="L236" s="159" t="n">
        <v>1</v>
      </c>
      <c r="M236" s="159" t="n">
        <v>0.2</v>
      </c>
      <c r="N236" s="215">
        <f>$P236*$M236</f>
        <v/>
      </c>
      <c r="O236" s="215">
        <f>L236*$N236</f>
        <v/>
      </c>
      <c r="P236" s="215">
        <f>$J236/(100%+$M236)</f>
        <v/>
      </c>
      <c r="Q236" s="215">
        <f>$L236*$P236</f>
        <v/>
      </c>
      <c r="R236" s="192">
        <f>voranmeldefrist_vierteljaehrlich(E236)</f>
        <v/>
      </c>
      <c r="T236" s="220">
        <f>IF(G236=TRUE,Q236/F236,Q236)</f>
        <v/>
      </c>
      <c r="U236" s="221">
        <f>$S236/100*$K236</f>
        <v/>
      </c>
    </row>
    <row r="237">
      <c r="A237" s="212" t="n">
        <v>2025</v>
      </c>
      <c r="B237" s="213" t="n">
        <v>59</v>
      </c>
      <c r="C237" s="71" t="inlineStr">
        <is>
          <t>Ausgaben</t>
        </is>
      </c>
      <c r="D237" t="inlineStr">
        <is>
          <t>sonstige Betriebsausgaben</t>
        </is>
      </c>
      <c r="E237" s="1" t="n">
        <v>45811</v>
      </c>
      <c r="F237" t="inlineStr">
        <is>
          <t>Google Cloud EMEA Limited, Velasco, Clanwilliam Place, Dublin 2, Ireland, VAT IE3668997OH</t>
        </is>
      </c>
      <c r="I237" t="b">
        <v>0</v>
      </c>
      <c r="J237" s="214" t="n">
        <v>13.8</v>
      </c>
      <c r="K237" s="215">
        <f>$J237*$L237</f>
        <v/>
      </c>
      <c r="L237" s="159" t="n">
        <v>1</v>
      </c>
      <c r="M237" s="159" t="n">
        <v>0</v>
      </c>
      <c r="N237" s="215">
        <f>$P237*$M237</f>
        <v/>
      </c>
      <c r="O237" s="215">
        <f>L237*$N237</f>
        <v/>
      </c>
      <c r="P237" s="215">
        <f>$J237/(100%+$M237)</f>
        <v/>
      </c>
      <c r="Q237" s="215">
        <f>$L237*$P237</f>
        <v/>
      </c>
      <c r="R237" s="192">
        <f>voranmeldefrist_vierteljaehrlich(E237)</f>
        <v/>
      </c>
      <c r="S237" t="n">
        <v>20</v>
      </c>
      <c r="T237" s="220">
        <f>IF(G237=TRUE,Q237/F237,Q237)</f>
        <v/>
      </c>
      <c r="U237" s="221">
        <f>$S237/100*$K237</f>
        <v/>
      </c>
    </row>
    <row r="238">
      <c r="A238" s="212" t="n">
        <v>2025</v>
      </c>
      <c r="B238" s="213" t="n">
        <v>60</v>
      </c>
      <c r="C238" s="71" t="inlineStr">
        <is>
          <t>Ausgaben</t>
        </is>
      </c>
      <c r="D238" t="inlineStr">
        <is>
          <t>sonstige Betriebsausgaben</t>
        </is>
      </c>
      <c r="E238" s="1" t="n">
        <v>45818</v>
      </c>
      <c r="F238" t="inlineStr">
        <is>
          <t>Wien Energie Vertrieb GmbH &amp; Co KG, 1030 Wien, Pf 520</t>
        </is>
      </c>
      <c r="I238" t="b">
        <v>0</v>
      </c>
      <c r="J238" s="214" t="n">
        <v>24</v>
      </c>
      <c r="K238" s="215">
        <f>$J238*$L238</f>
        <v/>
      </c>
      <c r="L238" s="159">
        <f>14.6/158.43</f>
        <v/>
      </c>
      <c r="M238" s="159" t="n">
        <v>0.2</v>
      </c>
      <c r="N238" s="215">
        <f>$P238*$M238</f>
        <v/>
      </c>
      <c r="O238" s="215">
        <f>L238*$N238</f>
        <v/>
      </c>
      <c r="P238" s="215">
        <f>$J238/(100%+$M238)</f>
        <v/>
      </c>
      <c r="Q238" s="215">
        <f>$L238*$P238</f>
        <v/>
      </c>
      <c r="R238" s="192">
        <f>voranmeldefrist_vierteljaehrlich(E238)</f>
        <v/>
      </c>
      <c r="T238" s="220">
        <f>IF(G238=TRUE,Q238/F238,Q238)</f>
        <v/>
      </c>
      <c r="U238" s="221">
        <f>$S238/100*$K238</f>
        <v/>
      </c>
    </row>
    <row r="239">
      <c r="A239" s="212" t="n">
        <v>2025</v>
      </c>
      <c r="B239" s="213" t="n">
        <v>61</v>
      </c>
      <c r="C239" s="71" t="inlineStr">
        <is>
          <t>Ausgaben</t>
        </is>
      </c>
      <c r="D239" t="inlineStr">
        <is>
          <t>Lizenzgebühren</t>
        </is>
      </c>
      <c r="E239" s="1" t="n">
        <v>45819</v>
      </c>
      <c r="F239" t="inlineStr">
        <is>
          <t>Woocommerce, kein Beleg</t>
        </is>
      </c>
      <c r="I239" t="b">
        <v>0</v>
      </c>
      <c r="J239" s="224" t="n">
        <v>43.7</v>
      </c>
      <c r="K239" s="215">
        <f>$J239*$L239</f>
        <v/>
      </c>
      <c r="L239" s="159" t="n">
        <v>1</v>
      </c>
      <c r="M239" s="159" t="n">
        <v>0</v>
      </c>
      <c r="N239" s="215">
        <f>$P239*$M239</f>
        <v/>
      </c>
      <c r="O239" s="215">
        <f>L239*$N239</f>
        <v/>
      </c>
      <c r="P239" s="215">
        <f>$J239/(100%+$M239)</f>
        <v/>
      </c>
      <c r="Q239" s="215">
        <f>$L239*$P239</f>
        <v/>
      </c>
      <c r="R239" s="192">
        <f>voranmeldefrist_vierteljaehrlich(E239)</f>
        <v/>
      </c>
      <c r="T239" s="220">
        <f>IF(G239=TRUE,Q239/F239,Q239)</f>
        <v/>
      </c>
      <c r="U239" s="221">
        <f>$S239/100*$K239</f>
        <v/>
      </c>
    </row>
    <row r="240">
      <c r="A240" s="212" t="n">
        <v>2025</v>
      </c>
      <c r="B240" s="213" t="n">
        <v>62</v>
      </c>
      <c r="C240" s="71" t="inlineStr">
        <is>
          <t>Einnahmen</t>
        </is>
      </c>
      <c r="D240" t="inlineStr">
        <is>
          <t>Waren-/Leistungserlöse</t>
        </is>
      </c>
      <c r="E240" s="1" t="n">
        <v>45820</v>
      </c>
      <c r="F240" t="inlineStr">
        <is>
          <t>Hays Österreich GmbH, Bahnhof City Wien West - Europaplatz 3/5, 1150 Wien</t>
        </is>
      </c>
      <c r="I240" t="b">
        <v>0</v>
      </c>
      <c r="J240" s="214" t="n">
        <v>17642.54</v>
      </c>
      <c r="K240" s="215">
        <f>$J240*$L240</f>
        <v/>
      </c>
      <c r="L240" s="159" t="n">
        <v>1</v>
      </c>
      <c r="M240" s="159" t="n">
        <v>0.2</v>
      </c>
      <c r="N240" s="215">
        <f>$P240*$M240</f>
        <v/>
      </c>
      <c r="O240" s="215">
        <f>L240*$N240</f>
        <v/>
      </c>
      <c r="P240" s="215">
        <f>$J240/(100%+$M240)</f>
        <v/>
      </c>
      <c r="Q240" s="215">
        <f>$L240*$P240</f>
        <v/>
      </c>
      <c r="R240" s="192">
        <f>voranmeldefrist_vierteljaehrlich(E240)</f>
        <v/>
      </c>
      <c r="T240" s="220">
        <f>IF(G240=TRUE,Q240/F240,Q240)</f>
        <v/>
      </c>
      <c r="U240" s="221">
        <f>$S240/100*$K240</f>
        <v/>
      </c>
    </row>
    <row r="241">
      <c r="A241" s="212" t="n">
        <v>2025</v>
      </c>
      <c r="B241" s="213" t="n">
        <v>63</v>
      </c>
      <c r="C241" s="71" t="inlineStr">
        <is>
          <t>Ausgaben</t>
        </is>
      </c>
      <c r="D241" t="inlineStr">
        <is>
          <t>Telefon/Internet</t>
        </is>
      </c>
      <c r="E241" s="1" t="n">
        <v>45821</v>
      </c>
      <c r="F241" t="inlineStr">
        <is>
          <t>kabelplus GmbH, Südstadtzentrum 4, 2344 Maria Enzersdorf</t>
        </is>
      </c>
      <c r="I241" t="b">
        <v>0</v>
      </c>
      <c r="J241" s="214" t="n">
        <v>58.89</v>
      </c>
      <c r="K241" s="215">
        <f>$J241*$L241</f>
        <v/>
      </c>
      <c r="L241" s="159" t="n">
        <v>0.67</v>
      </c>
      <c r="M241" s="159" t="inlineStr">
        <is>
          <t>gemischt</t>
        </is>
      </c>
      <c r="N241" s="215">
        <f>1.38+7.29</f>
        <v/>
      </c>
      <c r="O241" s="215">
        <f>L241*$N241</f>
        <v/>
      </c>
      <c r="P241" s="215" t="n">
        <v>50.22</v>
      </c>
      <c r="Q241" s="215">
        <f>$L241*$P241</f>
        <v/>
      </c>
      <c r="R241" s="192">
        <f>voranmeldefrist_vierteljaehrlich(E241)</f>
        <v/>
      </c>
      <c r="T241" s="220">
        <f>IF(G241=TRUE,Q241/F241,Q241)</f>
        <v/>
      </c>
      <c r="U241" s="221">
        <f>$S241/100*$K241</f>
        <v/>
      </c>
    </row>
    <row r="242">
      <c r="A242" s="212" t="n">
        <v>2025</v>
      </c>
      <c r="B242" s="213" t="n">
        <v>64</v>
      </c>
      <c r="C242" s="71" t="inlineStr">
        <is>
          <t>Ausgaben</t>
        </is>
      </c>
      <c r="D242" t="inlineStr">
        <is>
          <t>sonstige Betriebsausgaben</t>
        </is>
      </c>
      <c r="E242" s="1" t="n">
        <v>45821</v>
      </c>
      <c r="F242" t="inlineStr">
        <is>
          <t>Hetzner Online GmbH, Industriestraße 25, 91710 Gunzenhausen</t>
        </is>
      </c>
      <c r="I242" t="b">
        <v>0</v>
      </c>
      <c r="J242" s="214" t="n">
        <v>56</v>
      </c>
      <c r="K242" s="215">
        <f>$J242*$L242</f>
        <v/>
      </c>
      <c r="L242" s="159" t="n">
        <v>1</v>
      </c>
      <c r="M242" s="159" t="n">
        <v>0</v>
      </c>
      <c r="N242" s="215">
        <f>$P242*$M242</f>
        <v/>
      </c>
      <c r="O242" s="215">
        <f>L242*$N242</f>
        <v/>
      </c>
      <c r="P242" s="215">
        <f>$J242/(100%+$M242)</f>
        <v/>
      </c>
      <c r="Q242" s="215">
        <f>$L242*$P242</f>
        <v/>
      </c>
      <c r="R242" s="192">
        <f>voranmeldefrist_vierteljaehrlich(E242)</f>
        <v/>
      </c>
      <c r="S242" t="n">
        <v>20</v>
      </c>
      <c r="T242" s="220">
        <f>IF(G242=TRUE,Q242/F242,Q242)</f>
        <v/>
      </c>
      <c r="U242" s="221">
        <f>$S242/100*$K242</f>
        <v/>
      </c>
    </row>
    <row r="243">
      <c r="A243" s="212" t="n">
        <v>2025</v>
      </c>
      <c r="B243" s="213" t="n">
        <v>65</v>
      </c>
      <c r="C243" s="71" t="inlineStr">
        <is>
          <t>Ausgaben</t>
        </is>
      </c>
      <c r="D243" t="inlineStr">
        <is>
          <t>sonstige Betriebsausgaben</t>
        </is>
      </c>
      <c r="E243" s="1" t="n">
        <v>45824</v>
      </c>
      <c r="F243" t="inlineStr">
        <is>
          <t>Hetzner Online GmbH, Industriestraße 25, 91710 Gunzenhausen</t>
        </is>
      </c>
      <c r="I243" t="b">
        <v>0</v>
      </c>
      <c r="J243" s="214" t="n">
        <v>9.16</v>
      </c>
      <c r="K243" s="215">
        <f>$J243*$L243</f>
        <v/>
      </c>
      <c r="L243" s="159" t="n">
        <v>1</v>
      </c>
      <c r="M243" s="159" t="n">
        <v>0</v>
      </c>
      <c r="N243" s="215">
        <f>$P243*$M243</f>
        <v/>
      </c>
      <c r="O243" s="215">
        <f>L243*$N243</f>
        <v/>
      </c>
      <c r="P243" s="215">
        <f>$J243/(100%+$M243)</f>
        <v/>
      </c>
      <c r="Q243" s="215">
        <f>$L243*$P243</f>
        <v/>
      </c>
      <c r="R243" s="192">
        <f>voranmeldefrist_vierteljaehrlich(E243)</f>
        <v/>
      </c>
      <c r="S243" t="n">
        <v>20</v>
      </c>
      <c r="T243" s="220">
        <f>IF(G243=TRUE,Q243/F243,Q243)</f>
        <v/>
      </c>
      <c r="U243" s="221">
        <f>$S243/100*$K243</f>
        <v/>
      </c>
    </row>
    <row r="244">
      <c r="A244" s="212" t="n">
        <v>2025</v>
      </c>
      <c r="B244" s="213" t="n">
        <v>66</v>
      </c>
      <c r="C244" s="71" t="inlineStr">
        <is>
          <t>Ausgaben</t>
        </is>
      </c>
      <c r="D244" t="inlineStr">
        <is>
          <t>sonstige Betriebsausgaben</t>
        </is>
      </c>
      <c r="E244" s="1" t="n">
        <v>45828</v>
      </c>
      <c r="F244" t="inlineStr">
        <is>
          <t>Microsoft Ireland Operations Ltd. One Microsoft Place, South County, Business Park, Leopardstown, Dublin 18, D18 P521, Ireland</t>
        </is>
      </c>
      <c r="I244" t="b">
        <v>0</v>
      </c>
      <c r="J244" s="224" t="n">
        <v>69</v>
      </c>
      <c r="K244" s="225">
        <f>$J244*$L244</f>
        <v/>
      </c>
      <c r="L244" s="202" t="n">
        <v>1</v>
      </c>
      <c r="M244" s="202" t="n">
        <v>0</v>
      </c>
      <c r="N244" s="225">
        <f>$P244*$M244</f>
        <v/>
      </c>
      <c r="O244" s="225">
        <f>L244*$N244</f>
        <v/>
      </c>
      <c r="P244" s="225">
        <f>$J244/(100%+$M244)</f>
        <v/>
      </c>
      <c r="Q244" s="225">
        <f>$L244*$P244</f>
        <v/>
      </c>
      <c r="R244" s="203">
        <f>voranmeldefrist_vierteljaehrlich(E244)</f>
        <v/>
      </c>
      <c r="S244" s="59" t="n">
        <v>20</v>
      </c>
      <c r="U244" s="221">
        <f>$S244/100*$K244</f>
        <v/>
      </c>
    </row>
    <row r="245">
      <c r="A245" s="212" t="n">
        <v>2025</v>
      </c>
      <c r="B245" s="213" t="n">
        <v>67</v>
      </c>
      <c r="C245" s="71" t="inlineStr">
        <is>
          <t>Ausgaben</t>
        </is>
      </c>
      <c r="D245" t="inlineStr">
        <is>
          <t>sonstige Betriebsausgaben</t>
        </is>
      </c>
      <c r="E245" s="1" t="n">
        <v>45828</v>
      </c>
      <c r="F245" t="inlineStr">
        <is>
          <t>Microsoft Ireland Operations Ltd. One Microsoft Place, South County, Business Park, Leopardstown, Dublin 18, D18 P521, Ireland</t>
        </is>
      </c>
      <c r="I245" t="b">
        <v>0</v>
      </c>
      <c r="J245" s="214" t="n">
        <v>11.7</v>
      </c>
      <c r="K245" s="215">
        <f>$J245*$L245</f>
        <v/>
      </c>
      <c r="L245" s="159" t="n">
        <v>1</v>
      </c>
      <c r="M245" s="159" t="n">
        <v>0</v>
      </c>
      <c r="N245" s="215">
        <f>$P245*$M245</f>
        <v/>
      </c>
      <c r="O245" s="215">
        <f>L245*$N245</f>
        <v/>
      </c>
      <c r="P245" s="215">
        <f>$J245/(100%+$M245)</f>
        <v/>
      </c>
      <c r="Q245" s="215">
        <f>$L245*$P245</f>
        <v/>
      </c>
      <c r="R245" s="192">
        <f>voranmeldefrist_vierteljaehrlich(E245)</f>
        <v/>
      </c>
      <c r="S245" t="n">
        <v>20</v>
      </c>
      <c r="T245" s="220">
        <f>IF(G245=TRUE,Q245/F245,Q245)</f>
        <v/>
      </c>
      <c r="U245" s="221">
        <f>$S245/100*$K245</f>
        <v/>
      </c>
    </row>
    <row r="246">
      <c r="A246" s="212" t="n">
        <v>2025</v>
      </c>
      <c r="B246" s="213" t="n">
        <v>68</v>
      </c>
      <c r="C246" s="71" t="inlineStr">
        <is>
          <t>Ausgaben</t>
        </is>
      </c>
      <c r="D246" t="inlineStr">
        <is>
          <t>sonstige Betriebsausgaben</t>
        </is>
      </c>
      <c r="E246" s="1" t="n">
        <v>45833</v>
      </c>
      <c r="F246" t="inlineStr">
        <is>
          <t>EVN Wasser GmbH</t>
        </is>
      </c>
      <c r="I246" t="b">
        <v>0</v>
      </c>
      <c r="J246" s="214" t="n">
        <v>110</v>
      </c>
      <c r="K246" s="215">
        <f>$J246*$L246</f>
        <v/>
      </c>
      <c r="L246" s="159">
        <f>14.6/158.43</f>
        <v/>
      </c>
      <c r="M246" s="159" t="n">
        <v>0.1</v>
      </c>
      <c r="N246" s="215">
        <f>$P246*$M246</f>
        <v/>
      </c>
      <c r="O246" s="215">
        <f>L246*$N246</f>
        <v/>
      </c>
      <c r="P246" s="215">
        <f>$J246/(100%+$M246)</f>
        <v/>
      </c>
      <c r="Q246" s="215">
        <f>$L246*$P246</f>
        <v/>
      </c>
      <c r="R246" s="192">
        <f>voranmeldefrist_vierteljaehrlich(E246)</f>
        <v/>
      </c>
      <c r="T246" s="220">
        <f>IF(G246=TRUE,Q246/F246,Q246)</f>
        <v/>
      </c>
      <c r="U246" s="221">
        <f>$S246/100*$K246</f>
        <v/>
      </c>
    </row>
    <row r="247">
      <c r="A247" s="212" t="n">
        <v>2025</v>
      </c>
      <c r="B247" s="213" t="n">
        <v>69</v>
      </c>
      <c r="C247" s="71" t="inlineStr">
        <is>
          <t>Ausgaben</t>
        </is>
      </c>
      <c r="D247" t="inlineStr">
        <is>
          <t>sonstige Betriebsausgaben</t>
        </is>
      </c>
      <c r="E247" s="1" t="n">
        <v>45833</v>
      </c>
      <c r="F247" t="inlineStr">
        <is>
          <t>OpenAI, LLC, 548 Market Street, PMB 97273, San Francisco, California 94104-5401, United States</t>
        </is>
      </c>
      <c r="I247" t="b">
        <v>0</v>
      </c>
      <c r="J247" s="214" t="n">
        <v>21.21</v>
      </c>
      <c r="K247" s="215">
        <f>$J247*$L247</f>
        <v/>
      </c>
      <c r="L247" s="159" t="n">
        <v>1</v>
      </c>
      <c r="M247" s="159" t="n">
        <v>0.2</v>
      </c>
      <c r="N247" s="215">
        <f>$P247*$M247</f>
        <v/>
      </c>
      <c r="O247" s="215">
        <f>L247*$N247</f>
        <v/>
      </c>
      <c r="P247" s="215">
        <f>($J247-0.32)/(100%+$M247)</f>
        <v/>
      </c>
      <c r="Q247" s="215">
        <f>$L247*$P247</f>
        <v/>
      </c>
      <c r="R247" s="192">
        <f>voranmeldefrist_vierteljaehrlich(E247)</f>
        <v/>
      </c>
      <c r="T247" s="220">
        <f>IF(G247=TRUE,Q247/F247,Q247)</f>
        <v/>
      </c>
      <c r="U247" s="221">
        <f>$S247/100*$K247</f>
        <v/>
      </c>
    </row>
    <row r="248">
      <c r="A248" s="212" t="n">
        <v>2025</v>
      </c>
      <c r="B248" s="213" t="n">
        <v>70</v>
      </c>
      <c r="C248" s="71" t="inlineStr">
        <is>
          <t>Ausgaben</t>
        </is>
      </c>
      <c r="D248" t="inlineStr">
        <is>
          <t>Telefon/Internet</t>
        </is>
      </c>
      <c r="E248" s="1" t="n">
        <v>45840</v>
      </c>
      <c r="F248" t="inlineStr">
        <is>
          <t>Hutchison Drei Austria GmbH, Brünner Straße 52, 1210 Wien, Österreich</t>
        </is>
      </c>
      <c r="I248" t="b">
        <v>0</v>
      </c>
      <c r="J248" s="214" t="n">
        <v>13.91</v>
      </c>
      <c r="K248" s="215">
        <f>$J248*$L248</f>
        <v/>
      </c>
      <c r="L248" s="159" t="n">
        <v>1</v>
      </c>
      <c r="M248" s="159" t="n">
        <v>0.2</v>
      </c>
      <c r="N248" s="215">
        <f>$P248*$M248</f>
        <v/>
      </c>
      <c r="O248" s="215">
        <f>L248*$N248</f>
        <v/>
      </c>
      <c r="P248" s="215">
        <f>$J248/(100%+$M248)</f>
        <v/>
      </c>
      <c r="Q248" s="215">
        <f>$L248*$P248</f>
        <v/>
      </c>
      <c r="R248" s="192">
        <f>voranmeldefrist_vierteljaehrlich(E248)</f>
        <v/>
      </c>
      <c r="T248" s="220">
        <f>IF(G248=TRUE,Q248/F248,Q248)</f>
        <v/>
      </c>
      <c r="U248" s="221">
        <f>$S248/100*$K248</f>
        <v/>
      </c>
    </row>
    <row r="249">
      <c r="A249" s="212" t="n">
        <v>2025</v>
      </c>
      <c r="B249" s="213" t="n">
        <v>71</v>
      </c>
      <c r="C249" s="71" t="inlineStr">
        <is>
          <t>Ausgaben</t>
        </is>
      </c>
      <c r="D249" t="inlineStr">
        <is>
          <t>sonstige Betriebsausgaben</t>
        </is>
      </c>
      <c r="E249" s="1" t="n">
        <v>45841</v>
      </c>
      <c r="F249" t="inlineStr">
        <is>
          <t>Google Cloud EMEA Limited, Velasco, Clanwilliam Place, Dublin 2, Ireland, VAT IE3668997OH</t>
        </is>
      </c>
      <c r="I249" t="b">
        <v>0</v>
      </c>
      <c r="J249" s="214" t="n">
        <v>13.8</v>
      </c>
      <c r="K249" s="215">
        <f>$J249*$L249</f>
        <v/>
      </c>
      <c r="L249" s="159" t="n">
        <v>1</v>
      </c>
      <c r="M249" s="159" t="n">
        <v>0</v>
      </c>
      <c r="N249" s="215">
        <f>$P249*$M249</f>
        <v/>
      </c>
      <c r="O249" s="215">
        <f>L249*$N249</f>
        <v/>
      </c>
      <c r="P249" s="215">
        <f>$J249/(100%+$M249)</f>
        <v/>
      </c>
      <c r="Q249" s="215">
        <f>$L249*$P249</f>
        <v/>
      </c>
      <c r="R249" s="192">
        <f>voranmeldefrist_vierteljaehrlich(E249)</f>
        <v/>
      </c>
      <c r="S249" t="n">
        <v>20</v>
      </c>
      <c r="T249" s="220">
        <f>IF(G249=TRUE,Q249/F249,Q249)</f>
        <v/>
      </c>
      <c r="U249" s="221">
        <f>$S249/100*$K249</f>
        <v/>
      </c>
    </row>
    <row r="250">
      <c r="A250" s="212" t="n">
        <v>2025</v>
      </c>
      <c r="B250" s="213" t="n">
        <v>72</v>
      </c>
      <c r="C250" s="71" t="inlineStr">
        <is>
          <t>Ausgaben</t>
        </is>
      </c>
      <c r="D250" t="inlineStr">
        <is>
          <t>sonstige Betriebsausgaben</t>
        </is>
      </c>
      <c r="E250" s="1" t="n">
        <v>45845</v>
      </c>
      <c r="F250" t="inlineStr">
        <is>
          <t>Parkgarage Rathauspark, BOE Gebäudemanagement GmbH, Kärntner Straße 13-15, 1010 Wien, ATU39310009</t>
        </is>
      </c>
      <c r="I250" t="b">
        <v>0</v>
      </c>
      <c r="J250" s="224" t="n">
        <v>36</v>
      </c>
      <c r="K250" s="215">
        <f>$J250*$L250</f>
        <v/>
      </c>
      <c r="L250" s="159" t="n">
        <v>1</v>
      </c>
      <c r="M250" s="159" t="n">
        <v>0.2</v>
      </c>
      <c r="N250" s="215">
        <f>$P250*$M250</f>
        <v/>
      </c>
      <c r="O250" s="215">
        <f>L250*$N250</f>
        <v/>
      </c>
      <c r="P250" s="215">
        <f>$J250/(100%+$M250)</f>
        <v/>
      </c>
      <c r="Q250" s="215">
        <f>$L250*$P250</f>
        <v/>
      </c>
      <c r="R250" s="192">
        <f>voranmeldefrist_vierteljaehrlich(E250)</f>
        <v/>
      </c>
      <c r="U250" s="221">
        <f>$S250/100*$K250</f>
        <v/>
      </c>
    </row>
    <row r="251">
      <c r="A251" s="212" t="n">
        <v>2025</v>
      </c>
      <c r="B251" s="213" t="n">
        <v>73</v>
      </c>
      <c r="C251" s="71" t="inlineStr">
        <is>
          <t>Ausgaben</t>
        </is>
      </c>
      <c r="D251" t="inlineStr">
        <is>
          <t>sonstige Betriebsausgaben</t>
        </is>
      </c>
      <c r="E251" s="1" t="n">
        <v>45849</v>
      </c>
      <c r="F251" t="inlineStr">
        <is>
          <t>Hetzner Online GmbH, Industriestraße 25, 91710 Gunzenhausen</t>
        </is>
      </c>
      <c r="I251" t="b">
        <v>0</v>
      </c>
      <c r="J251" s="214" t="n">
        <v>56</v>
      </c>
      <c r="K251" s="215">
        <f>$J251*$L251</f>
        <v/>
      </c>
      <c r="L251" s="159" t="n">
        <v>1</v>
      </c>
      <c r="M251" s="159" t="n">
        <v>0</v>
      </c>
      <c r="N251" s="215">
        <f>$P251*$M251</f>
        <v/>
      </c>
      <c r="O251" s="215">
        <f>L251*$N251</f>
        <v/>
      </c>
      <c r="P251" s="215">
        <f>$J251/(100%+$M251)</f>
        <v/>
      </c>
      <c r="Q251" s="215">
        <f>$L251*$P251</f>
        <v/>
      </c>
      <c r="R251" s="192">
        <f>voranmeldefrist_vierteljaehrlich(E251)</f>
        <v/>
      </c>
      <c r="S251" t="n">
        <v>20</v>
      </c>
      <c r="T251" s="220">
        <f>IF(G251=TRUE,Q251/F251,Q251)</f>
        <v/>
      </c>
      <c r="U251" s="221">
        <f>$S251/100*$K251</f>
        <v/>
      </c>
    </row>
    <row r="252">
      <c r="A252" s="212" t="n">
        <v>2025</v>
      </c>
      <c r="B252" s="213" t="n">
        <v>74</v>
      </c>
      <c r="C252" s="71" t="inlineStr">
        <is>
          <t>Ausgaben</t>
        </is>
      </c>
      <c r="D252" t="inlineStr">
        <is>
          <t>Telefon/Internet</t>
        </is>
      </c>
      <c r="E252" s="1" t="n">
        <v>45853</v>
      </c>
      <c r="F252" t="inlineStr">
        <is>
          <t>kabelplus GmbH, Südstadtzentrum 4, 2344 Maria Enzersdorf</t>
        </is>
      </c>
      <c r="I252" t="b">
        <v>0</v>
      </c>
      <c r="J252" s="214" t="n">
        <v>58.89</v>
      </c>
      <c r="K252" s="215">
        <f>$J252*$L252</f>
        <v/>
      </c>
      <c r="L252" s="159" t="n">
        <v>0.67</v>
      </c>
      <c r="M252" s="159" t="inlineStr">
        <is>
          <t>gemischt</t>
        </is>
      </c>
      <c r="N252" s="215">
        <f>1.38+7.29</f>
        <v/>
      </c>
      <c r="O252" s="215">
        <f>L252*$N252</f>
        <v/>
      </c>
      <c r="P252" s="215" t="n">
        <v>50.22</v>
      </c>
      <c r="Q252" s="215">
        <f>$L252*$P252</f>
        <v/>
      </c>
      <c r="R252" s="192">
        <f>voranmeldefrist_vierteljaehrlich(E252)</f>
        <v/>
      </c>
      <c r="T252" s="220">
        <f>IF(G252=TRUE,Q252/F252,Q252)</f>
        <v/>
      </c>
      <c r="U252" s="221">
        <f>$S252/100*$K252</f>
        <v/>
      </c>
    </row>
    <row r="253">
      <c r="A253" s="212" t="n">
        <v>2025</v>
      </c>
      <c r="B253" s="213" t="n">
        <v>75</v>
      </c>
      <c r="C253" s="71" t="inlineStr">
        <is>
          <t>Einnahmen</t>
        </is>
      </c>
      <c r="D253" t="inlineStr">
        <is>
          <t>Waren-/Leistungserlöse</t>
        </is>
      </c>
      <c r="E253" s="1" t="n">
        <v>45853</v>
      </c>
      <c r="F253" t="inlineStr">
        <is>
          <t>Hays Österreich GmbH, Bahnhof City Wien West - Europaplatz 3/5, 1150 Wien</t>
        </is>
      </c>
      <c r="I253" t="b">
        <v>0</v>
      </c>
      <c r="J253" s="214" t="n">
        <v>19667.57</v>
      </c>
      <c r="K253" s="215">
        <f>$J253*$L253</f>
        <v/>
      </c>
      <c r="L253" s="159" t="n">
        <v>1</v>
      </c>
      <c r="M253" s="159" t="n">
        <v>0.2</v>
      </c>
      <c r="N253" s="215">
        <f>$P253*$M253</f>
        <v/>
      </c>
      <c r="O253" s="215">
        <f>L253*$N253</f>
        <v/>
      </c>
      <c r="P253" s="215">
        <f>$J253/(100%+$M253)</f>
        <v/>
      </c>
      <c r="Q253" s="215">
        <f>$L253*$P253</f>
        <v/>
      </c>
      <c r="R253" s="192">
        <f>voranmeldefrist_vierteljaehrlich(E253)</f>
        <v/>
      </c>
      <c r="T253" s="220">
        <f>IF(G253=TRUE,Q253/F253,Q253)</f>
        <v/>
      </c>
      <c r="U253" s="221">
        <f>$S253/100*$K253</f>
        <v/>
      </c>
    </row>
    <row r="254">
      <c r="A254" s="212" t="n">
        <v>2025</v>
      </c>
      <c r="B254" s="213" t="n">
        <v>76</v>
      </c>
      <c r="C254" s="71" t="inlineStr">
        <is>
          <t>Ausgaben</t>
        </is>
      </c>
      <c r="D254" t="inlineStr">
        <is>
          <t>sonstige Betriebsausgaben</t>
        </is>
      </c>
      <c r="E254" s="1" t="n">
        <v>45854</v>
      </c>
      <c r="F254" t="inlineStr">
        <is>
          <t>Hetzner Online GmbH, Industriestraße 25, 91710 Gunzenhausen</t>
        </is>
      </c>
      <c r="I254" t="b">
        <v>0</v>
      </c>
      <c r="J254" s="214" t="n">
        <v>9.16</v>
      </c>
      <c r="K254" s="215">
        <f>$J254*$L254</f>
        <v/>
      </c>
      <c r="L254" s="159" t="n">
        <v>1</v>
      </c>
      <c r="M254" s="159" t="n">
        <v>0</v>
      </c>
      <c r="N254" s="215">
        <f>$P254*$M254</f>
        <v/>
      </c>
      <c r="O254" s="215">
        <f>L254*$N254</f>
        <v/>
      </c>
      <c r="P254" s="215">
        <f>$J254/(100%+$M254)</f>
        <v/>
      </c>
      <c r="Q254" s="215">
        <f>$L254*$P254</f>
        <v/>
      </c>
      <c r="R254" s="192">
        <f>voranmeldefrist_vierteljaehrlich(E254)</f>
        <v/>
      </c>
      <c r="S254" t="n">
        <v>20</v>
      </c>
      <c r="T254" s="220">
        <f>IF(G254=TRUE,Q254/F254,Q254)</f>
        <v/>
      </c>
      <c r="U254" s="221">
        <f>$S254/100*$K254</f>
        <v/>
      </c>
    </row>
    <row r="255">
      <c r="A255" s="212" t="n">
        <v>2025</v>
      </c>
      <c r="B255" s="213" t="n">
        <v>77</v>
      </c>
      <c r="C255" s="71" t="inlineStr">
        <is>
          <t>Ausgaben</t>
        </is>
      </c>
      <c r="D255" t="inlineStr">
        <is>
          <t>sonstige Betriebsausgaben</t>
        </is>
      </c>
      <c r="E255" s="1" t="n">
        <v>45859</v>
      </c>
      <c r="F255" t="inlineStr">
        <is>
          <t>Microsoft Ireland Operations Ltd. One Microsoft Place, South County, Business Park, Leopardstown, Dublin 18, D18 P521, Ireland</t>
        </is>
      </c>
      <c r="I255" t="b">
        <v>0</v>
      </c>
      <c r="J255" s="214" t="n">
        <v>11.7</v>
      </c>
      <c r="K255" s="215">
        <f>$J255*$L255</f>
        <v/>
      </c>
      <c r="L255" s="159" t="n">
        <v>1</v>
      </c>
      <c r="M255" s="159" t="n">
        <v>0</v>
      </c>
      <c r="N255" s="215">
        <f>$P255*$M255</f>
        <v/>
      </c>
      <c r="O255" s="215">
        <f>L255*$N255</f>
        <v/>
      </c>
      <c r="P255" s="215">
        <f>$J255/(100%+$M255)</f>
        <v/>
      </c>
      <c r="Q255" s="215">
        <f>$L255*$P255</f>
        <v/>
      </c>
      <c r="R255" s="192">
        <f>voranmeldefrist_vierteljaehrlich(E255)</f>
        <v/>
      </c>
      <c r="S255" t="n">
        <v>20</v>
      </c>
      <c r="T255" s="220">
        <f>IF(G255=TRUE,Q255/F255,Q255)</f>
        <v/>
      </c>
      <c r="U255" s="221">
        <f>$S255/100*$K255</f>
        <v/>
      </c>
    </row>
    <row r="256">
      <c r="A256" s="212" t="n">
        <v>2025</v>
      </c>
      <c r="B256" s="213" t="n">
        <v>78</v>
      </c>
      <c r="C256" s="71" t="inlineStr">
        <is>
          <t>Ausgaben</t>
        </is>
      </c>
      <c r="D256" t="inlineStr">
        <is>
          <t>sonstige Betriebsausgaben</t>
        </is>
      </c>
      <c r="E256" s="1" t="n">
        <v>45860</v>
      </c>
      <c r="F256" t="inlineStr">
        <is>
          <t>a1 Bank AG (paybox aufladung Handy Parken)</t>
        </is>
      </c>
      <c r="I256" t="b">
        <v>0</v>
      </c>
      <c r="J256" s="224" t="n">
        <v>25.75</v>
      </c>
      <c r="K256" s="215">
        <f>$J256*$L256</f>
        <v/>
      </c>
      <c r="L256" s="159" t="n">
        <v>1</v>
      </c>
      <c r="M256" s="159" t="n">
        <v>0.2</v>
      </c>
      <c r="N256" s="215">
        <f>$P256*$M256</f>
        <v/>
      </c>
      <c r="O256" s="215">
        <f>L256*$N256</f>
        <v/>
      </c>
      <c r="P256" s="215">
        <f>$J256/(100%+$M256)</f>
        <v/>
      </c>
      <c r="Q256" s="215">
        <f>$L256*$P256</f>
        <v/>
      </c>
      <c r="R256" s="192">
        <f>voranmeldefrist_vierteljaehrlich(E256)</f>
        <v/>
      </c>
      <c r="U256" s="221">
        <f>$S256/100*$K256</f>
        <v/>
      </c>
    </row>
    <row r="257">
      <c r="A257" s="212" t="n">
        <v>2025</v>
      </c>
      <c r="B257" s="213" t="n">
        <v>79</v>
      </c>
      <c r="C257" s="71" t="inlineStr">
        <is>
          <t>Ausgaben</t>
        </is>
      </c>
      <c r="D257" t="inlineStr">
        <is>
          <t>sonstige Betriebsausgaben</t>
        </is>
      </c>
      <c r="E257" s="1" t="n">
        <v>45863</v>
      </c>
      <c r="F257" t="inlineStr">
        <is>
          <t>OpenAI, LLC, 548 Market Street, PMB 97273, San Francisco, California 94104-5401, United States</t>
        </is>
      </c>
      <c r="I257" t="b">
        <v>0</v>
      </c>
      <c r="J257" s="214" t="n">
        <v>20.86</v>
      </c>
      <c r="K257" s="215">
        <f>$J257*$L257</f>
        <v/>
      </c>
      <c r="L257" s="159" t="n">
        <v>1</v>
      </c>
      <c r="M257" s="159" t="n">
        <v>0.2</v>
      </c>
      <c r="N257" s="215">
        <f>$P257*$M257</f>
        <v/>
      </c>
      <c r="O257" s="215">
        <f>L257*$N257</f>
        <v/>
      </c>
      <c r="P257" s="215">
        <f>($J257-0.32)/(100%+$M257)</f>
        <v/>
      </c>
      <c r="Q257" s="215">
        <f>$L257*$P257</f>
        <v/>
      </c>
      <c r="R257" s="192">
        <f>voranmeldefrist_vierteljaehrlich(E257)</f>
        <v/>
      </c>
      <c r="T257" s="220">
        <f>IF(G257=TRUE,Q257/F257,Q257)</f>
        <v/>
      </c>
      <c r="U257" s="221">
        <f>$S257/100*$K257</f>
        <v/>
      </c>
    </row>
    <row r="258">
      <c r="A258" s="212" t="n">
        <v>2025</v>
      </c>
      <c r="B258" s="213" t="n">
        <v>80</v>
      </c>
      <c r="C258" s="71" t="inlineStr">
        <is>
          <t>Ausgaben</t>
        </is>
      </c>
      <c r="D258" t="inlineStr">
        <is>
          <t>Büromaterial</t>
        </is>
      </c>
      <c r="E258" s="1" t="n">
        <v>45866</v>
      </c>
      <c r="F258" t="inlineStr">
        <is>
          <t>Lemon Technologies GmbH, Unterweißenbach 181, 8330 Feldbach</t>
        </is>
      </c>
      <c r="I258" t="b">
        <v>0</v>
      </c>
      <c r="J258" s="214" t="n">
        <v>127.11</v>
      </c>
      <c r="K258" s="215">
        <f>$J258*$L258</f>
        <v/>
      </c>
      <c r="L258" s="159" t="n">
        <v>1</v>
      </c>
      <c r="M258" s="159" t="n">
        <v>0.2</v>
      </c>
      <c r="N258" s="215">
        <f>$P258*$M258</f>
        <v/>
      </c>
      <c r="O258" s="215">
        <f>L258*$N258</f>
        <v/>
      </c>
      <c r="P258" s="215">
        <f>$J258/(100%+$M258)</f>
        <v/>
      </c>
      <c r="Q258" s="215">
        <f>$L258*$P258</f>
        <v/>
      </c>
      <c r="R258" s="192">
        <f>voranmeldefrist_vierteljaehrlich(E258)</f>
        <v/>
      </c>
      <c r="T258" s="220">
        <f>IF(G258=TRUE,Q258/F258,Q258)</f>
        <v/>
      </c>
      <c r="U258" s="221">
        <f>$S258/100*$K258</f>
        <v/>
      </c>
    </row>
    <row r="259">
      <c r="A259" s="212" t="n">
        <v>2025</v>
      </c>
      <c r="B259" s="213" t="n">
        <v>81</v>
      </c>
      <c r="C259" s="71" t="inlineStr">
        <is>
          <t>Einnahmen</t>
        </is>
      </c>
      <c r="D259" t="inlineStr">
        <is>
          <t>Waren-/Leistungserlöse</t>
        </is>
      </c>
      <c r="E259" s="1" t="n">
        <v>45870</v>
      </c>
      <c r="F259" t="inlineStr">
        <is>
          <t>H. Jaros e.U., Kohlmarkt 16/2/2/15a</t>
        </is>
      </c>
      <c r="I259" t="b">
        <v>0</v>
      </c>
      <c r="J259" s="214" t="n">
        <v>1302.38</v>
      </c>
      <c r="K259" s="215">
        <f>$J259*$L259</f>
        <v/>
      </c>
      <c r="L259" s="159" t="n">
        <v>1</v>
      </c>
      <c r="M259" s="159" t="n">
        <v>0.2</v>
      </c>
      <c r="N259" s="215">
        <f>$P259*$M259</f>
        <v/>
      </c>
      <c r="O259" s="215">
        <f>L259*$N259</f>
        <v/>
      </c>
      <c r="P259" s="215">
        <f>$J259/(100%+$M259)</f>
        <v/>
      </c>
      <c r="Q259" s="215">
        <f>$L259*$P259</f>
        <v/>
      </c>
      <c r="R259" s="192">
        <f>voranmeldefrist_vierteljaehrlich(E259)</f>
        <v/>
      </c>
      <c r="T259" s="220">
        <f>IF(G259=TRUE,Q259/F259,Q259)</f>
        <v/>
      </c>
      <c r="U259" s="221">
        <f>$S259/100*$K259</f>
        <v/>
      </c>
    </row>
    <row r="260">
      <c r="A260" s="212" t="n">
        <v>2025</v>
      </c>
      <c r="B260" s="213" t="n">
        <v>82</v>
      </c>
      <c r="C260" s="71" t="inlineStr">
        <is>
          <t>Ausgaben</t>
        </is>
      </c>
      <c r="D260" t="inlineStr">
        <is>
          <t>Telefon/Internet</t>
        </is>
      </c>
      <c r="E260" s="1" t="n">
        <v>45870</v>
      </c>
      <c r="F260" t="inlineStr">
        <is>
          <t>Hutchison Drei Austria GmbH, Brünner Straße 52, 1210 Wien, Österreich</t>
        </is>
      </c>
      <c r="I260" t="b">
        <v>0</v>
      </c>
      <c r="J260" s="214" t="n">
        <v>13.91</v>
      </c>
      <c r="K260" s="215">
        <f>$J260*$L260</f>
        <v/>
      </c>
      <c r="L260" s="159" t="n">
        <v>1</v>
      </c>
      <c r="M260" s="159" t="n">
        <v>0.2</v>
      </c>
      <c r="N260" s="215">
        <f>$P260*$M260</f>
        <v/>
      </c>
      <c r="O260" s="215">
        <f>L260*$N260</f>
        <v/>
      </c>
      <c r="P260" s="215">
        <f>$J260/(100%+$M260)</f>
        <v/>
      </c>
      <c r="Q260" s="215">
        <f>$L260*$P260</f>
        <v/>
      </c>
      <c r="R260" s="192">
        <f>voranmeldefrist_vierteljaehrlich(E260)</f>
        <v/>
      </c>
      <c r="T260" s="220">
        <f>IF(G260=TRUE,Q260/F260,Q260)</f>
        <v/>
      </c>
      <c r="U260" s="221">
        <f>$S260/100*$K260</f>
        <v/>
      </c>
    </row>
    <row r="261">
      <c r="A261" s="212" t="n">
        <v>2025</v>
      </c>
      <c r="B261" s="213" t="n">
        <v>83</v>
      </c>
      <c r="C261" s="71" t="inlineStr">
        <is>
          <t>Ausgaben</t>
        </is>
      </c>
      <c r="D261" t="inlineStr">
        <is>
          <t>sonstige Betriebsausgaben</t>
        </is>
      </c>
      <c r="E261" s="1" t="n">
        <v>45873</v>
      </c>
      <c r="F261" t="inlineStr">
        <is>
          <t>Marktgemeinde Bisamberg, Hauptstraße 2, 2102 Bisamberg</t>
        </is>
      </c>
      <c r="I261" t="b">
        <v>0</v>
      </c>
      <c r="J261" s="214" t="n">
        <v>234.71</v>
      </c>
      <c r="K261" s="215">
        <f>$J261*$L261</f>
        <v/>
      </c>
      <c r="L261" s="159">
        <f>14.6/158.43</f>
        <v/>
      </c>
      <c r="M261" s="159" t="inlineStr">
        <is>
          <t>gemischt</t>
        </is>
      </c>
      <c r="N261" s="215" t="n">
        <v>20.99</v>
      </c>
      <c r="O261" s="215">
        <f>L261*$N261</f>
        <v/>
      </c>
      <c r="P261" s="215" t="n">
        <v>213.72</v>
      </c>
      <c r="Q261" s="215">
        <f>$L261*$P261</f>
        <v/>
      </c>
      <c r="R261" s="192">
        <f>voranmeldefrist_vierteljaehrlich(E261)</f>
        <v/>
      </c>
      <c r="T261" s="220">
        <f>IF(G261=TRUE,Q261/F261,Q261)</f>
        <v/>
      </c>
      <c r="U261" s="221">
        <f>$S261/100*$K261</f>
        <v/>
      </c>
    </row>
    <row r="262">
      <c r="A262" s="212" t="n">
        <v>2025</v>
      </c>
      <c r="B262" s="213" t="n">
        <v>84</v>
      </c>
      <c r="C262" s="71" t="inlineStr">
        <is>
          <t>Ausgaben</t>
        </is>
      </c>
      <c r="D262" t="inlineStr">
        <is>
          <t>sonstige Betriebsausgaben</t>
        </is>
      </c>
      <c r="E262" s="1" t="n">
        <v>45873</v>
      </c>
      <c r="F262" t="inlineStr">
        <is>
          <t>Parkgarage Rathauspark, BOE Gebäudemanagement GmbH, Kärntner Straße 13-15, 1010 Wien, ATU39310009</t>
        </is>
      </c>
      <c r="I262" t="b">
        <v>0</v>
      </c>
      <c r="J262" s="214" t="n">
        <v>36</v>
      </c>
      <c r="K262" s="215">
        <f>$J262*$L262</f>
        <v/>
      </c>
      <c r="L262" s="159" t="n">
        <v>1</v>
      </c>
      <c r="M262" s="159" t="n">
        <v>0.2</v>
      </c>
      <c r="N262" s="215">
        <f>$P262*$M262</f>
        <v/>
      </c>
      <c r="O262" s="215">
        <f>L262*$N262</f>
        <v/>
      </c>
      <c r="P262" s="215">
        <f>$J262/(100%+$M262)</f>
        <v/>
      </c>
      <c r="Q262" s="215">
        <f>$L262*$P262</f>
        <v/>
      </c>
      <c r="R262" s="192">
        <f>voranmeldefrist_vierteljaehrlich(E262)</f>
        <v/>
      </c>
      <c r="U262" s="221">
        <f>$S262/100*$K262</f>
        <v/>
      </c>
    </row>
    <row r="263">
      <c r="A263" s="212" t="n">
        <v>2025</v>
      </c>
      <c r="B263" s="213" t="n">
        <v>85</v>
      </c>
      <c r="C263" s="71" t="inlineStr">
        <is>
          <t>Ausgaben</t>
        </is>
      </c>
      <c r="D263" t="inlineStr">
        <is>
          <t>sonstige Betriebsausgaben</t>
        </is>
      </c>
      <c r="E263" s="1" t="n">
        <v>45873</v>
      </c>
      <c r="F263" t="inlineStr">
        <is>
          <t>Google Cloud EMEA Limited, Velasco, Clanwilliam Place, Dublin 2, Ireland, VAT IE3668997OH</t>
        </is>
      </c>
      <c r="I263" t="b">
        <v>0</v>
      </c>
      <c r="J263" s="214" t="n">
        <v>15.57</v>
      </c>
      <c r="K263" s="215">
        <f>$J263*$L263</f>
        <v/>
      </c>
      <c r="L263" s="159" t="n">
        <v>1</v>
      </c>
      <c r="M263" s="159" t="n">
        <v>0</v>
      </c>
      <c r="N263" s="215">
        <f>$P263*$M263</f>
        <v/>
      </c>
      <c r="O263" s="215">
        <f>L263*$N263</f>
        <v/>
      </c>
      <c r="P263" s="215">
        <f>$J263/(100%+$M263)</f>
        <v/>
      </c>
      <c r="Q263" s="215">
        <f>$L263*$P263</f>
        <v/>
      </c>
      <c r="R263" s="192">
        <f>voranmeldefrist_vierteljaehrlich(E263)</f>
        <v/>
      </c>
      <c r="S263" t="n">
        <v>20</v>
      </c>
      <c r="T263" s="220">
        <f>IF(G263=TRUE,Q263/F263,Q263)</f>
        <v/>
      </c>
      <c r="U263" s="221">
        <f>$S263/100*$K263</f>
        <v/>
      </c>
    </row>
    <row r="264">
      <c r="A264" s="212" t="n">
        <v>2025</v>
      </c>
      <c r="B264" s="213" t="n">
        <v>86</v>
      </c>
      <c r="C264" s="71" t="inlineStr">
        <is>
          <t>Ausgaben</t>
        </is>
      </c>
      <c r="D264" t="inlineStr">
        <is>
          <t>Reise- und Fahrtspesen inkl. Kilometergeld und Diäten</t>
        </is>
      </c>
      <c r="E264" s="1" t="n">
        <v>45874</v>
      </c>
      <c r="F264" t="inlineStr">
        <is>
          <t>Verkehrsbund Ost-Region (VOR) GesmbH</t>
        </is>
      </c>
      <c r="I264" t="b">
        <v>0</v>
      </c>
      <c r="J264" s="214" t="n">
        <v>898</v>
      </c>
      <c r="K264" s="215">
        <f>$J264*$L264</f>
        <v/>
      </c>
      <c r="L264" s="159" t="n">
        <v>1</v>
      </c>
      <c r="M264" s="159" t="n">
        <v>0.1</v>
      </c>
      <c r="N264" s="215">
        <f>$P264*$M264</f>
        <v/>
      </c>
      <c r="O264" s="215">
        <f>L264*$N264</f>
        <v/>
      </c>
      <c r="P264" s="215">
        <f>$J264/(100%+$M264)</f>
        <v/>
      </c>
      <c r="Q264" s="215">
        <f>$L264*$P264</f>
        <v/>
      </c>
      <c r="R264" s="192">
        <f>voranmeldefrist_vierteljaehrlich(E264)</f>
        <v/>
      </c>
      <c r="U264" s="221">
        <f>$S264/100*$K264</f>
        <v/>
      </c>
    </row>
    <row r="265">
      <c r="A265" s="212" t="n">
        <v>2025</v>
      </c>
      <c r="B265" s="213" t="n">
        <v>87</v>
      </c>
      <c r="C265" s="71" t="inlineStr">
        <is>
          <t>Ausgaben</t>
        </is>
      </c>
      <c r="D265" t="inlineStr">
        <is>
          <t>sonstige Betriebsausgaben</t>
        </is>
      </c>
      <c r="E265" s="1" t="n">
        <v>45882</v>
      </c>
      <c r="F265" t="inlineStr">
        <is>
          <t>Hetzner Online GmbH, Industriestraße 25, 91710 Gunzenhausen</t>
        </is>
      </c>
      <c r="I265" t="b">
        <v>0</v>
      </c>
      <c r="J265" s="214" t="n">
        <v>56</v>
      </c>
      <c r="K265" s="215">
        <f>$J265*$L265</f>
        <v/>
      </c>
      <c r="L265" s="159" t="n">
        <v>1</v>
      </c>
      <c r="M265" s="159" t="n">
        <v>0</v>
      </c>
      <c r="N265" s="215">
        <f>$P265*$M265</f>
        <v/>
      </c>
      <c r="O265" s="215">
        <f>L265*$N265</f>
        <v/>
      </c>
      <c r="P265" s="215">
        <f>$J265/(100%+$M265)</f>
        <v/>
      </c>
      <c r="Q265" s="215">
        <f>$L265*$P265</f>
        <v/>
      </c>
      <c r="R265" s="192">
        <f>voranmeldefrist_vierteljaehrlich(E265)</f>
        <v/>
      </c>
      <c r="S265" t="n">
        <v>20</v>
      </c>
      <c r="T265" s="220">
        <f>IF(G265=TRUE,Q265/F265,Q265)</f>
        <v/>
      </c>
      <c r="U265" s="221">
        <f>$S265/100*$K265</f>
        <v/>
      </c>
    </row>
    <row r="266">
      <c r="A266" s="212" t="n">
        <v>2025</v>
      </c>
      <c r="B266" s="213" t="n">
        <v>88</v>
      </c>
      <c r="C266" s="71" t="inlineStr">
        <is>
          <t>Ausgaben</t>
        </is>
      </c>
      <c r="D266" t="inlineStr">
        <is>
          <t>sonstige Betriebsausgaben</t>
        </is>
      </c>
      <c r="E266" s="1" t="n">
        <v>45883</v>
      </c>
      <c r="F266" t="inlineStr">
        <is>
          <t>Hetzner Online GmbH, Industriestraße 25, 91710 Gunzenhausen</t>
        </is>
      </c>
      <c r="I266" t="b">
        <v>0</v>
      </c>
      <c r="J266" s="214" t="n">
        <v>9.16</v>
      </c>
      <c r="K266" s="215">
        <f>$J266*$L266</f>
        <v/>
      </c>
      <c r="L266" s="159" t="n">
        <v>1</v>
      </c>
      <c r="M266" s="159" t="n">
        <v>0</v>
      </c>
      <c r="N266" s="215">
        <f>$P266*$M266</f>
        <v/>
      </c>
      <c r="O266" s="215">
        <f>L266*$N266</f>
        <v/>
      </c>
      <c r="P266" s="215">
        <f>$J266/(100%+$M266)</f>
        <v/>
      </c>
      <c r="Q266" s="215">
        <f>$L266*$P266</f>
        <v/>
      </c>
      <c r="R266" s="192">
        <f>voranmeldefrist_vierteljaehrlich(E266)</f>
        <v/>
      </c>
      <c r="S266" t="n">
        <v>20</v>
      </c>
      <c r="T266" s="220">
        <f>IF(G266=TRUE,Q266/F266,Q266)</f>
        <v/>
      </c>
      <c r="U266" s="221">
        <f>$S266/100*$K266</f>
        <v/>
      </c>
    </row>
    <row r="267">
      <c r="A267" s="212" t="n">
        <v>2025</v>
      </c>
      <c r="B267" s="213" t="n">
        <v>89</v>
      </c>
      <c r="C267" s="71" t="inlineStr">
        <is>
          <t>Einnahmen</t>
        </is>
      </c>
      <c r="D267" t="inlineStr">
        <is>
          <t>Waren-/Leistungserlöse</t>
        </is>
      </c>
      <c r="E267" s="1" t="n">
        <v>45887</v>
      </c>
      <c r="F267" t="inlineStr">
        <is>
          <t>Hays Österreich GmbH, Bahnhof City Wien West - Europaplatz 3/5, 1150 Wien</t>
        </is>
      </c>
      <c r="I267" t="b">
        <v>0</v>
      </c>
      <c r="J267" s="214" t="n">
        <v>21673.49</v>
      </c>
      <c r="K267" s="215">
        <f>$J267*$L267</f>
        <v/>
      </c>
      <c r="L267" s="159" t="n">
        <v>1</v>
      </c>
      <c r="M267" s="159" t="n">
        <v>0.2</v>
      </c>
      <c r="N267" s="215">
        <f>$P267*$M267</f>
        <v/>
      </c>
      <c r="O267" s="215">
        <f>L267*$N267</f>
        <v/>
      </c>
      <c r="P267" s="215">
        <f>$J267/(100%+$M267)</f>
        <v/>
      </c>
      <c r="Q267" s="215">
        <f>$L267*$P267</f>
        <v/>
      </c>
      <c r="R267" s="192">
        <f>voranmeldefrist_vierteljaehrlich(E267)</f>
        <v/>
      </c>
      <c r="T267" s="220">
        <f>IF(G267=TRUE,Q267/F267,Q267)</f>
        <v/>
      </c>
      <c r="U267" s="221">
        <f>$S267/100*$K267</f>
        <v/>
      </c>
    </row>
    <row r="268">
      <c r="A268" s="212" t="n">
        <v>2025</v>
      </c>
      <c r="B268" s="213" t="n">
        <v>90</v>
      </c>
      <c r="C268" s="71" t="inlineStr">
        <is>
          <t>Ausgaben</t>
        </is>
      </c>
      <c r="D268" t="inlineStr">
        <is>
          <t>sonstige Betriebsausgaben</t>
        </is>
      </c>
      <c r="E268" s="1" t="n">
        <v>45888</v>
      </c>
      <c r="F268" t="inlineStr">
        <is>
          <t>Microsoft Ireland Operations Ltd. One Microsoft Place, South County, Business Park, Leopardstown, Dublin 18, D18 P521, Ireland</t>
        </is>
      </c>
      <c r="I268" t="b">
        <v>0</v>
      </c>
      <c r="J268" s="214" t="n">
        <v>11.7</v>
      </c>
      <c r="K268" s="215">
        <f>$J268*$L268</f>
        <v/>
      </c>
      <c r="L268" s="159" t="n">
        <v>1</v>
      </c>
      <c r="M268" s="159" t="n">
        <v>0</v>
      </c>
      <c r="N268" s="215">
        <f>$P268*$M268</f>
        <v/>
      </c>
      <c r="O268" s="215">
        <f>L268*$N268</f>
        <v/>
      </c>
      <c r="P268" s="215">
        <f>$J268/(100%+$M268)</f>
        <v/>
      </c>
      <c r="Q268" s="215">
        <f>$L268*$P268</f>
        <v/>
      </c>
      <c r="R268" s="192">
        <f>voranmeldefrist_vierteljaehrlich(E268)</f>
        <v/>
      </c>
      <c r="S268" t="n">
        <v>20</v>
      </c>
      <c r="T268" s="220">
        <f>IF(G268=TRUE,Q268/F268,Q268)</f>
        <v/>
      </c>
      <c r="U268" s="221">
        <f>$S268/100*$K268</f>
        <v/>
      </c>
    </row>
    <row r="269">
      <c r="A269" s="212" t="n">
        <v>2025</v>
      </c>
      <c r="B269" s="213" t="n">
        <v>91</v>
      </c>
      <c r="C269" s="71" t="inlineStr">
        <is>
          <t>Ausgaben</t>
        </is>
      </c>
      <c r="D269" t="inlineStr">
        <is>
          <t>sonstige Betriebsausgaben</t>
        </is>
      </c>
      <c r="E269" s="1" t="n">
        <v>45894</v>
      </c>
      <c r="F269" t="inlineStr">
        <is>
          <t>OpenAI, LLC, 548 Market Street, PMB 97273, San Francisco, California 94104-5401, United States</t>
        </is>
      </c>
      <c r="I269" t="b">
        <v>0</v>
      </c>
      <c r="J269" s="214" t="n">
        <v>21.03</v>
      </c>
      <c r="K269" s="215">
        <f>$J269*$L269</f>
        <v/>
      </c>
      <c r="L269" s="159" t="n">
        <v>1</v>
      </c>
      <c r="M269" s="159" t="n">
        <v>0.2</v>
      </c>
      <c r="N269" s="215">
        <f>$P269*$M269</f>
        <v/>
      </c>
      <c r="O269" s="215">
        <f>L269*$N269</f>
        <v/>
      </c>
      <c r="P269" s="215">
        <f>($J269-0.32)/(100%+$M269)</f>
        <v/>
      </c>
      <c r="Q269" s="215">
        <f>$L269*$P269</f>
        <v/>
      </c>
      <c r="R269" s="192">
        <f>voranmeldefrist_vierteljaehrlich(E269)</f>
        <v/>
      </c>
      <c r="T269" s="220">
        <f>IF(G269=TRUE,Q269/F269,Q269)</f>
        <v/>
      </c>
      <c r="U269" s="221">
        <f>$S269/100*$K269</f>
        <v/>
      </c>
    </row>
    <row r="270">
      <c r="A270" s="212" t="n">
        <v>2025</v>
      </c>
      <c r="B270" s="213" t="n">
        <v>92</v>
      </c>
      <c r="C270" s="71" t="inlineStr">
        <is>
          <t>Ausgaben</t>
        </is>
      </c>
      <c r="D270" t="inlineStr">
        <is>
          <t>Telefon/Internet</t>
        </is>
      </c>
      <c r="E270" s="1" t="n">
        <v>45903</v>
      </c>
      <c r="F270" t="inlineStr">
        <is>
          <t>Hutchison Drei Austria GmbH, Brünner Straße 52, 1210 Wien, Österreich</t>
        </is>
      </c>
      <c r="I270" t="b">
        <v>0</v>
      </c>
      <c r="J270" s="214" t="n">
        <v>13.91</v>
      </c>
      <c r="K270" s="215">
        <f>$J270*$L270</f>
        <v/>
      </c>
      <c r="L270" s="159" t="n">
        <v>1</v>
      </c>
      <c r="M270" s="159" t="n">
        <v>0.2</v>
      </c>
      <c r="N270" s="215">
        <f>$P270*$M270</f>
        <v/>
      </c>
      <c r="O270" s="215">
        <f>L270*$N270</f>
        <v/>
      </c>
      <c r="P270" s="215">
        <f>$J270/(100%+$M270)</f>
        <v/>
      </c>
      <c r="Q270" s="215">
        <f>$L270*$P270</f>
        <v/>
      </c>
      <c r="R270" s="192">
        <f>voranmeldefrist_vierteljaehrlich(E270)</f>
        <v/>
      </c>
      <c r="T270" s="220">
        <f>IF(G270=TRUE,Q270/F270,Q270)</f>
        <v/>
      </c>
      <c r="U270" s="221">
        <f>$S270/100*$K270</f>
        <v/>
      </c>
    </row>
    <row r="271">
      <c r="A271" s="212" t="n">
        <v>2025</v>
      </c>
      <c r="B271" s="213" t="n">
        <v>93</v>
      </c>
      <c r="C271" s="71" t="inlineStr">
        <is>
          <t>Ausgaben</t>
        </is>
      </c>
      <c r="D271" t="inlineStr">
        <is>
          <t>sonstige Betriebsausgaben</t>
        </is>
      </c>
      <c r="E271" s="1" t="n">
        <v>45903</v>
      </c>
      <c r="F271" t="inlineStr">
        <is>
          <t>Google Cloud EMEA Limited, Velasco, Clanwilliam Place, Dublin 2, Ireland, VAT IE3668997OH</t>
        </is>
      </c>
      <c r="I271" t="b">
        <v>0</v>
      </c>
      <c r="J271" s="214" t="n">
        <v>16.2</v>
      </c>
      <c r="K271" s="215">
        <f>$J271*$L271</f>
        <v/>
      </c>
      <c r="L271" s="159" t="n">
        <v>1</v>
      </c>
      <c r="M271" s="159" t="n">
        <v>0</v>
      </c>
      <c r="N271" s="215">
        <f>$P271*$M271</f>
        <v/>
      </c>
      <c r="O271" s="215">
        <f>L271*$N271</f>
        <v/>
      </c>
      <c r="P271" s="215">
        <f>$J271/(100%+$M271)</f>
        <v/>
      </c>
      <c r="Q271" s="215">
        <f>$L271*$P271</f>
        <v/>
      </c>
      <c r="R271" s="192">
        <f>voranmeldefrist_vierteljaehrlich(E271)</f>
        <v/>
      </c>
      <c r="S271" t="n">
        <v>20</v>
      </c>
      <c r="T271" s="220">
        <f>IF(G271=TRUE,Q271/F271,Q271)</f>
        <v/>
      </c>
      <c r="U271" s="221">
        <f>$S271/100*$K271</f>
        <v/>
      </c>
    </row>
    <row r="272">
      <c r="A272" s="212" t="n">
        <v>2025</v>
      </c>
      <c r="B272" s="213" t="n">
        <v>94</v>
      </c>
      <c r="C272" s="71" t="inlineStr">
        <is>
          <t>Ausgaben</t>
        </is>
      </c>
      <c r="D272" t="inlineStr">
        <is>
          <t>sonstige Betriebsausgaben</t>
        </is>
      </c>
      <c r="E272" s="1" t="n">
        <v>45908</v>
      </c>
      <c r="F272" t="inlineStr">
        <is>
          <t>EVN Wasser GmbH</t>
        </is>
      </c>
      <c r="I272" t="b">
        <v>0</v>
      </c>
      <c r="J272" s="214" t="n">
        <v>616.98</v>
      </c>
      <c r="K272" s="215">
        <f>$J272*$L272</f>
        <v/>
      </c>
      <c r="L272" s="159">
        <f>14.6/158.43</f>
        <v/>
      </c>
      <c r="M272" s="159" t="n">
        <v>0.1</v>
      </c>
      <c r="N272" s="215">
        <f>$P272*$M272</f>
        <v/>
      </c>
      <c r="O272" s="215">
        <f>L272*$N272</f>
        <v/>
      </c>
      <c r="P272" s="215">
        <f>$J272/(100%+$M272)</f>
        <v/>
      </c>
      <c r="Q272" s="215">
        <f>$L272*$P272</f>
        <v/>
      </c>
      <c r="R272" s="192">
        <f>voranmeldefrist_vierteljaehrlich(E272)</f>
        <v/>
      </c>
      <c r="T272" s="220">
        <f>IF(G272=TRUE,Q272/F272,Q272)</f>
        <v/>
      </c>
      <c r="U272" s="221">
        <f>$S272/100*$K272</f>
        <v/>
      </c>
    </row>
    <row r="273">
      <c r="A273" s="212" t="n">
        <v>2025</v>
      </c>
      <c r="B273" s="213" t="n">
        <v>95</v>
      </c>
      <c r="C273" s="71" t="inlineStr">
        <is>
          <t>Ausgaben</t>
        </is>
      </c>
      <c r="D273" t="inlineStr">
        <is>
          <t>sonstige Betriebsausgaben</t>
        </is>
      </c>
      <c r="E273" s="1" t="n">
        <v>45910</v>
      </c>
      <c r="F273" t="inlineStr">
        <is>
          <t>Wien Energie Vertrieb GmbH &amp; Co KG, 1030 Wien, Pf 520</t>
        </is>
      </c>
      <c r="I273" t="b">
        <v>0</v>
      </c>
      <c r="J273" s="214" t="n">
        <v>4891.59</v>
      </c>
      <c r="K273" s="215">
        <f>$J273*$L273</f>
        <v/>
      </c>
      <c r="L273" s="159">
        <f>14.6/158.43</f>
        <v/>
      </c>
      <c r="M273" s="159" t="n">
        <v>0.2</v>
      </c>
      <c r="N273" s="215">
        <f>$P273*$M273</f>
        <v/>
      </c>
      <c r="O273" s="215">
        <f>L273*$N273</f>
        <v/>
      </c>
      <c r="P273" s="215">
        <f>$J273/(100%+$M273)</f>
        <v/>
      </c>
      <c r="Q273" s="215">
        <f>$L273*$P273</f>
        <v/>
      </c>
      <c r="R273" s="192">
        <f>voranmeldefrist_vierteljaehrlich(E273)</f>
        <v/>
      </c>
      <c r="T273" s="220">
        <f>IF(G273=TRUE,Q273/F273,Q273)</f>
        <v/>
      </c>
      <c r="U273" s="221">
        <f>$S273/100*$K273</f>
        <v/>
      </c>
    </row>
    <row r="274">
      <c r="A274" s="212" t="n">
        <v>2025</v>
      </c>
      <c r="B274" s="213" t="n">
        <v>96</v>
      </c>
      <c r="C274" s="71" t="inlineStr">
        <is>
          <t>Einnahmen</t>
        </is>
      </c>
      <c r="D274" t="inlineStr">
        <is>
          <t>Waren-/Leistungserlöse</t>
        </is>
      </c>
      <c r="E274" s="1" t="n">
        <v>45910</v>
      </c>
      <c r="F274" t="inlineStr">
        <is>
          <t>Hays Österreich GmbH, Bahnhof City Wien West - Europaplatz 3/5, 1150 Wien</t>
        </is>
      </c>
      <c r="I274" t="b">
        <v>0</v>
      </c>
      <c r="J274" s="214" t="n">
        <v>11825.38</v>
      </c>
      <c r="K274" s="215">
        <f>$J274*$L274</f>
        <v/>
      </c>
      <c r="L274" s="159" t="n">
        <v>1</v>
      </c>
      <c r="M274" s="159" t="n">
        <v>0.2</v>
      </c>
      <c r="N274" s="215">
        <f>$P274*$M274</f>
        <v/>
      </c>
      <c r="O274" s="215">
        <f>L274*$N274</f>
        <v/>
      </c>
      <c r="P274" s="215">
        <f>$J274/(100%+$M274)</f>
        <v/>
      </c>
      <c r="Q274" s="215">
        <f>$L274*$P274</f>
        <v/>
      </c>
      <c r="R274" s="192">
        <f>voranmeldefrist_vierteljaehrlich(E274)</f>
        <v/>
      </c>
      <c r="T274" s="220">
        <f>IF(G274=TRUE,Q274/F274,Q274)</f>
        <v/>
      </c>
      <c r="U274" s="221">
        <f>$S274/100*$K274</f>
        <v/>
      </c>
    </row>
    <row r="275">
      <c r="A275" s="212" t="n">
        <v>2025</v>
      </c>
      <c r="B275" s="213" t="n">
        <v>97</v>
      </c>
      <c r="C275" s="71" t="inlineStr">
        <is>
          <t>Ausgaben</t>
        </is>
      </c>
      <c r="D275" t="inlineStr">
        <is>
          <t>sonstige Betriebsausgaben</t>
        </is>
      </c>
      <c r="E275" s="1" t="n">
        <v>45911</v>
      </c>
      <c r="F275" t="inlineStr">
        <is>
          <t>Hetzner Online GmbH, Industriestraße 25, 91710 Gunzenhausen</t>
        </is>
      </c>
      <c r="I275" t="b">
        <v>0</v>
      </c>
      <c r="J275" s="214" t="n">
        <v>56</v>
      </c>
      <c r="K275" s="215">
        <f>$J275*$L275</f>
        <v/>
      </c>
      <c r="L275" s="159" t="n">
        <v>1</v>
      </c>
      <c r="M275" s="159" t="n">
        <v>0</v>
      </c>
      <c r="N275" s="215">
        <f>$P275*$M275</f>
        <v/>
      </c>
      <c r="O275" s="215">
        <f>L275*$N275</f>
        <v/>
      </c>
      <c r="P275" s="215">
        <f>$J275/(100%+$M275)</f>
        <v/>
      </c>
      <c r="Q275" s="215">
        <f>$L275*$P275</f>
        <v/>
      </c>
      <c r="R275" s="192">
        <f>voranmeldefrist_vierteljaehrlich(E275)</f>
        <v/>
      </c>
      <c r="S275" t="n">
        <v>20</v>
      </c>
      <c r="T275" s="220">
        <f>IF(G275=TRUE,Q275/F275,Q275)</f>
        <v/>
      </c>
      <c r="U275" s="221">
        <f>$S275/100*$K275</f>
        <v/>
      </c>
    </row>
    <row r="276">
      <c r="A276" s="212" t="n">
        <v>2025</v>
      </c>
      <c r="B276" s="213" t="n">
        <v>98</v>
      </c>
      <c r="C276" s="71" t="inlineStr">
        <is>
          <t>Ausgaben</t>
        </is>
      </c>
      <c r="D276" t="inlineStr">
        <is>
          <t>Telefon/Internet</t>
        </is>
      </c>
      <c r="E276" s="1" t="n">
        <v>45915</v>
      </c>
      <c r="F276" t="inlineStr">
        <is>
          <t>kabelplus GmbH, Südstadtzentrum 4, 2344 Maria Enzersdorf</t>
        </is>
      </c>
      <c r="I276" t="b">
        <v>0</v>
      </c>
      <c r="J276" s="214" t="n">
        <v>58.89</v>
      </c>
      <c r="K276" s="215">
        <f>$J276*$L276</f>
        <v/>
      </c>
      <c r="L276" s="159" t="n">
        <v>0.67</v>
      </c>
      <c r="M276" s="159" t="inlineStr">
        <is>
          <t>gemischt</t>
        </is>
      </c>
      <c r="N276" s="215">
        <f>1.38+7.29</f>
        <v/>
      </c>
      <c r="O276" s="215">
        <f>L276*$N276</f>
        <v/>
      </c>
      <c r="P276" s="215" t="n">
        <v>50.22</v>
      </c>
      <c r="Q276" s="215">
        <f>$L276*$P276</f>
        <v/>
      </c>
      <c r="R276" s="192">
        <f>voranmeldefrist_vierteljaehrlich(E276)</f>
        <v/>
      </c>
      <c r="T276" s="220">
        <f>IF(G276=TRUE,Q276/F276,Q276)</f>
        <v/>
      </c>
      <c r="U276" s="221">
        <f>$S276/100*$K276</f>
        <v/>
      </c>
    </row>
    <row r="277">
      <c r="A277" s="212" t="n">
        <v>2025</v>
      </c>
      <c r="B277" s="213" t="n">
        <v>99</v>
      </c>
      <c r="C277" s="71" t="inlineStr">
        <is>
          <t>Ausgaben</t>
        </is>
      </c>
      <c r="D277" t="inlineStr">
        <is>
          <t>sonstige Betriebsausgaben</t>
        </is>
      </c>
      <c r="E277" s="1" t="n">
        <v>45915</v>
      </c>
      <c r="F277" t="inlineStr">
        <is>
          <t>Wirtschaftskammer Niederösterreich Grundumlage</t>
        </is>
      </c>
      <c r="I277" t="b">
        <v>0</v>
      </c>
      <c r="J277" s="214" t="n">
        <v>124</v>
      </c>
      <c r="K277" s="215">
        <f>$J277*$L277</f>
        <v/>
      </c>
      <c r="L277" s="159" t="n">
        <v>1</v>
      </c>
      <c r="M277" s="159" t="n">
        <v>0</v>
      </c>
      <c r="N277" s="215">
        <f>$P277*$M277</f>
        <v/>
      </c>
      <c r="O277" s="215">
        <f>L277*$N277</f>
        <v/>
      </c>
      <c r="P277" s="215">
        <f>$J277/(100%+$M277)</f>
        <v/>
      </c>
      <c r="Q277" s="215">
        <f>$L277*$P277</f>
        <v/>
      </c>
      <c r="R277" s="192">
        <f>voranmeldefrist_vierteljaehrlich(E277)</f>
        <v/>
      </c>
      <c r="T277" s="220">
        <f>IF(G277=TRUE,Q277/F277,Q277)</f>
        <v/>
      </c>
      <c r="U277" s="221">
        <f>$S277/100*$K277</f>
        <v/>
      </c>
    </row>
    <row r="278">
      <c r="A278" s="212" t="n">
        <v>2025</v>
      </c>
      <c r="B278" s="213" t="n">
        <v>100</v>
      </c>
      <c r="C278" s="71" t="inlineStr">
        <is>
          <t>Ausgaben</t>
        </is>
      </c>
      <c r="D278" t="inlineStr">
        <is>
          <t>sonstige Betriebsausgaben</t>
        </is>
      </c>
      <c r="E278" s="1" t="n">
        <v>45916</v>
      </c>
      <c r="F278" t="inlineStr">
        <is>
          <t>Hetzner Online GmbH, Industriestraße 25, 91710 Gunzenhausen</t>
        </is>
      </c>
      <c r="I278" t="b">
        <v>0</v>
      </c>
      <c r="J278" s="214" t="n">
        <v>19.66</v>
      </c>
      <c r="K278" s="215">
        <f>$J278*$L278</f>
        <v/>
      </c>
      <c r="L278" s="159" t="n">
        <v>1</v>
      </c>
      <c r="M278" s="159" t="n">
        <v>0</v>
      </c>
      <c r="N278" s="215">
        <f>$P278*$M278</f>
        <v/>
      </c>
      <c r="O278" s="215">
        <f>L278*$N278</f>
        <v/>
      </c>
      <c r="P278" s="215">
        <f>$J278/(100%+$M278)</f>
        <v/>
      </c>
      <c r="Q278" s="215">
        <f>$L278*$P278</f>
        <v/>
      </c>
      <c r="R278" s="192">
        <f>voranmeldefrist_vierteljaehrlich(E278)</f>
        <v/>
      </c>
      <c r="S278" t="n">
        <v>20</v>
      </c>
      <c r="T278" s="220">
        <f>IF(G278=TRUE,Q278/F278,Q278)</f>
        <v/>
      </c>
      <c r="U278" s="221">
        <f>$S278/100*$K278</f>
        <v/>
      </c>
    </row>
    <row r="279">
      <c r="A279" s="212" t="n">
        <v>2025</v>
      </c>
      <c r="B279" s="213" t="n">
        <v>101</v>
      </c>
      <c r="C279" s="71" t="inlineStr">
        <is>
          <t>Ausgaben</t>
        </is>
      </c>
      <c r="D279" t="inlineStr">
        <is>
          <t>sonstige Betriebsausgaben</t>
        </is>
      </c>
      <c r="E279" s="1" t="n">
        <v>45916</v>
      </c>
      <c r="F279" t="inlineStr">
        <is>
          <t>Amazon EU S. à r.l., 38 avenue John F. Kennedy, L-1855 Luxembourg</t>
        </is>
      </c>
      <c r="I279" t="b">
        <v>0</v>
      </c>
      <c r="J279" s="214" t="n">
        <v>19.51</v>
      </c>
      <c r="K279" s="215">
        <f>$J279*$L279</f>
        <v/>
      </c>
      <c r="L279" s="159" t="n">
        <v>1</v>
      </c>
      <c r="M279" s="159" t="n">
        <v>0.2</v>
      </c>
      <c r="N279" s="215">
        <f>$P279*$M279</f>
        <v/>
      </c>
      <c r="O279" s="215">
        <f>L279*$N279</f>
        <v/>
      </c>
      <c r="P279" s="215">
        <f>$J279/(100%+$M279)</f>
        <v/>
      </c>
      <c r="Q279" s="215">
        <f>$L279*$P279</f>
        <v/>
      </c>
      <c r="R279" s="192">
        <f>voranmeldefrist_vierteljaehrlich(E279)</f>
        <v/>
      </c>
      <c r="T279" s="220">
        <f>IF(G279=TRUE,Q279/F279,Q279)</f>
        <v/>
      </c>
      <c r="U279" s="221">
        <f>$S279/100*$K279</f>
        <v/>
      </c>
    </row>
    <row r="280">
      <c r="A280" s="212" t="n">
        <v>2025</v>
      </c>
      <c r="B280" s="213" t="n">
        <v>102</v>
      </c>
      <c r="C280" s="71" t="inlineStr">
        <is>
          <t>Ausgaben</t>
        </is>
      </c>
      <c r="D280" t="inlineStr">
        <is>
          <t>Büromaterial</t>
        </is>
      </c>
      <c r="E280" s="1" t="n">
        <v>45916</v>
      </c>
      <c r="F280" t="inlineStr">
        <is>
          <t>Amazon EU S. à r.l., 38 avenue John F. Kennedy, L-1855 Luxembourg</t>
        </is>
      </c>
      <c r="I280" t="b">
        <v>0</v>
      </c>
      <c r="J280" s="214" t="n">
        <v>15.58</v>
      </c>
      <c r="K280" s="215">
        <f>$J280*$L280</f>
        <v/>
      </c>
      <c r="L280" s="159" t="n">
        <v>1</v>
      </c>
      <c r="M280" s="159" t="n">
        <v>0.2</v>
      </c>
      <c r="N280" s="215">
        <f>$P280*$M280</f>
        <v/>
      </c>
      <c r="O280" s="215">
        <f>L280*$N280</f>
        <v/>
      </c>
      <c r="P280" s="215">
        <f>$J280/(100%+$M280)</f>
        <v/>
      </c>
      <c r="Q280" s="215">
        <f>$L280*$P280</f>
        <v/>
      </c>
      <c r="R280" s="192">
        <f>voranmeldefrist_vierteljaehrlich(E280)</f>
        <v/>
      </c>
      <c r="T280" s="220">
        <f>IF(G280=TRUE,Q280/F280,Q280)</f>
        <v/>
      </c>
      <c r="U280" s="221">
        <f>$S280/100*$K280</f>
        <v/>
      </c>
    </row>
    <row r="281">
      <c r="A281" s="212" t="n">
        <v>2025</v>
      </c>
      <c r="B281" s="213" t="n">
        <v>103</v>
      </c>
      <c r="C281" s="71" t="inlineStr">
        <is>
          <t>Ausgaben</t>
        </is>
      </c>
      <c r="D281" t="inlineStr">
        <is>
          <t>sonstige Betriebsausgaben</t>
        </is>
      </c>
      <c r="E281" s="1" t="n">
        <v>45922</v>
      </c>
      <c r="F281" t="inlineStr">
        <is>
          <t>Microsoft Ireland Operations Ltd. One Microsoft Place, South County, Business Park, Leopardstown, Dublin 18, D18 P521, Ireland</t>
        </is>
      </c>
      <c r="I281" t="b">
        <v>0</v>
      </c>
      <c r="J281" s="214" t="n">
        <v>11.7</v>
      </c>
      <c r="K281" s="215">
        <f>$J281*$L281</f>
        <v/>
      </c>
      <c r="L281" s="159" t="n">
        <v>1</v>
      </c>
      <c r="M281" s="159" t="n">
        <v>0</v>
      </c>
      <c r="N281" s="215">
        <f>$P281*$M281</f>
        <v/>
      </c>
      <c r="O281" s="215">
        <f>L281*$N281</f>
        <v/>
      </c>
      <c r="P281" s="215">
        <f>$J281/(100%+$M281)</f>
        <v/>
      </c>
      <c r="Q281" s="215">
        <f>$L281*$P281</f>
        <v/>
      </c>
      <c r="R281" s="192">
        <f>voranmeldefrist_vierteljaehrlich(E281)</f>
        <v/>
      </c>
      <c r="S281" t="n">
        <v>20</v>
      </c>
      <c r="T281" s="220">
        <f>IF(G281=TRUE,Q281/F281,Q281)</f>
        <v/>
      </c>
      <c r="U281" s="221">
        <f>$S281/100*$K281</f>
        <v/>
      </c>
    </row>
    <row r="282">
      <c r="A282" s="212" t="n">
        <v>2025</v>
      </c>
      <c r="B282" s="213" t="n">
        <v>104</v>
      </c>
      <c r="C282" s="71" t="inlineStr">
        <is>
          <t>Ausgaben</t>
        </is>
      </c>
      <c r="D282" t="inlineStr">
        <is>
          <t>sonstige Betriebsausgaben</t>
        </is>
      </c>
      <c r="E282" s="1" t="n">
        <v>45925</v>
      </c>
      <c r="F282" t="inlineStr">
        <is>
          <t>OpenAI, LLC, 548 Market Street, PMB 97273, San Francisco, California 94104-5401, United States</t>
        </is>
      </c>
      <c r="I282" t="b">
        <v>0</v>
      </c>
      <c r="J282" s="214" t="n">
        <v>20.78</v>
      </c>
      <c r="K282" s="215">
        <f>$J282*$L282</f>
        <v/>
      </c>
      <c r="L282" s="159" t="n">
        <v>1</v>
      </c>
      <c r="M282" s="159" t="n">
        <v>0.2</v>
      </c>
      <c r="N282" s="215">
        <f>$P282*$M282</f>
        <v/>
      </c>
      <c r="O282" s="215">
        <f>L282*$N282</f>
        <v/>
      </c>
      <c r="P282" s="215">
        <f>($J282-0.32)/(100%+$M282)</f>
        <v/>
      </c>
      <c r="Q282" s="215">
        <f>$L282*$P282</f>
        <v/>
      </c>
      <c r="R282" s="192">
        <f>voranmeldefrist_vierteljaehrlich(E282)</f>
        <v/>
      </c>
      <c r="T282" s="220">
        <f>IF(G282=TRUE,Q282/F282,Q282)</f>
        <v/>
      </c>
      <c r="U282" s="221">
        <f>$S282/100*$K282</f>
        <v/>
      </c>
    </row>
    <row r="283">
      <c r="A283" s="212" t="n">
        <v>2025</v>
      </c>
      <c r="B283" s="213" t="n">
        <v>105</v>
      </c>
      <c r="C283" s="71" t="inlineStr">
        <is>
          <t>Ausgaben</t>
        </is>
      </c>
      <c r="D283" t="inlineStr">
        <is>
          <t>sonstige Betriebsausgaben</t>
        </is>
      </c>
      <c r="E283" s="1" t="n">
        <v>45926</v>
      </c>
      <c r="F283" t="inlineStr">
        <is>
          <t>Libro Fill.3095</t>
        </is>
      </c>
      <c r="I283" t="b">
        <v>0</v>
      </c>
      <c r="J283" s="214" t="n">
        <v>36.29</v>
      </c>
      <c r="K283" s="215">
        <f>$J283*$L283</f>
        <v/>
      </c>
      <c r="L283" s="159" t="n">
        <v>1</v>
      </c>
      <c r="M283" s="159" t="n">
        <v>0.2</v>
      </c>
      <c r="N283" s="215">
        <f>$P283*$M283</f>
        <v/>
      </c>
      <c r="O283" s="215">
        <f>L283*$N283</f>
        <v/>
      </c>
      <c r="P283" s="215">
        <f>$J283/(100%+$M283)</f>
        <v/>
      </c>
      <c r="Q283" s="215">
        <f>$L283*$P283</f>
        <v/>
      </c>
      <c r="R283" s="192">
        <f>voranmeldefrist_vierteljaehrlich(E283)</f>
        <v/>
      </c>
      <c r="T283" s="220">
        <f>IF(G283=TRUE,Q283/F283,Q283)</f>
        <v/>
      </c>
      <c r="U283" s="221">
        <f>$S283/100*$K283</f>
        <v/>
      </c>
    </row>
    <row r="284">
      <c r="A284" s="212" t="n">
        <v>2025</v>
      </c>
      <c r="B284" s="213" t="n">
        <v>106</v>
      </c>
      <c r="C284" s="71" t="inlineStr">
        <is>
          <t>Ausgaben</t>
        </is>
      </c>
      <c r="D284" t="inlineStr">
        <is>
          <t>Telefon/Internet</t>
        </is>
      </c>
      <c r="E284" s="1" t="n">
        <v>45932</v>
      </c>
      <c r="F284" t="inlineStr">
        <is>
          <t>Hutchison Drei Austria GmbH, Brünner Straße 52, 1210 Wien, Österreich</t>
        </is>
      </c>
      <c r="I284" t="b">
        <v>0</v>
      </c>
      <c r="J284" s="214" t="n">
        <v>13.91</v>
      </c>
      <c r="K284" s="215">
        <f>$J284*$L284</f>
        <v/>
      </c>
      <c r="L284" s="159" t="n">
        <v>1</v>
      </c>
      <c r="M284" s="159" t="n">
        <v>0.2</v>
      </c>
      <c r="N284" s="215">
        <f>$P284*$M284</f>
        <v/>
      </c>
      <c r="O284" s="215">
        <f>L284*$N284</f>
        <v/>
      </c>
      <c r="P284" s="215">
        <f>$J284/(100%+$M284)</f>
        <v/>
      </c>
      <c r="Q284" s="215">
        <f>$L284*$P284</f>
        <v/>
      </c>
      <c r="R284" s="192">
        <f>voranmeldefrist_vierteljaehrlich(E284)</f>
        <v/>
      </c>
      <c r="T284" s="220">
        <f>IF(G284=TRUE,Q284/F284,Q284)</f>
        <v/>
      </c>
      <c r="U284" s="221">
        <f>$S284/100*$K284</f>
        <v/>
      </c>
    </row>
    <row r="285">
      <c r="A285" s="212" t="n">
        <v>2025</v>
      </c>
      <c r="B285" s="213" t="n">
        <v>107</v>
      </c>
      <c r="C285" s="71" t="inlineStr">
        <is>
          <t>Ausgaben</t>
        </is>
      </c>
      <c r="D285" t="inlineStr">
        <is>
          <t>sonstige Betriebsausgaben</t>
        </is>
      </c>
      <c r="E285" s="1" t="n">
        <v>45933</v>
      </c>
      <c r="F285" t="inlineStr">
        <is>
          <t>Google Cloud EMEA Limited, Velasco, Clanwilliam Place, Dublin 2, Ireland, VAT IE3668997OH</t>
        </is>
      </c>
      <c r="I285" t="b">
        <v>0</v>
      </c>
      <c r="J285" s="214" t="n">
        <v>16.2</v>
      </c>
      <c r="K285" s="215">
        <f>$J285*$L285</f>
        <v/>
      </c>
      <c r="L285" s="159" t="n">
        <v>1</v>
      </c>
      <c r="M285" s="159" t="n">
        <v>0</v>
      </c>
      <c r="N285" s="215">
        <f>$P285*$M285</f>
        <v/>
      </c>
      <c r="O285" s="215">
        <f>L285*$N285</f>
        <v/>
      </c>
      <c r="P285" s="215">
        <f>$J285/(100%+$M285)</f>
        <v/>
      </c>
      <c r="Q285" s="215">
        <f>$L285*$P285</f>
        <v/>
      </c>
      <c r="R285" s="192">
        <f>voranmeldefrist_vierteljaehrlich(E285)</f>
        <v/>
      </c>
      <c r="S285" t="n">
        <v>20</v>
      </c>
      <c r="T285" s="220">
        <f>IF(G285=TRUE,Q285/F285,Q285)</f>
        <v/>
      </c>
      <c r="U285" s="221">
        <f>$S285/100*$K285</f>
        <v/>
      </c>
    </row>
    <row r="286">
      <c r="A286" s="212" t="n">
        <v>2025</v>
      </c>
      <c r="B286" s="213" t="n">
        <v>108</v>
      </c>
      <c r="C286" s="71" t="inlineStr">
        <is>
          <t>Ausgaben</t>
        </is>
      </c>
      <c r="D286" t="inlineStr">
        <is>
          <t>sonstige Betriebsausgaben</t>
        </is>
      </c>
      <c r="E286" s="1" t="n">
        <v>45937</v>
      </c>
      <c r="F286" t="inlineStr">
        <is>
          <t>3W Die Steuerkanzlei, Roter Hof 1a, 1080 Wien</t>
        </is>
      </c>
      <c r="I286" t="b">
        <v>0</v>
      </c>
      <c r="J286" s="214" t="n">
        <v>1488</v>
      </c>
      <c r="K286" s="215">
        <f>$J286*$L286</f>
        <v/>
      </c>
      <c r="L286" s="159" t="n">
        <v>1</v>
      </c>
      <c r="M286" s="159" t="n">
        <v>0.2</v>
      </c>
      <c r="N286" s="215">
        <f>$P286*$M286</f>
        <v/>
      </c>
      <c r="O286" s="215">
        <f>L286*$N286</f>
        <v/>
      </c>
      <c r="P286" s="215">
        <f>$J286/(100%+$M286)</f>
        <v/>
      </c>
      <c r="Q286" s="215">
        <f>$L286*$P286</f>
        <v/>
      </c>
      <c r="R286" s="192">
        <f>voranmeldefrist_vierteljaehrlich(E286)</f>
        <v/>
      </c>
      <c r="T286" s="220">
        <f>IF(G286=TRUE,Q286/F286,Q286)</f>
        <v/>
      </c>
      <c r="U286" s="221">
        <f>$S286/100*$K286</f>
        <v/>
      </c>
    </row>
    <row r="287">
      <c r="A287" s="212" t="n">
        <v>2025</v>
      </c>
      <c r="B287" s="213" t="n">
        <v>109</v>
      </c>
      <c r="C287" s="71" t="inlineStr">
        <is>
          <t>Ausgaben</t>
        </is>
      </c>
      <c r="D287" t="inlineStr">
        <is>
          <t>sonstige Betriebsausgaben</t>
        </is>
      </c>
      <c r="E287" s="1" t="n">
        <v>45943</v>
      </c>
      <c r="F287" t="inlineStr">
        <is>
          <t>Hetzner Online GmbH, Industriestraße 25, 91710 Gunzenhausen</t>
        </is>
      </c>
      <c r="I287" t="b">
        <v>0</v>
      </c>
      <c r="J287" s="214" t="n">
        <v>56</v>
      </c>
      <c r="K287" s="215">
        <f>$J287*$L287</f>
        <v/>
      </c>
      <c r="L287" s="159" t="n">
        <v>1</v>
      </c>
      <c r="M287" s="159" t="n">
        <v>0</v>
      </c>
      <c r="N287" s="215">
        <f>$P287*$M287</f>
        <v/>
      </c>
      <c r="O287" s="215">
        <f>L287*$N287</f>
        <v/>
      </c>
      <c r="P287" s="215">
        <f>$J287/(100%+$M287)</f>
        <v/>
      </c>
      <c r="Q287" s="215">
        <f>$L287*$P287</f>
        <v/>
      </c>
      <c r="R287" s="192">
        <f>voranmeldefrist_vierteljaehrlich(E287)</f>
        <v/>
      </c>
      <c r="S287" t="n">
        <v>20</v>
      </c>
      <c r="T287" s="220">
        <f>IF(G287=TRUE,Q287/F287,Q287)</f>
        <v/>
      </c>
      <c r="U287" s="221">
        <f>$S287/100*$K287</f>
        <v/>
      </c>
    </row>
    <row r="288">
      <c r="A288" s="212" t="n">
        <v>2025</v>
      </c>
      <c r="B288" s="213" t="n">
        <v>110</v>
      </c>
      <c r="C288" s="71" t="inlineStr">
        <is>
          <t>Einnahmen</t>
        </is>
      </c>
      <c r="D288" t="inlineStr">
        <is>
          <t>Waren-/Leistungserlöse</t>
        </is>
      </c>
      <c r="E288" s="1" t="n">
        <v>45944</v>
      </c>
      <c r="F288" t="inlineStr">
        <is>
          <t>Hays Österreich GmbH, Bahnhof City Wien West - Europaplatz 3/5, 1150 Wien</t>
        </is>
      </c>
      <c r="I288" t="b">
        <v>0</v>
      </c>
      <c r="J288" s="214" t="n">
        <v>12360</v>
      </c>
      <c r="K288" s="215">
        <f>$J288*$L288</f>
        <v/>
      </c>
      <c r="L288" s="159" t="n">
        <v>1</v>
      </c>
      <c r="M288" s="159" t="n">
        <v>0.2</v>
      </c>
      <c r="N288" s="215">
        <f>$P288*$M288</f>
        <v/>
      </c>
      <c r="O288" s="215">
        <f>L288*$N288</f>
        <v/>
      </c>
      <c r="P288" s="215">
        <f>$J288/(100%+$M288)</f>
        <v/>
      </c>
      <c r="Q288" s="215">
        <f>$L288*$P288</f>
        <v/>
      </c>
      <c r="R288" s="192">
        <f>voranmeldefrist_vierteljaehrlich(E288)</f>
        <v/>
      </c>
      <c r="T288" s="220">
        <f>IF(G288=TRUE,Q288/F288,Q288)</f>
        <v/>
      </c>
      <c r="U288" s="221">
        <f>$S288/100*$K288</f>
        <v/>
      </c>
    </row>
    <row r="289">
      <c r="A289" s="212" t="n">
        <v>2025</v>
      </c>
      <c r="B289" s="213" t="n">
        <v>111</v>
      </c>
      <c r="C289" s="71" t="inlineStr">
        <is>
          <t>Ausgaben</t>
        </is>
      </c>
      <c r="D289" t="inlineStr">
        <is>
          <t>Telefon/Internet</t>
        </is>
      </c>
      <c r="E289" s="1" t="n">
        <v>45945</v>
      </c>
      <c r="F289" t="inlineStr">
        <is>
          <t>kabelplus GmbH, Südstadtzentrum 4, 2344 Maria Enzersdorf</t>
        </is>
      </c>
      <c r="I289" t="b">
        <v>0</v>
      </c>
      <c r="J289" s="214" t="n">
        <v>58.89</v>
      </c>
      <c r="K289" s="215">
        <f>$J289*$L289</f>
        <v/>
      </c>
      <c r="L289" s="159" t="n">
        <v>0.67</v>
      </c>
      <c r="M289" s="159" t="inlineStr">
        <is>
          <t>gemischt</t>
        </is>
      </c>
      <c r="N289" s="215">
        <f>1.38+7.29</f>
        <v/>
      </c>
      <c r="O289" s="215">
        <f>L289*$N289</f>
        <v/>
      </c>
      <c r="P289" s="215" t="n">
        <v>50.22</v>
      </c>
      <c r="Q289" s="215">
        <f>$L289*$P289</f>
        <v/>
      </c>
      <c r="R289" s="192">
        <f>voranmeldefrist_vierteljaehrlich(E289)</f>
        <v/>
      </c>
      <c r="T289" s="220">
        <f>IF(G289=TRUE,Q289/F289,Q289)</f>
        <v/>
      </c>
      <c r="U289" s="221">
        <f>$S289/100*$K289</f>
        <v/>
      </c>
    </row>
    <row r="290">
      <c r="A290" s="212" t="n">
        <v>2025</v>
      </c>
      <c r="B290" s="213" t="n">
        <v>112</v>
      </c>
      <c r="C290" s="71" t="inlineStr">
        <is>
          <t>Ausgaben</t>
        </is>
      </c>
      <c r="D290" t="inlineStr">
        <is>
          <t>sonstige Betriebsausgaben</t>
        </is>
      </c>
      <c r="E290" s="1" t="n">
        <v>45946</v>
      </c>
      <c r="F290" t="inlineStr">
        <is>
          <t>Hetzner Online GmbH, Industriestraße 25, 91710 Gunzenhausen</t>
        </is>
      </c>
      <c r="I290" t="b">
        <v>0</v>
      </c>
      <c r="J290" s="214" t="n">
        <v>9.16</v>
      </c>
      <c r="K290" s="215">
        <f>$J290*$L290</f>
        <v/>
      </c>
      <c r="L290" s="159" t="n">
        <v>1</v>
      </c>
      <c r="M290" s="159" t="n">
        <v>0</v>
      </c>
      <c r="N290" s="215">
        <f>$P290*$M290</f>
        <v/>
      </c>
      <c r="O290" s="215">
        <f>L290*$N290</f>
        <v/>
      </c>
      <c r="P290" s="215">
        <f>$J290/(100%+$M290)</f>
        <v/>
      </c>
      <c r="Q290" s="215">
        <f>$L290*$P290</f>
        <v/>
      </c>
      <c r="R290" s="192">
        <f>voranmeldefrist_vierteljaehrlich(E290)</f>
        <v/>
      </c>
      <c r="S290" t="n">
        <v>20</v>
      </c>
      <c r="T290" s="220">
        <f>IF(G290=TRUE,Q290/F290,Q290)</f>
        <v/>
      </c>
      <c r="U290" s="221">
        <f>$S290/100*$K290</f>
        <v/>
      </c>
    </row>
    <row r="291">
      <c r="A291" s="212" t="n">
        <v>2025</v>
      </c>
      <c r="B291" s="213" t="n">
        <v>113</v>
      </c>
      <c r="C291" s="71" t="inlineStr">
        <is>
          <t>Ausgaben</t>
        </is>
      </c>
      <c r="D291" t="inlineStr">
        <is>
          <t>sonstige Betriebsausgaben</t>
        </is>
      </c>
      <c r="E291" s="1" t="n">
        <v>45951</v>
      </c>
      <c r="F291" t="inlineStr">
        <is>
          <t>Microsoft Ireland Operations Ltd. One Microsoft Place, South County, Business Park, Leopardstown, Dublin 18, D18 P521, Ireland</t>
        </is>
      </c>
      <c r="I291" t="b">
        <v>0</v>
      </c>
      <c r="J291" s="214" t="n">
        <v>11.7</v>
      </c>
      <c r="K291" s="215">
        <f>$J291*$L291</f>
        <v/>
      </c>
      <c r="L291" s="159" t="n">
        <v>1</v>
      </c>
      <c r="M291" s="159" t="n">
        <v>0</v>
      </c>
      <c r="N291" s="215">
        <f>$P291*$M291</f>
        <v/>
      </c>
      <c r="O291" s="215">
        <f>L291*$N291</f>
        <v/>
      </c>
      <c r="P291" s="215">
        <f>$J291/(100%+$M291)</f>
        <v/>
      </c>
      <c r="Q291" s="215">
        <f>$L291*$P291</f>
        <v/>
      </c>
      <c r="R291" s="192">
        <f>voranmeldefrist_vierteljaehrlich(E291)</f>
        <v/>
      </c>
      <c r="S291" t="n">
        <v>20</v>
      </c>
      <c r="T291" s="220">
        <f>IF(G291=TRUE,Q291/F291,Q291)</f>
        <v/>
      </c>
      <c r="U291" s="221">
        <f>$S291/100*$K291</f>
        <v/>
      </c>
    </row>
    <row r="292">
      <c r="A292" s="212" t="n">
        <v>2025</v>
      </c>
      <c r="B292" s="213" t="n">
        <v>114</v>
      </c>
      <c r="C292" s="71" t="inlineStr">
        <is>
          <t>Ausgaben</t>
        </is>
      </c>
      <c r="D292" t="inlineStr">
        <is>
          <t>sonstige Betriebsausgaben</t>
        </is>
      </c>
      <c r="E292" s="1" t="n">
        <v>45957</v>
      </c>
      <c r="F292" t="inlineStr">
        <is>
          <t>OpenAI, LLC, 548 Market Street, PMB 97273, San Francisco, California 94104-5401, United States</t>
        </is>
      </c>
      <c r="I292" t="b">
        <v>0</v>
      </c>
      <c r="J292" s="214" t="n">
        <v>21.04</v>
      </c>
      <c r="K292" s="215">
        <f>$J292*$L292</f>
        <v/>
      </c>
      <c r="L292" s="159" t="n">
        <v>1</v>
      </c>
      <c r="M292" s="159" t="n">
        <v>0.2</v>
      </c>
      <c r="N292" s="215">
        <f>$P292*$M292</f>
        <v/>
      </c>
      <c r="O292" s="215">
        <f>L292*$N292</f>
        <v/>
      </c>
      <c r="P292" s="215">
        <f>($J292-0.32)/(100%+$M292)</f>
        <v/>
      </c>
      <c r="Q292" s="215">
        <f>$L292*$P292</f>
        <v/>
      </c>
      <c r="R292" s="192">
        <f>voranmeldefrist_vierteljaehrlich(E292)</f>
        <v/>
      </c>
      <c r="T292" s="220">
        <f>IF(G292=TRUE,Q292/F292,Q292)</f>
        <v/>
      </c>
      <c r="U292" s="221">
        <f>$S292/100*$K292</f>
        <v/>
      </c>
    </row>
    <row r="293">
      <c r="A293" s="212" t="n">
        <v>2025</v>
      </c>
      <c r="B293" s="213" t="n">
        <v>115</v>
      </c>
      <c r="C293" s="71" t="inlineStr">
        <is>
          <t>Ausgaben</t>
        </is>
      </c>
      <c r="D293" t="inlineStr">
        <is>
          <t>Lizenzgebühren</t>
        </is>
      </c>
      <c r="E293" s="1" t="n">
        <v>45957</v>
      </c>
      <c r="F293" t="inlineStr">
        <is>
          <t>Adobe Systems Software Ireland Ltd, 4-6 Riverwalk, Citywest Business Park, Dublin 24, Ireland, UID: IE6364992H</t>
        </is>
      </c>
      <c r="I293" t="b">
        <v>0</v>
      </c>
      <c r="J293" s="214" t="n">
        <v>20.28</v>
      </c>
      <c r="K293" s="215">
        <f>$J293*$L293</f>
        <v/>
      </c>
      <c r="L293" s="159" t="n">
        <v>1</v>
      </c>
      <c r="M293" s="159" t="n">
        <v>0</v>
      </c>
      <c r="N293" s="215">
        <f>$P293*$M293</f>
        <v/>
      </c>
      <c r="O293" s="215">
        <f>L293*$N293</f>
        <v/>
      </c>
      <c r="P293" s="215">
        <f>$J293/(100%+$M293)</f>
        <v/>
      </c>
      <c r="Q293" s="215">
        <f>$L293*$P293</f>
        <v/>
      </c>
      <c r="R293" s="192">
        <f>voranmeldefrist_vierteljaehrlich(E293)</f>
        <v/>
      </c>
      <c r="S293" t="n">
        <v>20</v>
      </c>
      <c r="T293" s="220">
        <f>IF(G293=TRUE,Q293/F293,Q293)</f>
        <v/>
      </c>
      <c r="U293" s="221">
        <f>$S293/100*$K293</f>
        <v/>
      </c>
    </row>
    <row r="294">
      <c r="A294" s="212" t="n">
        <v>2025</v>
      </c>
      <c r="B294" s="213" t="n">
        <v>116</v>
      </c>
      <c r="C294" s="71" t="inlineStr">
        <is>
          <t>Ausgaben</t>
        </is>
      </c>
      <c r="D294" t="inlineStr">
        <is>
          <t>sonstige Betriebsausgaben</t>
        </is>
      </c>
      <c r="E294" s="1" t="n">
        <v>45960</v>
      </c>
      <c r="F294" t="inlineStr">
        <is>
          <t>Marktgemeinde Bisamberg, Hauptstraße 2, 2102 Bisamberg</t>
        </is>
      </c>
      <c r="I294" t="b">
        <v>0</v>
      </c>
      <c r="J294" s="214" t="n">
        <v>234.72</v>
      </c>
      <c r="K294" s="215">
        <f>$J294*$L294</f>
        <v/>
      </c>
      <c r="L294" s="159">
        <f>14.6/158.43</f>
        <v/>
      </c>
      <c r="M294" s="159" t="inlineStr">
        <is>
          <t>gemischt</t>
        </is>
      </c>
      <c r="N294" s="215" t="n">
        <v>20.99</v>
      </c>
      <c r="O294" s="215">
        <f>L294*$N294</f>
        <v/>
      </c>
      <c r="P294" s="215" t="n">
        <v>213.72</v>
      </c>
      <c r="Q294" s="215">
        <f>$L294*$P294</f>
        <v/>
      </c>
      <c r="R294" s="192">
        <f>voranmeldefrist_vierteljaehrlich(E294)</f>
        <v/>
      </c>
      <c r="T294" s="220">
        <f>IF(G294=TRUE,Q294/F294,Q294)</f>
        <v/>
      </c>
      <c r="U294" s="221">
        <f>$S294/100*$K294</f>
        <v/>
      </c>
    </row>
    <row r="295">
      <c r="A295" s="212" t="n">
        <v>2025</v>
      </c>
      <c r="B295" s="213" t="n">
        <v>117</v>
      </c>
      <c r="C295" s="71" t="inlineStr">
        <is>
          <t>Ausgaben</t>
        </is>
      </c>
      <c r="D295" t="inlineStr">
        <is>
          <t>sonstige Betriebsausgaben</t>
        </is>
      </c>
      <c r="E295" s="1" t="n">
        <v>45961</v>
      </c>
      <c r="F295" s="3" t="inlineStr">
        <is>
          <t>gamingpc.store, Webtrade &amp; Consulting GmbH, Lastenstraße 42, 4020 Linz, Austria, UID: ATU71203967</t>
        </is>
      </c>
      <c r="I295" t="b">
        <v>1</v>
      </c>
      <c r="J295" s="214" t="n">
        <v>4575</v>
      </c>
      <c r="K295" s="215">
        <f>$J295*$L295</f>
        <v/>
      </c>
      <c r="L295" s="159" t="n">
        <v>1</v>
      </c>
      <c r="M295" s="159" t="n">
        <v>0.2</v>
      </c>
      <c r="N295" s="215">
        <f>$P295*$M295</f>
        <v/>
      </c>
      <c r="O295" s="215">
        <f>L295*$N295</f>
        <v/>
      </c>
      <c r="P295" s="215">
        <f>$J295/(100%+$M295)</f>
        <v/>
      </c>
      <c r="Q295" s="215">
        <f>$L295*$P295</f>
        <v/>
      </c>
      <c r="R295" s="192">
        <f>voranmeldefrist_vierteljaehrlich(E295)</f>
        <v/>
      </c>
      <c r="T295" s="220">
        <f>IF(G295=TRUE,Q295/F295,Q295)</f>
        <v/>
      </c>
      <c r="U295" s="221">
        <f>$S295/100*$K295</f>
        <v/>
      </c>
    </row>
    <row r="296">
      <c r="A296" s="212" t="n">
        <v>2025</v>
      </c>
      <c r="B296" s="213" t="n">
        <v>118</v>
      </c>
      <c r="C296" s="71" t="inlineStr">
        <is>
          <t>Ausgaben</t>
        </is>
      </c>
      <c r="D296" t="inlineStr">
        <is>
          <t>Lizenzgebühren</t>
        </is>
      </c>
      <c r="E296" s="1" t="n">
        <v>45964</v>
      </c>
      <c r="F296" t="inlineStr">
        <is>
          <t>Trimble Europe B.V., Industrieweg 187A, 5683 CC Best, Netherlands, VAT ID: NL.00.32.57.447.B01</t>
        </is>
      </c>
      <c r="I296" t="b">
        <v>0</v>
      </c>
      <c r="J296" s="214" t="n">
        <v>123</v>
      </c>
      <c r="K296" s="215">
        <f>$J296*$L296</f>
        <v/>
      </c>
      <c r="L296" s="159" t="n">
        <v>1</v>
      </c>
      <c r="M296" s="159" t="n">
        <v>0</v>
      </c>
      <c r="N296" s="215">
        <f>$P296*$M296</f>
        <v/>
      </c>
      <c r="O296" s="215">
        <f>L296*$N296</f>
        <v/>
      </c>
      <c r="P296" s="215">
        <f>$J296/(100%+$M296)</f>
        <v/>
      </c>
      <c r="Q296" s="215">
        <f>$L296*$P296</f>
        <v/>
      </c>
      <c r="R296" s="192">
        <f>voranmeldefrist_vierteljaehrlich(E296)</f>
        <v/>
      </c>
      <c r="S296" t="n">
        <v>20</v>
      </c>
      <c r="T296" s="220">
        <f>IF(G296=TRUE,Q296/F296,Q296)</f>
        <v/>
      </c>
      <c r="U296" s="221">
        <f>$S296/100*$K296</f>
        <v/>
      </c>
    </row>
    <row r="297">
      <c r="A297" s="212" t="n">
        <v>2025</v>
      </c>
      <c r="B297" s="213" t="n">
        <v>119</v>
      </c>
      <c r="C297" s="71" t="inlineStr">
        <is>
          <t>Ausgaben</t>
        </is>
      </c>
      <c r="D297" t="inlineStr">
        <is>
          <t>sonstige Betriebsausgaben</t>
        </is>
      </c>
      <c r="E297" s="1" t="n">
        <v>45964</v>
      </c>
      <c r="F297" t="inlineStr">
        <is>
          <t>Google Cloud EMEA Limited, Velasco, Clanwilliam Place, Dublin 2, Ireland, VAT IE3668997OH</t>
        </is>
      </c>
      <c r="I297" t="b">
        <v>0</v>
      </c>
      <c r="J297" s="214" t="n">
        <v>16.2</v>
      </c>
      <c r="K297" s="215">
        <f>$J297*$L297</f>
        <v/>
      </c>
      <c r="L297" s="159" t="n">
        <v>1</v>
      </c>
      <c r="M297" s="159" t="n">
        <v>0</v>
      </c>
      <c r="N297" s="215">
        <f>$P297*$M297</f>
        <v/>
      </c>
      <c r="O297" s="215">
        <f>L297*$N297</f>
        <v/>
      </c>
      <c r="P297" s="215">
        <f>$J297/(100%+$M297)</f>
        <v/>
      </c>
      <c r="Q297" s="215">
        <f>$L297*$P297</f>
        <v/>
      </c>
      <c r="R297" s="192">
        <f>voranmeldefrist_vierteljaehrlich(E297)</f>
        <v/>
      </c>
      <c r="S297" t="n">
        <v>20</v>
      </c>
      <c r="T297" s="220">
        <f>IF(G297=TRUE,Q297/F297,Q297)</f>
        <v/>
      </c>
      <c r="U297" s="221">
        <f>$S297/100*$K297</f>
        <v/>
      </c>
    </row>
    <row r="298">
      <c r="A298" s="212" t="n">
        <v>2025</v>
      </c>
      <c r="B298" s="213" t="n">
        <v>120</v>
      </c>
      <c r="C298" s="71" t="inlineStr">
        <is>
          <t>Ausgaben</t>
        </is>
      </c>
      <c r="D298" t="inlineStr">
        <is>
          <t>Telefon/Internet</t>
        </is>
      </c>
      <c r="E298" s="1" t="n">
        <v>45965</v>
      </c>
      <c r="F298" t="inlineStr">
        <is>
          <t>Hutchison Drei Austria GmbH, Brünner Straße 52, 1210 Wien, Österreich</t>
        </is>
      </c>
      <c r="I298" t="b">
        <v>0</v>
      </c>
      <c r="J298" s="214" t="n">
        <v>13.91</v>
      </c>
      <c r="K298" s="215">
        <f>$J298*$L298</f>
        <v/>
      </c>
      <c r="L298" s="159" t="n">
        <v>1</v>
      </c>
      <c r="M298" s="159" t="n">
        <v>0.2</v>
      </c>
      <c r="N298" s="215">
        <f>$P298*$M298</f>
        <v/>
      </c>
      <c r="O298" s="215">
        <f>L298*$N298</f>
        <v/>
      </c>
      <c r="P298" s="215">
        <f>$J298/(100%+$M298)</f>
        <v/>
      </c>
      <c r="Q298" s="215">
        <f>$L298*$P298</f>
        <v/>
      </c>
      <c r="R298" s="192">
        <f>voranmeldefrist_vierteljaehrlich(E298)</f>
        <v/>
      </c>
      <c r="T298" s="220">
        <f>IF(G298=TRUE,Q298/F298,Q298)</f>
        <v/>
      </c>
      <c r="U298" s="221">
        <f>$S298/100*$K298</f>
        <v/>
      </c>
    </row>
    <row r="299">
      <c r="A299" s="212" t="n">
        <v>2025</v>
      </c>
      <c r="B299" s="213" t="n">
        <v>121</v>
      </c>
      <c r="C299" s="71" t="inlineStr">
        <is>
          <t>Ausgaben</t>
        </is>
      </c>
      <c r="D299" t="inlineStr">
        <is>
          <t>Büromaterial</t>
        </is>
      </c>
      <c r="E299" s="1" t="n">
        <v>45970</v>
      </c>
      <c r="F299" t="inlineStr">
        <is>
          <t>Amazon EU S. à r.l., 38 avenue John F. Kennedy, L-1855 Luxembourg</t>
        </is>
      </c>
      <c r="I299" t="b">
        <v>0</v>
      </c>
      <c r="J299" s="214" t="n">
        <v>17.12</v>
      </c>
      <c r="K299" s="215">
        <f>$J299*$L299</f>
        <v/>
      </c>
      <c r="L299" s="159" t="n">
        <v>1</v>
      </c>
      <c r="M299" s="159" t="n">
        <v>0.2</v>
      </c>
      <c r="N299" s="215">
        <f>$P299*$M299</f>
        <v/>
      </c>
      <c r="O299" s="215">
        <f>L299*$N299</f>
        <v/>
      </c>
      <c r="P299" s="215">
        <f>$J299/(100%+$M299)</f>
        <v/>
      </c>
      <c r="Q299" s="215">
        <f>$L299*$P299</f>
        <v/>
      </c>
      <c r="R299" s="192">
        <f>voranmeldefrist_vierteljaehrlich(E299)</f>
        <v/>
      </c>
      <c r="T299" s="220">
        <f>IF(G299=TRUE,Q299/F299,Q299)</f>
        <v/>
      </c>
      <c r="U299" s="221">
        <f>$S299/100*$K299</f>
        <v/>
      </c>
    </row>
    <row r="300">
      <c r="A300" s="212" t="n">
        <v>2025</v>
      </c>
      <c r="B300" s="213" t="n">
        <v>122</v>
      </c>
      <c r="C300" s="71" t="inlineStr">
        <is>
          <t>Einnahmen</t>
        </is>
      </c>
      <c r="D300" t="inlineStr">
        <is>
          <t>Waren-/Leistungserlöse</t>
        </is>
      </c>
      <c r="E300" s="1" t="n">
        <v>45973</v>
      </c>
      <c r="F300" t="inlineStr">
        <is>
          <t>Hays Österreich GmbH, Bahnhof City Wien West - Europaplatz 3/5, 1150 Wien</t>
        </is>
      </c>
      <c r="I300" t="b">
        <v>0</v>
      </c>
      <c r="J300" s="214" t="n">
        <v>24032.83</v>
      </c>
      <c r="K300" s="215">
        <f>$J300*$L300</f>
        <v/>
      </c>
      <c r="L300" s="159" t="n">
        <v>1</v>
      </c>
      <c r="M300" s="159" t="n">
        <v>0.2</v>
      </c>
      <c r="N300" s="215">
        <f>$P300*$M300</f>
        <v/>
      </c>
      <c r="O300" s="215">
        <f>L300*$N300</f>
        <v/>
      </c>
      <c r="P300" s="215">
        <f>$J300/(100%+$M300)</f>
        <v/>
      </c>
      <c r="Q300" s="215">
        <f>$L300*$P300</f>
        <v/>
      </c>
      <c r="R300" s="192">
        <f>voranmeldefrist_vierteljaehrlich(E300)</f>
        <v/>
      </c>
      <c r="T300" s="220">
        <f>IF(G300=TRUE,Q300/F300,Q300)</f>
        <v/>
      </c>
      <c r="U300" s="221">
        <f>$S300/100*$K300</f>
        <v/>
      </c>
    </row>
    <row r="301">
      <c r="A301" s="212" t="n">
        <v>2025</v>
      </c>
      <c r="B301" s="213" t="n">
        <v>123</v>
      </c>
      <c r="C301" s="71" t="inlineStr">
        <is>
          <t>Ausgaben</t>
        </is>
      </c>
      <c r="D301" t="inlineStr">
        <is>
          <t>sonstige Betriebsausgaben</t>
        </is>
      </c>
      <c r="E301" s="1" t="n">
        <v>45974</v>
      </c>
      <c r="F301" t="inlineStr">
        <is>
          <t>Hetzner Online GmbH, Industriestraße 25, 91710 Gunzenhausen</t>
        </is>
      </c>
      <c r="I301" t="b">
        <v>0</v>
      </c>
      <c r="J301" s="214" t="n">
        <v>56</v>
      </c>
      <c r="K301" s="215">
        <f>$J301*$L301</f>
        <v/>
      </c>
      <c r="L301" s="159" t="n">
        <v>1</v>
      </c>
      <c r="M301" s="159" t="n">
        <v>0</v>
      </c>
      <c r="N301" s="215">
        <f>$P301*$M301</f>
        <v/>
      </c>
      <c r="O301" s="215">
        <f>L301*$N301</f>
        <v/>
      </c>
      <c r="P301" s="215">
        <f>$J301/(100%+$M301)</f>
        <v/>
      </c>
      <c r="Q301" s="215">
        <f>$L301*$P301</f>
        <v/>
      </c>
      <c r="R301" s="192">
        <f>voranmeldefrist_vierteljaehrlich(E301)</f>
        <v/>
      </c>
      <c r="S301" t="n">
        <v>20</v>
      </c>
      <c r="T301" s="220">
        <f>IF(G301=TRUE,Q301/F301,Q301)</f>
        <v/>
      </c>
      <c r="U301" s="221">
        <f>$S301/100*$K301</f>
        <v/>
      </c>
    </row>
    <row r="302">
      <c r="A302" s="212" t="n">
        <v>2025</v>
      </c>
      <c r="B302" s="213" t="n">
        <v>124</v>
      </c>
      <c r="C302" s="71" t="inlineStr">
        <is>
          <t>Ausgaben</t>
        </is>
      </c>
      <c r="D302" t="inlineStr">
        <is>
          <t>Telefon/Internet</t>
        </is>
      </c>
      <c r="E302" s="1" t="n">
        <v>45975</v>
      </c>
      <c r="F302" t="inlineStr">
        <is>
          <t>kabelplus GmbH, Südstadtzentrum 4, 2344 Maria Enzersdorf</t>
        </is>
      </c>
      <c r="I302" t="b">
        <v>0</v>
      </c>
      <c r="J302" s="214" t="n">
        <v>58.89</v>
      </c>
      <c r="K302" s="215">
        <f>$J302*$L302</f>
        <v/>
      </c>
      <c r="L302" s="159" t="n">
        <v>0.67</v>
      </c>
      <c r="M302" s="159" t="inlineStr">
        <is>
          <t>gemischt</t>
        </is>
      </c>
      <c r="N302" s="215">
        <f>1.38+7.29</f>
        <v/>
      </c>
      <c r="O302" s="215">
        <f>L302*$N302</f>
        <v/>
      </c>
      <c r="P302" s="215" t="n">
        <v>50.22</v>
      </c>
      <c r="Q302" s="215">
        <f>$L302*$P302</f>
        <v/>
      </c>
      <c r="R302" s="192">
        <f>voranmeldefrist_vierteljaehrlich(E302)</f>
        <v/>
      </c>
      <c r="T302" s="220">
        <f>IF(G302=TRUE,Q302/F302,Q302)</f>
        <v/>
      </c>
      <c r="U302" s="221">
        <f>$S302/100*$K302</f>
        <v/>
      </c>
    </row>
    <row r="303">
      <c r="A303" s="212" t="n">
        <v>2025</v>
      </c>
      <c r="B303" s="213" t="n">
        <v>125</v>
      </c>
      <c r="C303" s="71" t="inlineStr">
        <is>
          <t>Ausgaben</t>
        </is>
      </c>
      <c r="D303" t="inlineStr">
        <is>
          <t>sonstige Betriebsausgaben</t>
        </is>
      </c>
      <c r="E303" s="1" t="n">
        <v>45975</v>
      </c>
      <c r="F303" t="inlineStr">
        <is>
          <t>Hetzner Online GmbH, Industriestraße 25, 91710 Gunzenhausen</t>
        </is>
      </c>
      <c r="I303" t="b">
        <v>0</v>
      </c>
      <c r="J303" s="214" t="n">
        <v>9.16</v>
      </c>
      <c r="K303" s="215">
        <f>$J303*$L303</f>
        <v/>
      </c>
      <c r="L303" s="159" t="n">
        <v>1</v>
      </c>
      <c r="M303" s="159" t="n">
        <v>0</v>
      </c>
      <c r="N303" s="215">
        <f>$P303*$M303</f>
        <v/>
      </c>
      <c r="O303" s="215">
        <f>L303*$N303</f>
        <v/>
      </c>
      <c r="P303" s="215">
        <f>$J303/(100%+$M303)</f>
        <v/>
      </c>
      <c r="Q303" s="215">
        <f>$L303*$P303</f>
        <v/>
      </c>
      <c r="R303" s="192">
        <f>voranmeldefrist_vierteljaehrlich(E303)</f>
        <v/>
      </c>
      <c r="S303" t="n">
        <v>20</v>
      </c>
      <c r="T303" s="220">
        <f>IF(G303=TRUE,Q303/F303,Q303)</f>
        <v/>
      </c>
      <c r="U303" s="221">
        <f>$S303/100*$K303</f>
        <v/>
      </c>
    </row>
    <row r="304">
      <c r="A304" s="212" t="n">
        <v>2025</v>
      </c>
      <c r="B304" s="213" t="n">
        <v>126</v>
      </c>
      <c r="C304" s="71" t="inlineStr">
        <is>
          <t>Ausgaben</t>
        </is>
      </c>
      <c r="D304" t="inlineStr">
        <is>
          <t>sonstige Betriebsausgaben</t>
        </is>
      </c>
      <c r="E304" s="1" t="n">
        <v>45981</v>
      </c>
      <c r="F304" t="inlineStr">
        <is>
          <t>Microsoft Ireland Operations Ltd. One Microsoft Place, South County, Business Park, Leopardstown, Dublin 18, D18 P521, Ireland</t>
        </is>
      </c>
      <c r="I304" t="b">
        <v>0</v>
      </c>
      <c r="J304" s="214" t="n">
        <v>11.7</v>
      </c>
      <c r="K304" s="215">
        <f>$J304*$L304</f>
        <v/>
      </c>
      <c r="L304" s="159" t="n">
        <v>1</v>
      </c>
      <c r="M304" s="159" t="n">
        <v>0</v>
      </c>
      <c r="N304" s="215">
        <f>$P304*$M304</f>
        <v/>
      </c>
      <c r="O304" s="215">
        <f>L304*$N304</f>
        <v/>
      </c>
      <c r="P304" s="215">
        <f>$J304/(100%+$M304)</f>
        <v/>
      </c>
      <c r="Q304" s="215">
        <f>$L304*$P304</f>
        <v/>
      </c>
      <c r="R304" s="192">
        <f>voranmeldefrist_vierteljaehrlich(E304)</f>
        <v/>
      </c>
      <c r="S304" t="n">
        <v>20</v>
      </c>
      <c r="T304" s="220">
        <f>IF(G304=TRUE,Q304/F304,Q304)</f>
        <v/>
      </c>
      <c r="U304" s="221">
        <f>$S304/100*$K304</f>
        <v/>
      </c>
    </row>
    <row r="305">
      <c r="A305" s="212" t="n">
        <v>2025</v>
      </c>
      <c r="B305" s="213" t="n">
        <v>127</v>
      </c>
      <c r="C305" s="71" t="inlineStr">
        <is>
          <t>Ausgaben</t>
        </is>
      </c>
      <c r="D305" t="inlineStr">
        <is>
          <t>sonstige Betriebsausgaben</t>
        </is>
      </c>
      <c r="E305" s="1" t="n">
        <v>45986</v>
      </c>
      <c r="F305" t="inlineStr">
        <is>
          <t>OpenAI, LLC, 548 Market Street, PMB 97273, San Francisco, California 94104-5401, United States</t>
        </is>
      </c>
      <c r="I305" t="b">
        <v>0</v>
      </c>
      <c r="J305" s="214" t="n">
        <v>21.2</v>
      </c>
      <c r="K305" s="215">
        <f>$J305*$L305</f>
        <v/>
      </c>
      <c r="L305" s="159" t="n">
        <v>1</v>
      </c>
      <c r="M305" s="159" t="n">
        <v>0.2</v>
      </c>
      <c r="N305" s="215">
        <f>$P305*$M305</f>
        <v/>
      </c>
      <c r="O305" s="215">
        <f>L305*$N305</f>
        <v/>
      </c>
      <c r="P305" s="215">
        <f>($J305-0.31)/(100%+$M305)</f>
        <v/>
      </c>
      <c r="Q305" s="215">
        <f>$L305*$P305</f>
        <v/>
      </c>
      <c r="R305" s="192">
        <f>voranmeldefrist_vierteljaehrlich(E305)</f>
        <v/>
      </c>
      <c r="T305" s="220">
        <f>IF(G305=TRUE,Q305/F305,Q305)</f>
        <v/>
      </c>
      <c r="U305" s="221">
        <f>$S305/100*$K305</f>
        <v/>
      </c>
    </row>
    <row r="306">
      <c r="A306" s="212" t="n">
        <v>2025</v>
      </c>
      <c r="B306" s="213" t="n">
        <v>128</v>
      </c>
      <c r="C306" s="71" t="inlineStr">
        <is>
          <t>Ausgaben</t>
        </is>
      </c>
      <c r="D306" t="inlineStr">
        <is>
          <t>Pflichversicherungsbeiträge</t>
        </is>
      </c>
      <c r="E306" s="1" t="n">
        <v>45989</v>
      </c>
      <c r="F306" t="inlineStr">
        <is>
          <t>SVS - Sozialversicherungsanstalt der Selbständigen</t>
        </is>
      </c>
      <c r="I306" t="b">
        <v>0</v>
      </c>
      <c r="J306" s="214" t="n">
        <v>4820.38</v>
      </c>
      <c r="K306" s="215">
        <f>$J306*$L306</f>
        <v/>
      </c>
      <c r="L306" s="159" t="n">
        <v>1</v>
      </c>
      <c r="M306" s="159" t="n">
        <v>0</v>
      </c>
      <c r="N306" s="215">
        <f>$P306*$M306</f>
        <v/>
      </c>
      <c r="O306" s="215">
        <f>L306*$N306</f>
        <v/>
      </c>
      <c r="P306" s="215">
        <f>$J306/(100%+$M306)</f>
        <v/>
      </c>
      <c r="Q306" s="215">
        <f>$L306*$P306</f>
        <v/>
      </c>
      <c r="R306" s="192">
        <f>voranmeldefrist_vierteljaehrlich(E306)</f>
        <v/>
      </c>
      <c r="T306" s="220">
        <f>IF(G306=TRUE,Q306/F306,Q306)</f>
        <v/>
      </c>
      <c r="U306" s="221">
        <f>$S306/100*$K306</f>
        <v/>
      </c>
    </row>
    <row r="307">
      <c r="A307" s="212" t="n">
        <v>2025</v>
      </c>
      <c r="B307" s="213" t="n">
        <v>129</v>
      </c>
      <c r="C307" s="71" t="inlineStr">
        <is>
          <t>Ausgaben</t>
        </is>
      </c>
      <c r="D307" t="inlineStr">
        <is>
          <t>Telefon/Internet</t>
        </is>
      </c>
      <c r="E307" s="1" t="n">
        <v>45994</v>
      </c>
      <c r="F307" t="inlineStr">
        <is>
          <t>Hutchison Drei Austria GmbH, Brünner Straße 52, 1210 Wien, Österreich</t>
        </is>
      </c>
      <c r="I307" t="b">
        <v>0</v>
      </c>
      <c r="J307" s="214" t="n">
        <v>13.91</v>
      </c>
      <c r="K307" s="215">
        <f>$J307*$L307</f>
        <v/>
      </c>
      <c r="L307" s="159" t="n">
        <v>1</v>
      </c>
      <c r="M307" s="159" t="n">
        <v>0.2</v>
      </c>
      <c r="N307" s="215">
        <f>$P307*$M307</f>
        <v/>
      </c>
      <c r="O307" s="215">
        <f>L307*$N307</f>
        <v/>
      </c>
      <c r="P307" s="215">
        <f>$J307/(100%+$M307)</f>
        <v/>
      </c>
      <c r="Q307" s="215">
        <f>$L307*$P307</f>
        <v/>
      </c>
      <c r="R307" s="192">
        <f>voranmeldefrist_vierteljaehrlich(E307)</f>
        <v/>
      </c>
      <c r="T307" s="220">
        <f>IF(G307=TRUE,Q307/F307,Q307)</f>
        <v/>
      </c>
      <c r="U307" s="221">
        <f>$S307/100*$K307</f>
        <v/>
      </c>
    </row>
    <row r="308">
      <c r="A308" s="212" t="n">
        <v>2025</v>
      </c>
      <c r="B308" s="213" t="n">
        <v>130</v>
      </c>
      <c r="C308" s="71" t="inlineStr">
        <is>
          <t>Ausgaben</t>
        </is>
      </c>
      <c r="D308" t="inlineStr">
        <is>
          <t>sonstige Betriebsausgaben</t>
        </is>
      </c>
      <c r="E308" s="1" t="n">
        <v>45994</v>
      </c>
      <c r="F308" t="inlineStr">
        <is>
          <t>Google Cloud EMEA Limited, Velasco, Clanwilliam Place, Dublin 2, Ireland, VAT IE3668997OH</t>
        </is>
      </c>
      <c r="I308" t="b">
        <v>0</v>
      </c>
      <c r="J308" s="214" t="n">
        <v>16.2</v>
      </c>
      <c r="K308" s="215">
        <f>$J308*$L308</f>
        <v/>
      </c>
      <c r="L308" s="159" t="n">
        <v>1</v>
      </c>
      <c r="M308" s="159" t="n">
        <v>0</v>
      </c>
      <c r="N308" s="215">
        <f>$P308*$M308</f>
        <v/>
      </c>
      <c r="O308" s="215">
        <f>L308*$N308</f>
        <v/>
      </c>
      <c r="P308" s="215">
        <f>$J308/(100%+$M308)</f>
        <v/>
      </c>
      <c r="Q308" s="215">
        <f>$L308*$P308</f>
        <v/>
      </c>
      <c r="R308" s="192">
        <f>voranmeldefrist_vierteljaehrlich(E308)</f>
        <v/>
      </c>
      <c r="S308" t="n">
        <v>20</v>
      </c>
      <c r="T308" s="220">
        <f>IF(G308=TRUE,Q308/F308,Q308)</f>
        <v/>
      </c>
      <c r="U308" s="221">
        <f>$S308/100*$K308</f>
        <v/>
      </c>
    </row>
    <row r="309">
      <c r="A309" s="212" t="n">
        <v>2025</v>
      </c>
      <c r="B309" s="213" t="n">
        <v>131</v>
      </c>
      <c r="C309" s="71" t="inlineStr">
        <is>
          <t>Ausgaben</t>
        </is>
      </c>
      <c r="D309" t="inlineStr">
        <is>
          <t>sonstige Betriebsausgaben</t>
        </is>
      </c>
      <c r="E309" s="1" t="n">
        <v>45993</v>
      </c>
      <c r="F309" t="inlineStr">
        <is>
          <t>muki POL 3000081716, ReNr 9003191883</t>
        </is>
      </c>
      <c r="I309" t="b">
        <v>0</v>
      </c>
      <c r="J309" s="214" t="n">
        <v>448.39</v>
      </c>
      <c r="K309" s="215">
        <f>$J309*$L309</f>
        <v/>
      </c>
      <c r="L309" s="159">
        <f>14.6/158.43</f>
        <v/>
      </c>
      <c r="M309" s="159" t="n">
        <v>0</v>
      </c>
      <c r="N309" s="215">
        <f>$P309*$M309</f>
        <v/>
      </c>
      <c r="O309" s="215">
        <f>L309*$N309</f>
        <v/>
      </c>
      <c r="P309" s="215">
        <f>$J309/(100%+$M309)</f>
        <v/>
      </c>
      <c r="Q309" s="215">
        <f>$L309*$P309</f>
        <v/>
      </c>
      <c r="R309" s="192">
        <f>voranmeldefrist_vierteljaehrlich(E309)</f>
        <v/>
      </c>
      <c r="T309" s="220">
        <f>IF(G309=TRUE,Q309/F309,Q309)</f>
        <v/>
      </c>
      <c r="U309" s="221">
        <f>$S309/100*$K309</f>
        <v/>
      </c>
    </row>
    <row r="310">
      <c r="A310" s="212" t="n">
        <v>2025</v>
      </c>
      <c r="B310" s="213" t="n">
        <v>132</v>
      </c>
      <c r="C310" s="71" t="inlineStr">
        <is>
          <t>Ausgaben</t>
        </is>
      </c>
      <c r="D310" t="inlineStr">
        <is>
          <t>sonstige Betriebsausgaben</t>
        </is>
      </c>
      <c r="E310" s="1" t="n">
        <v>46002</v>
      </c>
      <c r="F310" t="inlineStr">
        <is>
          <t>Hetzner Online GmbH, Industriestraße 25, 91710 Gunzenhausen</t>
        </is>
      </c>
      <c r="I310" t="b">
        <v>0</v>
      </c>
      <c r="J310" s="214" t="n">
        <v>56</v>
      </c>
      <c r="K310" s="215">
        <f>$J310*$L310</f>
        <v/>
      </c>
      <c r="L310" s="159" t="n">
        <v>1</v>
      </c>
      <c r="M310" s="159" t="n">
        <v>0</v>
      </c>
      <c r="N310" s="215">
        <f>$P310*$M310</f>
        <v/>
      </c>
      <c r="O310" s="215">
        <f>L310*$N310</f>
        <v/>
      </c>
      <c r="P310" s="215">
        <f>$J310/(100%+$M310)</f>
        <v/>
      </c>
      <c r="Q310" s="215">
        <f>$L310*$P310</f>
        <v/>
      </c>
      <c r="R310" s="192">
        <f>voranmeldefrist_vierteljaehrlich(E310)</f>
        <v/>
      </c>
      <c r="S310" t="n">
        <v>20</v>
      </c>
      <c r="T310" s="220">
        <f>IF(G310=TRUE,Q310/F310,Q310)</f>
        <v/>
      </c>
      <c r="U310" s="221">
        <f>$S310/100*$K310</f>
        <v/>
      </c>
    </row>
    <row r="311">
      <c r="A311" s="212" t="n">
        <v>2025</v>
      </c>
      <c r="B311" s="213" t="n">
        <v>133</v>
      </c>
      <c r="C311" s="71" t="inlineStr">
        <is>
          <t>Einnahmen</t>
        </is>
      </c>
      <c r="D311" t="inlineStr">
        <is>
          <t>Waren-/Leistungserlöse</t>
        </is>
      </c>
      <c r="E311" s="1" t="n">
        <v>46002</v>
      </c>
      <c r="F311" t="inlineStr">
        <is>
          <t>ZT DI Dr. Arno Kolbitsch, Gütleweg 1, 6822 Satteins</t>
        </is>
      </c>
      <c r="I311" t="b">
        <v>0</v>
      </c>
      <c r="J311" s="214" t="n">
        <v>2640.67</v>
      </c>
      <c r="K311" s="215">
        <f>$J311*$L311</f>
        <v/>
      </c>
      <c r="L311" s="159" t="n">
        <v>1</v>
      </c>
      <c r="M311" s="159" t="n">
        <v>0.2</v>
      </c>
      <c r="N311" s="215">
        <f>$P311*$M311</f>
        <v/>
      </c>
      <c r="O311" s="215">
        <f>L311*$N311</f>
        <v/>
      </c>
      <c r="P311" s="215">
        <f>$J311/(100%+$M311)</f>
        <v/>
      </c>
      <c r="Q311" s="215">
        <f>$L311*$P311</f>
        <v/>
      </c>
      <c r="R311" s="192">
        <f>voranmeldefrist_vierteljaehrlich(E311)</f>
        <v/>
      </c>
      <c r="T311" s="220">
        <f>IF(G311=TRUE,Q311/F311,Q311)</f>
        <v/>
      </c>
      <c r="U311" s="221">
        <f>$S311/100*$K311</f>
        <v/>
      </c>
    </row>
    <row r="312">
      <c r="A312" s="212" t="n">
        <v>2025</v>
      </c>
      <c r="B312" s="213" t="n">
        <v>134</v>
      </c>
      <c r="C312" s="71" t="inlineStr">
        <is>
          <t>Ausgaben</t>
        </is>
      </c>
      <c r="D312" t="inlineStr">
        <is>
          <t>Telefon/Internet</t>
        </is>
      </c>
      <c r="E312" s="1" t="n">
        <v>46006</v>
      </c>
      <c r="F312" t="inlineStr">
        <is>
          <t>kabelplus GmbH, Südstadtzentrum 4, 2344 Maria Enzersdorf</t>
        </is>
      </c>
      <c r="I312" t="b">
        <v>0</v>
      </c>
      <c r="J312" s="214" t="n">
        <v>58.89</v>
      </c>
      <c r="K312" s="215">
        <f>$J312*$L312</f>
        <v/>
      </c>
      <c r="L312" s="159" t="n">
        <v>0.67</v>
      </c>
      <c r="M312" s="159" t="inlineStr">
        <is>
          <t>gemischt</t>
        </is>
      </c>
      <c r="N312" s="215">
        <f>1.38+7.29</f>
        <v/>
      </c>
      <c r="O312" s="215">
        <f>L312*$N312</f>
        <v/>
      </c>
      <c r="P312" s="215" t="n">
        <v>50.22</v>
      </c>
      <c r="Q312" s="215">
        <f>$L312*$P312</f>
        <v/>
      </c>
      <c r="R312" s="192">
        <f>voranmeldefrist_vierteljaehrlich(E312)</f>
        <v/>
      </c>
      <c r="T312" s="220">
        <f>IF(G312=TRUE,Q312/F312,Q312)</f>
        <v/>
      </c>
      <c r="U312" s="221">
        <f>$S312/100*$K312</f>
        <v/>
      </c>
    </row>
    <row r="313">
      <c r="A313" s="212" t="n">
        <v>2025</v>
      </c>
      <c r="B313" s="213" t="n">
        <v>135</v>
      </c>
      <c r="C313" s="71" t="inlineStr">
        <is>
          <t>Ausgaben</t>
        </is>
      </c>
      <c r="D313" t="inlineStr">
        <is>
          <t>sonstige Betriebsausgaben</t>
        </is>
      </c>
      <c r="E313" s="1" t="n">
        <v>46006</v>
      </c>
      <c r="F313" t="inlineStr">
        <is>
          <t>Hetzner Online GmbH, Industriestraße 25, 91710 Gunzenhausen</t>
        </is>
      </c>
      <c r="I313" t="b">
        <v>0</v>
      </c>
      <c r="J313" s="214" t="n">
        <v>9.16</v>
      </c>
      <c r="K313" s="215">
        <f>$J313*$L313</f>
        <v/>
      </c>
      <c r="L313" s="159" t="n">
        <v>1</v>
      </c>
      <c r="M313" s="159" t="n">
        <v>0</v>
      </c>
      <c r="N313" s="215">
        <f>$P313*$M313</f>
        <v/>
      </c>
      <c r="O313" s="215">
        <f>L313*$N313</f>
        <v/>
      </c>
      <c r="P313" s="215">
        <f>$J313/(100%+$M313)</f>
        <v/>
      </c>
      <c r="Q313" s="215">
        <f>$L313*$P313</f>
        <v/>
      </c>
      <c r="R313" s="192">
        <f>voranmeldefrist_vierteljaehrlich(E313)</f>
        <v/>
      </c>
      <c r="S313" t="n">
        <v>20</v>
      </c>
      <c r="T313" s="220">
        <f>IF(G313=TRUE,Q313/F313,Q313)</f>
        <v/>
      </c>
      <c r="U313" s="221">
        <f>$S313/100*$K313</f>
        <v/>
      </c>
    </row>
    <row r="314">
      <c r="A314" s="212" t="n">
        <v>2025</v>
      </c>
      <c r="B314" s="213" t="n">
        <v>136</v>
      </c>
      <c r="C314" s="71" t="inlineStr">
        <is>
          <t>Einnahmen</t>
        </is>
      </c>
      <c r="D314" t="inlineStr">
        <is>
          <t>Waren-/Leistungserlöse</t>
        </is>
      </c>
      <c r="E314" s="1" t="n">
        <v>46007</v>
      </c>
      <c r="F314" t="inlineStr">
        <is>
          <t>Hays Österreich GmbH, Bahnhof City Wien West - Europaplatz 3/5, 1150 Wien</t>
        </is>
      </c>
      <c r="I314" t="b">
        <v>0</v>
      </c>
      <c r="J314" s="214" t="n">
        <v>15703.49</v>
      </c>
      <c r="K314" s="215">
        <f>$J314*$L314</f>
        <v/>
      </c>
      <c r="L314" s="159" t="n">
        <v>1</v>
      </c>
      <c r="M314" s="159" t="n">
        <v>0.2</v>
      </c>
      <c r="N314" s="215">
        <f>$P314*$M314</f>
        <v/>
      </c>
      <c r="O314" s="215">
        <f>L314*$N314</f>
        <v/>
      </c>
      <c r="P314" s="215">
        <f>$J314/(100%+$M314)</f>
        <v/>
      </c>
      <c r="Q314" s="215">
        <f>$L314*$P314</f>
        <v/>
      </c>
      <c r="R314" s="192">
        <f>voranmeldefrist_vierteljaehrlich(E314)</f>
        <v/>
      </c>
      <c r="T314" s="220">
        <f>IF(G314=TRUE,Q314/F314,Q314)</f>
        <v/>
      </c>
      <c r="U314" s="221">
        <f>$S314/100*$K314</f>
        <v/>
      </c>
    </row>
    <row r="315">
      <c r="A315" s="212" t="n">
        <v>2025</v>
      </c>
      <c r="B315" s="213" t="n">
        <v>137</v>
      </c>
      <c r="C315" s="71" t="inlineStr">
        <is>
          <t>Einnahmen</t>
        </is>
      </c>
      <c r="D315" t="inlineStr">
        <is>
          <t>Waren-/Leistungserlöse</t>
        </is>
      </c>
      <c r="E315" s="1" t="n">
        <v>46009</v>
      </c>
      <c r="F315" t="inlineStr">
        <is>
          <t>Franz Hauer GesmbH &amp; Co KG, Werksstraße 6, 3125 Statzendorf</t>
        </is>
      </c>
      <c r="I315" t="b">
        <v>0</v>
      </c>
      <c r="J315" s="214" t="n">
        <v>1480.8</v>
      </c>
      <c r="K315" s="215">
        <f>$J315*$L315</f>
        <v/>
      </c>
      <c r="L315" s="159" t="n">
        <v>1</v>
      </c>
      <c r="M315" s="159" t="n">
        <v>0.2</v>
      </c>
      <c r="N315" s="215">
        <f>$P315*$M315</f>
        <v/>
      </c>
      <c r="O315" s="215">
        <f>L315*$N315</f>
        <v/>
      </c>
      <c r="P315" s="215">
        <f>$J315/(100%+$M315)</f>
        <v/>
      </c>
      <c r="Q315" s="215">
        <f>$L315*$P315</f>
        <v/>
      </c>
      <c r="R315" s="192">
        <f>voranmeldefrist_vierteljaehrlich(E315)</f>
        <v/>
      </c>
      <c r="T315" s="220">
        <f>IF(G315=TRUE,Q315/F315,Q315)</f>
        <v/>
      </c>
      <c r="U315" s="221">
        <f>$S315/100*$K315</f>
        <v/>
      </c>
    </row>
    <row r="316">
      <c r="A316" s="212" t="n">
        <v>2025</v>
      </c>
      <c r="B316" s="213" t="n">
        <v>138</v>
      </c>
      <c r="C316" s="71" t="inlineStr">
        <is>
          <t>Einnahmen</t>
        </is>
      </c>
      <c r="D316" t="inlineStr">
        <is>
          <t>Waren-/Leistungserlöse</t>
        </is>
      </c>
      <c r="E316" s="1" t="n">
        <v>46010</v>
      </c>
      <c r="F316" t="inlineStr">
        <is>
          <t>Paperholic all ´bout paper e.U. - Birgit Horn, Koglgasse 15, 2111 Harmannsdorf</t>
        </is>
      </c>
      <c r="J316" s="214" t="n">
        <v>864.6</v>
      </c>
      <c r="K316" s="215">
        <f>$J316*$L316</f>
        <v/>
      </c>
      <c r="L316" s="159" t="n">
        <v>1</v>
      </c>
      <c r="M316" s="159" t="n">
        <v>0.2</v>
      </c>
      <c r="N316" s="215">
        <f>$P316*$M316</f>
        <v/>
      </c>
      <c r="O316" s="215">
        <f>L316*$N316</f>
        <v/>
      </c>
      <c r="P316" s="215">
        <f>$J316/(100%+$M316)</f>
        <v/>
      </c>
      <c r="Q316" s="215">
        <f>$L316*$P316</f>
        <v/>
      </c>
      <c r="R316" s="192">
        <f>voranmeldefrist_vierteljaehrlich(E316)</f>
        <v/>
      </c>
      <c r="T316" s="220">
        <f>IF(G316=TRUE,Q316/F316,Q316)</f>
        <v/>
      </c>
      <c r="U316" s="221">
        <f>$S316/100*$K316</f>
        <v/>
      </c>
    </row>
    <row r="317">
      <c r="A317" s="212" t="n">
        <v>2025</v>
      </c>
      <c r="B317" s="213" t="n">
        <v>139</v>
      </c>
      <c r="C317" s="71" t="inlineStr">
        <is>
          <t>Ausgaben</t>
        </is>
      </c>
      <c r="D317" t="inlineStr">
        <is>
          <t>sonstige Betriebsausgaben</t>
        </is>
      </c>
      <c r="E317" s="1" t="n">
        <v>46013</v>
      </c>
      <c r="F317" t="inlineStr">
        <is>
          <t>Microsoft Ireland Operations Ltd. One Microsoft Place, South County, Business Park, Leopardstown, Dublin 18, D18 P521, Ireland</t>
        </is>
      </c>
      <c r="I317" t="b">
        <v>0</v>
      </c>
      <c r="J317" s="214" t="n">
        <v>11.7</v>
      </c>
      <c r="K317" s="215">
        <f>$J317*$L317</f>
        <v/>
      </c>
      <c r="L317" s="159" t="n">
        <v>1</v>
      </c>
      <c r="M317" s="159" t="n">
        <v>0</v>
      </c>
      <c r="N317" s="215">
        <f>$P317*$M317</f>
        <v/>
      </c>
      <c r="O317" s="215">
        <f>L317*$N317</f>
        <v/>
      </c>
      <c r="P317" s="215">
        <f>$J317/(100%+$M317)</f>
        <v/>
      </c>
      <c r="Q317" s="215">
        <f>$L317*$P317</f>
        <v/>
      </c>
      <c r="R317" s="192">
        <f>voranmeldefrist_vierteljaehrlich(E317)</f>
        <v/>
      </c>
      <c r="S317" t="n">
        <v>20</v>
      </c>
      <c r="T317" s="220">
        <f>IF(G317=TRUE,Q317/F317,Q317)</f>
        <v/>
      </c>
      <c r="U317" s="221">
        <f>$S317/100*$K317</f>
        <v/>
      </c>
    </row>
    <row r="318">
      <c r="A318" s="212" t="n">
        <v>2025</v>
      </c>
      <c r="B318" s="213" t="n">
        <v>140</v>
      </c>
      <c r="C318" s="71" t="inlineStr">
        <is>
          <t>Ausgaben</t>
        </is>
      </c>
      <c r="D318" t="inlineStr">
        <is>
          <t>sonstige Betriebsausgaben</t>
        </is>
      </c>
      <c r="E318" s="1" t="n">
        <v>46020</v>
      </c>
      <c r="F318" t="inlineStr">
        <is>
          <t>OpenAI, LLC, 548 Market Street, PMB 97273, San Francisco, California 94104-5401, United States</t>
        </is>
      </c>
      <c r="I318" t="b">
        <v>0</v>
      </c>
      <c r="J318" s="214" t="n">
        <v>20.82</v>
      </c>
      <c r="K318" s="215">
        <f>$J318*$L318</f>
        <v/>
      </c>
      <c r="L318" s="159" t="n">
        <v>1</v>
      </c>
      <c r="M318" s="159" t="n">
        <v>0.2</v>
      </c>
      <c r="N318" s="215">
        <f>$P318*$M318</f>
        <v/>
      </c>
      <c r="O318" s="215">
        <f>L318*$N318</f>
        <v/>
      </c>
      <c r="P318" s="215">
        <f>($J318-0.31)/(100%+$M318)</f>
        <v/>
      </c>
      <c r="Q318" s="215">
        <f>$L318*$P318</f>
        <v/>
      </c>
      <c r="R318" s="192">
        <f>voranmeldefrist_vierteljaehrlich(E318)</f>
        <v/>
      </c>
      <c r="T318" s="220">
        <f>IF(G318=TRUE,Q318/F318,Q318)</f>
        <v/>
      </c>
      <c r="U318" s="221">
        <f>$S318/100*$K318</f>
        <v/>
      </c>
    </row>
    <row r="319">
      <c r="A319" s="212" t="n">
        <v>2025</v>
      </c>
      <c r="B319" s="213" t="n">
        <v>141</v>
      </c>
      <c r="C319" s="71" t="inlineStr">
        <is>
          <t>Ausgaben</t>
        </is>
      </c>
      <c r="D319" t="inlineStr">
        <is>
          <t>Pflichversicherungsbeiträge</t>
        </is>
      </c>
      <c r="E319" s="1" t="n">
        <v>46021</v>
      </c>
      <c r="F319" t="inlineStr">
        <is>
          <t>SVS Vorauszahlung 2026</t>
        </is>
      </c>
      <c r="I319" t="b">
        <v>0</v>
      </c>
      <c r="J319" s="214" t="n">
        <v>35000</v>
      </c>
      <c r="K319" s="215">
        <f>$J319*$L319</f>
        <v/>
      </c>
      <c r="L319" s="159" t="n">
        <v>1</v>
      </c>
      <c r="M319" s="159" t="n">
        <v>0</v>
      </c>
      <c r="N319" s="215">
        <f>$P319*$M319</f>
        <v/>
      </c>
      <c r="O319" s="215">
        <f>L319*$N319</f>
        <v/>
      </c>
      <c r="P319" s="215">
        <f>$J319/(100%+$M319)</f>
        <v/>
      </c>
      <c r="Q319" s="215">
        <f>$L319*$P319</f>
        <v/>
      </c>
      <c r="R319" s="192">
        <f>voranmeldefrist_vierteljaehrlich(E319)</f>
        <v/>
      </c>
      <c r="T319" s="220">
        <f>IF(G319=TRUE,Q319/F319,Q319)</f>
        <v/>
      </c>
      <c r="U319" s="221">
        <f>$S319/100*$K319</f>
        <v/>
      </c>
    </row>
    <row r="320">
      <c r="A320" s="212" t="n">
        <v>2026</v>
      </c>
      <c r="B320" s="213" t="n">
        <v>1</v>
      </c>
      <c r="C320" s="71" t="inlineStr">
        <is>
          <t>Ausgaben</t>
        </is>
      </c>
      <c r="D320" t="inlineStr">
        <is>
          <t>Telefon/Internet</t>
        </is>
      </c>
      <c r="E320" s="1" t="n">
        <v>46027</v>
      </c>
      <c r="F320" t="inlineStr">
        <is>
          <t>Hutchison Drei Austria GmbH, Brünner Straße 52, 1210 Wien, Österreich</t>
        </is>
      </c>
      <c r="I320" t="b">
        <v>0</v>
      </c>
      <c r="J320" s="214" t="n">
        <v>13.91</v>
      </c>
      <c r="K320" s="215">
        <f>$J320*$L320</f>
        <v/>
      </c>
      <c r="L320" s="159" t="n">
        <v>1</v>
      </c>
      <c r="M320" s="159" t="n">
        <v>0.2</v>
      </c>
      <c r="N320" s="215">
        <f>$P320*$M320</f>
        <v/>
      </c>
      <c r="O320" s="215">
        <f>L320*$N320</f>
        <v/>
      </c>
      <c r="P320" s="215">
        <f>$J320/(100%+$M320)</f>
        <v/>
      </c>
      <c r="Q320" s="215">
        <f>$L320*$P320</f>
        <v/>
      </c>
      <c r="R320" s="192">
        <f>voranmeldefrist_vierteljaehrlich(E320)</f>
        <v/>
      </c>
      <c r="T320" s="220">
        <f>IF(G320=TRUE,Q320/F320,Q320)</f>
        <v/>
      </c>
      <c r="U320" s="221">
        <f>$S320/100*$K320</f>
        <v/>
      </c>
    </row>
    <row r="321">
      <c r="A321" s="212" t="n">
        <v>2026</v>
      </c>
      <c r="B321" s="213" t="n">
        <v>2</v>
      </c>
      <c r="C321" s="71" t="inlineStr">
        <is>
          <t>Ausgaben</t>
        </is>
      </c>
      <c r="D321" t="inlineStr">
        <is>
          <t>sonstige Betriebsausgaben</t>
        </is>
      </c>
      <c r="E321" s="1" t="n">
        <v>46027</v>
      </c>
      <c r="F321" t="inlineStr">
        <is>
          <t>Google Cloud EMEA Limited, Velasco, Clanwilliam Place, Dublin 2, Ireland, VAT IE3668997OH</t>
        </is>
      </c>
      <c r="I321" t="b">
        <v>0</v>
      </c>
      <c r="J321" s="214" t="n">
        <v>16.2</v>
      </c>
      <c r="K321" s="215">
        <f>$J321*$L321</f>
        <v/>
      </c>
      <c r="L321" s="159" t="n">
        <v>1</v>
      </c>
      <c r="M321" s="159" t="n">
        <v>0</v>
      </c>
      <c r="N321" s="215">
        <f>$P321*$M321</f>
        <v/>
      </c>
      <c r="O321" s="215">
        <f>L321*$N321</f>
        <v/>
      </c>
      <c r="P321" s="215">
        <f>$J321/(100%+$M321)</f>
        <v/>
      </c>
      <c r="Q321" s="215">
        <f>$L321*$P321</f>
        <v/>
      </c>
      <c r="R321" s="192">
        <f>voranmeldefrist_vierteljaehrlich(E321)</f>
        <v/>
      </c>
      <c r="S321" t="n">
        <v>20</v>
      </c>
      <c r="T321" s="220">
        <f>IF(G321=TRUE,Q321/F321,Q321)</f>
        <v/>
      </c>
      <c r="U321" s="221">
        <f>$S321/100*$K321</f>
        <v/>
      </c>
    </row>
    <row r="322">
      <c r="A322" s="212" t="n">
        <v>2026</v>
      </c>
      <c r="B322" s="213" t="n">
        <v>3</v>
      </c>
      <c r="C322" s="71" t="inlineStr">
        <is>
          <t>Ausgaben</t>
        </is>
      </c>
      <c r="D322" t="inlineStr">
        <is>
          <t>sonstige Betriebsausgaben</t>
        </is>
      </c>
      <c r="E322" s="1" t="n">
        <v>46035</v>
      </c>
      <c r="F322" t="inlineStr">
        <is>
          <t>Hetzner Online GmbH, Industriestraße 25, 91710 Gunzenhausen</t>
        </is>
      </c>
      <c r="I322" t="b">
        <v>0</v>
      </c>
      <c r="J322" s="214" t="n">
        <v>56</v>
      </c>
      <c r="K322" s="215">
        <f>$J322*$L322</f>
        <v/>
      </c>
      <c r="L322" s="159" t="n">
        <v>1</v>
      </c>
      <c r="M322" s="159" t="n">
        <v>0</v>
      </c>
      <c r="N322" s="215">
        <f>$P322*$M322</f>
        <v/>
      </c>
      <c r="O322" s="215">
        <f>L322*$N322</f>
        <v/>
      </c>
      <c r="P322" s="215">
        <f>$J322/(100%+$M322)</f>
        <v/>
      </c>
      <c r="Q322" s="215">
        <f>$L322*$P322</f>
        <v/>
      </c>
      <c r="R322" s="192">
        <f>voranmeldefrist_vierteljaehrlich(E322)</f>
        <v/>
      </c>
      <c r="S322" t="n">
        <v>20</v>
      </c>
      <c r="T322" s="220">
        <f>IF(G322=TRUE,Q322/F322,Q322)</f>
        <v/>
      </c>
      <c r="U322" s="221">
        <f>$S322/100*$K322</f>
        <v/>
      </c>
    </row>
    <row r="323">
      <c r="A323" s="212" t="n">
        <v>2026</v>
      </c>
      <c r="B323" s="213" t="n">
        <v>4</v>
      </c>
      <c r="C323" s="71" t="inlineStr">
        <is>
          <t>Einnahmen</t>
        </is>
      </c>
      <c r="D323" t="inlineStr">
        <is>
          <t>Waren-/Leistungserlöse</t>
        </is>
      </c>
      <c r="E323" s="1" t="n">
        <v>46035</v>
      </c>
      <c r="F323" t="inlineStr">
        <is>
          <t>Hays Österreich GmbH, Bahnhof City Wien West - Europaplatz 3/5, 1150 Wien</t>
        </is>
      </c>
      <c r="I323" t="b">
        <v>0</v>
      </c>
      <c r="J323" s="214" t="n">
        <v>16534.51</v>
      </c>
      <c r="K323" s="215">
        <f>$J323*$L323</f>
        <v/>
      </c>
      <c r="L323" s="159" t="n">
        <v>1</v>
      </c>
      <c r="M323" s="159" t="n">
        <v>0.2</v>
      </c>
      <c r="N323" s="215">
        <f>$P323*$M323</f>
        <v/>
      </c>
      <c r="O323" s="215">
        <f>L323*$N323</f>
        <v/>
      </c>
      <c r="P323" s="215">
        <f>$J323/(100%+$M323)</f>
        <v/>
      </c>
      <c r="Q323" s="215">
        <f>$L323*$P323</f>
        <v/>
      </c>
      <c r="R323" s="192">
        <f>voranmeldefrist_vierteljaehrlich(E323)</f>
        <v/>
      </c>
      <c r="T323" s="220">
        <f>IF(G323=TRUE,Q323/F323,Q323)</f>
        <v/>
      </c>
      <c r="U323" s="221">
        <f>$S323/100*$K323</f>
        <v/>
      </c>
    </row>
    <row r="324">
      <c r="A324" s="212" t="n">
        <v>2026</v>
      </c>
      <c r="B324" s="213" t="n">
        <v>5</v>
      </c>
      <c r="C324" s="71" t="inlineStr">
        <is>
          <t>Ausgaben</t>
        </is>
      </c>
      <c r="D324" t="inlineStr">
        <is>
          <t>Telefon/Internet</t>
        </is>
      </c>
      <c r="E324" s="1" t="n">
        <v>46037</v>
      </c>
      <c r="F324" t="inlineStr">
        <is>
          <t>kabelplus GmbH, Südstadtzentrum 4, 2344 Maria Enzersdorf</t>
        </is>
      </c>
      <c r="I324" t="b">
        <v>0</v>
      </c>
      <c r="J324" s="214" t="n">
        <v>58.89</v>
      </c>
      <c r="K324" s="215">
        <f>$J324*$L324</f>
        <v/>
      </c>
      <c r="L324" s="98" t="n">
        <v>0.67</v>
      </c>
      <c r="M324" s="159" t="inlineStr">
        <is>
          <t>gemischt</t>
        </is>
      </c>
      <c r="N324" s="215">
        <f>1.38+7.29</f>
        <v/>
      </c>
      <c r="O324" s="215">
        <f>L324*$N324</f>
        <v/>
      </c>
      <c r="P324" s="215" t="n">
        <v>50.22</v>
      </c>
      <c r="Q324" s="215">
        <f>$L324*$P324</f>
        <v/>
      </c>
      <c r="R324" s="192">
        <f>voranmeldefrist_vierteljaehrlich(E324)</f>
        <v/>
      </c>
      <c r="T324" s="220">
        <f>IF(G324=TRUE,Q324/F324,Q324)</f>
        <v/>
      </c>
      <c r="U324" s="221">
        <f>$S324/100*$K324</f>
        <v/>
      </c>
    </row>
    <row r="325">
      <c r="A325" s="212" t="n">
        <v>2026</v>
      </c>
      <c r="B325" s="213" t="n">
        <v>6</v>
      </c>
      <c r="C325" s="71" t="inlineStr">
        <is>
          <t>Ausgaben</t>
        </is>
      </c>
      <c r="D325" t="inlineStr">
        <is>
          <t>sonstige Betriebsausgaben</t>
        </is>
      </c>
      <c r="E325" s="1" t="n">
        <v>46037</v>
      </c>
      <c r="F325" t="inlineStr">
        <is>
          <t>Hetzner Online GmbH, Industriestraße 25, 91710 Gunzenhausen</t>
        </is>
      </c>
      <c r="I325" t="b">
        <v>0</v>
      </c>
      <c r="J325" s="214" t="n">
        <v>20.16</v>
      </c>
      <c r="K325" s="215">
        <f>$J325*$L325</f>
        <v/>
      </c>
      <c r="L325" s="159" t="n">
        <v>1</v>
      </c>
      <c r="M325" s="159" t="n">
        <v>0</v>
      </c>
      <c r="N325" s="215">
        <f>$P325*$M325</f>
        <v/>
      </c>
      <c r="O325" s="215">
        <f>L325*$N325</f>
        <v/>
      </c>
      <c r="P325" s="215">
        <f>$J325/(100%+$M325)</f>
        <v/>
      </c>
      <c r="Q325" s="215">
        <f>$L325*$P325</f>
        <v/>
      </c>
      <c r="R325" s="192">
        <f>voranmeldefrist_vierteljaehrlich(E325)</f>
        <v/>
      </c>
      <c r="S325" t="n">
        <v>20</v>
      </c>
      <c r="T325" s="220">
        <f>IF(G325=TRUE,Q325/F325,Q325)</f>
        <v/>
      </c>
      <c r="U325" s="221">
        <f>$S325/100*$K325</f>
        <v/>
      </c>
    </row>
    <row r="326">
      <c r="A326" s="212" t="n">
        <v>2026</v>
      </c>
      <c r="B326" s="213" t="n">
        <v>7</v>
      </c>
      <c r="C326" s="71" t="inlineStr">
        <is>
          <t>Ausgaben</t>
        </is>
      </c>
      <c r="D326" t="inlineStr">
        <is>
          <t>sonstige Betriebsausgaben</t>
        </is>
      </c>
      <c r="E326" s="1" t="n">
        <v>46042</v>
      </c>
      <c r="F326" t="inlineStr">
        <is>
          <t>Microsoft Ireland Operations Ltd. One Microsoft Place, South County, Business Park, Leopardstown, Dublin 18, D18 P521, Ireland</t>
        </is>
      </c>
      <c r="I326" t="b">
        <v>0</v>
      </c>
      <c r="J326" s="214" t="n">
        <v>11.7</v>
      </c>
      <c r="K326" s="215">
        <f>$J326*$L326</f>
        <v/>
      </c>
      <c r="L326" s="159" t="n">
        <v>1</v>
      </c>
      <c r="M326" s="159" t="n">
        <v>0</v>
      </c>
      <c r="N326" s="215">
        <f>$P326*$M326</f>
        <v/>
      </c>
      <c r="O326" s="215">
        <f>L326*$N326</f>
        <v/>
      </c>
      <c r="P326" s="215">
        <f>$J326/(100%+$M326)</f>
        <v/>
      </c>
      <c r="Q326" s="215">
        <f>$L326*$P326</f>
        <v/>
      </c>
      <c r="R326" s="192">
        <f>voranmeldefrist_vierteljaehrlich(E326)</f>
        <v/>
      </c>
      <c r="S326" t="n">
        <v>20</v>
      </c>
      <c r="T326" s="220">
        <f>IF(G326=TRUE,Q326/F326,Q326)</f>
        <v/>
      </c>
      <c r="U326" s="221">
        <f>$S326/100*$K326</f>
        <v/>
      </c>
    </row>
    <row r="327">
      <c r="A327" s="212" t="n">
        <v>2026</v>
      </c>
      <c r="B327" s="213" t="n">
        <v>8</v>
      </c>
      <c r="C327" s="71" t="inlineStr">
        <is>
          <t>Ausgaben</t>
        </is>
      </c>
      <c r="D327" t="inlineStr">
        <is>
          <t>sonstige Betriebsausgaben</t>
        </is>
      </c>
      <c r="E327" s="1" t="n">
        <v>46048</v>
      </c>
      <c r="F327" t="inlineStr">
        <is>
          <t>OpenAI, LLC, 548 Market Street, PMB 97273, San Francisco, California 94104-5401, United States</t>
        </is>
      </c>
      <c r="I327" t="b">
        <v>0</v>
      </c>
      <c r="J327" s="214" t="n">
        <v>20.88</v>
      </c>
      <c r="K327" s="215">
        <f>$J327*$L327</f>
        <v/>
      </c>
      <c r="L327" s="159" t="n">
        <v>1</v>
      </c>
      <c r="M327" s="159" t="n">
        <v>0.2</v>
      </c>
      <c r="N327" s="215">
        <f>$P327*$M327</f>
        <v/>
      </c>
      <c r="O327" s="215">
        <f>L327*$N327</f>
        <v/>
      </c>
      <c r="P327" s="215">
        <f>($J327-0.31)/(100%+$M327)</f>
        <v/>
      </c>
      <c r="Q327" s="215">
        <f>$L327*$P327</f>
        <v/>
      </c>
      <c r="R327" s="192">
        <f>voranmeldefrist_vierteljaehrlich(E327)</f>
        <v/>
      </c>
      <c r="T327" s="220">
        <f>IF(G327=TRUE,Q327/F327,Q327)</f>
        <v/>
      </c>
      <c r="U327" s="221">
        <f>$S327/100*$K327</f>
        <v/>
      </c>
    </row>
    <row r="328">
      <c r="A328" s="212" t="n">
        <v>2026</v>
      </c>
      <c r="B328" s="213" t="n">
        <v>9</v>
      </c>
      <c r="C328" s="71" t="inlineStr">
        <is>
          <t>Ausgaben</t>
        </is>
      </c>
      <c r="D328" t="inlineStr">
        <is>
          <t>sonstige Betriebsausgaben</t>
        </is>
      </c>
      <c r="E328" s="1" t="n">
        <v>46049</v>
      </c>
      <c r="F328" t="inlineStr">
        <is>
          <t>Aon Austria GmbH, Kaspar-Brunner-Straße 4, 3300 Amstetten</t>
        </is>
      </c>
      <c r="I328" t="b">
        <v>0</v>
      </c>
      <c r="J328" s="214" t="n">
        <v>301.18</v>
      </c>
      <c r="K328" s="215">
        <f>$J328*$L328</f>
        <v/>
      </c>
      <c r="L328" s="159" t="n">
        <v>1</v>
      </c>
      <c r="M328" s="159" t="n">
        <v>0</v>
      </c>
      <c r="N328" s="215">
        <f>$P328*$M328</f>
        <v/>
      </c>
      <c r="O328" s="215">
        <f>L328*$N328</f>
        <v/>
      </c>
      <c r="P328" s="215">
        <f>$J328/(100%+$M328)</f>
        <v/>
      </c>
      <c r="Q328" s="215">
        <f>$L328*$P328</f>
        <v/>
      </c>
      <c r="R328" s="192">
        <f>voranmeldefrist_vierteljaehrlich(E328)</f>
        <v/>
      </c>
      <c r="T328" s="220">
        <f>IF(G328=TRUE,Q328/F328,Q328)</f>
        <v/>
      </c>
      <c r="U328" s="221">
        <f>$S328/100*$K328</f>
        <v/>
      </c>
    </row>
    <row r="329">
      <c r="A329" s="212" t="n">
        <v>2026</v>
      </c>
      <c r="B329" s="213" t="n">
        <v>10</v>
      </c>
      <c r="C329" s="71" t="inlineStr">
        <is>
          <t>Ausgaben</t>
        </is>
      </c>
      <c r="D329" t="inlineStr">
        <is>
          <t>sonstige Betriebsausgaben</t>
        </is>
      </c>
      <c r="E329" s="1" t="n">
        <v>46056</v>
      </c>
      <c r="F329" t="inlineStr">
        <is>
          <t>Google Cloud EMEA Limited, Velasco, Clanwilliam Place, Dublin 2, Ireland, VAT IE3668997OH</t>
        </is>
      </c>
      <c r="I329" t="b">
        <v>0</v>
      </c>
      <c r="J329" s="214" t="n">
        <v>16.2</v>
      </c>
      <c r="K329" s="215">
        <f>$J329*$L329</f>
        <v/>
      </c>
      <c r="L329" s="159" t="n">
        <v>1</v>
      </c>
      <c r="M329" s="159" t="n">
        <v>0</v>
      </c>
      <c r="N329" s="215">
        <f>$P329*$M329</f>
        <v/>
      </c>
      <c r="O329" s="215">
        <f>L329*$N329</f>
        <v/>
      </c>
      <c r="P329" s="215">
        <f>$J329/(100%+$M329)</f>
        <v/>
      </c>
      <c r="Q329" s="215">
        <f>$L329*$P329</f>
        <v/>
      </c>
      <c r="R329" s="192">
        <f>voranmeldefrist_vierteljaehrlich(E329)</f>
        <v/>
      </c>
      <c r="S329" t="n">
        <v>20</v>
      </c>
      <c r="T329" s="220">
        <f>IF(G329=TRUE,Q329/F329,Q329)</f>
        <v/>
      </c>
      <c r="U329" s="221">
        <f>$S329/100*$K329</f>
        <v/>
      </c>
      <c r="V329">
        <f>AND(M329&gt;0,S329&gt;0)</f>
        <v/>
      </c>
    </row>
    <row r="330">
      <c r="A330" s="212" t="n">
        <v>2026</v>
      </c>
      <c r="B330" s="213" t="n">
        <v>11</v>
      </c>
      <c r="C330" s="71" t="inlineStr">
        <is>
          <t>Ausgaben</t>
        </is>
      </c>
      <c r="D330" t="inlineStr">
        <is>
          <t>sonstige Betriebsausgaben</t>
        </is>
      </c>
      <c r="E330" s="1" t="n">
        <v>46056</v>
      </c>
      <c r="F330" t="inlineStr">
        <is>
          <t>Jetbrains s.r.o., Kavci Hory Office Park, Na Hrebenech II 1718/8, Praha 4 - Nusle 140 00, Cesko</t>
        </is>
      </c>
      <c r="I330" t="b">
        <v>0</v>
      </c>
      <c r="J330" s="214" t="n">
        <v>100</v>
      </c>
      <c r="K330" s="215">
        <f>$J330*$L330</f>
        <v/>
      </c>
      <c r="L330" s="159" t="n">
        <v>1</v>
      </c>
      <c r="M330" s="159" t="n">
        <v>0.2</v>
      </c>
      <c r="N330" s="215">
        <f>$P330*$M330</f>
        <v/>
      </c>
      <c r="O330" s="215">
        <f>L330*$N330</f>
        <v/>
      </c>
      <c r="P330" s="215">
        <f>$J330/(100%+$M330)</f>
        <v/>
      </c>
      <c r="Q330" s="215">
        <f>$L330*$P330</f>
        <v/>
      </c>
      <c r="R330" s="192">
        <f>voranmeldefrist_vierteljaehrlich(E330)</f>
        <v/>
      </c>
      <c r="T330" s="220">
        <f>IF(G330=TRUE,Q330/F330,Q330)</f>
        <v/>
      </c>
      <c r="U330" s="221">
        <f>$S330/100*$K330</f>
        <v/>
      </c>
      <c r="V330">
        <f>AND(M330&gt;0,S330&gt;0)</f>
        <v/>
      </c>
    </row>
    <row r="331">
      <c r="A331" s="212" t="n">
        <v>2026</v>
      </c>
      <c r="B331" s="213" t="n">
        <v>12</v>
      </c>
      <c r="C331" s="71" t="inlineStr">
        <is>
          <t>Ausgaben</t>
        </is>
      </c>
      <c r="D331" t="inlineStr">
        <is>
          <t>Telefon/Internet</t>
        </is>
      </c>
      <c r="E331" s="1" t="n">
        <v>46056</v>
      </c>
      <c r="F331" t="inlineStr">
        <is>
          <t>Hutchison Drei Austria GmbH, Brünner Straße 52, 1210 Wien, Österreich</t>
        </is>
      </c>
      <c r="I331" t="b">
        <v>0</v>
      </c>
      <c r="J331" s="214" t="n">
        <v>13.91</v>
      </c>
      <c r="K331" s="215">
        <f>$J331*$L331</f>
        <v/>
      </c>
      <c r="L331" s="159" t="n">
        <v>1</v>
      </c>
      <c r="M331" s="159" t="n">
        <v>0.2</v>
      </c>
      <c r="N331" s="215">
        <f>$P331*$M331</f>
        <v/>
      </c>
      <c r="O331" s="215">
        <f>L331*$N331</f>
        <v/>
      </c>
      <c r="P331" s="215">
        <f>$J331/(100%+$M331)</f>
        <v/>
      </c>
      <c r="Q331" s="215">
        <f>$L331*$P331</f>
        <v/>
      </c>
      <c r="R331" s="192">
        <f>voranmeldefrist_vierteljaehrlich(E331)</f>
        <v/>
      </c>
      <c r="T331" s="220">
        <f>IF(G331=TRUE,Q331/F331,Q331)</f>
        <v/>
      </c>
      <c r="U331" s="221">
        <f>$S331/100*$K331</f>
        <v/>
      </c>
      <c r="V331">
        <f>AND(M331&gt;0,S331&gt;0)</f>
        <v/>
      </c>
    </row>
    <row r="332">
      <c r="A332" s="212" t="n">
        <v>2026</v>
      </c>
      <c r="B332" s="213" t="n">
        <v>13</v>
      </c>
      <c r="C332" s="71" t="inlineStr">
        <is>
          <t>Ausgaben</t>
        </is>
      </c>
      <c r="D332" t="inlineStr">
        <is>
          <t>sonstige Betriebsausgaben</t>
        </is>
      </c>
      <c r="E332" s="1" t="n">
        <v>46063</v>
      </c>
      <c r="F332" t="inlineStr">
        <is>
          <t>Jetbrains s.r.o., Kavci Hory Office Park, Na Hrebenech II 1718/8, Praha 4 - Nusle 140 00, Cesko</t>
        </is>
      </c>
      <c r="I332" t="b">
        <v>0</v>
      </c>
      <c r="J332" s="214" t="n">
        <v>20</v>
      </c>
      <c r="K332" s="215">
        <f>$J332*$L332</f>
        <v/>
      </c>
      <c r="L332" s="159" t="n">
        <v>1</v>
      </c>
      <c r="M332" s="159" t="n">
        <v>0.2</v>
      </c>
      <c r="N332" s="215">
        <f>$P332*$M332</f>
        <v/>
      </c>
      <c r="O332" s="215">
        <f>L332*$N332</f>
        <v/>
      </c>
      <c r="P332" s="215">
        <f>$J332/(100%+$M332)</f>
        <v/>
      </c>
      <c r="Q332" s="215">
        <f>$L332*$P332</f>
        <v/>
      </c>
      <c r="R332" s="192">
        <f>voranmeldefrist_vierteljaehrlich(E332)</f>
        <v/>
      </c>
      <c r="T332" s="220">
        <f>IF(G332=TRUE,Q332/F332,Q332)</f>
        <v/>
      </c>
      <c r="U332" s="221">
        <f>$S332/100*$K332</f>
        <v/>
      </c>
      <c r="V332">
        <f>AND(M332&gt;0,S332&gt;0)</f>
        <v/>
      </c>
    </row>
    <row r="333">
      <c r="A333" s="212" t="n">
        <v>2026</v>
      </c>
      <c r="B333" s="213" t="n">
        <v>14</v>
      </c>
      <c r="C333" s="71" t="inlineStr">
        <is>
          <t>Ausgaben</t>
        </is>
      </c>
      <c r="D333" t="inlineStr">
        <is>
          <t>sonstige Betriebsausgaben</t>
        </is>
      </c>
      <c r="E333" s="1" t="n">
        <v>46065</v>
      </c>
      <c r="F333" t="inlineStr">
        <is>
          <t>Hetzner Online GmbH, Industriestraße 25, 91710 Gunzenhausen</t>
        </is>
      </c>
      <c r="I333" t="b">
        <v>0</v>
      </c>
      <c r="J333" s="214" t="n">
        <v>56</v>
      </c>
      <c r="K333" s="215">
        <f>$J333*$L333</f>
        <v/>
      </c>
      <c r="L333" s="159" t="n">
        <v>1</v>
      </c>
      <c r="M333" s="159" t="n">
        <v>0</v>
      </c>
      <c r="N333" s="215">
        <f>$P333*$M333</f>
        <v/>
      </c>
      <c r="O333" s="215">
        <f>L333*$N333</f>
        <v/>
      </c>
      <c r="P333" s="215">
        <f>$J333/(100%+$M333)</f>
        <v/>
      </c>
      <c r="Q333" s="215">
        <f>$L333*$P333</f>
        <v/>
      </c>
      <c r="R333" s="192">
        <f>voranmeldefrist_vierteljaehrlich(E333)</f>
        <v/>
      </c>
      <c r="S333" t="n">
        <v>20</v>
      </c>
      <c r="T333" s="220">
        <f>IF(G333=TRUE,Q333/F333,Q333)</f>
        <v/>
      </c>
      <c r="U333" s="221">
        <f>$S333/100*$K333</f>
        <v/>
      </c>
      <c r="V333">
        <f>AND(M333&gt;0,S333&gt;0)</f>
        <v/>
      </c>
    </row>
    <row r="334">
      <c r="A334" s="212" t="n">
        <v>2026</v>
      </c>
      <c r="B334" s="213" t="n">
        <v>15</v>
      </c>
      <c r="C334" s="71" t="inlineStr">
        <is>
          <t>Einnahmen</t>
        </is>
      </c>
      <c r="D334" t="inlineStr">
        <is>
          <t>Waren-/Leistungserlöse</t>
        </is>
      </c>
      <c r="E334" s="1" t="n">
        <v>46065</v>
      </c>
      <c r="F334" t="inlineStr">
        <is>
          <t>Hays Österreich GmbH, Bahnhof City Wien West - Europaplatz 3/5, 1150 Wien</t>
        </is>
      </c>
      <c r="I334" t="b">
        <v>0</v>
      </c>
      <c r="J334" s="214" t="n">
        <v>14805.6</v>
      </c>
      <c r="K334" s="215">
        <f>$J334*$L334</f>
        <v/>
      </c>
      <c r="L334" s="159" t="n">
        <v>1</v>
      </c>
      <c r="M334" s="159" t="n">
        <v>0.2</v>
      </c>
      <c r="N334" s="215">
        <f>$P334*$M334</f>
        <v/>
      </c>
      <c r="O334" s="215">
        <f>L334*$N334</f>
        <v/>
      </c>
      <c r="P334" s="215">
        <f>$J334/(100%+$M334)</f>
        <v/>
      </c>
      <c r="Q334" s="215">
        <f>$L334*$P334</f>
        <v/>
      </c>
      <c r="R334" s="192">
        <f>voranmeldefrist_vierteljaehrlich(E334)</f>
        <v/>
      </c>
      <c r="T334" s="220">
        <f>IF(G334=TRUE,Q334/F334,Q334)</f>
        <v/>
      </c>
      <c r="U334" s="221">
        <f>$S334/100*$K334</f>
        <v/>
      </c>
      <c r="V334">
        <f>AND(M334&gt;0,S334&gt;0)</f>
        <v/>
      </c>
    </row>
    <row r="335">
      <c r="A335" s="212" t="n">
        <v>2026</v>
      </c>
      <c r="B335" s="213" t="n">
        <v>16</v>
      </c>
      <c r="C335" s="71" t="inlineStr">
        <is>
          <t>Ausgaben</t>
        </is>
      </c>
      <c r="D335" t="inlineStr">
        <is>
          <t>sonstige Betriebsausgaben</t>
        </is>
      </c>
      <c r="E335" s="1" t="n">
        <v>46069</v>
      </c>
      <c r="F335" t="inlineStr">
        <is>
          <t>Hetzner Online GmbH, Industriestraße 25, 91710 Gunzenhausen</t>
        </is>
      </c>
      <c r="I335" t="b">
        <v>0</v>
      </c>
      <c r="J335" s="214" t="n">
        <v>9.16</v>
      </c>
      <c r="K335" s="215">
        <f>$J335*$L335</f>
        <v/>
      </c>
      <c r="L335" s="159" t="n">
        <v>1</v>
      </c>
      <c r="M335" s="159" t="n">
        <v>0</v>
      </c>
      <c r="N335" s="215">
        <f>$P335*$M335</f>
        <v/>
      </c>
      <c r="O335" s="215">
        <f>L335*$N335</f>
        <v/>
      </c>
      <c r="P335" s="215">
        <f>$J335/(100%+$M335)</f>
        <v/>
      </c>
      <c r="Q335" s="215">
        <f>$L335*$P335</f>
        <v/>
      </c>
      <c r="R335" s="192">
        <f>voranmeldefrist_vierteljaehrlich(E335)</f>
        <v/>
      </c>
      <c r="S335" t="n">
        <v>20</v>
      </c>
      <c r="T335" s="220">
        <f>IF(G335=TRUE,Q335/F335,Q335)</f>
        <v/>
      </c>
      <c r="U335" s="221">
        <f>$S335/100*$K335</f>
        <v/>
      </c>
      <c r="V335">
        <f>AND(M335&gt;0,S335&gt;0)</f>
        <v/>
      </c>
    </row>
    <row r="336">
      <c r="A336" s="212" t="n">
        <v>2026</v>
      </c>
      <c r="B336" s="213" t="n">
        <v>17</v>
      </c>
      <c r="C336" s="71" t="inlineStr">
        <is>
          <t>Ausgaben</t>
        </is>
      </c>
      <c r="D336" t="inlineStr">
        <is>
          <t>sonstige Betriebsausgaben</t>
        </is>
      </c>
      <c r="E336" s="1" t="n">
        <v>46073</v>
      </c>
      <c r="F336" t="inlineStr">
        <is>
          <t>Microsoft Ireland Operations Ltd. One Microsoft Place, South County, Business Park, Leopardstown, Dublin 18, D18 P521, Ireland</t>
        </is>
      </c>
      <c r="I336" t="b">
        <v>0</v>
      </c>
      <c r="J336" s="214" t="n">
        <v>11.7</v>
      </c>
      <c r="K336" s="215">
        <f>$J336*$L336</f>
        <v/>
      </c>
      <c r="L336" s="159" t="n">
        <v>1</v>
      </c>
      <c r="M336" s="159" t="n">
        <v>0</v>
      </c>
      <c r="N336" s="215">
        <f>$P336*$M336</f>
        <v/>
      </c>
      <c r="O336" s="215">
        <f>L336*$N336</f>
        <v/>
      </c>
      <c r="P336" s="215">
        <f>$J336/(100%+$M336)</f>
        <v/>
      </c>
      <c r="Q336" s="215">
        <f>$L336*$P336</f>
        <v/>
      </c>
      <c r="R336" s="192">
        <f>voranmeldefrist_vierteljaehrlich(E336)</f>
        <v/>
      </c>
      <c r="S336" t="n">
        <v>20</v>
      </c>
      <c r="T336" s="220">
        <f>IF(G336=TRUE,Q336/F336,Q336)</f>
        <v/>
      </c>
      <c r="U336" s="221">
        <f>$S336/100*$K336</f>
        <v/>
      </c>
      <c r="V336">
        <f>AND(M336&gt;0,S336&gt;0)</f>
        <v/>
      </c>
    </row>
    <row r="337">
      <c r="A337" s="212" t="n">
        <v>2026</v>
      </c>
      <c r="B337" s="213" t="n">
        <v>18</v>
      </c>
      <c r="C337" s="71" t="inlineStr">
        <is>
          <t>Ausgaben</t>
        </is>
      </c>
      <c r="D337" t="inlineStr">
        <is>
          <t>sonstige Betriebsausgaben</t>
        </is>
      </c>
      <c r="E337" s="1" t="n">
        <v>46078</v>
      </c>
      <c r="F337" t="inlineStr">
        <is>
          <t>OpenAI, LLC, 548 Market Street, PMB 97273, San Francisco, California 94104-5401, United States</t>
        </is>
      </c>
      <c r="I337" t="b">
        <v>0</v>
      </c>
      <c r="J337" s="214" t="n">
        <v>20.75</v>
      </c>
      <c r="K337" s="215">
        <f>$J337*$L337</f>
        <v/>
      </c>
      <c r="L337" s="159" t="n">
        <v>1</v>
      </c>
      <c r="M337" s="159" t="n">
        <v>0.2</v>
      </c>
      <c r="N337" s="215">
        <f>$P337*$M337</f>
        <v/>
      </c>
      <c r="O337" s="215">
        <f>L337*$N337</f>
        <v/>
      </c>
      <c r="P337" s="215">
        <f>($J337-0.31)/(100%+$M337)</f>
        <v/>
      </c>
      <c r="Q337" s="215">
        <f>$L337*$P337</f>
        <v/>
      </c>
      <c r="R337" s="192">
        <f>voranmeldefrist_vierteljaehrlich(E337)</f>
        <v/>
      </c>
      <c r="T337" s="220">
        <f>IF(G337=TRUE,Q337/F337,Q337)</f>
        <v/>
      </c>
      <c r="U337" s="221">
        <f>$S337/100*$K337</f>
        <v/>
      </c>
      <c r="V337">
        <f>AND(M337&gt;0,S337&gt;0)</f>
        <v/>
      </c>
    </row>
    <row r="338">
      <c r="A338" s="212" t="n">
        <v>2026</v>
      </c>
      <c r="B338" s="213" t="n">
        <v>19</v>
      </c>
      <c r="C338" s="71" t="inlineStr">
        <is>
          <t>Ausgaben</t>
        </is>
      </c>
      <c r="D338" t="inlineStr">
        <is>
          <t>sonstige Betriebsausgaben</t>
        </is>
      </c>
      <c r="E338" s="1" t="n">
        <v>46084</v>
      </c>
      <c r="F338" t="inlineStr">
        <is>
          <t>Google Cloud EMEA Limited, Velasco, Clanwilliam Place, Dublin 2, Ireland, VAT IE3668997OH</t>
        </is>
      </c>
      <c r="I338" t="b">
        <v>0</v>
      </c>
      <c r="J338" s="214" t="n">
        <v>16.2</v>
      </c>
      <c r="K338" s="215">
        <f>$J338*$L338</f>
        <v/>
      </c>
      <c r="L338" s="159" t="n">
        <v>1</v>
      </c>
      <c r="M338" s="159" t="n">
        <v>0</v>
      </c>
      <c r="N338" s="215">
        <f>$P338*$M338</f>
        <v/>
      </c>
      <c r="O338" s="215">
        <f>L338*$N338</f>
        <v/>
      </c>
      <c r="P338" s="215">
        <f>$J338/(100%+$M338)</f>
        <v/>
      </c>
      <c r="Q338" s="215">
        <f>$L338*$P338</f>
        <v/>
      </c>
      <c r="R338" s="192">
        <f>voranmeldefrist_vierteljaehrlich(E338)</f>
        <v/>
      </c>
      <c r="S338" t="n">
        <v>20</v>
      </c>
      <c r="T338" s="220">
        <f>IF(G338=TRUE,Q338/F338,Q338)</f>
        <v/>
      </c>
      <c r="U338" s="221">
        <f>$S338/100*$K338</f>
        <v/>
      </c>
    </row>
    <row r="339">
      <c r="A339" s="212" t="n">
        <v>2026</v>
      </c>
      <c r="B339" s="213" t="n">
        <v>20</v>
      </c>
      <c r="C339" s="71" t="inlineStr">
        <is>
          <t>Ausgaben</t>
        </is>
      </c>
      <c r="D339" t="inlineStr">
        <is>
          <t>sonstige Betriebsausgaben</t>
        </is>
      </c>
      <c r="E339" s="1" t="n">
        <v>46084</v>
      </c>
      <c r="F339" t="inlineStr">
        <is>
          <t>tonershop.at Primus office products HandelsgesmbH &amp; Co KG, Goldschlagstra0e 172, 1140 Wien</t>
        </is>
      </c>
      <c r="H339" s="3" t="inlineStr">
        <is>
          <t>ja</t>
        </is>
      </c>
      <c r="I339" t="b">
        <v>0</v>
      </c>
      <c r="J339" s="214" t="n">
        <v>669</v>
      </c>
      <c r="K339" s="215">
        <f>$J339*$L339</f>
        <v/>
      </c>
      <c r="L339" s="159" t="n">
        <v>1</v>
      </c>
      <c r="M339" s="159" t="n">
        <v>0.2</v>
      </c>
      <c r="N339" s="215">
        <f>$P339*$M339</f>
        <v/>
      </c>
      <c r="O339" s="215">
        <f>L339*$N339</f>
        <v/>
      </c>
      <c r="P339" s="215">
        <f>$J339/(100%+$M339)</f>
        <v/>
      </c>
      <c r="Q339" s="215">
        <f>$L339*$P339</f>
        <v/>
      </c>
      <c r="R339" s="192">
        <f>voranmeldefrist_vierteljaehrlich(E339)</f>
        <v/>
      </c>
      <c r="T339" s="220">
        <f>IF(G339=TRUE,Q339/F339,Q339)</f>
        <v/>
      </c>
      <c r="U339" s="221">
        <f>$S339/100*$K339</f>
        <v/>
      </c>
    </row>
    <row r="340">
      <c r="A340" s="212" t="n">
        <v>2026</v>
      </c>
      <c r="B340" s="213" t="n">
        <v>21</v>
      </c>
      <c r="C340" s="71" t="inlineStr">
        <is>
          <t>Ausgaben</t>
        </is>
      </c>
      <c r="D340" t="inlineStr">
        <is>
          <t>Telefon/Internet</t>
        </is>
      </c>
      <c r="E340" s="1" t="n">
        <v>46086</v>
      </c>
      <c r="F340" t="inlineStr">
        <is>
          <t>Hutchison Drei Austria GmbH, Brünner Straße 52, 1210 Wien, Österreich</t>
        </is>
      </c>
      <c r="I340" t="b">
        <v>0</v>
      </c>
      <c r="J340" s="214" t="n">
        <v>13.91</v>
      </c>
      <c r="K340" s="215">
        <f>$J340*$L340</f>
        <v/>
      </c>
      <c r="L340" s="159" t="n">
        <v>1</v>
      </c>
      <c r="M340" s="159" t="n">
        <v>0.2</v>
      </c>
      <c r="N340" s="215">
        <f>$P340*$M340</f>
        <v/>
      </c>
      <c r="O340" s="215">
        <f>L340*$N340</f>
        <v/>
      </c>
      <c r="P340" s="215">
        <f>$J340/(100%+$M340)</f>
        <v/>
      </c>
      <c r="Q340" s="215">
        <f>$L340*$P340</f>
        <v/>
      </c>
      <c r="R340" s="192">
        <f>voranmeldefrist_vierteljaehrlich(E340)</f>
        <v/>
      </c>
      <c r="T340" s="220">
        <f>IF(G340=TRUE,Q340/F340,Q340)</f>
        <v/>
      </c>
      <c r="U340" s="221">
        <f>$S340/100*$K340</f>
        <v/>
      </c>
    </row>
    <row r="341">
      <c r="A341" s="212" t="n">
        <v>2026</v>
      </c>
      <c r="B341" s="213" t="n">
        <v>22</v>
      </c>
      <c r="C341" s="71" t="inlineStr">
        <is>
          <t>Ausgaben</t>
        </is>
      </c>
      <c r="D341" t="inlineStr">
        <is>
          <t>sonstige Betriebsausgaben</t>
        </is>
      </c>
      <c r="E341" s="1" t="n">
        <v>46093</v>
      </c>
      <c r="F341" t="inlineStr">
        <is>
          <t>Hetzner Online GmbH, Industriestraße 25, 91710 Gunzenhausen</t>
        </is>
      </c>
      <c r="I341" t="b">
        <v>0</v>
      </c>
      <c r="J341" s="214" t="n">
        <v>56</v>
      </c>
      <c r="K341" s="215">
        <f>$J341*$L341</f>
        <v/>
      </c>
      <c r="L341" s="159" t="n">
        <v>1</v>
      </c>
      <c r="M341" s="159" t="n">
        <v>0</v>
      </c>
      <c r="N341" s="215">
        <f>$P341*$M341</f>
        <v/>
      </c>
      <c r="O341" s="215">
        <f>L341*$N341</f>
        <v/>
      </c>
      <c r="P341" s="215">
        <f>$J341/(100%+$M341)</f>
        <v/>
      </c>
      <c r="Q341" s="215">
        <f>$L341*$P341</f>
        <v/>
      </c>
      <c r="R341" s="192">
        <f>voranmeldefrist_vierteljaehrlich(E341)</f>
        <v/>
      </c>
      <c r="S341" t="n">
        <v>20</v>
      </c>
      <c r="T341" s="220">
        <f>IF(G341=TRUE,Q341/F341,Q341)</f>
        <v/>
      </c>
      <c r="U341" s="221">
        <f>$S341/100*$K341</f>
        <v/>
      </c>
    </row>
    <row r="342">
      <c r="A342" s="212" t="n">
        <v>2026</v>
      </c>
      <c r="B342" s="213" t="n">
        <v>23</v>
      </c>
      <c r="C342" s="71" t="inlineStr">
        <is>
          <t>Ausgaben</t>
        </is>
      </c>
      <c r="D342" t="inlineStr">
        <is>
          <t>sonstige Betriebsausgaben</t>
        </is>
      </c>
      <c r="E342" s="1" t="n">
        <v>46093</v>
      </c>
      <c r="F342" t="inlineStr">
        <is>
          <t>Flyeralarm, online Druck GmbH, Brown-Boveri-Str. 8, 2351 Wr. Neudorf</t>
        </is>
      </c>
      <c r="I342" t="b">
        <v>0</v>
      </c>
      <c r="J342" s="214" t="n">
        <v>28.02</v>
      </c>
      <c r="K342" s="215">
        <f>$J342*$L342</f>
        <v/>
      </c>
      <c r="L342" s="159" t="n">
        <v>1</v>
      </c>
      <c r="M342" s="159" t="n">
        <v>0.2</v>
      </c>
      <c r="N342" s="215">
        <f>$P342*$M342</f>
        <v/>
      </c>
      <c r="O342" s="215">
        <f>L342*$N342</f>
        <v/>
      </c>
      <c r="P342" s="215">
        <f>$J342/(100%+$M342)</f>
        <v/>
      </c>
      <c r="Q342" s="215">
        <f>$L342*$P342</f>
        <v/>
      </c>
      <c r="R342" s="192">
        <f>voranmeldefrist_vierteljaehrlich(E342)</f>
        <v/>
      </c>
      <c r="T342" s="220">
        <f>IF(G342=TRUE,Q342/F342,Q342)</f>
        <v/>
      </c>
      <c r="U342" s="221">
        <f>$S342/100*$K342</f>
        <v/>
      </c>
    </row>
    <row r="343">
      <c r="A343" s="212" t="n">
        <v>2026</v>
      </c>
      <c r="B343" s="213" t="n">
        <v>24</v>
      </c>
      <c r="C343" s="71" t="inlineStr">
        <is>
          <t>Ausgaben</t>
        </is>
      </c>
      <c r="D343" t="inlineStr">
        <is>
          <t>sonstige Betriebsausgaben</t>
        </is>
      </c>
      <c r="E343" s="1" t="n">
        <v>46093</v>
      </c>
      <c r="F343" t="inlineStr">
        <is>
          <t>Flyeralarm, online Druck GmbH, Brown-Boveri-Str. 8, 2351 Wr. Neudorf</t>
        </is>
      </c>
      <c r="I343" t="b">
        <v>0</v>
      </c>
      <c r="J343" s="214" t="n">
        <v>43.54</v>
      </c>
      <c r="K343" s="215">
        <f>$J343*$L343</f>
        <v/>
      </c>
      <c r="L343" s="159" t="n">
        <v>1</v>
      </c>
      <c r="M343" s="159" t="n">
        <v>0.2</v>
      </c>
      <c r="N343" s="215">
        <f>$P343*$M343</f>
        <v/>
      </c>
      <c r="O343" s="215">
        <f>L343*$N343</f>
        <v/>
      </c>
      <c r="P343" s="215">
        <f>$J343/(100%+$M343)</f>
        <v/>
      </c>
      <c r="Q343" s="215">
        <f>$L343*$P343</f>
        <v/>
      </c>
      <c r="R343" s="192">
        <f>voranmeldefrist_vierteljaehrlich(E343)</f>
        <v/>
      </c>
      <c r="T343" s="220">
        <f>IF(G343=TRUE,Q343/F343,Q343)</f>
        <v/>
      </c>
      <c r="U343" s="221">
        <f>$S343/100*$K343</f>
        <v/>
      </c>
    </row>
    <row r="344">
      <c r="A344" s="212" t="n">
        <v>2026</v>
      </c>
      <c r="B344" s="213" t="n">
        <v>25</v>
      </c>
      <c r="C344" s="71" t="inlineStr">
        <is>
          <t>Ausgaben</t>
        </is>
      </c>
      <c r="D344" t="inlineStr">
        <is>
          <t>sonstige Betriebsausgaben</t>
        </is>
      </c>
      <c r="E344" s="1" t="n">
        <v>46097</v>
      </c>
      <c r="F344" t="inlineStr">
        <is>
          <t>Hetzner Online GmbH, Industriestraße 25, 91710 Gunzenhausen</t>
        </is>
      </c>
      <c r="I344" t="b">
        <v>0</v>
      </c>
      <c r="J344" s="214" t="n">
        <v>9.16</v>
      </c>
      <c r="K344" s="215">
        <f>$J344*$L344</f>
        <v/>
      </c>
      <c r="L344" s="159" t="n">
        <v>1</v>
      </c>
      <c r="M344" s="159" t="n">
        <v>0</v>
      </c>
      <c r="N344" s="215">
        <f>$P344*$M344</f>
        <v/>
      </c>
      <c r="O344" s="215">
        <f>L344*$N344</f>
        <v/>
      </c>
      <c r="P344" s="215">
        <f>$J344/(100%+$M344)</f>
        <v/>
      </c>
      <c r="Q344" s="215">
        <f>$L344*$P344</f>
        <v/>
      </c>
      <c r="R344" s="192">
        <f>voranmeldefrist_vierteljaehrlich(E344)</f>
        <v/>
      </c>
      <c r="S344" t="n">
        <v>20</v>
      </c>
      <c r="T344" s="220">
        <f>IF(G344=TRUE,Q344/F344,Q344)</f>
        <v/>
      </c>
      <c r="U344" s="221">
        <f>$S344/100*$K344</f>
        <v/>
      </c>
    </row>
    <row r="345">
      <c r="A345" s="212" t="n">
        <v>2026</v>
      </c>
      <c r="B345" s="213" t="n">
        <v>26</v>
      </c>
      <c r="C345" s="71" t="inlineStr">
        <is>
          <t>Einnahmen</t>
        </is>
      </c>
      <c r="D345" t="inlineStr">
        <is>
          <t>Waren-/Leistungserlöse</t>
        </is>
      </c>
      <c r="E345" s="1" t="n">
        <v>46098</v>
      </c>
      <c r="F345" t="inlineStr">
        <is>
          <t>Hays Österreich GmbH, Bahnhof City Wien West - Europaplatz 3/5, 1150 Wien</t>
        </is>
      </c>
      <c r="I345" t="b">
        <v>0</v>
      </c>
      <c r="J345" s="214" t="n">
        <v>21014.4</v>
      </c>
      <c r="K345" s="215">
        <f>$J345*$L345</f>
        <v/>
      </c>
      <c r="L345" s="159" t="n">
        <v>1</v>
      </c>
      <c r="M345" s="159" t="n">
        <v>0.2</v>
      </c>
      <c r="N345" s="215">
        <f>$P345*$M345</f>
        <v/>
      </c>
      <c r="O345" s="215">
        <f>L345*$N345</f>
        <v/>
      </c>
      <c r="P345" s="215">
        <f>$J345/(100%+$M345)</f>
        <v/>
      </c>
      <c r="Q345" s="215">
        <f>$L345*$P345</f>
        <v/>
      </c>
      <c r="R345" s="192">
        <f>voranmeldefrist_vierteljaehrlich(E345)</f>
        <v/>
      </c>
      <c r="T345" s="220">
        <f>IF(G345=TRUE,Q345/F345,Q345)</f>
        <v/>
      </c>
      <c r="U345" s="221">
        <f>$S345/100*$K345</f>
        <v/>
      </c>
    </row>
    <row r="346">
      <c r="A346" s="212" t="n">
        <v>2026</v>
      </c>
      <c r="B346" s="213" t="n">
        <v>27</v>
      </c>
      <c r="C346" s="71" t="inlineStr">
        <is>
          <t>Ausgaben</t>
        </is>
      </c>
      <c r="D346" t="inlineStr">
        <is>
          <t>sonstige Betriebsausgaben</t>
        </is>
      </c>
      <c r="E346" s="1" t="n">
        <v>46101</v>
      </c>
      <c r="F346" t="inlineStr">
        <is>
          <t>Microsoft Ireland Operations Ltd. One Microsoft Place, South County, Business Park, Leopardstown, Dublin 18, D18 P521, Ireland</t>
        </is>
      </c>
      <c r="I346" t="b">
        <v>0</v>
      </c>
      <c r="J346" s="214" t="n">
        <v>11.7</v>
      </c>
      <c r="K346" s="215">
        <f>$J346*$L346</f>
        <v/>
      </c>
      <c r="L346" s="159" t="n">
        <v>1</v>
      </c>
      <c r="M346" s="159" t="n">
        <v>0</v>
      </c>
      <c r="N346" s="215">
        <f>$P346*$M346</f>
        <v/>
      </c>
      <c r="O346" s="215">
        <f>L346*$N346</f>
        <v/>
      </c>
      <c r="P346" s="215">
        <f>$J346/(100%+$M346)</f>
        <v/>
      </c>
      <c r="Q346" s="215">
        <f>$L346*$P346</f>
        <v/>
      </c>
      <c r="R346" s="192">
        <f>voranmeldefrist_vierteljaehrlich(E346)</f>
        <v/>
      </c>
      <c r="S346" t="n">
        <v>20</v>
      </c>
      <c r="T346" s="220">
        <f>IF(G346=TRUE,Q346/F346,Q346)</f>
        <v/>
      </c>
      <c r="U346" s="221">
        <f>$S346/100*$K346</f>
        <v/>
      </c>
    </row>
    <row r="347">
      <c r="A347" s="212" t="n">
        <v>2026</v>
      </c>
      <c r="B347" s="213" t="n">
        <v>28</v>
      </c>
      <c r="C347" s="71" t="inlineStr">
        <is>
          <t>Ausgaben</t>
        </is>
      </c>
      <c r="D347" t="inlineStr">
        <is>
          <t>sonstige Betriebsausgaben</t>
        </is>
      </c>
      <c r="E347" s="1" t="n">
        <v>46106</v>
      </c>
      <c r="F347" t="inlineStr">
        <is>
          <t>OpenAI, LLC, 548 Market Street, PMB 97273, San Francisco, California 94104-5401, United States</t>
        </is>
      </c>
      <c r="I347" t="b">
        <v>0</v>
      </c>
      <c r="J347" s="214" t="n">
        <v>21.16</v>
      </c>
      <c r="K347" s="215">
        <f>$J347*$L347</f>
        <v/>
      </c>
      <c r="L347" s="159" t="n">
        <v>1</v>
      </c>
      <c r="M347" s="159" t="n">
        <v>0.2</v>
      </c>
      <c r="N347" s="215">
        <f>$P347*$M347</f>
        <v/>
      </c>
      <c r="O347" s="215">
        <f>L347*$N347</f>
        <v/>
      </c>
      <c r="P347" s="215">
        <f>($J347-0.31)/(100%+$M347)</f>
        <v/>
      </c>
      <c r="Q347" s="215">
        <f>$L347*$P347</f>
        <v/>
      </c>
      <c r="R347" s="192">
        <f>voranmeldefrist_vierteljaehrlich(E347)</f>
        <v/>
      </c>
      <c r="T347" s="220">
        <f>IF(G347=TRUE,Q347/F347,Q347)</f>
        <v/>
      </c>
      <c r="U347" s="221">
        <f>$S347/100*$K347</f>
        <v/>
      </c>
    </row>
    <row r="348">
      <c r="A348" s="212" t="n">
        <v>2026</v>
      </c>
      <c r="B348" s="213" t="n">
        <v>29</v>
      </c>
      <c r="C348" s="71" t="inlineStr">
        <is>
          <t>Ausgaben</t>
        </is>
      </c>
      <c r="D348" t="inlineStr">
        <is>
          <t>sonstige Betriebsausgaben</t>
        </is>
      </c>
      <c r="E348" s="1" t="n">
        <v>46107</v>
      </c>
      <c r="F348" t="inlineStr">
        <is>
          <t>Anthropic, PBC, 548 Market Street, PMB 90375, San Francisco, California 94104, United States</t>
        </is>
      </c>
      <c r="I348" t="b">
        <v>0</v>
      </c>
      <c r="J348" s="214" t="n">
        <v>5.27</v>
      </c>
      <c r="K348" s="215">
        <f>$J348*$L348</f>
        <v/>
      </c>
      <c r="L348" s="159" t="n">
        <v>1</v>
      </c>
      <c r="M348" s="159" t="n">
        <v>0.2</v>
      </c>
      <c r="N348" s="215">
        <f>$P348*$M348</f>
        <v/>
      </c>
      <c r="O348" s="215">
        <f>L348*$N348</f>
        <v/>
      </c>
      <c r="P348" s="215">
        <f>($J348-0.31)/(100%+$M348)</f>
        <v/>
      </c>
      <c r="Q348" s="215">
        <f>$L348*$P348</f>
        <v/>
      </c>
      <c r="R348" s="192">
        <f>voranmeldefrist_vierteljaehrlich(E348)</f>
        <v/>
      </c>
      <c r="T348" s="220">
        <f>IF(G348=TRUE,Q348/F348,Q348)</f>
        <v/>
      </c>
      <c r="U348" s="221">
        <f>$S348/100*$K348</f>
        <v/>
      </c>
    </row>
    <row r="349">
      <c r="A349" s="212" t="n">
        <v>2026</v>
      </c>
      <c r="B349" s="213" t="n">
        <v>30</v>
      </c>
      <c r="C349" s="71" t="inlineStr">
        <is>
          <t>Ausgaben</t>
        </is>
      </c>
      <c r="D349" t="inlineStr">
        <is>
          <t>Telefon/Internet</t>
        </is>
      </c>
      <c r="E349" s="1" t="n">
        <v>46114</v>
      </c>
      <c r="F349" t="inlineStr">
        <is>
          <t>Hutchison Drei Austria GmbH, Brünner Straße 52, 1210 Wien, Österreich</t>
        </is>
      </c>
      <c r="I349" t="b">
        <v>0</v>
      </c>
      <c r="J349" s="214" t="n">
        <v>13.91</v>
      </c>
      <c r="K349" s="215">
        <f>$J349*$L349</f>
        <v/>
      </c>
      <c r="L349" s="159" t="n">
        <v>1</v>
      </c>
      <c r="M349" s="159" t="n">
        <v>0.2</v>
      </c>
      <c r="N349" s="215">
        <f>$P349*$M349</f>
        <v/>
      </c>
      <c r="O349" s="215">
        <f>L349*$N349</f>
        <v/>
      </c>
      <c r="P349" s="215">
        <f>$J349/(100%+$M349)</f>
        <v/>
      </c>
      <c r="Q349" s="215">
        <f>$L349*$P349</f>
        <v/>
      </c>
      <c r="R349" s="192">
        <f>voranmeldefrist_vierteljaehrlich(E349)</f>
        <v/>
      </c>
      <c r="T349" s="220">
        <f>IF(G349=TRUE,Q349/F349,Q349)</f>
        <v/>
      </c>
      <c r="U349" s="221">
        <f>$S349/100*$K349</f>
        <v/>
      </c>
    </row>
    <row r="350">
      <c r="A350" s="212" t="n">
        <v>2026</v>
      </c>
      <c r="B350" s="213" t="n">
        <v>31</v>
      </c>
      <c r="C350" s="71" t="inlineStr">
        <is>
          <t>Ausgaben</t>
        </is>
      </c>
      <c r="D350" t="inlineStr">
        <is>
          <t>sonstige Betriebsausgaben</t>
        </is>
      </c>
      <c r="E350" s="1" t="n">
        <v>46115</v>
      </c>
      <c r="F350" t="inlineStr">
        <is>
          <t>Google Cloud EMEA Limited, Velasco, Clanwilliam Place, Dublin 2, Ireland, VAT IE3668997OH</t>
        </is>
      </c>
      <c r="I350" t="b">
        <v>0</v>
      </c>
      <c r="J350" s="214" t="n">
        <v>16.2</v>
      </c>
      <c r="K350" s="215">
        <f>$J350*$L350</f>
        <v/>
      </c>
      <c r="L350" s="159" t="n">
        <v>1</v>
      </c>
      <c r="M350" s="159" t="n">
        <v>0</v>
      </c>
      <c r="N350" s="215">
        <f>$P350*$M350</f>
        <v/>
      </c>
      <c r="O350" s="215">
        <f>L350*$N350</f>
        <v/>
      </c>
      <c r="P350" s="215">
        <f>$J350/(100%+$M350)</f>
        <v/>
      </c>
      <c r="Q350" s="215">
        <f>$L350*$P350</f>
        <v/>
      </c>
      <c r="R350" s="192">
        <f>voranmeldefrist_vierteljaehrlich(E350)</f>
        <v/>
      </c>
      <c r="S350" t="n">
        <v>20</v>
      </c>
      <c r="T350" s="220">
        <f>IF(G350=TRUE,Q350/F350,Q350)</f>
        <v/>
      </c>
      <c r="U350" s="221">
        <f>$S350/100*$K350</f>
        <v/>
      </c>
    </row>
    <row r="351">
      <c r="A351" s="212" t="n">
        <v>2026</v>
      </c>
      <c r="B351" s="213" t="n">
        <v>32</v>
      </c>
      <c r="C351" s="71" t="inlineStr">
        <is>
          <t>Ausgaben</t>
        </is>
      </c>
      <c r="D351" t="inlineStr">
        <is>
          <t>sonstige Betriebsausgaben</t>
        </is>
      </c>
      <c r="E351" s="1" t="n">
        <v>46120</v>
      </c>
      <c r="F351" t="inlineStr">
        <is>
          <t>Hoval Gesellschaft m.b.H., A-4614 Marchtrenk, Hovalstraße 11</t>
        </is>
      </c>
      <c r="I351" t="b">
        <v>0</v>
      </c>
      <c r="J351" s="214" t="n">
        <v>306</v>
      </c>
      <c r="K351" s="215">
        <f>$J351*$L351</f>
        <v/>
      </c>
      <c r="L351" s="159">
        <f>14.6/158.43</f>
        <v/>
      </c>
      <c r="M351" s="159" t="n">
        <v>0.2</v>
      </c>
      <c r="N351" s="215">
        <f>$P351*$M351</f>
        <v/>
      </c>
      <c r="O351" s="215">
        <f>L351*$N351</f>
        <v/>
      </c>
      <c r="P351" s="215">
        <f>$J351/(100%+$M351)</f>
        <v/>
      </c>
      <c r="Q351" s="215">
        <f>$L351*$P351</f>
        <v/>
      </c>
      <c r="R351" s="192">
        <f>voranmeldefrist_vierteljaehrlich(E351)</f>
        <v/>
      </c>
      <c r="T351" s="220">
        <f>IF(G351=TRUE,Q351/F351,Q351)</f>
        <v/>
      </c>
      <c r="U351" s="221">
        <f>$S351/100*$K351</f>
        <v/>
      </c>
    </row>
    <row r="352">
      <c r="A352" s="212" t="n">
        <v>2026</v>
      </c>
      <c r="B352" s="213" t="n">
        <v>33</v>
      </c>
      <c r="C352" s="71" t="inlineStr">
        <is>
          <t>Ausgaben</t>
        </is>
      </c>
      <c r="D352" t="inlineStr">
        <is>
          <t>sonstige Betriebsausgaben</t>
        </is>
      </c>
      <c r="E352" s="1" t="n">
        <v>46122</v>
      </c>
      <c r="F352" t="inlineStr">
        <is>
          <t>Wien Energie Vertrieb GmbH &amp; Co KG, 1030 Wien, Pf 520</t>
        </is>
      </c>
      <c r="I352" t="b">
        <v>0</v>
      </c>
      <c r="J352" s="214" t="n">
        <v>193.92</v>
      </c>
      <c r="K352" s="215">
        <f>$J352*$L352</f>
        <v/>
      </c>
      <c r="L352" s="159">
        <f>14.6/158.43</f>
        <v/>
      </c>
      <c r="M352" s="159" t="n">
        <v>0.2</v>
      </c>
      <c r="N352" s="215">
        <f>$P352*$M352</f>
        <v/>
      </c>
      <c r="O352" s="215">
        <f>L352*$N352</f>
        <v/>
      </c>
      <c r="P352" s="215">
        <f>$J352/(100%+$M352)</f>
        <v/>
      </c>
      <c r="Q352" s="215">
        <f>$L352*$P352</f>
        <v/>
      </c>
      <c r="R352" s="192">
        <f>voranmeldefrist_vierteljaehrlich(E352)</f>
        <v/>
      </c>
      <c r="T352" s="220">
        <f>IF(G352=TRUE,Q352/F352,Q352)</f>
        <v/>
      </c>
      <c r="U352" s="221">
        <f>$S352/100*$K352</f>
        <v/>
      </c>
    </row>
    <row r="353">
      <c r="A353" s="212" t="n">
        <v>2026</v>
      </c>
      <c r="B353" s="213" t="n">
        <v>34</v>
      </c>
      <c r="C353" s="71" t="inlineStr">
        <is>
          <t>Einnahmen</t>
        </is>
      </c>
      <c r="D353" t="inlineStr">
        <is>
          <t>Waren-/Leistungserlöse</t>
        </is>
      </c>
      <c r="E353" s="1" t="n">
        <v>46125</v>
      </c>
      <c r="F353" t="inlineStr">
        <is>
          <t>ZT Dipl.-Ing. Dr. Arno Kolbitsch, Gütleweg 1, 6822 Satteins, Österreich</t>
        </is>
      </c>
      <c r="I353" t="b">
        <v>0</v>
      </c>
      <c r="J353" s="214" t="n">
        <v>1993.8</v>
      </c>
      <c r="K353" s="215" t="n">
        <v>1993.8</v>
      </c>
      <c r="L353" s="159" t="n">
        <v>1</v>
      </c>
      <c r="M353" s="159" t="n">
        <v>0.2</v>
      </c>
      <c r="N353" s="215" t="n">
        <v>332.3</v>
      </c>
      <c r="O353" s="215" t="n">
        <v>332.3</v>
      </c>
      <c r="P353" s="215" t="n">
        <v>1661.5</v>
      </c>
      <c r="Q353" s="215" t="n">
        <v>1661.5</v>
      </c>
      <c r="R353" s="192" t="n">
        <v>46249</v>
      </c>
      <c r="U353" s="221" t="n"/>
    </row>
    <row r="354">
      <c r="A354" s="212" t="n">
        <v>2026</v>
      </c>
      <c r="B354" s="213" t="n">
        <v>35</v>
      </c>
      <c r="C354" s="71" t="inlineStr">
        <is>
          <t>Ausgaben</t>
        </is>
      </c>
      <c r="D354" t="inlineStr">
        <is>
          <t>sonstige Betriebsausgaben</t>
        </is>
      </c>
      <c r="E354" s="1" t="n">
        <v>46125</v>
      </c>
      <c r="F354" t="inlineStr">
        <is>
          <t>Hetzner Online GmbH, Industriestr. 25, 91710 Gunzenhausen, Deutschland</t>
        </is>
      </c>
      <c r="I354" t="b">
        <v>0</v>
      </c>
      <c r="J354" s="214" t="n">
        <v>56</v>
      </c>
      <c r="K354" s="215" t="n">
        <v>56</v>
      </c>
      <c r="L354" s="159" t="n">
        <v>1</v>
      </c>
      <c r="M354" s="159" t="n">
        <v>0</v>
      </c>
      <c r="N354" s="215" t="n">
        <v>0</v>
      </c>
      <c r="O354" s="215" t="n">
        <v>0</v>
      </c>
      <c r="P354" s="215" t="n">
        <v>56</v>
      </c>
      <c r="Q354" s="215" t="n">
        <v>56</v>
      </c>
      <c r="R354" s="192" t="n">
        <v>46249</v>
      </c>
      <c r="S354" t="n">
        <v>20</v>
      </c>
      <c r="U354" s="221" t="n">
        <v>11.2</v>
      </c>
    </row>
    <row r="355">
      <c r="A355" s="212" t="n">
        <v>2026</v>
      </c>
      <c r="B355" s="213" t="n">
        <v>36</v>
      </c>
      <c r="C355" s="71" t="inlineStr">
        <is>
          <t>Einnahmen</t>
        </is>
      </c>
      <c r="D355" t="inlineStr">
        <is>
          <t>Waren-/Leistungserlöse</t>
        </is>
      </c>
      <c r="E355" s="1" t="n">
        <v>46126</v>
      </c>
      <c r="F355" t="inlineStr">
        <is>
          <t>Hays Österreich GmbH, Europaplatz 3/5, 1150 Wien, Österreich</t>
        </is>
      </c>
      <c r="I355" t="b">
        <v>0</v>
      </c>
      <c r="J355" s="214" t="n">
        <v>14776.94</v>
      </c>
      <c r="K355" s="215" t="n">
        <v>14776.94</v>
      </c>
      <c r="L355" s="159" t="n">
        <v>1</v>
      </c>
      <c r="M355" s="159" t="n">
        <v>0.2</v>
      </c>
      <c r="N355" s="215" t="n">
        <v>2462.82</v>
      </c>
      <c r="O355" s="215" t="n">
        <v>2462.82</v>
      </c>
      <c r="P355" s="215" t="n">
        <v>12314.12</v>
      </c>
      <c r="Q355" s="215" t="n">
        <v>12314.12</v>
      </c>
      <c r="R355" s="192" t="n">
        <v>46249</v>
      </c>
      <c r="U355" s="221" t="n"/>
    </row>
    <row r="356">
      <c r="A356" s="212" t="n">
        <v>2026</v>
      </c>
      <c r="B356" s="213" t="n">
        <v>37</v>
      </c>
      <c r="C356" s="71" t="inlineStr">
        <is>
          <t>Ausgaben</t>
        </is>
      </c>
      <c r="D356" t="inlineStr">
        <is>
          <t>Telefon/Internet</t>
        </is>
      </c>
      <c r="E356" s="1" t="n">
        <v>46127</v>
      </c>
      <c r="F356" t="inlineStr">
        <is>
          <t>kabelplus GmbH, Südstadtzentrum 4, 2344 Maria Enzersdorf, Österreich</t>
        </is>
      </c>
      <c r="I356" t="b">
        <v>0</v>
      </c>
      <c r="J356" s="214" t="n">
        <v>58.89</v>
      </c>
      <c r="K356" s="215" t="n">
        <v>39.26</v>
      </c>
      <c r="L356" s="159" t="n">
        <v>0.666667</v>
      </c>
      <c r="M356" s="159" t="inlineStr">
        <is>
          <t>gemischt</t>
        </is>
      </c>
      <c r="N356" s="215" t="n">
        <v>8.67</v>
      </c>
      <c r="O356" s="215" t="n">
        <v>5.78</v>
      </c>
      <c r="P356" s="215" t="n">
        <v>50.22</v>
      </c>
      <c r="Q356" s="215" t="n">
        <v>33.48</v>
      </c>
      <c r="R356" s="192" t="n">
        <v>46249</v>
      </c>
      <c r="U356" s="221" t="n"/>
    </row>
    <row r="357">
      <c r="A357" s="212" t="n">
        <v>2026</v>
      </c>
      <c r="B357" s="213" t="n">
        <v>38</v>
      </c>
      <c r="C357" s="71" t="inlineStr">
        <is>
          <t>Ausgaben</t>
        </is>
      </c>
      <c r="D357" t="inlineStr">
        <is>
          <t>sonstige Betriebsausgaben</t>
        </is>
      </c>
      <c r="E357" s="1" t="n">
        <v>46132</v>
      </c>
      <c r="F357" t="inlineStr">
        <is>
          <t>Scrum.org, 131 Middlesex Turnpike, 01803 Burlington MA, Vereinigte Staaten</t>
        </is>
      </c>
      <c r="I357" t="b">
        <v>0</v>
      </c>
      <c r="J357" s="214" t="n">
        <v>172.53</v>
      </c>
      <c r="K357" s="215" t="n">
        <v>172.53</v>
      </c>
      <c r="L357" s="159" t="n">
        <v>1</v>
      </c>
      <c r="M357" s="159" t="n">
        <v>0</v>
      </c>
      <c r="N357" s="215" t="n">
        <v>0</v>
      </c>
      <c r="O357" s="215" t="n">
        <v>0</v>
      </c>
      <c r="P357" s="215" t="n">
        <v>169.98</v>
      </c>
      <c r="Q357" s="215" t="n">
        <v>169.98</v>
      </c>
      <c r="R357" s="192" t="n">
        <v>46249</v>
      </c>
      <c r="U357" s="221" t="n"/>
    </row>
    <row r="358">
      <c r="A358" s="212" t="n">
        <v>2026</v>
      </c>
      <c r="B358" s="213" t="n">
        <v>39</v>
      </c>
      <c r="C358" s="71" t="inlineStr">
        <is>
          <t>Ausgaben</t>
        </is>
      </c>
      <c r="D358" t="inlineStr">
        <is>
          <t>sonstige Betriebsausgaben</t>
        </is>
      </c>
      <c r="E358" s="1" t="n">
        <v>46132</v>
      </c>
      <c r="F358" t="inlineStr">
        <is>
          <t>Microsoft Ireland Operations Ltd, One Microsoft Place, South County Business Park, Leopardstown, D18 P521 Dublin 18, Irland</t>
        </is>
      </c>
      <c r="I358" t="b">
        <v>0</v>
      </c>
      <c r="J358" s="214" t="n">
        <v>11.7</v>
      </c>
      <c r="K358" s="215" t="n">
        <v>11.7</v>
      </c>
      <c r="L358" s="159" t="n">
        <v>1</v>
      </c>
      <c r="M358" s="159" t="n">
        <v>0</v>
      </c>
      <c r="N358" s="215" t="n">
        <v>0</v>
      </c>
      <c r="O358" s="215" t="n">
        <v>0</v>
      </c>
      <c r="P358" s="215" t="n">
        <v>11.7</v>
      </c>
      <c r="Q358" s="215" t="n">
        <v>11.7</v>
      </c>
      <c r="R358" s="192" t="n">
        <v>46249</v>
      </c>
      <c r="S358" t="n">
        <v>20</v>
      </c>
      <c r="U358" s="221" t="n">
        <v>2.34</v>
      </c>
    </row>
    <row r="359">
      <c r="A359" s="212" t="n">
        <v>2026</v>
      </c>
      <c r="B359" s="213" t="n">
        <v>40</v>
      </c>
      <c r="C359" s="71" t="inlineStr">
        <is>
          <t>Einnahmen</t>
        </is>
      </c>
      <c r="D359" t="inlineStr">
        <is>
          <t>Waren-/Leistungserlöse</t>
        </is>
      </c>
      <c r="E359" s="1" t="n">
        <v>46139</v>
      </c>
      <c r="F359" t="inlineStr">
        <is>
          <t>Franz Hauer GesmbH &amp; Co KG, Werksstraße 6, 3125 Statzendorf, Österreich</t>
        </is>
      </c>
      <c r="I359" t="b">
        <v>0</v>
      </c>
      <c r="J359" s="214" t="n">
        <v>2142</v>
      </c>
      <c r="K359" s="215" t="n">
        <v>2142</v>
      </c>
      <c r="L359" s="159" t="n">
        <v>1</v>
      </c>
      <c r="M359" s="159" t="n">
        <v>0.2</v>
      </c>
      <c r="N359" s="215" t="n">
        <v>357</v>
      </c>
      <c r="O359" s="215" t="n">
        <v>357</v>
      </c>
      <c r="P359" s="215" t="n">
        <v>1785</v>
      </c>
      <c r="Q359" s="215" t="n">
        <v>1785</v>
      </c>
      <c r="R359" s="192" t="n">
        <v>46249</v>
      </c>
      <c r="U359" s="221" t="n"/>
    </row>
    <row r="360">
      <c r="A360" s="212" t="n">
        <v>2026</v>
      </c>
      <c r="B360" s="213" t="n">
        <v>41</v>
      </c>
      <c r="C360" s="71" t="inlineStr">
        <is>
          <t>Ausgaben</t>
        </is>
      </c>
      <c r="D360" t="inlineStr">
        <is>
          <t>sonstige Betriebsausgaben</t>
        </is>
      </c>
      <c r="E360" s="1" t="n">
        <v>46139</v>
      </c>
      <c r="F360" t="inlineStr">
        <is>
          <t>OpenAI OpCo, LLC, 1455 3rd Street, 94158 San Francisco, Vereinigte Staaten</t>
        </is>
      </c>
      <c r="I360" t="b">
        <v>0</v>
      </c>
      <c r="J360" s="214" t="n">
        <v>20.8</v>
      </c>
      <c r="K360" s="215" t="n">
        <v>20.8</v>
      </c>
      <c r="L360" s="159" t="n">
        <v>1</v>
      </c>
      <c r="M360" s="159" t="n">
        <v>0.2</v>
      </c>
      <c r="N360" s="215" t="n">
        <v>3.42</v>
      </c>
      <c r="O360" s="215" t="n">
        <v>3.42</v>
      </c>
      <c r="P360" s="215" t="n">
        <v>17.07</v>
      </c>
      <c r="Q360" s="215" t="n">
        <v>17.07</v>
      </c>
      <c r="R360" s="192" t="n">
        <v>46249</v>
      </c>
      <c r="U360" s="221" t="n"/>
    </row>
    <row r="361">
      <c r="A361" s="212" t="n">
        <v>2026</v>
      </c>
      <c r="B361" s="213" t="n">
        <v>42</v>
      </c>
      <c r="C361" s="71" t="inlineStr">
        <is>
          <t>Ausgaben</t>
        </is>
      </c>
      <c r="D361" t="inlineStr">
        <is>
          <t>sonstige Betriebsausgaben</t>
        </is>
      </c>
      <c r="E361" s="1" t="n">
        <v>46141</v>
      </c>
      <c r="F361" t="inlineStr">
        <is>
          <t>Anthropic, PBC, 548 Market Street PMB 90375, 94104 San Francisco, Vereinigte Staaten</t>
        </is>
      </c>
      <c r="I361" t="b">
        <v>0</v>
      </c>
      <c r="J361" s="214" t="n">
        <v>21.6</v>
      </c>
      <c r="K361" s="215" t="n">
        <v>21.6</v>
      </c>
      <c r="L361" s="159" t="n">
        <v>1</v>
      </c>
      <c r="M361" s="159" t="n">
        <v>0.2</v>
      </c>
      <c r="N361" s="215" t="n">
        <v>3.6</v>
      </c>
      <c r="O361" s="215" t="n">
        <v>3.6</v>
      </c>
      <c r="P361" s="215" t="n">
        <v>18</v>
      </c>
      <c r="Q361" s="215" t="n">
        <v>18</v>
      </c>
      <c r="R361" s="192" t="n">
        <v>46249</v>
      </c>
      <c r="U361" s="221" t="n"/>
    </row>
    <row r="362">
      <c r="A362" s="212" t="n">
        <v>2026</v>
      </c>
      <c r="B362" s="213" t="n">
        <v>43</v>
      </c>
      <c r="C362" s="71" t="inlineStr">
        <is>
          <t>Ausgaben</t>
        </is>
      </c>
      <c r="D362" t="inlineStr">
        <is>
          <t>sonstige Betriebsausgaben</t>
        </is>
      </c>
      <c r="E362" s="1" t="n">
        <v>46142</v>
      </c>
      <c r="F362" t="inlineStr">
        <is>
          <t>online Druck GmbH, Brown-Boveri-Straße 8, 2351 Wr. Neudorf, Österreich</t>
        </is>
      </c>
      <c r="I362" t="b">
        <v>0</v>
      </c>
      <c r="J362" s="214" t="n">
        <v>50.57</v>
      </c>
      <c r="K362" s="215" t="n">
        <v>50.57</v>
      </c>
      <c r="L362" s="159" t="n">
        <v>1</v>
      </c>
      <c r="M362" s="159" t="n">
        <v>0.2</v>
      </c>
      <c r="N362" s="215" t="n">
        <v>8.43</v>
      </c>
      <c r="O362" s="215" t="n">
        <v>8.43</v>
      </c>
      <c r="P362" s="215" t="n">
        <v>42.14</v>
      </c>
      <c r="Q362" s="215" t="n">
        <v>42.14</v>
      </c>
      <c r="R362" s="192" t="n">
        <v>46249</v>
      </c>
      <c r="U362" s="221" t="n"/>
    </row>
    <row r="363">
      <c r="A363" s="212" t="n">
        <v>2026</v>
      </c>
      <c r="B363" s="213" t="n">
        <v>44</v>
      </c>
      <c r="C363" s="71" t="inlineStr">
        <is>
          <t>Ausgaben</t>
        </is>
      </c>
      <c r="D363" t="inlineStr">
        <is>
          <t>sonstige Betriebsausgaben</t>
        </is>
      </c>
      <c r="E363" s="1" t="n">
        <v>46146</v>
      </c>
      <c r="F363" t="inlineStr">
        <is>
          <t>online Druck GmbH . Flyeralarm</t>
        </is>
      </c>
      <c r="I363" t="b">
        <v>0</v>
      </c>
      <c r="J363" s="214" t="n">
        <v>-43.54</v>
      </c>
      <c r="K363" s="215" t="n">
        <v>-43.54</v>
      </c>
      <c r="L363" s="159" t="n">
        <v>1</v>
      </c>
      <c r="M363" s="159" t="n">
        <v>0.2</v>
      </c>
      <c r="N363" s="215" t="n">
        <v>-7.26</v>
      </c>
      <c r="O363" s="215" t="n">
        <v>-7.26</v>
      </c>
      <c r="P363" s="215" t="n">
        <v>-36.28</v>
      </c>
      <c r="Q363" s="215" t="n">
        <v>-36.28</v>
      </c>
      <c r="R363" s="192" t="n">
        <v>46249</v>
      </c>
      <c r="U363" s="221" t="n"/>
    </row>
    <row r="364">
      <c r="A364" s="212" t="n">
        <v>2026</v>
      </c>
      <c r="B364" s="213" t="n">
        <v>45</v>
      </c>
      <c r="C364" s="71" t="inlineStr">
        <is>
          <t>Ausgaben</t>
        </is>
      </c>
      <c r="D364" t="inlineStr">
        <is>
          <t>sonstige Betriebsausgaben</t>
        </is>
      </c>
      <c r="E364" s="1" t="n">
        <v>46146</v>
      </c>
      <c r="F364" t="inlineStr">
        <is>
          <t>Google Cloud EMEA Limited, Velasco, Clanwilliam Place, Dublin 2, Irland</t>
        </is>
      </c>
      <c r="I364" t="b">
        <v>0</v>
      </c>
      <c r="J364" s="214" t="n">
        <v>16.2</v>
      </c>
      <c r="K364" s="215" t="n">
        <v>16.2</v>
      </c>
      <c r="L364" s="159" t="n">
        <v>1</v>
      </c>
      <c r="M364" s="159" t="n">
        <v>0</v>
      </c>
      <c r="N364" s="215" t="n">
        <v>0</v>
      </c>
      <c r="O364" s="215" t="n">
        <v>0</v>
      </c>
      <c r="P364" s="215" t="n">
        <v>16.2</v>
      </c>
      <c r="Q364" s="215" t="n">
        <v>16.2</v>
      </c>
      <c r="R364" s="192" t="n">
        <v>46249</v>
      </c>
      <c r="S364" t="n">
        <v>20</v>
      </c>
      <c r="U364" s="221" t="n">
        <v>3.24</v>
      </c>
    </row>
    <row r="365">
      <c r="A365" s="212" t="n">
        <v>2026</v>
      </c>
      <c r="B365" s="213" t="n">
        <v>46</v>
      </c>
      <c r="C365" s="71" t="inlineStr">
        <is>
          <t>Ausgaben</t>
        </is>
      </c>
      <c r="D365" t="inlineStr">
        <is>
          <t>Telefon/Internet</t>
        </is>
      </c>
      <c r="E365" s="1" t="n">
        <v>46147</v>
      </c>
      <c r="F365" t="inlineStr">
        <is>
          <t>Hutchison Drei Austria GmbH, Brünner Straße 52, 1210 Wien, Österreich</t>
        </is>
      </c>
      <c r="I365" t="b">
        <v>0</v>
      </c>
      <c r="J365" s="214" t="n">
        <v>14.82</v>
      </c>
      <c r="K365" s="215" t="n">
        <v>14.82</v>
      </c>
      <c r="L365" s="159" t="n">
        <v>1</v>
      </c>
      <c r="M365" s="159" t="n">
        <v>0.2</v>
      </c>
      <c r="N365" s="215" t="n">
        <v>2.47</v>
      </c>
      <c r="O365" s="215" t="n">
        <v>2.47</v>
      </c>
      <c r="P365" s="215" t="n">
        <v>12.35</v>
      </c>
      <c r="Q365" s="215" t="n">
        <v>12.35</v>
      </c>
      <c r="R365" s="192" t="n">
        <v>46249</v>
      </c>
      <c r="U365" s="221" t="n"/>
    </row>
    <row r="366">
      <c r="A366" s="212" t="n">
        <v>2026</v>
      </c>
      <c r="B366" s="213" t="n">
        <v>47</v>
      </c>
      <c r="C366" s="71" t="inlineStr">
        <is>
          <t>Ausgaben</t>
        </is>
      </c>
      <c r="D366" t="inlineStr">
        <is>
          <t>sonstige Betriebsausgaben</t>
        </is>
      </c>
      <c r="E366" s="1" t="n">
        <v>46147</v>
      </c>
      <c r="F366" t="inlineStr">
        <is>
          <t>Anthropic, PBC, 548 Market Street PMB 90375, 94104 San Francisco, California, Vereinigte Staaten</t>
        </is>
      </c>
      <c r="I366" t="b">
        <v>0</v>
      </c>
      <c r="J366" s="214" t="n">
        <v>6.23</v>
      </c>
      <c r="K366" s="215" t="n">
        <v>6.23</v>
      </c>
      <c r="L366" s="159" t="n">
        <v>1</v>
      </c>
      <c r="M366" s="159" t="n">
        <v>0.2</v>
      </c>
      <c r="N366" s="215" t="n">
        <v>1.02</v>
      </c>
      <c r="O366" s="215" t="n">
        <v>1.02</v>
      </c>
      <c r="P366" s="215" t="n">
        <v>5.12</v>
      </c>
      <c r="Q366" s="215" t="n">
        <v>5.12</v>
      </c>
      <c r="R366" s="192" t="n">
        <v>46249</v>
      </c>
      <c r="U366" s="221" t="n"/>
    </row>
    <row r="367">
      <c r="U367" s="221" t="n"/>
    </row>
    <row r="368">
      <c r="C368" s="71" t="n"/>
      <c r="U368" s="221" t="n"/>
    </row>
    <row r="369">
      <c r="U369" s="221" t="n"/>
    </row>
    <row r="370">
      <c r="U370" s="221" t="n"/>
    </row>
    <row r="371">
      <c r="U371" s="221" t="n"/>
    </row>
    <row r="372">
      <c r="U372" s="221" t="n"/>
    </row>
    <row r="373">
      <c r="U373" s="221" t="n"/>
    </row>
    <row r="374">
      <c r="U374" s="221" t="n"/>
    </row>
    <row r="375">
      <c r="U375" s="221" t="n"/>
    </row>
    <row r="376">
      <c r="U376" s="221" t="n"/>
    </row>
    <row r="377">
      <c r="U377" s="221" t="n"/>
    </row>
    <row r="378">
      <c r="U378" s="221" t="n"/>
    </row>
    <row r="379">
      <c r="U379" s="221" t="n"/>
    </row>
    <row r="380">
      <c r="U380" s="221" t="n"/>
    </row>
    <row r="381">
      <c r="U381" s="221" t="n"/>
    </row>
    <row r="382">
      <c r="U382" s="221" t="n"/>
    </row>
    <row r="383">
      <c r="U383" s="221" t="n"/>
    </row>
    <row r="384">
      <c r="U384" s="221" t="n"/>
    </row>
    <row r="385">
      <c r="U385" s="221" t="n"/>
    </row>
    <row r="386">
      <c r="U386" s="221" t="n"/>
    </row>
    <row r="387">
      <c r="U387" s="221" t="n"/>
    </row>
    <row r="388">
      <c r="U388" s="221" t="n"/>
    </row>
    <row r="389">
      <c r="U389" s="221" t="n"/>
    </row>
    <row r="390">
      <c r="U390" s="221" t="n"/>
    </row>
    <row r="391">
      <c r="U391" s="221" t="n"/>
    </row>
    <row r="392">
      <c r="U392" s="221" t="n"/>
    </row>
    <row r="393">
      <c r="U393" s="221" t="n"/>
    </row>
    <row r="394">
      <c r="U394" s="221" t="n"/>
    </row>
    <row r="395">
      <c r="U395" s="221" t="n"/>
    </row>
    <row r="396">
      <c r="U396" s="221" t="n"/>
    </row>
    <row r="397">
      <c r="U397" s="221" t="n"/>
    </row>
    <row r="398">
      <c r="U398" s="221" t="n"/>
    </row>
    <row r="399">
      <c r="U399" s="221" t="n"/>
    </row>
    <row r="400">
      <c r="U400" s="221" t="n"/>
    </row>
    <row r="401">
      <c r="U401" s="221" t="n"/>
    </row>
    <row r="402">
      <c r="U402" s="221" t="n"/>
    </row>
    <row r="403">
      <c r="U403" s="221" t="n"/>
    </row>
    <row r="404">
      <c r="U404" s="221" t="n"/>
    </row>
    <row r="405">
      <c r="U405" s="221" t="n"/>
    </row>
    <row r="406">
      <c r="U406" s="221" t="n"/>
    </row>
    <row r="407">
      <c r="U407" s="221" t="n"/>
    </row>
    <row r="408">
      <c r="U408" s="221" t="n"/>
    </row>
    <row r="409">
      <c r="U409" s="221" t="n"/>
    </row>
    <row r="410">
      <c r="U410" s="221" t="n"/>
    </row>
    <row r="411">
      <c r="U411" s="221" t="n"/>
    </row>
    <row r="412">
      <c r="U412" s="221" t="n"/>
    </row>
    <row r="413">
      <c r="U413" s="221" t="n"/>
    </row>
    <row r="414">
      <c r="U414" s="221" t="n"/>
    </row>
    <row r="415">
      <c r="U415" s="221" t="n"/>
    </row>
    <row r="416">
      <c r="U416" s="221" t="n"/>
    </row>
    <row r="417">
      <c r="U417" s="221" t="n"/>
    </row>
    <row r="418">
      <c r="U418" s="221" t="n"/>
    </row>
    <row r="419">
      <c r="U419" s="221" t="n"/>
    </row>
    <row r="420">
      <c r="U420" s="221" t="n"/>
    </row>
    <row r="421">
      <c r="U421" s="221" t="n"/>
    </row>
    <row r="422">
      <c r="U422" s="221" t="n"/>
    </row>
    <row r="423">
      <c r="U423" s="221" t="n"/>
    </row>
    <row r="424">
      <c r="U424" s="221" t="n"/>
    </row>
    <row r="425">
      <c r="U425" s="221" t="n"/>
    </row>
    <row r="426">
      <c r="U426" s="221" t="n"/>
    </row>
    <row r="427">
      <c r="U427" s="221" t="n"/>
    </row>
    <row r="428">
      <c r="U428" s="221" t="n"/>
    </row>
    <row r="429">
      <c r="U429" s="221" t="n"/>
    </row>
    <row r="430">
      <c r="U430" s="221" t="n"/>
    </row>
    <row r="431">
      <c r="U431" s="221" t="n"/>
    </row>
    <row r="432">
      <c r="U432" s="221" t="n"/>
    </row>
    <row r="433">
      <c r="U433" s="221" t="n"/>
    </row>
    <row r="434">
      <c r="U434" s="221" t="n"/>
    </row>
    <row r="435">
      <c r="U435" s="221" t="n"/>
    </row>
    <row r="436">
      <c r="U436" s="221" t="n"/>
    </row>
    <row r="437">
      <c r="U437" s="221" t="n"/>
    </row>
    <row r="438">
      <c r="U438" s="221" t="n"/>
    </row>
    <row r="439">
      <c r="U439" s="221" t="n"/>
    </row>
    <row r="440">
      <c r="U440" s="221" t="n"/>
    </row>
    <row r="441">
      <c r="U441" s="221" t="n"/>
    </row>
    <row r="442">
      <c r="U442" s="221" t="n"/>
    </row>
    <row r="443">
      <c r="U443" s="221" t="n"/>
    </row>
    <row r="444">
      <c r="U444" s="221" t="n"/>
    </row>
    <row r="445">
      <c r="U445" s="221" t="n"/>
    </row>
    <row r="446">
      <c r="U446" s="221" t="n"/>
    </row>
    <row r="447">
      <c r="U447" s="221" t="n"/>
    </row>
    <row r="448">
      <c r="U448" s="221" t="n"/>
    </row>
    <row r="449">
      <c r="U449" s="221" t="n"/>
    </row>
    <row r="450">
      <c r="U450" s="221" t="n"/>
    </row>
    <row r="451">
      <c r="U451" s="221" t="n"/>
    </row>
    <row r="452">
      <c r="U452" s="221" t="n"/>
    </row>
    <row r="453">
      <c r="U453" s="221" t="n"/>
    </row>
    <row r="454">
      <c r="U454" s="221" t="n"/>
    </row>
    <row r="455">
      <c r="U455" s="221" t="n"/>
    </row>
    <row r="456">
      <c r="U456" s="221" t="n"/>
    </row>
    <row r="457">
      <c r="U457" s="221" t="n"/>
    </row>
    <row r="458">
      <c r="U458" s="221" t="n"/>
    </row>
    <row r="459">
      <c r="U459" s="221" t="n"/>
    </row>
    <row r="460">
      <c r="U460" s="221" t="n"/>
    </row>
    <row r="461">
      <c r="U461" s="221" t="n"/>
    </row>
    <row r="462">
      <c r="U462" s="221" t="n"/>
    </row>
    <row r="463">
      <c r="U463" s="221" t="n"/>
    </row>
    <row r="464">
      <c r="U464" s="221" t="n"/>
    </row>
    <row r="465">
      <c r="U465" s="221" t="n"/>
    </row>
    <row r="466">
      <c r="U466" s="221" t="n"/>
    </row>
    <row r="467">
      <c r="U467" s="221" t="n"/>
    </row>
    <row r="468">
      <c r="U468" s="221" t="n"/>
    </row>
    <row r="469">
      <c r="U469" s="221" t="n"/>
    </row>
    <row r="470">
      <c r="U470" s="221" t="n"/>
    </row>
    <row r="471">
      <c r="U471" s="221" t="n"/>
    </row>
    <row r="472">
      <c r="U472" s="221" t="n"/>
    </row>
    <row r="473">
      <c r="U473" s="221" t="n"/>
    </row>
    <row r="474">
      <c r="U474" s="221" t="n"/>
    </row>
    <row r="475">
      <c r="U475" s="221" t="n"/>
    </row>
    <row r="476">
      <c r="U476" s="221" t="n"/>
    </row>
    <row r="477">
      <c r="U477" s="221" t="n"/>
    </row>
    <row r="478">
      <c r="U478" s="221" t="n"/>
    </row>
    <row r="479">
      <c r="U479" s="221" t="n"/>
    </row>
    <row r="480">
      <c r="U480" s="221" t="n"/>
    </row>
    <row r="481">
      <c r="U481" s="221" t="n"/>
    </row>
    <row r="482">
      <c r="U482" s="221" t="n"/>
    </row>
    <row r="483">
      <c r="U483" s="221" t="n"/>
    </row>
    <row r="484">
      <c r="U484" s="221" t="n"/>
    </row>
    <row r="485">
      <c r="U485" s="221" t="n"/>
    </row>
    <row r="486">
      <c r="U486" s="221" t="n"/>
    </row>
    <row r="487">
      <c r="U487" s="221" t="n"/>
    </row>
    <row r="488">
      <c r="U488" s="221" t="n"/>
    </row>
    <row r="489">
      <c r="U489" s="221" t="n"/>
    </row>
    <row r="490">
      <c r="U490" s="221" t="n"/>
    </row>
    <row r="491">
      <c r="U491" s="221" t="n"/>
    </row>
    <row r="492">
      <c r="U492" s="221" t="n"/>
    </row>
    <row r="493">
      <c r="U493" s="221" t="n"/>
    </row>
    <row r="494">
      <c r="U494" s="221" t="n"/>
    </row>
    <row r="495">
      <c r="U495" s="221" t="n"/>
    </row>
    <row r="496">
      <c r="U496" s="221" t="n"/>
    </row>
    <row r="497">
      <c r="U497" s="221" t="n"/>
    </row>
    <row r="498">
      <c r="U498" s="221" t="n"/>
    </row>
    <row r="499">
      <c r="U499" s="221" t="n"/>
    </row>
    <row r="500">
      <c r="U500" s="221" t="n"/>
    </row>
    <row r="501">
      <c r="U501" s="221" t="n"/>
    </row>
    <row r="502">
      <c r="U502" s="221" t="n"/>
    </row>
    <row r="503">
      <c r="U503" s="221" t="n"/>
    </row>
    <row r="504">
      <c r="U504" s="221" t="n"/>
    </row>
    <row r="505">
      <c r="U505" s="221" t="n"/>
    </row>
    <row r="506">
      <c r="U506" s="221" t="n"/>
    </row>
    <row r="507">
      <c r="U507" s="221" t="n"/>
    </row>
    <row r="508">
      <c r="U508" s="221" t="n"/>
    </row>
    <row r="509">
      <c r="U509" s="221" t="n"/>
    </row>
    <row r="510">
      <c r="U510" s="221" t="n"/>
    </row>
    <row r="511">
      <c r="U511" s="221" t="n"/>
    </row>
    <row r="512">
      <c r="U512" s="221" t="n"/>
    </row>
    <row r="513">
      <c r="U513" s="221" t="n"/>
    </row>
    <row r="514">
      <c r="U514" s="221" t="n"/>
    </row>
    <row r="515">
      <c r="U515" s="221" t="n"/>
    </row>
    <row r="516">
      <c r="U516" s="221" t="n"/>
    </row>
    <row r="517">
      <c r="U517" s="221" t="n"/>
    </row>
    <row r="518">
      <c r="U518" s="221" t="n"/>
    </row>
    <row r="519">
      <c r="U519" s="221" t="n"/>
    </row>
    <row r="520">
      <c r="U520" s="221" t="n"/>
    </row>
    <row r="521">
      <c r="U521" s="221" t="n"/>
    </row>
    <row r="522">
      <c r="U522" s="221" t="n"/>
    </row>
    <row r="523">
      <c r="U523" s="221" t="n"/>
    </row>
    <row r="524">
      <c r="U524" s="221" t="n"/>
    </row>
    <row r="525">
      <c r="U525" s="221" t="n"/>
    </row>
    <row r="526">
      <c r="U526" s="221" t="n"/>
    </row>
    <row r="527">
      <c r="U527" s="221" t="n"/>
    </row>
    <row r="528">
      <c r="U528" s="221" t="n"/>
    </row>
    <row r="529">
      <c r="U529" s="221" t="n"/>
    </row>
    <row r="530">
      <c r="U530" s="221" t="n"/>
    </row>
    <row r="531">
      <c r="U531" s="221" t="n"/>
    </row>
    <row r="532">
      <c r="U532" s="221" t="n"/>
    </row>
    <row r="533">
      <c r="U533" s="221" t="n"/>
    </row>
    <row r="534">
      <c r="U534" s="221" t="n"/>
    </row>
    <row r="535">
      <c r="U535" s="221" t="n"/>
    </row>
    <row r="536">
      <c r="U536" s="221" t="n"/>
    </row>
    <row r="537">
      <c r="U537" s="221" t="n"/>
    </row>
    <row r="538">
      <c r="U538" s="221" t="n"/>
    </row>
    <row r="539">
      <c r="U539" s="221" t="n"/>
    </row>
    <row r="540">
      <c r="U540" s="221" t="n"/>
    </row>
    <row r="541">
      <c r="U541" s="221" t="n"/>
    </row>
    <row r="542">
      <c r="U542" s="221" t="n"/>
    </row>
    <row r="543">
      <c r="U543" s="221" t="n"/>
    </row>
    <row r="544">
      <c r="U544" s="221" t="n"/>
    </row>
    <row r="545">
      <c r="U545" s="221" t="n"/>
    </row>
    <row r="546">
      <c r="U546" s="221" t="n"/>
    </row>
    <row r="547">
      <c r="U547" s="221" t="n"/>
    </row>
    <row r="548">
      <c r="U548" s="221" t="n"/>
    </row>
    <row r="549">
      <c r="U549" s="221" t="n"/>
    </row>
    <row r="550">
      <c r="U550" s="221" t="n"/>
    </row>
    <row r="551">
      <c r="U551" s="221" t="n"/>
    </row>
    <row r="552">
      <c r="U552" s="221" t="n"/>
    </row>
    <row r="553">
      <c r="U553" s="221" t="n"/>
    </row>
    <row r="554">
      <c r="U554" s="221" t="n"/>
    </row>
    <row r="555">
      <c r="U555" s="221" t="n"/>
    </row>
    <row r="556">
      <c r="U556" s="221" t="n"/>
    </row>
    <row r="557">
      <c r="U557" s="221" t="n"/>
    </row>
    <row r="558">
      <c r="U558" s="221" t="n"/>
    </row>
    <row r="559">
      <c r="U559" s="221" t="n"/>
    </row>
    <row r="560">
      <c r="U560" s="221" t="n"/>
    </row>
    <row r="561">
      <c r="U561" s="221" t="n"/>
    </row>
    <row r="562">
      <c r="U562" s="221" t="n"/>
    </row>
    <row r="563">
      <c r="U563" s="221" t="n"/>
    </row>
    <row r="564">
      <c r="U564" s="221" t="n"/>
    </row>
    <row r="565">
      <c r="U565" s="221" t="n"/>
    </row>
    <row r="566">
      <c r="U566" s="221" t="n"/>
    </row>
    <row r="567">
      <c r="U567" s="221" t="n"/>
    </row>
    <row r="568">
      <c r="U568" s="221" t="n"/>
    </row>
    <row r="569">
      <c r="U569" s="221" t="n"/>
    </row>
    <row r="570">
      <c r="U570" s="221" t="n"/>
    </row>
    <row r="571">
      <c r="U571" s="221" t="n"/>
    </row>
    <row r="572">
      <c r="U572" s="221" t="n"/>
    </row>
    <row r="573">
      <c r="U573" s="221" t="n"/>
    </row>
    <row r="574">
      <c r="U574" s="221" t="n"/>
    </row>
    <row r="575">
      <c r="U575" s="221" t="n"/>
    </row>
    <row r="576">
      <c r="U576" s="221" t="n"/>
    </row>
    <row r="577">
      <c r="U577" s="221" t="n"/>
    </row>
    <row r="578">
      <c r="U578" s="221" t="n"/>
    </row>
    <row r="579">
      <c r="U579" s="221" t="n"/>
    </row>
    <row r="580">
      <c r="U580" s="221" t="n"/>
    </row>
    <row r="581">
      <c r="U581" s="221" t="n"/>
    </row>
    <row r="582">
      <c r="U582" s="221" t="n"/>
    </row>
    <row r="583">
      <c r="U583" s="221" t="n"/>
    </row>
    <row r="584">
      <c r="U584" s="221" t="n"/>
    </row>
    <row r="585">
      <c r="U585" s="221" t="n"/>
    </row>
    <row r="586">
      <c r="U586" s="221" t="n"/>
    </row>
    <row r="587">
      <c r="U587" s="221" t="n"/>
    </row>
    <row r="588">
      <c r="U588" s="221" t="n"/>
    </row>
    <row r="589">
      <c r="U589" s="221" t="n"/>
    </row>
    <row r="590">
      <c r="U590" s="221" t="n"/>
    </row>
    <row r="591">
      <c r="U591" s="221" t="n"/>
    </row>
    <row r="592">
      <c r="U592" s="221" t="n"/>
    </row>
    <row r="593">
      <c r="U593" s="221" t="n"/>
    </row>
    <row r="594">
      <c r="U594" s="221" t="n"/>
    </row>
    <row r="595">
      <c r="U595" s="221" t="n"/>
    </row>
    <row r="596">
      <c r="U596" s="221" t="n"/>
    </row>
    <row r="597">
      <c r="U597" s="221" t="n"/>
    </row>
    <row r="598">
      <c r="U598" s="221" t="n"/>
    </row>
    <row r="599">
      <c r="U599" s="221" t="n"/>
    </row>
    <row r="600">
      <c r="U600" s="221" t="n"/>
    </row>
    <row r="601">
      <c r="U601" s="221" t="n"/>
    </row>
    <row r="602">
      <c r="U602" s="221" t="n"/>
    </row>
    <row r="603">
      <c r="U603" s="221" t="n"/>
    </row>
    <row r="604">
      <c r="U604" s="221" t="n"/>
    </row>
    <row r="605">
      <c r="U605" s="221" t="n"/>
    </row>
    <row r="606">
      <c r="U606" s="221" t="n"/>
    </row>
    <row r="607">
      <c r="U607" s="221" t="n"/>
    </row>
    <row r="608">
      <c r="U608" s="221" t="n"/>
    </row>
    <row r="609">
      <c r="U609" s="221" t="n"/>
    </row>
    <row r="610">
      <c r="U610" s="221" t="n"/>
    </row>
    <row r="611">
      <c r="U611" s="221" t="n"/>
    </row>
    <row r="612">
      <c r="U612" s="221" t="n"/>
    </row>
    <row r="613">
      <c r="U613" s="221" t="n"/>
    </row>
    <row r="614">
      <c r="U614" s="221" t="n"/>
    </row>
    <row r="615">
      <c r="U615" s="221" t="n"/>
    </row>
    <row r="616">
      <c r="U616" s="221" t="n"/>
    </row>
    <row r="617">
      <c r="U617" s="221" t="n"/>
    </row>
    <row r="618">
      <c r="U618" s="221" t="n"/>
    </row>
    <row r="619">
      <c r="U619" s="221" t="n"/>
    </row>
    <row r="620">
      <c r="U620" s="221" t="n"/>
    </row>
    <row r="621">
      <c r="U621" s="221" t="n"/>
    </row>
    <row r="622">
      <c r="U622" s="221" t="n"/>
    </row>
    <row r="623">
      <c r="U623" s="221" t="n"/>
    </row>
    <row r="624">
      <c r="U624" s="221" t="n"/>
    </row>
    <row r="625">
      <c r="U625" s="221" t="n"/>
    </row>
    <row r="626">
      <c r="U626" s="221" t="n"/>
    </row>
    <row r="627">
      <c r="U627" s="221" t="n"/>
    </row>
    <row r="628">
      <c r="U628" s="221" t="n"/>
    </row>
    <row r="629">
      <c r="U629" s="221" t="n"/>
    </row>
    <row r="630">
      <c r="U630" s="221" t="n"/>
    </row>
    <row r="631">
      <c r="U631" s="221" t="n"/>
    </row>
    <row r="632">
      <c r="U632" s="221" t="n"/>
    </row>
    <row r="633">
      <c r="U633" s="221" t="n"/>
    </row>
    <row r="634">
      <c r="U634" s="221" t="n"/>
    </row>
    <row r="635">
      <c r="U635" s="221" t="n"/>
    </row>
    <row r="636">
      <c r="U636" s="221" t="n"/>
    </row>
    <row r="637">
      <c r="U637" s="221" t="n"/>
    </row>
    <row r="638">
      <c r="U638" s="221" t="n"/>
    </row>
    <row r="639">
      <c r="U639" s="221" t="n"/>
    </row>
    <row r="640">
      <c r="U640" s="221" t="n"/>
    </row>
    <row r="641">
      <c r="U641" s="221" t="n"/>
    </row>
    <row r="642">
      <c r="U642" s="221" t="n"/>
    </row>
    <row r="643">
      <c r="U643" s="221" t="n"/>
    </row>
    <row r="644">
      <c r="U644" s="221" t="n"/>
    </row>
    <row r="645">
      <c r="U645" s="221" t="n"/>
    </row>
    <row r="646">
      <c r="U646" s="221" t="n"/>
    </row>
    <row r="647">
      <c r="U647" s="221" t="n"/>
    </row>
    <row r="648">
      <c r="U648" s="221" t="n"/>
    </row>
    <row r="649">
      <c r="U649" s="221" t="n"/>
    </row>
    <row r="650">
      <c r="U650" s="221" t="n"/>
    </row>
    <row r="651">
      <c r="U651" s="221" t="n"/>
    </row>
    <row r="652">
      <c r="U652" s="221" t="n"/>
    </row>
    <row r="653">
      <c r="U653" s="221" t="n"/>
    </row>
    <row r="654">
      <c r="U654" s="221" t="n"/>
    </row>
    <row r="655">
      <c r="U655" s="221" t="n"/>
    </row>
    <row r="656">
      <c r="U656" s="221" t="n"/>
    </row>
    <row r="657">
      <c r="U657" s="221" t="n"/>
    </row>
    <row r="658">
      <c r="U658" s="221" t="n"/>
    </row>
    <row r="659">
      <c r="U659" s="221" t="n"/>
    </row>
    <row r="660">
      <c r="U660" s="221" t="n"/>
    </row>
    <row r="661">
      <c r="U661" s="221" t="n"/>
    </row>
    <row r="662">
      <c r="U662" s="221" t="n"/>
    </row>
    <row r="663">
      <c r="U663" s="221" t="n"/>
    </row>
    <row r="664">
      <c r="U664" s="221" t="n"/>
    </row>
    <row r="665">
      <c r="U665" s="221" t="n"/>
    </row>
    <row r="666">
      <c r="U666" s="221" t="n"/>
    </row>
    <row r="667">
      <c r="U667" s="221" t="n"/>
    </row>
    <row r="668">
      <c r="U668" s="221" t="n"/>
    </row>
    <row r="669">
      <c r="U669" s="221" t="n"/>
    </row>
    <row r="670">
      <c r="U670" s="221" t="n"/>
    </row>
    <row r="671">
      <c r="U671" s="221" t="n"/>
    </row>
    <row r="672">
      <c r="U672" s="221" t="n"/>
    </row>
    <row r="673">
      <c r="U673" s="221" t="n"/>
    </row>
    <row r="674">
      <c r="U674" s="221" t="n"/>
    </row>
    <row r="675">
      <c r="U675" s="221" t="n"/>
    </row>
    <row r="676">
      <c r="U676" s="221" t="n"/>
    </row>
    <row r="677">
      <c r="U677" s="221" t="n"/>
    </row>
    <row r="678">
      <c r="U678" s="221" t="n"/>
    </row>
    <row r="679">
      <c r="U679" s="221" t="n"/>
    </row>
    <row r="680">
      <c r="U680" s="221" t="n"/>
    </row>
    <row r="681">
      <c r="U681" s="221" t="n"/>
    </row>
    <row r="682">
      <c r="U682" s="221" t="n"/>
    </row>
    <row r="683">
      <c r="U683" s="221" t="n"/>
    </row>
    <row r="684">
      <c r="U684" s="221" t="n"/>
    </row>
    <row r="685">
      <c r="U685" s="221" t="n"/>
    </row>
    <row r="686">
      <c r="U686" s="221" t="n"/>
    </row>
    <row r="687">
      <c r="U687" s="221" t="n"/>
    </row>
    <row r="688">
      <c r="U688" s="221" t="n"/>
    </row>
    <row r="689">
      <c r="U689" s="221" t="n"/>
    </row>
    <row r="690">
      <c r="U690" s="221" t="n"/>
    </row>
    <row r="691">
      <c r="U691" s="221" t="n"/>
    </row>
    <row r="692">
      <c r="U692" s="221" t="n"/>
    </row>
    <row r="693">
      <c r="U693" s="221" t="n"/>
    </row>
    <row r="694">
      <c r="U694" s="221" t="n"/>
    </row>
    <row r="695">
      <c r="U695" s="221" t="n"/>
    </row>
    <row r="696">
      <c r="U696" s="221" t="n"/>
    </row>
    <row r="697">
      <c r="U697" s="221" t="n"/>
    </row>
    <row r="698">
      <c r="U698" s="221" t="n"/>
    </row>
    <row r="699">
      <c r="U699" s="221" t="n"/>
    </row>
    <row r="700">
      <c r="U700" s="221" t="n"/>
    </row>
    <row r="701">
      <c r="U701" s="221" t="n"/>
    </row>
    <row r="702">
      <c r="U702" s="221" t="n"/>
    </row>
    <row r="703">
      <c r="U703" s="221" t="n"/>
    </row>
    <row r="704">
      <c r="U704" s="221" t="n"/>
    </row>
    <row r="705">
      <c r="U705" s="221" t="n"/>
    </row>
    <row r="706">
      <c r="U706" s="221" t="n"/>
    </row>
    <row r="707">
      <c r="U707" s="221" t="n"/>
    </row>
    <row r="708">
      <c r="U708" s="221" t="n"/>
    </row>
    <row r="709">
      <c r="U709" s="221" t="n"/>
    </row>
    <row r="710">
      <c r="U710" s="221" t="n"/>
    </row>
    <row r="711">
      <c r="U711" s="221" t="n"/>
    </row>
    <row r="712">
      <c r="U712" s="221" t="n"/>
    </row>
    <row r="713">
      <c r="U713" s="221" t="n"/>
    </row>
    <row r="714">
      <c r="U714" s="221" t="n"/>
    </row>
    <row r="715">
      <c r="U715" s="221" t="n"/>
    </row>
    <row r="716">
      <c r="U716" s="221" t="n"/>
    </row>
    <row r="717">
      <c r="U717" s="221" t="n"/>
    </row>
    <row r="718">
      <c r="U718" s="221" t="n"/>
    </row>
    <row r="719">
      <c r="U719" s="221" t="n"/>
    </row>
    <row r="720">
      <c r="U720" s="221" t="n"/>
    </row>
    <row r="721">
      <c r="U721" s="221" t="n"/>
    </row>
    <row r="722">
      <c r="U722" s="221" t="n"/>
    </row>
    <row r="723">
      <c r="U723" s="221" t="n"/>
    </row>
    <row r="724">
      <c r="U724" s="221" t="n"/>
    </row>
    <row r="725">
      <c r="U725" s="221" t="n"/>
    </row>
    <row r="726">
      <c r="U726" s="221" t="n"/>
    </row>
    <row r="727">
      <c r="U727" s="221" t="n"/>
    </row>
    <row r="728">
      <c r="U728" s="221" t="n"/>
    </row>
    <row r="729">
      <c r="U729" s="221" t="n"/>
    </row>
    <row r="730">
      <c r="U730" s="221" t="n"/>
    </row>
    <row r="731">
      <c r="U731" s="221" t="n"/>
    </row>
    <row r="732">
      <c r="U732" s="221" t="n"/>
    </row>
    <row r="733">
      <c r="U733" s="221" t="n"/>
    </row>
    <row r="734">
      <c r="U734" s="221" t="n"/>
    </row>
    <row r="735">
      <c r="U735" s="221" t="n"/>
    </row>
    <row r="736">
      <c r="U736" s="221" t="n"/>
    </row>
    <row r="737">
      <c r="U737" s="221" t="n"/>
    </row>
    <row r="738">
      <c r="U738" s="221" t="n"/>
    </row>
    <row r="739">
      <c r="U739" s="221" t="n"/>
    </row>
    <row r="740">
      <c r="U740" s="221" t="n"/>
    </row>
    <row r="741">
      <c r="U741" s="221" t="n"/>
    </row>
    <row r="742">
      <c r="U742" s="221" t="n"/>
    </row>
    <row r="743">
      <c r="U743" s="221" t="n"/>
    </row>
    <row r="744">
      <c r="U744" s="221" t="n"/>
    </row>
    <row r="745">
      <c r="U745" s="221" t="n"/>
    </row>
    <row r="746">
      <c r="U746" s="221" t="n"/>
    </row>
    <row r="747">
      <c r="U747" s="221" t="n"/>
    </row>
    <row r="748">
      <c r="U748" s="221" t="n"/>
    </row>
    <row r="749">
      <c r="U749" s="221" t="n"/>
    </row>
    <row r="750">
      <c r="U750" s="221" t="n"/>
    </row>
    <row r="751">
      <c r="U751" s="221" t="n"/>
    </row>
    <row r="752">
      <c r="U752" s="221" t="n"/>
    </row>
    <row r="753">
      <c r="U753" s="221" t="n"/>
    </row>
    <row r="754">
      <c r="U754" s="221" t="n"/>
    </row>
    <row r="755">
      <c r="U755" s="221" t="n"/>
    </row>
    <row r="756">
      <c r="U756" s="221" t="n"/>
    </row>
    <row r="757">
      <c r="U757" s="221" t="n"/>
    </row>
    <row r="758">
      <c r="U758" s="221" t="n"/>
    </row>
    <row r="759">
      <c r="U759" s="221" t="n"/>
    </row>
    <row r="760">
      <c r="U760" s="221" t="n"/>
    </row>
    <row r="761">
      <c r="U761" s="221" t="n"/>
    </row>
    <row r="762">
      <c r="U762" s="221" t="n"/>
    </row>
    <row r="763">
      <c r="U763" s="221" t="n"/>
    </row>
    <row r="764">
      <c r="U764" s="221" t="n"/>
    </row>
    <row r="765">
      <c r="U765" s="221" t="n"/>
    </row>
    <row r="766">
      <c r="U766" s="221" t="n"/>
    </row>
    <row r="767">
      <c r="U767" s="221" t="n"/>
    </row>
  </sheetData>
  <autoFilter ref="A1:Z767"/>
  <conditionalFormatting sqref="P1">
    <cfRule type="expression" priority="491" dxfId="420">
      <formula>"$G$G&gt;400"</formula>
    </cfRule>
  </conditionalFormatting>
  <conditionalFormatting sqref="C21">
    <cfRule type="containsText" priority="478" operator="containsText" dxfId="1" text="Einnahmen">
      <formula>NOT(ISERROR(SEARCH("Einnahmen",C21)))</formula>
    </cfRule>
  </conditionalFormatting>
  <conditionalFormatting sqref="C83">
    <cfRule type="containsText" priority="448" operator="containsText" dxfId="1" text="Einnahmen">
      <formula>NOT(ISERROR(SEARCH("Einnahmen",C83)))</formula>
    </cfRule>
    <cfRule type="containsText" priority="449" operator="containsText" dxfId="0" text="Ausgaben">
      <formula>NOT(ISERROR(SEARCH("Ausgaben",C83)))</formula>
    </cfRule>
  </conditionalFormatting>
  <conditionalFormatting sqref="C84">
    <cfRule type="containsText" priority="446" operator="containsText" dxfId="1" text="Einnahmen">
      <formula>NOT(ISERROR(SEARCH("Einnahmen",C84)))</formula>
    </cfRule>
    <cfRule type="containsText" priority="447" operator="containsText" dxfId="0" text="Ausgaben">
      <formula>NOT(ISERROR(SEARCH("Ausgaben",C84)))</formula>
    </cfRule>
  </conditionalFormatting>
  <conditionalFormatting sqref="C85">
    <cfRule type="containsText" priority="444" operator="containsText" dxfId="1" text="Einnahmen">
      <formula>NOT(ISERROR(SEARCH("Einnahmen",C85)))</formula>
    </cfRule>
    <cfRule type="containsText" priority="445" operator="containsText" dxfId="0" text="Ausgaben">
      <formula>NOT(ISERROR(SEARCH("Ausgaben",C85)))</formula>
    </cfRule>
  </conditionalFormatting>
  <conditionalFormatting sqref="C86">
    <cfRule type="containsText" priority="442" operator="containsText" dxfId="1" text="Einnahmen">
      <formula>NOT(ISERROR(SEARCH("Einnahmen",C86)))</formula>
    </cfRule>
    <cfRule type="containsText" priority="443" operator="containsText" dxfId="0" text="Ausgaben">
      <formula>NOT(ISERROR(SEARCH("Ausgaben",C86)))</formula>
    </cfRule>
  </conditionalFormatting>
  <conditionalFormatting sqref="C88">
    <cfRule type="containsText" priority="440" operator="containsText" dxfId="1" text="Einnahmen">
      <formula>NOT(ISERROR(SEARCH("Einnahmen",C88)))</formula>
    </cfRule>
    <cfRule type="containsText" priority="441" operator="containsText" dxfId="0" text="Ausgaben">
      <formula>NOT(ISERROR(SEARCH("Ausgaben",C88)))</formula>
    </cfRule>
  </conditionalFormatting>
  <conditionalFormatting sqref="C90">
    <cfRule type="containsText" priority="438" operator="containsText" dxfId="1" text="Einnahmen">
      <formula>NOT(ISERROR(SEARCH("Einnahmen",C90)))</formula>
    </cfRule>
    <cfRule type="containsText" priority="439" operator="containsText" dxfId="0" text="Ausgaben">
      <formula>NOT(ISERROR(SEARCH("Ausgaben",C90)))</formula>
    </cfRule>
  </conditionalFormatting>
  <conditionalFormatting sqref="C93">
    <cfRule type="containsText" priority="436" operator="containsText" dxfId="1" text="Einnahmen">
      <formula>NOT(ISERROR(SEARCH("Einnahmen",C93)))</formula>
    </cfRule>
    <cfRule type="containsText" priority="437" operator="containsText" dxfId="0" text="Ausgaben">
      <formula>NOT(ISERROR(SEARCH("Ausgaben",C93)))</formula>
    </cfRule>
  </conditionalFormatting>
  <conditionalFormatting sqref="C95">
    <cfRule type="containsText" priority="434" operator="containsText" dxfId="1" text="Einnahmen">
      <formula>NOT(ISERROR(SEARCH("Einnahmen",C95)))</formula>
    </cfRule>
    <cfRule type="containsText" priority="435" operator="containsText" dxfId="0" text="Ausgaben">
      <formula>NOT(ISERROR(SEARCH("Ausgaben",C95)))</formula>
    </cfRule>
  </conditionalFormatting>
  <conditionalFormatting sqref="C99">
    <cfRule type="containsText" priority="432" operator="containsText" dxfId="1" text="Einnahmen">
      <formula>NOT(ISERROR(SEARCH("Einnahmen",C99)))</formula>
    </cfRule>
    <cfRule type="containsText" priority="433" operator="containsText" dxfId="0" text="Ausgaben">
      <formula>NOT(ISERROR(SEARCH("Ausgaben",C99)))</formula>
    </cfRule>
  </conditionalFormatting>
  <conditionalFormatting sqref="C100">
    <cfRule type="containsText" priority="430" operator="containsText" dxfId="1" text="Einnahmen">
      <formula>NOT(ISERROR(SEARCH("Einnahmen",C100)))</formula>
    </cfRule>
    <cfRule type="containsText" priority="431" operator="containsText" dxfId="0" text="Ausgaben">
      <formula>NOT(ISERROR(SEARCH("Ausgaben",C100)))</formula>
    </cfRule>
  </conditionalFormatting>
  <conditionalFormatting sqref="C102">
    <cfRule type="containsText" priority="428" operator="containsText" dxfId="1" text="Einnahmen">
      <formula>NOT(ISERROR(SEARCH("Einnahmen",C102)))</formula>
    </cfRule>
    <cfRule type="containsText" priority="429" operator="containsText" dxfId="0" text="Ausgaben">
      <formula>NOT(ISERROR(SEARCH("Ausgaben",C102)))</formula>
    </cfRule>
  </conditionalFormatting>
  <conditionalFormatting sqref="C110">
    <cfRule type="containsText" priority="424" operator="containsText" dxfId="1" text="Einnahmen">
      <formula>NOT(ISERROR(SEARCH("Einnahmen",C110)))</formula>
    </cfRule>
    <cfRule type="containsText" priority="425" operator="containsText" dxfId="0" text="Ausgaben">
      <formula>NOT(ISERROR(SEARCH("Ausgaben",C110)))</formula>
    </cfRule>
  </conditionalFormatting>
  <conditionalFormatting sqref="C111">
    <cfRule type="containsText" priority="422" operator="containsText" dxfId="1" text="Einnahmen">
      <formula>NOT(ISERROR(SEARCH("Einnahmen",C111)))</formula>
    </cfRule>
    <cfRule type="containsText" priority="423" operator="containsText" dxfId="0" text="Ausgaben">
      <formula>NOT(ISERROR(SEARCH("Ausgaben",C111)))</formula>
    </cfRule>
  </conditionalFormatting>
  <conditionalFormatting sqref="C112">
    <cfRule type="containsText" priority="420" operator="containsText" dxfId="1" text="Einnahmen">
      <formula>NOT(ISERROR(SEARCH("Einnahmen",C112)))</formula>
    </cfRule>
    <cfRule type="containsText" priority="421" operator="containsText" dxfId="0" text="Ausgaben">
      <formula>NOT(ISERROR(SEARCH("Ausgaben",C112)))</formula>
    </cfRule>
  </conditionalFormatting>
  <conditionalFormatting sqref="C114">
    <cfRule type="containsText" priority="418" operator="containsText" dxfId="1" text="Einnahmen">
      <formula>NOT(ISERROR(SEARCH("Einnahmen",C114)))</formula>
    </cfRule>
    <cfRule type="containsText" priority="419" operator="containsText" dxfId="0" text="Ausgaben">
      <formula>NOT(ISERROR(SEARCH("Ausgaben",C114)))</formula>
    </cfRule>
  </conditionalFormatting>
  <conditionalFormatting sqref="C115">
    <cfRule type="containsText" priority="414" operator="containsText" dxfId="1" text="Einnahmen">
      <formula>NOT(ISERROR(SEARCH("Einnahmen",C115)))</formula>
    </cfRule>
    <cfRule type="containsText" priority="415" operator="containsText" dxfId="0" text="Ausgaben">
      <formula>NOT(ISERROR(SEARCH("Ausgaben",C115)))</formula>
    </cfRule>
  </conditionalFormatting>
  <conditionalFormatting sqref="C119">
    <cfRule type="containsText" priority="412" operator="containsText" dxfId="1" text="Einnahmen">
      <formula>NOT(ISERROR(SEARCH("Einnahmen",C119)))</formula>
    </cfRule>
    <cfRule type="containsText" priority="413" operator="containsText" dxfId="0" text="Ausgaben">
      <formula>NOT(ISERROR(SEARCH("Ausgaben",C119)))</formula>
    </cfRule>
  </conditionalFormatting>
  <conditionalFormatting sqref="C120">
    <cfRule type="containsText" priority="410" operator="containsText" dxfId="1" text="Einnahmen">
      <formula>NOT(ISERROR(SEARCH("Einnahmen",C120)))</formula>
    </cfRule>
    <cfRule type="containsText" priority="411" operator="containsText" dxfId="0" text="Ausgaben">
      <formula>NOT(ISERROR(SEARCH("Ausgaben",C120)))</formula>
    </cfRule>
  </conditionalFormatting>
  <conditionalFormatting sqref="C124">
    <cfRule type="containsText" priority="408" operator="containsText" dxfId="1" text="Einnahmen">
      <formula>NOT(ISERROR(SEARCH("Einnahmen",C124)))</formula>
    </cfRule>
    <cfRule type="containsText" priority="409" operator="containsText" dxfId="0" text="Ausgaben">
      <formula>NOT(ISERROR(SEARCH("Ausgaben",C124)))</formula>
    </cfRule>
  </conditionalFormatting>
  <conditionalFormatting sqref="C126">
    <cfRule type="containsText" priority="406" operator="containsText" dxfId="1" text="Einnahmen">
      <formula>NOT(ISERROR(SEARCH("Einnahmen",C126)))</formula>
    </cfRule>
    <cfRule type="containsText" priority="407" operator="containsText" dxfId="0" text="Ausgaben">
      <formula>NOT(ISERROR(SEARCH("Ausgaben",C126)))</formula>
    </cfRule>
  </conditionalFormatting>
  <conditionalFormatting sqref="C129:C130">
    <cfRule type="containsText" priority="404" operator="containsText" dxfId="1" text="Einnahmen">
      <formula>NOT(ISERROR(SEARCH("Einnahmen",C129)))</formula>
    </cfRule>
    <cfRule type="containsText" priority="405" operator="containsText" dxfId="0" text="Ausgaben">
      <formula>NOT(ISERROR(SEARCH("Ausgaben",C129)))</formula>
    </cfRule>
  </conditionalFormatting>
  <conditionalFormatting sqref="C139:C140">
    <cfRule type="containsText" priority="400" operator="containsText" dxfId="1" text="Einnahmen">
      <formula>NOT(ISERROR(SEARCH("Einnahmen",C139)))</formula>
    </cfRule>
    <cfRule type="containsText" priority="401" operator="containsText" dxfId="0" text="Ausgaben">
      <formula>NOT(ISERROR(SEARCH("Ausgaben",C139)))</formula>
    </cfRule>
  </conditionalFormatting>
  <conditionalFormatting sqref="C131">
    <cfRule type="containsText" priority="398" operator="containsText" dxfId="1" text="Einnahmen">
      <formula>NOT(ISERROR(SEARCH("Einnahmen",C131)))</formula>
    </cfRule>
    <cfRule type="containsText" priority="399" operator="containsText" dxfId="0" text="Ausgaben">
      <formula>NOT(ISERROR(SEARCH("Ausgaben",C131)))</formula>
    </cfRule>
  </conditionalFormatting>
  <conditionalFormatting sqref="C141">
    <cfRule type="containsText" priority="396" operator="containsText" dxfId="1" text="Einnahmen">
      <formula>NOT(ISERROR(SEARCH("Einnahmen",C141)))</formula>
    </cfRule>
    <cfRule type="containsText" priority="397" operator="containsText" dxfId="0" text="Ausgaben">
      <formula>NOT(ISERROR(SEARCH("Ausgaben",C141)))</formula>
    </cfRule>
  </conditionalFormatting>
  <conditionalFormatting sqref="C143">
    <cfRule type="containsText" priority="394" operator="containsText" dxfId="1" text="Einnahmen">
      <formula>NOT(ISERROR(SEARCH("Einnahmen",C143)))</formula>
    </cfRule>
    <cfRule type="containsText" priority="395" operator="containsText" dxfId="0" text="Ausgaben">
      <formula>NOT(ISERROR(SEARCH("Ausgaben",C143)))</formula>
    </cfRule>
  </conditionalFormatting>
  <conditionalFormatting sqref="C144">
    <cfRule type="containsText" priority="392" operator="containsText" dxfId="1" text="Einnahmen">
      <formula>NOT(ISERROR(SEARCH("Einnahmen",C144)))</formula>
    </cfRule>
    <cfRule type="containsText" priority="393" operator="containsText" dxfId="0" text="Ausgaben">
      <formula>NOT(ISERROR(SEARCH("Ausgaben",C144)))</formula>
    </cfRule>
  </conditionalFormatting>
  <conditionalFormatting sqref="C145">
    <cfRule type="containsText" priority="390" operator="containsText" dxfId="1" text="Einnahmen">
      <formula>NOT(ISERROR(SEARCH("Einnahmen",C145)))</formula>
    </cfRule>
    <cfRule type="containsText" priority="391" operator="containsText" dxfId="0" text="Ausgaben">
      <formula>NOT(ISERROR(SEARCH("Ausgaben",C145)))</formula>
    </cfRule>
  </conditionalFormatting>
  <conditionalFormatting sqref="C146">
    <cfRule type="containsText" priority="388" operator="containsText" dxfId="1" text="Einnahmen">
      <formula>NOT(ISERROR(SEARCH("Einnahmen",C146)))</formula>
    </cfRule>
    <cfRule type="containsText" priority="389" operator="containsText" dxfId="0" text="Ausgaben">
      <formula>NOT(ISERROR(SEARCH("Ausgaben",C146)))</formula>
    </cfRule>
  </conditionalFormatting>
  <conditionalFormatting sqref="C147:C149">
    <cfRule type="containsText" priority="386" operator="containsText" dxfId="1" text="Einnahmen">
      <formula>NOT(ISERROR(SEARCH("Einnahmen",C147)))</formula>
    </cfRule>
    <cfRule type="containsText" priority="387" operator="containsText" dxfId="0" text="Ausgaben">
      <formula>NOT(ISERROR(SEARCH("Ausgaben",C147)))</formula>
    </cfRule>
  </conditionalFormatting>
  <conditionalFormatting sqref="C150">
    <cfRule type="containsText" priority="384" operator="containsText" dxfId="1" text="Einnahmen">
      <formula>NOT(ISERROR(SEARCH("Einnahmen",C150)))</formula>
    </cfRule>
    <cfRule type="containsText" priority="385" operator="containsText" dxfId="0" text="Ausgaben">
      <formula>NOT(ISERROR(SEARCH("Ausgaben",C150)))</formula>
    </cfRule>
  </conditionalFormatting>
  <conditionalFormatting sqref="C151">
    <cfRule type="containsText" priority="382" operator="containsText" dxfId="1" text="Einnahmen">
      <formula>NOT(ISERROR(SEARCH("Einnahmen",C151)))</formula>
    </cfRule>
    <cfRule type="containsText" priority="383" operator="containsText" dxfId="0" text="Ausgaben">
      <formula>NOT(ISERROR(SEARCH("Ausgaben",C151)))</formula>
    </cfRule>
  </conditionalFormatting>
  <conditionalFormatting sqref="C153">
    <cfRule type="containsText" priority="380" operator="containsText" dxfId="1" text="Einnahmen">
      <formula>NOT(ISERROR(SEARCH("Einnahmen",C153)))</formula>
    </cfRule>
    <cfRule type="containsText" priority="381" operator="containsText" dxfId="0" text="Ausgaben">
      <formula>NOT(ISERROR(SEARCH("Ausgaben",C153)))</formula>
    </cfRule>
  </conditionalFormatting>
  <conditionalFormatting sqref="C154:C155">
    <cfRule type="containsText" priority="378" operator="containsText" dxfId="1" text="Einnahmen">
      <formula>NOT(ISERROR(SEARCH("Einnahmen",C154)))</formula>
    </cfRule>
    <cfRule type="containsText" priority="379" operator="containsText" dxfId="0" text="Ausgaben">
      <formula>NOT(ISERROR(SEARCH("Ausgaben",C154)))</formula>
    </cfRule>
  </conditionalFormatting>
  <conditionalFormatting sqref="C155:C156">
    <cfRule type="containsText" priority="376" operator="containsText" dxfId="1" text="Einnahmen">
      <formula>NOT(ISERROR(SEARCH("Einnahmen",C155)))</formula>
    </cfRule>
    <cfRule type="containsText" priority="377" operator="containsText" dxfId="0" text="Ausgaben">
      <formula>NOT(ISERROR(SEARCH("Ausgaben",C155)))</formula>
    </cfRule>
  </conditionalFormatting>
  <conditionalFormatting sqref="C157">
    <cfRule type="containsText" priority="374" operator="containsText" dxfId="1" text="Einnahmen">
      <formula>NOT(ISERROR(SEARCH("Einnahmen",C157)))</formula>
    </cfRule>
    <cfRule type="containsText" priority="375" operator="containsText" dxfId="0" text="Ausgaben">
      <formula>NOT(ISERROR(SEARCH("Ausgaben",C157)))</formula>
    </cfRule>
  </conditionalFormatting>
  <conditionalFormatting sqref="C158">
    <cfRule type="containsText" priority="370" operator="containsText" dxfId="1" text="Einnahmen">
      <formula>NOT(ISERROR(SEARCH("Einnahmen",C158)))</formula>
    </cfRule>
    <cfRule type="containsText" priority="371" operator="containsText" dxfId="0" text="Ausgaben">
      <formula>NOT(ISERROR(SEARCH("Ausgaben",C158)))</formula>
    </cfRule>
  </conditionalFormatting>
  <conditionalFormatting sqref="C159:C160">
    <cfRule type="containsText" priority="368" operator="containsText" dxfId="1" text="Einnahmen">
      <formula>NOT(ISERROR(SEARCH("Einnahmen",C159)))</formula>
    </cfRule>
    <cfRule type="containsText" priority="369" operator="containsText" dxfId="0" text="Ausgaben">
      <formula>NOT(ISERROR(SEARCH("Ausgaben",C159)))</formula>
    </cfRule>
  </conditionalFormatting>
  <conditionalFormatting sqref="C152">
    <cfRule type="containsText" priority="366" operator="containsText" dxfId="1" text="Einnahmen">
      <formula>NOT(ISERROR(SEARCH("Einnahmen",C152)))</formula>
    </cfRule>
    <cfRule type="containsText" priority="367" operator="containsText" dxfId="0" text="Ausgaben">
      <formula>NOT(ISERROR(SEARCH("Ausgaben",C152)))</formula>
    </cfRule>
  </conditionalFormatting>
  <conditionalFormatting sqref="C161">
    <cfRule type="containsText" priority="364" operator="containsText" dxfId="1" text="Einnahmen">
      <formula>NOT(ISERROR(SEARCH("Einnahmen",C161)))</formula>
    </cfRule>
    <cfRule type="containsText" priority="365" operator="containsText" dxfId="0" text="Ausgaben">
      <formula>NOT(ISERROR(SEARCH("Ausgaben",C161)))</formula>
    </cfRule>
  </conditionalFormatting>
  <conditionalFormatting sqref="C162:C163">
    <cfRule type="containsText" priority="362" operator="containsText" dxfId="1" text="Einnahmen">
      <formula>NOT(ISERROR(SEARCH("Einnahmen",C162)))</formula>
    </cfRule>
    <cfRule type="containsText" priority="363" operator="containsText" dxfId="0" text="Ausgaben">
      <formula>NOT(ISERROR(SEARCH("Ausgaben",C162)))</formula>
    </cfRule>
  </conditionalFormatting>
  <conditionalFormatting sqref="C164">
    <cfRule type="containsText" priority="360" operator="containsText" dxfId="1" text="Einnahmen">
      <formula>NOT(ISERROR(SEARCH("Einnahmen",C164)))</formula>
    </cfRule>
    <cfRule type="containsText" priority="361" operator="containsText" dxfId="0" text="Ausgaben">
      <formula>NOT(ISERROR(SEARCH("Ausgaben",C164)))</formula>
    </cfRule>
  </conditionalFormatting>
  <conditionalFormatting sqref="C165">
    <cfRule type="containsText" priority="356" operator="containsText" dxfId="1" text="Einnahmen">
      <formula>NOT(ISERROR(SEARCH("Einnahmen",C165)))</formula>
    </cfRule>
    <cfRule type="containsText" priority="357" operator="containsText" dxfId="0" text="Ausgaben">
      <formula>NOT(ISERROR(SEARCH("Ausgaben",C165)))</formula>
    </cfRule>
    <cfRule type="containsText" priority="354" operator="containsText" dxfId="1" text="Einnahmen">
      <formula>NOT(ISERROR(SEARCH("Einnahmen",C165)))</formula>
    </cfRule>
    <cfRule type="containsText" priority="355" operator="containsText" dxfId="0" text="Ausgaben">
      <formula>NOT(ISERROR(SEARCH("Ausgaben",C165)))</formula>
    </cfRule>
  </conditionalFormatting>
  <conditionalFormatting sqref="C166">
    <cfRule type="containsText" priority="352" operator="containsText" dxfId="1" text="Einnahmen">
      <formula>NOT(ISERROR(SEARCH("Einnahmen",C166)))</formula>
    </cfRule>
    <cfRule type="containsText" priority="353" operator="containsText" dxfId="0" text="Ausgaben">
      <formula>NOT(ISERROR(SEARCH("Ausgaben",C166)))</formula>
    </cfRule>
  </conditionalFormatting>
  <conditionalFormatting sqref="C167">
    <cfRule type="containsText" priority="350" operator="containsText" dxfId="1" text="Einnahmen">
      <formula>NOT(ISERROR(SEARCH("Einnahmen",C167)))</formula>
    </cfRule>
    <cfRule type="containsText" priority="351" operator="containsText" dxfId="0" text="Ausgaben">
      <formula>NOT(ISERROR(SEARCH("Ausgaben",C167)))</formula>
    </cfRule>
    <cfRule type="containsText" priority="348" operator="containsText" dxfId="1" text="Einnahmen">
      <formula>NOT(ISERROR(SEARCH("Einnahmen",C167)))</formula>
    </cfRule>
    <cfRule type="containsText" priority="349" operator="containsText" dxfId="0" text="Ausgaben">
      <formula>NOT(ISERROR(SEARCH("Ausgaben",C167)))</formula>
    </cfRule>
  </conditionalFormatting>
  <conditionalFormatting sqref="C168">
    <cfRule type="containsText" priority="346" operator="containsText" dxfId="1" text="Einnahmen">
      <formula>NOT(ISERROR(SEARCH("Einnahmen",C168)))</formula>
    </cfRule>
    <cfRule type="containsText" priority="347" operator="containsText" dxfId="0" text="Ausgaben">
      <formula>NOT(ISERROR(SEARCH("Ausgaben",C168)))</formula>
    </cfRule>
  </conditionalFormatting>
  <conditionalFormatting sqref="C169">
    <cfRule type="containsText" priority="344" operator="containsText" dxfId="1" text="Einnahmen">
      <formula>NOT(ISERROR(SEARCH("Einnahmen",C169)))</formula>
    </cfRule>
    <cfRule type="containsText" priority="345" operator="containsText" dxfId="0" text="Ausgaben">
      <formula>NOT(ISERROR(SEARCH("Ausgaben",C169)))</formula>
    </cfRule>
  </conditionalFormatting>
  <conditionalFormatting sqref="C170">
    <cfRule type="containsText" priority="342" operator="containsText" dxfId="1" text="Einnahmen">
      <formula>NOT(ISERROR(SEARCH("Einnahmen",C170)))</formula>
    </cfRule>
    <cfRule type="containsText" priority="343" operator="containsText" dxfId="0" text="Ausgaben">
      <formula>NOT(ISERROR(SEARCH("Ausgaben",C170)))</formula>
    </cfRule>
  </conditionalFormatting>
  <conditionalFormatting sqref="C171">
    <cfRule type="containsText" priority="340" operator="containsText" dxfId="1" text="Einnahmen">
      <formula>NOT(ISERROR(SEARCH("Einnahmen",C171)))</formula>
    </cfRule>
    <cfRule type="containsText" priority="341" operator="containsText" dxfId="0" text="Ausgaben">
      <formula>NOT(ISERROR(SEARCH("Ausgaben",C171)))</formula>
    </cfRule>
  </conditionalFormatting>
  <conditionalFormatting sqref="C172">
    <cfRule type="containsText" priority="338" operator="containsText" dxfId="1" text="Einnahmen">
      <formula>NOT(ISERROR(SEARCH("Einnahmen",C172)))</formula>
    </cfRule>
    <cfRule type="containsText" priority="339" operator="containsText" dxfId="0" text="Ausgaben">
      <formula>NOT(ISERROR(SEARCH("Ausgaben",C172)))</formula>
    </cfRule>
  </conditionalFormatting>
  <conditionalFormatting sqref="C173 C175:C177 C187">
    <cfRule type="containsText" priority="336" operator="containsText" dxfId="1" text="Einnahmen">
      <formula>NOT(ISERROR(SEARCH("Einnahmen",C173)))</formula>
    </cfRule>
    <cfRule type="containsText" priority="337" operator="containsText" dxfId="0" text="Ausgaben">
      <formula>NOT(ISERROR(SEARCH("Ausgaben",C173)))</formula>
    </cfRule>
  </conditionalFormatting>
  <conditionalFormatting sqref="C179">
    <cfRule type="containsText" priority="334" operator="containsText" dxfId="1" text="Einnahmen">
      <formula>NOT(ISERROR(SEARCH("Einnahmen",C179)))</formula>
    </cfRule>
    <cfRule type="containsText" priority="335" operator="containsText" dxfId="0" text="Ausgaben">
      <formula>NOT(ISERROR(SEARCH("Ausgaben",C179)))</formula>
    </cfRule>
  </conditionalFormatting>
  <conditionalFormatting sqref="C180">
    <cfRule type="containsText" priority="332" operator="containsText" dxfId="1" text="Einnahmen">
      <formula>NOT(ISERROR(SEARCH("Einnahmen",C180)))</formula>
    </cfRule>
    <cfRule type="containsText" priority="333" operator="containsText" dxfId="0" text="Ausgaben">
      <formula>NOT(ISERROR(SEARCH("Ausgaben",C180)))</formula>
    </cfRule>
  </conditionalFormatting>
  <conditionalFormatting sqref="C181">
    <cfRule type="containsText" priority="330" operator="containsText" dxfId="1" text="Einnahmen">
      <formula>NOT(ISERROR(SEARCH("Einnahmen",C181)))</formula>
    </cfRule>
    <cfRule type="containsText" priority="331" operator="containsText" dxfId="0" text="Ausgaben">
      <formula>NOT(ISERROR(SEARCH("Ausgaben",C181)))</formula>
    </cfRule>
    <cfRule type="containsText" priority="328" operator="containsText" dxfId="1" text="Einnahmen">
      <formula>NOT(ISERROR(SEARCH("Einnahmen",C181)))</formula>
    </cfRule>
    <cfRule type="containsText" priority="329" operator="containsText" dxfId="0" text="Ausgaben">
      <formula>NOT(ISERROR(SEARCH("Ausgaben",C181)))</formula>
    </cfRule>
  </conditionalFormatting>
  <conditionalFormatting sqref="C182">
    <cfRule type="containsText" priority="326" operator="containsText" dxfId="1" text="Einnahmen">
      <formula>NOT(ISERROR(SEARCH("Einnahmen",C182)))</formula>
    </cfRule>
    <cfRule type="containsText" priority="327" operator="containsText" dxfId="0" text="Ausgaben">
      <formula>NOT(ISERROR(SEARCH("Ausgaben",C182)))</formula>
    </cfRule>
  </conditionalFormatting>
  <conditionalFormatting sqref="C183">
    <cfRule type="containsText" priority="324" operator="containsText" dxfId="1" text="Einnahmen">
      <formula>NOT(ISERROR(SEARCH("Einnahmen",C183)))</formula>
    </cfRule>
    <cfRule type="containsText" priority="325" operator="containsText" dxfId="0" text="Ausgaben">
      <formula>NOT(ISERROR(SEARCH("Ausgaben",C183)))</formula>
    </cfRule>
  </conditionalFormatting>
  <conditionalFormatting sqref="C184">
    <cfRule type="containsText" priority="322" operator="containsText" dxfId="1" text="Einnahmen">
      <formula>NOT(ISERROR(SEARCH("Einnahmen",C184)))</formula>
    </cfRule>
    <cfRule type="containsText" priority="323" operator="containsText" dxfId="0" text="Ausgaben">
      <formula>NOT(ISERROR(SEARCH("Ausgaben",C184)))</formula>
    </cfRule>
    <cfRule type="containsText" priority="320" operator="containsText" dxfId="1" text="Einnahmen">
      <formula>NOT(ISERROR(SEARCH("Einnahmen",C184)))</formula>
    </cfRule>
    <cfRule type="containsText" priority="321" operator="containsText" dxfId="0" text="Ausgaben">
      <formula>NOT(ISERROR(SEARCH("Ausgaben",C184)))</formula>
    </cfRule>
  </conditionalFormatting>
  <conditionalFormatting sqref="C185">
    <cfRule type="containsText" priority="318" operator="containsText" dxfId="1" text="Einnahmen">
      <formula>NOT(ISERROR(SEARCH("Einnahmen",C185)))</formula>
    </cfRule>
    <cfRule type="containsText" priority="319" operator="containsText" dxfId="0" text="Ausgaben">
      <formula>NOT(ISERROR(SEARCH("Ausgaben",C185)))</formula>
    </cfRule>
  </conditionalFormatting>
  <conditionalFormatting sqref="C186">
    <cfRule type="containsText" priority="316" operator="containsText" dxfId="1" text="Einnahmen">
      <formula>NOT(ISERROR(SEARCH("Einnahmen",C186)))</formula>
    </cfRule>
    <cfRule type="containsText" priority="317" operator="containsText" dxfId="0" text="Ausgaben">
      <formula>NOT(ISERROR(SEARCH("Ausgaben",C186)))</formula>
    </cfRule>
  </conditionalFormatting>
  <conditionalFormatting sqref="C188">
    <cfRule type="containsText" priority="312" operator="containsText" dxfId="1" text="Einnahmen">
      <formula>NOT(ISERROR(SEARCH("Einnahmen",C188)))</formula>
    </cfRule>
    <cfRule type="containsText" priority="313" operator="containsText" dxfId="0" text="Ausgaben">
      <formula>NOT(ISERROR(SEARCH("Ausgaben",C188)))</formula>
    </cfRule>
  </conditionalFormatting>
  <conditionalFormatting sqref="C189">
    <cfRule type="containsText" priority="310" operator="containsText" dxfId="1" text="Einnahmen">
      <formula>NOT(ISERROR(SEARCH("Einnahmen",C189)))</formula>
    </cfRule>
    <cfRule type="containsText" priority="311" operator="containsText" dxfId="0" text="Ausgaben">
      <formula>NOT(ISERROR(SEARCH("Ausgaben",C189)))</formula>
    </cfRule>
  </conditionalFormatting>
  <conditionalFormatting sqref="C190 C208:C209 C214 C220 C222 C235 C244 C250">
    <cfRule type="containsText" priority="308" operator="containsText" dxfId="1" text="Einnahmen">
      <formula>NOT(ISERROR(SEARCH("Einnahmen",C190)))</formula>
    </cfRule>
    <cfRule type="containsText" priority="309" operator="containsText" dxfId="0" text="Ausgaben">
      <formula>NOT(ISERROR(SEARCH("Ausgaben",C190)))</formula>
    </cfRule>
  </conditionalFormatting>
  <conditionalFormatting sqref="C191">
    <cfRule type="containsText" priority="306" operator="containsText" dxfId="1" text="Einnahmen">
      <formula>NOT(ISERROR(SEARCH("Einnahmen",C191)))</formula>
    </cfRule>
    <cfRule type="containsText" priority="307" operator="containsText" dxfId="0" text="Ausgaben">
      <formula>NOT(ISERROR(SEARCH("Ausgaben",C191)))</formula>
    </cfRule>
  </conditionalFormatting>
  <conditionalFormatting sqref="C192">
    <cfRule type="containsText" priority="304" operator="containsText" dxfId="1" text="Einnahmen">
      <formula>NOT(ISERROR(SEARCH("Einnahmen",C192)))</formula>
    </cfRule>
    <cfRule type="containsText" priority="305" operator="containsText" dxfId="0" text="Ausgaben">
      <formula>NOT(ISERROR(SEARCH("Ausgaben",C192)))</formula>
    </cfRule>
  </conditionalFormatting>
  <conditionalFormatting sqref="C193">
    <cfRule type="containsText" priority="302" operator="containsText" dxfId="1" text="Einnahmen">
      <formula>NOT(ISERROR(SEARCH("Einnahmen",C193)))</formula>
    </cfRule>
    <cfRule type="containsText" priority="303" operator="containsText" dxfId="0" text="Ausgaben">
      <formula>NOT(ISERROR(SEARCH("Ausgaben",C193)))</formula>
    </cfRule>
  </conditionalFormatting>
  <conditionalFormatting sqref="C194">
    <cfRule type="containsText" priority="300" operator="containsText" dxfId="1" text="Einnahmen">
      <formula>NOT(ISERROR(SEARCH("Einnahmen",C194)))</formula>
    </cfRule>
    <cfRule type="containsText" priority="301" operator="containsText" dxfId="0" text="Ausgaben">
      <formula>NOT(ISERROR(SEARCH("Ausgaben",C194)))</formula>
    </cfRule>
    <cfRule type="containsText" priority="298" operator="containsText" dxfId="1" text="Einnahmen">
      <formula>NOT(ISERROR(SEARCH("Einnahmen",C194)))</formula>
    </cfRule>
    <cfRule type="containsText" priority="299" operator="containsText" dxfId="0" text="Ausgaben">
      <formula>NOT(ISERROR(SEARCH("Ausgaben",C194)))</formula>
    </cfRule>
  </conditionalFormatting>
  <conditionalFormatting sqref="C195">
    <cfRule type="containsText" priority="296" operator="containsText" dxfId="1" text="Einnahmen">
      <formula>NOT(ISERROR(SEARCH("Einnahmen",C195)))</formula>
    </cfRule>
    <cfRule type="containsText" priority="297" operator="containsText" dxfId="0" text="Ausgaben">
      <formula>NOT(ISERROR(SEARCH("Ausgaben",C195)))</formula>
    </cfRule>
  </conditionalFormatting>
  <conditionalFormatting sqref="C196">
    <cfRule type="containsText" priority="294" operator="containsText" dxfId="1" text="Einnahmen">
      <formula>NOT(ISERROR(SEARCH("Einnahmen",C196)))</formula>
    </cfRule>
    <cfRule type="containsText" priority="295" operator="containsText" dxfId="0" text="Ausgaben">
      <formula>NOT(ISERROR(SEARCH("Ausgaben",C196)))</formula>
    </cfRule>
    <cfRule type="containsText" priority="292" operator="containsText" dxfId="1" text="Einnahmen">
      <formula>NOT(ISERROR(SEARCH("Einnahmen",C196)))</formula>
    </cfRule>
    <cfRule type="containsText" priority="293" operator="containsText" dxfId="0" text="Ausgaben">
      <formula>NOT(ISERROR(SEARCH("Ausgaben",C196)))</formula>
    </cfRule>
  </conditionalFormatting>
  <conditionalFormatting sqref="C197">
    <cfRule type="containsText" priority="290" operator="containsText" dxfId="1" text="Einnahmen">
      <formula>NOT(ISERROR(SEARCH("Einnahmen",C197)))</formula>
    </cfRule>
    <cfRule type="containsText" priority="291" operator="containsText" dxfId="0" text="Ausgaben">
      <formula>NOT(ISERROR(SEARCH("Ausgaben",C197)))</formula>
    </cfRule>
  </conditionalFormatting>
  <conditionalFormatting sqref="C198">
    <cfRule type="containsText" priority="288" operator="containsText" dxfId="1" text="Einnahmen">
      <formula>NOT(ISERROR(SEARCH("Einnahmen",C198)))</formula>
    </cfRule>
    <cfRule type="containsText" priority="289" operator="containsText" dxfId="0" text="Ausgaben">
      <formula>NOT(ISERROR(SEARCH("Ausgaben",C198)))</formula>
    </cfRule>
  </conditionalFormatting>
  <conditionalFormatting sqref="C199">
    <cfRule type="containsText" priority="286" operator="containsText" dxfId="1" text="Einnahmen">
      <formula>NOT(ISERROR(SEARCH("Einnahmen",C199)))</formula>
    </cfRule>
    <cfRule type="containsText" priority="287" operator="containsText" dxfId="0" text="Ausgaben">
      <formula>NOT(ISERROR(SEARCH("Ausgaben",C199)))</formula>
    </cfRule>
  </conditionalFormatting>
  <conditionalFormatting sqref="C200">
    <cfRule type="containsText" priority="284" operator="containsText" dxfId="1" text="Einnahmen">
      <formula>NOT(ISERROR(SEARCH("Einnahmen",C200)))</formula>
    </cfRule>
    <cfRule type="containsText" priority="285" operator="containsText" dxfId="0" text="Ausgaben">
      <formula>NOT(ISERROR(SEARCH("Ausgaben",C200)))</formula>
    </cfRule>
  </conditionalFormatting>
  <conditionalFormatting sqref="C201">
    <cfRule type="containsText" priority="282" operator="containsText" dxfId="1" text="Einnahmen">
      <formula>NOT(ISERROR(SEARCH("Einnahmen",C201)))</formula>
    </cfRule>
    <cfRule type="containsText" priority="283" operator="containsText" dxfId="0" text="Ausgaben">
      <formula>NOT(ISERROR(SEARCH("Ausgaben",C201)))</formula>
    </cfRule>
  </conditionalFormatting>
  <conditionalFormatting sqref="C202">
    <cfRule type="containsText" priority="280" operator="containsText" dxfId="1" text="Einnahmen">
      <formula>NOT(ISERROR(SEARCH("Einnahmen",C202)))</formula>
    </cfRule>
    <cfRule type="containsText" priority="281" operator="containsText" dxfId="0" text="Ausgaben">
      <formula>NOT(ISERROR(SEARCH("Ausgaben",C202)))</formula>
    </cfRule>
    <cfRule type="containsText" priority="278" operator="containsText" dxfId="1" text="Einnahmen">
      <formula>NOT(ISERROR(SEARCH("Einnahmen",C202)))</formula>
    </cfRule>
    <cfRule type="containsText" priority="279" operator="containsText" dxfId="0" text="Ausgaben">
      <formula>NOT(ISERROR(SEARCH("Ausgaben",C202)))</formula>
    </cfRule>
  </conditionalFormatting>
  <conditionalFormatting sqref="C203">
    <cfRule type="containsText" priority="276" operator="containsText" dxfId="1" text="Einnahmen">
      <formula>NOT(ISERROR(SEARCH("Einnahmen",C203)))</formula>
    </cfRule>
    <cfRule type="containsText" priority="277" operator="containsText" dxfId="0" text="Ausgaben">
      <formula>NOT(ISERROR(SEARCH("Ausgaben",C203)))</formula>
    </cfRule>
  </conditionalFormatting>
  <conditionalFormatting sqref="C204">
    <cfRule type="containsText" priority="274" operator="containsText" dxfId="1" text="Einnahmen">
      <formula>NOT(ISERROR(SEARCH("Einnahmen",C204)))</formula>
    </cfRule>
    <cfRule type="containsText" priority="275" operator="containsText" dxfId="0" text="Ausgaben">
      <formula>NOT(ISERROR(SEARCH("Ausgaben",C204)))</formula>
    </cfRule>
    <cfRule type="containsText" priority="272" operator="containsText" dxfId="1" text="Einnahmen">
      <formula>NOT(ISERROR(SEARCH("Einnahmen",C204)))</formula>
    </cfRule>
    <cfRule type="containsText" priority="273" operator="containsText" dxfId="0" text="Ausgaben">
      <formula>NOT(ISERROR(SEARCH("Ausgaben",C204)))</formula>
    </cfRule>
  </conditionalFormatting>
  <conditionalFormatting sqref="C205">
    <cfRule type="containsText" priority="270" operator="containsText" dxfId="1" text="Einnahmen">
      <formula>NOT(ISERROR(SEARCH("Einnahmen",C205)))</formula>
    </cfRule>
    <cfRule type="containsText" priority="271" operator="containsText" dxfId="0" text="Ausgaben">
      <formula>NOT(ISERROR(SEARCH("Ausgaben",C205)))</formula>
    </cfRule>
  </conditionalFormatting>
  <conditionalFormatting sqref="C206">
    <cfRule type="containsText" priority="268" operator="containsText" dxfId="1" text="Einnahmen">
      <formula>NOT(ISERROR(SEARCH("Einnahmen",C206)))</formula>
    </cfRule>
    <cfRule type="containsText" priority="269" operator="containsText" dxfId="0" text="Ausgaben">
      <formula>NOT(ISERROR(SEARCH("Ausgaben",C206)))</formula>
    </cfRule>
  </conditionalFormatting>
  <conditionalFormatting sqref="C207">
    <cfRule type="containsText" priority="266" operator="containsText" dxfId="1" text="Einnahmen">
      <formula>NOT(ISERROR(SEARCH("Einnahmen",C207)))</formula>
    </cfRule>
    <cfRule type="containsText" priority="267" operator="containsText" dxfId="0" text="Ausgaben">
      <formula>NOT(ISERROR(SEARCH("Ausgaben",C207)))</formula>
    </cfRule>
  </conditionalFormatting>
  <conditionalFormatting sqref="C2">
    <cfRule type="containsText" priority="264" operator="containsText" dxfId="1" text="Einnahmen">
      <formula>NOT(ISERROR(SEARCH("Einnahmen",C2)))</formula>
    </cfRule>
    <cfRule type="containsText" priority="265" operator="containsText" dxfId="0" text="Ausgaben">
      <formula>NOT(ISERROR(SEARCH("Ausgaben",C2)))</formula>
    </cfRule>
  </conditionalFormatting>
  <conditionalFormatting sqref="C210">
    <cfRule type="containsText" priority="262" operator="containsText" dxfId="1" text="Einnahmen">
      <formula>NOT(ISERROR(SEARCH("Einnahmen",C210)))</formula>
    </cfRule>
    <cfRule type="containsText" priority="263" operator="containsText" dxfId="0" text="Ausgaben">
      <formula>NOT(ISERROR(SEARCH("Ausgaben",C210)))</formula>
    </cfRule>
  </conditionalFormatting>
  <conditionalFormatting sqref="C211">
    <cfRule type="containsText" priority="260" operator="containsText" dxfId="1" text="Einnahmen">
      <formula>NOT(ISERROR(SEARCH("Einnahmen",C211)))</formula>
    </cfRule>
    <cfRule type="containsText" priority="261" operator="containsText" dxfId="0" text="Ausgaben">
      <formula>NOT(ISERROR(SEARCH("Ausgaben",C211)))</formula>
    </cfRule>
  </conditionalFormatting>
  <conditionalFormatting sqref="C212">
    <cfRule type="containsText" priority="258" operator="containsText" dxfId="1" text="Einnahmen">
      <formula>NOT(ISERROR(SEARCH("Einnahmen",C212)))</formula>
    </cfRule>
    <cfRule type="containsText" priority="259" operator="containsText" dxfId="0" text="Ausgaben">
      <formula>NOT(ISERROR(SEARCH("Ausgaben",C212)))</formula>
    </cfRule>
  </conditionalFormatting>
  <conditionalFormatting sqref="C213">
    <cfRule type="containsText" priority="256" operator="containsText" dxfId="1" text="Einnahmen">
      <formula>NOT(ISERROR(SEARCH("Einnahmen",C213)))</formula>
    </cfRule>
    <cfRule type="containsText" priority="257" operator="containsText" dxfId="0" text="Ausgaben">
      <formula>NOT(ISERROR(SEARCH("Ausgaben",C213)))</formula>
    </cfRule>
  </conditionalFormatting>
  <conditionalFormatting sqref="C215">
    <cfRule type="containsText" priority="254" operator="containsText" dxfId="1" text="Einnahmen">
      <formula>NOT(ISERROR(SEARCH("Einnahmen",C215)))</formula>
    </cfRule>
    <cfRule type="containsText" priority="255" operator="containsText" dxfId="0" text="Ausgaben">
      <formula>NOT(ISERROR(SEARCH("Ausgaben",C215)))</formula>
    </cfRule>
    <cfRule type="containsText" priority="252" operator="containsText" dxfId="1" text="Einnahmen">
      <formula>NOT(ISERROR(SEARCH("Einnahmen",C215)))</formula>
    </cfRule>
    <cfRule type="containsText" priority="253" operator="containsText" dxfId="0" text="Ausgaben">
      <formula>NOT(ISERROR(SEARCH("Ausgaben",C215)))</formula>
    </cfRule>
  </conditionalFormatting>
  <conditionalFormatting sqref="C216">
    <cfRule type="containsText" priority="250" operator="containsText" dxfId="1" text="Einnahmen">
      <formula>NOT(ISERROR(SEARCH("Einnahmen",C216)))</formula>
    </cfRule>
    <cfRule type="containsText" priority="251" operator="containsText" dxfId="0" text="Ausgaben">
      <formula>NOT(ISERROR(SEARCH("Ausgaben",C216)))</formula>
    </cfRule>
  </conditionalFormatting>
  <conditionalFormatting sqref="C217">
    <cfRule type="containsText" priority="248" operator="containsText" dxfId="1" text="Einnahmen">
      <formula>NOT(ISERROR(SEARCH("Einnahmen",C217)))</formula>
    </cfRule>
    <cfRule type="containsText" priority="249" operator="containsText" dxfId="0" text="Ausgaben">
      <formula>NOT(ISERROR(SEARCH("Ausgaben",C217)))</formula>
    </cfRule>
  </conditionalFormatting>
  <conditionalFormatting sqref="C218">
    <cfRule type="containsText" priority="246" operator="containsText" dxfId="1" text="Einnahmen">
      <formula>NOT(ISERROR(SEARCH("Einnahmen",C218)))</formula>
    </cfRule>
    <cfRule type="containsText" priority="247" operator="containsText" dxfId="0" text="Ausgaben">
      <formula>NOT(ISERROR(SEARCH("Ausgaben",C218)))</formula>
    </cfRule>
  </conditionalFormatting>
  <conditionalFormatting sqref="C219">
    <cfRule type="containsText" priority="244" operator="containsText" dxfId="1" text="Einnahmen">
      <formula>NOT(ISERROR(SEARCH("Einnahmen",C219)))</formula>
    </cfRule>
    <cfRule type="containsText" priority="245" operator="containsText" dxfId="0" text="Ausgaben">
      <formula>NOT(ISERROR(SEARCH("Ausgaben",C219)))</formula>
    </cfRule>
    <cfRule type="containsText" priority="242" operator="containsText" dxfId="1" text="Einnahmen">
      <formula>NOT(ISERROR(SEARCH("Einnahmen",C219)))</formula>
    </cfRule>
    <cfRule type="containsText" priority="243" operator="containsText" dxfId="0" text="Ausgaben">
      <formula>NOT(ISERROR(SEARCH("Ausgaben",C219)))</formula>
    </cfRule>
  </conditionalFormatting>
  <conditionalFormatting sqref="C221">
    <cfRule type="containsText" priority="240" operator="containsText" dxfId="1" text="Einnahmen">
      <formula>NOT(ISERROR(SEARCH("Einnahmen",C221)))</formula>
    </cfRule>
    <cfRule type="containsText" priority="241" operator="containsText" dxfId="0" text="Ausgaben">
      <formula>NOT(ISERROR(SEARCH("Ausgaben",C221)))</formula>
    </cfRule>
  </conditionalFormatting>
  <conditionalFormatting sqref="C223">
    <cfRule type="containsText" priority="238" operator="containsText" dxfId="1" text="Einnahmen">
      <formula>NOT(ISERROR(SEARCH("Einnahmen",C223)))</formula>
    </cfRule>
    <cfRule type="containsText" priority="239" operator="containsText" dxfId="0" text="Ausgaben">
      <formula>NOT(ISERROR(SEARCH("Ausgaben",C223)))</formula>
    </cfRule>
  </conditionalFormatting>
  <conditionalFormatting sqref="C224">
    <cfRule type="containsText" priority="236" operator="containsText" dxfId="1" text="Einnahmen">
      <formula>NOT(ISERROR(SEARCH("Einnahmen",C224)))</formula>
    </cfRule>
    <cfRule type="containsText" priority="237" operator="containsText" dxfId="0" text="Ausgaben">
      <formula>NOT(ISERROR(SEARCH("Ausgaben",C224)))</formula>
    </cfRule>
  </conditionalFormatting>
  <conditionalFormatting sqref="C225">
    <cfRule type="containsText" priority="234" operator="containsText" dxfId="1" text="Einnahmen">
      <formula>NOT(ISERROR(SEARCH("Einnahmen",C225)))</formula>
    </cfRule>
    <cfRule type="containsText" priority="235" operator="containsText" dxfId="0" text="Ausgaben">
      <formula>NOT(ISERROR(SEARCH("Ausgaben",C225)))</formula>
    </cfRule>
  </conditionalFormatting>
  <conditionalFormatting sqref="C226">
    <cfRule type="containsText" priority="232" operator="containsText" dxfId="1" text="Einnahmen">
      <formula>NOT(ISERROR(SEARCH("Einnahmen",C226)))</formula>
    </cfRule>
    <cfRule type="containsText" priority="233" operator="containsText" dxfId="0" text="Ausgaben">
      <formula>NOT(ISERROR(SEARCH("Ausgaben",C226)))</formula>
    </cfRule>
  </conditionalFormatting>
  <conditionalFormatting sqref="C227">
    <cfRule type="containsText" priority="230" operator="containsText" dxfId="1" text="Einnahmen">
      <formula>NOT(ISERROR(SEARCH("Einnahmen",C227)))</formula>
    </cfRule>
    <cfRule type="containsText" priority="231" operator="containsText" dxfId="0" text="Ausgaben">
      <formula>NOT(ISERROR(SEARCH("Ausgaben",C227)))</formula>
    </cfRule>
  </conditionalFormatting>
  <conditionalFormatting sqref="C228">
    <cfRule type="containsText" priority="228" operator="containsText" dxfId="1" text="Einnahmen">
      <formula>NOT(ISERROR(SEARCH("Einnahmen",C228)))</formula>
    </cfRule>
    <cfRule type="containsText" priority="229" operator="containsText" dxfId="0" text="Ausgaben">
      <formula>NOT(ISERROR(SEARCH("Ausgaben",C228)))</formula>
    </cfRule>
    <cfRule type="containsText" priority="226" operator="containsText" dxfId="1" text="Einnahmen">
      <formula>NOT(ISERROR(SEARCH("Einnahmen",C228)))</formula>
    </cfRule>
    <cfRule type="containsText" priority="227" operator="containsText" dxfId="0" text="Ausgaben">
      <formula>NOT(ISERROR(SEARCH("Ausgaben",C228)))</formula>
    </cfRule>
  </conditionalFormatting>
  <conditionalFormatting sqref="C229">
    <cfRule type="containsText" priority="224" operator="containsText" dxfId="1" text="Einnahmen">
      <formula>NOT(ISERROR(SEARCH("Einnahmen",C229)))</formula>
    </cfRule>
    <cfRule type="containsText" priority="225" operator="containsText" dxfId="0" text="Ausgaben">
      <formula>NOT(ISERROR(SEARCH("Ausgaben",C229)))</formula>
    </cfRule>
  </conditionalFormatting>
  <conditionalFormatting sqref="C230">
    <cfRule type="containsText" priority="222" operator="containsText" dxfId="1" text="Einnahmen">
      <formula>NOT(ISERROR(SEARCH("Einnahmen",C230)))</formula>
    </cfRule>
    <cfRule type="containsText" priority="223" operator="containsText" dxfId="0" text="Ausgaben">
      <formula>NOT(ISERROR(SEARCH("Ausgaben",C230)))</formula>
    </cfRule>
    <cfRule type="containsText" priority="220" operator="containsText" dxfId="1" text="Einnahmen">
      <formula>NOT(ISERROR(SEARCH("Einnahmen",C230)))</formula>
    </cfRule>
    <cfRule type="containsText" priority="221" operator="containsText" dxfId="0" text="Ausgaben">
      <formula>NOT(ISERROR(SEARCH("Ausgaben",C230)))</formula>
    </cfRule>
  </conditionalFormatting>
  <conditionalFormatting sqref="C231">
    <cfRule type="containsText" priority="218" operator="containsText" dxfId="1" text="Einnahmen">
      <formula>NOT(ISERROR(SEARCH("Einnahmen",C231)))</formula>
    </cfRule>
    <cfRule type="containsText" priority="219" operator="containsText" dxfId="0" text="Ausgaben">
      <formula>NOT(ISERROR(SEARCH("Ausgaben",C231)))</formula>
    </cfRule>
  </conditionalFormatting>
  <conditionalFormatting sqref="C232">
    <cfRule type="containsText" priority="216" operator="containsText" dxfId="1" text="Einnahmen">
      <formula>NOT(ISERROR(SEARCH("Einnahmen",C232)))</formula>
    </cfRule>
    <cfRule type="containsText" priority="217" operator="containsText" dxfId="0" text="Ausgaben">
      <formula>NOT(ISERROR(SEARCH("Ausgaben",C232)))</formula>
    </cfRule>
  </conditionalFormatting>
  <conditionalFormatting sqref="C233">
    <cfRule type="containsText" priority="214" operator="containsText" dxfId="1" text="Einnahmen">
      <formula>NOT(ISERROR(SEARCH("Einnahmen",C233)))</formula>
    </cfRule>
    <cfRule type="containsText" priority="215" operator="containsText" dxfId="0" text="Ausgaben">
      <formula>NOT(ISERROR(SEARCH("Ausgaben",C233)))</formula>
    </cfRule>
  </conditionalFormatting>
  <conditionalFormatting sqref="C234">
    <cfRule type="containsText" priority="212" operator="containsText" dxfId="1" text="Einnahmen">
      <formula>NOT(ISERROR(SEARCH("Einnahmen",C234)))</formula>
    </cfRule>
    <cfRule type="containsText" priority="213" operator="containsText" dxfId="0" text="Ausgaben">
      <formula>NOT(ISERROR(SEARCH("Ausgaben",C234)))</formula>
    </cfRule>
  </conditionalFormatting>
  <conditionalFormatting sqref="C236">
    <cfRule type="containsText" priority="208" operator="containsText" dxfId="1" text="Einnahmen">
      <formula>NOT(ISERROR(SEARCH("Einnahmen",C236)))</formula>
    </cfRule>
    <cfRule type="containsText" priority="209" operator="containsText" dxfId="0" text="Ausgaben">
      <formula>NOT(ISERROR(SEARCH("Ausgaben",C236)))</formula>
    </cfRule>
  </conditionalFormatting>
  <conditionalFormatting sqref="C237">
    <cfRule type="containsText" priority="206" operator="containsText" dxfId="1" text="Einnahmen">
      <formula>NOT(ISERROR(SEARCH("Einnahmen",C237)))</formula>
    </cfRule>
    <cfRule type="containsText" priority="207" operator="containsText" dxfId="0" text="Ausgaben">
      <formula>NOT(ISERROR(SEARCH("Ausgaben",C237)))</formula>
    </cfRule>
  </conditionalFormatting>
  <conditionalFormatting sqref="C174">
    <cfRule type="containsText" priority="204" operator="containsText" dxfId="1" text="Einnahmen">
      <formula>NOT(ISERROR(SEARCH("Einnahmen",C174)))</formula>
    </cfRule>
    <cfRule type="containsText" priority="205" operator="containsText" dxfId="0" text="Ausgaben">
      <formula>NOT(ISERROR(SEARCH("Ausgaben",C174)))</formula>
    </cfRule>
  </conditionalFormatting>
  <conditionalFormatting sqref="C178">
    <cfRule type="containsText" priority="202" operator="containsText" dxfId="1" text="Einnahmen">
      <formula>NOT(ISERROR(SEARCH("Einnahmen",C178)))</formula>
    </cfRule>
    <cfRule type="containsText" priority="203" operator="containsText" dxfId="0" text="Ausgaben">
      <formula>NOT(ISERROR(SEARCH("Ausgaben",C178)))</formula>
    </cfRule>
  </conditionalFormatting>
  <conditionalFormatting sqref="C238">
    <cfRule type="containsText" priority="200" operator="containsText" dxfId="1" text="Einnahmen">
      <formula>NOT(ISERROR(SEARCH("Einnahmen",C238)))</formula>
    </cfRule>
    <cfRule type="containsText" priority="201" operator="containsText" dxfId="0" text="Ausgaben">
      <formula>NOT(ISERROR(SEARCH("Ausgaben",C238)))</formula>
    </cfRule>
  </conditionalFormatting>
  <conditionalFormatting sqref="C239">
    <cfRule type="containsText" priority="198" operator="containsText" dxfId="1" text="Einnahmen">
      <formula>NOT(ISERROR(SEARCH("Einnahmen",C239)))</formula>
    </cfRule>
    <cfRule type="containsText" priority="199" operator="containsText" dxfId="0" text="Ausgaben">
      <formula>NOT(ISERROR(SEARCH("Ausgaben",C239)))</formula>
    </cfRule>
  </conditionalFormatting>
  <conditionalFormatting sqref="C240">
    <cfRule type="containsText" priority="196" operator="containsText" dxfId="1" text="Einnahmen">
      <formula>NOT(ISERROR(SEARCH("Einnahmen",C240)))</formula>
    </cfRule>
    <cfRule type="containsText" priority="197" operator="containsText" dxfId="0" text="Ausgaben">
      <formula>NOT(ISERROR(SEARCH("Ausgaben",C240)))</formula>
    </cfRule>
  </conditionalFormatting>
  <conditionalFormatting sqref="C241">
    <cfRule type="containsText" priority="194" operator="containsText" dxfId="1" text="Einnahmen">
      <formula>NOT(ISERROR(SEARCH("Einnahmen",C241)))</formula>
    </cfRule>
    <cfRule type="containsText" priority="195" operator="containsText" dxfId="0" text="Ausgaben">
      <formula>NOT(ISERROR(SEARCH("Ausgaben",C241)))</formula>
    </cfRule>
  </conditionalFormatting>
  <conditionalFormatting sqref="C242">
    <cfRule type="containsText" priority="192" operator="containsText" dxfId="1" text="Einnahmen">
      <formula>NOT(ISERROR(SEARCH("Einnahmen",C242)))</formula>
    </cfRule>
    <cfRule type="containsText" priority="193" operator="containsText" dxfId="0" text="Ausgaben">
      <formula>NOT(ISERROR(SEARCH("Ausgaben",C242)))</formula>
    </cfRule>
    <cfRule type="containsText" priority="190" operator="containsText" dxfId="1" text="Einnahmen">
      <formula>NOT(ISERROR(SEARCH("Einnahmen",C242)))</formula>
    </cfRule>
    <cfRule type="containsText" priority="191" operator="containsText" dxfId="0" text="Ausgaben">
      <formula>NOT(ISERROR(SEARCH("Ausgaben",C242)))</formula>
    </cfRule>
  </conditionalFormatting>
  <conditionalFormatting sqref="C243">
    <cfRule type="containsText" priority="188" operator="containsText" dxfId="1" text="Einnahmen">
      <formula>NOT(ISERROR(SEARCH("Einnahmen",C243)))</formula>
    </cfRule>
    <cfRule type="containsText" priority="189" operator="containsText" dxfId="0" text="Ausgaben">
      <formula>NOT(ISERROR(SEARCH("Ausgaben",C243)))</formula>
    </cfRule>
    <cfRule type="containsText" priority="186" operator="containsText" dxfId="1" text="Einnahmen">
      <formula>NOT(ISERROR(SEARCH("Einnahmen",C243)))</formula>
    </cfRule>
    <cfRule type="containsText" priority="187" operator="containsText" dxfId="0" text="Ausgaben">
      <formula>NOT(ISERROR(SEARCH("Ausgaben",C243)))</formula>
    </cfRule>
  </conditionalFormatting>
  <conditionalFormatting sqref="C245">
    <cfRule type="containsText" priority="184" operator="containsText" dxfId="1" text="Einnahmen">
      <formula>NOT(ISERROR(SEARCH("Einnahmen",C245)))</formula>
    </cfRule>
    <cfRule type="containsText" priority="185" operator="containsText" dxfId="0" text="Ausgaben">
      <formula>NOT(ISERROR(SEARCH("Ausgaben",C245)))</formula>
    </cfRule>
  </conditionalFormatting>
  <conditionalFormatting sqref="C246">
    <cfRule type="containsText" priority="182" operator="containsText" dxfId="1" text="Einnahmen">
      <formula>NOT(ISERROR(SEARCH("Einnahmen",C246)))</formula>
    </cfRule>
    <cfRule type="containsText" priority="183" operator="containsText" dxfId="0" text="Ausgaben">
      <formula>NOT(ISERROR(SEARCH("Ausgaben",C246)))</formula>
    </cfRule>
  </conditionalFormatting>
  <conditionalFormatting sqref="C247">
    <cfRule type="containsText" priority="180" operator="containsText" dxfId="1" text="Einnahmen">
      <formula>NOT(ISERROR(SEARCH("Einnahmen",C247)))</formula>
    </cfRule>
    <cfRule type="containsText" priority="181" operator="containsText" dxfId="0" text="Ausgaben">
      <formula>NOT(ISERROR(SEARCH("Ausgaben",C247)))</formula>
    </cfRule>
  </conditionalFormatting>
  <conditionalFormatting sqref="C248">
    <cfRule type="containsText" priority="178" operator="containsText" dxfId="1" text="Einnahmen">
      <formula>NOT(ISERROR(SEARCH("Einnahmen",C248)))</formula>
    </cfRule>
    <cfRule type="containsText" priority="179" operator="containsText" dxfId="0" text="Ausgaben">
      <formula>NOT(ISERROR(SEARCH("Ausgaben",C248)))</formula>
    </cfRule>
  </conditionalFormatting>
  <conditionalFormatting sqref="C249">
    <cfRule type="containsText" priority="176" operator="containsText" dxfId="1" text="Einnahmen">
      <formula>NOT(ISERROR(SEARCH("Einnahmen",C249)))</formula>
    </cfRule>
    <cfRule type="containsText" priority="177" operator="containsText" dxfId="0" text="Ausgaben">
      <formula>NOT(ISERROR(SEARCH("Ausgaben",C249)))</formula>
    </cfRule>
  </conditionalFormatting>
  <conditionalFormatting sqref="C251">
    <cfRule type="containsText" priority="174" operator="containsText" dxfId="1" text="Einnahmen">
      <formula>NOT(ISERROR(SEARCH("Einnahmen",C251)))</formula>
    </cfRule>
    <cfRule type="containsText" priority="175" operator="containsText" dxfId="0" text="Ausgaben">
      <formula>NOT(ISERROR(SEARCH("Ausgaben",C251)))</formula>
    </cfRule>
    <cfRule type="containsText" priority="172" operator="containsText" dxfId="1" text="Einnahmen">
      <formula>NOT(ISERROR(SEARCH("Einnahmen",C251)))</formula>
    </cfRule>
    <cfRule type="containsText" priority="173" operator="containsText" dxfId="0" text="Ausgaben">
      <formula>NOT(ISERROR(SEARCH("Ausgaben",C251)))</formula>
    </cfRule>
  </conditionalFormatting>
  <conditionalFormatting sqref="C252">
    <cfRule type="containsText" priority="170" operator="containsText" dxfId="1" text="Einnahmen">
      <formula>NOT(ISERROR(SEARCH("Einnahmen",C252)))</formula>
    </cfRule>
    <cfRule type="containsText" priority="171" operator="containsText" dxfId="0" text="Ausgaben">
      <formula>NOT(ISERROR(SEARCH("Ausgaben",C252)))</formula>
    </cfRule>
  </conditionalFormatting>
  <conditionalFormatting sqref="C253">
    <cfRule type="containsText" priority="168" operator="containsText" dxfId="1" text="Einnahmen">
      <formula>NOT(ISERROR(SEARCH("Einnahmen",C253)))</formula>
    </cfRule>
    <cfRule type="containsText" priority="169" operator="containsText" dxfId="0" text="Ausgaben">
      <formula>NOT(ISERROR(SEARCH("Ausgaben",C253)))</formula>
    </cfRule>
  </conditionalFormatting>
  <conditionalFormatting sqref="C254">
    <cfRule type="containsText" priority="166" operator="containsText" dxfId="1" text="Einnahmen">
      <formula>NOT(ISERROR(SEARCH("Einnahmen",C254)))</formula>
    </cfRule>
    <cfRule type="containsText" priority="167" operator="containsText" dxfId="0" text="Ausgaben">
      <formula>NOT(ISERROR(SEARCH("Ausgaben",C254)))</formula>
    </cfRule>
    <cfRule type="containsText" priority="164" operator="containsText" dxfId="1" text="Einnahmen">
      <formula>NOT(ISERROR(SEARCH("Einnahmen",C254)))</formula>
    </cfRule>
    <cfRule type="containsText" priority="165" operator="containsText" dxfId="0" text="Ausgaben">
      <formula>NOT(ISERROR(SEARCH("Ausgaben",C254)))</formula>
    </cfRule>
  </conditionalFormatting>
  <conditionalFormatting sqref="C255">
    <cfRule type="containsText" priority="162" operator="containsText" dxfId="1" text="Einnahmen">
      <formula>NOT(ISERROR(SEARCH("Einnahmen",C255)))</formula>
    </cfRule>
    <cfRule type="containsText" priority="163" operator="containsText" dxfId="0" text="Ausgaben">
      <formula>NOT(ISERROR(SEARCH("Ausgaben",C255)))</formula>
    </cfRule>
  </conditionalFormatting>
  <conditionalFormatting sqref="C256">
    <cfRule type="containsText" priority="160" operator="containsText" dxfId="1" text="Einnahmen">
      <formula>NOT(ISERROR(SEARCH("Einnahmen",C256)))</formula>
    </cfRule>
    <cfRule type="containsText" priority="161" operator="containsText" dxfId="0" text="Ausgaben">
      <formula>NOT(ISERROR(SEARCH("Ausgaben",C256)))</formula>
    </cfRule>
  </conditionalFormatting>
  <conditionalFormatting sqref="C257">
    <cfRule type="containsText" priority="158" operator="containsText" dxfId="1" text="Einnahmen">
      <formula>NOT(ISERROR(SEARCH("Einnahmen",C257)))</formula>
    </cfRule>
    <cfRule type="containsText" priority="159" operator="containsText" dxfId="0" text="Ausgaben">
      <formula>NOT(ISERROR(SEARCH("Ausgaben",C257)))</formula>
    </cfRule>
  </conditionalFormatting>
  <conditionalFormatting sqref="C258">
    <cfRule type="containsText" priority="156" operator="containsText" dxfId="1" text="Einnahmen">
      <formula>NOT(ISERROR(SEARCH("Einnahmen",C258)))</formula>
    </cfRule>
    <cfRule type="containsText" priority="157" operator="containsText" dxfId="0" text="Ausgaben">
      <formula>NOT(ISERROR(SEARCH("Ausgaben",C258)))</formula>
    </cfRule>
  </conditionalFormatting>
  <conditionalFormatting sqref="C259">
    <cfRule type="containsText" priority="154" operator="containsText" dxfId="1" text="Einnahmen">
      <formula>NOT(ISERROR(SEARCH("Einnahmen",C259)))</formula>
    </cfRule>
    <cfRule type="containsText" priority="155" operator="containsText" dxfId="0" text="Ausgaben">
      <formula>NOT(ISERROR(SEARCH("Ausgaben",C259)))</formula>
    </cfRule>
  </conditionalFormatting>
  <conditionalFormatting sqref="C260">
    <cfRule type="containsText" priority="152" operator="containsText" dxfId="1" text="Einnahmen">
      <formula>NOT(ISERROR(SEARCH("Einnahmen",C260)))</formula>
    </cfRule>
    <cfRule type="containsText" priority="153" operator="containsText" dxfId="0" text="Ausgaben">
      <formula>NOT(ISERROR(SEARCH("Ausgaben",C260)))</formula>
    </cfRule>
  </conditionalFormatting>
  <conditionalFormatting sqref="C261:C262">
    <cfRule type="containsText" priority="150" operator="containsText" dxfId="1" text="Einnahmen">
      <formula>NOT(ISERROR(SEARCH("Einnahmen",C261)))</formula>
    </cfRule>
    <cfRule type="containsText" priority="151" operator="containsText" dxfId="0" text="Ausgaben">
      <formula>NOT(ISERROR(SEARCH("Ausgaben",C261)))</formula>
    </cfRule>
  </conditionalFormatting>
  <conditionalFormatting sqref="C263:C264">
    <cfRule type="containsText" priority="148" operator="containsText" dxfId="1" text="Einnahmen">
      <formula>NOT(ISERROR(SEARCH("Einnahmen",C263)))</formula>
    </cfRule>
    <cfRule type="containsText" priority="149" operator="containsText" dxfId="0" text="Ausgaben">
      <formula>NOT(ISERROR(SEARCH("Ausgaben",C263)))</formula>
    </cfRule>
  </conditionalFormatting>
  <conditionalFormatting sqref="C265:C266 C275 C278 C283 C287 C290 C295 C301 C303 C309:C310 C313 C322 C325 C333 C335 C341:C344 C348">
    <cfRule type="containsText" priority="146" operator="containsText" dxfId="1" text="Einnahmen">
      <formula>NOT(ISERROR(SEARCH("Einnahmen",C265)))</formula>
    </cfRule>
    <cfRule type="containsText" priority="147" operator="containsText" dxfId="0" text="Ausgaben">
      <formula>NOT(ISERROR(SEARCH("Ausgaben",C265)))</formula>
    </cfRule>
    <cfRule type="containsText" priority="144" operator="containsText" dxfId="1" text="Einnahmen">
      <formula>NOT(ISERROR(SEARCH("Einnahmen",C265)))</formula>
    </cfRule>
    <cfRule type="containsText" priority="145" operator="containsText" dxfId="0" text="Ausgaben">
      <formula>NOT(ISERROR(SEARCH("Ausgaben",C265)))</formula>
    </cfRule>
  </conditionalFormatting>
  <conditionalFormatting sqref="C267">
    <cfRule type="containsText" priority="142" operator="containsText" dxfId="1" text="Einnahmen">
      <formula>NOT(ISERROR(SEARCH("Einnahmen",C267)))</formula>
    </cfRule>
    <cfRule type="containsText" priority="143" operator="containsText" dxfId="0" text="Ausgaben">
      <formula>NOT(ISERROR(SEARCH("Ausgaben",C267)))</formula>
    </cfRule>
  </conditionalFormatting>
  <conditionalFormatting sqref="C268">
    <cfRule type="containsText" priority="140" operator="containsText" dxfId="1" text="Einnahmen">
      <formula>NOT(ISERROR(SEARCH("Einnahmen",C268)))</formula>
    </cfRule>
    <cfRule type="containsText" priority="141" operator="containsText" dxfId="0" text="Ausgaben">
      <formula>NOT(ISERROR(SEARCH("Ausgaben",C268)))</formula>
    </cfRule>
  </conditionalFormatting>
  <conditionalFormatting sqref="C269">
    <cfRule type="containsText" priority="138" operator="containsText" dxfId="1" text="Einnahmen">
      <formula>NOT(ISERROR(SEARCH("Einnahmen",C269)))</formula>
    </cfRule>
    <cfRule type="containsText" priority="139" operator="containsText" dxfId="0" text="Ausgaben">
      <formula>NOT(ISERROR(SEARCH("Ausgaben",C269)))</formula>
    </cfRule>
  </conditionalFormatting>
  <conditionalFormatting sqref="C270">
    <cfRule type="containsText" priority="136" operator="containsText" dxfId="1" text="Einnahmen">
      <formula>NOT(ISERROR(SEARCH("Einnahmen",C270)))</formula>
    </cfRule>
    <cfRule type="containsText" priority="137" operator="containsText" dxfId="0" text="Ausgaben">
      <formula>NOT(ISERROR(SEARCH("Ausgaben",C270)))</formula>
    </cfRule>
  </conditionalFormatting>
  <conditionalFormatting sqref="C271">
    <cfRule type="containsText" priority="134" operator="containsText" dxfId="1" text="Einnahmen">
      <formula>NOT(ISERROR(SEARCH("Einnahmen",C271)))</formula>
    </cfRule>
    <cfRule type="containsText" priority="135" operator="containsText" dxfId="0" text="Ausgaben">
      <formula>NOT(ISERROR(SEARCH("Ausgaben",C271)))</formula>
    </cfRule>
  </conditionalFormatting>
  <conditionalFormatting sqref="C272">
    <cfRule type="containsText" priority="132" operator="containsText" dxfId="1" text="Einnahmen">
      <formula>NOT(ISERROR(SEARCH("Einnahmen",C272)))</formula>
    </cfRule>
    <cfRule type="containsText" priority="133" operator="containsText" dxfId="0" text="Ausgaben">
      <formula>NOT(ISERROR(SEARCH("Ausgaben",C272)))</formula>
    </cfRule>
  </conditionalFormatting>
  <conditionalFormatting sqref="C273">
    <cfRule type="containsText" priority="130" operator="containsText" dxfId="1" text="Einnahmen">
      <formula>NOT(ISERROR(SEARCH("Einnahmen",C273)))</formula>
    </cfRule>
    <cfRule type="containsText" priority="131" operator="containsText" dxfId="0" text="Ausgaben">
      <formula>NOT(ISERROR(SEARCH("Ausgaben",C273)))</formula>
    </cfRule>
  </conditionalFormatting>
  <conditionalFormatting sqref="C274">
    <cfRule type="containsText" priority="128" operator="containsText" dxfId="1" text="Einnahmen">
      <formula>NOT(ISERROR(SEARCH("Einnahmen",C274)))</formula>
    </cfRule>
    <cfRule type="containsText" priority="129" operator="containsText" dxfId="0" text="Ausgaben">
      <formula>NOT(ISERROR(SEARCH("Ausgaben",C274)))</formula>
    </cfRule>
  </conditionalFormatting>
  <conditionalFormatting sqref="C276">
    <cfRule type="containsText" priority="126" operator="containsText" dxfId="1" text="Einnahmen">
      <formula>NOT(ISERROR(SEARCH("Einnahmen",C276)))</formula>
    </cfRule>
    <cfRule type="containsText" priority="127" operator="containsText" dxfId="0" text="Ausgaben">
      <formula>NOT(ISERROR(SEARCH("Ausgaben",C276)))</formula>
    </cfRule>
  </conditionalFormatting>
  <conditionalFormatting sqref="C277">
    <cfRule type="containsText" priority="124" operator="containsText" dxfId="1" text="Einnahmen">
      <formula>NOT(ISERROR(SEARCH("Einnahmen",C277)))</formula>
    </cfRule>
    <cfRule type="containsText" priority="125" operator="containsText" dxfId="0" text="Ausgaben">
      <formula>NOT(ISERROR(SEARCH("Ausgaben",C277)))</formula>
    </cfRule>
  </conditionalFormatting>
  <conditionalFormatting sqref="C279:C280">
    <cfRule type="containsText" priority="122" operator="containsText" dxfId="1" text="Einnahmen">
      <formula>NOT(ISERROR(SEARCH("Einnahmen",C279)))</formula>
    </cfRule>
    <cfRule type="containsText" priority="123" operator="containsText" dxfId="0" text="Ausgaben">
      <formula>NOT(ISERROR(SEARCH("Ausgaben",C279)))</formula>
    </cfRule>
  </conditionalFormatting>
  <conditionalFormatting sqref="C281">
    <cfRule type="containsText" priority="120" operator="containsText" dxfId="1" text="Einnahmen">
      <formula>NOT(ISERROR(SEARCH("Einnahmen",C281)))</formula>
    </cfRule>
    <cfRule type="containsText" priority="121" operator="containsText" dxfId="0" text="Ausgaben">
      <formula>NOT(ISERROR(SEARCH("Ausgaben",C281)))</formula>
    </cfRule>
  </conditionalFormatting>
  <conditionalFormatting sqref="C282">
    <cfRule type="containsText" priority="118" operator="containsText" dxfId="1" text="Einnahmen">
      <formula>NOT(ISERROR(SEARCH("Einnahmen",C282)))</formula>
    </cfRule>
    <cfRule type="containsText" priority="119" operator="containsText" dxfId="0" text="Ausgaben">
      <formula>NOT(ISERROR(SEARCH("Ausgaben",C282)))</formula>
    </cfRule>
  </conditionalFormatting>
  <conditionalFormatting sqref="C284">
    <cfRule type="containsText" priority="116" operator="containsText" dxfId="1" text="Einnahmen">
      <formula>NOT(ISERROR(SEARCH("Einnahmen",C284)))</formula>
    </cfRule>
    <cfRule type="containsText" priority="117" operator="containsText" dxfId="0" text="Ausgaben">
      <formula>NOT(ISERROR(SEARCH("Ausgaben",C284)))</formula>
    </cfRule>
  </conditionalFormatting>
  <conditionalFormatting sqref="C285">
    <cfRule type="containsText" priority="114" operator="containsText" dxfId="1" text="Einnahmen">
      <formula>NOT(ISERROR(SEARCH("Einnahmen",C285)))</formula>
    </cfRule>
    <cfRule type="containsText" priority="115" operator="containsText" dxfId="0" text="Ausgaben">
      <formula>NOT(ISERROR(SEARCH("Ausgaben",C285)))</formula>
    </cfRule>
  </conditionalFormatting>
  <conditionalFormatting sqref="C286">
    <cfRule type="containsText" priority="112" operator="containsText" dxfId="1" text="Einnahmen">
      <formula>NOT(ISERROR(SEARCH("Einnahmen",C286)))</formula>
    </cfRule>
    <cfRule type="containsText" priority="113" operator="containsText" dxfId="0" text="Ausgaben">
      <formula>NOT(ISERROR(SEARCH("Ausgaben",C286)))</formula>
    </cfRule>
  </conditionalFormatting>
  <conditionalFormatting sqref="C288">
    <cfRule type="containsText" priority="110" operator="containsText" dxfId="1" text="Einnahmen">
      <formula>NOT(ISERROR(SEARCH("Einnahmen",C288)))</formula>
    </cfRule>
    <cfRule type="containsText" priority="111" operator="containsText" dxfId="0" text="Ausgaben">
      <formula>NOT(ISERROR(SEARCH("Ausgaben",C288)))</formula>
    </cfRule>
  </conditionalFormatting>
  <conditionalFormatting sqref="C289">
    <cfRule type="containsText" priority="108" operator="containsText" dxfId="1" text="Einnahmen">
      <formula>NOT(ISERROR(SEARCH("Einnahmen",C289)))</formula>
    </cfRule>
    <cfRule type="containsText" priority="109" operator="containsText" dxfId="0" text="Ausgaben">
      <formula>NOT(ISERROR(SEARCH("Ausgaben",C289)))</formula>
    </cfRule>
  </conditionalFormatting>
  <conditionalFormatting sqref="C291">
    <cfRule type="containsText" priority="106" operator="containsText" dxfId="1" text="Einnahmen">
      <formula>NOT(ISERROR(SEARCH("Einnahmen",C291)))</formula>
    </cfRule>
    <cfRule type="containsText" priority="107" operator="containsText" dxfId="0" text="Ausgaben">
      <formula>NOT(ISERROR(SEARCH("Ausgaben",C291)))</formula>
    </cfRule>
  </conditionalFormatting>
  <conditionalFormatting sqref="C292">
    <cfRule type="containsText" priority="104" operator="containsText" dxfId="1" text="Einnahmen">
      <formula>NOT(ISERROR(SEARCH("Einnahmen",C292)))</formula>
    </cfRule>
    <cfRule type="containsText" priority="105" operator="containsText" dxfId="0" text="Ausgaben">
      <formula>NOT(ISERROR(SEARCH("Ausgaben",C292)))</formula>
    </cfRule>
  </conditionalFormatting>
  <conditionalFormatting sqref="C293">
    <cfRule type="containsText" priority="102" operator="containsText" dxfId="1" text="Einnahmen">
      <formula>NOT(ISERROR(SEARCH("Einnahmen",C293)))</formula>
    </cfRule>
    <cfRule type="containsText" priority="103" operator="containsText" dxfId="0" text="Ausgaben">
      <formula>NOT(ISERROR(SEARCH("Ausgaben",C293)))</formula>
    </cfRule>
  </conditionalFormatting>
  <conditionalFormatting sqref="C294">
    <cfRule type="containsText" priority="100" operator="containsText" dxfId="1" text="Einnahmen">
      <formula>NOT(ISERROR(SEARCH("Einnahmen",C294)))</formula>
    </cfRule>
    <cfRule type="containsText" priority="101" operator="containsText" dxfId="0" text="Ausgaben">
      <formula>NOT(ISERROR(SEARCH("Ausgaben",C294)))</formula>
    </cfRule>
  </conditionalFormatting>
  <conditionalFormatting sqref="C296">
    <cfRule type="containsText" priority="98" operator="containsText" dxfId="1" text="Einnahmen">
      <formula>NOT(ISERROR(SEARCH("Einnahmen",C296)))</formula>
    </cfRule>
    <cfRule type="containsText" priority="99" operator="containsText" dxfId="0" text="Ausgaben">
      <formula>NOT(ISERROR(SEARCH("Ausgaben",C296)))</formula>
    </cfRule>
  </conditionalFormatting>
  <conditionalFormatting sqref="C297">
    <cfRule type="containsText" priority="96" operator="containsText" dxfId="1" text="Einnahmen">
      <formula>NOT(ISERROR(SEARCH("Einnahmen",C297)))</formula>
    </cfRule>
    <cfRule type="containsText" priority="97" operator="containsText" dxfId="0" text="Ausgaben">
      <formula>NOT(ISERROR(SEARCH("Ausgaben",C297)))</formula>
    </cfRule>
  </conditionalFormatting>
  <conditionalFormatting sqref="C298">
    <cfRule type="containsText" priority="94" operator="containsText" dxfId="1" text="Einnahmen">
      <formula>NOT(ISERROR(SEARCH("Einnahmen",C298)))</formula>
    </cfRule>
    <cfRule type="containsText" priority="95" operator="containsText" dxfId="0" text="Ausgaben">
      <formula>NOT(ISERROR(SEARCH("Ausgaben",C298)))</formula>
    </cfRule>
  </conditionalFormatting>
  <conditionalFormatting sqref="C299">
    <cfRule type="containsText" priority="92" operator="containsText" dxfId="1" text="Einnahmen">
      <formula>NOT(ISERROR(SEARCH("Einnahmen",C299)))</formula>
    </cfRule>
    <cfRule type="containsText" priority="93" operator="containsText" dxfId="0" text="Ausgaben">
      <formula>NOT(ISERROR(SEARCH("Ausgaben",C299)))</formula>
    </cfRule>
  </conditionalFormatting>
  <conditionalFormatting sqref="C300">
    <cfRule type="containsText" priority="90" operator="containsText" dxfId="1" text="Einnahmen">
      <formula>NOT(ISERROR(SEARCH("Einnahmen",C300)))</formula>
    </cfRule>
    <cfRule type="containsText" priority="91" operator="containsText" dxfId="0" text="Ausgaben">
      <formula>NOT(ISERROR(SEARCH("Ausgaben",C300)))</formula>
    </cfRule>
  </conditionalFormatting>
  <conditionalFormatting sqref="C302">
    <cfRule type="containsText" priority="88" operator="containsText" dxfId="1" text="Einnahmen">
      <formula>NOT(ISERROR(SEARCH("Einnahmen",C302)))</formula>
    </cfRule>
    <cfRule type="containsText" priority="89" operator="containsText" dxfId="0" text="Ausgaben">
      <formula>NOT(ISERROR(SEARCH("Ausgaben",C302)))</formula>
    </cfRule>
  </conditionalFormatting>
  <conditionalFormatting sqref="C304">
    <cfRule type="containsText" priority="86" operator="containsText" dxfId="1" text="Einnahmen">
      <formula>NOT(ISERROR(SEARCH("Einnahmen",C304)))</formula>
    </cfRule>
    <cfRule type="containsText" priority="87" operator="containsText" dxfId="0" text="Ausgaben">
      <formula>NOT(ISERROR(SEARCH("Ausgaben",C304)))</formula>
    </cfRule>
  </conditionalFormatting>
  <conditionalFormatting sqref="C305">
    <cfRule type="containsText" priority="84" operator="containsText" dxfId="1" text="Einnahmen">
      <formula>NOT(ISERROR(SEARCH("Einnahmen",C305)))</formula>
    </cfRule>
    <cfRule type="containsText" priority="85" operator="containsText" dxfId="0" text="Ausgaben">
      <formula>NOT(ISERROR(SEARCH("Ausgaben",C305)))</formula>
    </cfRule>
  </conditionalFormatting>
  <conditionalFormatting sqref="C306">
    <cfRule type="containsText" priority="82" operator="containsText" dxfId="1" text="Einnahmen">
      <formula>NOT(ISERROR(SEARCH("Einnahmen",C306)))</formula>
    </cfRule>
    <cfRule type="containsText" priority="83" operator="containsText" dxfId="0" text="Ausgaben">
      <formula>NOT(ISERROR(SEARCH("Ausgaben",C306)))</formula>
    </cfRule>
  </conditionalFormatting>
  <conditionalFormatting sqref="C307">
    <cfRule type="containsText" priority="80" operator="containsText" dxfId="1" text="Einnahmen">
      <formula>NOT(ISERROR(SEARCH("Einnahmen",C307)))</formula>
    </cfRule>
    <cfRule type="containsText" priority="81" operator="containsText" dxfId="0" text="Ausgaben">
      <formula>NOT(ISERROR(SEARCH("Ausgaben",C307)))</formula>
    </cfRule>
  </conditionalFormatting>
  <conditionalFormatting sqref="C308">
    <cfRule type="containsText" priority="78" operator="containsText" dxfId="1" text="Einnahmen">
      <formula>NOT(ISERROR(SEARCH("Einnahmen",C308)))</formula>
    </cfRule>
    <cfRule type="containsText" priority="79" operator="containsText" dxfId="0" text="Ausgaben">
      <formula>NOT(ISERROR(SEARCH("Ausgaben",C308)))</formula>
    </cfRule>
  </conditionalFormatting>
  <conditionalFormatting sqref="C311">
    <cfRule type="containsText" priority="76" operator="containsText" dxfId="1" text="Einnahmen">
      <formula>NOT(ISERROR(SEARCH("Einnahmen",C311)))</formula>
    </cfRule>
    <cfRule type="containsText" priority="77" operator="containsText" dxfId="0" text="Ausgaben">
      <formula>NOT(ISERROR(SEARCH("Ausgaben",C311)))</formula>
    </cfRule>
  </conditionalFormatting>
  <conditionalFormatting sqref="C312">
    <cfRule type="containsText" priority="72" operator="containsText" dxfId="1" text="Einnahmen">
      <formula>NOT(ISERROR(SEARCH("Einnahmen",C312)))</formula>
    </cfRule>
    <cfRule type="containsText" priority="73" operator="containsText" dxfId="0" text="Ausgaben">
      <formula>NOT(ISERROR(SEARCH("Ausgaben",C312)))</formula>
    </cfRule>
  </conditionalFormatting>
  <conditionalFormatting sqref="C314">
    <cfRule type="containsText" priority="70" operator="containsText" dxfId="1" text="Einnahmen">
      <formula>NOT(ISERROR(SEARCH("Einnahmen",C314)))</formula>
    </cfRule>
    <cfRule type="containsText" priority="71" operator="containsText" dxfId="0" text="Ausgaben">
      <formula>NOT(ISERROR(SEARCH("Ausgaben",C314)))</formula>
    </cfRule>
  </conditionalFormatting>
  <conditionalFormatting sqref="C315">
    <cfRule type="containsText" priority="68" operator="containsText" dxfId="1" text="Einnahmen">
      <formula>NOT(ISERROR(SEARCH("Einnahmen",C315)))</formula>
    </cfRule>
    <cfRule type="containsText" priority="69" operator="containsText" dxfId="0" text="Ausgaben">
      <formula>NOT(ISERROR(SEARCH("Ausgaben",C315)))</formula>
    </cfRule>
  </conditionalFormatting>
  <conditionalFormatting sqref="C316">
    <cfRule type="containsText" priority="66" operator="containsText" dxfId="1" text="Einnahmen">
      <formula>NOT(ISERROR(SEARCH("Einnahmen",C316)))</formula>
    </cfRule>
    <cfRule type="containsText" priority="67" operator="containsText" dxfId="0" text="Ausgaben">
      <formula>NOT(ISERROR(SEARCH("Ausgaben",C316)))</formula>
    </cfRule>
  </conditionalFormatting>
  <conditionalFormatting sqref="C317">
    <cfRule type="containsText" priority="64" operator="containsText" dxfId="1" text="Einnahmen">
      <formula>NOT(ISERROR(SEARCH("Einnahmen",C317)))</formula>
    </cfRule>
    <cfRule type="containsText" priority="65" operator="containsText" dxfId="0" text="Ausgaben">
      <formula>NOT(ISERROR(SEARCH("Ausgaben",C317)))</formula>
    </cfRule>
  </conditionalFormatting>
  <conditionalFormatting sqref="C318">
    <cfRule type="containsText" priority="62" operator="containsText" dxfId="1" text="Einnahmen">
      <formula>NOT(ISERROR(SEARCH("Einnahmen",C318)))</formula>
    </cfRule>
    <cfRule type="containsText" priority="63" operator="containsText" dxfId="0" text="Ausgaben">
      <formula>NOT(ISERROR(SEARCH("Ausgaben",C318)))</formula>
    </cfRule>
  </conditionalFormatting>
  <conditionalFormatting sqref="C319">
    <cfRule type="containsText" priority="60" operator="containsText" dxfId="1" text="Einnahmen">
      <formula>NOT(ISERROR(SEARCH("Einnahmen",C319)))</formula>
    </cfRule>
    <cfRule type="containsText" priority="61" operator="containsText" dxfId="0" text="Ausgaben">
      <formula>NOT(ISERROR(SEARCH("Ausgaben",C319)))</formula>
    </cfRule>
  </conditionalFormatting>
  <conditionalFormatting sqref="C320">
    <cfRule type="containsText" priority="58" operator="containsText" dxfId="1" text="Einnahmen">
      <formula>NOT(ISERROR(SEARCH("Einnahmen",C320)))</formula>
    </cfRule>
    <cfRule type="containsText" priority="59" operator="containsText" dxfId="0" text="Ausgaben">
      <formula>NOT(ISERROR(SEARCH("Ausgaben",C320)))</formula>
    </cfRule>
  </conditionalFormatting>
  <conditionalFormatting sqref="C321">
    <cfRule type="containsText" priority="56" operator="containsText" dxfId="1" text="Einnahmen">
      <formula>NOT(ISERROR(SEARCH("Einnahmen",C321)))</formula>
    </cfRule>
    <cfRule type="containsText" priority="57" operator="containsText" dxfId="0" text="Ausgaben">
      <formula>NOT(ISERROR(SEARCH("Ausgaben",C321)))</formula>
    </cfRule>
  </conditionalFormatting>
  <conditionalFormatting sqref="C323">
    <cfRule type="containsText" priority="54" operator="containsText" dxfId="1" text="Einnahmen">
      <formula>NOT(ISERROR(SEARCH("Einnahmen",C323)))</formula>
    </cfRule>
    <cfRule type="containsText" priority="55" operator="containsText" dxfId="0" text="Ausgaben">
      <formula>NOT(ISERROR(SEARCH("Ausgaben",C323)))</formula>
    </cfRule>
  </conditionalFormatting>
  <conditionalFormatting sqref="C324">
    <cfRule type="containsText" priority="52" operator="containsText" dxfId="1" text="Einnahmen">
      <formula>NOT(ISERROR(SEARCH("Einnahmen",C324)))</formula>
    </cfRule>
    <cfRule type="containsText" priority="53" operator="containsText" dxfId="0" text="Ausgaben">
      <formula>NOT(ISERROR(SEARCH("Ausgaben",C324)))</formula>
    </cfRule>
  </conditionalFormatting>
  <conditionalFormatting sqref="C326">
    <cfRule type="containsText" priority="50" operator="containsText" dxfId="1" text="Einnahmen">
      <formula>NOT(ISERROR(SEARCH("Einnahmen",C326)))</formula>
    </cfRule>
    <cfRule type="containsText" priority="51" operator="containsText" dxfId="0" text="Ausgaben">
      <formula>NOT(ISERROR(SEARCH("Ausgaben",C326)))</formula>
    </cfRule>
  </conditionalFormatting>
  <conditionalFormatting sqref="C327">
    <cfRule type="containsText" priority="48" operator="containsText" dxfId="1" text="Einnahmen">
      <formula>NOT(ISERROR(SEARCH("Einnahmen",C327)))</formula>
    </cfRule>
    <cfRule type="containsText" priority="49" operator="containsText" dxfId="0" text="Ausgaben">
      <formula>NOT(ISERROR(SEARCH("Ausgaben",C327)))</formula>
    </cfRule>
  </conditionalFormatting>
  <conditionalFormatting sqref="C328">
    <cfRule type="containsText" priority="46" operator="containsText" dxfId="1" text="Einnahmen">
      <formula>NOT(ISERROR(SEARCH("Einnahmen",C328)))</formula>
    </cfRule>
    <cfRule type="containsText" priority="47" operator="containsText" dxfId="0" text="Ausgaben">
      <formula>NOT(ISERROR(SEARCH("Ausgaben",C328)))</formula>
    </cfRule>
  </conditionalFormatting>
  <conditionalFormatting sqref="C329:C330">
    <cfRule type="containsText" priority="44" operator="containsText" dxfId="1" text="Einnahmen">
      <formula>NOT(ISERROR(SEARCH("Einnahmen",C329)))</formula>
    </cfRule>
    <cfRule type="containsText" priority="45" operator="containsText" dxfId="0" text="Ausgaben">
      <formula>NOT(ISERROR(SEARCH("Ausgaben",C329)))</formula>
    </cfRule>
  </conditionalFormatting>
  <conditionalFormatting sqref="C331">
    <cfRule type="containsText" priority="40" operator="containsText" dxfId="1" text="Einnahmen">
      <formula>NOT(ISERROR(SEARCH("Einnahmen",C331)))</formula>
    </cfRule>
    <cfRule type="containsText" priority="41" operator="containsText" dxfId="0" text="Ausgaben">
      <formula>NOT(ISERROR(SEARCH("Ausgaben",C331)))</formula>
    </cfRule>
  </conditionalFormatting>
  <conditionalFormatting sqref="C332">
    <cfRule type="containsText" priority="38" operator="containsText" dxfId="1" text="Einnahmen">
      <formula>NOT(ISERROR(SEARCH("Einnahmen",C332)))</formula>
    </cfRule>
    <cfRule type="containsText" priority="39" operator="containsText" dxfId="0" text="Ausgaben">
      <formula>NOT(ISERROR(SEARCH("Ausgaben",C332)))</formula>
    </cfRule>
  </conditionalFormatting>
  <conditionalFormatting sqref="C334">
    <cfRule type="containsText" priority="36" operator="containsText" dxfId="1" text="Einnahmen">
      <formula>NOT(ISERROR(SEARCH("Einnahmen",C334)))</formula>
    </cfRule>
    <cfRule type="containsText" priority="37" operator="containsText" dxfId="0" text="Ausgaben">
      <formula>NOT(ISERROR(SEARCH("Ausgaben",C334)))</formula>
    </cfRule>
  </conditionalFormatting>
  <conditionalFormatting sqref="C336">
    <cfRule type="containsText" priority="34" operator="containsText" dxfId="1" text="Einnahmen">
      <formula>NOT(ISERROR(SEARCH("Einnahmen",C336)))</formula>
    </cfRule>
    <cfRule type="containsText" priority="35" operator="containsText" dxfId="0" text="Ausgaben">
      <formula>NOT(ISERROR(SEARCH("Ausgaben",C336)))</formula>
    </cfRule>
  </conditionalFormatting>
  <conditionalFormatting sqref="C337">
    <cfRule type="containsText" priority="32" operator="containsText" dxfId="1" text="Einnahmen">
      <formula>NOT(ISERROR(SEARCH("Einnahmen",C337)))</formula>
    </cfRule>
    <cfRule type="containsText" priority="33" operator="containsText" dxfId="0" text="Ausgaben">
      <formula>NOT(ISERROR(SEARCH("Ausgaben",C337)))</formula>
    </cfRule>
  </conditionalFormatting>
  <conditionalFormatting sqref="C338">
    <cfRule type="containsText" priority="30" operator="containsText" dxfId="1" text="Einnahmen">
      <formula>NOT(ISERROR(SEARCH("Einnahmen",C338)))</formula>
    </cfRule>
    <cfRule type="containsText" priority="31" operator="containsText" dxfId="0" text="Ausgaben">
      <formula>NOT(ISERROR(SEARCH("Ausgaben",C338)))</formula>
    </cfRule>
  </conditionalFormatting>
  <conditionalFormatting sqref="C339">
    <cfRule type="containsText" priority="28" operator="containsText" dxfId="1" text="Einnahmen">
      <formula>NOT(ISERROR(SEARCH("Einnahmen",C339)))</formula>
    </cfRule>
    <cfRule type="containsText" priority="29" operator="containsText" dxfId="0" text="Ausgaben">
      <formula>NOT(ISERROR(SEARCH("Ausgaben",C339)))</formula>
    </cfRule>
  </conditionalFormatting>
  <conditionalFormatting sqref="C340">
    <cfRule type="containsText" priority="26" operator="containsText" dxfId="1" text="Einnahmen">
      <formula>NOT(ISERROR(SEARCH("Einnahmen",C340)))</formula>
    </cfRule>
    <cfRule type="containsText" priority="27" operator="containsText" dxfId="0" text="Ausgaben">
      <formula>NOT(ISERROR(SEARCH("Ausgaben",C340)))</formula>
    </cfRule>
  </conditionalFormatting>
  <conditionalFormatting sqref="C345">
    <cfRule type="containsText" priority="24" operator="containsText" dxfId="1" text="Einnahmen">
      <formula>NOT(ISERROR(SEARCH("Einnahmen",C345)))</formula>
    </cfRule>
    <cfRule type="containsText" priority="25" operator="containsText" dxfId="0" text="Ausgaben">
      <formula>NOT(ISERROR(SEARCH("Ausgaben",C345)))</formula>
    </cfRule>
  </conditionalFormatting>
  <conditionalFormatting sqref="C346">
    <cfRule type="containsText" priority="22" operator="containsText" dxfId="1" text="Einnahmen">
      <formula>NOT(ISERROR(SEARCH("Einnahmen",C346)))</formula>
    </cfRule>
    <cfRule type="containsText" priority="23" operator="containsText" dxfId="0" text="Ausgaben">
      <formula>NOT(ISERROR(SEARCH("Ausgaben",C346)))</formula>
    </cfRule>
  </conditionalFormatting>
  <conditionalFormatting sqref="C347">
    <cfRule type="containsText" priority="20" operator="containsText" dxfId="1" text="Einnahmen">
      <formula>NOT(ISERROR(SEARCH("Einnahmen",C347)))</formula>
    </cfRule>
    <cfRule type="containsText" priority="21" operator="containsText" dxfId="0" text="Ausgaben">
      <formula>NOT(ISERROR(SEARCH("Ausgaben",C347)))</formula>
    </cfRule>
  </conditionalFormatting>
  <conditionalFormatting sqref="C349">
    <cfRule type="containsText" priority="18" operator="containsText" dxfId="1" text="Einnahmen">
      <formula>NOT(ISERROR(SEARCH("Einnahmen",C349)))</formula>
    </cfRule>
    <cfRule type="containsText" priority="19" operator="containsText" dxfId="0" text="Ausgaben">
      <formula>NOT(ISERROR(SEARCH("Ausgaben",C349)))</formula>
    </cfRule>
  </conditionalFormatting>
  <conditionalFormatting sqref="C350">
    <cfRule type="containsText" priority="16" operator="containsText" dxfId="1" text="Einnahmen">
      <formula>NOT(ISERROR(SEARCH("Einnahmen",C350)))</formula>
    </cfRule>
    <cfRule type="containsText" priority="17" operator="containsText" dxfId="0" text="Ausgaben">
      <formula>NOT(ISERROR(SEARCH("Ausgaben",C350)))</formula>
    </cfRule>
  </conditionalFormatting>
  <conditionalFormatting sqref="V1:V1048576">
    <cfRule type="cellIs" priority="13" operator="equal" dxfId="2">
      <formula>TRUE</formula>
    </cfRule>
  </conditionalFormatting>
  <conditionalFormatting sqref="C1:C1048576">
    <cfRule type="containsText" priority="489" operator="containsText" dxfId="1" text="Einnahmen">
      <formula>NOT(ISERROR(SEARCH("Einnahmen",C1)))</formula>
    </cfRule>
    <cfRule type="containsText" priority="486" operator="containsText" dxfId="0" text="Ausgaben">
      <formula>NOT(ISERROR(SEARCH("Ausgaben",C1)))</formula>
    </cfRule>
  </conditionalFormatting>
  <dataValidations count="2">
    <dataValidation sqref="C2:D2 C4:C8 C10:C20 C22:C32 C33:D43 C45:D57 C59:D70 C72:C73 C74:D78 C79:C80 C81:D86 C87 C89 C90:D90 C91:C92 C94 C96:D101 C103:C107 C108:D109 C111:D114 C116:C118 C119:D123 C125 C126:D126 C127:C130 C132:C136 C137:D138 C141:C142 C144:C145 C147:C149 C150:D152 C154:D163 C165:D167 C169:D170 C172:C173 C175:C177 C179:C181 C183:D192 C194:D204 C206:D215 C217:D224 C226:D226 C228:D228 C230:D238 C239 C241:D252 C254:D258 C260:D266 C268:D273 C275:D287 C289:D295 C296 C297:D299 C301:C310 C312:D313 C317:C318 C319:D322 C324:D333 C335:D344 C346:C349 C350:D352 D3:D32 D44 D58 D71:D73 D87:D89 D91:D94 D102:D107 D110 D115:D116 D118 D124:D125 D128:D135 D139:D149 D153 D164 D168 D171:D182 D193 D205 D216 D225 D229 D240 D253 D259 D267 D274 D288 D300:D311 D314:D318 D323 D334 D345:D349 V1" showDropDown="0" showInputMessage="1" showErrorMessage="1" allowBlank="1" type="list">
      <formula1>Spesenart</formula1>
    </dataValidation>
    <dataValidation sqref="C2:C352" showDropDown="0" showInputMessage="1" showErrorMessage="1" allowBlank="1" type="list">
      <formula1>"Einnahmen,Ausgaben"</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4.xml><?xml version="1.0" encoding="utf-8"?>
<worksheet xmlns="http://schemas.openxmlformats.org/spreadsheetml/2006/main">
  <sheetPr codeName="Tabelle25">
    <tabColor theme="9" tint="0.7999816888943144"/>
    <outlinePr summaryBelow="1" summaryRight="1"/>
    <pageSetUpPr/>
  </sheetPr>
  <dimension ref="A1:Q41"/>
  <sheetViews>
    <sheetView zoomScaleNormal="100" workbookViewId="0">
      <pane xSplit="2" ySplit="1" topLeftCell="C27" activePane="bottomRight" state="frozen"/>
      <selection pane="topRight" activeCell="C1" sqref="C1"/>
      <selection pane="bottomLeft" activeCell="A2" sqref="A2"/>
      <selection pane="bottomRight" activeCell="H40" sqref="H40"/>
    </sheetView>
  </sheetViews>
  <sheetFormatPr baseColWidth="10" defaultRowHeight="15"/>
  <cols>
    <col width="5" bestFit="1" customWidth="1" min="1" max="1"/>
    <col width="6.85546875" bestFit="1" customWidth="1" min="2" max="2"/>
    <col width="10.140625" bestFit="1" customWidth="1" min="4" max="5"/>
    <col width="10.140625" customWidth="1" min="6" max="6"/>
    <col width="9.28515625" customWidth="1" min="7" max="7"/>
    <col width="10.7109375" customWidth="1" min="8" max="8"/>
    <col width="18.7109375" bestFit="1" customWidth="1" min="9" max="9"/>
    <col width="12" customWidth="1" min="10" max="10"/>
    <col width="13.140625" customWidth="1" min="11" max="11"/>
    <col width="9.42578125" customWidth="1" min="12" max="12"/>
    <col width="8.85546875" customWidth="1" min="13" max="13"/>
    <col width="8.42578125" customWidth="1" min="14" max="14"/>
    <col width="8.140625" customWidth="1" min="15" max="15"/>
    <col width="37.7109375" bestFit="1" customWidth="1" min="17" max="17"/>
  </cols>
  <sheetData>
    <row r="1" customFormat="1" s="2">
      <c r="A1" s="2" t="inlineStr">
        <is>
          <t>Jahr</t>
        </is>
      </c>
      <c r="B1" s="2" t="inlineStr">
        <is>
          <t>Monat</t>
        </is>
      </c>
      <c r="C1" s="5" t="inlineStr">
        <is>
          <t>Startdatum</t>
        </is>
      </c>
      <c r="D1" s="5" t="inlineStr">
        <is>
          <t>Enddatum</t>
        </is>
      </c>
      <c r="E1" s="2" t="inlineStr">
        <is>
          <t>Frist</t>
        </is>
      </c>
      <c r="F1" s="226" t="inlineStr">
        <is>
          <t>USt. Einnahmen</t>
        </is>
      </c>
      <c r="G1" s="226" t="inlineStr">
        <is>
          <t>USt. Ausgaben</t>
        </is>
      </c>
      <c r="H1" s="226" t="inlineStr">
        <is>
          <t>USt. geschuldet (Negativ = Gutschrift)</t>
        </is>
      </c>
      <c r="I1" s="2" t="inlineStr">
        <is>
          <t>Bem.grundlage USt.</t>
        </is>
      </c>
      <c r="J1" s="11" t="inlineStr">
        <is>
          <t>(000) GesBetr U netto</t>
        </is>
      </c>
      <c r="K1" s="11" t="inlineStr">
        <is>
          <t>(022) davon z.v.m. 20%</t>
        </is>
      </c>
      <c r="L1" s="12" t="inlineStr">
        <is>
          <t>(060) Ausg. Vorst. I</t>
        </is>
      </c>
      <c r="M1" s="12" t="inlineStr">
        <is>
          <t>(065) Ausg. Vorst. IG</t>
        </is>
      </c>
      <c r="N1" s="12" t="inlineStr">
        <is>
          <t xml:space="preserve">(070) GesBtr BmG IG </t>
        </is>
      </c>
      <c r="O1" s="12" t="inlineStr">
        <is>
          <t>(072) davon zu verst. mit 20%</t>
        </is>
      </c>
      <c r="P1" s="12" t="n"/>
    </row>
    <row r="2">
      <c r="A2" t="n">
        <v>2023</v>
      </c>
      <c r="B2" t="n">
        <v>1</v>
      </c>
      <c r="C2" s="1">
        <f>DATE(A2,B2,1)</f>
        <v/>
      </c>
      <c r="D2" s="1">
        <f>EOMONTH(C2,0)</f>
        <v/>
      </c>
      <c r="E2" s="1">
        <f>DATE(YEAR(EOMONTH(C2,2)),MONTH(EOMONTH(C2,2)),15)</f>
        <v/>
      </c>
      <c r="F2" s="227">
        <f>SUMIFS(Journal_ab_2019!P:P,Journal_ab_2019!G:G,"&lt;=" &amp; D2,Journal_ab_2019!G:G,"&gt;=" &amp;C2,Journal_ab_2019!C:C,"="&amp;"Einnahmen")</f>
        <v/>
      </c>
      <c r="G2" s="227">
        <f>SUMIFS(Journal_ab_2019!P:P,Journal_ab_2019!G:G,"&lt;=" &amp; D2,Journal_ab_2019!G:G,"&gt;=" &amp; C2,Journal_ab_2019!C:C,"="&amp;"Ausgaben")</f>
        <v/>
      </c>
      <c r="H2" s="227">
        <f>F2-G2</f>
        <v/>
      </c>
      <c r="I2" s="227">
        <f>SUMIFS(Journal_ab_2019!$Q:$Q,Journal_ab_2019!$G:$G,"&lt;=" &amp; $D2,Journal_ab_2019!$G:$G,"&gt;=" &amp;$C2,Journal_ab_2019!C:C,"="&amp;"Einnahmen")</f>
        <v/>
      </c>
      <c r="J2" s="16">
        <f>SUMIFS(Journal_ab_2019!$Q:$Q,Journal_ab_2019!$G:$G,"&lt;=" &amp; $D2,Journal_ab_2019!$G:$G,"&gt;=" &amp;$C2,Journal_ab_2019!C:C,"="&amp;"Einnahmen")</f>
        <v/>
      </c>
      <c r="K2" s="16">
        <f>SUMIFS(Journal_ab_2019!$Q:$Q,Journal_ab_2019!$G:$G,"&lt;=" &amp; $D2,Journal_ab_2019!$G:$G,"&gt;=" &amp;$C2,Journal_ab_2019!$N:$N,"=20",Journal_ab_2019!$C:$C,"="&amp;"Einnahmen")</f>
        <v/>
      </c>
      <c r="L2" s="16">
        <f>SUMIFS(Journal_ab_2019!$P:$P,Journal_ab_2019!$G:$G,"&lt;=" &amp;$D2,Journal_ab_2019!$G:$G,"&gt;=" &amp;$C2,Journal_ab_2019!$V:$V,"&lt;&gt;ja",Journal_ab_2019!C:C,"="&amp;"Ausgaben")</f>
        <v/>
      </c>
      <c r="M2" s="16">
        <f>SUMIFS(Journal_ab_2019!$X:$X,Journal_ab_2019!$G:$G,"&lt;=" &amp;$D2,Journal_ab_2019!$G:$G,"&gt;=" &amp;$C2,Journal_ab_2019!$V:$V,"&gt;0",Journal_ab_2019!C:C,"="&amp;"Ausgaben")</f>
        <v/>
      </c>
      <c r="N2" s="16">
        <f>SUMIFS(Journal_ab_2019!$Q:$Q,Journal_ab_2019!$G:$G,"&lt;=" &amp;$D2,Journal_ab_2019!$G:$G,"&gt;=" &amp;$C2,Journal_ab_2019!$V:$V,"&gt;0",Journal_ab_2019!C:C,"="&amp;"Ausgaben")</f>
        <v/>
      </c>
      <c r="O2" s="16">
        <f>SUMIFS(Journal_ab_2019!$Q:$Q,Journal_ab_2019!$G:$G,"&lt;=" &amp; $D2,Journal_ab_2019!$G:$G,"&gt;=" &amp;$C2,Journal_ab_2019!$V:$V,"=20",Journal_ab_2019!C:C,"="&amp;"Ausgaben")</f>
        <v/>
      </c>
    </row>
    <row r="3">
      <c r="A3" t="n">
        <v>2023</v>
      </c>
      <c r="B3" t="n">
        <v>2</v>
      </c>
      <c r="C3" s="1">
        <f>DATE(A3,B3,1)</f>
        <v/>
      </c>
      <c r="D3" s="1">
        <f>EOMONTH(C3,0)</f>
        <v/>
      </c>
      <c r="E3" s="1">
        <f>DATE(YEAR(EOMONTH(C3,2)),MONTH(EOMONTH(C3,2)),15)</f>
        <v/>
      </c>
      <c r="F3" s="227">
        <f>SUMIFS(Journal_ab_2019!P:P,Journal_ab_2019!G:G,"&lt;=" &amp; D3,Journal_ab_2019!G:G,"&gt;=" &amp;C3,Journal_ab_2019!C:C,"="&amp;"Einnahmen")</f>
        <v/>
      </c>
      <c r="G3" s="227">
        <f>SUMIFS(Journal_ab_2019!P:P,Journal_ab_2019!G:G,"&lt;=" &amp; D3,Journal_ab_2019!G:G,"&gt;=" &amp; C3,Journal_ab_2019!C:C,"="&amp;"Ausgaben")</f>
        <v/>
      </c>
      <c r="H3" s="227">
        <f>F3-G3</f>
        <v/>
      </c>
      <c r="I3" s="227">
        <f>SUMIFS(Journal_ab_2019!$Q:$Q,Journal_ab_2019!$G:$G,"&lt;=" &amp; $D3,Journal_ab_2019!$G:$G,"&gt;=" &amp;$C3,Journal_ab_2019!C:C,"="&amp;"Einnahmen")</f>
        <v/>
      </c>
      <c r="J3" s="16">
        <f>SUMIFS(Journal_ab_2019!$Q:$Q,Journal_ab_2019!$G:$G,"&lt;=" &amp; $D3,Journal_ab_2019!$G:$G,"&gt;=" &amp;$C3,Journal_ab_2019!C:C,"="&amp;"Einnahmen")</f>
        <v/>
      </c>
      <c r="K3" s="16">
        <f>SUMIFS(Journal_ab_2019!$Q:$Q,Journal_ab_2019!$G:$G,"&lt;=" &amp; $D3,Journal_ab_2019!$G:$G,"&gt;=" &amp;$C3,Journal_ab_2019!$N:$N,"=20",Journal_ab_2019!$C:$C,"="&amp;"Einnahmen")</f>
        <v/>
      </c>
      <c r="L3" s="16">
        <f>SUMIFS(Journal_ab_2019!$P:$P,Journal_ab_2019!$G:$G,"&lt;=" &amp;$D3,Journal_ab_2019!$G:$G,"&gt;=" &amp;$C3,Journal_ab_2019!$V:$V,"&lt;&gt;ja",Journal_ab_2019!C:C,"="&amp;"Ausgaben")</f>
        <v/>
      </c>
      <c r="M3" s="16">
        <f>SUMIFS(Journal_ab_2019!$X:$X,Journal_ab_2019!$G:$G,"&lt;=" &amp;$D3,Journal_ab_2019!$G:$G,"&gt;=" &amp;$C3,Journal_ab_2019!$V:$V,"&gt;0",Journal_ab_2019!C:C,"="&amp;"Ausgaben")</f>
        <v/>
      </c>
      <c r="N3" s="16">
        <f>SUMIFS(Journal_ab_2019!$Q:$Q,Journal_ab_2019!$G:$G,"&lt;=" &amp;$D3,Journal_ab_2019!$G:$G,"&gt;=" &amp;$C3,Journal_ab_2019!$V:$V,"&gt;0",Journal_ab_2019!C:C,"="&amp;"Ausgaben")</f>
        <v/>
      </c>
      <c r="O3" s="16">
        <f>SUMIFS(Journal_ab_2019!$Q:$Q,Journal_ab_2019!$G:$G,"&lt;=" &amp; $D3,Journal_ab_2019!$G:$G,"&gt;=" &amp;$C3,Journal_ab_2019!$V:$V,"=20",Journal_ab_2019!C:C,"="&amp;"Ausgaben")</f>
        <v/>
      </c>
    </row>
    <row r="4">
      <c r="A4" t="n">
        <v>2023</v>
      </c>
      <c r="B4" t="n">
        <v>3</v>
      </c>
      <c r="C4" s="1">
        <f>DATE(A4,B4,1)</f>
        <v/>
      </c>
      <c r="D4" s="1">
        <f>EOMONTH(C4,0)</f>
        <v/>
      </c>
      <c r="E4" s="1">
        <f>DATE(YEAR(EOMONTH(C4,2)),MONTH(EOMONTH(C4,2)),15)</f>
        <v/>
      </c>
      <c r="F4" s="227">
        <f>SUMIFS(Journal_ab_2019!P:P,Journal_ab_2019!G:G,"&lt;=" &amp; D4,Journal_ab_2019!G:G,"&gt;=" &amp;C4,Journal_ab_2019!C:C,"="&amp;"Einnahmen")</f>
        <v/>
      </c>
      <c r="G4" s="227">
        <f>SUMIFS(Journal_ab_2019!P:P,Journal_ab_2019!G:G,"&lt;=" &amp; D4,Journal_ab_2019!G:G,"&gt;=" &amp; C4,Journal_ab_2019!C:C,"="&amp;"Ausgaben")</f>
        <v/>
      </c>
      <c r="H4" s="227">
        <f>F4-G4</f>
        <v/>
      </c>
      <c r="I4" s="227">
        <f>SUMIFS(Journal_ab_2019!$Q:$Q,Journal_ab_2019!$G:$G,"&lt;=" &amp; $D4,Journal_ab_2019!$G:$G,"&gt;=" &amp;$C4,Journal_ab_2019!C:C,"="&amp;"Einnahmen")</f>
        <v/>
      </c>
      <c r="J4" s="16">
        <f>SUMIFS(Journal_ab_2019!$Q:$Q,Journal_ab_2019!$G:$G,"&lt;=" &amp; $D4,Journal_ab_2019!$G:$G,"&gt;=" &amp;$C4,Journal_ab_2019!C:C,"="&amp;"Einnahmen")</f>
        <v/>
      </c>
      <c r="K4" s="16">
        <f>SUMIFS(Journal_ab_2019!$Q:$Q,Journal_ab_2019!$G:$G,"&lt;=" &amp; $D4,Journal_ab_2019!$G:$G,"&gt;=" &amp;$C4,Journal_ab_2019!$N:$N,"=20",Journal_ab_2019!$C:$C,"="&amp;"Einnahmen")</f>
        <v/>
      </c>
      <c r="L4" s="16">
        <f>SUMIFS(Journal_ab_2019!$P:$P,Journal_ab_2019!$G:$G,"&lt;=" &amp;$D4,Journal_ab_2019!$G:$G,"&gt;=" &amp;$C4,Journal_ab_2019!$V:$V,"&lt;&gt;ja",Journal_ab_2019!C:C,"="&amp;"Ausgaben")</f>
        <v/>
      </c>
      <c r="M4" s="16">
        <f>SUMIFS(Journal_ab_2019!$X:$X,Journal_ab_2019!$G:$G,"&lt;=" &amp;$D4,Journal_ab_2019!$G:$G,"&gt;=" &amp;$C4,Journal_ab_2019!$V:$V,"&gt;0",Journal_ab_2019!C:C,"="&amp;"Ausgaben")</f>
        <v/>
      </c>
      <c r="N4" s="16">
        <f>SUMIFS(Journal_ab_2019!$Q:$Q,Journal_ab_2019!$G:$G,"&lt;=" &amp;$D4,Journal_ab_2019!$G:$G,"&gt;=" &amp;$C4,Journal_ab_2019!$V:$V,"&gt;0",Journal_ab_2019!C:C,"="&amp;"Ausgaben")</f>
        <v/>
      </c>
      <c r="O4" s="16">
        <f>SUMIFS(Journal_ab_2019!$Q:$Q,Journal_ab_2019!$G:$G,"&lt;=" &amp; $D4,Journal_ab_2019!$G:$G,"&gt;=" &amp;$C4,Journal_ab_2019!$V:$V,"=20",Journal_ab_2019!C:C,"="&amp;"Ausgaben")</f>
        <v/>
      </c>
    </row>
    <row r="5">
      <c r="A5" t="n">
        <v>2023</v>
      </c>
      <c r="B5" t="n">
        <v>4</v>
      </c>
      <c r="C5" s="1">
        <f>DATE(A5,B5,1)</f>
        <v/>
      </c>
      <c r="D5" s="1">
        <f>EOMONTH(C5,0)</f>
        <v/>
      </c>
      <c r="E5" s="1">
        <f>DATE(YEAR(EOMONTH(C5,2)),MONTH(EOMONTH(C5,2)),15)</f>
        <v/>
      </c>
      <c r="F5" s="227">
        <f>SUMIFS(Journal_ab_2019!P:P,Journal_ab_2019!G:G,"&lt;=" &amp; D5,Journal_ab_2019!G:G,"&gt;=" &amp;C5,Journal_ab_2019!C:C,"="&amp;"Einnahmen")</f>
        <v/>
      </c>
      <c r="G5" s="227">
        <f>SUMIFS(Journal_ab_2019!P:P,Journal_ab_2019!G:G,"&lt;=" &amp; D5,Journal_ab_2019!G:G,"&gt;=" &amp; C5,Journal_ab_2019!C:C,"="&amp;"Ausgaben")</f>
        <v/>
      </c>
      <c r="H5" s="227">
        <f>F5-G5</f>
        <v/>
      </c>
      <c r="I5" s="227">
        <f>SUMIFS(Journal_ab_2019!$Q:$Q,Journal_ab_2019!$G:$G,"&lt;=" &amp; $D5,Journal_ab_2019!$G:$G,"&gt;=" &amp;$C5,Journal_ab_2019!C:C,"="&amp;"Einnahmen")</f>
        <v/>
      </c>
      <c r="J5" s="16">
        <f>SUMIFS(Journal_ab_2019!$Q:$Q,Journal_ab_2019!$G:$G,"&lt;=" &amp; $D5,Journal_ab_2019!$G:$G,"&gt;=" &amp;$C5,Journal_ab_2019!C:C,"="&amp;"Einnahmen")</f>
        <v/>
      </c>
      <c r="K5" s="16">
        <f>SUMIFS(Journal_ab_2019!$Q:$Q,Journal_ab_2019!$G:$G,"&lt;=" &amp; $D5,Journal_ab_2019!$G:$G,"&gt;=" &amp;$C5,Journal_ab_2019!$N:$N,"=20",Journal_ab_2019!$C:$C,"="&amp;"Einnahmen")</f>
        <v/>
      </c>
      <c r="L5" s="16">
        <f>SUMIFS(Journal_ab_2019!$P:$P,Journal_ab_2019!$G:$G,"&lt;=" &amp;$D5,Journal_ab_2019!$G:$G,"&gt;=" &amp;$C5,Journal_ab_2019!$V:$V,"&lt;&gt;ja",Journal_ab_2019!C:C,"="&amp;"Ausgaben")</f>
        <v/>
      </c>
      <c r="M5" s="16">
        <f>SUMIFS(Journal_ab_2019!$X:$X,Journal_ab_2019!$G:$G,"&lt;=" &amp;$D5,Journal_ab_2019!$G:$G,"&gt;=" &amp;$C5,Journal_ab_2019!$V:$V,"&gt;0",Journal_ab_2019!C:C,"="&amp;"Ausgaben")</f>
        <v/>
      </c>
      <c r="N5" s="16">
        <f>SUMIFS(Journal_ab_2019!$Q:$Q,Journal_ab_2019!$G:$G,"&lt;=" &amp;$D5,Journal_ab_2019!$G:$G,"&gt;=" &amp;$C5,Journal_ab_2019!$V:$V,"&gt;0",Journal_ab_2019!C:C,"="&amp;"Ausgaben")</f>
        <v/>
      </c>
      <c r="O5" s="16">
        <f>SUMIFS(Journal_ab_2019!$Q:$Q,Journal_ab_2019!$G:$G,"&lt;=" &amp; $D5,Journal_ab_2019!$G:$G,"&gt;=" &amp;$C5,Journal_ab_2019!$V:$V,"=20",Journal_ab_2019!C:C,"="&amp;"Ausgaben")</f>
        <v/>
      </c>
    </row>
    <row r="6">
      <c r="A6" t="n">
        <v>2023</v>
      </c>
      <c r="B6" t="n">
        <v>5</v>
      </c>
      <c r="C6" s="1">
        <f>DATE(A6,B6,1)</f>
        <v/>
      </c>
      <c r="D6" s="1">
        <f>EOMONTH(C6,0)</f>
        <v/>
      </c>
      <c r="E6" s="1">
        <f>DATE(YEAR(EOMONTH(C6,2)),MONTH(EOMONTH(C6,2)),15)</f>
        <v/>
      </c>
      <c r="F6" s="227">
        <f>SUMIFS(Journal_ab_2019!P:P,Journal_ab_2019!G:G,"&lt;=" &amp; D6,Journal_ab_2019!G:G,"&gt;=" &amp;C6,Journal_ab_2019!C:C,"="&amp;"Einnahmen")</f>
        <v/>
      </c>
      <c r="G6" s="227">
        <f>SUMIFS(Journal_ab_2019!P:P,Journal_ab_2019!G:G,"&lt;=" &amp; D6,Journal_ab_2019!G:G,"&gt;=" &amp; C6,Journal_ab_2019!C:C,"="&amp;"Ausgaben")</f>
        <v/>
      </c>
      <c r="H6" s="227">
        <f>F6-G6</f>
        <v/>
      </c>
      <c r="I6" s="227">
        <f>SUMIFS(Journal_ab_2019!$Q:$Q,Journal_ab_2019!$G:$G,"&lt;=" &amp; $D6,Journal_ab_2019!$G:$G,"&gt;=" &amp;$C6,Journal_ab_2019!C:C,"="&amp;"Einnahmen")</f>
        <v/>
      </c>
      <c r="J6" s="16">
        <f>SUMIFS(Journal_ab_2019!$Q:$Q,Journal_ab_2019!$G:$G,"&lt;=" &amp; $D6,Journal_ab_2019!$G:$G,"&gt;=" &amp;$C6,Journal_ab_2019!C:C,"="&amp;"Einnahmen")</f>
        <v/>
      </c>
      <c r="K6" s="16">
        <f>SUMIFS(Journal_ab_2019!$Q:$Q,Journal_ab_2019!$G:$G,"&lt;=" &amp; $D6,Journal_ab_2019!$G:$G,"&gt;=" &amp;$C6,Journal_ab_2019!$N:$N,"=20",Journal_ab_2019!$C:$C,"="&amp;"Einnahmen")</f>
        <v/>
      </c>
      <c r="L6" s="16">
        <f>SUMIFS(Journal_ab_2019!$P:$P,Journal_ab_2019!$G:$G,"&lt;=" &amp;$D6,Journal_ab_2019!$G:$G,"&gt;=" &amp;$C6,Journal_ab_2019!$V:$V,"&lt;&gt;ja",Journal_ab_2019!C:C,"="&amp;"Ausgaben")</f>
        <v/>
      </c>
      <c r="M6" s="16">
        <f>SUMIFS(Journal_ab_2019!$X:$X,Journal_ab_2019!$G:$G,"&lt;=" &amp;$D6,Journal_ab_2019!$G:$G,"&gt;=" &amp;$C6,Journal_ab_2019!$V:$V,"&gt;0",Journal_ab_2019!C:C,"="&amp;"Ausgaben")</f>
        <v/>
      </c>
      <c r="N6" s="16">
        <f>SUMIFS(Journal_ab_2019!$Q:$Q,Journal_ab_2019!$G:$G,"&lt;=" &amp;$D6,Journal_ab_2019!$G:$G,"&gt;=" &amp;$C6,Journal_ab_2019!$V:$V,"&gt;0",Journal_ab_2019!C:C,"="&amp;"Ausgaben")</f>
        <v/>
      </c>
      <c r="O6" s="16">
        <f>SUMIFS(Journal_ab_2019!$Q:$Q,Journal_ab_2019!$G:$G,"&lt;=" &amp; $D6,Journal_ab_2019!$G:$G,"&gt;=" &amp;$C6,Journal_ab_2019!$V:$V,"=20",Journal_ab_2019!C:C,"="&amp;"Ausgaben")</f>
        <v/>
      </c>
    </row>
    <row r="7">
      <c r="A7" t="n">
        <v>2023</v>
      </c>
      <c r="B7" t="n">
        <v>6</v>
      </c>
      <c r="C7" s="1">
        <f>DATE(A7,B7,1)</f>
        <v/>
      </c>
      <c r="D7" s="1">
        <f>EOMONTH(C7,0)</f>
        <v/>
      </c>
      <c r="E7" s="1">
        <f>DATE(YEAR(EOMONTH(C7,2)),MONTH(EOMONTH(C7,2)),15)</f>
        <v/>
      </c>
      <c r="F7" s="227">
        <f>SUMIFS(Journal_ab_2019!P:P,Journal_ab_2019!G:G,"&lt;=" &amp; D7,Journal_ab_2019!G:G,"&gt;=" &amp;C7,Journal_ab_2019!C:C,"="&amp;"Einnahmen")</f>
        <v/>
      </c>
      <c r="G7" s="227">
        <f>SUMIFS(Journal_ab_2019!P:P,Journal_ab_2019!G:G,"&lt;=" &amp; D7,Journal_ab_2019!G:G,"&gt;=" &amp; C7,Journal_ab_2019!C:C,"="&amp;"Ausgaben")</f>
        <v/>
      </c>
      <c r="H7" s="227">
        <f>F7-G7</f>
        <v/>
      </c>
      <c r="I7" s="227">
        <f>SUMIFS(Journal_ab_2019!$Q:$Q,Journal_ab_2019!$G:$G,"&lt;=" &amp; $D7,Journal_ab_2019!$G:$G,"&gt;=" &amp;$C7,Journal_ab_2019!C:C,"="&amp;"Einnahmen")</f>
        <v/>
      </c>
      <c r="J7" s="16">
        <f>SUMIFS(Journal_ab_2019!$Q:$Q,Journal_ab_2019!$G:$G,"&lt;=" &amp; $D7,Journal_ab_2019!$G:$G,"&gt;=" &amp;$C7,Journal_ab_2019!C:C,"="&amp;"Einnahmen")</f>
        <v/>
      </c>
      <c r="K7" s="16">
        <f>SUMIFS(Journal_ab_2019!$Q:$Q,Journal_ab_2019!$G:$G,"&lt;=" &amp; $D7,Journal_ab_2019!$G:$G,"&gt;=" &amp;$C7,Journal_ab_2019!$N:$N,"=20",Journal_ab_2019!$C:$C,"="&amp;"Einnahmen")</f>
        <v/>
      </c>
      <c r="L7" s="16">
        <f>SUMIFS(Journal_ab_2019!$P:$P,Journal_ab_2019!$G:$G,"&lt;=" &amp;$D7,Journal_ab_2019!$G:$G,"&gt;=" &amp;$C7,Journal_ab_2019!$V:$V,"&lt;&gt;ja",Journal_ab_2019!C:C,"="&amp;"Ausgaben")</f>
        <v/>
      </c>
      <c r="M7" s="16">
        <f>SUMIFS(Journal_ab_2019!$X:$X,Journal_ab_2019!$G:$G,"&lt;=" &amp;$D7,Journal_ab_2019!$G:$G,"&gt;=" &amp;$C7,Journal_ab_2019!$V:$V,"&gt;0",Journal_ab_2019!C:C,"="&amp;"Ausgaben")</f>
        <v/>
      </c>
      <c r="N7" s="16">
        <f>SUMIFS(Journal_ab_2019!$Q:$Q,Journal_ab_2019!$G:$G,"&lt;=" &amp;$D7,Journal_ab_2019!$G:$G,"&gt;=" &amp;$C7,Journal_ab_2019!$V:$V,"&gt;0",Journal_ab_2019!C:C,"="&amp;"Ausgaben")</f>
        <v/>
      </c>
      <c r="O7" s="16">
        <f>SUMIFS(Journal_ab_2019!$Q:$Q,Journal_ab_2019!$G:$G,"&lt;=" &amp; $D7,Journal_ab_2019!$G:$G,"&gt;=" &amp;$C7,Journal_ab_2019!$V:$V,"=20",Journal_ab_2019!C:C,"="&amp;"Ausgaben")</f>
        <v/>
      </c>
    </row>
    <row r="8">
      <c r="A8" t="n">
        <v>2023</v>
      </c>
      <c r="B8" t="n">
        <v>7</v>
      </c>
      <c r="C8" s="1">
        <f>DATE(A8,B8,1)</f>
        <v/>
      </c>
      <c r="D8" s="1">
        <f>EOMONTH(C8,0)</f>
        <v/>
      </c>
      <c r="E8" s="1">
        <f>DATE(YEAR(EOMONTH(C8,2)),MONTH(EOMONTH(C8,2)),15)</f>
        <v/>
      </c>
      <c r="F8" s="227">
        <f>SUMIFS(Journal_ab_2019!P:P,Journal_ab_2019!G:G,"&lt;=" &amp; D8,Journal_ab_2019!G:G,"&gt;=" &amp;C8,Journal_ab_2019!C:C,"="&amp;"Einnahmen")</f>
        <v/>
      </c>
      <c r="G8" s="227">
        <f>SUMIFS(Journal_ab_2019!P:P,Journal_ab_2019!G:G,"&lt;=" &amp; D8,Journal_ab_2019!G:G,"&gt;=" &amp; C8,Journal_ab_2019!C:C,"="&amp;"Ausgaben")</f>
        <v/>
      </c>
      <c r="H8" s="227">
        <f>F8-G8</f>
        <v/>
      </c>
      <c r="I8" s="227">
        <f>SUMIFS(Journal_ab_2019!$Q:$Q,Journal_ab_2019!$G:$G,"&lt;=" &amp; $D8,Journal_ab_2019!$G:$G,"&gt;=" &amp;$C8,Journal_ab_2019!C:C,"="&amp;"Einnahmen")</f>
        <v/>
      </c>
      <c r="J8" s="16">
        <f>SUMIFS(Journal_ab_2019!$Q:$Q,Journal_ab_2019!$G:$G,"&lt;=" &amp; $D8,Journal_ab_2019!$G:$G,"&gt;=" &amp;$C8,Journal_ab_2019!C:C,"="&amp;"Einnahmen")</f>
        <v/>
      </c>
      <c r="K8" s="16">
        <f>SUMIFS(Journal_ab_2019!$Q:$Q,Journal_ab_2019!$G:$G,"&lt;=" &amp; $D8,Journal_ab_2019!$G:$G,"&gt;=" &amp;$C8,Journal_ab_2019!$N:$N,"=20",Journal_ab_2019!$C:$C,"="&amp;"Einnahmen")</f>
        <v/>
      </c>
      <c r="L8" s="16">
        <f>SUMIFS(Journal_ab_2019!$P:$P,Journal_ab_2019!$G:$G,"&lt;=" &amp;$D8,Journal_ab_2019!$G:$G,"&gt;=" &amp;$C8,Journal_ab_2019!$V:$V,"&lt;&gt;ja",Journal_ab_2019!C:C,"="&amp;"Ausgaben")</f>
        <v/>
      </c>
      <c r="M8" s="16">
        <f>SUMIFS(Journal_ab_2019!$X:$X,Journal_ab_2019!$G:$G,"&lt;=" &amp;$D8,Journal_ab_2019!$G:$G,"&gt;=" &amp;$C8,Journal_ab_2019!$V:$V,"&gt;0",Journal_ab_2019!C:C,"="&amp;"Ausgaben")</f>
        <v/>
      </c>
      <c r="N8" s="16">
        <f>SUMIFS(Journal_ab_2019!$Q:$Q,Journal_ab_2019!$G:$G,"&lt;=" &amp;$D8,Journal_ab_2019!$G:$G,"&gt;=" &amp;$C8,Journal_ab_2019!$V:$V,"&gt;0",Journal_ab_2019!C:C,"="&amp;"Ausgaben")</f>
        <v/>
      </c>
      <c r="O8" s="16">
        <f>SUMIFS(Journal_ab_2019!$Q:$Q,Journal_ab_2019!$G:$G,"&lt;=" &amp; $D8,Journal_ab_2019!$G:$G,"&gt;=" &amp;$C8,Journal_ab_2019!$V:$V,"=20",Journal_ab_2019!C:C,"="&amp;"Ausgaben")</f>
        <v/>
      </c>
    </row>
    <row r="9">
      <c r="A9" t="n">
        <v>2023</v>
      </c>
      <c r="B9" t="n">
        <v>8</v>
      </c>
      <c r="C9" s="1">
        <f>DATE(A9,B9,1)</f>
        <v/>
      </c>
      <c r="D9" s="1">
        <f>EOMONTH(C9,0)</f>
        <v/>
      </c>
      <c r="E9" s="1">
        <f>DATE(YEAR(EOMONTH(C9,2)),MONTH(EOMONTH(C9,2)),15)</f>
        <v/>
      </c>
      <c r="F9" s="227">
        <f>SUMIFS(Journal_ab_2019!P:P,Journal_ab_2019!G:G,"&lt;=" &amp; D9,Journal_ab_2019!G:G,"&gt;=" &amp;C9,Journal_ab_2019!C:C,"="&amp;"Einnahmen")</f>
        <v/>
      </c>
      <c r="G9" s="227">
        <f>SUMIFS(Journal_ab_2019!P:P,Journal_ab_2019!G:G,"&lt;=" &amp; D9,Journal_ab_2019!G:G,"&gt;=" &amp; C9,Journal_ab_2019!C:C,"="&amp;"Ausgaben")</f>
        <v/>
      </c>
      <c r="H9" s="227">
        <f>F9-G9</f>
        <v/>
      </c>
      <c r="I9" s="227">
        <f>SUMIFS(Journal_ab_2019!$Q:$Q,Journal_ab_2019!$G:$G,"&lt;=" &amp; $D9,Journal_ab_2019!$G:$G,"&gt;=" &amp;$C9,Journal_ab_2019!C:C,"="&amp;"Einnahmen")</f>
        <v/>
      </c>
      <c r="J9" s="16">
        <f>SUMIFS(Journal_ab_2019!$Q:$Q,Journal_ab_2019!$G:$G,"&lt;=" &amp; $D9,Journal_ab_2019!$G:$G,"&gt;=" &amp;$C9,Journal_ab_2019!C:C,"="&amp;"Einnahmen")</f>
        <v/>
      </c>
      <c r="K9" s="16">
        <f>SUMIFS(Journal_ab_2019!$Q:$Q,Journal_ab_2019!$G:$G,"&lt;=" &amp; $D9,Journal_ab_2019!$G:$G,"&gt;=" &amp;$C9,Journal_ab_2019!$N:$N,"=20",Journal_ab_2019!$C:$C,"="&amp;"Einnahmen")</f>
        <v/>
      </c>
      <c r="L9" s="16">
        <f>SUMIFS(Journal_ab_2019!$P:$P,Journal_ab_2019!$G:$G,"&lt;=" &amp;$D9,Journal_ab_2019!$G:$G,"&gt;=" &amp;$C9,Journal_ab_2019!$V:$V,"&lt;&gt;ja",Journal_ab_2019!C:C,"="&amp;"Ausgaben")</f>
        <v/>
      </c>
      <c r="M9" s="16">
        <f>SUMIFS(Journal_ab_2019!$X:$X,Journal_ab_2019!$G:$G,"&lt;=" &amp;$D9,Journal_ab_2019!$G:$G,"&gt;=" &amp;$C9,Journal_ab_2019!$V:$V,"&gt;0",Journal_ab_2019!C:C,"="&amp;"Ausgaben")</f>
        <v/>
      </c>
      <c r="N9" s="16">
        <f>SUMIFS(Journal_ab_2019!$Q:$Q,Journal_ab_2019!$G:$G,"&lt;=" &amp;$D9,Journal_ab_2019!$G:$G,"&gt;=" &amp;$C9,Journal_ab_2019!$V:$V,"&gt;0",Journal_ab_2019!C:C,"="&amp;"Ausgaben")</f>
        <v/>
      </c>
      <c r="O9" s="16">
        <f>SUMIFS(Journal_ab_2019!$Q:$Q,Journal_ab_2019!$G:$G,"&lt;=" &amp; $D9,Journal_ab_2019!$G:$G,"&gt;=" &amp;$C9,Journal_ab_2019!$V:$V,"=20",Journal_ab_2019!C:C,"="&amp;"Ausgaben")</f>
        <v/>
      </c>
    </row>
    <row r="10">
      <c r="A10" t="n">
        <v>2023</v>
      </c>
      <c r="B10" t="n">
        <v>9</v>
      </c>
      <c r="C10" s="1">
        <f>DATE(A10,B10,1)</f>
        <v/>
      </c>
      <c r="D10" s="1">
        <f>EOMONTH(C10,0)</f>
        <v/>
      </c>
      <c r="E10" s="1">
        <f>DATE(YEAR(EOMONTH(C10,2)),MONTH(EOMONTH(C10,2)),15)</f>
        <v/>
      </c>
      <c r="F10" s="227">
        <f>SUMIFS(Journal_ab_2019!P:P,Journal_ab_2019!G:G,"&lt;=" &amp; D10,Journal_ab_2019!G:G,"&gt;=" &amp;C10,Journal_ab_2019!C:C,"="&amp;"Einnahmen")</f>
        <v/>
      </c>
      <c r="G10" s="227">
        <f>SUMIFS(Journal_ab_2019!P:P,Journal_ab_2019!G:G,"&lt;=" &amp; D10,Journal_ab_2019!G:G,"&gt;=" &amp; C10,Journal_ab_2019!C:C,"="&amp;"Ausgaben")</f>
        <v/>
      </c>
      <c r="H10" s="227">
        <f>F10-G10</f>
        <v/>
      </c>
      <c r="I10" s="227">
        <f>SUMIFS(Journal_ab_2019!$Q:$Q,Journal_ab_2019!$G:$G,"&lt;=" &amp; $D10,Journal_ab_2019!$G:$G,"&gt;=" &amp;$C10,Journal_ab_2019!C:C,"="&amp;"Einnahmen")</f>
        <v/>
      </c>
      <c r="J10" s="16">
        <f>SUMIFS(Journal_ab_2019!$Q:$Q,Journal_ab_2019!$G:$G,"&lt;=" &amp; $D10,Journal_ab_2019!$G:$G,"&gt;=" &amp;$C10,Journal_ab_2019!C:C,"="&amp;"Einnahmen")</f>
        <v/>
      </c>
      <c r="K10" s="16">
        <f>SUMIFS(Journal_ab_2019!$Q:$Q,Journal_ab_2019!$G:$G,"&lt;=" &amp; $D10,Journal_ab_2019!$G:$G,"&gt;=" &amp;$C10,Journal_ab_2019!$N:$N,"=20",Journal_ab_2019!$C:$C,"="&amp;"Einnahmen")</f>
        <v/>
      </c>
      <c r="L10" s="16">
        <f>SUMIFS(Journal_ab_2019!$P:$P,Journal_ab_2019!$G:$G,"&lt;=" &amp;$D10,Journal_ab_2019!$G:$G,"&gt;=" &amp;$C10,Journal_ab_2019!$V:$V,"&lt;&gt;ja",Journal_ab_2019!C:C,"="&amp;"Ausgaben")</f>
        <v/>
      </c>
      <c r="M10" s="16">
        <f>SUMIFS(Journal_ab_2019!$X:$X,Journal_ab_2019!$G:$G,"&lt;=" &amp;$D10,Journal_ab_2019!$G:$G,"&gt;=" &amp;$C10,Journal_ab_2019!$V:$V,"&gt;0",Journal_ab_2019!C:C,"="&amp;"Ausgaben")</f>
        <v/>
      </c>
      <c r="N10" s="16">
        <f>SUMIFS(Journal_ab_2019!$Q:$Q,Journal_ab_2019!$G:$G,"&lt;=" &amp;$D10,Journal_ab_2019!$G:$G,"&gt;=" &amp;$C10,Journal_ab_2019!$V:$V,"&gt;0",Journal_ab_2019!C:C,"="&amp;"Ausgaben")</f>
        <v/>
      </c>
      <c r="O10" s="16">
        <f>SUMIFS(Journal_ab_2019!$Q:$Q,Journal_ab_2019!$G:$G,"&lt;=" &amp; $D10,Journal_ab_2019!$G:$G,"&gt;=" &amp;$C10,Journal_ab_2019!$V:$V,"=20",Journal_ab_2019!C:C,"="&amp;"Ausgaben")</f>
        <v/>
      </c>
    </row>
    <row r="11">
      <c r="A11" t="n">
        <v>2023</v>
      </c>
      <c r="B11" t="n">
        <v>10</v>
      </c>
      <c r="C11" s="1">
        <f>DATE(A11,B11,1)</f>
        <v/>
      </c>
      <c r="D11" s="1">
        <f>EOMONTH(C11,0)</f>
        <v/>
      </c>
      <c r="E11" s="1">
        <f>DATE(YEAR(EOMONTH(C11,2)),MONTH(EOMONTH(C11,2)),15)</f>
        <v/>
      </c>
      <c r="F11" s="227">
        <f>SUMIFS(Journal_ab_2019!P:P,Journal_ab_2019!G:G,"&lt;=" &amp; D11,Journal_ab_2019!G:G,"&gt;=" &amp;C11,Journal_ab_2019!C:C,"="&amp;"Einnahmen")</f>
        <v/>
      </c>
      <c r="G11" s="227">
        <f>SUMIFS(Journal_ab_2019!P:P,Journal_ab_2019!G:G,"&lt;=" &amp; D11,Journal_ab_2019!G:G,"&gt;=" &amp; C11,Journal_ab_2019!C:C,"="&amp;"Ausgaben")</f>
        <v/>
      </c>
      <c r="H11" s="227">
        <f>F11-G11</f>
        <v/>
      </c>
      <c r="I11" s="227">
        <f>SUMIFS(Journal_ab_2019!$Q:$Q,Journal_ab_2019!$G:$G,"&lt;=" &amp; $D11,Journal_ab_2019!$G:$G,"&gt;=" &amp;$C11,Journal_ab_2019!C:C,"="&amp;"Einnahmen")</f>
        <v/>
      </c>
      <c r="J11" s="16">
        <f>SUMIFS(Journal_ab_2019!$Q:$Q,Journal_ab_2019!$G:$G,"&lt;=" &amp; $D11,Journal_ab_2019!$G:$G,"&gt;=" &amp;$C11,Journal_ab_2019!C:C,"="&amp;"Einnahmen")</f>
        <v/>
      </c>
      <c r="K11" s="16">
        <f>SUMIFS(Journal_ab_2019!$Q:$Q,Journal_ab_2019!$G:$G,"&lt;=" &amp; $D11,Journal_ab_2019!$G:$G,"&gt;=" &amp;$C11,Journal_ab_2019!$N:$N,"=20",Journal_ab_2019!$C:$C,"="&amp;"Einnahmen")</f>
        <v/>
      </c>
      <c r="L11" s="16">
        <f>SUMIFS(Journal_ab_2019!$P:$P,Journal_ab_2019!$G:$G,"&lt;=" &amp;$D11,Journal_ab_2019!$G:$G,"&gt;=" &amp;$C11,Journal_ab_2019!$V:$V,"&lt;&gt;ja",Journal_ab_2019!C:C,"="&amp;"Ausgaben")</f>
        <v/>
      </c>
      <c r="M11" s="16">
        <f>SUMIFS(Journal_ab_2019!$X:$X,Journal_ab_2019!$G:$G,"&lt;=" &amp;$D11,Journal_ab_2019!$G:$G,"&gt;=" &amp;$C11,Journal_ab_2019!$V:$V,"&gt;0",Journal_ab_2019!C:C,"="&amp;"Ausgaben")</f>
        <v/>
      </c>
      <c r="N11" s="16">
        <f>SUMIFS(Journal_ab_2019!$Q:$Q,Journal_ab_2019!$G:$G,"&lt;=" &amp;$D11,Journal_ab_2019!$G:$G,"&gt;=" &amp;$C11,Journal_ab_2019!$V:$V,"&gt;0",Journal_ab_2019!C:C,"="&amp;"Ausgaben")</f>
        <v/>
      </c>
      <c r="O11" s="16">
        <f>SUMIFS(Journal_ab_2019!$Q:$Q,Journal_ab_2019!$G:$G,"&lt;=" &amp; $D11,Journal_ab_2019!$G:$G,"&gt;=" &amp;$C11,Journal_ab_2019!$V:$V,"=20",Journal_ab_2019!C:C,"="&amp;"Ausgaben")</f>
        <v/>
      </c>
    </row>
    <row r="12">
      <c r="A12" t="n">
        <v>2023</v>
      </c>
      <c r="B12" t="n">
        <v>11</v>
      </c>
      <c r="C12" s="1">
        <f>DATE(A12,B12,1)</f>
        <v/>
      </c>
      <c r="D12" s="1">
        <f>EOMONTH(C12,0)</f>
        <v/>
      </c>
      <c r="E12" s="1">
        <f>DATE(YEAR(EOMONTH(C12,2)),MONTH(EOMONTH(C12,2)),15)</f>
        <v/>
      </c>
      <c r="F12" s="227">
        <f>SUMIFS(Journal_ab_2019!P:P,Journal_ab_2019!G:G,"&lt;=" &amp; D12,Journal_ab_2019!G:G,"&gt;=" &amp;C12,Journal_ab_2019!C:C,"="&amp;"Einnahmen")</f>
        <v/>
      </c>
      <c r="G12" s="227">
        <f>SUMIFS(Journal_ab_2019!P:P,Journal_ab_2019!G:G,"&lt;=" &amp; D12,Journal_ab_2019!G:G,"&gt;=" &amp; C12,Journal_ab_2019!C:C,"="&amp;"Ausgaben")</f>
        <v/>
      </c>
      <c r="H12" s="227">
        <f>F12-G12</f>
        <v/>
      </c>
      <c r="I12" s="227">
        <f>SUMIFS(Journal_ab_2019!$Q:$Q,Journal_ab_2019!$G:$G,"&lt;=" &amp; $D12,Journal_ab_2019!$G:$G,"&gt;=" &amp;$C12,Journal_ab_2019!C:C,"="&amp;"Einnahmen")</f>
        <v/>
      </c>
      <c r="J12" s="16">
        <f>SUMIFS(Journal_ab_2019!$Q:$Q,Journal_ab_2019!$G:$G,"&lt;=" &amp; $D12,Journal_ab_2019!$G:$G,"&gt;=" &amp;$C12,Journal_ab_2019!C:C,"="&amp;"Einnahmen")</f>
        <v/>
      </c>
      <c r="K12" s="16">
        <f>SUMIFS(Journal_ab_2019!$Q:$Q,Journal_ab_2019!$G:$G,"&lt;=" &amp; $D12,Journal_ab_2019!$G:$G,"&gt;=" &amp;$C12,Journal_ab_2019!$N:$N,"=20",Journal_ab_2019!$C:$C,"="&amp;"Einnahmen")</f>
        <v/>
      </c>
      <c r="L12" s="16">
        <f>SUMIFS(Journal_ab_2019!$P:$P,Journal_ab_2019!$G:$G,"&lt;=" &amp;$D12,Journal_ab_2019!$G:$G,"&gt;=" &amp;$C12,Journal_ab_2019!$V:$V,"&lt;&gt;ja",Journal_ab_2019!C:C,"="&amp;"Ausgaben")</f>
        <v/>
      </c>
      <c r="M12" s="16">
        <f>SUMIFS(Journal_ab_2019!$X:$X,Journal_ab_2019!$G:$G,"&lt;=" &amp;$D12,Journal_ab_2019!$G:$G,"&gt;=" &amp;$C12,Journal_ab_2019!$V:$V,"&gt;0",Journal_ab_2019!C:C,"="&amp;"Ausgaben")</f>
        <v/>
      </c>
      <c r="N12" s="16">
        <f>SUMIFS(Journal_ab_2019!$Q:$Q,Journal_ab_2019!$G:$G,"&lt;=" &amp;$D12,Journal_ab_2019!$G:$G,"&gt;=" &amp;$C12,Journal_ab_2019!$V:$V,"&gt;0",Journal_ab_2019!C:C,"="&amp;"Ausgaben")</f>
        <v/>
      </c>
      <c r="O12" s="16">
        <f>SUMIFS(Journal_ab_2019!$Q:$Q,Journal_ab_2019!$G:$G,"&lt;=" &amp; $D12,Journal_ab_2019!$G:$G,"&gt;=" &amp;$C12,Journal_ab_2019!$V:$V,"=20",Journal_ab_2019!C:C,"="&amp;"Ausgaben")</f>
        <v/>
      </c>
    </row>
    <row r="13">
      <c r="A13" t="n">
        <v>2023</v>
      </c>
      <c r="B13" t="n">
        <v>12</v>
      </c>
      <c r="C13" s="1">
        <f>DATE(A13,B13,1)</f>
        <v/>
      </c>
      <c r="D13" s="1">
        <f>EOMONTH(C13,0)</f>
        <v/>
      </c>
      <c r="E13" s="1">
        <f>DATE(YEAR(EOMONTH(C13,2)),MONTH(EOMONTH(C13,2)),15)</f>
        <v/>
      </c>
      <c r="F13" s="227">
        <f>SUMIFS(Journal_ab_2019!P:P,Journal_ab_2019!G:G,"&lt;=" &amp; D13,Journal_ab_2019!G:G,"&gt;=" &amp;C13,Journal_ab_2019!C:C,"="&amp;"Einnahmen")</f>
        <v/>
      </c>
      <c r="G13" s="227">
        <f>SUMIFS(Journal_ab_2019!P:P,Journal_ab_2019!G:G,"&lt;=" &amp; D13,Journal_ab_2019!G:G,"&gt;=" &amp; C13,Journal_ab_2019!C:C,"="&amp;"Ausgaben")</f>
        <v/>
      </c>
      <c r="H13" s="227">
        <f>F13-G13</f>
        <v/>
      </c>
      <c r="I13" s="227">
        <f>SUMIFS(Journal_ab_2019!$Q:$Q,Journal_ab_2019!$G:$G,"&lt;=" &amp; $D13,Journal_ab_2019!$G:$G,"&gt;=" &amp;$C13,Journal_ab_2019!C:C,"="&amp;"Einnahmen")</f>
        <v/>
      </c>
      <c r="J13" s="16">
        <f>SUMIFS(Journal_ab_2019!$Q:$Q,Journal_ab_2019!$G:$G,"&lt;=" &amp; $D13,Journal_ab_2019!$G:$G,"&gt;=" &amp;$C13,Journal_ab_2019!C:C,"="&amp;"Einnahmen")</f>
        <v/>
      </c>
      <c r="K13" s="16">
        <f>SUMIFS(Journal_ab_2019!$Q:$Q,Journal_ab_2019!$G:$G,"&lt;=" &amp; $D13,Journal_ab_2019!$G:$G,"&gt;=" &amp;$C13,Journal_ab_2019!$N:$N,"=20",Journal_ab_2019!$C:$C,"="&amp;"Einnahmen")</f>
        <v/>
      </c>
      <c r="L13" s="16">
        <f>SUMIFS(Journal_ab_2019!$P:$P,Journal_ab_2019!$G:$G,"&lt;=" &amp;$D13,Journal_ab_2019!$G:$G,"&gt;=" &amp;$C13,Journal_ab_2019!$V:$V,"&lt;&gt;ja",Journal_ab_2019!C:C,"="&amp;"Ausgaben")</f>
        <v/>
      </c>
      <c r="M13" s="16">
        <f>SUMIFS(Journal_ab_2019!$X:$X,Journal_ab_2019!$G:$G,"&lt;=" &amp;$D13,Journal_ab_2019!$G:$G,"&gt;=" &amp;$C13,Journal_ab_2019!$V:$V,"&gt;0",Journal_ab_2019!C:C,"="&amp;"Ausgaben")</f>
        <v/>
      </c>
      <c r="N13" s="16">
        <f>SUMIFS(Journal_ab_2019!$Q:$Q,Journal_ab_2019!$G:$G,"&lt;=" &amp;$D13,Journal_ab_2019!$G:$G,"&gt;=" &amp;$C13,Journal_ab_2019!$V:$V,"&gt;0",Journal_ab_2019!C:C,"="&amp;"Ausgaben")</f>
        <v/>
      </c>
      <c r="O13" s="16">
        <f>SUMIFS(Journal_ab_2019!$Q:$Q,Journal_ab_2019!$G:$G,"&lt;=" &amp; $D13,Journal_ab_2019!$G:$G,"&gt;=" &amp;$C13,Journal_ab_2019!$V:$V,"=20",Journal_ab_2019!C:C,"="&amp;"Ausgaben")</f>
        <v/>
      </c>
    </row>
    <row r="14">
      <c r="A14" t="n">
        <v>2024</v>
      </c>
      <c r="B14" t="n">
        <v>1</v>
      </c>
      <c r="C14" s="1">
        <f>DATE(A14,B14,1)</f>
        <v/>
      </c>
      <c r="D14" s="1">
        <f>EOMONTH(C14,0)</f>
        <v/>
      </c>
      <c r="E14" s="1">
        <f>DATE(YEAR(EOMONTH(C14,2)),MONTH(EOMONTH(C14,2)),15)</f>
        <v/>
      </c>
      <c r="F14" s="227">
        <f>SUMIFS(Journal_ab_2024!$O:$O,Journal_ab_2024!$E:$E,"&lt;=" &amp; $D14,Journal_ab_2024!$E:$E,"&gt;=" &amp;$C14,Journal_ab_2024!$C:$C,"="&amp;"Einnahmen")</f>
        <v/>
      </c>
      <c r="G14" s="227">
        <f>SUMIFS(Journal_ab_2024!$O:$O,Journal_ab_2024!$E:$E,"&lt;=" &amp; $D14,Journal_ab_2024!$E:$E,"&gt;=" &amp;$C14,Journal_ab_2024!$C:$C,"="&amp;"Ausgaben")</f>
        <v/>
      </c>
      <c r="H14" s="227">
        <f>F14-G14</f>
        <v/>
      </c>
      <c r="I14" s="227">
        <f>SUMIFS(Journal_ab_2024!$Q:$Q,Journal_ab_2024!$E:$E,"&lt;=" &amp; $D14,Journal_ab_2024!$E:$E,"&gt;=" &amp;$C14,Journal_ab_2024!C:C,"="&amp;"Einnahmen",Journal_ab_2024!$D:$D,"Waren-/Leistungserlöse")</f>
        <v/>
      </c>
      <c r="J14" s="16">
        <f>SUMIFS(Journal_ab_2024!$Q:$Q,Journal_ab_2024!$E:$E,"&lt;=" &amp; $D14,Journal_ab_2024!$E:$E,"&gt;=" &amp;$C14,Journal_ab_2024!C:C,"="&amp;"Einnahmen",Journal_ab_2024!D:D,"Waren-/Leistungserlöse")</f>
        <v/>
      </c>
      <c r="K14" s="16">
        <f>SUMIFS(Journal_ab_2024!$Q:$Q,Journal_ab_2024!$E:$E,"&lt;=" &amp; $D14,Journal_ab_2024!$E:$E,"&gt;=" &amp;$C14,Journal_ab_2024!$M:$M,"=20%",Journal_ab_2024!$C:$C,"="&amp;"Einnahmen")</f>
        <v/>
      </c>
      <c r="L14" s="16">
        <f>SUMIFS(Journal_ab_2024!$O:$O,Journal_ab_2024!$E:$E,"&lt;=" &amp;$D14,Journal_ab_2024!$E:$E,"&gt;=" &amp;$C14,Journal_ab_2024!$S:$S,"&lt;&gt;ja",Journal_ab_2024!C:C,"="&amp;"Ausgaben")</f>
        <v/>
      </c>
      <c r="M14" s="16">
        <f>SUMIFS(Journal_ab_2024!$U:$U,Journal_ab_2024!$E:$E,"&lt;=" &amp;$D14,Journal_ab_2024!$E:$E,"&gt;=" &amp;$C14,Journal_ab_2024!$S:$S,"&gt;0",Journal_ab_2024!C:C,"="&amp;"Ausgaben")</f>
        <v/>
      </c>
      <c r="N14" s="16">
        <f>SUMIFS(Journal_ab_2024!$Q:$Q,Journal_ab_2024!$E:$E,"&lt;=" &amp;$D14,Journal_ab_2024!$E:$E,"&gt;=" &amp;$C14,Journal_ab_2024!$S:$S,"&gt;0",Journal_ab_2024!C:C,"="&amp;"Ausgaben")</f>
        <v/>
      </c>
      <c r="O14" s="16">
        <f>SUMIFS(Journal_ab_2024!$Q:$Q,Journal_ab_2024!$E:$E,"&lt;=" &amp; $D14,Journal_ab_2024!$E:$E,"&gt;=" &amp;$C14,Journal_ab_2024!$S:$S,"=20",Journal_ab_2024!C:C,"="&amp;"Ausgaben")</f>
        <v/>
      </c>
      <c r="Q14" s="193" t="inlineStr">
        <is>
          <t>Achtung, ab 2024 anderes Journalformat)</t>
        </is>
      </c>
    </row>
    <row r="15">
      <c r="A15" t="n">
        <v>2024</v>
      </c>
      <c r="B15" t="n">
        <v>2</v>
      </c>
      <c r="C15" s="1">
        <f>DATE(A15,B15,1)</f>
        <v/>
      </c>
      <c r="D15" s="1">
        <f>EOMONTH(C15,0)</f>
        <v/>
      </c>
      <c r="E15" s="1">
        <f>DATE(YEAR(EOMONTH(C15,2)),MONTH(EOMONTH(C15,2)),15)</f>
        <v/>
      </c>
      <c r="F15" s="227">
        <f>SUMIFS(Journal_ab_2024!$O:$O,Journal_ab_2024!$E:$E,"&lt;=" &amp; $D15,Journal_ab_2024!$E:$E,"&gt;=" &amp;$C15,Journal_ab_2024!$C:$C,"="&amp;"Einnahmen")</f>
        <v/>
      </c>
      <c r="G15" s="227">
        <f>SUMIFS(Journal_ab_2024!$O:$O,Journal_ab_2024!$E:$E,"&lt;=" &amp; $D15,Journal_ab_2024!$E:$E,"&gt;=" &amp;$C15,Journal_ab_2024!$C:$C,"="&amp;"Ausgaben")</f>
        <v/>
      </c>
      <c r="H15" s="227">
        <f>F15-G15</f>
        <v/>
      </c>
      <c r="I15" s="227">
        <f>SUMIFS(Journal_ab_2024!$Q:$Q,Journal_ab_2024!$E:$E,"&lt;=" &amp; $D15,Journal_ab_2024!$E:$E,"&gt;=" &amp;$C15,Journal_ab_2024!C:C,"="&amp;"Einnahmen",Journal_ab_2024!$D:$D,"Waren-/Leistungserlöse")</f>
        <v/>
      </c>
      <c r="J15" s="16">
        <f>SUMIFS(Journal_ab_2024!$Q:$Q,Journal_ab_2024!$E:$E,"&lt;=" &amp; $D15,Journal_ab_2024!$E:$E,"&gt;=" &amp;$C15,Journal_ab_2024!C:C,"="&amp;"Einnahmen",Journal_ab_2024!D:D,"Waren-/Leistungserlöse")</f>
        <v/>
      </c>
      <c r="K15" s="16">
        <f>SUMIFS(Journal_ab_2024!$Q:$Q,Journal_ab_2024!$E:$E,"&lt;=" &amp; $D15,Journal_ab_2024!$E:$E,"&gt;=" &amp;$C15,Journal_ab_2024!$M:$M,"=20%",Journal_ab_2024!$C:$C,"="&amp;"Einnahmen")</f>
        <v/>
      </c>
      <c r="L15" s="16">
        <f>SUMIFS(Journal_ab_2024!$O:$O,Journal_ab_2024!$E:$E,"&lt;=" &amp;$D15,Journal_ab_2024!$E:$E,"&gt;=" &amp;$C15,Journal_ab_2024!$S:$S,"&lt;&gt;ja",Journal_ab_2024!C:C,"="&amp;"Ausgaben")</f>
        <v/>
      </c>
      <c r="M15" s="16">
        <f>SUMIFS(Journal_ab_2024!$U:$U,Journal_ab_2024!$E:$E,"&lt;=" &amp;$D15,Journal_ab_2024!$E:$E,"&gt;=" &amp;$C15,Journal_ab_2024!$S:$S,"&gt;0",Journal_ab_2024!C:C,"="&amp;"Ausgaben")</f>
        <v/>
      </c>
      <c r="N15" s="16">
        <f>SUMIFS(Journal_ab_2024!$Q:$Q,Journal_ab_2024!$E:$E,"&lt;=" &amp;$D15,Journal_ab_2024!$E:$E,"&gt;=" &amp;$C15,Journal_ab_2024!$S:$S,"&gt;0",Journal_ab_2024!C:C,"="&amp;"Ausgaben")</f>
        <v/>
      </c>
      <c r="O15" s="16">
        <f>SUMIFS(Journal_ab_2024!$Q:$Q,Journal_ab_2024!$E:$E,"&lt;=" &amp; $D15,Journal_ab_2024!$E:$E,"&gt;=" &amp;$C15,Journal_ab_2024!$S:$S,"=20",Journal_ab_2024!C:C,"="&amp;"Ausgaben")</f>
        <v/>
      </c>
      <c r="Q15" s="193" t="inlineStr">
        <is>
          <t>Achtung, ab 2024 anderes Journalformat)</t>
        </is>
      </c>
    </row>
    <row r="16">
      <c r="A16" t="n">
        <v>2024</v>
      </c>
      <c r="B16" t="n">
        <v>3</v>
      </c>
      <c r="C16" s="1">
        <f>DATE(A16,B16,1)</f>
        <v/>
      </c>
      <c r="D16" s="1">
        <f>EOMONTH(C16,0)</f>
        <v/>
      </c>
      <c r="E16" s="1">
        <f>DATE(YEAR(EOMONTH(C16,2)),MONTH(EOMONTH(C16,2)),15)</f>
        <v/>
      </c>
      <c r="F16" s="227">
        <f>SUMIFS(Journal_ab_2024!$O:$O,Journal_ab_2024!$E:$E,"&lt;=" &amp; $D16,Journal_ab_2024!$E:$E,"&gt;=" &amp;$C16,Journal_ab_2024!$C:$C,"="&amp;"Einnahmen")</f>
        <v/>
      </c>
      <c r="G16" s="227">
        <f>SUMIFS(Journal_ab_2024!$O:$O,Journal_ab_2024!$E:$E,"&lt;=" &amp; $D16,Journal_ab_2024!$E:$E,"&gt;=" &amp;$C16,Journal_ab_2024!$C:$C,"="&amp;"Ausgaben")</f>
        <v/>
      </c>
      <c r="H16" s="227">
        <f>F16-G16</f>
        <v/>
      </c>
      <c r="I16" s="227">
        <f>SUMIFS(Journal_ab_2024!$Q:$Q,Journal_ab_2024!$E:$E,"&lt;=" &amp; $D16,Journal_ab_2024!$E:$E,"&gt;=" &amp;$C16,Journal_ab_2024!C:C,"="&amp;"Einnahmen",Journal_ab_2024!$D:$D,"Waren-/Leistungserlöse")</f>
        <v/>
      </c>
      <c r="J16" s="16">
        <f>SUMIFS(Journal_ab_2024!$Q:$Q,Journal_ab_2024!$E:$E,"&lt;=" &amp; $D16,Journal_ab_2024!$E:$E,"&gt;=" &amp;$C16,Journal_ab_2024!C:C,"="&amp;"Einnahmen",Journal_ab_2024!D:D,"Waren-/Leistungserlöse")</f>
        <v/>
      </c>
      <c r="K16" s="16">
        <f>SUMIFS(Journal_ab_2024!$Q:$Q,Journal_ab_2024!$E:$E,"&lt;=" &amp; $D16,Journal_ab_2024!$E:$E,"&gt;=" &amp;$C16,Journal_ab_2024!$M:$M,"=20%",Journal_ab_2024!$C:$C,"="&amp;"Einnahmen")</f>
        <v/>
      </c>
      <c r="L16" s="16">
        <f>SUMIFS(Journal_ab_2024!$O:$O,Journal_ab_2024!$E:$E,"&lt;=" &amp;$D16,Journal_ab_2024!$E:$E,"&gt;=" &amp;$C16,Journal_ab_2024!$S:$S,"&lt;&gt;ja",Journal_ab_2024!C:C,"="&amp;"Ausgaben")</f>
        <v/>
      </c>
      <c r="M16" s="16">
        <f>SUMIFS(Journal_ab_2024!$U:$U,Journal_ab_2024!$E:$E,"&lt;=" &amp;$D16,Journal_ab_2024!$E:$E,"&gt;=" &amp;$C16,Journal_ab_2024!$S:$S,"&gt;0",Journal_ab_2024!C:C,"="&amp;"Ausgaben")</f>
        <v/>
      </c>
      <c r="N16" s="16">
        <f>SUMIFS(Journal_ab_2024!$Q:$Q,Journal_ab_2024!$E:$E,"&lt;=" &amp;$D16,Journal_ab_2024!$E:$E,"&gt;=" &amp;$C16,Journal_ab_2024!$S:$S,"&gt;0",Journal_ab_2024!C:C,"="&amp;"Ausgaben")</f>
        <v/>
      </c>
      <c r="O16" s="16">
        <f>SUMIFS(Journal_ab_2024!$Q:$Q,Journal_ab_2024!$E:$E,"&lt;=" &amp; $D16,Journal_ab_2024!$E:$E,"&gt;=" &amp;$C16,Journal_ab_2024!$S:$S,"=20",Journal_ab_2024!C:C,"="&amp;"Ausgaben")</f>
        <v/>
      </c>
    </row>
    <row r="17">
      <c r="A17" t="n">
        <v>2024</v>
      </c>
      <c r="B17" t="n">
        <v>4</v>
      </c>
      <c r="C17" s="1">
        <f>DATE(A17,B17,1)</f>
        <v/>
      </c>
      <c r="D17" s="1">
        <f>EOMONTH(C17,0)</f>
        <v/>
      </c>
      <c r="E17" s="1">
        <f>DATE(YEAR(EOMONTH(C17,2)),MONTH(EOMONTH(C17,2)),15)</f>
        <v/>
      </c>
      <c r="F17" s="227">
        <f>SUMIFS(Journal_ab_2024!$O:$O,Journal_ab_2024!$E:$E,"&lt;=" &amp; $D17,Journal_ab_2024!$E:$E,"&gt;=" &amp;$C17,Journal_ab_2024!$C:$C,"="&amp;"Einnahmen")</f>
        <v/>
      </c>
      <c r="G17" s="227">
        <f>SUMIFS(Journal_ab_2024!$O:$O,Journal_ab_2024!$E:$E,"&lt;=" &amp; $D17,Journal_ab_2024!$E:$E,"&gt;=" &amp;$C17,Journal_ab_2024!$C:$C,"="&amp;"Ausgaben")</f>
        <v/>
      </c>
      <c r="H17" s="227">
        <f>F17-G17</f>
        <v/>
      </c>
      <c r="I17" s="227">
        <f>SUMIFS(Journal_ab_2024!$Q:$Q,Journal_ab_2024!$E:$E,"&lt;=" &amp; $D17,Journal_ab_2024!$E:$E,"&gt;=" &amp;$C17,Journal_ab_2024!C:C,"="&amp;"Einnahmen",Journal_ab_2024!$D:$D,"Waren-/Leistungserlöse")</f>
        <v/>
      </c>
      <c r="J17" s="16">
        <f>SUMIFS(Journal_ab_2024!$Q:$Q,Journal_ab_2024!$E:$E,"&lt;=" &amp; $D17,Journal_ab_2024!$E:$E,"&gt;=" &amp;$C17,Journal_ab_2024!C:C,"="&amp;"Einnahmen",Journal_ab_2024!D:D,"Waren-/Leistungserlöse")</f>
        <v/>
      </c>
      <c r="K17" s="16">
        <f>SUMIFS(Journal_ab_2024!$Q:$Q,Journal_ab_2024!$E:$E,"&lt;=" &amp; $D17,Journal_ab_2024!$E:$E,"&gt;=" &amp;$C17,Journal_ab_2024!$M:$M,"=20%",Journal_ab_2024!$C:$C,"="&amp;"Einnahmen")</f>
        <v/>
      </c>
      <c r="L17" s="16">
        <f>SUMIFS(Journal_ab_2024!$O:$O,Journal_ab_2024!$E:$E,"&lt;=" &amp;$D17,Journal_ab_2024!$E:$E,"&gt;=" &amp;$C17,Journal_ab_2024!$S:$S,"&lt;&gt;ja",Journal_ab_2024!C:C,"="&amp;"Ausgaben")</f>
        <v/>
      </c>
      <c r="M17" s="16">
        <f>SUMIFS(Journal_ab_2024!$U:$U,Journal_ab_2024!$E:$E,"&lt;=" &amp;$D17,Journal_ab_2024!$E:$E,"&gt;=" &amp;$C17,Journal_ab_2024!$S:$S,"&gt;0",Journal_ab_2024!C:C,"="&amp;"Ausgaben")</f>
        <v/>
      </c>
      <c r="N17" s="16">
        <f>SUMIFS(Journal_ab_2024!$Q:$Q,Journal_ab_2024!$E:$E,"&lt;=" &amp;$D17,Journal_ab_2024!$E:$E,"&gt;=" &amp;$C17,Journal_ab_2024!$S:$S,"&gt;0",Journal_ab_2024!C:C,"="&amp;"Ausgaben")</f>
        <v/>
      </c>
      <c r="O17" s="16">
        <f>SUMIFS(Journal_ab_2024!$Q:$Q,Journal_ab_2024!$E:$E,"&lt;=" &amp; $D17,Journal_ab_2024!$E:$E,"&gt;=" &amp;$C17,Journal_ab_2024!$S:$S,"=20",Journal_ab_2024!C:C,"="&amp;"Ausgaben")</f>
        <v/>
      </c>
    </row>
    <row r="18">
      <c r="A18" t="n">
        <v>2024</v>
      </c>
      <c r="B18" t="n">
        <v>5</v>
      </c>
      <c r="C18" s="1">
        <f>DATE(A18,B18,1)</f>
        <v/>
      </c>
      <c r="D18" s="1">
        <f>EOMONTH(C18,0)</f>
        <v/>
      </c>
      <c r="E18" s="1">
        <f>DATE(YEAR(EOMONTH(C18,2)),MONTH(EOMONTH(C18,2)),15)</f>
        <v/>
      </c>
      <c r="F18" s="227">
        <f>SUMIFS(Journal_ab_2024!$O:$O,Journal_ab_2024!$E:$E,"&lt;=" &amp; $D18,Journal_ab_2024!$E:$E,"&gt;=" &amp;$C18,Journal_ab_2024!$C:$C,"="&amp;"Einnahmen")</f>
        <v/>
      </c>
      <c r="G18" s="227">
        <f>SUMIFS(Journal_ab_2024!$O:$O,Journal_ab_2024!$E:$E,"&lt;=" &amp; $D18,Journal_ab_2024!$E:$E,"&gt;=" &amp;$C18,Journal_ab_2024!$C:$C,"="&amp;"Ausgaben")</f>
        <v/>
      </c>
      <c r="H18" s="227">
        <f>F18-G18</f>
        <v/>
      </c>
      <c r="I18" s="227">
        <f>SUMIFS(Journal_ab_2024!$Q:$Q,Journal_ab_2024!$E:$E,"&lt;=" &amp; $D18,Journal_ab_2024!$E:$E,"&gt;=" &amp;$C18,Journal_ab_2024!C:C,"="&amp;"Einnahmen",Journal_ab_2024!$D:$D,"Waren-/Leistungserlöse")</f>
        <v/>
      </c>
      <c r="J18" s="16">
        <f>SUMIFS(Journal_ab_2024!$Q:$Q,Journal_ab_2024!$E:$E,"&lt;=" &amp; $D18,Journal_ab_2024!$E:$E,"&gt;=" &amp;$C18,Journal_ab_2024!C:C,"="&amp;"Einnahmen",Journal_ab_2024!D:D,"Waren-/Leistungserlöse")</f>
        <v/>
      </c>
      <c r="K18" s="16">
        <f>SUMIFS(Journal_ab_2024!$Q:$Q,Journal_ab_2024!$E:$E,"&lt;=" &amp; $D18,Journal_ab_2024!$E:$E,"&gt;=" &amp;$C18,Journal_ab_2024!$M:$M,"=20%",Journal_ab_2024!$C:$C,"="&amp;"Einnahmen")</f>
        <v/>
      </c>
      <c r="L18" s="16">
        <f>SUMIFS(Journal_ab_2024!$O:$O,Journal_ab_2024!$E:$E,"&lt;=" &amp;$D18,Journal_ab_2024!$E:$E,"&gt;=" &amp;$C18,Journal_ab_2024!$S:$S,"&lt;&gt;ja",Journal_ab_2024!C:C,"="&amp;"Ausgaben")</f>
        <v/>
      </c>
      <c r="M18" s="16">
        <f>SUMIFS(Journal_ab_2024!$U:$U,Journal_ab_2024!$E:$E,"&lt;=" &amp;$D18,Journal_ab_2024!$E:$E,"&gt;=" &amp;$C18,Journal_ab_2024!$S:$S,"&gt;0",Journal_ab_2024!C:C,"="&amp;"Ausgaben")</f>
        <v/>
      </c>
      <c r="N18" s="16">
        <f>SUMIFS(Journal_ab_2024!$Q:$Q,Journal_ab_2024!$E:$E,"&lt;=" &amp;$D18,Journal_ab_2024!$E:$E,"&gt;=" &amp;$C18,Journal_ab_2024!$S:$S,"&gt;0",Journal_ab_2024!C:C,"="&amp;"Ausgaben")</f>
        <v/>
      </c>
      <c r="O18" s="16">
        <f>SUMIFS(Journal_ab_2024!$Q:$Q,Journal_ab_2024!$E:$E,"&lt;=" &amp; $D18,Journal_ab_2024!$E:$E,"&gt;=" &amp;$C18,Journal_ab_2024!$S:$S,"=20",Journal_ab_2024!C:C,"="&amp;"Ausgaben")</f>
        <v/>
      </c>
    </row>
    <row r="19">
      <c r="A19" t="n">
        <v>2024</v>
      </c>
      <c r="B19" t="n">
        <v>6</v>
      </c>
      <c r="C19" s="1">
        <f>DATE(A19,B19,1)</f>
        <v/>
      </c>
      <c r="D19" s="1">
        <f>EOMONTH(C19,0)</f>
        <v/>
      </c>
      <c r="E19" s="1">
        <f>DATE(YEAR(EOMONTH(C19,2)),MONTH(EOMONTH(C19,2)),15)</f>
        <v/>
      </c>
      <c r="F19" s="227">
        <f>SUMIFS(Journal_ab_2024!$O:$O,Journal_ab_2024!$E:$E,"&lt;=" &amp; $D19,Journal_ab_2024!$E:$E,"&gt;=" &amp;$C19,Journal_ab_2024!$C:$C,"="&amp;"Einnahmen")</f>
        <v/>
      </c>
      <c r="G19" s="227">
        <f>SUMIFS(Journal_ab_2024!$O:$O,Journal_ab_2024!$E:$E,"&lt;=" &amp; $D19,Journal_ab_2024!$E:$E,"&gt;=" &amp;$C19,Journal_ab_2024!$C:$C,"="&amp;"Ausgaben")</f>
        <v/>
      </c>
      <c r="H19" s="227">
        <f>F19-G19</f>
        <v/>
      </c>
      <c r="I19" s="227">
        <f>SUMIFS(Journal_ab_2024!$Q:$Q,Journal_ab_2024!$E:$E,"&lt;=" &amp; $D19,Journal_ab_2024!$E:$E,"&gt;=" &amp;$C19,Journal_ab_2024!C:C,"="&amp;"Einnahmen",Journal_ab_2024!$D:$D,"Waren-/Leistungserlöse")</f>
        <v/>
      </c>
      <c r="J19" s="16">
        <f>SUMIFS(Journal_ab_2024!$Q:$Q,Journal_ab_2024!$E:$E,"&lt;=" &amp; $D19,Journal_ab_2024!$E:$E,"&gt;=" &amp;$C19,Journal_ab_2024!C:C,"="&amp;"Einnahmen",Journal_ab_2024!D:D,"Waren-/Leistungserlöse")</f>
        <v/>
      </c>
      <c r="K19" s="16">
        <f>SUMIFS(Journal_ab_2024!$Q:$Q,Journal_ab_2024!$E:$E,"&lt;=" &amp; $D19,Journal_ab_2024!$E:$E,"&gt;=" &amp;$C19,Journal_ab_2024!$M:$M,"=20%",Journal_ab_2024!$C:$C,"="&amp;"Einnahmen")</f>
        <v/>
      </c>
      <c r="L19" s="16">
        <f>SUMIFS(Journal_ab_2024!$O:$O,Journal_ab_2024!$E:$E,"&lt;=" &amp;$D19,Journal_ab_2024!$E:$E,"&gt;=" &amp;$C19,Journal_ab_2024!$S:$S,"&lt;&gt;ja",Journal_ab_2024!C:C,"="&amp;"Ausgaben")</f>
        <v/>
      </c>
      <c r="M19" s="16">
        <f>SUMIFS(Journal_ab_2024!$U:$U,Journal_ab_2024!$E:$E,"&lt;=" &amp;$D19,Journal_ab_2024!$E:$E,"&gt;=" &amp;$C19,Journal_ab_2024!$S:$S,"&gt;0",Journal_ab_2024!C:C,"="&amp;"Ausgaben")</f>
        <v/>
      </c>
      <c r="N19" s="16">
        <f>SUMIFS(Journal_ab_2024!$Q:$Q,Journal_ab_2024!$E:$E,"&lt;=" &amp;$D19,Journal_ab_2024!$E:$E,"&gt;=" &amp;$C19,Journal_ab_2024!$S:$S,"&gt;0",Journal_ab_2024!C:C,"="&amp;"Ausgaben")</f>
        <v/>
      </c>
      <c r="O19" s="16">
        <f>SUMIFS(Journal_ab_2024!$Q:$Q,Journal_ab_2024!$E:$E,"&lt;=" &amp; $D19,Journal_ab_2024!$E:$E,"&gt;=" &amp;$C19,Journal_ab_2024!$S:$S,"=20",Journal_ab_2024!C:C,"="&amp;"Ausgaben")</f>
        <v/>
      </c>
    </row>
    <row r="20">
      <c r="A20" t="n">
        <v>2024</v>
      </c>
      <c r="B20" t="n">
        <v>7</v>
      </c>
      <c r="C20" s="1">
        <f>DATE(A20,B20,1)</f>
        <v/>
      </c>
      <c r="D20" s="1">
        <f>EOMONTH(C20,0)</f>
        <v/>
      </c>
      <c r="E20" s="1">
        <f>DATE(YEAR(EOMONTH(C20,2)),MONTH(EOMONTH(C20,2)),15)</f>
        <v/>
      </c>
      <c r="F20" s="227">
        <f>SUMIFS(Journal_ab_2024!$O:$O,Journal_ab_2024!$E:$E,"&lt;=" &amp; $D20,Journal_ab_2024!$E:$E,"&gt;=" &amp;$C20,Journal_ab_2024!$C:$C,"="&amp;"Einnahmen")</f>
        <v/>
      </c>
      <c r="G20" s="227">
        <f>SUMIFS(Journal_ab_2024!$O:$O,Journal_ab_2024!$E:$E,"&lt;=" &amp; $D20,Journal_ab_2024!$E:$E,"&gt;=" &amp;$C20,Journal_ab_2024!$C:$C,"="&amp;"Ausgaben")</f>
        <v/>
      </c>
      <c r="H20" s="227">
        <f>F20-G20</f>
        <v/>
      </c>
      <c r="I20" s="227">
        <f>SUMIFS(Journal_ab_2024!$Q:$Q,Journal_ab_2024!$E:$E,"&lt;=" &amp; $D20,Journal_ab_2024!$E:$E,"&gt;=" &amp;$C20,Journal_ab_2024!C:C,"="&amp;"Einnahmen",Journal_ab_2024!$D:$D,"Waren-/Leistungserlöse")</f>
        <v/>
      </c>
      <c r="J20" s="16">
        <f>SUMIFS(Journal_ab_2024!$Q:$Q,Journal_ab_2024!$E:$E,"&lt;=" &amp; $D20,Journal_ab_2024!$E:$E,"&gt;=" &amp;$C20,Journal_ab_2024!C:C,"="&amp;"Einnahmen",Journal_ab_2024!D:D,"Waren-/Leistungserlöse")</f>
        <v/>
      </c>
      <c r="K20" s="16">
        <f>SUMIFS(Journal_ab_2024!$Q:$Q,Journal_ab_2024!$E:$E,"&lt;=" &amp; $D20,Journal_ab_2024!$E:$E,"&gt;=" &amp;$C20,Journal_ab_2024!$M:$M,"=20%",Journal_ab_2024!$C:$C,"="&amp;"Einnahmen")</f>
        <v/>
      </c>
      <c r="L20" s="16">
        <f>SUMIFS(Journal_ab_2024!$O:$O,Journal_ab_2024!$E:$E,"&lt;=" &amp;$D20,Journal_ab_2024!$E:$E,"&gt;=" &amp;$C20,Journal_ab_2024!$S:$S,"&lt;&gt;ja",Journal_ab_2024!C:C,"="&amp;"Ausgaben")</f>
        <v/>
      </c>
      <c r="M20" s="16">
        <f>SUMIFS(Journal_ab_2024!$U:$U,Journal_ab_2024!$E:$E,"&lt;=" &amp;$D20,Journal_ab_2024!$E:$E,"&gt;=" &amp;$C20,Journal_ab_2024!$S:$S,"&gt;0",Journal_ab_2024!C:C,"="&amp;"Ausgaben")</f>
        <v/>
      </c>
      <c r="N20" s="16">
        <f>SUMIFS(Journal_ab_2024!$Q:$Q,Journal_ab_2024!$E:$E,"&lt;=" &amp;$D20,Journal_ab_2024!$E:$E,"&gt;=" &amp;$C20,Journal_ab_2024!$S:$S,"&gt;0",Journal_ab_2024!C:C,"="&amp;"Ausgaben")</f>
        <v/>
      </c>
      <c r="O20" s="16">
        <f>SUMIFS(Journal_ab_2024!$Q:$Q,Journal_ab_2024!$E:$E,"&lt;=" &amp; $D20,Journal_ab_2024!$E:$E,"&gt;=" &amp;$C20,Journal_ab_2024!$S:$S,"=20",Journal_ab_2024!C:C,"="&amp;"Ausgaben")</f>
        <v/>
      </c>
    </row>
    <row r="21">
      <c r="A21" t="n">
        <v>2024</v>
      </c>
      <c r="B21" t="n">
        <v>8</v>
      </c>
      <c r="C21" s="1">
        <f>DATE(A21,B21,1)</f>
        <v/>
      </c>
      <c r="D21" s="1">
        <f>EOMONTH(C21,0)</f>
        <v/>
      </c>
      <c r="E21" s="1">
        <f>DATE(YEAR(EOMONTH(C21,2)),MONTH(EOMONTH(C21,2)),15)</f>
        <v/>
      </c>
      <c r="F21" s="227">
        <f>SUMIFS(Journal_ab_2024!$O:$O,Journal_ab_2024!$E:$E,"&lt;=" &amp; $D21,Journal_ab_2024!$E:$E,"&gt;=" &amp;$C21,Journal_ab_2024!$C:$C,"="&amp;"Einnahmen")</f>
        <v/>
      </c>
      <c r="G21" s="227">
        <f>SUMIFS(Journal_ab_2024!$O:$O,Journal_ab_2024!$E:$E,"&lt;=" &amp; $D21,Journal_ab_2024!$E:$E,"&gt;=" &amp;$C21,Journal_ab_2024!$C:$C,"="&amp;"Ausgaben")</f>
        <v/>
      </c>
      <c r="H21" s="227">
        <f>F21-G21</f>
        <v/>
      </c>
      <c r="I21" s="227">
        <f>SUMIFS(Journal_ab_2024!$Q:$Q,Journal_ab_2024!$E:$E,"&lt;=" &amp; $D21,Journal_ab_2024!$E:$E,"&gt;=" &amp;$C21,Journal_ab_2024!C:C,"="&amp;"Einnahmen",Journal_ab_2024!$D:$D,"Waren-/Leistungserlöse")</f>
        <v/>
      </c>
      <c r="J21" s="16">
        <f>SUMIFS(Journal_ab_2024!$Q:$Q,Journal_ab_2024!$E:$E,"&lt;=" &amp; $D21,Journal_ab_2024!$E:$E,"&gt;=" &amp;$C21,Journal_ab_2024!C:C,"="&amp;"Einnahmen",Journal_ab_2024!D:D,"Waren-/Leistungserlöse")</f>
        <v/>
      </c>
      <c r="K21" s="16">
        <f>SUMIFS(Journal_ab_2024!$Q:$Q,Journal_ab_2024!$E:$E,"&lt;=" &amp; $D21,Journal_ab_2024!$E:$E,"&gt;=" &amp;$C21,Journal_ab_2024!$M:$M,"=20%",Journal_ab_2024!$C:$C,"="&amp;"Einnahmen")</f>
        <v/>
      </c>
      <c r="L21" s="16">
        <f>SUMIFS(Journal_ab_2024!$O:$O,Journal_ab_2024!$E:$E,"&lt;=" &amp;$D21,Journal_ab_2024!$E:$E,"&gt;=" &amp;$C21,Journal_ab_2024!$S:$S,"&lt;&gt;ja",Journal_ab_2024!C:C,"="&amp;"Ausgaben")</f>
        <v/>
      </c>
      <c r="M21" s="16">
        <f>SUMIFS(Journal_ab_2024!$U:$U,Journal_ab_2024!$E:$E,"&lt;=" &amp;$D21,Journal_ab_2024!$E:$E,"&gt;=" &amp;$C21,Journal_ab_2024!$S:$S,"&gt;0",Journal_ab_2024!C:C,"="&amp;"Ausgaben")</f>
        <v/>
      </c>
      <c r="N21" s="16">
        <f>SUMIFS(Journal_ab_2024!$Q:$Q,Journal_ab_2024!$E:$E,"&lt;=" &amp;$D21,Journal_ab_2024!$E:$E,"&gt;=" &amp;$C21,Journal_ab_2024!$S:$S,"&gt;0",Journal_ab_2024!C:C,"="&amp;"Ausgaben")</f>
        <v/>
      </c>
      <c r="O21" s="16">
        <f>SUMIFS(Journal_ab_2024!$Q:$Q,Journal_ab_2024!$E:$E,"&lt;=" &amp; $D21,Journal_ab_2024!$E:$E,"&gt;=" &amp;$C21,Journal_ab_2024!$S:$S,"=20",Journal_ab_2024!C:C,"="&amp;"Ausgaben")</f>
        <v/>
      </c>
    </row>
    <row r="22">
      <c r="A22" t="n">
        <v>2024</v>
      </c>
      <c r="B22" t="n">
        <v>9</v>
      </c>
      <c r="C22" s="1">
        <f>DATE(A22,B22,1)</f>
        <v/>
      </c>
      <c r="D22" s="1">
        <f>EOMONTH(C22,0)</f>
        <v/>
      </c>
      <c r="E22" s="1">
        <f>DATE(YEAR(EOMONTH(C22,2)),MONTH(EOMONTH(C22,2)),15)</f>
        <v/>
      </c>
      <c r="F22" s="227">
        <f>SUMIFS(Journal_ab_2024!$O:$O,Journal_ab_2024!$E:$E,"&lt;=" &amp; $D22,Journal_ab_2024!$E:$E,"&gt;=" &amp;$C22,Journal_ab_2024!$C:$C,"="&amp;"Einnahmen")</f>
        <v/>
      </c>
      <c r="G22" s="227">
        <f>SUMIFS(Journal_ab_2024!$O:$O,Journal_ab_2024!$E:$E,"&lt;=" &amp; $D22,Journal_ab_2024!$E:$E,"&gt;=" &amp;$C22,Journal_ab_2024!$C:$C,"="&amp;"Ausgaben")</f>
        <v/>
      </c>
      <c r="H22" s="227">
        <f>F22-G22</f>
        <v/>
      </c>
      <c r="I22" s="227">
        <f>SUMIFS(Journal_ab_2024!$Q:$Q,Journal_ab_2024!$E:$E,"&lt;=" &amp; $D22,Journal_ab_2024!$E:$E,"&gt;=" &amp;$C22,Journal_ab_2024!C:C,"="&amp;"Einnahmen",Journal_ab_2024!$D:$D,"Waren-/Leistungserlöse")</f>
        <v/>
      </c>
      <c r="J22" s="16">
        <f>SUMIFS(Journal_ab_2024!$Q:$Q,Journal_ab_2024!$E:$E,"&lt;=" &amp; $D22,Journal_ab_2024!$E:$E,"&gt;=" &amp;$C22,Journal_ab_2024!C:C,"="&amp;"Einnahmen",Journal_ab_2024!D:D,"Waren-/Leistungserlöse")</f>
        <v/>
      </c>
      <c r="K22" s="16">
        <f>SUMIFS(Journal_ab_2024!$Q:$Q,Journal_ab_2024!$E:$E,"&lt;=" &amp; $D22,Journal_ab_2024!$E:$E,"&gt;=" &amp;$C22,Journal_ab_2024!$M:$M,"=20%",Journal_ab_2024!$C:$C,"="&amp;"Einnahmen")</f>
        <v/>
      </c>
      <c r="L22" s="16">
        <f>SUMIFS(Journal_ab_2024!$O:$O,Journal_ab_2024!$E:$E,"&lt;=" &amp;$D22,Journal_ab_2024!$E:$E,"&gt;=" &amp;$C22,Journal_ab_2024!$S:$S,"&lt;&gt;ja",Journal_ab_2024!C:C,"="&amp;"Ausgaben")</f>
        <v/>
      </c>
      <c r="M22" s="16">
        <f>SUMIFS(Journal_ab_2024!$U:$U,Journal_ab_2024!$E:$E,"&lt;=" &amp;$D22,Journal_ab_2024!$E:$E,"&gt;=" &amp;$C22,Journal_ab_2024!$S:$S,"&gt;0",Journal_ab_2024!C:C,"="&amp;"Ausgaben")</f>
        <v/>
      </c>
      <c r="N22" s="16">
        <f>SUMIFS(Journal_ab_2024!$Q:$Q,Journal_ab_2024!$E:$E,"&lt;=" &amp;$D22,Journal_ab_2024!$E:$E,"&gt;=" &amp;$C22,Journal_ab_2024!$S:$S,"&gt;0",Journal_ab_2024!C:C,"="&amp;"Ausgaben")</f>
        <v/>
      </c>
      <c r="O22" s="16">
        <f>SUMIFS(Journal_ab_2024!$Q:$Q,Journal_ab_2024!$E:$E,"&lt;=" &amp; $D22,Journal_ab_2024!$E:$E,"&gt;=" &amp;$C22,Journal_ab_2024!$S:$S,"=20",Journal_ab_2024!C:C,"="&amp;"Ausgaben")</f>
        <v/>
      </c>
      <c r="P22" s="214" t="n"/>
    </row>
    <row r="23">
      <c r="A23" t="n">
        <v>2024</v>
      </c>
      <c r="B23" t="n">
        <v>10</v>
      </c>
      <c r="C23" s="1">
        <f>DATE(A23,B23,1)</f>
        <v/>
      </c>
      <c r="D23" s="1">
        <f>EOMONTH(C23,0)</f>
        <v/>
      </c>
      <c r="E23" s="1">
        <f>DATE(YEAR(EOMONTH(C23,2)),MONTH(EOMONTH(C23,2)),15)</f>
        <v/>
      </c>
      <c r="F23" s="227">
        <f>SUMIFS(Journal_ab_2024!$O:$O,Journal_ab_2024!$E:$E,"&lt;=" &amp; $D23,Journal_ab_2024!$E:$E,"&gt;=" &amp;$C23,Journal_ab_2024!$C:$C,"="&amp;"Einnahmen")</f>
        <v/>
      </c>
      <c r="G23" s="227">
        <f>SUMIFS(Journal_ab_2024!$O:$O,Journal_ab_2024!$E:$E,"&lt;=" &amp; $D23,Journal_ab_2024!$E:$E,"&gt;=" &amp;$C23,Journal_ab_2024!$C:$C,"="&amp;"Ausgaben")</f>
        <v/>
      </c>
      <c r="H23" s="227">
        <f>F23-G23</f>
        <v/>
      </c>
      <c r="I23" s="227">
        <f>SUMIFS(Journal_ab_2024!$Q:$Q,Journal_ab_2024!$E:$E,"&lt;=" &amp; $D23,Journal_ab_2024!$E:$E,"&gt;=" &amp;$C23,Journal_ab_2024!C:C,"="&amp;"Einnahmen",Journal_ab_2024!$D:$D,"Waren-/Leistungserlöse")</f>
        <v/>
      </c>
      <c r="J23" s="16">
        <f>SUMIFS(Journal_ab_2024!$Q:$Q,Journal_ab_2024!$E:$E,"&lt;=" &amp; $D23,Journal_ab_2024!$E:$E,"&gt;=" &amp;$C23,Journal_ab_2024!C:C,"="&amp;"Einnahmen",Journal_ab_2024!D:D,"Waren-/Leistungserlöse")</f>
        <v/>
      </c>
      <c r="K23" s="16">
        <f>SUMIFS(Journal_ab_2024!$Q:$Q,Journal_ab_2024!$E:$E,"&lt;=" &amp; $D23,Journal_ab_2024!$E:$E,"&gt;=" &amp;$C23,Journal_ab_2024!$M:$M,"=20%",Journal_ab_2024!$C:$C,"="&amp;"Einnahmen")</f>
        <v/>
      </c>
      <c r="L23" s="16">
        <f>SUMIFS(Journal_ab_2024!$O:$O,Journal_ab_2024!$E:$E,"&lt;=" &amp;$D23,Journal_ab_2024!$E:$E,"&gt;=" &amp;$C23,Journal_ab_2024!$S:$S,"&lt;&gt;ja",Journal_ab_2024!C:C,"="&amp;"Ausgaben")</f>
        <v/>
      </c>
      <c r="M23" s="16">
        <f>SUMIFS(Journal_ab_2024!$U:$U,Journal_ab_2024!$E:$E,"&lt;=" &amp;$D23,Journal_ab_2024!$E:$E,"&gt;=" &amp;$C23,Journal_ab_2024!$S:$S,"&gt;0",Journal_ab_2024!C:C,"="&amp;"Ausgaben")</f>
        <v/>
      </c>
      <c r="N23" s="16">
        <f>SUMIFS(Journal_ab_2024!$Q:$Q,Journal_ab_2024!$E:$E,"&lt;=" &amp;$D23,Journal_ab_2024!$E:$E,"&gt;=" &amp;$C23,Journal_ab_2024!$S:$S,"&gt;0",Journal_ab_2024!C:C,"="&amp;"Ausgaben")</f>
        <v/>
      </c>
      <c r="O23" s="16">
        <f>SUMIFS(Journal_ab_2024!$Q:$Q,Journal_ab_2024!$E:$E,"&lt;=" &amp; $D23,Journal_ab_2024!$E:$E,"&gt;=" &amp;$C23,Journal_ab_2024!$S:$S,"=20",Journal_ab_2024!C:C,"="&amp;"Ausgaben")</f>
        <v/>
      </c>
    </row>
    <row r="24">
      <c r="A24" t="n">
        <v>2024</v>
      </c>
      <c r="B24" t="n">
        <v>11</v>
      </c>
      <c r="C24" s="1">
        <f>DATE(A24,B24,1)</f>
        <v/>
      </c>
      <c r="D24" s="1">
        <f>EOMONTH(C24,0)</f>
        <v/>
      </c>
      <c r="E24" s="1">
        <f>DATE(YEAR(EOMONTH(C24,2)),MONTH(EOMONTH(C24,2)),15)</f>
        <v/>
      </c>
      <c r="F24" s="227">
        <f>SUMIFS(Journal_ab_2024!$O:$O,Journal_ab_2024!$E:$E,"&lt;=" &amp; $D24,Journal_ab_2024!$E:$E,"&gt;=" &amp;$C24,Journal_ab_2024!$C:$C,"="&amp;"Einnahmen")</f>
        <v/>
      </c>
      <c r="G24" s="227">
        <f>SUMIFS(Journal_ab_2024!$O:$O,Journal_ab_2024!$E:$E,"&lt;=" &amp; $D24,Journal_ab_2024!$E:$E,"&gt;=" &amp;$C24,Journal_ab_2024!$C:$C,"="&amp;"Ausgaben")</f>
        <v/>
      </c>
      <c r="H24" s="227">
        <f>F24-G24</f>
        <v/>
      </c>
      <c r="I24" s="227">
        <f>SUMIFS(Journal_ab_2024!$Q:$Q,Journal_ab_2024!$E:$E,"&lt;=" &amp; $D24,Journal_ab_2024!$E:$E,"&gt;=" &amp;$C24,Journal_ab_2024!C:C,"="&amp;"Einnahmen",Journal_ab_2024!$D:$D,"Waren-/Leistungserlöse")</f>
        <v/>
      </c>
      <c r="J24" s="16">
        <f>SUMIFS(Journal_ab_2024!$Q:$Q,Journal_ab_2024!$E:$E,"&lt;=" &amp; $D24,Journal_ab_2024!$E:$E,"&gt;=" &amp;$C24,Journal_ab_2024!C:C,"="&amp;"Einnahmen",Journal_ab_2024!D:D,"Waren-/Leistungserlöse")</f>
        <v/>
      </c>
      <c r="K24" s="16">
        <f>SUMIFS(Journal_ab_2024!$Q:$Q,Journal_ab_2024!$E:$E,"&lt;=" &amp; $D24,Journal_ab_2024!$E:$E,"&gt;=" &amp;$C24,Journal_ab_2024!$M:$M,"=20%",Journal_ab_2024!$C:$C,"="&amp;"Einnahmen")</f>
        <v/>
      </c>
      <c r="L24" s="16">
        <f>SUMIFS(Journal_ab_2024!$O:$O,Journal_ab_2024!$E:$E,"&lt;=" &amp;$D24,Journal_ab_2024!$E:$E,"&gt;=" &amp;$C24,Journal_ab_2024!$S:$S,"&lt;&gt;ja",Journal_ab_2024!C:C,"="&amp;"Ausgaben")</f>
        <v/>
      </c>
      <c r="M24" s="16">
        <f>SUMIFS(Journal_ab_2024!$U:$U,Journal_ab_2024!$E:$E,"&lt;=" &amp;$D24,Journal_ab_2024!$E:$E,"&gt;=" &amp;$C24,Journal_ab_2024!$S:$S,"&gt;0",Journal_ab_2024!C:C,"="&amp;"Ausgaben")</f>
        <v/>
      </c>
      <c r="N24" s="16">
        <f>SUMIFS(Journal_ab_2024!$Q:$Q,Journal_ab_2024!$E:$E,"&lt;=" &amp;$D24,Journal_ab_2024!$E:$E,"&gt;=" &amp;$C24,Journal_ab_2024!$S:$S,"&gt;0",Journal_ab_2024!C:C,"="&amp;"Ausgaben")</f>
        <v/>
      </c>
      <c r="O24" s="16">
        <f>SUMIFS(Journal_ab_2024!$Q:$Q,Journal_ab_2024!$E:$E,"&lt;=" &amp; $D24,Journal_ab_2024!$E:$E,"&gt;=" &amp;$C24,Journal_ab_2024!$S:$S,"=20",Journal_ab_2024!C:C,"="&amp;"Ausgaben")</f>
        <v/>
      </c>
    </row>
    <row r="25">
      <c r="A25" t="n">
        <v>2024</v>
      </c>
      <c r="B25" t="n">
        <v>12</v>
      </c>
      <c r="C25" s="1">
        <f>DATE(A25,B25,1)</f>
        <v/>
      </c>
      <c r="D25" s="1">
        <f>EOMONTH(C25,0)</f>
        <v/>
      </c>
      <c r="E25" s="1">
        <f>DATE(YEAR(EOMONTH(C25,2)),MONTH(EOMONTH(C25,2)),15)</f>
        <v/>
      </c>
      <c r="F25" s="227">
        <f>SUMIFS(Journal_ab_2024!$O:$O,Journal_ab_2024!$E:$E,"&lt;=" &amp; $D25,Journal_ab_2024!$E:$E,"&gt;=" &amp;$C25,Journal_ab_2024!$C:$C,"="&amp;"Einnahmen")</f>
        <v/>
      </c>
      <c r="G25" s="227">
        <f>SUMIFS(Journal_ab_2024!$O:$O,Journal_ab_2024!$E:$E,"&lt;=" &amp; $D25,Journal_ab_2024!$E:$E,"&gt;=" &amp;$C25,Journal_ab_2024!$C:$C,"="&amp;"Ausgaben")</f>
        <v/>
      </c>
      <c r="H25" s="227">
        <f>F25-G25</f>
        <v/>
      </c>
      <c r="I25" s="227">
        <f>SUMIFS(Journal_ab_2024!$Q:$Q,Journal_ab_2024!$E:$E,"&lt;=" &amp; $D25,Journal_ab_2024!$E:$E,"&gt;=" &amp;$C25,Journal_ab_2024!C:C,"="&amp;"Einnahmen",Journal_ab_2024!$D:$D,"Waren-/Leistungserlöse")</f>
        <v/>
      </c>
      <c r="J25" s="16">
        <f>SUMIFS(Journal_ab_2024!$Q:$Q,Journal_ab_2024!$E:$E,"&lt;=" &amp; $D25,Journal_ab_2024!$E:$E,"&gt;=" &amp;$C25,Journal_ab_2024!C:C,"="&amp;"Einnahmen",Journal_ab_2024!D:D,"Waren-/Leistungserlöse")</f>
        <v/>
      </c>
      <c r="K25" s="16">
        <f>SUMIFS(Journal_ab_2024!$Q:$Q,Journal_ab_2024!$E:$E,"&lt;=" &amp; $D25,Journal_ab_2024!$E:$E,"&gt;=" &amp;$C25,Journal_ab_2024!$M:$M,"=20%",Journal_ab_2024!$C:$C,"="&amp;"Einnahmen")</f>
        <v/>
      </c>
      <c r="L25" s="16">
        <f>SUMIFS(Journal_ab_2024!$O:$O,Journal_ab_2024!$E:$E,"&lt;=" &amp;$D25,Journal_ab_2024!$E:$E,"&gt;=" &amp;$C25,Journal_ab_2024!$S:$S,"&lt;&gt;ja",Journal_ab_2024!C:C,"="&amp;"Ausgaben")</f>
        <v/>
      </c>
      <c r="M25" s="16">
        <f>SUMIFS(Journal_ab_2024!$U:$U,Journal_ab_2024!$E:$E,"&lt;=" &amp;$D25,Journal_ab_2024!$E:$E,"&gt;=" &amp;$C25,Journal_ab_2024!$S:$S,"&gt;0",Journal_ab_2024!C:C,"="&amp;"Ausgaben")</f>
        <v/>
      </c>
      <c r="N25" s="16">
        <f>SUMIFS(Journal_ab_2024!$Q:$Q,Journal_ab_2024!$E:$E,"&lt;=" &amp;$D25,Journal_ab_2024!$E:$E,"&gt;=" &amp;$C25,Journal_ab_2024!$S:$S,"&gt;0",Journal_ab_2024!C:C,"="&amp;"Ausgaben")</f>
        <v/>
      </c>
      <c r="O25" s="16">
        <f>SUMIFS(Journal_ab_2024!$Q:$Q,Journal_ab_2024!$E:$E,"&lt;=" &amp; $D25,Journal_ab_2024!$E:$E,"&gt;=" &amp;$C25,Journal_ab_2024!$S:$S,"=20",Journal_ab_2024!C:C,"="&amp;"Ausgaben")</f>
        <v/>
      </c>
    </row>
    <row r="26">
      <c r="A26" t="n">
        <v>2025</v>
      </c>
      <c r="B26" t="n">
        <v>1</v>
      </c>
      <c r="C26" s="1">
        <f>DATE(A26,B26,1)</f>
        <v/>
      </c>
      <c r="D26" s="1">
        <f>EOMONTH(C26,0)</f>
        <v/>
      </c>
      <c r="E26" s="1">
        <f>DATE(YEAR(EOMONTH(C26,2)),MONTH(EOMONTH(C26,2)),15)</f>
        <v/>
      </c>
      <c r="F26" s="227">
        <f>SUMIFS(Journal_ab_2024!$O:$O,Journal_ab_2024!$E:$E,"&lt;=" &amp; $D26,Journal_ab_2024!$E:$E,"&gt;=" &amp;$C26,Journal_ab_2024!$C:$C,"="&amp;"Einnahmen")</f>
        <v/>
      </c>
      <c r="G26" s="227">
        <f>SUMIFS(Journal_ab_2024!$O:$O,Journal_ab_2024!$E:$E,"&lt;=" &amp; $D26,Journal_ab_2024!$E:$E,"&gt;=" &amp;$C26,Journal_ab_2024!$C:$C,"="&amp;"Ausgaben")</f>
        <v/>
      </c>
      <c r="H26" s="227">
        <f>F26-G26</f>
        <v/>
      </c>
      <c r="I26" s="227">
        <f>SUMIFS(Journal_ab_2024!$Q:$Q,Journal_ab_2024!$E:$E,"&lt;=" &amp; $D26,Journal_ab_2024!$E:$E,"&gt;=" &amp;$C26,Journal_ab_2024!C:C,"="&amp;"Einnahmen",Journal_ab_2024!$D:$D,"Waren-/Leistungserlöse")</f>
        <v/>
      </c>
      <c r="J26" s="16">
        <f>SUMIFS(Journal_ab_2024!$Q:$Q,Journal_ab_2024!$E:$E,"&lt;=" &amp; $D26,Journal_ab_2024!$E:$E,"&gt;=" &amp;$C26,Journal_ab_2024!C:C,"="&amp;"Einnahmen",Journal_ab_2024!D:D,"Waren-/Leistungserlöse")</f>
        <v/>
      </c>
      <c r="K26" s="16">
        <f>SUMIFS(Journal_ab_2024!$Q:$Q,Journal_ab_2024!$E:$E,"&lt;=" &amp; $D26,Journal_ab_2024!$E:$E,"&gt;=" &amp;$C26,Journal_ab_2024!$M:$M,"=20%",Journal_ab_2024!$C:$C,"="&amp;"Einnahmen")</f>
        <v/>
      </c>
      <c r="L26" s="16">
        <f>SUMIFS(Journal_ab_2024!$O:$O,Journal_ab_2024!$E:$E,"&lt;=" &amp;$D26,Journal_ab_2024!$E:$E,"&gt;=" &amp;$C26,Journal_ab_2024!$S:$S,"&lt;&gt;ja",Journal_ab_2024!C:C,"="&amp;"Ausgaben")</f>
        <v/>
      </c>
      <c r="M26" s="16">
        <f>SUMIFS(Journal_ab_2024!$U:$U,Journal_ab_2024!$E:$E,"&lt;=" &amp;$D26,Journal_ab_2024!$E:$E,"&gt;=" &amp;$C26,Journal_ab_2024!$S:$S,"&gt;0",Journal_ab_2024!C:C,"="&amp;"Ausgaben")</f>
        <v/>
      </c>
      <c r="N26" s="16">
        <f>SUMIFS(Journal_ab_2024!$Q:$Q,Journal_ab_2024!$E:$E,"&lt;=" &amp;$D26,Journal_ab_2024!$E:$E,"&gt;=" &amp;$C26,Journal_ab_2024!$S:$S,"&gt;0",Journal_ab_2024!C:C,"="&amp;"Ausgaben")</f>
        <v/>
      </c>
      <c r="O26" s="16">
        <f>SUMIFS(Journal_ab_2024!$Q:$Q,Journal_ab_2024!$E:$E,"&lt;=" &amp; $D26,Journal_ab_2024!$E:$E,"&gt;=" &amp;$C26,Journal_ab_2024!$S:$S,"=20",Journal_ab_2024!C:C,"="&amp;"Ausgaben")</f>
        <v/>
      </c>
    </row>
    <row r="27">
      <c r="A27" t="n">
        <v>2025</v>
      </c>
      <c r="B27" t="n">
        <v>2</v>
      </c>
      <c r="C27" s="1">
        <f>DATE(A27,B27,1)</f>
        <v/>
      </c>
      <c r="D27" s="1">
        <f>EOMONTH(C27,0)</f>
        <v/>
      </c>
      <c r="E27" s="1">
        <f>DATE(YEAR(EOMONTH(C27,2)),MONTH(EOMONTH(C27,2)),15)</f>
        <v/>
      </c>
      <c r="F27" s="227">
        <f>SUMIFS(Journal_ab_2024!$O:$O,Journal_ab_2024!$E:$E,"&lt;=" &amp; $D27,Journal_ab_2024!$E:$E,"&gt;=" &amp;$C27,Journal_ab_2024!$C:$C,"="&amp;"Einnahmen")</f>
        <v/>
      </c>
      <c r="G27" s="227">
        <f>SUMIFS(Journal_ab_2024!$O:$O,Journal_ab_2024!$E:$E,"&lt;=" &amp; $D27,Journal_ab_2024!$E:$E,"&gt;=" &amp;$C27,Journal_ab_2024!$C:$C,"="&amp;"Ausgaben")</f>
        <v/>
      </c>
      <c r="H27" s="227">
        <f>F27-G27</f>
        <v/>
      </c>
      <c r="I27" s="227">
        <f>SUMIFS(Journal_ab_2024!$Q:$Q,Journal_ab_2024!$E:$E,"&lt;=" &amp; $D27,Journal_ab_2024!$E:$E,"&gt;=" &amp;$C27,Journal_ab_2024!C:C,"="&amp;"Einnahmen",Journal_ab_2024!$D:$D,"Waren-/Leistungserlöse")</f>
        <v/>
      </c>
      <c r="J27" s="16">
        <f>SUMIFS(Journal_ab_2024!$Q:$Q,Journal_ab_2024!$E:$E,"&lt;=" &amp; $D27,Journal_ab_2024!$E:$E,"&gt;=" &amp;$C27,Journal_ab_2024!C:C,"="&amp;"Einnahmen",Journal_ab_2024!D:D,"Waren-/Leistungserlöse")</f>
        <v/>
      </c>
      <c r="K27" s="16">
        <f>SUMIFS(Journal_ab_2024!$Q:$Q,Journal_ab_2024!$E:$E,"&lt;=" &amp; $D27,Journal_ab_2024!$E:$E,"&gt;=" &amp;$C27,Journal_ab_2024!$M:$M,"=20%",Journal_ab_2024!$C:$C,"="&amp;"Einnahmen")</f>
        <v/>
      </c>
      <c r="L27" s="16">
        <f>SUMIFS(Journal_ab_2024!$O:$O,Journal_ab_2024!$E:$E,"&lt;=" &amp;$D27,Journal_ab_2024!$E:$E,"&gt;=" &amp;$C27,Journal_ab_2024!$S:$S,"&lt;&gt;ja",Journal_ab_2024!C:C,"="&amp;"Ausgaben")</f>
        <v/>
      </c>
      <c r="M27" s="16">
        <f>SUMIFS(Journal_ab_2024!$U:$U,Journal_ab_2024!$E:$E,"&lt;=" &amp;$D27,Journal_ab_2024!$E:$E,"&gt;=" &amp;$C27,Journal_ab_2024!$S:$S,"&gt;0",Journal_ab_2024!C:C,"="&amp;"Ausgaben")</f>
        <v/>
      </c>
      <c r="N27" s="16">
        <f>SUMIFS(Journal_ab_2024!$Q:$Q,Journal_ab_2024!$E:$E,"&lt;=" &amp;$D27,Journal_ab_2024!$E:$E,"&gt;=" &amp;$C27,Journal_ab_2024!$S:$S,"&gt;0",Journal_ab_2024!C:C,"="&amp;"Ausgaben")</f>
        <v/>
      </c>
      <c r="O27" s="16">
        <f>SUMIFS(Journal_ab_2024!$Q:$Q,Journal_ab_2024!$E:$E,"&lt;=" &amp; $D27,Journal_ab_2024!$E:$E,"&gt;=" &amp;$C27,Journal_ab_2024!$S:$S,"=20",Journal_ab_2024!C:C,"="&amp;"Ausgaben")</f>
        <v/>
      </c>
    </row>
    <row r="28">
      <c r="A28" t="n">
        <v>2025</v>
      </c>
      <c r="B28" t="n">
        <v>3</v>
      </c>
      <c r="C28" s="1">
        <f>DATE(A28,B28,1)</f>
        <v/>
      </c>
      <c r="D28" s="1">
        <f>EOMONTH(C28,0)</f>
        <v/>
      </c>
      <c r="E28" s="1">
        <f>DATE(YEAR(EOMONTH(C28,2)),MONTH(EOMONTH(C28,2)),15)</f>
        <v/>
      </c>
      <c r="F28" s="227">
        <f>SUMIFS(Journal_ab_2024!$O:$O,Journal_ab_2024!$E:$E,"&lt;=" &amp; $D28,Journal_ab_2024!$E:$E,"&gt;=" &amp;$C28,Journal_ab_2024!$C:$C,"="&amp;"Einnahmen")</f>
        <v/>
      </c>
      <c r="G28" s="227">
        <f>SUMIFS(Journal_ab_2024!$O:$O,Journal_ab_2024!$E:$E,"&lt;=" &amp; $D28,Journal_ab_2024!$E:$E,"&gt;=" &amp;$C28,Journal_ab_2024!$C:$C,"="&amp;"Ausgaben")</f>
        <v/>
      </c>
      <c r="H28" s="227">
        <f>F28-G28</f>
        <v/>
      </c>
      <c r="I28" s="227">
        <f>SUMIFS(Journal_ab_2024!$Q:$Q,Journal_ab_2024!$E:$E,"&lt;=" &amp; $D28,Journal_ab_2024!$E:$E,"&gt;=" &amp;$C28,Journal_ab_2024!C:C,"="&amp;"Einnahmen",Journal_ab_2024!$D:$D,"Waren-/Leistungserlöse")</f>
        <v/>
      </c>
      <c r="J28" s="16">
        <f>SUMIFS(Journal_ab_2024!$Q:$Q,Journal_ab_2024!$E:$E,"&lt;=" &amp; $D28,Journal_ab_2024!$E:$E,"&gt;=" &amp;$C28,Journal_ab_2024!C:C,"="&amp;"Einnahmen",Journal_ab_2024!D:D,"Waren-/Leistungserlöse")</f>
        <v/>
      </c>
      <c r="K28" s="16">
        <f>SUMIFS(Journal_ab_2024!$Q:$Q,Journal_ab_2024!$E:$E,"&lt;=" &amp; $D28,Journal_ab_2024!$E:$E,"&gt;=" &amp;$C28,Journal_ab_2024!$M:$M,"=20%",Journal_ab_2024!$C:$C,"="&amp;"Einnahmen")</f>
        <v/>
      </c>
      <c r="L28" s="16">
        <f>SUMIFS(Journal_ab_2024!$O:$O,Journal_ab_2024!$E:$E,"&lt;=" &amp;$D28,Journal_ab_2024!$E:$E,"&gt;=" &amp;$C28,Journal_ab_2024!$S:$S,"&lt;&gt;ja",Journal_ab_2024!C:C,"="&amp;"Ausgaben")</f>
        <v/>
      </c>
      <c r="M28" s="16">
        <f>SUMIFS(Journal_ab_2024!$U:$U,Journal_ab_2024!$E:$E,"&lt;=" &amp;$D28,Journal_ab_2024!$E:$E,"&gt;=" &amp;$C28,Journal_ab_2024!$S:$S,"&gt;0",Journal_ab_2024!C:C,"="&amp;"Ausgaben")</f>
        <v/>
      </c>
      <c r="N28" s="16">
        <f>SUMIFS(Journal_ab_2024!$Q:$Q,Journal_ab_2024!$E:$E,"&lt;=" &amp;$D28,Journal_ab_2024!$E:$E,"&gt;=" &amp;$C28,Journal_ab_2024!$S:$S,"&gt;0",Journal_ab_2024!C:C,"="&amp;"Ausgaben")</f>
        <v/>
      </c>
      <c r="O28" s="16">
        <f>SUMIFS(Journal_ab_2024!$Q:$Q,Journal_ab_2024!$E:$E,"&lt;=" &amp; $D28,Journal_ab_2024!$E:$E,"&gt;=" &amp;$C28,Journal_ab_2024!$S:$S,"=20",Journal_ab_2024!C:C,"="&amp;"Ausgaben")</f>
        <v/>
      </c>
    </row>
    <row r="29">
      <c r="A29" t="n">
        <v>2025</v>
      </c>
      <c r="B29" t="n">
        <v>4</v>
      </c>
      <c r="C29" s="1">
        <f>DATE(A29,B29,1)</f>
        <v/>
      </c>
      <c r="D29" s="1">
        <f>EOMONTH(C29,0)</f>
        <v/>
      </c>
      <c r="E29" s="1">
        <f>DATE(YEAR(EOMONTH(C29,2)),MONTH(EOMONTH(C29,2)),15)</f>
        <v/>
      </c>
      <c r="F29" s="227">
        <f>SUMIFS(Journal_ab_2024!$O:$O,Journal_ab_2024!$E:$E,"&lt;=" &amp; $D29,Journal_ab_2024!$E:$E,"&gt;=" &amp;$C29,Journal_ab_2024!$C:$C,"="&amp;"Einnahmen")</f>
        <v/>
      </c>
      <c r="G29" s="227">
        <f>SUMIFS(Journal_ab_2024!$O:$O,Journal_ab_2024!$E:$E,"&lt;=" &amp; $D29,Journal_ab_2024!$E:$E,"&gt;=" &amp;$C29,Journal_ab_2024!$C:$C,"="&amp;"Ausgaben")</f>
        <v/>
      </c>
      <c r="H29" s="227">
        <f>F29-G29</f>
        <v/>
      </c>
      <c r="I29" s="227">
        <f>SUMIFS(Journal_ab_2024!$Q:$Q,Journal_ab_2024!$E:$E,"&lt;=" &amp; $D29,Journal_ab_2024!$E:$E,"&gt;=" &amp;$C29,Journal_ab_2024!C:C,"="&amp;"Einnahmen",Journal_ab_2024!$D:$D,"Waren-/Leistungserlöse")</f>
        <v/>
      </c>
      <c r="J29" s="16">
        <f>SUMIFS(Journal_ab_2024!$Q:$Q,Journal_ab_2024!$E:$E,"&lt;=" &amp; $D29,Journal_ab_2024!$E:$E,"&gt;=" &amp;$C29,Journal_ab_2024!C:C,"="&amp;"Einnahmen",Journal_ab_2024!D:D,"Waren-/Leistungserlöse")</f>
        <v/>
      </c>
      <c r="K29" s="16">
        <f>SUMIFS(Journal_ab_2024!$Q:$Q,Journal_ab_2024!$E:$E,"&lt;=" &amp; $D29,Journal_ab_2024!$E:$E,"&gt;=" &amp;$C29,Journal_ab_2024!$M:$M,"=20%",Journal_ab_2024!$C:$C,"="&amp;"Einnahmen")</f>
        <v/>
      </c>
      <c r="L29" s="16">
        <f>SUMIFS(Journal_ab_2024!$O:$O,Journal_ab_2024!$E:$E,"&lt;=" &amp;$D29,Journal_ab_2024!$E:$E,"&gt;=" &amp;$C29,Journal_ab_2024!$S:$S,"&lt;&gt;ja",Journal_ab_2024!C:C,"="&amp;"Ausgaben")</f>
        <v/>
      </c>
      <c r="M29" s="16">
        <f>SUMIFS(Journal_ab_2024!$U:$U,Journal_ab_2024!$E:$E,"&lt;=" &amp;$D29,Journal_ab_2024!$E:$E,"&gt;=" &amp;$C29,Journal_ab_2024!$S:$S,"&gt;0",Journal_ab_2024!C:C,"="&amp;"Ausgaben")</f>
        <v/>
      </c>
      <c r="N29" s="16">
        <f>SUMIFS(Journal_ab_2024!$Q:$Q,Journal_ab_2024!$E:$E,"&lt;=" &amp;$D29,Journal_ab_2024!$E:$E,"&gt;=" &amp;$C29,Journal_ab_2024!$S:$S,"&gt;0",Journal_ab_2024!C:C,"="&amp;"Ausgaben")</f>
        <v/>
      </c>
      <c r="O29" s="16">
        <f>SUMIFS(Journal_ab_2024!$Q:$Q,Journal_ab_2024!$E:$E,"&lt;=" &amp; $D29,Journal_ab_2024!$E:$E,"&gt;=" &amp;$C29,Journal_ab_2024!$S:$S,"=20",Journal_ab_2024!C:C,"="&amp;"Ausgaben")</f>
        <v/>
      </c>
    </row>
    <row r="30">
      <c r="A30" t="n">
        <v>2025</v>
      </c>
      <c r="B30" t="n">
        <v>5</v>
      </c>
      <c r="C30" s="1">
        <f>DATE(A30,B30,1)</f>
        <v/>
      </c>
      <c r="D30" s="1">
        <f>EOMONTH(C30,0)</f>
        <v/>
      </c>
      <c r="E30" s="1">
        <f>DATE(YEAR(EOMONTH(C30,2)),MONTH(EOMONTH(C30,2)),15)</f>
        <v/>
      </c>
      <c r="F30" s="227">
        <f>SUMIFS(Journal_ab_2024!$O:$O,Journal_ab_2024!$E:$E,"&lt;=" &amp; $D30,Journal_ab_2024!$E:$E,"&gt;=" &amp;$C30,Journal_ab_2024!$C:$C,"="&amp;"Einnahmen")</f>
        <v/>
      </c>
      <c r="G30" s="227">
        <f>SUMIFS(Journal_ab_2024!$O:$O,Journal_ab_2024!$E:$E,"&lt;=" &amp; $D30,Journal_ab_2024!$E:$E,"&gt;=" &amp;$C30,Journal_ab_2024!$C:$C,"="&amp;"Ausgaben")</f>
        <v/>
      </c>
      <c r="H30" s="227">
        <f>F30-G30</f>
        <v/>
      </c>
      <c r="I30" s="227">
        <f>SUMIFS(Journal_ab_2024!$Q:$Q,Journal_ab_2024!$E:$E,"&lt;=" &amp; $D30,Journal_ab_2024!$E:$E,"&gt;=" &amp;$C30,Journal_ab_2024!C:C,"="&amp;"Einnahmen",Journal_ab_2024!$D:$D,"Waren-/Leistungserlöse")</f>
        <v/>
      </c>
      <c r="J30" s="16">
        <f>SUMIFS(Journal_ab_2024!$Q:$Q,Journal_ab_2024!$E:$E,"&lt;=" &amp; $D30,Journal_ab_2024!$E:$E,"&gt;=" &amp;$C30,Journal_ab_2024!C:C,"="&amp;"Einnahmen",Journal_ab_2024!D:D,"Waren-/Leistungserlöse")</f>
        <v/>
      </c>
      <c r="K30" s="16">
        <f>SUMIFS(Journal_ab_2024!$Q:$Q,Journal_ab_2024!$E:$E,"&lt;=" &amp; $D30,Journal_ab_2024!$E:$E,"&gt;=" &amp;$C30,Journal_ab_2024!$M:$M,"=20%",Journal_ab_2024!$C:$C,"="&amp;"Einnahmen")</f>
        <v/>
      </c>
      <c r="L30" s="16">
        <f>SUMIFS(Journal_ab_2024!$O:$O,Journal_ab_2024!$E:$E,"&lt;=" &amp;$D30,Journal_ab_2024!$E:$E,"&gt;=" &amp;$C30,Journal_ab_2024!$S:$S,"&lt;&gt;ja",Journal_ab_2024!C:C,"="&amp;"Ausgaben")</f>
        <v/>
      </c>
      <c r="M30" s="16">
        <f>SUMIFS(Journal_ab_2024!$U:$U,Journal_ab_2024!$E:$E,"&lt;=" &amp;$D30,Journal_ab_2024!$E:$E,"&gt;=" &amp;$C30,Journal_ab_2024!$S:$S,"&gt;0",Journal_ab_2024!C:C,"="&amp;"Ausgaben")</f>
        <v/>
      </c>
      <c r="N30" s="16">
        <f>SUMIFS(Journal_ab_2024!$Q:$Q,Journal_ab_2024!$E:$E,"&lt;=" &amp;$D30,Journal_ab_2024!$E:$E,"&gt;=" &amp;$C30,Journal_ab_2024!$S:$S,"&gt;0",Journal_ab_2024!C:C,"="&amp;"Ausgaben")</f>
        <v/>
      </c>
      <c r="O30" s="16">
        <f>SUMIFS(Journal_ab_2024!$Q:$Q,Journal_ab_2024!$E:$E,"&lt;=" &amp; $D30,Journal_ab_2024!$E:$E,"&gt;=" &amp;$C30,Journal_ab_2024!$S:$S,"=20",Journal_ab_2024!C:C,"="&amp;"Ausgaben")</f>
        <v/>
      </c>
    </row>
    <row r="31">
      <c r="A31" t="n">
        <v>2025</v>
      </c>
      <c r="B31" t="n">
        <v>6</v>
      </c>
      <c r="C31" s="1">
        <f>DATE(A31,B31,1)</f>
        <v/>
      </c>
      <c r="D31" s="1">
        <f>EOMONTH(C31,0)</f>
        <v/>
      </c>
      <c r="E31" s="1">
        <f>DATE(YEAR(EOMONTH(C31,2)),MONTH(EOMONTH(C31,2)),15)</f>
        <v/>
      </c>
      <c r="F31" s="227">
        <f>SUMIFS(Journal_ab_2024!$O:$O,Journal_ab_2024!$E:$E,"&lt;=" &amp; $D31,Journal_ab_2024!$E:$E,"&gt;=" &amp;$C31,Journal_ab_2024!$C:$C,"="&amp;"Einnahmen")</f>
        <v/>
      </c>
      <c r="G31" s="227">
        <f>SUMIFS(Journal_ab_2024!$O:$O,Journal_ab_2024!$E:$E,"&lt;=" &amp; $D31,Journal_ab_2024!$E:$E,"&gt;=" &amp;$C31,Journal_ab_2024!$C:$C,"="&amp;"Ausgaben")</f>
        <v/>
      </c>
      <c r="H31" s="227">
        <f>F31-G31</f>
        <v/>
      </c>
      <c r="I31" s="227">
        <f>SUMIFS(Journal_ab_2024!$Q:$Q,Journal_ab_2024!$E:$E,"&lt;=" &amp; $D31,Journal_ab_2024!$E:$E,"&gt;=" &amp;$C31,Journal_ab_2024!C:C,"="&amp;"Einnahmen",Journal_ab_2024!$D:$D,"Waren-/Leistungserlöse")</f>
        <v/>
      </c>
      <c r="J31" s="16">
        <f>SUMIFS(Journal_ab_2024!$Q:$Q,Journal_ab_2024!$E:$E,"&lt;=" &amp; $D31,Journal_ab_2024!$E:$E,"&gt;=" &amp;$C31,Journal_ab_2024!C:C,"="&amp;"Einnahmen",Journal_ab_2024!D:D,"Waren-/Leistungserlöse")</f>
        <v/>
      </c>
      <c r="K31" s="16">
        <f>SUMIFS(Journal_ab_2024!$Q:$Q,Journal_ab_2024!$E:$E,"&lt;=" &amp; $D31,Journal_ab_2024!$E:$E,"&gt;=" &amp;$C31,Journal_ab_2024!$M:$M,"=20%",Journal_ab_2024!$C:$C,"="&amp;"Einnahmen")</f>
        <v/>
      </c>
      <c r="L31" s="16">
        <f>SUMIFS(Journal_ab_2024!$O:$O,Journal_ab_2024!$E:$E,"&lt;=" &amp;$D31,Journal_ab_2024!$E:$E,"&gt;=" &amp;$C31,Journal_ab_2024!$S:$S,"&lt;&gt;ja",Journal_ab_2024!C:C,"="&amp;"Ausgaben")</f>
        <v/>
      </c>
      <c r="M31" s="16">
        <f>SUMIFS(Journal_ab_2024!$U:$U,Journal_ab_2024!$E:$E,"&lt;=" &amp;$D31,Journal_ab_2024!$E:$E,"&gt;=" &amp;$C31,Journal_ab_2024!$S:$S,"&gt;0",Journal_ab_2024!C:C,"="&amp;"Ausgaben")</f>
        <v/>
      </c>
      <c r="N31" s="16">
        <f>SUMIFS(Journal_ab_2024!$Q:$Q,Journal_ab_2024!$E:$E,"&lt;=" &amp;$D31,Journal_ab_2024!$E:$E,"&gt;=" &amp;$C31,Journal_ab_2024!$S:$S,"&gt;0",Journal_ab_2024!C:C,"="&amp;"Ausgaben")</f>
        <v/>
      </c>
      <c r="O31" s="16">
        <f>SUMIFS(Journal_ab_2024!$Q:$Q,Journal_ab_2024!$E:$E,"&lt;=" &amp; $D31,Journal_ab_2024!$E:$E,"&gt;=" &amp;$C31,Journal_ab_2024!$S:$S,"=20",Journal_ab_2024!C:C,"="&amp;"Ausgaben")</f>
        <v/>
      </c>
    </row>
    <row r="32">
      <c r="A32" t="n">
        <v>2025</v>
      </c>
      <c r="B32" t="n">
        <v>7</v>
      </c>
      <c r="C32" s="1">
        <f>DATE(A32,B32,1)</f>
        <v/>
      </c>
      <c r="D32" s="1">
        <f>EOMONTH(C32,0)</f>
        <v/>
      </c>
      <c r="E32" s="1">
        <f>DATE(YEAR(EOMONTH(C32,2)),MONTH(EOMONTH(C32,2)),15)</f>
        <v/>
      </c>
      <c r="F32" s="227">
        <f>SUMIFS(Journal_ab_2024!$O:$O,Journal_ab_2024!$E:$E,"&lt;=" &amp; $D32,Journal_ab_2024!$E:$E,"&gt;=" &amp;$C32,Journal_ab_2024!$C:$C,"="&amp;"Einnahmen")</f>
        <v/>
      </c>
      <c r="G32" s="227">
        <f>SUMIFS(Journal_ab_2024!$O:$O,Journal_ab_2024!$E:$E,"&lt;=" &amp; $D32,Journal_ab_2024!$E:$E,"&gt;=" &amp;$C32,Journal_ab_2024!$C:$C,"="&amp;"Ausgaben")</f>
        <v/>
      </c>
      <c r="H32" s="227">
        <f>F32-G32</f>
        <v/>
      </c>
      <c r="I32" s="227">
        <f>SUMIFS(Journal_ab_2024!$Q:$Q,Journal_ab_2024!$E:$E,"&lt;=" &amp; $D32,Journal_ab_2024!$E:$E,"&gt;=" &amp;$C32,Journal_ab_2024!C:C,"="&amp;"Einnahmen",Journal_ab_2024!$D:$D,"Waren-/Leistungserlöse")</f>
        <v/>
      </c>
      <c r="J32" s="16">
        <f>SUMIFS(Journal_ab_2024!$Q:$Q,Journal_ab_2024!$E:$E,"&lt;=" &amp; $D32,Journal_ab_2024!$E:$E,"&gt;=" &amp;$C32,Journal_ab_2024!C:C,"="&amp;"Einnahmen",Journal_ab_2024!D:D,"Waren-/Leistungserlöse")</f>
        <v/>
      </c>
      <c r="K32" s="16">
        <f>SUMIFS(Journal_ab_2024!$Q:$Q,Journal_ab_2024!$E:$E,"&lt;=" &amp; $D32,Journal_ab_2024!$E:$E,"&gt;=" &amp;$C32,Journal_ab_2024!$M:$M,"=20%",Journal_ab_2024!$C:$C,"="&amp;"Einnahmen")</f>
        <v/>
      </c>
      <c r="L32" s="16">
        <f>SUMIFS(Journal_ab_2024!$O:$O,Journal_ab_2024!$E:$E,"&lt;=" &amp;$D32,Journal_ab_2024!$E:$E,"&gt;=" &amp;$C32,Journal_ab_2024!$S:$S,"&lt;&gt;ja",Journal_ab_2024!C:C,"="&amp;"Ausgaben")</f>
        <v/>
      </c>
      <c r="M32" s="16">
        <f>SUMIFS(Journal_ab_2024!$U:$U,Journal_ab_2024!$E:$E,"&lt;=" &amp;$D32,Journal_ab_2024!$E:$E,"&gt;=" &amp;$C32,Journal_ab_2024!$S:$S,"&gt;0",Journal_ab_2024!C:C,"="&amp;"Ausgaben")</f>
        <v/>
      </c>
      <c r="N32" s="16">
        <f>SUMIFS(Journal_ab_2024!$Q:$Q,Journal_ab_2024!$E:$E,"&lt;=" &amp;$D32,Journal_ab_2024!$E:$E,"&gt;=" &amp;$C32,Journal_ab_2024!$S:$S,"&gt;0",Journal_ab_2024!C:C,"="&amp;"Ausgaben")</f>
        <v/>
      </c>
      <c r="O32" s="16">
        <f>SUMIFS(Journal_ab_2024!$Q:$Q,Journal_ab_2024!$E:$E,"&lt;=" &amp; $D32,Journal_ab_2024!$E:$E,"&gt;=" &amp;$C32,Journal_ab_2024!$S:$S,"=20",Journal_ab_2024!C:C,"="&amp;"Ausgaben")</f>
        <v/>
      </c>
    </row>
    <row r="33">
      <c r="A33" t="n">
        <v>2025</v>
      </c>
      <c r="B33" t="n">
        <v>8</v>
      </c>
      <c r="C33" s="1">
        <f>DATE(A33,B33,1)</f>
        <v/>
      </c>
      <c r="D33" s="1">
        <f>EOMONTH(C33,0)</f>
        <v/>
      </c>
      <c r="E33" s="1">
        <f>DATE(YEAR(EOMONTH(C33,2)),MONTH(EOMONTH(C33,2)),15)</f>
        <v/>
      </c>
      <c r="F33" s="227">
        <f>SUMIFS(Journal_ab_2024!$O:$O,Journal_ab_2024!$E:$E,"&lt;=" &amp; $D33,Journal_ab_2024!$E:$E,"&gt;=" &amp;$C33,Journal_ab_2024!$C:$C,"="&amp;"Einnahmen")</f>
        <v/>
      </c>
      <c r="G33" s="227">
        <f>SUMIFS(Journal_ab_2024!$O:$O,Journal_ab_2024!$E:$E,"&lt;=" &amp; $D33,Journal_ab_2024!$E:$E,"&gt;=" &amp;$C33,Journal_ab_2024!$C:$C,"="&amp;"Ausgaben")</f>
        <v/>
      </c>
      <c r="H33" s="227">
        <f>F33-G33</f>
        <v/>
      </c>
      <c r="I33" s="227">
        <f>SUMIFS(Journal_ab_2024!$Q:$Q,Journal_ab_2024!$E:$E,"&lt;=" &amp; $D33,Journal_ab_2024!$E:$E,"&gt;=" &amp;$C33,Journal_ab_2024!C:C,"="&amp;"Einnahmen",Journal_ab_2024!$D:$D,"Waren-/Leistungserlöse")</f>
        <v/>
      </c>
      <c r="J33" s="16">
        <f>SUMIFS(Journal_ab_2024!$Q:$Q,Journal_ab_2024!$E:$E,"&lt;=" &amp; $D33,Journal_ab_2024!$E:$E,"&gt;=" &amp;$C33,Journal_ab_2024!C:C,"="&amp;"Einnahmen",Journal_ab_2024!D:D,"Waren-/Leistungserlöse")</f>
        <v/>
      </c>
      <c r="K33" s="16">
        <f>SUMIFS(Journal_ab_2024!$Q:$Q,Journal_ab_2024!$E:$E,"&lt;=" &amp; $D33,Journal_ab_2024!$E:$E,"&gt;=" &amp;$C33,Journal_ab_2024!$M:$M,"=20%",Journal_ab_2024!$C:$C,"="&amp;"Einnahmen")</f>
        <v/>
      </c>
      <c r="L33" s="16">
        <f>SUMIFS(Journal_ab_2024!$O:$O,Journal_ab_2024!$E:$E,"&lt;=" &amp;$D33,Journal_ab_2024!$E:$E,"&gt;=" &amp;$C33,Journal_ab_2024!$S:$S,"&lt;&gt;ja",Journal_ab_2024!C:C,"="&amp;"Ausgaben")</f>
        <v/>
      </c>
      <c r="M33" s="16">
        <f>SUMIFS(Journal_ab_2024!$U:$U,Journal_ab_2024!$E:$E,"&lt;=" &amp;$D33,Journal_ab_2024!$E:$E,"&gt;=" &amp;$C33,Journal_ab_2024!$S:$S,"&gt;0",Journal_ab_2024!C:C,"="&amp;"Ausgaben")</f>
        <v/>
      </c>
      <c r="N33" s="16">
        <f>SUMIFS(Journal_ab_2024!$Q:$Q,Journal_ab_2024!$E:$E,"&lt;=" &amp;$D33,Journal_ab_2024!$E:$E,"&gt;=" &amp;$C33,Journal_ab_2024!$S:$S,"&gt;0",Journal_ab_2024!C:C,"="&amp;"Ausgaben")</f>
        <v/>
      </c>
      <c r="O33" s="16">
        <f>SUMIFS(Journal_ab_2024!$Q:$Q,Journal_ab_2024!$E:$E,"&lt;=" &amp; $D33,Journal_ab_2024!$E:$E,"&gt;=" &amp;$C33,Journal_ab_2024!$S:$S,"=20",Journal_ab_2024!C:C,"="&amp;"Ausgaben")</f>
        <v/>
      </c>
    </row>
    <row r="34">
      <c r="A34" t="n">
        <v>2025</v>
      </c>
      <c r="B34" t="n">
        <v>9</v>
      </c>
      <c r="C34" s="1">
        <f>DATE(A34,B34,1)</f>
        <v/>
      </c>
      <c r="D34" s="1">
        <f>EOMONTH(C34,0)</f>
        <v/>
      </c>
      <c r="E34" s="1">
        <f>DATE(YEAR(EOMONTH(C34,2)),MONTH(EOMONTH(C34,2)),15)</f>
        <v/>
      </c>
      <c r="F34" s="227">
        <f>SUMIFS(Journal_ab_2024!$O:$O,Journal_ab_2024!$E:$E,"&lt;=" &amp; $D34,Journal_ab_2024!$E:$E,"&gt;=" &amp;$C34,Journal_ab_2024!$C:$C,"="&amp;"Einnahmen")</f>
        <v/>
      </c>
      <c r="G34" s="227">
        <f>SUMIFS(Journal_ab_2024!$O:$O,Journal_ab_2024!$E:$E,"&lt;=" &amp; $D34,Journal_ab_2024!$E:$E,"&gt;=" &amp;$C34,Journal_ab_2024!$C:$C,"="&amp;"Ausgaben")</f>
        <v/>
      </c>
      <c r="H34" s="227">
        <f>F34-G34</f>
        <v/>
      </c>
      <c r="I34" s="227">
        <f>SUMIFS(Journal_ab_2024!$Q:$Q,Journal_ab_2024!$E:$E,"&lt;=" &amp; $D34,Journal_ab_2024!$E:$E,"&gt;=" &amp;$C34,Journal_ab_2024!C:C,"="&amp;"Einnahmen",Journal_ab_2024!$D:$D,"Waren-/Leistungserlöse")</f>
        <v/>
      </c>
      <c r="J34" s="16">
        <f>SUMIFS(Journal_ab_2024!$Q:$Q,Journal_ab_2024!$E:$E,"&lt;=" &amp; $D34,Journal_ab_2024!$E:$E,"&gt;=" &amp;$C34,Journal_ab_2024!C:C,"="&amp;"Einnahmen",Journal_ab_2024!D:D,"Waren-/Leistungserlöse")</f>
        <v/>
      </c>
      <c r="K34" s="16">
        <f>SUMIFS(Journal_ab_2024!$Q:$Q,Journal_ab_2024!$E:$E,"&lt;=" &amp; $D34,Journal_ab_2024!$E:$E,"&gt;=" &amp;$C34,Journal_ab_2024!$M:$M,"=20%",Journal_ab_2024!$C:$C,"="&amp;"Einnahmen")</f>
        <v/>
      </c>
      <c r="L34" s="16">
        <f>SUMIFS(Journal_ab_2024!$O:$O,Journal_ab_2024!$E:$E,"&lt;=" &amp;$D34,Journal_ab_2024!$E:$E,"&gt;=" &amp;$C34,Journal_ab_2024!$S:$S,"&lt;&gt;ja",Journal_ab_2024!C:C,"="&amp;"Ausgaben")</f>
        <v/>
      </c>
      <c r="M34" s="16">
        <f>SUMIFS(Journal_ab_2024!$U:$U,Journal_ab_2024!$E:$E,"&lt;=" &amp;$D34,Journal_ab_2024!$E:$E,"&gt;=" &amp;$C34,Journal_ab_2024!$S:$S,"&gt;0",Journal_ab_2024!C:C,"="&amp;"Ausgaben")</f>
        <v/>
      </c>
      <c r="N34" s="16">
        <f>SUMIFS(Journal_ab_2024!$Q:$Q,Journal_ab_2024!$E:$E,"&lt;=" &amp;$D34,Journal_ab_2024!$E:$E,"&gt;=" &amp;$C34,Journal_ab_2024!$S:$S,"&gt;0",Journal_ab_2024!C:C,"="&amp;"Ausgaben")</f>
        <v/>
      </c>
      <c r="O34" s="16">
        <f>SUMIFS(Journal_ab_2024!$Q:$Q,Journal_ab_2024!$E:$E,"&lt;=" &amp; $D34,Journal_ab_2024!$E:$E,"&gt;=" &amp;$C34,Journal_ab_2024!$S:$S,"=20",Journal_ab_2024!C:C,"="&amp;"Ausgaben")</f>
        <v/>
      </c>
    </row>
    <row r="35">
      <c r="A35" t="n">
        <v>2025</v>
      </c>
      <c r="B35" t="n">
        <v>10</v>
      </c>
      <c r="C35" s="1">
        <f>DATE(A35,B35,1)</f>
        <v/>
      </c>
      <c r="D35" s="1">
        <f>EOMONTH(C35,0)</f>
        <v/>
      </c>
      <c r="E35" s="1">
        <f>DATE(YEAR(EOMONTH(C35,2)),MONTH(EOMONTH(C35,2)),15)</f>
        <v/>
      </c>
      <c r="F35" s="227">
        <f>SUMIFS(Journal_ab_2024!$O:$O,Journal_ab_2024!$E:$E,"&lt;=" &amp; $D35,Journal_ab_2024!$E:$E,"&gt;=" &amp;$C35,Journal_ab_2024!$C:$C,"="&amp;"Einnahmen")</f>
        <v/>
      </c>
      <c r="G35" s="227">
        <f>SUMIFS(Journal_ab_2024!$O:$O,Journal_ab_2024!$E:$E,"&lt;=" &amp; $D35,Journal_ab_2024!$E:$E,"&gt;=" &amp;$C35,Journal_ab_2024!$C:$C,"="&amp;"Ausgaben")</f>
        <v/>
      </c>
      <c r="H35" s="227">
        <f>F35-G35</f>
        <v/>
      </c>
      <c r="I35" s="227">
        <f>SUMIFS(Journal_ab_2024!$Q:$Q,Journal_ab_2024!$E:$E,"&lt;=" &amp; $D35,Journal_ab_2024!$E:$E,"&gt;=" &amp;$C35,Journal_ab_2024!C:C,"="&amp;"Einnahmen",Journal_ab_2024!$D:$D,"Waren-/Leistungserlöse")</f>
        <v/>
      </c>
      <c r="J35" s="16">
        <f>SUMIFS(Journal_ab_2024!$Q:$Q,Journal_ab_2024!$E:$E,"&lt;=" &amp; $D35,Journal_ab_2024!$E:$E,"&gt;=" &amp;$C35,Journal_ab_2024!C:C,"="&amp;"Einnahmen",Journal_ab_2024!D:D,"Waren-/Leistungserlöse")</f>
        <v/>
      </c>
      <c r="K35" s="16">
        <f>SUMIFS(Journal_ab_2024!$Q:$Q,Journal_ab_2024!$E:$E,"&lt;=" &amp; $D35,Journal_ab_2024!$E:$E,"&gt;=" &amp;$C35,Journal_ab_2024!$M:$M,"=20%",Journal_ab_2024!$C:$C,"="&amp;"Einnahmen")</f>
        <v/>
      </c>
      <c r="L35" s="16">
        <f>SUMIFS(Journal_ab_2024!$O:$O,Journal_ab_2024!$E:$E,"&lt;=" &amp;$D35,Journal_ab_2024!$E:$E,"&gt;=" &amp;$C35,Journal_ab_2024!$S:$S,"&lt;&gt;ja",Journal_ab_2024!C:C,"="&amp;"Ausgaben")</f>
        <v/>
      </c>
      <c r="M35" s="16">
        <f>SUMIFS(Journal_ab_2024!$U:$U,Journal_ab_2024!$E:$E,"&lt;=" &amp;$D35,Journal_ab_2024!$E:$E,"&gt;=" &amp;$C35,Journal_ab_2024!$S:$S,"&gt;0",Journal_ab_2024!C:C,"="&amp;"Ausgaben")</f>
        <v/>
      </c>
      <c r="N35" s="16">
        <f>SUMIFS(Journal_ab_2024!$Q:$Q,Journal_ab_2024!$E:$E,"&lt;=" &amp;$D35,Journal_ab_2024!$E:$E,"&gt;=" &amp;$C35,Journal_ab_2024!$S:$S,"&gt;0",Journal_ab_2024!C:C,"="&amp;"Ausgaben")</f>
        <v/>
      </c>
      <c r="O35" s="16">
        <f>SUMIFS(Journal_ab_2024!$Q:$Q,Journal_ab_2024!$E:$E,"&lt;=" &amp; $D35,Journal_ab_2024!$E:$E,"&gt;=" &amp;$C35,Journal_ab_2024!$S:$S,"=20",Journal_ab_2024!C:C,"="&amp;"Ausgaben")</f>
        <v/>
      </c>
    </row>
    <row r="36">
      <c r="A36" t="n">
        <v>2025</v>
      </c>
      <c r="B36" t="n">
        <v>11</v>
      </c>
      <c r="C36" s="1">
        <f>DATE(A36,B36,1)</f>
        <v/>
      </c>
      <c r="D36" s="1">
        <f>EOMONTH(C36,0)</f>
        <v/>
      </c>
      <c r="E36" s="1">
        <f>DATE(YEAR(EOMONTH(C36,2)),MONTH(EOMONTH(C36,2)),15)</f>
        <v/>
      </c>
      <c r="F36" s="227">
        <f>SUMIFS(Journal_ab_2024!$O:$O,Journal_ab_2024!$E:$E,"&lt;=" &amp; $D36,Journal_ab_2024!$E:$E,"&gt;=" &amp;$C36,Journal_ab_2024!$C:$C,"="&amp;"Einnahmen")</f>
        <v/>
      </c>
      <c r="G36" s="227">
        <f>SUMIFS(Journal_ab_2024!$O:$O,Journal_ab_2024!$E:$E,"&lt;=" &amp; $D36,Journal_ab_2024!$E:$E,"&gt;=" &amp;$C36,Journal_ab_2024!$C:$C,"="&amp;"Ausgaben")</f>
        <v/>
      </c>
      <c r="H36" s="227">
        <f>F36-G36</f>
        <v/>
      </c>
      <c r="I36" s="227">
        <f>SUMIFS(Journal_ab_2024!$Q:$Q,Journal_ab_2024!$E:$E,"&lt;=" &amp; $D36,Journal_ab_2024!$E:$E,"&gt;=" &amp;$C36,Journal_ab_2024!C:C,"="&amp;"Einnahmen",Journal_ab_2024!$D:$D,"Waren-/Leistungserlöse")</f>
        <v/>
      </c>
      <c r="J36" s="16">
        <f>SUMIFS(Journal_ab_2024!$Q:$Q,Journal_ab_2024!$E:$E,"&lt;=" &amp; $D36,Journal_ab_2024!$E:$E,"&gt;=" &amp;$C36,Journal_ab_2024!C:C,"="&amp;"Einnahmen",Journal_ab_2024!D:D,"Waren-/Leistungserlöse")</f>
        <v/>
      </c>
      <c r="K36" s="16">
        <f>SUMIFS(Journal_ab_2024!$Q:$Q,Journal_ab_2024!$E:$E,"&lt;=" &amp; $D36,Journal_ab_2024!$E:$E,"&gt;=" &amp;$C36,Journal_ab_2024!$M:$M,"=20%",Journal_ab_2024!$C:$C,"="&amp;"Einnahmen")</f>
        <v/>
      </c>
      <c r="L36" s="16">
        <f>SUMIFS(Journal_ab_2024!$O:$O,Journal_ab_2024!$E:$E,"&lt;=" &amp;$D36,Journal_ab_2024!$E:$E,"&gt;=" &amp;$C36,Journal_ab_2024!$S:$S,"&lt;&gt;ja",Journal_ab_2024!C:C,"="&amp;"Ausgaben")</f>
        <v/>
      </c>
      <c r="M36" s="16">
        <f>SUMIFS(Journal_ab_2024!$U:$U,Journal_ab_2024!$E:$E,"&lt;=" &amp;$D36,Journal_ab_2024!$E:$E,"&gt;=" &amp;$C36,Journal_ab_2024!$S:$S,"&gt;0",Journal_ab_2024!C:C,"="&amp;"Ausgaben")</f>
        <v/>
      </c>
      <c r="N36" s="16">
        <f>SUMIFS(Journal_ab_2024!$Q:$Q,Journal_ab_2024!$E:$E,"&lt;=" &amp;$D36,Journal_ab_2024!$E:$E,"&gt;=" &amp;$C36,Journal_ab_2024!$S:$S,"&gt;0",Journal_ab_2024!C:C,"="&amp;"Ausgaben")</f>
        <v/>
      </c>
      <c r="O36" s="16">
        <f>SUMIFS(Journal_ab_2024!$Q:$Q,Journal_ab_2024!$E:$E,"&lt;=" &amp; $D36,Journal_ab_2024!$E:$E,"&gt;=" &amp;$C36,Journal_ab_2024!$S:$S,"=20",Journal_ab_2024!C:C,"="&amp;"Ausgaben")</f>
        <v/>
      </c>
    </row>
    <row r="37">
      <c r="A37" t="n">
        <v>2025</v>
      </c>
      <c r="B37" t="n">
        <v>12</v>
      </c>
      <c r="C37" s="1">
        <f>DATE(A37,B37,1)</f>
        <v/>
      </c>
      <c r="D37" s="1">
        <f>EOMONTH(C37,0)</f>
        <v/>
      </c>
      <c r="E37" s="1">
        <f>DATE(YEAR(EOMONTH(C37,2)),MONTH(EOMONTH(C37,2)),15)</f>
        <v/>
      </c>
      <c r="F37" s="227">
        <f>SUMIFS(Journal_ab_2024!$O:$O,Journal_ab_2024!$E:$E,"&lt;=" &amp; $D37,Journal_ab_2024!$E:$E,"&gt;=" &amp;$C37,Journal_ab_2024!$C:$C,"="&amp;"Einnahmen")</f>
        <v/>
      </c>
      <c r="G37" s="227">
        <f>SUMIFS(Journal_ab_2024!$O:$O,Journal_ab_2024!$E:$E,"&lt;=" &amp; $D37,Journal_ab_2024!$E:$E,"&gt;=" &amp;$C37,Journal_ab_2024!$C:$C,"="&amp;"Ausgaben")</f>
        <v/>
      </c>
      <c r="H37" s="227">
        <f>F37-G37</f>
        <v/>
      </c>
      <c r="I37" s="227">
        <f>SUMIFS(Journal_ab_2024!$Q:$Q,Journal_ab_2024!$E:$E,"&lt;=" &amp; $D37,Journal_ab_2024!$E:$E,"&gt;=" &amp;$C37,Journal_ab_2024!C:C,"="&amp;"Einnahmen",Journal_ab_2024!$D:$D,"Waren-/Leistungserlöse")</f>
        <v/>
      </c>
      <c r="J37" s="16">
        <f>SUMIFS(Journal_ab_2024!$Q:$Q,Journal_ab_2024!$E:$E,"&lt;=" &amp; $D37,Journal_ab_2024!$E:$E,"&gt;=" &amp;$C37,Journal_ab_2024!C:C,"="&amp;"Einnahmen",Journal_ab_2024!D:D,"Waren-/Leistungserlöse")</f>
        <v/>
      </c>
      <c r="K37" s="16">
        <f>SUMIFS(Journal_ab_2024!$Q:$Q,Journal_ab_2024!$E:$E,"&lt;=" &amp; $D37,Journal_ab_2024!$E:$E,"&gt;=" &amp;$C37,Journal_ab_2024!$M:$M,"=20%",Journal_ab_2024!$C:$C,"="&amp;"Einnahmen")</f>
        <v/>
      </c>
      <c r="L37" s="16">
        <f>SUMIFS(Journal_ab_2024!$O:$O,Journal_ab_2024!$E:$E,"&lt;=" &amp;$D37,Journal_ab_2024!$E:$E,"&gt;=" &amp;$C37,Journal_ab_2024!$S:$S,"&lt;&gt;ja",Journal_ab_2024!C:C,"="&amp;"Ausgaben")</f>
        <v/>
      </c>
      <c r="M37" s="16">
        <f>SUMIFS(Journal_ab_2024!$U:$U,Journal_ab_2024!$E:$E,"&lt;=" &amp;$D37,Journal_ab_2024!$E:$E,"&gt;=" &amp;$C37,Journal_ab_2024!$S:$S,"&gt;0",Journal_ab_2024!C:C,"="&amp;"Ausgaben")</f>
        <v/>
      </c>
      <c r="N37" s="16">
        <f>SUMIFS(Journal_ab_2024!$Q:$Q,Journal_ab_2024!$E:$E,"&lt;=" &amp;$D37,Journal_ab_2024!$E:$E,"&gt;=" &amp;$C37,Journal_ab_2024!$S:$S,"&gt;0",Journal_ab_2024!C:C,"="&amp;"Ausgaben")</f>
        <v/>
      </c>
      <c r="O37" s="16">
        <f>SUMIFS(Journal_ab_2024!$Q:$Q,Journal_ab_2024!$E:$E,"&lt;=" &amp; $D37,Journal_ab_2024!$E:$E,"&gt;=" &amp;$C37,Journal_ab_2024!$S:$S,"=20",Journal_ab_2024!C:C,"="&amp;"Ausgaben")</f>
        <v/>
      </c>
    </row>
    <row r="38">
      <c r="A38" t="n">
        <v>2026</v>
      </c>
      <c r="B38" t="n">
        <v>1</v>
      </c>
      <c r="C38" s="1">
        <f>DATE(A38,B38,1)</f>
        <v/>
      </c>
      <c r="D38" s="1">
        <f>EOMONTH(C38,0)</f>
        <v/>
      </c>
      <c r="E38" s="1">
        <f>DATE(YEAR(EOMONTH(C38,2)),MONTH(EOMONTH(C38,2)),15)</f>
        <v/>
      </c>
      <c r="F38" s="227">
        <f>SUMIFS(Journal_ab_2024!$O:$O,Journal_ab_2024!$E:$E,"&lt;=" &amp; $D38,Journal_ab_2024!$E:$E,"&gt;=" &amp;$C38,Journal_ab_2024!$C:$C,"="&amp;"Einnahmen")</f>
        <v/>
      </c>
      <c r="G38" s="227">
        <f>SUMIFS(Journal_ab_2024!$O:$O,Journal_ab_2024!$E:$E,"&lt;=" &amp; $D38,Journal_ab_2024!$E:$E,"&gt;=" &amp;$C38,Journal_ab_2024!$C:$C,"="&amp;"Ausgaben")</f>
        <v/>
      </c>
      <c r="H38" s="227">
        <f>F38-G38</f>
        <v/>
      </c>
      <c r="I38" s="227">
        <f>SUMIFS(Journal_ab_2024!$Q:$Q,Journal_ab_2024!$E:$E,"&lt;=" &amp; $D38,Journal_ab_2024!$E:$E,"&gt;=" &amp;$C38,Journal_ab_2024!C:C,"="&amp;"Einnahmen",Journal_ab_2024!$D:$D,"Waren-/Leistungserlöse")</f>
        <v/>
      </c>
      <c r="J38" s="16">
        <f>SUMIFS(Journal_ab_2024!$Q:$Q,Journal_ab_2024!$E:$E,"&lt;=" &amp; $D38,Journal_ab_2024!$E:$E,"&gt;=" &amp;$C38,Journal_ab_2024!C:C,"="&amp;"Einnahmen",Journal_ab_2024!D:D,"Waren-/Leistungserlöse")</f>
        <v/>
      </c>
      <c r="K38" s="16">
        <f>SUMIFS(Journal_ab_2024!$Q:$Q,Journal_ab_2024!$E:$E,"&lt;=" &amp; $D38,Journal_ab_2024!$E:$E,"&gt;=" &amp;$C38,Journal_ab_2024!$M:$M,"=20%",Journal_ab_2024!$C:$C,"="&amp;"Einnahmen")</f>
        <v/>
      </c>
      <c r="L38" s="16">
        <f>SUMIFS(Journal_ab_2024!$O:$O,Journal_ab_2024!$E:$E,"&lt;=" &amp;$D38,Journal_ab_2024!$E:$E,"&gt;=" &amp;$C38,Journal_ab_2024!$S:$S,"&lt;&gt;ja",Journal_ab_2024!C:C,"="&amp;"Ausgaben")</f>
        <v/>
      </c>
      <c r="M38" s="16">
        <f>SUMIFS(Journal_ab_2024!$U:$U,Journal_ab_2024!$E:$E,"&lt;=" &amp;$D38,Journal_ab_2024!$E:$E,"&gt;=" &amp;$C38,Journal_ab_2024!$S:$S,"&gt;0",Journal_ab_2024!C:C,"="&amp;"Ausgaben")</f>
        <v/>
      </c>
      <c r="N38" s="16">
        <f>SUMIFS(Journal_ab_2024!$Q:$Q,Journal_ab_2024!$E:$E,"&lt;=" &amp;$D38,Journal_ab_2024!$E:$E,"&gt;=" &amp;$C38,Journal_ab_2024!$S:$S,"&gt;0",Journal_ab_2024!C:C,"="&amp;"Ausgaben")</f>
        <v/>
      </c>
      <c r="O38" s="16">
        <f>SUMIFS(Journal_ab_2024!$Q:$Q,Journal_ab_2024!$E:$E,"&lt;=" &amp; $D38,Journal_ab_2024!$E:$E,"&gt;=" &amp;$C38,Journal_ab_2024!$S:$S,"=20",Journal_ab_2024!C:C,"="&amp;"Ausgaben")</f>
        <v/>
      </c>
    </row>
    <row r="39">
      <c r="A39" t="n">
        <v>2026</v>
      </c>
      <c r="B39" t="n">
        <v>2</v>
      </c>
      <c r="C39" s="1">
        <f>DATE(A39,B39,1)</f>
        <v/>
      </c>
      <c r="D39" s="1">
        <f>EOMONTH(C39,0)</f>
        <v/>
      </c>
      <c r="E39" s="1">
        <f>DATE(YEAR(EOMONTH(C39,2)),MONTH(EOMONTH(C39,2)),15)</f>
        <v/>
      </c>
      <c r="F39" s="227">
        <f>SUMIFS(Journal_ab_2024!$O:$O,Journal_ab_2024!$E:$E,"&lt;=" &amp; $D39,Journal_ab_2024!$E:$E,"&gt;=" &amp;$C39,Journal_ab_2024!$C:$C,"="&amp;"Einnahmen")</f>
        <v/>
      </c>
      <c r="G39" s="227">
        <f>SUMIFS(Journal_ab_2024!$O:$O,Journal_ab_2024!$E:$E,"&lt;=" &amp; $D39,Journal_ab_2024!$E:$E,"&gt;=" &amp;$C39,Journal_ab_2024!$C:$C,"="&amp;"Ausgaben")</f>
        <v/>
      </c>
      <c r="H39" s="227">
        <f>F39-G39</f>
        <v/>
      </c>
      <c r="I39" s="227">
        <f>SUMIFS(Journal_ab_2024!$Q:$Q,Journal_ab_2024!$E:$E,"&lt;=" &amp; $D39,Journal_ab_2024!$E:$E,"&gt;=" &amp;$C39,Journal_ab_2024!C:C,"="&amp;"Einnahmen",Journal_ab_2024!$D:$D,"Waren-/Leistungserlöse")</f>
        <v/>
      </c>
      <c r="J39" s="16">
        <f>SUMIFS(Journal_ab_2024!$Q:$Q,Journal_ab_2024!$E:$E,"&lt;=" &amp; $D39,Journal_ab_2024!$E:$E,"&gt;=" &amp;$C39,Journal_ab_2024!C:C,"="&amp;"Einnahmen",Journal_ab_2024!D:D,"Waren-/Leistungserlöse")</f>
        <v/>
      </c>
      <c r="K39" s="16">
        <f>SUMIFS(Journal_ab_2024!$Q:$Q,Journal_ab_2024!$E:$E,"&lt;=" &amp; $D39,Journal_ab_2024!$E:$E,"&gt;=" &amp;$C39,Journal_ab_2024!$M:$M,"=20%",Journal_ab_2024!$C:$C,"="&amp;"Einnahmen")</f>
        <v/>
      </c>
      <c r="L39" s="16">
        <f>SUMIFS(Journal_ab_2024!$O:$O,Journal_ab_2024!$E:$E,"&lt;=" &amp;$D39,Journal_ab_2024!$E:$E,"&gt;=" &amp;$C39,Journal_ab_2024!$S:$S,"&lt;&gt;ja",Journal_ab_2024!C:C,"="&amp;"Ausgaben")</f>
        <v/>
      </c>
      <c r="M39" s="16">
        <f>SUMIFS(Journal_ab_2024!$U:$U,Journal_ab_2024!$E:$E,"&lt;=" &amp;$D39,Journal_ab_2024!$E:$E,"&gt;=" &amp;$C39,Journal_ab_2024!$S:$S,"&gt;0",Journal_ab_2024!C:C,"="&amp;"Ausgaben")</f>
        <v/>
      </c>
      <c r="N39" s="16">
        <f>SUMIFS(Journal_ab_2024!$Q:$Q,Journal_ab_2024!$E:$E,"&lt;=" &amp;$D39,Journal_ab_2024!$E:$E,"&gt;=" &amp;$C39,Journal_ab_2024!$S:$S,"&gt;0",Journal_ab_2024!C:C,"="&amp;"Ausgaben")</f>
        <v/>
      </c>
      <c r="O39" s="16">
        <f>SUMIFS(Journal_ab_2024!$Q:$Q,Journal_ab_2024!$E:$E,"&lt;=" &amp; $D39,Journal_ab_2024!$E:$E,"&gt;=" &amp;$C39,Journal_ab_2024!$S:$S,"=20",Journal_ab_2024!C:C,"="&amp;"Ausgaben")</f>
        <v/>
      </c>
    </row>
    <row r="40">
      <c r="A40" t="n">
        <v>2026</v>
      </c>
      <c r="B40" t="n">
        <v>3</v>
      </c>
      <c r="C40" s="1">
        <f>DATE(A40,B40,1)</f>
        <v/>
      </c>
      <c r="D40" s="1">
        <f>EOMONTH(C40,0)</f>
        <v/>
      </c>
      <c r="E40" s="1">
        <f>DATE(YEAR(EOMONTH(C40,2)),MONTH(EOMONTH(C40,2)),15)</f>
        <v/>
      </c>
      <c r="F40" s="227">
        <f>SUMIFS(Journal_ab_2024!$O:$O,Journal_ab_2024!$E:$E,"&lt;=" &amp; $D40,Journal_ab_2024!$E:$E,"&gt;=" &amp;$C40,Journal_ab_2024!$C:$C,"="&amp;"Einnahmen")</f>
        <v/>
      </c>
      <c r="G40" s="227">
        <f>SUMIFS(Journal_ab_2024!$O:$O,Journal_ab_2024!$E:$E,"&lt;=" &amp; $D40,Journal_ab_2024!$E:$E,"&gt;=" &amp;$C40,Journal_ab_2024!$C:$C,"="&amp;"Ausgaben")</f>
        <v/>
      </c>
      <c r="H40" s="227">
        <f>F40-G40</f>
        <v/>
      </c>
      <c r="I40" s="227">
        <f>SUMIFS(Journal_ab_2024!$Q:$Q,Journal_ab_2024!$E:$E,"&lt;=" &amp; $D40,Journal_ab_2024!$E:$E,"&gt;=" &amp;$C40,Journal_ab_2024!C:C,"="&amp;"Einnahmen",Journal_ab_2024!$D:$D,"Waren-/Leistungserlöse")</f>
        <v/>
      </c>
      <c r="J40" s="16">
        <f>SUMIFS(Journal_ab_2024!$Q:$Q,Journal_ab_2024!$E:$E,"&lt;=" &amp; $D40,Journal_ab_2024!$E:$E,"&gt;=" &amp;$C40,Journal_ab_2024!C:C,"="&amp;"Einnahmen",Journal_ab_2024!D:D,"Waren-/Leistungserlöse")</f>
        <v/>
      </c>
      <c r="K40" s="16">
        <f>SUMIFS(Journal_ab_2024!$Q:$Q,Journal_ab_2024!$E:$E,"&lt;=" &amp; $D40,Journal_ab_2024!$E:$E,"&gt;=" &amp;$C40,Journal_ab_2024!$M:$M,"=20%",Journal_ab_2024!$C:$C,"="&amp;"Einnahmen")</f>
        <v/>
      </c>
      <c r="L40" s="16">
        <f>SUMIFS(Journal_ab_2024!$O:$O,Journal_ab_2024!$E:$E,"&lt;=" &amp;$D40,Journal_ab_2024!$E:$E,"&gt;=" &amp;$C40,Journal_ab_2024!$S:$S,"&lt;&gt;ja",Journal_ab_2024!C:C,"="&amp;"Ausgaben")</f>
        <v/>
      </c>
      <c r="M40" s="16">
        <f>SUMIFS(Journal_ab_2024!$U:$U,Journal_ab_2024!$E:$E,"&lt;=" &amp;$D40,Journal_ab_2024!$E:$E,"&gt;=" &amp;$C40,Journal_ab_2024!$S:$S,"&gt;0",Journal_ab_2024!C:C,"="&amp;"Ausgaben")</f>
        <v/>
      </c>
      <c r="N40" s="16">
        <f>SUMIFS(Journal_ab_2024!$Q:$Q,Journal_ab_2024!$E:$E,"&lt;=" &amp;$D40,Journal_ab_2024!$E:$E,"&gt;=" &amp;$C40,Journal_ab_2024!$S:$S,"&gt;0",Journal_ab_2024!C:C,"="&amp;"Ausgaben")</f>
        <v/>
      </c>
      <c r="O40" s="16">
        <f>SUMIFS(Journal_ab_2024!$Q:$Q,Journal_ab_2024!$E:$E,"&lt;=" &amp; $D40,Journal_ab_2024!$E:$E,"&gt;=" &amp;$C40,Journal_ab_2024!$S:$S,"=20",Journal_ab_2024!C:C,"="&amp;"Ausgaben")</f>
        <v/>
      </c>
    </row>
    <row r="41">
      <c r="A41" t="n">
        <v>2026</v>
      </c>
      <c r="B41" t="n">
        <v>4</v>
      </c>
      <c r="C41" s="1">
        <f>DATE(A41,B41,1)</f>
        <v/>
      </c>
      <c r="D41" s="1">
        <f>EOMONTH(C41,0)</f>
        <v/>
      </c>
      <c r="E41" s="1">
        <f>DATE(YEAR(EOMONTH(C41,2)),MONTH(EOMONTH(C41,2)),15)</f>
        <v/>
      </c>
      <c r="F41" s="227">
        <f>SUMIFS(Journal_ab_2024!$O:$O,Journal_ab_2024!$E:$E,"&lt;=" &amp; $D41,Journal_ab_2024!$E:$E,"&gt;=" &amp;$C41,Journal_ab_2024!$C:$C,"="&amp;"Einnahmen")</f>
        <v/>
      </c>
      <c r="G41" s="227">
        <f>SUMIFS(Journal_ab_2024!$O:$O,Journal_ab_2024!$E:$E,"&lt;=" &amp; $D41,Journal_ab_2024!$E:$E,"&gt;=" &amp;$C41,Journal_ab_2024!$C:$C,"="&amp;"Ausgaben")</f>
        <v/>
      </c>
      <c r="H41" s="227">
        <f>F41-G41</f>
        <v/>
      </c>
      <c r="I41" s="227">
        <f>SUMIFS(Journal_ab_2024!$Q:$Q,Journal_ab_2024!$E:$E,"&lt;=" &amp; $D41,Journal_ab_2024!$E:$E,"&gt;=" &amp;$C41,Journal_ab_2024!C:C,"="&amp;"Einnahmen",Journal_ab_2024!$D:$D,"Waren-/Leistungserlöse")</f>
        <v/>
      </c>
      <c r="J41" s="16">
        <f>SUMIFS(Journal_ab_2024!$Q:$Q,Journal_ab_2024!$E:$E,"&lt;=" &amp; $D41,Journal_ab_2024!$E:$E,"&gt;=" &amp;$C41,Journal_ab_2024!C:C,"="&amp;"Einnahmen",Journal_ab_2024!D:D,"Waren-/Leistungserlöse")</f>
        <v/>
      </c>
      <c r="K41" s="16">
        <f>SUMIFS(Journal_ab_2024!$Q:$Q,Journal_ab_2024!$E:$E,"&lt;=" &amp; $D41,Journal_ab_2024!$E:$E,"&gt;=" &amp;$C41,Journal_ab_2024!$M:$M,"=20%",Journal_ab_2024!$C:$C,"="&amp;"Einnahmen")</f>
        <v/>
      </c>
      <c r="L41" s="16">
        <f>SUMIFS(Journal_ab_2024!$O:$O,Journal_ab_2024!$E:$E,"&lt;=" &amp;$D41,Journal_ab_2024!$E:$E,"&gt;=" &amp;$C41,Journal_ab_2024!$S:$S,"&lt;&gt;ja",Journal_ab_2024!C:C,"="&amp;"Ausgaben")</f>
        <v/>
      </c>
      <c r="M41" s="16">
        <f>SUMIFS(Journal_ab_2024!$U:$U,Journal_ab_2024!$E:$E,"&lt;=" &amp;$D41,Journal_ab_2024!$E:$E,"&gt;=" &amp;$C41,Journal_ab_2024!$S:$S,"&gt;0",Journal_ab_2024!C:C,"="&amp;"Ausgaben")</f>
        <v/>
      </c>
      <c r="N41" s="16">
        <f>SUMIFS(Journal_ab_2024!$Q:$Q,Journal_ab_2024!$E:$E,"&lt;=" &amp;$D41,Journal_ab_2024!$E:$E,"&gt;=" &amp;$C41,Journal_ab_2024!$S:$S,"&gt;0",Journal_ab_2024!C:C,"="&amp;"Ausgaben")</f>
        <v/>
      </c>
      <c r="O41" s="16">
        <f>SUMIFS(Journal_ab_2024!$Q:$Q,Journal_ab_2024!$E:$E,"&lt;=" &amp; $D41,Journal_ab_2024!$E:$E,"&gt;=" &amp;$C41,Journal_ab_2024!$S:$S,"=20",Journal_ab_2024!C:C,"="&amp;"Ausgaben")</f>
        <v/>
      </c>
    </row>
  </sheetData>
  <conditionalFormatting sqref="H1">
    <cfRule type="dataBar" priority="4">
      <dataBar>
        <cfvo type="min"/>
        <cfvo type="max"/>
        <color rgb="FFFF555A"/>
      </dataBar>
    </cfRule>
  </conditionalFormatting>
  <conditionalFormatting sqref="H2:H41">
    <cfRule type="dataBar" priority="3">
      <dataBar>
        <cfvo type="min"/>
        <cfvo type="max"/>
        <color rgb="FFFF555A"/>
      </dataBar>
    </cfRule>
  </conditionalFormatting>
  <conditionalFormatting sqref="A1:O1048576">
    <cfRule type="expression" priority="2" dxfId="10545">
      <formula>CELL("zeile")=ROW()</formula>
    </cfRule>
  </conditionalFormatting>
  <pageMargins left="0.7" right="0.7" top="0.787401575" bottom="0.7874015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Tabelle8">
    <tabColor theme="1"/>
    <outlinePr summaryBelow="1" summaryRight="1"/>
    <pageSetUpPr fitToPage="1"/>
  </sheetPr>
  <dimension ref="A1:AJ17"/>
  <sheetViews>
    <sheetView workbookViewId="0">
      <pane xSplit="1" ySplit="1" topLeftCell="B2" activePane="bottomRight" state="frozen"/>
      <selection pane="topRight" activeCell="B1" sqref="B1"/>
      <selection pane="bottomLeft" activeCell="A2" sqref="A2"/>
      <selection pane="bottomRight" activeCell="C12" sqref="C12"/>
    </sheetView>
  </sheetViews>
  <sheetFormatPr baseColWidth="10" defaultRowHeight="15"/>
  <cols>
    <col width="14.140625" bestFit="1" customWidth="1" min="1" max="1"/>
    <col width="12.7109375" customWidth="1" min="2" max="3"/>
    <col width="21.28515625" customWidth="1" min="4" max="4"/>
    <col width="12" customWidth="1" style="214" min="5" max="5"/>
    <col width="13.85546875" customWidth="1" min="6" max="6"/>
    <col width="14.140625" bestFit="1" customWidth="1" min="7" max="8"/>
    <col width="15.140625" customWidth="1" min="9" max="10"/>
    <col hidden="1" width="26.85546875" customWidth="1" min="11" max="11"/>
    <col width="3.42578125" customWidth="1" min="15" max="15"/>
    <col width="11.85546875" bestFit="1" customWidth="1" min="16" max="16"/>
    <col width="11.85546875" customWidth="1" min="17" max="21"/>
  </cols>
  <sheetData>
    <row r="1">
      <c r="A1" s="2" t="inlineStr">
        <is>
          <t>Jahr</t>
        </is>
      </c>
      <c r="B1" s="2" t="inlineStr">
        <is>
          <t>Umsätze alt</t>
        </is>
      </c>
      <c r="C1" s="2" t="inlineStr">
        <is>
          <t>Umsätze neu</t>
        </is>
      </c>
      <c r="D1" s="2" t="inlineStr">
        <is>
          <t>Ausgaben (abzugsfähig, ohne Anlagevermögen)</t>
        </is>
      </c>
      <c r="E1" s="2" t="inlineStr">
        <is>
          <t>AfA</t>
        </is>
      </c>
      <c r="F1" s="2" t="inlineStr">
        <is>
          <t>Ausgaben+AfA</t>
        </is>
      </c>
      <c r="G1" s="2" t="inlineStr">
        <is>
          <t>EBT</t>
        </is>
      </c>
      <c r="H1" s="2" t="inlineStr">
        <is>
          <t>ESt.</t>
        </is>
      </c>
      <c r="I1" s="2" t="inlineStr">
        <is>
          <t>Jahresüberschuss (exkl. Rücklagen f. zukünftige Zahlungen wie SV)</t>
        </is>
      </c>
      <c r="J1" s="2" t="inlineStr">
        <is>
          <t>Netto /14</t>
        </is>
      </c>
      <c r="K1" s="2" t="inlineStr">
        <is>
          <t>Jahresüberschuss geschätzt nach EBT/2 (50:50)</t>
        </is>
      </c>
      <c r="L1" s="2" t="inlineStr">
        <is>
          <t>ESt % der Umsätze</t>
        </is>
      </c>
      <c r="M1" s="2" t="inlineStr">
        <is>
          <t>SV: vorgeschrTeilbeträge</t>
        </is>
      </c>
      <c r="N1" s="2" t="inlineStr">
        <is>
          <t>SV % der Umsätze</t>
        </is>
      </c>
      <c r="O1" s="2" t="inlineStr">
        <is>
          <t>Pflichtversicherungsmonate</t>
        </is>
      </c>
      <c r="P1" s="2" t="inlineStr">
        <is>
          <t>SV: Endgültige monatl. Beitragsgrundlage</t>
        </is>
      </c>
      <c r="Q1" s="2" t="inlineStr">
        <is>
          <t>PV monatl.</t>
        </is>
      </c>
      <c r="R1" s="2" t="inlineStr">
        <is>
          <t>KV monatl.</t>
        </is>
      </c>
      <c r="S1" s="2" t="inlineStr">
        <is>
          <t>UV</t>
        </is>
      </c>
      <c r="T1" s="2" t="inlineStr">
        <is>
          <t>SV jährlich gesamt</t>
        </is>
      </c>
      <c r="U1" s="2" t="inlineStr">
        <is>
          <t>SV Nachzahlung</t>
        </is>
      </c>
      <c r="V1" s="2" t="inlineStr">
        <is>
          <t>ESt % EBT</t>
        </is>
      </c>
      <c r="W1" s="2" t="inlineStr">
        <is>
          <t>SV % Jahresüberschuss</t>
        </is>
      </c>
      <c r="X1" s="2" t="inlineStr">
        <is>
          <t>PV lt. Beitragsrechner</t>
        </is>
      </c>
      <c r="Y1" s="2" t="inlineStr">
        <is>
          <t>KV lt. Beitragsrechner</t>
        </is>
      </c>
      <c r="Z1" s="2" t="inlineStr">
        <is>
          <t>SV Beitrag lt. Beitragsrechner</t>
        </is>
      </c>
      <c r="AA1" s="2" t="inlineStr">
        <is>
          <t>Vorauss. Nachzahlung</t>
        </is>
      </c>
      <c r="AB1" s="2" t="inlineStr">
        <is>
          <t>SV % JÜ lt. Beitragsrechner</t>
        </is>
      </c>
      <c r="AC1" s="2" t="inlineStr">
        <is>
          <t>Abgabenquote %</t>
        </is>
      </c>
    </row>
    <row r="2">
      <c r="A2" s="2" t="n">
        <v>2015</v>
      </c>
      <c r="B2" s="214">
        <f>SUMIFS(Rechnung_Ausgang!H:H,Rechnung_Ausgang!$D:$D,"&gt;=01.01."&amp;'Vorschau JA'!$A2,Rechnung_Ausgang!$D:$D,"&lt;=31.12."&amp;'Vorschau JA'!$A2)</f>
        <v/>
      </c>
      <c r="C2" s="214" t="n"/>
      <c r="D2" s="214">
        <f>SUMIFS(Ausgaben_bis_2018!Z:Z,Ausgaben_bis_2018!$F:$F,"&gt;=01.01."&amp;'Vorschau JA'!$A2,Ausgaben_bis_2018!$F:$F,"&lt;=31.12."&amp;'Vorschau JA'!$A2)</f>
        <v/>
      </c>
      <c r="F2" s="214">
        <f>D2+E2</f>
        <v/>
      </c>
      <c r="G2" s="214">
        <f>B2-F2</f>
        <v/>
      </c>
      <c r="H2" s="214">
        <f>IF(G2&lt;=11000,0,
  IF(G2&lt;=25000,((G2-11000)*5110)/14000,
  IF(G2&lt;=60000,((G2-25000)*15125)/35000+5110,
               (G2-60000)*0.5+20235)))</f>
        <v/>
      </c>
      <c r="I2" s="214">
        <f>G2-H2</f>
        <v/>
      </c>
      <c r="J2" s="214">
        <f>I2/12</f>
        <v/>
      </c>
      <c r="K2">
        <f>G2/2</f>
        <v/>
      </c>
      <c r="L2" s="37">
        <f>H2/$B2</f>
        <v/>
      </c>
      <c r="M2">
        <f>SUMIFS(Ausgaben_bis_2018!T:T,Ausgaben_bis_2018!$F:$F,"&gt;=01.01."&amp;'Vorschau JA'!$A2,Ausgaben_bis_2018!$F:$F,"&lt;=31.12."&amp;'Vorschau JA'!$A2, Ausgaben_bis_2018!$H:$H,"=Sozialversicherungsanstalt der gewerblichen Wirtschaft, Landesstelle Wien, Wiedner Hauptstraße 84-86, A-1051 Wien")</f>
        <v/>
      </c>
      <c r="N2" s="37">
        <f>M2/$B2</f>
        <v/>
      </c>
      <c r="O2" s="47" t="n">
        <v>6</v>
      </c>
      <c r="P2" s="214">
        <f>(G2+M2)/O2</f>
        <v/>
      </c>
      <c r="Q2" s="214">
        <f>18.5%*P2</f>
        <v/>
      </c>
      <c r="R2" s="214">
        <f>7.65%*P2</f>
        <v/>
      </c>
      <c r="S2" s="214" t="n"/>
      <c r="T2" s="214">
        <f>O2*(Q2+R2+S2)</f>
        <v/>
      </c>
      <c r="U2" s="214">
        <f>T2-M2</f>
        <v/>
      </c>
      <c r="V2" s="37">
        <f>H2/G2</f>
        <v/>
      </c>
      <c r="W2" s="37">
        <f>M2/I2</f>
        <v/>
      </c>
      <c r="X2" t="n">
        <v>372.29</v>
      </c>
      <c r="Y2" t="n">
        <v>41.14</v>
      </c>
      <c r="Z2">
        <f>(X2*12+Y2*12)</f>
        <v/>
      </c>
      <c r="AA2">
        <f>Z2-M2</f>
        <v/>
      </c>
      <c r="AB2" s="37">
        <f>AA2/I2</f>
        <v/>
      </c>
      <c r="AC2" s="37">
        <f>AB2+V2</f>
        <v/>
      </c>
    </row>
    <row r="3">
      <c r="A3" s="2" t="n">
        <v>2016</v>
      </c>
      <c r="B3" s="214">
        <f>SUMIFS(Rechnung_Ausgang!H:H,Rechnung_Ausgang!$D:$D,"&gt;=01.01."&amp;'Vorschau JA'!$A3,Rechnung_Ausgang!$D:$D,"&lt;=31.12."&amp;'Vorschau JA'!$A3)</f>
        <v/>
      </c>
      <c r="C3" s="214" t="n"/>
      <c r="D3" s="214">
        <f>SUMIFS(Ausgaben_bis_2018!Z:Z,Ausgaben_bis_2018!$F:$F,"&gt;=01.01."&amp;'Vorschau JA'!$A3,Ausgaben_bis_2018!$F:$F,"&lt;=31.12."&amp;'Vorschau JA'!$A3)</f>
        <v/>
      </c>
      <c r="F3" s="214">
        <f>D3+E3</f>
        <v/>
      </c>
      <c r="G3" s="214">
        <f>B3-F3</f>
        <v/>
      </c>
      <c r="H3" s="214">
        <f>IF(G3&lt;=11000,0,
  IF(G3&lt;=18000,((G3-11000)*1750)/7000,
  IF(G3&lt;=25000,((G3-18000)*2450)/7000+1750,
  IF(G3&lt;=31000,((G3-25000)*2100)/6000+1750+2450,
  IF(G3&lt;=60000,((G3-31000)*12180)/29000+1750+2450+2100,
  IF(G3&lt;=90000,((G3-60000)*14400)/30000+1750+2450+2100+12180,
  IF(G3&lt;=1000000,((G3-90000)*455000)/910000+1750+2450+2100+12180+14400,
               (G3-1000000)*0.55+1750+2450+2100+12180+14400+455000)))))))</f>
        <v/>
      </c>
      <c r="I3" s="214">
        <f>G3-H3</f>
        <v/>
      </c>
      <c r="J3" s="214">
        <f>I3/12</f>
        <v/>
      </c>
      <c r="K3">
        <f>G3/2</f>
        <v/>
      </c>
      <c r="L3" s="37">
        <f>H3/$B3</f>
        <v/>
      </c>
      <c r="M3">
        <f>SUMIFS(Ausgaben_bis_2018!T:T,Ausgaben_bis_2018!$F:$F,"&gt;=01.01."&amp;'Vorschau JA'!$A3,Ausgaben_bis_2018!$F:$F,"&lt;=31.12."&amp;'Vorschau JA'!$A3, Ausgaben_bis_2018!$H:$H,"=Sozialversicherungsanstalt der gewerblichen Wirtschaft, Landesstelle Wien, Wiedner Hauptstraße 84-86, A-1051 Wien")</f>
        <v/>
      </c>
      <c r="N3" s="37">
        <f>M3/$B3</f>
        <v/>
      </c>
      <c r="O3" s="47" t="n">
        <v>12</v>
      </c>
      <c r="P3" s="214">
        <f>(G3+M3)/O3</f>
        <v/>
      </c>
      <c r="Q3" s="214">
        <f>18.5%*P3</f>
        <v/>
      </c>
      <c r="R3" s="214">
        <f>7.65%*P3</f>
        <v/>
      </c>
      <c r="S3" s="214" t="n"/>
      <c r="T3" s="214">
        <f>O3*(Q3+R3+S3)</f>
        <v/>
      </c>
      <c r="U3" s="214">
        <f>T3-M3</f>
        <v/>
      </c>
      <c r="V3" s="37">
        <f>H3/G3</f>
        <v/>
      </c>
      <c r="W3" s="37">
        <f>M3/I3</f>
        <v/>
      </c>
      <c r="X3" t="n">
        <v>715.83</v>
      </c>
      <c r="Y3" t="n">
        <v>31.8</v>
      </c>
      <c r="Z3">
        <f>(X3*12+Y3*12)</f>
        <v/>
      </c>
      <c r="AA3">
        <f>Z3-M3</f>
        <v/>
      </c>
      <c r="AB3" s="37">
        <f>AA3/I3</f>
        <v/>
      </c>
      <c r="AC3" s="37">
        <f>AB3+V3</f>
        <v/>
      </c>
      <c r="AG3" t="inlineStr">
        <is>
          <t>nach altem Tarif:</t>
        </is>
      </c>
      <c r="AH3" t="n">
        <v>18948.8284</v>
      </c>
      <c r="AI3">
        <f>AH3-H3</f>
        <v/>
      </c>
      <c r="AJ3" s="39" t="inlineStr">
        <is>
          <t>&lt;&lt;==Ersparnis durch Steuerreform 2016</t>
        </is>
      </c>
    </row>
    <row r="4">
      <c r="A4" s="2" t="n">
        <v>2017</v>
      </c>
      <c r="B4" s="214">
        <f>SUMIFS(Rechnung_Ausgang!H:H,Rechnung_Ausgang!$D:$D,"&gt;=01.01."&amp;'Vorschau JA'!$A4,Rechnung_Ausgang!$D:$D,"&lt;=31.12."&amp;'Vorschau JA'!$A4)</f>
        <v/>
      </c>
      <c r="C4" s="214" t="n"/>
      <c r="D4" s="214">
        <f>SUMIFS(Ausgaben_bis_2018!Z:Z,Ausgaben_bis_2018!$F:$F,"&gt;=01.01."&amp;'Vorschau JA'!$A4,Ausgaben_bis_2018!$F:$F,"&lt;=31.12."&amp;'Vorschau JA'!$A4)</f>
        <v/>
      </c>
      <c r="F4" s="214">
        <f>D4+E4</f>
        <v/>
      </c>
      <c r="G4" s="214">
        <f>B4-F4</f>
        <v/>
      </c>
      <c r="H4" s="214">
        <f>IF(G4&lt;=11000,0,
IF(G4&lt;=18000,((G4-11000)*1750)/7000,
IF(G4&lt;=25000,((G4-18000)*2450)/7000+1750,
IF(G4&lt;=31000,((G4-25000)*2100)/6000+1750+2450,
IF(G4&lt;=60000,((G4-31000)*12180)/29000+1750+2450+2100,
IF(G4&lt;=90000,((G4-60000)*14400)/30000+1750+2450+2100+12180,
IF(G4&lt;=1000000,((G4-90000)*455000)/910000+1750+2450+2100+12180+14400,
(G4-1000000)*0.55+1750+2450+2100+12180+14400+455000)))))))</f>
        <v/>
      </c>
      <c r="I4" s="214">
        <f>G4-H4</f>
        <v/>
      </c>
      <c r="J4" s="214">
        <f>I4/12</f>
        <v/>
      </c>
      <c r="K4">
        <f>G4/2</f>
        <v/>
      </c>
      <c r="L4" s="37">
        <f>H4/$B4</f>
        <v/>
      </c>
      <c r="M4">
        <f>SUMIFS(Ausgaben_bis_2018!T:T,Ausgaben_bis_2018!$F:$F,"&gt;=01.01."&amp;'Vorschau JA'!$A4,Ausgaben_bis_2018!$F:$F,"&lt;=31.12."&amp;'Vorschau JA'!$A4, Ausgaben_bis_2018!$H:$H,"=Sozialversicherungsanstalt der gewerblichen Wirtschaft, Landesstelle Wien, Wiedner Hauptstraße 84-86, A-1051 Wien")</f>
        <v/>
      </c>
      <c r="N4" s="37">
        <f>M4/$B4</f>
        <v/>
      </c>
      <c r="O4" s="47" t="n">
        <v>12</v>
      </c>
      <c r="P4" s="214">
        <f>(G4+M4)/O4</f>
        <v/>
      </c>
      <c r="Q4" s="214">
        <f>18.5%*P4</f>
        <v/>
      </c>
      <c r="R4" s="214">
        <f>7.65%*P4</f>
        <v/>
      </c>
      <c r="S4" s="214" t="n">
        <v>9.33</v>
      </c>
      <c r="T4" s="214">
        <f>O4*(Q4+R4+S4)</f>
        <v/>
      </c>
      <c r="U4" s="214">
        <f>T4-M4</f>
        <v/>
      </c>
      <c r="V4" s="37">
        <f>H4/G4</f>
        <v/>
      </c>
      <c r="W4" s="37">
        <f>M4/I4</f>
        <v/>
      </c>
      <c r="X4" t="n">
        <v>225.28</v>
      </c>
      <c r="Y4" t="n">
        <v>93.16</v>
      </c>
      <c r="Z4">
        <f>(X4*12+Y4*12)</f>
        <v/>
      </c>
      <c r="AA4">
        <f>Z4-M4</f>
        <v/>
      </c>
      <c r="AB4" s="37">
        <f>AA4/I4</f>
        <v/>
      </c>
      <c r="AC4" s="37">
        <f>AB4+V4</f>
        <v/>
      </c>
      <c r="AJ4" s="39" t="n"/>
    </row>
    <row r="5" customFormat="1" s="125">
      <c r="A5" s="128" t="n">
        <v>2018</v>
      </c>
      <c r="B5" s="228">
        <f>SUMIFS(Rechnung_Ausgang!H:H,Rechnung_Ausgang!$D:$D,"&gt;=01.01."&amp;'Vorschau JA'!$A5,Rechnung_Ausgang!$D:$D,"&lt;=31.12."&amp;'Vorschau JA'!$A5)</f>
        <v/>
      </c>
      <c r="C5" s="228" t="n"/>
      <c r="D5" s="228">
        <f>SUMIFS(Ausgaben_bis_2018!Z:Z,Ausgaben_bis_2018!$F:$F,"&gt;=01.01."&amp;'Vorschau JA'!$A5,Ausgaben_bis_2018!$F:$F,"&lt;=31.12."&amp;'Vorschau JA'!$A5)</f>
        <v/>
      </c>
      <c r="E5" s="228" t="n"/>
      <c r="F5" s="228">
        <f>D5+E5</f>
        <v/>
      </c>
      <c r="G5" s="228">
        <f>B5-F5</f>
        <v/>
      </c>
      <c r="H5" s="228">
        <f>IF(G5&lt;=11000,0,
IF(G5&lt;=18000,((G5-11000)*1750)/7000,
IF(G5&lt;=25000,((G5-18000)*2450)/7000+1750,
IF(G5&lt;=31000,((G5-25000)*2100)/6000+1750+2450,
IF(G5&lt;=60000,((G5-31000)*12180)/29000+1750+2450+2100,
IF(G5&lt;=90000,((G5-60000)*14400)/30000+1750+2450+2100+12180,
IF(G5&lt;=1000000,((G5-90000)*455000)/910000+1750+2450+2100+12180+14400,
(G5-1000000)*0.55+1750+2450+2100+12180+14400+455000)))))))</f>
        <v/>
      </c>
      <c r="I5" s="228">
        <f>G5-H5</f>
        <v/>
      </c>
      <c r="J5" s="228">
        <f>I5/12</f>
        <v/>
      </c>
      <c r="K5" s="125">
        <f>G5/2</f>
        <v/>
      </c>
      <c r="L5" s="129">
        <f>H5/$B5</f>
        <v/>
      </c>
      <c r="M5" s="125">
        <f>SUMIFS(Ausgaben_bis_2018!T:T,Ausgaben_bis_2018!$F:$F,"&gt;=01.01."&amp;'Vorschau JA'!$A5,Ausgaben_bis_2018!$F:$F,"&lt;=31.12."&amp;'Vorschau JA'!$A5, Ausgaben_bis_2018!$H:$H,"=Sozialversicherungsanstalt der gewerblichen Wirtschaft, Landesstelle Wien, Wiedner Hauptstraße 84-86, A-1051 Wien")</f>
        <v/>
      </c>
      <c r="N5" s="129">
        <f>M5/$B5</f>
        <v/>
      </c>
      <c r="O5" s="130" t="n">
        <v>12</v>
      </c>
      <c r="P5" s="228">
        <f>(G5+M5)/O5</f>
        <v/>
      </c>
      <c r="Q5" s="228">
        <f>18.5%*P5</f>
        <v/>
      </c>
      <c r="R5" s="228">
        <f>7.65%*P5</f>
        <v/>
      </c>
      <c r="S5" s="228" t="n">
        <v>9.33</v>
      </c>
      <c r="T5" s="228">
        <f>O5*(Q5+R5+S5)</f>
        <v/>
      </c>
      <c r="U5" s="228">
        <f>T5-M5</f>
        <v/>
      </c>
      <c r="V5" s="129">
        <f>H5/G5</f>
        <v/>
      </c>
      <c r="W5" s="129">
        <f>M5/I5</f>
        <v/>
      </c>
      <c r="X5" s="125" t="n">
        <v>225.28</v>
      </c>
      <c r="Y5" s="125" t="n">
        <v>93.16</v>
      </c>
      <c r="Z5" s="125">
        <f>(X5*12+Y5*12)</f>
        <v/>
      </c>
      <c r="AA5" s="125">
        <f>Z5-M5</f>
        <v/>
      </c>
      <c r="AB5" s="129">
        <f>AA5/I5</f>
        <v/>
      </c>
      <c r="AC5" s="129">
        <f>AB5+V5</f>
        <v/>
      </c>
    </row>
    <row r="6">
      <c r="A6" s="2" t="n">
        <v>2018</v>
      </c>
      <c r="B6" s="229">
        <f>11681+B5</f>
        <v/>
      </c>
      <c r="C6" s="229" t="n"/>
      <c r="D6" s="214">
        <f>SUMIFS(Ausgaben_bis_2018!Z:Z,Ausgaben_bis_2018!$F:$F,"&gt;=01.01."&amp;'Vorschau JA'!$A6,Ausgaben_bis_2018!$F:$F,"&lt;=31.12."&amp;'Vorschau JA'!$A6)</f>
        <v/>
      </c>
      <c r="F6" s="214">
        <f>D6+E6</f>
        <v/>
      </c>
      <c r="G6" s="214">
        <f>B6-F6</f>
        <v/>
      </c>
      <c r="H6" s="214">
        <f>IF(G6&lt;=11000,0,
IF(G6&lt;=18000,((G6-11000)*1750)/7000,
IF(G6&lt;=25000,((G6-18000)*2450)/7000+1750,
IF(G6&lt;=31000,((G6-25000)*2100)/6000+1750+2450,
IF(G6&lt;=60000,((G6-31000)*12180)/29000+1750+2450+2100,
IF(G6&lt;=90000,((G6-60000)*14400)/30000+1750+2450+2100+12180,
IF(G6&lt;=1000000,((G6-90000)*455000)/910000+1750+2450+2100+12180+14400,
(G6-1000000)*0.55+1750+2450+2100+12180+14400+455000)))))))</f>
        <v/>
      </c>
      <c r="I6" s="214">
        <f>G6-H6</f>
        <v/>
      </c>
      <c r="J6" s="230">
        <f>I6/12</f>
        <v/>
      </c>
      <c r="K6">
        <f>G6/2</f>
        <v/>
      </c>
      <c r="L6" s="37">
        <f>H6/$B6</f>
        <v/>
      </c>
      <c r="M6">
        <f>SUMIFS(Ausgaben_bis_2018!T:T,Ausgaben_bis_2018!$F:$F,"&gt;=01.01."&amp;'Vorschau JA'!$A6,Ausgaben_bis_2018!$F:$F,"&lt;=31.12."&amp;'Vorschau JA'!$A6, Ausgaben_bis_2018!$H:$H,"=Sozialversicherungsanstalt der gewerblichen Wirtschaft, Landesstelle Wien, Wiedner Hauptstraße 84-86, A-1051 Wien")</f>
        <v/>
      </c>
      <c r="N6" s="37">
        <f>M6/$B6</f>
        <v/>
      </c>
      <c r="O6" s="47" t="n">
        <v>12</v>
      </c>
      <c r="P6" s="214">
        <f>(G6+M6)/O6</f>
        <v/>
      </c>
      <c r="Q6" s="214">
        <f>18.5%*P6</f>
        <v/>
      </c>
      <c r="R6" s="214">
        <f>7.65%*P6</f>
        <v/>
      </c>
      <c r="S6" s="214" t="n">
        <v>9.33</v>
      </c>
      <c r="T6" s="214">
        <f>O6*(Q6+R6+S6)</f>
        <v/>
      </c>
      <c r="U6" s="214">
        <f>T6-M6</f>
        <v/>
      </c>
      <c r="V6" s="37">
        <f>H6/G6</f>
        <v/>
      </c>
      <c r="W6" s="37">
        <f>M6/I6</f>
        <v/>
      </c>
      <c r="X6" t="n">
        <v>225.28</v>
      </c>
      <c r="Y6" t="n">
        <v>93.16</v>
      </c>
      <c r="Z6">
        <f>(X6*12+Y6*12)</f>
        <v/>
      </c>
      <c r="AA6">
        <f>Z6-M6</f>
        <v/>
      </c>
      <c r="AB6" s="37">
        <f>AA6/I6</f>
        <v/>
      </c>
      <c r="AC6" s="37">
        <f>AB6+V6</f>
        <v/>
      </c>
    </row>
    <row r="7">
      <c r="A7" s="2" t="n">
        <v>2019</v>
      </c>
      <c r="B7" s="214">
        <f>SUMIFS(Rechnung_Ausgang!H:H,Rechnung_Ausgang!$D:$D,"&gt;=01.01."&amp;'Vorschau JA'!$A7,Rechnung_Ausgang!$D:$D,"&lt;=31.12."&amp;'Vorschau JA'!$A7)</f>
        <v/>
      </c>
      <c r="C7" s="214" t="n"/>
      <c r="D7" s="214">
        <f>SUMIFS(Journal_ab_2019!Q:Q,Journal_ab_2019!$G:$G,"&gt;=01.01."&amp;'Vorschau JA'!$A7,Journal_ab_2019!$G:$G,"&lt;=31.12."&amp;'Vorschau JA'!$A7,Journal_ab_2019!C:C,"Ausgaben",Journal_ab_2019!K:K,FALSE)</f>
        <v/>
      </c>
      <c r="E7" s="214">
        <f>SUM(AV!H2:H5)</f>
        <v/>
      </c>
      <c r="F7" s="214">
        <f>D7+E7</f>
        <v/>
      </c>
      <c r="G7" s="214">
        <f>B7-F7</f>
        <v/>
      </c>
      <c r="H7" s="214">
        <f>IF(G7&lt;=11000,0,
IF(G7&lt;=18000,((G7-11000)*1750)/7000,
IF(G7&lt;=25000,((G7-18000)*2450)/7000+1750,
IF(G7&lt;=31000,((G7-25000)*2100)/6000+1750+2450,
IF(G7&lt;=60000,((G7-31000)*12180)/29000+1750+2450+2100,
IF(G7&lt;=90000,((G7-60000)*14400)/30000+1750+2450+2100+12180,
IF(G7&lt;=1000000,((G7-90000)*455000)/910000+1750+2450+2100+12180+14400,
(G7-1000000)*0.55+1750+2450+2100+12180+14400+455000)))))))</f>
        <v/>
      </c>
      <c r="I7" s="214">
        <f>G7-H7</f>
        <v/>
      </c>
      <c r="J7" s="230">
        <f>I7/12</f>
        <v/>
      </c>
      <c r="K7">
        <f>G7/2</f>
        <v/>
      </c>
      <c r="L7" s="37">
        <f>H7/$B7</f>
        <v/>
      </c>
      <c r="M7">
        <f>4*4296.6</f>
        <v/>
      </c>
      <c r="N7" s="37">
        <f>M7/$B7</f>
        <v/>
      </c>
      <c r="O7" s="47" t="n">
        <v>12</v>
      </c>
      <c r="P7" s="214">
        <f>(G7+M7)/O7</f>
        <v/>
      </c>
      <c r="Q7" s="214">
        <f>18.5%*P7</f>
        <v/>
      </c>
      <c r="R7" s="214">
        <f>7.65%*P7</f>
        <v/>
      </c>
      <c r="S7" s="214" t="n">
        <v>9.33</v>
      </c>
      <c r="T7" s="214">
        <f>O7*(Q7+R7+S7)</f>
        <v/>
      </c>
      <c r="U7" s="214">
        <f>T7-M7</f>
        <v/>
      </c>
      <c r="V7" s="37">
        <f>H7/G7</f>
        <v/>
      </c>
      <c r="W7" s="37">
        <f>M7/I7</f>
        <v/>
      </c>
      <c r="X7" t="n">
        <v>225.28</v>
      </c>
      <c r="Y7" t="n">
        <v>93.16</v>
      </c>
      <c r="Z7">
        <f>(X7*12+Y7*12)</f>
        <v/>
      </c>
      <c r="AA7">
        <f>Z7-M7</f>
        <v/>
      </c>
      <c r="AB7" s="37">
        <f>AA7/I7</f>
        <v/>
      </c>
      <c r="AC7" s="37">
        <f>AB7+V7</f>
        <v/>
      </c>
    </row>
    <row r="8">
      <c r="A8" s="2" t="n">
        <v>2020</v>
      </c>
      <c r="B8" s="214">
        <f>SUMIFS(Rechnung_Ausgang!H:H,Rechnung_Ausgang!$D:$D,"&gt;=01.01."&amp;'Vorschau JA'!$A8,Rechnung_Ausgang!$D:$D,"&lt;=31.12."&amp;'Vorschau JA'!$A8)</f>
        <v/>
      </c>
      <c r="C8" s="214" t="n"/>
      <c r="D8" s="214">
        <f>SUMIFS(Journal_ab_2019!Q:Q,Journal_ab_2019!$G:$G,"&gt;=01.01."&amp;'Vorschau JA'!$A8,Journal_ab_2019!$G:$G,"&lt;=31.12."&amp;'Vorschau JA'!$A8,Journal_ab_2019!C:C,"Ausgaben",Journal_ab_2019!K:K,FALSE)</f>
        <v/>
      </c>
      <c r="E8" s="214" t="n">
        <v>1559.056666666667</v>
      </c>
      <c r="F8" s="214">
        <f>D8+E8</f>
        <v/>
      </c>
      <c r="G8" s="214">
        <f>B8-F8</f>
        <v/>
      </c>
      <c r="H8" s="214">
        <f>IF(G8&lt;=11000,0,
IF(G8&lt;=18000,((G8-11000)*1750)/7000,
IF(G8&lt;=25000,((G8-18000)*2450)/7000+1750,
IF(G8&lt;=31000,((G8-25000)*2100)/6000+1750+2450,
IF(G8&lt;=60000,((G8-31000)*12180)/29000+1750+2450+2100,
IF(G8&lt;=90000,((G8-60000)*14400)/30000+1750+2450+2100+12180,
IF(G8&lt;=1000000,((G8-90000)*455000)/910000+1750+2450+2100+12180+14400,
(G8-1000000)*0.55+1750+2450+2100+12180+14400+455000)))))))</f>
        <v/>
      </c>
      <c r="I8" s="214">
        <f>G8-H8</f>
        <v/>
      </c>
      <c r="J8" s="230">
        <f>I8/12</f>
        <v/>
      </c>
      <c r="K8">
        <f>G8/2</f>
        <v/>
      </c>
      <c r="L8" s="37">
        <f>H8/$B8</f>
        <v/>
      </c>
      <c r="M8">
        <f>925.23*4</f>
        <v/>
      </c>
      <c r="N8" s="37">
        <f>M8/$B8</f>
        <v/>
      </c>
      <c r="O8" s="47" t="n">
        <v>12</v>
      </c>
      <c r="P8" s="214">
        <f>(G8+M8)/O8</f>
        <v/>
      </c>
      <c r="Q8" s="214">
        <f>18.5%*P8</f>
        <v/>
      </c>
      <c r="R8" s="214">
        <f>7.65%*P8</f>
        <v/>
      </c>
      <c r="S8" s="214" t="n">
        <v>9.33</v>
      </c>
      <c r="T8" s="214">
        <f>O8*(Q8+R8+S8)</f>
        <v/>
      </c>
      <c r="U8" s="214">
        <f>T8-M8</f>
        <v/>
      </c>
      <c r="V8" s="37">
        <f>H8/G8</f>
        <v/>
      </c>
      <c r="W8" s="37">
        <f>M8/I8</f>
        <v/>
      </c>
      <c r="X8" t="n">
        <v>225.28</v>
      </c>
      <c r="Y8" t="n">
        <v>93.16</v>
      </c>
      <c r="Z8">
        <f>(X8*12+Y8*12)</f>
        <v/>
      </c>
      <c r="AA8">
        <f>Z8-M8</f>
        <v/>
      </c>
      <c r="AB8" s="37">
        <f>AA8/I8</f>
        <v/>
      </c>
      <c r="AC8" s="37">
        <f>AB8+V8</f>
        <v/>
      </c>
    </row>
    <row r="9">
      <c r="A9" s="2" t="n">
        <v>2021</v>
      </c>
      <c r="B9" s="214">
        <f>SUMIFS(Rechnung_Ausgang!H:H,Rechnung_Ausgang!$D:$D,"&gt;=01.01."&amp;'Vorschau JA'!$A9,Rechnung_Ausgang!$D:$D,"&lt;=31.12."&amp;'Vorschau JA'!$A9)</f>
        <v/>
      </c>
      <c r="C9" s="214">
        <f>SUMIFS(Journal_ab_2019!$Q:$Q,Journal_ab_2019!$G:$G,"&gt;=01.01."&amp;'Vorschau JA'!$A9,Journal_ab_2019!$G:$G,"&lt;=31.12."&amp;'Vorschau JA'!$A9,Journal_ab_2019!$D:$D,"Waren-/Leistungserlöse")</f>
        <v/>
      </c>
      <c r="D9" s="214">
        <f>SUMIFS(Journal_ab_2019!Q:Q,Journal_ab_2019!$G:$G,"&gt;=01.01."&amp;'Vorschau JA'!$A9,Journal_ab_2019!$G:$G,"&lt;=31.12."&amp;'Vorschau JA'!$A9,Journal_ab_2019!C:C,"Ausgaben",Journal_ab_2019!K:K,FALSE)</f>
        <v/>
      </c>
      <c r="E9" s="231" t="n">
        <v>1848.332666666667</v>
      </c>
      <c r="F9" s="214">
        <f>D9+E9</f>
        <v/>
      </c>
      <c r="G9" s="214">
        <f>B9-F9</f>
        <v/>
      </c>
      <c r="H9" s="214">
        <f>IF(G9&lt;=11000,0,
IF(G9&lt;=18000,((G9-11000)*1750)/7000,
IF(G9&lt;=25000,((G9-18000)*2450)/7000+1750,
IF(G9&lt;=31000,((G9-25000)*2100)/6000+1750+2450,
IF(G9&lt;=60000,((G9-31000)*12180)/29000+1750+2450+2100,
IF(G9&lt;=90000,((G9-60000)*14400)/30000+1750+2450+2100+12180,
IF(G9&lt;=1000000,((G9-90000)*455000)/910000+1750+2450+2100+12180+14400,
(G9-1000000)*0.55+1750+2450+2100+12180+14400+455000)))))))</f>
        <v/>
      </c>
      <c r="I9" s="214">
        <f>G9-H9</f>
        <v/>
      </c>
      <c r="J9" s="214">
        <f>I9/12</f>
        <v/>
      </c>
      <c r="K9">
        <f>G9/2</f>
        <v/>
      </c>
      <c r="L9" s="37">
        <f>H9/$B9</f>
        <v/>
      </c>
      <c r="M9" s="3">
        <f>925.23*4</f>
        <v/>
      </c>
      <c r="N9" s="37">
        <f>M9/$B9</f>
        <v/>
      </c>
      <c r="O9" s="47" t="n">
        <v>12</v>
      </c>
      <c r="P9" s="214">
        <f>(G9+M9)/O9</f>
        <v/>
      </c>
      <c r="Q9" s="214">
        <f>18.5%*P9</f>
        <v/>
      </c>
      <c r="R9" s="214">
        <f>7.65%*P9</f>
        <v/>
      </c>
      <c r="S9" s="214" t="n">
        <v>9.33</v>
      </c>
      <c r="T9" s="214">
        <f>O9*(Q9+R9+S9)</f>
        <v/>
      </c>
      <c r="U9" s="214">
        <f>T9-M9</f>
        <v/>
      </c>
      <c r="V9" s="37">
        <f>H9/G9</f>
        <v/>
      </c>
      <c r="W9" s="37">
        <f>M9/I9</f>
        <v/>
      </c>
      <c r="X9" t="n">
        <v>225.28</v>
      </c>
      <c r="Y9" t="n">
        <v>93.16</v>
      </c>
      <c r="Z9">
        <f>(X9*12+Y9*12)</f>
        <v/>
      </c>
      <c r="AA9">
        <f>Z9-M9</f>
        <v/>
      </c>
      <c r="AB9" s="37">
        <f>AA9/I9</f>
        <v/>
      </c>
      <c r="AC9" s="37">
        <f>AB9+V9</f>
        <v/>
      </c>
    </row>
    <row r="10">
      <c r="A10" s="2" t="n">
        <v>2022</v>
      </c>
      <c r="B10" s="232">
        <f>SUMIFS(Rechnung_Ausgang!H:H,Rechnung_Ausgang!$D:$D,"&gt;=01.01."&amp;'Vorschau JA'!$A10,Rechnung_Ausgang!$D:$D,"&lt;=31.12."&amp;'Vorschau JA'!$A10)</f>
        <v/>
      </c>
      <c r="C10" s="232">
        <f>SUMIFS(Journal_ab_2019!$Q:$Q,Journal_ab_2019!$G:$G,"&gt;=01.01."&amp;'Vorschau JA'!$A10,Journal_ab_2019!$G:$G,"&lt;=31.12."&amp;'Vorschau JA'!$A10,Journal_ab_2019!$D:$D,"Waren-/Leistungserlöse")</f>
        <v/>
      </c>
      <c r="D10" s="214">
        <f>SUMIFS(Journal_ab_2019!Q:Q,Journal_ab_2019!$G:$G,"&gt;=01.01."&amp;'Vorschau JA'!$A10,Journal_ab_2019!$G:$G,"&lt;=31.12."&amp;'Vorschau JA'!$A10,Journal_ab_2019!C:C,"Ausgaben",Journal_ab_2019!K:K,FALSE)</f>
        <v/>
      </c>
      <c r="E10" s="233" t="n"/>
      <c r="F10" s="214">
        <f>D10+E10</f>
        <v/>
      </c>
      <c r="G10" s="214">
        <f>B10-F10</f>
        <v/>
      </c>
      <c r="H10" s="214">
        <f>IF(G10&lt;=11000,0,
IF(G10&lt;=18000,((G10-11000)*1750)/7000,
IF(G10&lt;=25000,((G10-18000)*2450)/7000+1750,
IF(G10&lt;=31000,((G10-25000)*2100)/6000+1750+2450,
IF(G10&lt;=60000,((G10-31000)*12180)/29000+1750+2450+2100,
IF(G10&lt;=90000,((G10-60000)*14400)/30000+1750+2450+2100+12180,
IF(G10&lt;=1000000,((G10-90000)*455000)/910000+1750+2450+2100+12180+14400,
(G10-1000000)*0.55+1750+2450+2100+12180+14400+455000)))))))</f>
        <v/>
      </c>
      <c r="I10" s="214">
        <f>G10-H10</f>
        <v/>
      </c>
      <c r="J10" s="214">
        <f>I10/12</f>
        <v/>
      </c>
      <c r="K10">
        <f>G10/2</f>
        <v/>
      </c>
      <c r="L10" s="37">
        <f>H10/$B10</f>
        <v/>
      </c>
      <c r="M10" s="3">
        <f>925.23*4</f>
        <v/>
      </c>
      <c r="N10" s="37">
        <f>M10/$B10</f>
        <v/>
      </c>
      <c r="O10" s="47" t="n">
        <v>12</v>
      </c>
      <c r="P10" s="214">
        <f>(G10+M10)/O10</f>
        <v/>
      </c>
      <c r="Q10" s="214">
        <f>18.5%*P10</f>
        <v/>
      </c>
      <c r="R10" s="214">
        <f>7.65%*P10</f>
        <v/>
      </c>
      <c r="S10" s="214" t="n">
        <v>9.33</v>
      </c>
      <c r="T10" s="214">
        <f>O10*(Q10+R10+S10)</f>
        <v/>
      </c>
      <c r="U10" s="214">
        <f>T10-M10</f>
        <v/>
      </c>
      <c r="V10" s="37">
        <f>H10/G10</f>
        <v/>
      </c>
      <c r="W10" s="37">
        <f>M10/I10</f>
        <v/>
      </c>
      <c r="X10" t="n">
        <v>225.28</v>
      </c>
      <c r="Y10" t="n">
        <v>93.16</v>
      </c>
      <c r="Z10">
        <f>(X10*12+Y10*12)</f>
        <v/>
      </c>
      <c r="AA10">
        <f>Z10-M10</f>
        <v/>
      </c>
      <c r="AB10" s="37">
        <f>AA10/I10</f>
        <v/>
      </c>
      <c r="AC10" s="37">
        <f>AB10+V10</f>
        <v/>
      </c>
    </row>
    <row r="11" customFormat="1" s="150">
      <c r="A11" s="2" t="n">
        <v>2023</v>
      </c>
      <c r="B11" s="232">
        <f>SUMIFS(Rechnung_Ausgang!H:H,Rechnung_Ausgang!$D:$D,"&gt;=01.01."&amp;'Vorschau JA'!$A11,Rechnung_Ausgang!$D:$D,"&lt;=31.12."&amp;'Vorschau JA'!$A11)</f>
        <v/>
      </c>
      <c r="C11" s="232">
        <f>SUMIFS(Journal_ab_2019!$Q:$Q,Journal_ab_2019!$G:$G,"&gt;=01.01."&amp;'Vorschau JA'!$A11,Journal_ab_2019!$G:$G,"&lt;=31.12."&amp;'Vorschau JA'!$A11,Journal_ab_2019!$D:$D,"Waren-/Leistungserlöse")</f>
        <v/>
      </c>
      <c r="D11" s="214">
        <f>SUMIFS(Journal_ab_2019!Q:Q,Journal_ab_2019!$G:$G,"&gt;=01.01."&amp;'Vorschau JA'!$A11,Journal_ab_2019!$G:$G,"&lt;=31.12."&amp;'Vorschau JA'!$A11,Journal_ab_2019!C:C,"Ausgaben",Journal_ab_2019!K:K,FALSE)</f>
        <v/>
      </c>
      <c r="E11" s="233" t="n"/>
      <c r="F11" s="214">
        <f>D11+E11</f>
        <v/>
      </c>
      <c r="G11" s="214">
        <f>B11-F11</f>
        <v/>
      </c>
      <c r="H11" s="214">
        <f>IF(G11&lt;=11000,0,
  IF(G11&lt;=18000,((G11-11000)*1750)/7000,
  IF(G11&lt;=25000,((G11-18000)*2450)/7000+1750,
  IF(G11&lt;=31000,((G11-25000)*2100)/6000+1750+2450,
  IF(G11&lt;=60000,((G11-31000)*12180)/29000+1750+2450+2100,
  IF(G11&lt;=90000,((G11-60000)*14400)/30000+1750+2450+2100+12180,
  IF(G11&lt;=1000000,((G11-90000)*455000)/910000+1750+2450+2100+12180+14400,
               (G11-1000000)*0.55+1750+2450+2100+12180+14400+455000)))))))</f>
        <v/>
      </c>
      <c r="I11" s="214">
        <f>G11-H11</f>
        <v/>
      </c>
      <c r="J11" s="214">
        <f>I11/12</f>
        <v/>
      </c>
      <c r="K11">
        <f>G11/2</f>
        <v/>
      </c>
      <c r="L11" s="37">
        <f>H11/$B11</f>
        <v/>
      </c>
      <c r="M11" s="3">
        <f>925.23*4</f>
        <v/>
      </c>
      <c r="N11" s="37">
        <f>M11/$B11</f>
        <v/>
      </c>
      <c r="O11" s="47" t="n">
        <v>12</v>
      </c>
      <c r="P11" s="214">
        <f>(G11+M11)/O11</f>
        <v/>
      </c>
      <c r="Q11" s="214">
        <f>18.5%*P11</f>
        <v/>
      </c>
      <c r="R11" s="214">
        <f>7.65%*P11</f>
        <v/>
      </c>
      <c r="S11" s="214" t="n">
        <v>9.33</v>
      </c>
      <c r="T11" s="214">
        <f>O11*(Q11+R11+S11)</f>
        <v/>
      </c>
      <c r="U11" s="214">
        <f>T11-M11</f>
        <v/>
      </c>
      <c r="V11" s="37">
        <f>H11/G11</f>
        <v/>
      </c>
      <c r="W11" s="37">
        <f>M11/I11</f>
        <v/>
      </c>
      <c r="X11" t="n">
        <v>225.28</v>
      </c>
      <c r="AB11" s="151" t="n"/>
      <c r="AC11" s="151" t="n"/>
    </row>
    <row r="12" customFormat="1" s="125">
      <c r="A12" s="199" t="n">
        <v>2024</v>
      </c>
      <c r="B12" s="228" t="n"/>
      <c r="C12" s="232">
        <f>SUMIFS(Journal_ab_2024!$Q:$Q,Journal_ab_2024!$E:$E,"&gt;=01.01."&amp;'Vorschau JA'!$A12,Journal_ab_2024!$E:$E,"&lt;=31.12."&amp;'Vorschau JA'!$A12,Journal_ab_2024!$D:$D,"Waren-/Leistungserlöse")+SUMIFS(Journal_ab_2024!$Q:$Q,Journal_ab_2024!$E:$E,"&gt;=01.01."&amp;'Vorschau JA'!$A12,Journal_ab_2024!$E:$E,"&lt;=31.12."&amp;'Vorschau JA'!$A12,Journal_ab_2024!$D:$D,"übrige Erträge")</f>
        <v/>
      </c>
      <c r="D12" s="214">
        <f>SUMIFS(Journal_ab_2024!$Q:$Q,Journal_ab_2024!$E:$E,"&gt;=01.01."&amp;'Vorschau JA'!$A12,Journal_ab_2024!$E:$E,"&lt;=31.12."&amp;'Vorschau JA'!$A12,Journal_ab_2024!$C:$C,"Ausgaben",Journal_ab_2024!$I:$I,FALSE)</f>
        <v/>
      </c>
      <c r="E12" s="233" t="n">
        <v>1300</v>
      </c>
      <c r="F12" s="214">
        <f>D12+E12</f>
        <v/>
      </c>
      <c r="G12" s="214">
        <f>C12-F12</f>
        <v/>
      </c>
      <c r="H12" s="214">
        <f>IF(G12&lt;=12816,0,IF(G12&lt;=20818,(G12-12816)*0.2,IF(G12&lt;=34513,(G12-20818)*0.3+1600.4,IF(G12&lt;=66612,(G12-34513)*0.4+5708.9,IF(G12&lt;=99266,(G12-66612)*0.48+18548.5,IF(G12&lt;=1000000,(G12-99266)*0.5+34222.42,(G12-1000000)*0.55+484589.42))))))</f>
        <v/>
      </c>
      <c r="I12" s="214">
        <f>G12-H12</f>
        <v/>
      </c>
      <c r="J12" s="214">
        <f>I12/12</f>
        <v/>
      </c>
      <c r="K12">
        <f>G12/2</f>
        <v/>
      </c>
      <c r="L12" s="37">
        <f>H12/$B12</f>
        <v/>
      </c>
      <c r="M12" s="3" t="n">
        <v>20000</v>
      </c>
      <c r="N12" s="37">
        <f>M12/$B12</f>
        <v/>
      </c>
      <c r="O12" s="47" t="n">
        <v>12</v>
      </c>
      <c r="P12" s="214">
        <f>(G12+M12)/O12</f>
        <v/>
      </c>
      <c r="Q12" s="214">
        <f>18.5%*P12</f>
        <v/>
      </c>
      <c r="R12" s="214">
        <f>7.65%*P12</f>
        <v/>
      </c>
      <c r="S12" s="214" t="n">
        <v>9.33</v>
      </c>
      <c r="T12" s="214">
        <f>O12*(Q12+R12+S12)</f>
        <v/>
      </c>
      <c r="U12" s="214">
        <f>T12-M12</f>
        <v/>
      </c>
      <c r="V12" s="37">
        <f>H12/G12</f>
        <v/>
      </c>
      <c r="W12" s="37">
        <f>M12/I12</f>
        <v/>
      </c>
      <c r="X12" t="n">
        <v>225.28</v>
      </c>
      <c r="Y12" s="150" t="n"/>
      <c r="Z12" s="150" t="n"/>
      <c r="AA12" s="150" t="n"/>
      <c r="AB12" s="151" t="n"/>
      <c r="AC12" s="151" t="n"/>
    </row>
    <row r="13">
      <c r="A13" s="2" t="n">
        <v>2025</v>
      </c>
      <c r="C13" s="232">
        <f>SUMIFS(Journal_ab_2024!$Q:$Q,Journal_ab_2024!$E:$E,"&gt;=01.01."&amp;'Vorschau JA'!$A13,Journal_ab_2024!$E:$E,"&lt;=31.12."&amp;'Vorschau JA'!$A13,Journal_ab_2024!$D:$D,"Waren-/Leistungserlöse")+SUMIFS(Journal_ab_2024!$Q:$Q,Journal_ab_2024!$E:$E,"&gt;=01.01."&amp;'Vorschau JA'!$A13,Journal_ab_2024!$E:$E,"&lt;=31.12."&amp;'Vorschau JA'!$A13,Journal_ab_2024!$D:$D,"übrige Erträge")</f>
        <v/>
      </c>
      <c r="D13" s="214">
        <f>SUMIFS(Journal_ab_2024!$Q:$Q,Journal_ab_2024!$E:$E,"&gt;=01.01."&amp;'Vorschau JA'!$A13,Journal_ab_2024!$E:$E,"&lt;=31.12."&amp;'Vorschau JA'!$A13,Journal_ab_2024!$C:$C,"Ausgaben",Journal_ab_2024!$I:$I,FALSE)</f>
        <v/>
      </c>
      <c r="F13" s="214">
        <f>D13+E13</f>
        <v/>
      </c>
      <c r="H13" t="inlineStr">
        <is>
          <t>Achtung: ab 2016 andere Steuerformel</t>
        </is>
      </c>
    </row>
    <row r="14">
      <c r="B14" s="234" t="n"/>
      <c r="C14" s="234" t="n"/>
      <c r="D14" t="n">
        <v>500000</v>
      </c>
      <c r="H14" t="inlineStr">
        <is>
          <t>Achtung: AfA muss manuell aus Anlagenverzeichnis in Spalte Ausgaben+AfA übernommen werden</t>
        </is>
      </c>
    </row>
    <row r="15">
      <c r="H15" t="inlineStr">
        <is>
          <t>Achtung: ab 2019 E+A im Journal-Format, davor getrennt</t>
        </is>
      </c>
    </row>
    <row r="16">
      <c r="H16" s="3" t="inlineStr">
        <is>
          <t>TODO: Umsätze aus ReAusgang Tabellenblatt zu berechnen führt zu abweichungen, wenn Kunden nicht genauen ReBetrag einzahlen - sollten aus Journal berechnet werden</t>
        </is>
      </c>
      <c r="I16" s="229" t="n"/>
      <c r="J16" s="229" t="n"/>
    </row>
    <row r="17">
      <c r="B17" s="229">
        <f>B9-D9</f>
        <v/>
      </c>
      <c r="C17" s="229" t="n"/>
      <c r="D17" s="229" t="n"/>
      <c r="H17" t="inlineStr">
        <is>
          <t>TODO: Übrige Erträge sind im EBT nicht berücksichtigt</t>
        </is>
      </c>
    </row>
  </sheetData>
  <pageMargins left="0.25" right="0.25" top="0.75" bottom="0.75" header="0.3" footer="0.3"/>
  <pageSetup orientation="landscape" paperSize="9" scale="31" verticalDpi="1200"/>
  <legacyDrawing xmlns:r="http://schemas.openxmlformats.org/officeDocument/2006/relationships" r:id="anysvml"/>
</worksheet>
</file>

<file path=xl/worksheets/sheet6.xml><?xml version="1.0" encoding="utf-8"?>
<worksheet xmlns="http://schemas.openxmlformats.org/spreadsheetml/2006/main">
  <sheetPr codeName="Tabelle32">
    <outlinePr summaryBelow="1" summaryRight="1"/>
    <pageSetUpPr/>
  </sheetPr>
  <dimension ref="A1:F12"/>
  <sheetViews>
    <sheetView topLeftCell="A7" workbookViewId="0">
      <selection activeCell="F18" sqref="F18"/>
    </sheetView>
  </sheetViews>
  <sheetFormatPr baseColWidth="10" defaultRowHeight="15"/>
  <cols>
    <col width="12.85546875" bestFit="1" customWidth="1" style="214" min="2" max="2"/>
    <col width="11.85546875" bestFit="1" customWidth="1" style="214" min="3" max="4"/>
    <col width="15.5703125" customWidth="1" min="5" max="5"/>
  </cols>
  <sheetData>
    <row r="1">
      <c r="B1" s="214" t="inlineStr">
        <is>
          <t>Einkommen</t>
        </is>
      </c>
      <c r="C1" s="214" t="inlineStr">
        <is>
          <t>ESt</t>
        </is>
      </c>
      <c r="D1" s="214" t="inlineStr">
        <is>
          <t>USt</t>
        </is>
      </c>
      <c r="E1" s="214" t="inlineStr">
        <is>
          <t>Eink. n. Steuer</t>
        </is>
      </c>
      <c r="F1" s="214" t="inlineStr">
        <is>
          <t>SVS endgültig</t>
        </is>
      </c>
    </row>
    <row r="2">
      <c r="A2" t="n">
        <v>2015</v>
      </c>
      <c r="B2" s="214" t="n">
        <v>11017.72</v>
      </c>
      <c r="C2" s="214" t="n">
        <v>1828</v>
      </c>
      <c r="D2" s="214" t="n">
        <v>3136.22</v>
      </c>
      <c r="E2" s="229">
        <f>B2-C2</f>
        <v/>
      </c>
    </row>
    <row r="3">
      <c r="A3" t="n">
        <v>2016</v>
      </c>
      <c r="B3" s="214" t="n">
        <v>46252.91</v>
      </c>
      <c r="C3" s="214" t="n">
        <v>12748</v>
      </c>
      <c r="D3" s="214" t="n">
        <v>14183.14</v>
      </c>
      <c r="E3" s="229">
        <f>B3-C3</f>
        <v/>
      </c>
    </row>
    <row r="4">
      <c r="A4" t="n">
        <v>2017</v>
      </c>
      <c r="B4" s="214" t="n">
        <v>10274.34</v>
      </c>
      <c r="C4" s="214" t="n">
        <v>0</v>
      </c>
      <c r="D4" s="214" t="n">
        <v>3254.85</v>
      </c>
      <c r="E4" s="229">
        <f>B4-C4</f>
        <v/>
      </c>
    </row>
    <row r="5">
      <c r="A5" t="n">
        <v>2018</v>
      </c>
      <c r="B5" s="214" t="n">
        <v>21614</v>
      </c>
      <c r="C5" s="214" t="n">
        <v>3131</v>
      </c>
      <c r="D5" s="214" t="n">
        <v>3581.92</v>
      </c>
      <c r="E5" s="229">
        <f>B5-C5</f>
        <v/>
      </c>
    </row>
    <row r="6">
      <c r="A6" t="n">
        <v>2019</v>
      </c>
      <c r="B6" s="214" t="n">
        <v>18986.14</v>
      </c>
      <c r="C6" s="214" t="n">
        <v>1618</v>
      </c>
      <c r="D6" s="214" t="n">
        <v>8526.07</v>
      </c>
      <c r="E6" s="229">
        <f>B6-C6</f>
        <v/>
      </c>
    </row>
    <row r="7">
      <c r="A7" t="n">
        <v>2020</v>
      </c>
      <c r="B7" s="214" t="n">
        <v>54755.94</v>
      </c>
      <c r="C7" s="214" t="n">
        <v>14427</v>
      </c>
      <c r="D7" s="214" t="n">
        <v>16476.92</v>
      </c>
      <c r="E7" s="229">
        <f>B7-C7</f>
        <v/>
      </c>
    </row>
    <row r="8">
      <c r="A8" t="n">
        <v>2021</v>
      </c>
      <c r="B8" s="214" t="n">
        <v>59743.02</v>
      </c>
      <c r="C8" s="214" t="n">
        <v>16522</v>
      </c>
      <c r="D8" s="214" t="n">
        <v>13320.54</v>
      </c>
      <c r="E8" s="229">
        <f>B8-C8</f>
        <v/>
      </c>
    </row>
    <row r="9">
      <c r="A9" t="n">
        <v>2022</v>
      </c>
      <c r="B9" s="214" t="n">
        <v>113125.92</v>
      </c>
      <c r="C9" s="214" t="n">
        <v>40559</v>
      </c>
      <c r="D9" s="214" t="n">
        <v>32426.96</v>
      </c>
      <c r="E9" s="229">
        <f>B9-C9</f>
        <v/>
      </c>
    </row>
    <row r="10">
      <c r="A10" t="n">
        <v>2023</v>
      </c>
      <c r="B10" s="214" t="n">
        <v>126915.61</v>
      </c>
      <c r="C10" s="214" t="n">
        <v>44765</v>
      </c>
      <c r="D10" s="214" t="n">
        <v>24792.98</v>
      </c>
      <c r="E10" s="229">
        <f>B10-C10</f>
        <v/>
      </c>
    </row>
    <row r="11">
      <c r="A11" t="n">
        <v>2024</v>
      </c>
      <c r="B11" s="214" t="n">
        <v>111725.18</v>
      </c>
      <c r="C11" s="214" t="n">
        <v>36574</v>
      </c>
      <c r="D11" s="214" t="n">
        <v>35667.51</v>
      </c>
      <c r="E11" s="229">
        <f>B11-C11</f>
        <v/>
      </c>
    </row>
    <row r="12">
      <c r="A12" t="n">
        <v>2025</v>
      </c>
    </row>
  </sheetData>
  <pageMargins left="0.7" right="0.7" top="0.787401575" bottom="0.787401575" header="0.3" footer="0.3"/>
</worksheet>
</file>

<file path=xl/worksheets/sheet7.xml><?xml version="1.0" encoding="utf-8"?>
<worksheet xmlns="http://schemas.openxmlformats.org/spreadsheetml/2006/main">
  <sheetPr codeName="Tabelle33">
    <tabColor rgb="FF00B0F0"/>
    <outlinePr summaryBelow="1" summaryRight="1"/>
    <pageSetUpPr/>
  </sheetPr>
  <dimension ref="A1:K6"/>
  <sheetViews>
    <sheetView workbookViewId="0">
      <selection activeCell="J3" sqref="J3"/>
    </sheetView>
  </sheetViews>
  <sheetFormatPr baseColWidth="10" defaultRowHeight="15"/>
  <cols>
    <col width="11.85546875" bestFit="1" customWidth="1" min="4" max="4"/>
    <col width="11.85546875" bestFit="1" customWidth="1" min="6" max="6"/>
    <col width="11.42578125" customWidth="1" style="98" min="8" max="8"/>
    <col width="13" bestFit="1" customWidth="1" min="9" max="9"/>
    <col width="11.85546875" bestFit="1" customWidth="1" style="214" min="10" max="10"/>
  </cols>
  <sheetData>
    <row r="1">
      <c r="A1" t="inlineStr">
        <is>
          <t>Jahr</t>
        </is>
      </c>
      <c r="B1" t="inlineStr">
        <is>
          <t>Beleg Nr.</t>
        </is>
      </c>
      <c r="C1" t="inlineStr">
        <is>
          <t>Bezeichnung</t>
        </is>
      </c>
      <c r="D1" s="214" t="inlineStr">
        <is>
          <t>Brutto</t>
        </is>
      </c>
      <c r="E1" s="214" t="inlineStr">
        <is>
          <t>Steuer</t>
        </is>
      </c>
      <c r="F1" s="214" t="inlineStr">
        <is>
          <t>Netto</t>
        </is>
      </c>
      <c r="G1" s="1" t="inlineStr">
        <is>
          <t>Zahl.Datum</t>
        </is>
      </c>
      <c r="H1" s="98" t="inlineStr">
        <is>
          <t>Anteil</t>
        </is>
      </c>
      <c r="I1" s="214" t="inlineStr">
        <is>
          <t>Netto antlg.</t>
        </is>
      </c>
      <c r="J1" s="214" t="inlineStr">
        <is>
          <t>GFB Jahr</t>
        </is>
      </c>
      <c r="K1" s="214" t="inlineStr">
        <is>
          <t>frühestes Verkaufsdatum</t>
        </is>
      </c>
    </row>
    <row r="2">
      <c r="A2">
        <f>YEAR(G2)</f>
        <v/>
      </c>
      <c r="B2" t="n">
        <v>23</v>
      </c>
      <c r="C2" t="inlineStr">
        <is>
          <t>Elektriker SR/Elektro/Elektro</t>
        </is>
      </c>
      <c r="D2" s="214" t="n">
        <v>24028.08</v>
      </c>
      <c r="E2" s="214" t="n">
        <v>4004.68</v>
      </c>
      <c r="F2" s="214" t="n">
        <v>20023.4</v>
      </c>
      <c r="G2" s="1" t="n">
        <v>45293</v>
      </c>
      <c r="H2" s="98">
        <f>14.6/158.43</f>
        <v/>
      </c>
      <c r="I2" s="229">
        <f>H2*F2</f>
        <v/>
      </c>
      <c r="J2" s="214">
        <f>SUMIFS(I:I,A:A,A2)</f>
        <v/>
      </c>
    </row>
    <row r="3">
      <c r="A3">
        <f>YEAR(G3)</f>
        <v/>
      </c>
      <c r="B3" t="n">
        <v>24</v>
      </c>
      <c r="C3" t="inlineStr">
        <is>
          <t>Elektriker Haftrücklass/Elektro/Elektro</t>
        </is>
      </c>
      <c r="D3" s="214" t="n">
        <v>3000</v>
      </c>
      <c r="E3" s="214" t="n">
        <v>500</v>
      </c>
      <c r="F3" s="214" t="n">
        <v>2500</v>
      </c>
      <c r="G3" s="1" t="n">
        <v>45302</v>
      </c>
      <c r="H3" s="98">
        <f>14.6/158.43</f>
        <v/>
      </c>
      <c r="I3" s="229">
        <f>H3*F3</f>
        <v/>
      </c>
      <c r="J3" s="214">
        <f>SUMIFS(I:I,A:A,A3)</f>
        <v/>
      </c>
    </row>
    <row r="4">
      <c r="A4">
        <f>YEAR(G4)</f>
        <v/>
      </c>
      <c r="B4" t="n">
        <v>48</v>
      </c>
      <c r="C4" t="inlineStr">
        <is>
          <t>Fachplanung/Fachplaner/Architekt</t>
        </is>
      </c>
      <c r="D4" s="214" t="n">
        <v>12000</v>
      </c>
      <c r="E4" s="214" t="n">
        <v>2000</v>
      </c>
      <c r="F4" s="214" t="n">
        <v>10000</v>
      </c>
      <c r="G4" s="1" t="n">
        <v>45381</v>
      </c>
      <c r="H4" s="98">
        <f>14.6/158.43</f>
        <v/>
      </c>
      <c r="I4" s="229">
        <f>H4*F4</f>
        <v/>
      </c>
      <c r="J4" s="214">
        <f>SUMIFS(I:I,A:A,A4)</f>
        <v/>
      </c>
    </row>
    <row r="5">
      <c r="A5">
        <f>YEAR(G5)</f>
        <v/>
      </c>
      <c r="B5" t="n">
        <v>47</v>
      </c>
      <c r="C5" t="inlineStr">
        <is>
          <t>Schlusshonorarnote/Architekt/Architekt</t>
        </is>
      </c>
      <c r="D5" s="214" t="n">
        <v>31920</v>
      </c>
      <c r="E5" s="214" t="n">
        <v>5320</v>
      </c>
      <c r="F5" s="214" t="n">
        <v>26600</v>
      </c>
      <c r="G5" s="1" t="n">
        <v>45381</v>
      </c>
      <c r="H5" s="98">
        <f>14.6/158.43</f>
        <v/>
      </c>
      <c r="I5" s="229">
        <f>H5*F5</f>
        <v/>
      </c>
      <c r="J5" s="214">
        <f>SUMIFS(I:I,A:A,A5)</f>
        <v/>
      </c>
    </row>
    <row r="6">
      <c r="A6" t="n">
        <v>2024</v>
      </c>
      <c r="B6" t="n">
        <v>174</v>
      </c>
      <c r="C6" t="inlineStr">
        <is>
          <t>Wertpapier</t>
        </is>
      </c>
      <c r="F6" s="214" t="n">
        <v>10550</v>
      </c>
      <c r="G6" s="1" t="n">
        <v>45643</v>
      </c>
      <c r="H6" s="98" t="n">
        <v>1</v>
      </c>
      <c r="I6" s="229">
        <f>H6*F6</f>
        <v/>
      </c>
      <c r="J6" s="214">
        <f>SUMIFS(I:I,A:A,A6)</f>
        <v/>
      </c>
      <c r="K6" s="1">
        <f>G6+366*4</f>
        <v/>
      </c>
    </row>
  </sheetData>
  <pageMargins left="0.7" right="0.7" top="0.787401575" bottom="0.787401575" header="0.3" footer="0.3"/>
</worksheet>
</file>

<file path=xl/worksheets/sheet8.xml><?xml version="1.0" encoding="utf-8"?>
<worksheet xmlns="http://schemas.openxmlformats.org/spreadsheetml/2006/main">
  <sheetPr codeName="Tabelle34">
    <outlinePr summaryBelow="1" summaryRight="1"/>
    <pageSetUpPr/>
  </sheetPr>
  <dimension ref="A1:XEJ224"/>
  <sheetViews>
    <sheetView zoomScaleNormal="100" workbookViewId="0">
      <selection activeCell="G178" sqref="A2:G178"/>
    </sheetView>
  </sheetViews>
  <sheetFormatPr baseColWidth="10" defaultColWidth="11.42578125" defaultRowHeight="15"/>
  <cols>
    <col width="11.42578125" customWidth="1" style="1" min="2" max="2"/>
    <col width="35.7109375" customWidth="1" min="3" max="3"/>
    <col width="11.42578125" customWidth="1" style="214" min="6" max="6"/>
    <col width="13.85546875" customWidth="1" min="13" max="13"/>
    <col width="11.85546875" bestFit="1" customWidth="1" min="18" max="18"/>
    <col width="17.140625" bestFit="1" customWidth="1" min="25" max="25"/>
  </cols>
  <sheetData>
    <row r="1">
      <c r="A1" s="63" t="inlineStr">
        <is>
          <t>lfd. Nr.</t>
        </is>
      </c>
      <c r="B1" s="96" t="inlineStr">
        <is>
          <t>Datum</t>
        </is>
      </c>
      <c r="C1" s="63" t="inlineStr">
        <is>
          <t>Text</t>
        </is>
      </c>
      <c r="D1" s="63" t="inlineStr">
        <is>
          <t>Kategorie</t>
        </is>
      </c>
      <c r="E1" s="63" t="inlineStr">
        <is>
          <t>Spesenart</t>
        </is>
      </c>
      <c r="F1" s="235" t="inlineStr">
        <is>
          <t>Bruttobetrag</t>
        </is>
      </c>
      <c r="G1" s="63" t="inlineStr">
        <is>
          <t>Steuersatz</t>
        </is>
      </c>
      <c r="H1" s="87" t="n"/>
      <c r="I1" s="216" t="inlineStr">
        <is>
          <t>Jahr</t>
        </is>
      </c>
      <c r="J1" s="217" t="inlineStr">
        <is>
          <t>Belegnr.</t>
        </is>
      </c>
      <c r="K1" s="79" t="inlineStr">
        <is>
          <t>Kategorie</t>
        </is>
      </c>
      <c r="L1" s="80" t="inlineStr">
        <is>
          <t>Spesenart</t>
        </is>
      </c>
      <c r="M1" s="2" t="inlineStr">
        <is>
          <t>Zahlungsdatum</t>
        </is>
      </c>
      <c r="N1" s="79" t="inlineStr">
        <is>
          <t>Bezeichnung</t>
        </is>
      </c>
      <c r="P1" s="82" t="inlineStr">
        <is>
          <t>Weiterverkauf</t>
        </is>
      </c>
      <c r="Q1" s="79" t="inlineStr">
        <is>
          <t>AfA</t>
        </is>
      </c>
      <c r="R1" s="218" t="inlineStr">
        <is>
          <t>Brutto</t>
        </is>
      </c>
      <c r="S1" s="219" t="inlineStr">
        <is>
          <t>Brutto (antlg.)</t>
        </is>
      </c>
      <c r="U1" s="83" t="inlineStr">
        <is>
          <t>USt.(%)</t>
        </is>
      </c>
      <c r="V1" s="219" t="inlineStr">
        <is>
          <t>USt.</t>
        </is>
      </c>
      <c r="W1" s="219" t="inlineStr">
        <is>
          <t>USt. (antlg.)</t>
        </is>
      </c>
      <c r="X1" s="219" t="inlineStr">
        <is>
          <t>Netto</t>
        </is>
      </c>
      <c r="Y1" s="219" t="inlineStr">
        <is>
          <t>Netto  (antlg.)</t>
        </is>
      </c>
      <c r="Z1" s="186" t="inlineStr">
        <is>
          <t xml:space="preserve"> USt Fälligkeit</t>
        </is>
      </c>
      <c r="AA1" s="79" t="inlineStr">
        <is>
          <t>IG / in Ö steuerbar</t>
        </is>
      </c>
      <c r="AB1" s="219" t="inlineStr">
        <is>
          <t>ESt: Betrag abzugsfähig</t>
        </is>
      </c>
      <c r="AC1" s="194" t="n"/>
      <c r="AD1" s="87" t="inlineStr">
        <is>
          <t>AE</t>
        </is>
      </c>
      <c r="AE1" s="87" t="inlineStr">
        <is>
          <t>AF</t>
        </is>
      </c>
      <c r="AF1" s="87" t="inlineStr">
        <is>
          <t>AG</t>
        </is>
      </c>
      <c r="AG1" s="87" t="n"/>
      <c r="AH1" s="87" t="n"/>
      <c r="AI1" s="87" t="n"/>
      <c r="AJ1" s="87" t="n"/>
      <c r="AK1" s="87" t="n"/>
      <c r="AL1" s="87" t="n"/>
      <c r="AM1" s="87" t="n"/>
      <c r="AN1" s="87" t="n"/>
      <c r="AO1" s="87" t="n"/>
      <c r="AP1" s="87" t="n"/>
      <c r="AQ1" s="87" t="n"/>
      <c r="AR1" s="87" t="n"/>
      <c r="AS1" s="87" t="n"/>
      <c r="AT1" s="87" t="n"/>
      <c r="AU1" s="87" t="n"/>
      <c r="AV1" s="87" t="n"/>
      <c r="AW1" s="87" t="n"/>
      <c r="AX1" s="87" t="n"/>
      <c r="AY1" s="87" t="n"/>
      <c r="AZ1" s="87" t="n"/>
      <c r="BA1" s="87" t="n"/>
      <c r="BB1" s="87" t="n"/>
      <c r="BC1" s="87" t="n"/>
      <c r="BD1" s="87" t="n"/>
      <c r="BE1" s="87" t="n"/>
      <c r="BF1" s="87" t="n"/>
      <c r="BG1" s="87" t="n"/>
      <c r="BH1" s="87" t="n"/>
      <c r="BI1" s="87" t="n"/>
      <c r="BJ1" s="87" t="n"/>
      <c r="BK1" s="87" t="n"/>
      <c r="BL1" s="87" t="n"/>
      <c r="BM1" s="87" t="n"/>
      <c r="BN1" s="87" t="n"/>
      <c r="BO1" s="87" t="n"/>
      <c r="BP1" s="87" t="n"/>
      <c r="BQ1" s="87" t="n"/>
      <c r="BR1" s="87" t="n"/>
      <c r="BS1" s="87" t="n"/>
      <c r="BT1" s="87" t="n"/>
      <c r="BU1" s="87" t="n"/>
      <c r="BV1" s="87" t="n"/>
      <c r="BW1" s="87" t="n"/>
      <c r="BX1" s="87" t="n"/>
      <c r="BY1" s="87" t="n"/>
      <c r="BZ1" s="87" t="n"/>
      <c r="CA1" s="87" t="n"/>
      <c r="CB1" s="87" t="n"/>
      <c r="CC1" s="87" t="n"/>
      <c r="CD1" s="87" t="n"/>
      <c r="CE1" s="87" t="n"/>
      <c r="CF1" s="87" t="n"/>
      <c r="CG1" s="87" t="n"/>
      <c r="CH1" s="87" t="n"/>
      <c r="CI1" s="87" t="n"/>
      <c r="CJ1" s="87" t="n"/>
      <c r="CK1" s="87" t="n"/>
      <c r="CL1" s="87" t="n"/>
      <c r="CM1" s="87" t="n"/>
      <c r="CN1" s="87" t="n"/>
      <c r="CO1" s="87" t="n"/>
      <c r="CP1" s="87" t="n"/>
      <c r="CQ1" s="87" t="n"/>
      <c r="CR1" s="87" t="n"/>
      <c r="CS1" s="87" t="n"/>
      <c r="CT1" s="87" t="n"/>
      <c r="CU1" s="87" t="n"/>
      <c r="CV1" s="87" t="n"/>
      <c r="CW1" s="87" t="n"/>
      <c r="CX1" s="87" t="n"/>
      <c r="CY1" s="87" t="n"/>
      <c r="CZ1" s="87" t="n"/>
      <c r="DA1" s="87" t="n"/>
      <c r="DB1" s="87" t="n"/>
      <c r="DC1" s="87" t="n"/>
      <c r="DD1" s="87" t="n"/>
      <c r="DE1" s="87" t="n"/>
      <c r="DF1" s="87" t="n"/>
      <c r="DG1" s="87" t="n"/>
      <c r="DH1" s="87" t="n"/>
      <c r="DI1" s="87" t="n"/>
      <c r="DJ1" s="87" t="n"/>
      <c r="DK1" s="87" t="n"/>
      <c r="DL1" s="87" t="n"/>
      <c r="DM1" s="87" t="n"/>
      <c r="DN1" s="87" t="n"/>
      <c r="DO1" s="87" t="n"/>
      <c r="DP1" s="87" t="n"/>
      <c r="DQ1" s="87" t="n"/>
      <c r="DR1" s="87" t="n"/>
      <c r="DS1" s="87" t="n"/>
      <c r="DT1" s="87" t="n"/>
      <c r="DU1" s="87" t="n"/>
      <c r="DV1" s="87" t="n"/>
      <c r="DW1" s="87" t="n"/>
      <c r="DX1" s="87" t="n"/>
      <c r="DY1" s="87" t="n"/>
      <c r="DZ1" s="87" t="n"/>
      <c r="EA1" s="87" t="n"/>
      <c r="EB1" s="87" t="n"/>
      <c r="EC1" s="87" t="n"/>
      <c r="ED1" s="87" t="n"/>
      <c r="EE1" s="87" t="n"/>
      <c r="EF1" s="87" t="n"/>
      <c r="EG1" s="87" t="n"/>
      <c r="EH1" s="87" t="n"/>
      <c r="EI1" s="87" t="n"/>
      <c r="EJ1" s="87" t="n"/>
      <c r="EK1" s="87" t="n"/>
      <c r="EL1" s="87" t="n"/>
      <c r="EM1" s="87" t="n"/>
      <c r="EN1" s="87" t="n"/>
      <c r="EO1" s="87" t="n"/>
      <c r="EP1" s="87" t="n"/>
      <c r="EQ1" s="87" t="n"/>
      <c r="ER1" s="87" t="n"/>
      <c r="ES1" s="87" t="n"/>
      <c r="ET1" s="87" t="n"/>
      <c r="EU1" s="87" t="n"/>
      <c r="EV1" s="87" t="n"/>
      <c r="EW1" s="87" t="n"/>
      <c r="EX1" s="87" t="n"/>
      <c r="EY1" s="87" t="n"/>
      <c r="EZ1" s="87" t="n"/>
      <c r="FA1" s="87" t="n"/>
      <c r="FB1" s="87" t="n"/>
      <c r="FC1" s="87" t="n"/>
      <c r="FD1" s="87" t="n"/>
      <c r="FE1" s="87" t="n"/>
      <c r="FF1" s="87" t="n"/>
      <c r="FG1" s="87" t="n"/>
      <c r="FH1" s="87" t="n"/>
      <c r="FI1" s="87" t="n"/>
      <c r="FJ1" s="87" t="n"/>
      <c r="FK1" s="87" t="n"/>
      <c r="FL1" s="87" t="n"/>
      <c r="FM1" s="87" t="n"/>
      <c r="FN1" s="87" t="n"/>
      <c r="FO1" s="87" t="n"/>
      <c r="FP1" s="87" t="n"/>
      <c r="FQ1" s="87" t="n"/>
      <c r="FR1" s="87" t="n"/>
      <c r="FS1" s="87" t="n"/>
      <c r="FT1" s="87" t="n"/>
      <c r="FU1" s="87" t="n"/>
      <c r="FV1" s="87" t="n"/>
      <c r="FW1" s="87" t="n"/>
      <c r="FX1" s="87" t="n"/>
      <c r="FY1" s="87" t="n"/>
      <c r="FZ1" s="87" t="n"/>
      <c r="GA1" s="87" t="n"/>
      <c r="GB1" s="87" t="n"/>
      <c r="GC1" s="87" t="n"/>
      <c r="GD1" s="87" t="n"/>
      <c r="GE1" s="87" t="n"/>
      <c r="GF1" s="87" t="n"/>
      <c r="GG1" s="87" t="n"/>
      <c r="GH1" s="87" t="n"/>
      <c r="GI1" s="87" t="n"/>
      <c r="GJ1" s="87" t="n"/>
      <c r="GK1" s="87" t="n"/>
      <c r="GL1" s="87" t="n"/>
      <c r="GM1" s="87" t="n"/>
      <c r="GN1" s="87" t="n"/>
      <c r="GO1" s="87" t="n"/>
      <c r="GP1" s="87" t="n"/>
      <c r="GQ1" s="87" t="n"/>
      <c r="GR1" s="87" t="n"/>
      <c r="GS1" s="87" t="n"/>
      <c r="GT1" s="87" t="n"/>
      <c r="GU1" s="87" t="n"/>
      <c r="GV1" s="87" t="n"/>
      <c r="GW1" s="87" t="n"/>
      <c r="GX1" s="87" t="n"/>
      <c r="GY1" s="87" t="n"/>
      <c r="GZ1" s="87" t="n"/>
      <c r="HA1" s="87" t="n"/>
      <c r="HB1" s="87" t="n"/>
      <c r="HC1" s="87" t="n"/>
      <c r="HD1" s="87" t="n"/>
      <c r="HE1" s="87" t="n"/>
      <c r="HF1" s="87" t="n"/>
      <c r="HG1" s="87" t="n"/>
      <c r="HH1" s="87" t="n"/>
      <c r="HI1" s="87" t="n"/>
      <c r="HJ1" s="87" t="n"/>
      <c r="HK1" s="87" t="n"/>
      <c r="HL1" s="87" t="n"/>
      <c r="HM1" s="87" t="n"/>
      <c r="HN1" s="87" t="n"/>
      <c r="HO1" s="87" t="n"/>
      <c r="HP1" s="87" t="n"/>
      <c r="HQ1" s="87" t="n"/>
      <c r="HR1" s="87" t="n"/>
      <c r="HS1" s="87" t="n"/>
      <c r="HT1" s="87" t="n"/>
      <c r="HU1" s="87" t="n"/>
      <c r="HV1" s="87" t="n"/>
      <c r="HW1" s="87" t="n"/>
      <c r="HX1" s="87" t="n"/>
      <c r="HY1" s="87" t="n"/>
      <c r="HZ1" s="87" t="n"/>
      <c r="IA1" s="87" t="n"/>
      <c r="IB1" s="87" t="n"/>
      <c r="IC1" s="87" t="n"/>
      <c r="ID1" s="87" t="n"/>
      <c r="IE1" s="87" t="n"/>
      <c r="IF1" s="87" t="n"/>
      <c r="IG1" s="87" t="n"/>
      <c r="IH1" s="87" t="n"/>
      <c r="II1" s="87" t="n"/>
      <c r="IJ1" s="87" t="n"/>
      <c r="IK1" s="87" t="n"/>
      <c r="IL1" s="87" t="n"/>
      <c r="IM1" s="87" t="n"/>
      <c r="IN1" s="87" t="n"/>
      <c r="IO1" s="87" t="n"/>
      <c r="IP1" s="87" t="n"/>
      <c r="IQ1" s="87" t="n"/>
      <c r="IR1" s="87" t="n"/>
      <c r="IS1" s="87" t="n"/>
      <c r="IT1" s="87" t="n"/>
      <c r="IU1" s="87" t="n"/>
      <c r="IV1" s="87" t="n"/>
      <c r="IW1" s="87" t="n"/>
      <c r="IX1" s="87" t="n"/>
      <c r="IY1" s="87" t="n"/>
      <c r="IZ1" s="87" t="n"/>
      <c r="JA1" s="87" t="n"/>
      <c r="JB1" s="87" t="n"/>
      <c r="JC1" s="87" t="n"/>
      <c r="JD1" s="87" t="n"/>
      <c r="JE1" s="87" t="n"/>
      <c r="JF1" s="87" t="n"/>
      <c r="JG1" s="87" t="n"/>
      <c r="JH1" s="87" t="n"/>
      <c r="JI1" s="87" t="n"/>
      <c r="JJ1" s="87" t="n"/>
      <c r="JK1" s="87" t="n"/>
      <c r="JL1" s="87" t="n"/>
      <c r="JM1" s="87" t="n"/>
      <c r="JN1" s="87" t="n"/>
      <c r="JO1" s="87" t="n"/>
      <c r="JP1" s="87" t="n"/>
      <c r="JQ1" s="87" t="n"/>
      <c r="JR1" s="87" t="n"/>
      <c r="JS1" s="87" t="n"/>
      <c r="JT1" s="87" t="n"/>
      <c r="JU1" s="87" t="n"/>
      <c r="JV1" s="87" t="n"/>
      <c r="JW1" s="87" t="n"/>
      <c r="JX1" s="87" t="n"/>
      <c r="JY1" s="87" t="n"/>
      <c r="JZ1" s="87" t="n"/>
      <c r="KA1" s="87" t="n"/>
      <c r="KB1" s="87" t="n"/>
      <c r="KC1" s="87" t="n"/>
      <c r="KD1" s="87" t="n"/>
      <c r="KE1" s="87" t="n"/>
      <c r="KF1" s="87" t="n"/>
      <c r="KG1" s="87" t="n"/>
      <c r="KH1" s="87" t="n"/>
      <c r="KI1" s="87" t="n"/>
      <c r="KJ1" s="87" t="n"/>
      <c r="KK1" s="87" t="n"/>
      <c r="KL1" s="87" t="n"/>
      <c r="KM1" s="87" t="n"/>
      <c r="KN1" s="87" t="n"/>
      <c r="KO1" s="87" t="n"/>
      <c r="KP1" s="87" t="n"/>
      <c r="KQ1" s="87" t="n"/>
      <c r="KR1" s="87" t="n"/>
      <c r="KS1" s="87" t="n"/>
      <c r="KT1" s="87" t="n"/>
      <c r="KU1" s="87" t="n"/>
      <c r="KV1" s="87" t="n"/>
      <c r="KW1" s="87" t="n"/>
      <c r="KX1" s="87" t="n"/>
      <c r="KY1" s="87" t="n"/>
      <c r="KZ1" s="87" t="n"/>
      <c r="LA1" s="87" t="n"/>
      <c r="LB1" s="87" t="n"/>
      <c r="LC1" s="87" t="n"/>
      <c r="LD1" s="87" t="n"/>
      <c r="LE1" s="87" t="n"/>
      <c r="LF1" s="87" t="n"/>
      <c r="LG1" s="87" t="n"/>
      <c r="LH1" s="87" t="n"/>
      <c r="LI1" s="87" t="n"/>
      <c r="LJ1" s="87" t="n"/>
      <c r="LK1" s="87" t="n"/>
      <c r="LL1" s="87" t="n"/>
      <c r="LM1" s="87" t="n"/>
      <c r="LN1" s="87" t="n"/>
      <c r="LO1" s="87" t="n"/>
      <c r="LP1" s="87" t="n"/>
      <c r="LQ1" s="87" t="n"/>
      <c r="LR1" s="87" t="n"/>
      <c r="LS1" s="87" t="n"/>
      <c r="LT1" s="87" t="n"/>
      <c r="LU1" s="87" t="n"/>
      <c r="LV1" s="87" t="n"/>
      <c r="LW1" s="87" t="n"/>
      <c r="LX1" s="87" t="n"/>
      <c r="LY1" s="87" t="n"/>
      <c r="LZ1" s="87" t="n"/>
      <c r="MA1" s="87" t="n"/>
      <c r="MB1" s="87" t="n"/>
      <c r="MC1" s="87" t="n"/>
      <c r="MD1" s="87" t="n"/>
      <c r="ME1" s="87" t="n"/>
      <c r="MF1" s="87" t="n"/>
      <c r="MG1" s="87" t="n"/>
      <c r="MH1" s="87" t="n"/>
      <c r="MI1" s="87" t="n"/>
      <c r="MJ1" s="87" t="n"/>
      <c r="MK1" s="87" t="n"/>
      <c r="ML1" s="87" t="n"/>
      <c r="MM1" s="87" t="n"/>
      <c r="MN1" s="87" t="n"/>
      <c r="MO1" s="87" t="n"/>
      <c r="MP1" s="87" t="n"/>
      <c r="MQ1" s="87" t="n"/>
      <c r="MR1" s="87" t="n"/>
      <c r="MS1" s="87" t="n"/>
      <c r="MT1" s="87" t="n"/>
      <c r="MU1" s="87" t="n"/>
      <c r="MV1" s="87" t="n"/>
      <c r="MW1" s="87" t="n"/>
      <c r="MX1" s="87" t="n"/>
      <c r="MY1" s="87" t="n"/>
      <c r="MZ1" s="87" t="n"/>
      <c r="NA1" s="87" t="n"/>
      <c r="NB1" s="87" t="n"/>
      <c r="NC1" s="87" t="n"/>
      <c r="ND1" s="87" t="n"/>
      <c r="NE1" s="87" t="n"/>
      <c r="NF1" s="87" t="n"/>
      <c r="NG1" s="87" t="n"/>
      <c r="NH1" s="87" t="n"/>
      <c r="NI1" s="87" t="n"/>
      <c r="NJ1" s="87" t="n"/>
      <c r="NK1" s="87" t="n"/>
      <c r="NL1" s="87" t="n"/>
      <c r="NM1" s="87" t="n"/>
      <c r="NN1" s="87" t="n"/>
      <c r="NO1" s="87" t="n"/>
      <c r="NP1" s="87" t="n"/>
      <c r="NQ1" s="87" t="n"/>
      <c r="NR1" s="87" t="n"/>
      <c r="NS1" s="87" t="n"/>
      <c r="NT1" s="87" t="n"/>
      <c r="NU1" s="87" t="n"/>
      <c r="NV1" s="87" t="n"/>
      <c r="NW1" s="87" t="n"/>
      <c r="NX1" s="87" t="n"/>
      <c r="NY1" s="87" t="n"/>
      <c r="NZ1" s="87" t="n"/>
      <c r="OA1" s="87" t="n"/>
      <c r="OB1" s="87" t="n"/>
      <c r="OC1" s="87" t="n"/>
      <c r="OD1" s="87" t="n"/>
      <c r="OE1" s="87" t="n"/>
      <c r="OF1" s="87" t="n"/>
      <c r="OG1" s="87" t="n"/>
      <c r="OH1" s="87" t="n"/>
      <c r="OI1" s="87" t="n"/>
      <c r="OJ1" s="87" t="n"/>
      <c r="OK1" s="87" t="n"/>
      <c r="OL1" s="87" t="n"/>
      <c r="OM1" s="87" t="n"/>
      <c r="ON1" s="87" t="n"/>
      <c r="OO1" s="87" t="n"/>
      <c r="OP1" s="87" t="n"/>
      <c r="OQ1" s="87" t="n"/>
      <c r="OR1" s="87" t="n"/>
      <c r="OS1" s="87" t="n"/>
      <c r="OT1" s="87" t="n"/>
      <c r="OU1" s="87" t="n"/>
      <c r="OV1" s="87" t="n"/>
      <c r="OW1" s="87" t="n"/>
      <c r="OX1" s="87" t="n"/>
      <c r="OY1" s="87" t="n"/>
      <c r="OZ1" s="87" t="n"/>
      <c r="PA1" s="87" t="n"/>
      <c r="PB1" s="87" t="n"/>
      <c r="PC1" s="87" t="n"/>
      <c r="PD1" s="87" t="n"/>
      <c r="PE1" s="87" t="n"/>
      <c r="PF1" s="87" t="n"/>
      <c r="PG1" s="87" t="n"/>
      <c r="PH1" s="87" t="n"/>
      <c r="PI1" s="87" t="n"/>
      <c r="PJ1" s="87" t="n"/>
      <c r="PK1" s="87" t="n"/>
      <c r="PL1" s="87" t="n"/>
      <c r="PM1" s="87" t="n"/>
      <c r="PN1" s="87" t="n"/>
      <c r="PO1" s="87" t="n"/>
      <c r="PP1" s="87" t="n"/>
      <c r="PQ1" s="87" t="n"/>
      <c r="PR1" s="87" t="n"/>
      <c r="PS1" s="87" t="n"/>
      <c r="PT1" s="87" t="n"/>
      <c r="PU1" s="87" t="n"/>
      <c r="PV1" s="87" t="n"/>
      <c r="PW1" s="87" t="n"/>
      <c r="PX1" s="87" t="n"/>
      <c r="PY1" s="87" t="n"/>
      <c r="PZ1" s="87" t="n"/>
      <c r="QA1" s="87" t="n"/>
      <c r="QB1" s="87" t="n"/>
      <c r="QC1" s="87" t="n"/>
      <c r="QD1" s="87" t="n"/>
      <c r="QE1" s="87" t="n"/>
      <c r="QF1" s="87" t="n"/>
      <c r="QG1" s="87" t="n"/>
      <c r="QH1" s="87" t="n"/>
      <c r="QI1" s="87" t="n"/>
      <c r="QJ1" s="87" t="n"/>
      <c r="QK1" s="87" t="n"/>
      <c r="QL1" s="87" t="n"/>
      <c r="QM1" s="87" t="n"/>
      <c r="QN1" s="87" t="n"/>
      <c r="QO1" s="87" t="n"/>
      <c r="QP1" s="87" t="n"/>
      <c r="QQ1" s="87" t="n"/>
      <c r="QR1" s="87" t="n"/>
      <c r="QS1" s="87" t="n"/>
      <c r="QT1" s="87" t="n"/>
      <c r="QU1" s="87" t="n"/>
      <c r="QV1" s="87" t="n"/>
      <c r="QW1" s="87" t="n"/>
      <c r="QX1" s="87" t="n"/>
      <c r="QY1" s="87" t="n"/>
      <c r="QZ1" s="87" t="n"/>
      <c r="RA1" s="87" t="n"/>
      <c r="RB1" s="87" t="n"/>
      <c r="RC1" s="87" t="n"/>
      <c r="RD1" s="87" t="n"/>
      <c r="RE1" s="87" t="n"/>
      <c r="RF1" s="87" t="n"/>
      <c r="RG1" s="87" t="n"/>
      <c r="RH1" s="87" t="n"/>
      <c r="RI1" s="87" t="n"/>
      <c r="RJ1" s="87" t="n"/>
      <c r="RK1" s="87" t="n"/>
      <c r="RL1" s="87" t="n"/>
      <c r="RM1" s="87" t="n"/>
      <c r="RN1" s="87" t="n"/>
      <c r="RO1" s="87" t="n"/>
      <c r="RP1" s="87" t="n"/>
      <c r="RQ1" s="87" t="n"/>
      <c r="RR1" s="87" t="n"/>
      <c r="RS1" s="87" t="n"/>
      <c r="RT1" s="87" t="n"/>
      <c r="RU1" s="87" t="n"/>
      <c r="RV1" s="87" t="n"/>
      <c r="RW1" s="87" t="n"/>
      <c r="RX1" s="87" t="n"/>
      <c r="RY1" s="87" t="n"/>
      <c r="RZ1" s="87" t="n"/>
      <c r="SA1" s="87" t="n"/>
      <c r="SB1" s="87" t="n"/>
      <c r="SC1" s="87" t="n"/>
      <c r="SD1" s="87" t="n"/>
      <c r="SE1" s="87" t="n"/>
      <c r="SF1" s="87" t="n"/>
      <c r="SG1" s="87" t="n"/>
      <c r="SH1" s="87" t="n"/>
      <c r="SI1" s="87" t="n"/>
      <c r="SJ1" s="87" t="n"/>
      <c r="SK1" s="87" t="n"/>
      <c r="SL1" s="87" t="n"/>
      <c r="SM1" s="87" t="n"/>
      <c r="SN1" s="87" t="n"/>
      <c r="SO1" s="87" t="n"/>
      <c r="SP1" s="87" t="n"/>
      <c r="SQ1" s="87" t="n"/>
      <c r="SR1" s="87" t="n"/>
      <c r="SS1" s="87" t="n"/>
      <c r="ST1" s="87" t="n"/>
      <c r="SU1" s="87" t="n"/>
      <c r="SV1" s="87" t="n"/>
      <c r="SW1" s="87" t="n"/>
      <c r="SX1" s="87" t="n"/>
      <c r="SY1" s="87" t="n"/>
      <c r="SZ1" s="87" t="n"/>
      <c r="TA1" s="87" t="n"/>
      <c r="TB1" s="87" t="n"/>
      <c r="TC1" s="87" t="n"/>
      <c r="TD1" s="87" t="n"/>
      <c r="TE1" s="87" t="n"/>
      <c r="TF1" s="87" t="n"/>
      <c r="TG1" s="87" t="n"/>
      <c r="TH1" s="87" t="n"/>
      <c r="TI1" s="87" t="n"/>
      <c r="TJ1" s="87" t="n"/>
      <c r="TK1" s="87" t="n"/>
      <c r="TL1" s="87" t="n"/>
      <c r="TM1" s="87" t="n"/>
      <c r="TN1" s="87" t="n"/>
      <c r="TO1" s="87" t="n"/>
      <c r="TP1" s="87" t="n"/>
      <c r="TQ1" s="87" t="n"/>
      <c r="TR1" s="87" t="n"/>
      <c r="TS1" s="87" t="n"/>
      <c r="TT1" s="87" t="n"/>
      <c r="TU1" s="87" t="n"/>
      <c r="TV1" s="87" t="n"/>
      <c r="TW1" s="87" t="n"/>
      <c r="TX1" s="87" t="n"/>
      <c r="TY1" s="87" t="n"/>
      <c r="TZ1" s="87" t="n"/>
      <c r="UA1" s="87" t="n"/>
      <c r="UB1" s="87" t="n"/>
      <c r="UC1" s="87" t="n"/>
      <c r="UD1" s="87" t="n"/>
      <c r="UE1" s="87" t="n"/>
      <c r="UF1" s="87" t="n"/>
      <c r="UG1" s="87" t="n"/>
      <c r="UH1" s="87" t="n"/>
      <c r="UI1" s="87" t="n"/>
      <c r="UJ1" s="87" t="n"/>
      <c r="UK1" s="87" t="n"/>
      <c r="UL1" s="87" t="n"/>
      <c r="UM1" s="87" t="n"/>
      <c r="UN1" s="87" t="n"/>
      <c r="UO1" s="87" t="n"/>
      <c r="UP1" s="87" t="n"/>
      <c r="UQ1" s="87" t="n"/>
      <c r="UR1" s="87" t="n"/>
      <c r="US1" s="87" t="n"/>
      <c r="UT1" s="87" t="n"/>
      <c r="UU1" s="87" t="n"/>
      <c r="UV1" s="87" t="n"/>
      <c r="UW1" s="87" t="n"/>
      <c r="UX1" s="87" t="n"/>
      <c r="UY1" s="87" t="n"/>
      <c r="UZ1" s="87" t="n"/>
      <c r="VA1" s="87" t="n"/>
      <c r="VB1" s="87" t="n"/>
      <c r="VC1" s="87" t="n"/>
      <c r="VD1" s="87" t="n"/>
      <c r="VE1" s="87" t="n"/>
      <c r="VF1" s="87" t="n"/>
      <c r="VG1" s="87" t="n"/>
      <c r="VH1" s="87" t="n"/>
      <c r="VI1" s="87" t="n"/>
      <c r="VJ1" s="87" t="n"/>
      <c r="VK1" s="87" t="n"/>
      <c r="VL1" s="87" t="n"/>
      <c r="VM1" s="87" t="n"/>
      <c r="VN1" s="87" t="n"/>
      <c r="VO1" s="87" t="n"/>
      <c r="VP1" s="87" t="n"/>
      <c r="VQ1" s="87" t="n"/>
      <c r="VR1" s="87" t="n"/>
      <c r="VS1" s="87" t="n"/>
      <c r="VT1" s="87" t="n"/>
      <c r="VU1" s="87" t="n"/>
      <c r="VV1" s="87" t="n"/>
      <c r="VW1" s="87" t="n"/>
      <c r="VX1" s="87" t="n"/>
      <c r="VY1" s="87" t="n"/>
      <c r="VZ1" s="87" t="n"/>
      <c r="WA1" s="87" t="n"/>
      <c r="WB1" s="87" t="n"/>
      <c r="WC1" s="87" t="n"/>
      <c r="WD1" s="87" t="n"/>
      <c r="WE1" s="87" t="n"/>
      <c r="WF1" s="87" t="n"/>
      <c r="WG1" s="87" t="n"/>
      <c r="WH1" s="87" t="n"/>
      <c r="WI1" s="87" t="n"/>
      <c r="WJ1" s="87" t="n"/>
      <c r="WK1" s="87" t="n"/>
      <c r="WL1" s="87" t="n"/>
      <c r="WM1" s="87" t="n"/>
      <c r="WN1" s="87" t="n"/>
      <c r="WO1" s="87" t="n"/>
      <c r="WP1" s="87" t="n"/>
      <c r="WQ1" s="87" t="n"/>
      <c r="WR1" s="87" t="n"/>
      <c r="WS1" s="87" t="n"/>
      <c r="WT1" s="87" t="n"/>
      <c r="WU1" s="87" t="n"/>
      <c r="WV1" s="87" t="n"/>
      <c r="WW1" s="87" t="n"/>
      <c r="WX1" s="87" t="n"/>
      <c r="WY1" s="87" t="n"/>
      <c r="WZ1" s="87" t="n"/>
      <c r="XA1" s="87" t="n"/>
      <c r="XB1" s="87" t="n"/>
      <c r="XC1" s="87" t="n"/>
      <c r="XD1" s="87" t="n"/>
      <c r="XE1" s="87" t="n"/>
      <c r="XF1" s="87" t="n"/>
      <c r="XG1" s="87" t="n"/>
      <c r="XH1" s="87" t="n"/>
      <c r="XI1" s="87" t="n"/>
      <c r="XJ1" s="87" t="n"/>
      <c r="XK1" s="87" t="n"/>
      <c r="XL1" s="87" t="n"/>
      <c r="XM1" s="87" t="n"/>
      <c r="XN1" s="87" t="n"/>
      <c r="XO1" s="87" t="n"/>
      <c r="XP1" s="87" t="n"/>
      <c r="XQ1" s="87" t="n"/>
      <c r="XR1" s="87" t="n"/>
      <c r="XS1" s="87" t="n"/>
      <c r="XT1" s="87" t="n"/>
      <c r="XU1" s="87" t="n"/>
      <c r="XV1" s="87" t="n"/>
      <c r="XW1" s="87" t="n"/>
      <c r="XX1" s="87" t="n"/>
      <c r="XY1" s="87" t="n"/>
      <c r="XZ1" s="87" t="n"/>
      <c r="YA1" s="87" t="n"/>
      <c r="YB1" s="87" t="n"/>
      <c r="YC1" s="87" t="n"/>
      <c r="YD1" s="87" t="n"/>
      <c r="YE1" s="87" t="n"/>
      <c r="YF1" s="87" t="n"/>
      <c r="YG1" s="87" t="n"/>
      <c r="YH1" s="87" t="n"/>
      <c r="YI1" s="87" t="n"/>
      <c r="YJ1" s="87" t="n"/>
      <c r="YK1" s="87" t="n"/>
      <c r="YL1" s="87" t="n"/>
      <c r="YM1" s="87" t="n"/>
      <c r="YN1" s="87" t="n"/>
      <c r="YO1" s="87" t="n"/>
      <c r="YP1" s="87" t="n"/>
      <c r="YQ1" s="87" t="n"/>
      <c r="YR1" s="87" t="n"/>
      <c r="YS1" s="87" t="n"/>
      <c r="YT1" s="87" t="n"/>
      <c r="YU1" s="87" t="n"/>
      <c r="YV1" s="87" t="n"/>
      <c r="YW1" s="87" t="n"/>
      <c r="YX1" s="87" t="n"/>
      <c r="YY1" s="87" t="n"/>
      <c r="YZ1" s="87" t="n"/>
      <c r="ZA1" s="87" t="n"/>
      <c r="ZB1" s="87" t="n"/>
      <c r="ZC1" s="87" t="n"/>
      <c r="ZD1" s="87" t="n"/>
      <c r="ZE1" s="87" t="n"/>
      <c r="ZF1" s="87" t="n"/>
      <c r="ZG1" s="87" t="n"/>
      <c r="ZH1" s="87" t="n"/>
      <c r="ZI1" s="87" t="n"/>
      <c r="ZJ1" s="87" t="n"/>
      <c r="ZK1" s="87" t="n"/>
      <c r="ZL1" s="87" t="n"/>
      <c r="ZM1" s="87" t="n"/>
      <c r="ZN1" s="87" t="n"/>
      <c r="ZO1" s="87" t="n"/>
      <c r="ZP1" s="87" t="n"/>
      <c r="ZQ1" s="87" t="n"/>
      <c r="ZR1" s="87" t="n"/>
      <c r="ZS1" s="87" t="n"/>
      <c r="ZT1" s="87" t="n"/>
      <c r="ZU1" s="87" t="n"/>
      <c r="ZV1" s="87" t="n"/>
      <c r="ZW1" s="87" t="n"/>
      <c r="ZX1" s="87" t="n"/>
      <c r="ZY1" s="87" t="n"/>
      <c r="ZZ1" s="87" t="n"/>
      <c r="AAA1" s="87" t="n"/>
      <c r="AAB1" s="87" t="n"/>
      <c r="AAC1" s="87" t="n"/>
      <c r="AAD1" s="87" t="n"/>
      <c r="AAE1" s="87" t="n"/>
      <c r="AAF1" s="87" t="n"/>
      <c r="AAG1" s="87" t="n"/>
      <c r="AAH1" s="87" t="n"/>
      <c r="AAI1" s="87" t="n"/>
      <c r="AAJ1" s="87" t="n"/>
      <c r="AAK1" s="87" t="n"/>
      <c r="AAL1" s="87" t="n"/>
      <c r="AAM1" s="87" t="n"/>
      <c r="AAN1" s="87" t="n"/>
      <c r="AAO1" s="87" t="n"/>
      <c r="AAP1" s="87" t="n"/>
      <c r="AAQ1" s="87" t="n"/>
      <c r="AAR1" s="87" t="n"/>
      <c r="AAS1" s="87" t="n"/>
      <c r="AAT1" s="87" t="n"/>
      <c r="AAU1" s="87" t="n"/>
      <c r="AAV1" s="87" t="n"/>
      <c r="AAW1" s="87" t="n"/>
      <c r="AAX1" s="87" t="n"/>
      <c r="AAY1" s="87" t="n"/>
      <c r="AAZ1" s="87" t="n"/>
      <c r="ABA1" s="87" t="n"/>
      <c r="ABB1" s="87" t="n"/>
      <c r="ABC1" s="87" t="n"/>
      <c r="ABD1" s="87" t="n"/>
      <c r="ABE1" s="87" t="n"/>
      <c r="ABF1" s="87" t="n"/>
      <c r="ABG1" s="87" t="n"/>
      <c r="ABH1" s="87" t="n"/>
      <c r="ABI1" s="87" t="n"/>
      <c r="ABJ1" s="87" t="n"/>
      <c r="ABK1" s="87" t="n"/>
      <c r="ABL1" s="87" t="n"/>
      <c r="ABM1" s="87" t="n"/>
      <c r="ABN1" s="87" t="n"/>
      <c r="ABO1" s="87" t="n"/>
      <c r="ABP1" s="87" t="n"/>
      <c r="ABQ1" s="87" t="n"/>
      <c r="ABR1" s="87" t="n"/>
      <c r="ABS1" s="87" t="n"/>
      <c r="ABT1" s="87" t="n"/>
      <c r="ABU1" s="87" t="n"/>
      <c r="ABV1" s="87" t="n"/>
      <c r="ABW1" s="87" t="n"/>
      <c r="ABX1" s="87" t="n"/>
      <c r="ABY1" s="87" t="n"/>
      <c r="ABZ1" s="87" t="n"/>
      <c r="ACA1" s="87" t="n"/>
      <c r="ACB1" s="87" t="n"/>
      <c r="ACC1" s="87" t="n"/>
      <c r="ACD1" s="87" t="n"/>
      <c r="ACE1" s="87" t="n"/>
      <c r="ACF1" s="87" t="n"/>
      <c r="ACG1" s="87" t="n"/>
      <c r="ACH1" s="87" t="n"/>
      <c r="ACI1" s="87" t="n"/>
      <c r="ACJ1" s="87" t="n"/>
      <c r="ACK1" s="87" t="n"/>
      <c r="ACL1" s="87" t="n"/>
      <c r="ACM1" s="87" t="n"/>
      <c r="ACN1" s="87" t="n"/>
      <c r="ACO1" s="87" t="n"/>
      <c r="ACP1" s="87" t="n"/>
      <c r="ACQ1" s="87" t="n"/>
      <c r="ACR1" s="87" t="n"/>
      <c r="ACS1" s="87" t="n"/>
      <c r="ACT1" s="87" t="n"/>
      <c r="ACU1" s="87" t="n"/>
      <c r="ACV1" s="87" t="n"/>
      <c r="ACW1" s="87" t="n"/>
      <c r="ACX1" s="87" t="n"/>
      <c r="ACY1" s="87" t="n"/>
      <c r="ACZ1" s="87" t="n"/>
      <c r="ADA1" s="87" t="n"/>
      <c r="ADB1" s="87" t="n"/>
      <c r="ADC1" s="87" t="n"/>
      <c r="ADD1" s="87" t="n"/>
      <c r="ADE1" s="87" t="n"/>
      <c r="ADF1" s="87" t="n"/>
      <c r="ADG1" s="87" t="n"/>
      <c r="ADH1" s="87" t="n"/>
      <c r="ADI1" s="87" t="n"/>
      <c r="ADJ1" s="87" t="n"/>
      <c r="ADK1" s="87" t="n"/>
      <c r="ADL1" s="87" t="n"/>
      <c r="ADM1" s="87" t="n"/>
      <c r="ADN1" s="87" t="n"/>
      <c r="ADO1" s="87" t="n"/>
      <c r="ADP1" s="87" t="n"/>
      <c r="ADQ1" s="87" t="n"/>
      <c r="ADR1" s="87" t="n"/>
      <c r="ADS1" s="87" t="n"/>
      <c r="ADT1" s="87" t="n"/>
      <c r="ADU1" s="87" t="n"/>
      <c r="ADV1" s="87" t="n"/>
      <c r="ADW1" s="87" t="n"/>
      <c r="ADX1" s="87" t="n"/>
      <c r="ADY1" s="87" t="n"/>
      <c r="ADZ1" s="87" t="n"/>
      <c r="AEA1" s="87" t="n"/>
      <c r="AEB1" s="87" t="n"/>
      <c r="AEC1" s="87" t="n"/>
      <c r="AED1" s="87" t="n"/>
      <c r="AEE1" s="87" t="n"/>
      <c r="AEF1" s="87" t="n"/>
      <c r="AEG1" s="87" t="n"/>
      <c r="AEH1" s="87" t="n"/>
      <c r="AEI1" s="87" t="n"/>
      <c r="AEJ1" s="87" t="n"/>
      <c r="AEK1" s="87" t="n"/>
      <c r="AEL1" s="87" t="n"/>
      <c r="AEM1" s="87" t="n"/>
      <c r="AEN1" s="87" t="n"/>
      <c r="AEO1" s="87" t="n"/>
      <c r="AEP1" s="87" t="n"/>
      <c r="AEQ1" s="87" t="n"/>
      <c r="AER1" s="87" t="n"/>
      <c r="AES1" s="87" t="n"/>
      <c r="AET1" s="87" t="n"/>
      <c r="AEU1" s="87" t="n"/>
      <c r="AEV1" s="87" t="n"/>
      <c r="AEW1" s="87" t="n"/>
      <c r="AEX1" s="87" t="n"/>
      <c r="AEY1" s="87" t="n"/>
      <c r="AEZ1" s="87" t="n"/>
      <c r="AFA1" s="87" t="n"/>
      <c r="AFB1" s="87" t="n"/>
      <c r="AFC1" s="87" t="n"/>
      <c r="AFD1" s="87" t="n"/>
      <c r="AFE1" s="87" t="n"/>
      <c r="AFF1" s="87" t="n"/>
      <c r="AFG1" s="87" t="n"/>
      <c r="AFH1" s="87" t="n"/>
      <c r="AFI1" s="87" t="n"/>
      <c r="AFJ1" s="87" t="n"/>
      <c r="AFK1" s="87" t="n"/>
      <c r="AFL1" s="87" t="n"/>
      <c r="AFM1" s="87" t="n"/>
      <c r="AFN1" s="87" t="n"/>
      <c r="AFO1" s="87" t="n"/>
      <c r="AFP1" s="87" t="n"/>
      <c r="AFQ1" s="87" t="n"/>
      <c r="AFR1" s="87" t="n"/>
      <c r="AFS1" s="87" t="n"/>
      <c r="AFT1" s="87" t="n"/>
      <c r="AFU1" s="87" t="n"/>
      <c r="AFV1" s="87" t="n"/>
      <c r="AFW1" s="87" t="n"/>
      <c r="AFX1" s="87" t="n"/>
      <c r="AFY1" s="87" t="n"/>
      <c r="AFZ1" s="87" t="n"/>
      <c r="AGA1" s="87" t="n"/>
      <c r="AGB1" s="87" t="n"/>
      <c r="AGC1" s="87" t="n"/>
      <c r="AGD1" s="87" t="n"/>
      <c r="AGE1" s="87" t="n"/>
      <c r="AGF1" s="87" t="n"/>
      <c r="AGG1" s="87" t="n"/>
      <c r="AGH1" s="87" t="n"/>
      <c r="AGI1" s="87" t="n"/>
      <c r="AGJ1" s="87" t="n"/>
      <c r="AGK1" s="87" t="n"/>
      <c r="AGL1" s="87" t="n"/>
      <c r="AGM1" s="87" t="n"/>
      <c r="AGN1" s="87" t="n"/>
      <c r="AGO1" s="87" t="n"/>
      <c r="AGP1" s="87" t="n"/>
      <c r="AGQ1" s="87" t="n"/>
      <c r="AGR1" s="87" t="n"/>
      <c r="AGS1" s="87" t="n"/>
      <c r="AGT1" s="87" t="n"/>
      <c r="AGU1" s="87" t="n"/>
      <c r="AGV1" s="87" t="n"/>
      <c r="AGW1" s="87" t="n"/>
      <c r="AGX1" s="87" t="n"/>
      <c r="AGY1" s="87" t="n"/>
      <c r="AGZ1" s="87" t="n"/>
      <c r="AHA1" s="87" t="n"/>
      <c r="AHB1" s="87" t="n"/>
      <c r="AHC1" s="87" t="n"/>
      <c r="AHD1" s="87" t="n"/>
      <c r="AHE1" s="87" t="n"/>
      <c r="AHF1" s="87" t="n"/>
      <c r="AHG1" s="87" t="n"/>
      <c r="AHH1" s="87" t="n"/>
      <c r="AHI1" s="87" t="n"/>
      <c r="AHJ1" s="87" t="n"/>
      <c r="AHK1" s="87" t="n"/>
      <c r="AHL1" s="87" t="n"/>
      <c r="AHM1" s="87" t="n"/>
      <c r="AHN1" s="87" t="n"/>
      <c r="AHO1" s="87" t="n"/>
      <c r="AHP1" s="87" t="n"/>
      <c r="AHQ1" s="87" t="n"/>
      <c r="AHR1" s="87" t="n"/>
      <c r="AHS1" s="87" t="n"/>
      <c r="AHT1" s="87" t="n"/>
      <c r="AHU1" s="87" t="n"/>
      <c r="AHV1" s="87" t="n"/>
      <c r="AHW1" s="87" t="n"/>
      <c r="AHX1" s="87" t="n"/>
      <c r="AHY1" s="87" t="n"/>
      <c r="AHZ1" s="87" t="n"/>
      <c r="AIA1" s="87" t="n"/>
      <c r="AIB1" s="87" t="n"/>
      <c r="AIC1" s="87" t="n"/>
      <c r="AID1" s="87" t="n"/>
      <c r="AIE1" s="87" t="n"/>
      <c r="AIF1" s="87" t="n"/>
      <c r="AIG1" s="87" t="n"/>
      <c r="AIH1" s="87" t="n"/>
      <c r="AII1" s="87" t="n"/>
      <c r="AIJ1" s="87" t="n"/>
      <c r="AIK1" s="87" t="n"/>
      <c r="AIL1" s="87" t="n"/>
      <c r="AIM1" s="87" t="n"/>
      <c r="AIN1" s="87" t="n"/>
      <c r="AIO1" s="87" t="n"/>
      <c r="AIP1" s="87" t="n"/>
      <c r="AIQ1" s="87" t="n"/>
      <c r="AIR1" s="87" t="n"/>
      <c r="AIS1" s="87" t="n"/>
      <c r="AIT1" s="87" t="n"/>
      <c r="AIU1" s="87" t="n"/>
      <c r="AIV1" s="87" t="n"/>
      <c r="AIW1" s="87" t="n"/>
      <c r="AIX1" s="87" t="n"/>
      <c r="AIY1" s="87" t="n"/>
      <c r="AIZ1" s="87" t="n"/>
      <c r="AJA1" s="87" t="n"/>
      <c r="AJB1" s="87" t="n"/>
      <c r="AJC1" s="87" t="n"/>
      <c r="AJD1" s="87" t="n"/>
      <c r="AJE1" s="87" t="n"/>
      <c r="AJF1" s="87" t="n"/>
      <c r="AJG1" s="87" t="n"/>
      <c r="AJH1" s="87" t="n"/>
      <c r="AJI1" s="87" t="n"/>
      <c r="AJJ1" s="87" t="n"/>
      <c r="AJK1" s="87" t="n"/>
      <c r="AJL1" s="87" t="n"/>
      <c r="AJM1" s="87" t="n"/>
      <c r="AJN1" s="87" t="n"/>
      <c r="AJO1" s="87" t="n"/>
      <c r="AJP1" s="87" t="n"/>
      <c r="AJQ1" s="87" t="n"/>
      <c r="AJR1" s="87" t="n"/>
      <c r="AJS1" s="87" t="n"/>
      <c r="AJT1" s="87" t="n"/>
      <c r="AJU1" s="87" t="n"/>
      <c r="AJV1" s="87" t="n"/>
      <c r="AJW1" s="87" t="n"/>
      <c r="AJX1" s="87" t="n"/>
      <c r="AJY1" s="87" t="n"/>
      <c r="AJZ1" s="87" t="n"/>
      <c r="AKA1" s="87" t="n"/>
      <c r="AKB1" s="87" t="n"/>
      <c r="AKC1" s="87" t="n"/>
      <c r="AKD1" s="87" t="n"/>
      <c r="AKE1" s="87" t="n"/>
      <c r="AKF1" s="87" t="n"/>
      <c r="AKG1" s="87" t="n"/>
      <c r="AKH1" s="87" t="n"/>
      <c r="AKI1" s="87" t="n"/>
      <c r="AKJ1" s="87" t="n"/>
      <c r="AKK1" s="87" t="n"/>
      <c r="AKL1" s="87" t="n"/>
      <c r="AKM1" s="87" t="n"/>
      <c r="AKN1" s="87" t="n"/>
      <c r="AKO1" s="87" t="n"/>
      <c r="AKP1" s="87" t="n"/>
      <c r="AKQ1" s="87" t="n"/>
      <c r="AKR1" s="87" t="n"/>
      <c r="AKS1" s="87" t="n"/>
      <c r="AKT1" s="87" t="n"/>
      <c r="AKU1" s="87" t="n"/>
      <c r="AKV1" s="87" t="n"/>
      <c r="AKW1" s="87" t="n"/>
      <c r="AKX1" s="87" t="n"/>
      <c r="AKY1" s="87" t="n"/>
      <c r="AKZ1" s="87" t="n"/>
      <c r="ALA1" s="87" t="n"/>
      <c r="ALB1" s="87" t="n"/>
      <c r="ALC1" s="87" t="n"/>
      <c r="ALD1" s="87" t="n"/>
      <c r="ALE1" s="87" t="n"/>
      <c r="ALF1" s="87" t="n"/>
      <c r="ALG1" s="87" t="n"/>
      <c r="ALH1" s="87" t="n"/>
      <c r="ALI1" s="87" t="n"/>
      <c r="ALJ1" s="87" t="n"/>
      <c r="ALK1" s="87" t="n"/>
      <c r="ALL1" s="87" t="n"/>
      <c r="ALM1" s="87" t="n"/>
      <c r="ALN1" s="87" t="n"/>
      <c r="ALO1" s="87" t="n"/>
      <c r="ALP1" s="87" t="n"/>
      <c r="ALQ1" s="87" t="n"/>
      <c r="ALR1" s="87" t="n"/>
      <c r="ALS1" s="87" t="n"/>
      <c r="ALT1" s="87" t="n"/>
      <c r="ALU1" s="87" t="n"/>
      <c r="ALV1" s="87" t="n"/>
      <c r="ALW1" s="87" t="n"/>
      <c r="ALX1" s="87" t="n"/>
      <c r="ALY1" s="87" t="n"/>
      <c r="ALZ1" s="87" t="n"/>
      <c r="AMA1" s="87" t="n"/>
      <c r="AMB1" s="87" t="n"/>
      <c r="AMC1" s="87" t="n"/>
      <c r="AMD1" s="87" t="n"/>
      <c r="AME1" s="87" t="n"/>
      <c r="AMF1" s="87" t="n"/>
      <c r="AMG1" s="87" t="n"/>
      <c r="AMH1" s="87" t="n"/>
      <c r="AMI1" s="87" t="n"/>
      <c r="AMJ1" s="87" t="n"/>
      <c r="AMK1" s="87" t="n"/>
      <c r="AML1" s="87" t="n"/>
      <c r="AMM1" s="87" t="n"/>
      <c r="AMN1" s="87" t="n"/>
      <c r="AMO1" s="87" t="n"/>
      <c r="AMP1" s="87" t="n"/>
      <c r="AMQ1" s="87" t="n"/>
      <c r="AMR1" s="87" t="n"/>
      <c r="AMS1" s="87" t="n"/>
      <c r="AMT1" s="87" t="n"/>
      <c r="AMU1" s="87" t="n"/>
      <c r="AMV1" s="87" t="n"/>
      <c r="AMW1" s="87" t="n"/>
      <c r="AMX1" s="87" t="n"/>
      <c r="AMY1" s="87" t="n"/>
      <c r="AMZ1" s="87" t="n"/>
      <c r="ANA1" s="87" t="n"/>
      <c r="ANB1" s="87" t="n"/>
      <c r="ANC1" s="87" t="n"/>
      <c r="AND1" s="87" t="n"/>
      <c r="ANE1" s="87" t="n"/>
      <c r="ANF1" s="87" t="n"/>
      <c r="ANG1" s="87" t="n"/>
      <c r="ANH1" s="87" t="n"/>
      <c r="ANI1" s="87" t="n"/>
      <c r="ANJ1" s="87" t="n"/>
      <c r="ANK1" s="87" t="n"/>
      <c r="ANL1" s="87" t="n"/>
      <c r="ANM1" s="87" t="n"/>
      <c r="ANN1" s="87" t="n"/>
      <c r="ANO1" s="87" t="n"/>
      <c r="ANP1" s="87" t="n"/>
      <c r="ANQ1" s="87" t="n"/>
      <c r="ANR1" s="87" t="n"/>
      <c r="ANS1" s="87" t="n"/>
      <c r="ANT1" s="87" t="n"/>
      <c r="ANU1" s="87" t="n"/>
      <c r="ANV1" s="87" t="n"/>
      <c r="ANW1" s="87" t="n"/>
      <c r="ANX1" s="87" t="n"/>
      <c r="ANY1" s="87" t="n"/>
      <c r="ANZ1" s="87" t="n"/>
      <c r="AOA1" s="87" t="n"/>
      <c r="AOB1" s="87" t="n"/>
      <c r="AOC1" s="87" t="n"/>
      <c r="AOD1" s="87" t="n"/>
      <c r="AOE1" s="87" t="n"/>
      <c r="AOF1" s="87" t="n"/>
      <c r="AOG1" s="87" t="n"/>
      <c r="AOH1" s="87" t="n"/>
      <c r="AOI1" s="87" t="n"/>
      <c r="AOJ1" s="87" t="n"/>
      <c r="AOK1" s="87" t="n"/>
      <c r="AOL1" s="87" t="n"/>
      <c r="AOM1" s="87" t="n"/>
      <c r="AON1" s="87" t="n"/>
      <c r="AOO1" s="87" t="n"/>
      <c r="AOP1" s="87" t="n"/>
      <c r="AOQ1" s="87" t="n"/>
      <c r="AOR1" s="87" t="n"/>
      <c r="AOS1" s="87" t="n"/>
      <c r="AOT1" s="87" t="n"/>
      <c r="AOU1" s="87" t="n"/>
      <c r="AOV1" s="87" t="n"/>
      <c r="AOW1" s="87" t="n"/>
      <c r="AOX1" s="87" t="n"/>
      <c r="AOY1" s="87" t="n"/>
      <c r="AOZ1" s="87" t="n"/>
      <c r="APA1" s="87" t="n"/>
      <c r="APB1" s="87" t="n"/>
      <c r="APC1" s="87" t="n"/>
      <c r="APD1" s="87" t="n"/>
      <c r="APE1" s="87" t="n"/>
      <c r="APF1" s="87" t="n"/>
      <c r="APG1" s="87" t="n"/>
      <c r="APH1" s="87" t="n"/>
      <c r="API1" s="87" t="n"/>
      <c r="APJ1" s="87" t="n"/>
      <c r="APK1" s="87" t="n"/>
      <c r="APL1" s="87" t="n"/>
      <c r="APM1" s="87" t="n"/>
      <c r="APN1" s="87" t="n"/>
      <c r="APO1" s="87" t="n"/>
      <c r="APP1" s="87" t="n"/>
      <c r="APQ1" s="87" t="n"/>
      <c r="APR1" s="87" t="n"/>
      <c r="APS1" s="87" t="n"/>
      <c r="APT1" s="87" t="n"/>
      <c r="APU1" s="87" t="n"/>
      <c r="APV1" s="87" t="n"/>
      <c r="APW1" s="87" t="n"/>
      <c r="APX1" s="87" t="n"/>
      <c r="APY1" s="87" t="n"/>
      <c r="APZ1" s="87" t="n"/>
      <c r="AQA1" s="87" t="n"/>
      <c r="AQB1" s="87" t="n"/>
      <c r="AQC1" s="87" t="n"/>
      <c r="AQD1" s="87" t="n"/>
      <c r="AQE1" s="87" t="n"/>
      <c r="AQF1" s="87" t="n"/>
      <c r="AQG1" s="87" t="n"/>
      <c r="AQH1" s="87" t="n"/>
      <c r="AQI1" s="87" t="n"/>
      <c r="AQJ1" s="87" t="n"/>
      <c r="AQK1" s="87" t="n"/>
      <c r="AQL1" s="87" t="n"/>
      <c r="AQM1" s="87" t="n"/>
      <c r="AQN1" s="87" t="n"/>
      <c r="AQO1" s="87" t="n"/>
      <c r="AQP1" s="87" t="n"/>
      <c r="AQQ1" s="87" t="n"/>
      <c r="AQR1" s="87" t="n"/>
      <c r="AQS1" s="87" t="n"/>
      <c r="AQT1" s="87" t="n"/>
      <c r="AQU1" s="87" t="n"/>
      <c r="AQV1" s="87" t="n"/>
      <c r="AQW1" s="87" t="n"/>
      <c r="AQX1" s="87" t="n"/>
      <c r="AQY1" s="87" t="n"/>
      <c r="AQZ1" s="87" t="n"/>
      <c r="ARA1" s="87" t="n"/>
      <c r="ARB1" s="87" t="n"/>
      <c r="ARC1" s="87" t="n"/>
      <c r="ARD1" s="87" t="n"/>
      <c r="ARE1" s="87" t="n"/>
      <c r="ARF1" s="87" t="n"/>
      <c r="ARG1" s="87" t="n"/>
      <c r="ARH1" s="87" t="n"/>
      <c r="ARI1" s="87" t="n"/>
      <c r="ARJ1" s="87" t="n"/>
      <c r="ARK1" s="87" t="n"/>
      <c r="ARL1" s="87" t="n"/>
      <c r="ARM1" s="87" t="n"/>
      <c r="ARN1" s="87" t="n"/>
      <c r="ARO1" s="87" t="n"/>
      <c r="ARP1" s="87" t="n"/>
      <c r="ARQ1" s="87" t="n"/>
      <c r="ARR1" s="87" t="n"/>
      <c r="ARS1" s="87" t="n"/>
      <c r="ART1" s="87" t="n"/>
      <c r="ARU1" s="87" t="n"/>
      <c r="ARV1" s="87" t="n"/>
      <c r="ARW1" s="87" t="n"/>
      <c r="ARX1" s="87" t="n"/>
      <c r="ARY1" s="87" t="n"/>
      <c r="ARZ1" s="87" t="n"/>
      <c r="ASA1" s="87" t="n"/>
      <c r="ASB1" s="87" t="n"/>
      <c r="ASC1" s="87" t="n"/>
      <c r="ASD1" s="87" t="n"/>
      <c r="ASE1" s="87" t="n"/>
      <c r="ASF1" s="87" t="n"/>
      <c r="ASG1" s="87" t="n"/>
      <c r="ASH1" s="87" t="n"/>
      <c r="ASI1" s="87" t="n"/>
      <c r="ASJ1" s="87" t="n"/>
      <c r="ASK1" s="87" t="n"/>
      <c r="ASL1" s="87" t="n"/>
      <c r="ASM1" s="87" t="n"/>
      <c r="ASN1" s="87" t="n"/>
      <c r="ASO1" s="87" t="n"/>
      <c r="ASP1" s="87" t="n"/>
      <c r="ASQ1" s="87" t="n"/>
      <c r="ASR1" s="87" t="n"/>
      <c r="ASS1" s="87" t="n"/>
      <c r="AST1" s="87" t="n"/>
      <c r="ASU1" s="87" t="n"/>
      <c r="ASV1" s="87" t="n"/>
      <c r="ASW1" s="87" t="n"/>
      <c r="ASX1" s="87" t="n"/>
      <c r="ASY1" s="87" t="n"/>
      <c r="ASZ1" s="87" t="n"/>
      <c r="ATA1" s="87" t="n"/>
      <c r="ATB1" s="87" t="n"/>
      <c r="ATC1" s="87" t="n"/>
      <c r="ATD1" s="87" t="n"/>
      <c r="ATE1" s="87" t="n"/>
      <c r="ATF1" s="87" t="n"/>
      <c r="ATG1" s="87" t="n"/>
      <c r="ATH1" s="87" t="n"/>
      <c r="ATI1" s="87" t="n"/>
      <c r="ATJ1" s="87" t="n"/>
      <c r="ATK1" s="87" t="n"/>
      <c r="ATL1" s="87" t="n"/>
      <c r="ATM1" s="87" t="n"/>
      <c r="ATN1" s="87" t="n"/>
      <c r="ATO1" s="87" t="n"/>
      <c r="ATP1" s="87" t="n"/>
      <c r="ATQ1" s="87" t="n"/>
      <c r="ATR1" s="87" t="n"/>
      <c r="ATS1" s="87" t="n"/>
      <c r="ATT1" s="87" t="n"/>
      <c r="ATU1" s="87" t="n"/>
      <c r="ATV1" s="87" t="n"/>
      <c r="ATW1" s="87" t="n"/>
      <c r="ATX1" s="87" t="n"/>
      <c r="ATY1" s="87" t="n"/>
      <c r="ATZ1" s="87" t="n"/>
      <c r="AUA1" s="87" t="n"/>
      <c r="AUB1" s="87" t="n"/>
      <c r="AUC1" s="87" t="n"/>
      <c r="AUD1" s="87" t="n"/>
      <c r="AUE1" s="87" t="n"/>
      <c r="AUF1" s="87" t="n"/>
      <c r="AUG1" s="87" t="n"/>
      <c r="AUH1" s="87" t="n"/>
      <c r="AUI1" s="87" t="n"/>
      <c r="AUJ1" s="87" t="n"/>
      <c r="AUK1" s="87" t="n"/>
      <c r="AUL1" s="87" t="n"/>
      <c r="AUM1" s="87" t="n"/>
      <c r="AUN1" s="87" t="n"/>
      <c r="AUO1" s="87" t="n"/>
      <c r="AUP1" s="87" t="n"/>
      <c r="AUQ1" s="87" t="n"/>
      <c r="AUR1" s="87" t="n"/>
      <c r="AUS1" s="87" t="n"/>
      <c r="AUT1" s="87" t="n"/>
      <c r="AUU1" s="87" t="n"/>
      <c r="AUV1" s="87" t="n"/>
      <c r="AUW1" s="87" t="n"/>
      <c r="AUX1" s="87" t="n"/>
      <c r="AUY1" s="87" t="n"/>
      <c r="AUZ1" s="87" t="n"/>
      <c r="AVA1" s="87" t="n"/>
      <c r="AVB1" s="87" t="n"/>
      <c r="AVC1" s="87" t="n"/>
      <c r="AVD1" s="87" t="n"/>
      <c r="AVE1" s="87" t="n"/>
      <c r="AVF1" s="87" t="n"/>
      <c r="AVG1" s="87" t="n"/>
      <c r="AVH1" s="87" t="n"/>
      <c r="AVI1" s="87" t="n"/>
      <c r="AVJ1" s="87" t="n"/>
      <c r="AVK1" s="87" t="n"/>
      <c r="AVL1" s="87" t="n"/>
      <c r="AVM1" s="87" t="n"/>
      <c r="AVN1" s="87" t="n"/>
      <c r="AVO1" s="87" t="n"/>
      <c r="AVP1" s="87" t="n"/>
      <c r="AVQ1" s="87" t="n"/>
      <c r="AVR1" s="87" t="n"/>
      <c r="AVS1" s="87" t="n"/>
      <c r="AVT1" s="87" t="n"/>
      <c r="AVU1" s="87" t="n"/>
      <c r="AVV1" s="87" t="n"/>
      <c r="AVW1" s="87" t="n"/>
      <c r="AVX1" s="87" t="n"/>
      <c r="AVY1" s="87" t="n"/>
      <c r="AVZ1" s="87" t="n"/>
      <c r="AWA1" s="87" t="n"/>
      <c r="AWB1" s="87" t="n"/>
      <c r="AWC1" s="87" t="n"/>
      <c r="AWD1" s="87" t="n"/>
      <c r="AWE1" s="87" t="n"/>
      <c r="AWF1" s="87" t="n"/>
      <c r="AWG1" s="87" t="n"/>
      <c r="AWH1" s="87" t="n"/>
      <c r="AWI1" s="87" t="n"/>
      <c r="AWJ1" s="87" t="n"/>
      <c r="AWK1" s="87" t="n"/>
      <c r="AWL1" s="87" t="n"/>
      <c r="AWM1" s="87" t="n"/>
      <c r="AWN1" s="87" t="n"/>
      <c r="AWO1" s="87" t="n"/>
      <c r="AWP1" s="87" t="n"/>
      <c r="AWQ1" s="87" t="n"/>
      <c r="AWR1" s="87" t="n"/>
      <c r="AWS1" s="87" t="n"/>
      <c r="AWT1" s="87" t="n"/>
      <c r="AWU1" s="87" t="n"/>
      <c r="AWV1" s="87" t="n"/>
      <c r="AWW1" s="87" t="n"/>
      <c r="AWX1" s="87" t="n"/>
      <c r="AWY1" s="87" t="n"/>
      <c r="AWZ1" s="87" t="n"/>
      <c r="AXA1" s="87" t="n"/>
      <c r="AXB1" s="87" t="n"/>
      <c r="AXC1" s="87" t="n"/>
      <c r="AXD1" s="87" t="n"/>
      <c r="AXE1" s="87" t="n"/>
      <c r="AXF1" s="87" t="n"/>
      <c r="AXG1" s="87" t="n"/>
      <c r="AXH1" s="87" t="n"/>
      <c r="AXI1" s="87" t="n"/>
      <c r="AXJ1" s="87" t="n"/>
      <c r="AXK1" s="87" t="n"/>
      <c r="AXL1" s="87" t="n"/>
      <c r="AXM1" s="87" t="n"/>
      <c r="AXN1" s="87" t="n"/>
      <c r="AXO1" s="87" t="n"/>
      <c r="AXP1" s="87" t="n"/>
      <c r="AXQ1" s="87" t="n"/>
      <c r="AXR1" s="87" t="n"/>
      <c r="AXS1" s="87" t="n"/>
      <c r="AXT1" s="87" t="n"/>
      <c r="AXU1" s="87" t="n"/>
      <c r="AXV1" s="87" t="n"/>
      <c r="AXW1" s="87" t="n"/>
      <c r="AXX1" s="87" t="n"/>
      <c r="AXY1" s="87" t="n"/>
      <c r="AXZ1" s="87" t="n"/>
      <c r="AYA1" s="87" t="n"/>
      <c r="AYB1" s="87" t="n"/>
      <c r="AYC1" s="87" t="n"/>
      <c r="AYD1" s="87" t="n"/>
      <c r="AYE1" s="87" t="n"/>
      <c r="AYF1" s="87" t="n"/>
      <c r="AYG1" s="87" t="n"/>
      <c r="AYH1" s="87" t="n"/>
      <c r="AYI1" s="87" t="n"/>
      <c r="AYJ1" s="87" t="n"/>
      <c r="AYK1" s="87" t="n"/>
      <c r="AYL1" s="87" t="n"/>
      <c r="AYM1" s="87" t="n"/>
      <c r="AYN1" s="87" t="n"/>
      <c r="AYO1" s="87" t="n"/>
      <c r="AYP1" s="87" t="n"/>
      <c r="AYQ1" s="87" t="n"/>
      <c r="AYR1" s="87" t="n"/>
      <c r="AYS1" s="87" t="n"/>
      <c r="AYT1" s="87" t="n"/>
      <c r="AYU1" s="87" t="n"/>
      <c r="AYV1" s="87" t="n"/>
      <c r="AYW1" s="87" t="n"/>
      <c r="AYX1" s="87" t="n"/>
      <c r="AYY1" s="87" t="n"/>
      <c r="AYZ1" s="87" t="n"/>
      <c r="AZA1" s="87" t="n"/>
      <c r="AZB1" s="87" t="n"/>
      <c r="AZC1" s="87" t="n"/>
      <c r="AZD1" s="87" t="n"/>
      <c r="AZE1" s="87" t="n"/>
      <c r="AZF1" s="87" t="n"/>
      <c r="AZG1" s="87" t="n"/>
      <c r="AZH1" s="87" t="n"/>
      <c r="AZI1" s="87" t="n"/>
      <c r="AZJ1" s="87" t="n"/>
      <c r="AZK1" s="87" t="n"/>
      <c r="AZL1" s="87" t="n"/>
      <c r="AZM1" s="87" t="n"/>
      <c r="AZN1" s="87" t="n"/>
      <c r="AZO1" s="87" t="n"/>
      <c r="AZP1" s="87" t="n"/>
      <c r="AZQ1" s="87" t="n"/>
      <c r="AZR1" s="87" t="n"/>
      <c r="AZS1" s="87" t="n"/>
      <c r="AZT1" s="87" t="n"/>
      <c r="AZU1" s="87" t="n"/>
      <c r="AZV1" s="87" t="n"/>
      <c r="AZW1" s="87" t="n"/>
      <c r="AZX1" s="87" t="n"/>
      <c r="AZY1" s="87" t="n"/>
      <c r="AZZ1" s="87" t="n"/>
      <c r="BAA1" s="87" t="n"/>
      <c r="BAB1" s="87" t="n"/>
      <c r="BAC1" s="87" t="n"/>
      <c r="BAD1" s="87" t="n"/>
      <c r="BAE1" s="87" t="n"/>
      <c r="BAF1" s="87" t="n"/>
      <c r="BAG1" s="87" t="n"/>
      <c r="BAH1" s="87" t="n"/>
      <c r="BAI1" s="87" t="n"/>
      <c r="BAJ1" s="87" t="n"/>
      <c r="BAK1" s="87" t="n"/>
      <c r="BAL1" s="87" t="n"/>
      <c r="BAM1" s="87" t="n"/>
      <c r="BAN1" s="87" t="n"/>
      <c r="BAO1" s="87" t="n"/>
      <c r="BAP1" s="87" t="n"/>
      <c r="BAQ1" s="87" t="n"/>
      <c r="BAR1" s="87" t="n"/>
      <c r="BAS1" s="87" t="n"/>
      <c r="BAT1" s="87" t="n"/>
      <c r="BAU1" s="87" t="n"/>
      <c r="BAV1" s="87" t="n"/>
      <c r="BAW1" s="87" t="n"/>
      <c r="BAX1" s="87" t="n"/>
      <c r="BAY1" s="87" t="n"/>
      <c r="BAZ1" s="87" t="n"/>
      <c r="BBA1" s="87" t="n"/>
      <c r="BBB1" s="87" t="n"/>
      <c r="BBC1" s="87" t="n"/>
      <c r="BBD1" s="87" t="n"/>
      <c r="BBE1" s="87" t="n"/>
      <c r="BBF1" s="87" t="n"/>
      <c r="BBG1" s="87" t="n"/>
      <c r="BBH1" s="87" t="n"/>
      <c r="BBI1" s="87" t="n"/>
      <c r="BBJ1" s="87" t="n"/>
      <c r="BBK1" s="87" t="n"/>
      <c r="BBL1" s="87" t="n"/>
      <c r="BBM1" s="87" t="n"/>
      <c r="BBN1" s="87" t="n"/>
      <c r="BBO1" s="87" t="n"/>
      <c r="BBP1" s="87" t="n"/>
      <c r="BBQ1" s="87" t="n"/>
      <c r="BBR1" s="87" t="n"/>
      <c r="BBS1" s="87" t="n"/>
      <c r="BBT1" s="87" t="n"/>
      <c r="BBU1" s="87" t="n"/>
      <c r="BBV1" s="87" t="n"/>
      <c r="BBW1" s="87" t="n"/>
      <c r="BBX1" s="87" t="n"/>
      <c r="BBY1" s="87" t="n"/>
      <c r="BBZ1" s="87" t="n"/>
      <c r="BCA1" s="87" t="n"/>
      <c r="BCB1" s="87" t="n"/>
      <c r="BCC1" s="87" t="n"/>
      <c r="BCD1" s="87" t="n"/>
      <c r="BCE1" s="87" t="n"/>
      <c r="BCF1" s="87" t="n"/>
      <c r="BCG1" s="87" t="n"/>
      <c r="BCH1" s="87" t="n"/>
      <c r="BCI1" s="87" t="n"/>
      <c r="BCJ1" s="87" t="n"/>
      <c r="BCK1" s="87" t="n"/>
      <c r="BCL1" s="87" t="n"/>
      <c r="BCM1" s="87" t="n"/>
      <c r="BCN1" s="87" t="n"/>
      <c r="BCO1" s="87" t="n"/>
      <c r="BCP1" s="87" t="n"/>
      <c r="BCQ1" s="87" t="n"/>
      <c r="BCR1" s="87" t="n"/>
      <c r="BCS1" s="87" t="n"/>
      <c r="BCT1" s="87" t="n"/>
      <c r="BCU1" s="87" t="n"/>
      <c r="BCV1" s="87" t="n"/>
      <c r="BCW1" s="87" t="n"/>
      <c r="BCX1" s="87" t="n"/>
      <c r="BCY1" s="87" t="n"/>
      <c r="BCZ1" s="87" t="n"/>
      <c r="BDA1" s="87" t="n"/>
      <c r="BDB1" s="87" t="n"/>
      <c r="BDC1" s="87" t="n"/>
      <c r="BDD1" s="87" t="n"/>
      <c r="BDE1" s="87" t="n"/>
      <c r="BDF1" s="87" t="n"/>
      <c r="BDG1" s="87" t="n"/>
      <c r="BDH1" s="87" t="n"/>
      <c r="BDI1" s="87" t="n"/>
      <c r="BDJ1" s="87" t="n"/>
      <c r="BDK1" s="87" t="n"/>
      <c r="BDL1" s="87" t="n"/>
      <c r="BDM1" s="87" t="n"/>
      <c r="BDN1" s="87" t="n"/>
      <c r="BDO1" s="87" t="n"/>
      <c r="BDP1" s="87" t="n"/>
      <c r="BDQ1" s="87" t="n"/>
      <c r="BDR1" s="87" t="n"/>
      <c r="BDS1" s="87" t="n"/>
      <c r="BDT1" s="87" t="n"/>
      <c r="BDU1" s="87" t="n"/>
      <c r="BDV1" s="87" t="n"/>
      <c r="BDW1" s="87" t="n"/>
      <c r="BDX1" s="87" t="n"/>
      <c r="BDY1" s="87" t="n"/>
      <c r="BDZ1" s="87" t="n"/>
      <c r="BEA1" s="87" t="n"/>
      <c r="BEB1" s="87" t="n"/>
      <c r="BEC1" s="87" t="n"/>
      <c r="BED1" s="87" t="n"/>
      <c r="BEE1" s="87" t="n"/>
      <c r="BEF1" s="87" t="n"/>
      <c r="BEG1" s="87" t="n"/>
      <c r="BEH1" s="87" t="n"/>
      <c r="BEI1" s="87" t="n"/>
      <c r="BEJ1" s="87" t="n"/>
      <c r="BEK1" s="87" t="n"/>
      <c r="BEL1" s="87" t="n"/>
      <c r="BEM1" s="87" t="n"/>
      <c r="BEN1" s="87" t="n"/>
      <c r="BEO1" s="87" t="n"/>
      <c r="BEP1" s="87" t="n"/>
      <c r="BEQ1" s="87" t="n"/>
      <c r="BER1" s="87" t="n"/>
      <c r="BES1" s="87" t="n"/>
      <c r="BET1" s="87" t="n"/>
      <c r="BEU1" s="87" t="n"/>
      <c r="BEV1" s="87" t="n"/>
      <c r="BEW1" s="87" t="n"/>
      <c r="BEX1" s="87" t="n"/>
      <c r="BEY1" s="87" t="n"/>
      <c r="BEZ1" s="87" t="n"/>
      <c r="BFA1" s="87" t="n"/>
      <c r="BFB1" s="87" t="n"/>
      <c r="BFC1" s="87" t="n"/>
      <c r="BFD1" s="87" t="n"/>
      <c r="BFE1" s="87" t="n"/>
      <c r="BFF1" s="87" t="n"/>
      <c r="BFG1" s="87" t="n"/>
      <c r="BFH1" s="87" t="n"/>
      <c r="BFI1" s="87" t="n"/>
      <c r="BFJ1" s="87" t="n"/>
      <c r="BFK1" s="87" t="n"/>
      <c r="BFL1" s="87" t="n"/>
      <c r="BFM1" s="87" t="n"/>
      <c r="BFN1" s="87" t="n"/>
      <c r="BFO1" s="87" t="n"/>
      <c r="BFP1" s="87" t="n"/>
      <c r="BFQ1" s="87" t="n"/>
      <c r="BFR1" s="87" t="n"/>
      <c r="BFS1" s="87" t="n"/>
      <c r="BFT1" s="87" t="n"/>
      <c r="BFU1" s="87" t="n"/>
      <c r="BFV1" s="87" t="n"/>
      <c r="BFW1" s="87" t="n"/>
      <c r="BFX1" s="87" t="n"/>
      <c r="BFY1" s="87" t="n"/>
      <c r="BFZ1" s="87" t="n"/>
      <c r="BGA1" s="87" t="n"/>
      <c r="BGB1" s="87" t="n"/>
      <c r="BGC1" s="87" t="n"/>
      <c r="BGD1" s="87" t="n"/>
      <c r="BGE1" s="87" t="n"/>
      <c r="BGF1" s="87" t="n"/>
      <c r="BGG1" s="87" t="n"/>
      <c r="BGH1" s="87" t="n"/>
      <c r="BGI1" s="87" t="n"/>
      <c r="BGJ1" s="87" t="n"/>
      <c r="BGK1" s="87" t="n"/>
      <c r="BGL1" s="87" t="n"/>
      <c r="BGM1" s="87" t="n"/>
      <c r="BGN1" s="87" t="n"/>
      <c r="BGO1" s="87" t="n"/>
      <c r="BGP1" s="87" t="n"/>
      <c r="BGQ1" s="87" t="n"/>
      <c r="BGR1" s="87" t="n"/>
      <c r="BGS1" s="87" t="n"/>
      <c r="BGT1" s="87" t="n"/>
      <c r="BGU1" s="87" t="n"/>
      <c r="BGV1" s="87" t="n"/>
      <c r="BGW1" s="87" t="n"/>
      <c r="BGX1" s="87" t="n"/>
      <c r="BGY1" s="87" t="n"/>
      <c r="BGZ1" s="87" t="n"/>
      <c r="BHA1" s="87" t="n"/>
      <c r="BHB1" s="87" t="n"/>
      <c r="BHC1" s="87" t="n"/>
      <c r="BHD1" s="87" t="n"/>
      <c r="BHE1" s="87" t="n"/>
      <c r="BHF1" s="87" t="n"/>
      <c r="BHG1" s="87" t="n"/>
      <c r="BHH1" s="87" t="n"/>
      <c r="BHI1" s="87" t="n"/>
      <c r="BHJ1" s="87" t="n"/>
      <c r="BHK1" s="87" t="n"/>
      <c r="BHL1" s="87" t="n"/>
      <c r="BHM1" s="87" t="n"/>
      <c r="BHN1" s="87" t="n"/>
      <c r="BHO1" s="87" t="n"/>
      <c r="BHP1" s="87" t="n"/>
      <c r="BHQ1" s="87" t="n"/>
      <c r="BHR1" s="87" t="n"/>
      <c r="BHS1" s="87" t="n"/>
      <c r="BHT1" s="87" t="n"/>
      <c r="BHU1" s="87" t="n"/>
      <c r="BHV1" s="87" t="n"/>
      <c r="BHW1" s="87" t="n"/>
      <c r="BHX1" s="87" t="n"/>
      <c r="BHY1" s="87" t="n"/>
      <c r="BHZ1" s="87" t="n"/>
      <c r="BIA1" s="87" t="n"/>
      <c r="BIB1" s="87" t="n"/>
      <c r="BIC1" s="87" t="n"/>
      <c r="BID1" s="87" t="n"/>
      <c r="BIE1" s="87" t="n"/>
      <c r="BIF1" s="87" t="n"/>
      <c r="BIG1" s="87" t="n"/>
      <c r="BIH1" s="87" t="n"/>
      <c r="BII1" s="87" t="n"/>
      <c r="BIJ1" s="87" t="n"/>
      <c r="BIK1" s="87" t="n"/>
      <c r="BIL1" s="87" t="n"/>
      <c r="BIM1" s="87" t="n"/>
      <c r="BIN1" s="87" t="n"/>
      <c r="BIO1" s="87" t="n"/>
      <c r="BIP1" s="87" t="n"/>
      <c r="BIQ1" s="87" t="n"/>
      <c r="BIR1" s="87" t="n"/>
      <c r="BIS1" s="87" t="n"/>
      <c r="BIT1" s="87" t="n"/>
      <c r="BIU1" s="87" t="n"/>
      <c r="BIV1" s="87" t="n"/>
      <c r="BIW1" s="87" t="n"/>
      <c r="BIX1" s="87" t="n"/>
      <c r="BIY1" s="87" t="n"/>
      <c r="BIZ1" s="87" t="n"/>
      <c r="BJA1" s="87" t="n"/>
      <c r="BJB1" s="87" t="n"/>
      <c r="BJC1" s="87" t="n"/>
      <c r="BJD1" s="87" t="n"/>
      <c r="BJE1" s="87" t="n"/>
      <c r="BJF1" s="87" t="n"/>
      <c r="BJG1" s="87" t="n"/>
      <c r="BJH1" s="87" t="n"/>
      <c r="BJI1" s="87" t="n"/>
      <c r="BJJ1" s="87" t="n"/>
      <c r="BJK1" s="87" t="n"/>
      <c r="BJL1" s="87" t="n"/>
      <c r="BJM1" s="87" t="n"/>
      <c r="BJN1" s="87" t="n"/>
      <c r="BJO1" s="87" t="n"/>
      <c r="BJP1" s="87" t="n"/>
      <c r="BJQ1" s="87" t="n"/>
      <c r="BJR1" s="87" t="n"/>
      <c r="BJS1" s="87" t="n"/>
      <c r="BJT1" s="87" t="n"/>
      <c r="BJU1" s="87" t="n"/>
      <c r="BJV1" s="87" t="n"/>
      <c r="BJW1" s="87" t="n"/>
      <c r="BJX1" s="87" t="n"/>
      <c r="BJY1" s="87" t="n"/>
      <c r="BJZ1" s="87" t="n"/>
      <c r="BKA1" s="87" t="n"/>
      <c r="BKB1" s="87" t="n"/>
      <c r="BKC1" s="87" t="n"/>
      <c r="BKD1" s="87" t="n"/>
      <c r="BKE1" s="87" t="n"/>
      <c r="BKF1" s="87" t="n"/>
      <c r="BKG1" s="87" t="n"/>
      <c r="BKH1" s="87" t="n"/>
      <c r="BKI1" s="87" t="n"/>
      <c r="BKJ1" s="87" t="n"/>
      <c r="BKK1" s="87" t="n"/>
      <c r="BKL1" s="87" t="n"/>
      <c r="BKM1" s="87" t="n"/>
      <c r="BKN1" s="87" t="n"/>
      <c r="BKO1" s="87" t="n"/>
      <c r="BKP1" s="87" t="n"/>
      <c r="BKQ1" s="87" t="n"/>
      <c r="BKR1" s="87" t="n"/>
      <c r="BKS1" s="87" t="n"/>
      <c r="BKT1" s="87" t="n"/>
      <c r="BKU1" s="87" t="n"/>
      <c r="BKV1" s="87" t="n"/>
      <c r="BKW1" s="87" t="n"/>
      <c r="BKX1" s="87" t="n"/>
      <c r="BKY1" s="87" t="n"/>
      <c r="BKZ1" s="87" t="n"/>
      <c r="BLA1" s="87" t="n"/>
      <c r="BLB1" s="87" t="n"/>
      <c r="BLC1" s="87" t="n"/>
      <c r="BLD1" s="87" t="n"/>
      <c r="BLE1" s="87" t="n"/>
      <c r="BLF1" s="87" t="n"/>
      <c r="BLG1" s="87" t="n"/>
      <c r="BLH1" s="87" t="n"/>
      <c r="BLI1" s="87" t="n"/>
      <c r="BLJ1" s="87" t="n"/>
      <c r="BLK1" s="87" t="n"/>
      <c r="BLL1" s="87" t="n"/>
      <c r="BLM1" s="87" t="n"/>
      <c r="BLN1" s="87" t="n"/>
      <c r="BLO1" s="87" t="n"/>
      <c r="BLP1" s="87" t="n"/>
      <c r="BLQ1" s="87" t="n"/>
      <c r="BLR1" s="87" t="n"/>
      <c r="BLS1" s="87" t="n"/>
      <c r="BLT1" s="87" t="n"/>
      <c r="BLU1" s="87" t="n"/>
      <c r="BLV1" s="87" t="n"/>
      <c r="BLW1" s="87" t="n"/>
      <c r="BLX1" s="87" t="n"/>
      <c r="BLY1" s="87" t="n"/>
      <c r="BLZ1" s="87" t="n"/>
      <c r="BMA1" s="87" t="n"/>
      <c r="BMB1" s="87" t="n"/>
      <c r="BMC1" s="87" t="n"/>
      <c r="BMD1" s="87" t="n"/>
      <c r="BME1" s="87" t="n"/>
      <c r="BMF1" s="87" t="n"/>
      <c r="BMG1" s="87" t="n"/>
      <c r="BMH1" s="87" t="n"/>
      <c r="BMI1" s="87" t="n"/>
      <c r="BMJ1" s="87" t="n"/>
      <c r="BMK1" s="87" t="n"/>
      <c r="BML1" s="87" t="n"/>
      <c r="BMM1" s="87" t="n"/>
      <c r="BMN1" s="87" t="n"/>
      <c r="BMO1" s="87" t="n"/>
      <c r="BMP1" s="87" t="n"/>
      <c r="BMQ1" s="87" t="n"/>
      <c r="BMR1" s="87" t="n"/>
      <c r="BMS1" s="87" t="n"/>
      <c r="BMT1" s="87" t="n"/>
      <c r="BMU1" s="87" t="n"/>
      <c r="BMV1" s="87" t="n"/>
      <c r="BMW1" s="87" t="n"/>
      <c r="BMX1" s="87" t="n"/>
      <c r="BMY1" s="87" t="n"/>
      <c r="BMZ1" s="87" t="n"/>
      <c r="BNA1" s="87" t="n"/>
      <c r="BNB1" s="87" t="n"/>
      <c r="BNC1" s="87" t="n"/>
      <c r="BND1" s="87" t="n"/>
      <c r="BNE1" s="87" t="n"/>
      <c r="BNF1" s="87" t="n"/>
      <c r="BNG1" s="87" t="n"/>
      <c r="BNH1" s="87" t="n"/>
      <c r="BNI1" s="87" t="n"/>
      <c r="BNJ1" s="87" t="n"/>
      <c r="BNK1" s="87" t="n"/>
      <c r="BNL1" s="87" t="n"/>
      <c r="BNM1" s="87" t="n"/>
      <c r="BNN1" s="87" t="n"/>
      <c r="BNO1" s="87" t="n"/>
      <c r="BNP1" s="87" t="n"/>
      <c r="BNQ1" s="87" t="n"/>
      <c r="BNR1" s="87" t="n"/>
      <c r="BNS1" s="87" t="n"/>
      <c r="BNT1" s="87" t="n"/>
      <c r="BNU1" s="87" t="n"/>
      <c r="BNV1" s="87" t="n"/>
      <c r="BNW1" s="87" t="n"/>
      <c r="BNX1" s="87" t="n"/>
      <c r="BNY1" s="87" t="n"/>
      <c r="BNZ1" s="87" t="n"/>
      <c r="BOA1" s="87" t="n"/>
      <c r="BOB1" s="87" t="n"/>
      <c r="BOC1" s="87" t="n"/>
      <c r="BOD1" s="87" t="n"/>
      <c r="BOE1" s="87" t="n"/>
      <c r="BOF1" s="87" t="n"/>
      <c r="BOG1" s="87" t="n"/>
      <c r="BOH1" s="87" t="n"/>
      <c r="BOI1" s="87" t="n"/>
      <c r="BOJ1" s="87" t="n"/>
      <c r="BOK1" s="87" t="n"/>
      <c r="BOL1" s="87" t="n"/>
      <c r="BOM1" s="87" t="n"/>
      <c r="BON1" s="87" t="n"/>
      <c r="BOO1" s="87" t="n"/>
      <c r="BOP1" s="87" t="n"/>
      <c r="BOQ1" s="87" t="n"/>
      <c r="BOR1" s="87" t="n"/>
      <c r="BOS1" s="87" t="n"/>
      <c r="BOT1" s="87" t="n"/>
      <c r="BOU1" s="87" t="n"/>
      <c r="BOV1" s="87" t="n"/>
      <c r="BOW1" s="87" t="n"/>
      <c r="BOX1" s="87" t="n"/>
      <c r="BOY1" s="87" t="n"/>
      <c r="BOZ1" s="87" t="n"/>
      <c r="BPA1" s="87" t="n"/>
      <c r="BPB1" s="87" t="n"/>
      <c r="BPC1" s="87" t="n"/>
      <c r="BPD1" s="87" t="n"/>
      <c r="BPE1" s="87" t="n"/>
      <c r="BPF1" s="87" t="n"/>
      <c r="BPG1" s="87" t="n"/>
      <c r="BPH1" s="87" t="n"/>
      <c r="BPI1" s="87" t="n"/>
      <c r="BPJ1" s="87" t="n"/>
      <c r="BPK1" s="87" t="n"/>
      <c r="BPL1" s="87" t="n"/>
      <c r="BPM1" s="87" t="n"/>
      <c r="BPN1" s="87" t="n"/>
      <c r="BPO1" s="87" t="n"/>
      <c r="BPP1" s="87" t="n"/>
      <c r="BPQ1" s="87" t="n"/>
      <c r="BPR1" s="87" t="n"/>
      <c r="BPS1" s="87" t="n"/>
      <c r="BPT1" s="87" t="n"/>
      <c r="BPU1" s="87" t="n"/>
      <c r="BPV1" s="87" t="n"/>
      <c r="BPW1" s="87" t="n"/>
      <c r="BPX1" s="87" t="n"/>
      <c r="BPY1" s="87" t="n"/>
      <c r="BPZ1" s="87" t="n"/>
      <c r="BQA1" s="87" t="n"/>
      <c r="BQB1" s="87" t="n"/>
      <c r="BQC1" s="87" t="n"/>
      <c r="BQD1" s="87" t="n"/>
      <c r="BQE1" s="87" t="n"/>
      <c r="BQF1" s="87" t="n"/>
      <c r="BQG1" s="87" t="n"/>
      <c r="BQH1" s="87" t="n"/>
      <c r="BQI1" s="87" t="n"/>
      <c r="BQJ1" s="87" t="n"/>
      <c r="BQK1" s="87" t="n"/>
      <c r="BQL1" s="87" t="n"/>
      <c r="BQM1" s="87" t="n"/>
      <c r="BQN1" s="87" t="n"/>
      <c r="BQO1" s="87" t="n"/>
      <c r="BQP1" s="87" t="n"/>
      <c r="BQQ1" s="87" t="n"/>
      <c r="BQR1" s="87" t="n"/>
      <c r="BQS1" s="87" t="n"/>
      <c r="BQT1" s="87" t="n"/>
      <c r="BQU1" s="87" t="n"/>
      <c r="BQV1" s="87" t="n"/>
      <c r="BQW1" s="87" t="n"/>
      <c r="BQX1" s="87" t="n"/>
      <c r="BQY1" s="87" t="n"/>
      <c r="BQZ1" s="87" t="n"/>
      <c r="BRA1" s="87" t="n"/>
      <c r="BRB1" s="87" t="n"/>
      <c r="BRC1" s="87" t="n"/>
      <c r="BRD1" s="87" t="n"/>
      <c r="BRE1" s="87" t="n"/>
      <c r="BRF1" s="87" t="n"/>
      <c r="BRG1" s="87" t="n"/>
      <c r="BRH1" s="87" t="n"/>
      <c r="BRI1" s="87" t="n"/>
      <c r="BRJ1" s="87" t="n"/>
      <c r="BRK1" s="87" t="n"/>
      <c r="BRL1" s="87" t="n"/>
      <c r="BRM1" s="87" t="n"/>
      <c r="BRN1" s="87" t="n"/>
      <c r="BRO1" s="87" t="n"/>
      <c r="BRP1" s="87" t="n"/>
      <c r="BRQ1" s="87" t="n"/>
      <c r="BRR1" s="87" t="n"/>
      <c r="BRS1" s="87" t="n"/>
      <c r="BRT1" s="87" t="n"/>
      <c r="BRU1" s="87" t="n"/>
      <c r="BRV1" s="87" t="n"/>
      <c r="BRW1" s="87" t="n"/>
      <c r="BRX1" s="87" t="n"/>
      <c r="BRY1" s="87" t="n"/>
      <c r="BRZ1" s="87" t="n"/>
      <c r="BSA1" s="87" t="n"/>
      <c r="BSB1" s="87" t="n"/>
      <c r="BSC1" s="87" t="n"/>
      <c r="BSD1" s="87" t="n"/>
      <c r="BSE1" s="87" t="n"/>
      <c r="BSF1" s="87" t="n"/>
      <c r="BSG1" s="87" t="n"/>
      <c r="BSH1" s="87" t="n"/>
      <c r="BSI1" s="87" t="n"/>
      <c r="BSJ1" s="87" t="n"/>
      <c r="BSK1" s="87" t="n"/>
      <c r="BSL1" s="87" t="n"/>
      <c r="BSM1" s="87" t="n"/>
      <c r="BSN1" s="87" t="n"/>
      <c r="BSO1" s="87" t="n"/>
      <c r="BSP1" s="87" t="n"/>
      <c r="BSQ1" s="87" t="n"/>
      <c r="BSR1" s="87" t="n"/>
      <c r="BSS1" s="87" t="n"/>
      <c r="BST1" s="87" t="n"/>
      <c r="BSU1" s="87" t="n"/>
      <c r="BSV1" s="87" t="n"/>
      <c r="BSW1" s="87" t="n"/>
      <c r="BSX1" s="87" t="n"/>
      <c r="BSY1" s="87" t="n"/>
      <c r="BSZ1" s="87" t="n"/>
      <c r="BTA1" s="87" t="n"/>
      <c r="BTB1" s="87" t="n"/>
      <c r="BTC1" s="87" t="n"/>
      <c r="BTD1" s="87" t="n"/>
      <c r="BTE1" s="87" t="n"/>
      <c r="BTF1" s="87" t="n"/>
      <c r="BTG1" s="87" t="n"/>
      <c r="BTH1" s="87" t="n"/>
      <c r="BTI1" s="87" t="n"/>
      <c r="BTJ1" s="87" t="n"/>
      <c r="BTK1" s="87" t="n"/>
      <c r="BTL1" s="87" t="n"/>
      <c r="BTM1" s="87" t="n"/>
      <c r="BTN1" s="87" t="n"/>
      <c r="BTO1" s="87" t="n"/>
      <c r="BTP1" s="87" t="n"/>
      <c r="BTQ1" s="87" t="n"/>
      <c r="BTR1" s="87" t="n"/>
      <c r="BTS1" s="87" t="n"/>
      <c r="BTT1" s="87" t="n"/>
      <c r="BTU1" s="87" t="n"/>
      <c r="BTV1" s="87" t="n"/>
      <c r="BTW1" s="87" t="n"/>
      <c r="BTX1" s="87" t="n"/>
      <c r="BTY1" s="87" t="n"/>
      <c r="BTZ1" s="87" t="n"/>
      <c r="BUA1" s="87" t="n"/>
      <c r="BUB1" s="87" t="n"/>
      <c r="BUC1" s="87" t="n"/>
      <c r="BUD1" s="87" t="n"/>
      <c r="BUE1" s="87" t="n"/>
      <c r="BUF1" s="87" t="n"/>
      <c r="BUG1" s="87" t="n"/>
      <c r="BUH1" s="87" t="n"/>
      <c r="BUI1" s="87" t="n"/>
      <c r="BUJ1" s="87" t="n"/>
      <c r="BUK1" s="87" t="n"/>
      <c r="BUL1" s="87" t="n"/>
      <c r="BUM1" s="87" t="n"/>
      <c r="BUN1" s="87" t="n"/>
      <c r="BUO1" s="87" t="n"/>
      <c r="BUP1" s="87" t="n"/>
      <c r="BUQ1" s="87" t="n"/>
      <c r="BUR1" s="87" t="n"/>
      <c r="BUS1" s="87" t="n"/>
      <c r="BUT1" s="87" t="n"/>
      <c r="BUU1" s="87" t="n"/>
      <c r="BUV1" s="87" t="n"/>
      <c r="BUW1" s="87" t="n"/>
      <c r="BUX1" s="87" t="n"/>
      <c r="BUY1" s="87" t="n"/>
      <c r="BUZ1" s="87" t="n"/>
      <c r="BVA1" s="87" t="n"/>
      <c r="BVB1" s="87" t="n"/>
      <c r="BVC1" s="87" t="n"/>
      <c r="BVD1" s="87" t="n"/>
      <c r="BVE1" s="87" t="n"/>
      <c r="BVF1" s="87" t="n"/>
      <c r="BVG1" s="87" t="n"/>
      <c r="BVH1" s="87" t="n"/>
      <c r="BVI1" s="87" t="n"/>
      <c r="BVJ1" s="87" t="n"/>
      <c r="BVK1" s="87" t="n"/>
      <c r="BVL1" s="87" t="n"/>
      <c r="BVM1" s="87" t="n"/>
      <c r="BVN1" s="87" t="n"/>
      <c r="BVO1" s="87" t="n"/>
      <c r="BVP1" s="87" t="n"/>
      <c r="BVQ1" s="87" t="n"/>
      <c r="BVR1" s="87" t="n"/>
      <c r="BVS1" s="87" t="n"/>
      <c r="BVT1" s="87" t="n"/>
      <c r="BVU1" s="87" t="n"/>
      <c r="BVV1" s="87" t="n"/>
      <c r="BVW1" s="87" t="n"/>
      <c r="BVX1" s="87" t="n"/>
      <c r="BVY1" s="87" t="n"/>
      <c r="BVZ1" s="87" t="n"/>
      <c r="BWA1" s="87" t="n"/>
      <c r="BWB1" s="87" t="n"/>
      <c r="BWC1" s="87" t="n"/>
      <c r="BWD1" s="87" t="n"/>
      <c r="BWE1" s="87" t="n"/>
      <c r="BWF1" s="87" t="n"/>
      <c r="BWG1" s="87" t="n"/>
      <c r="BWH1" s="87" t="n"/>
      <c r="BWI1" s="87" t="n"/>
      <c r="BWJ1" s="87" t="n"/>
      <c r="BWK1" s="87" t="n"/>
      <c r="BWL1" s="87" t="n"/>
      <c r="BWM1" s="87" t="n"/>
      <c r="BWN1" s="87" t="n"/>
      <c r="BWO1" s="87" t="n"/>
      <c r="BWP1" s="87" t="n"/>
      <c r="BWQ1" s="87" t="n"/>
      <c r="BWR1" s="87" t="n"/>
      <c r="BWS1" s="87" t="n"/>
      <c r="BWT1" s="87" t="n"/>
      <c r="BWU1" s="87" t="n"/>
      <c r="BWV1" s="87" t="n"/>
      <c r="BWW1" s="87" t="n"/>
      <c r="BWX1" s="87" t="n"/>
      <c r="BWY1" s="87" t="n"/>
      <c r="BWZ1" s="87" t="n"/>
      <c r="BXA1" s="87" t="n"/>
      <c r="BXB1" s="87" t="n"/>
      <c r="BXC1" s="87" t="n"/>
      <c r="BXD1" s="87" t="n"/>
      <c r="BXE1" s="87" t="n"/>
      <c r="BXF1" s="87" t="n"/>
      <c r="BXG1" s="87" t="n"/>
      <c r="BXH1" s="87" t="n"/>
      <c r="BXI1" s="87" t="n"/>
      <c r="BXJ1" s="87" t="n"/>
      <c r="BXK1" s="87" t="n"/>
      <c r="BXL1" s="87" t="n"/>
      <c r="BXM1" s="87" t="n"/>
      <c r="BXN1" s="87" t="n"/>
      <c r="BXO1" s="87" t="n"/>
      <c r="BXP1" s="87" t="n"/>
      <c r="BXQ1" s="87" t="n"/>
      <c r="BXR1" s="87" t="n"/>
      <c r="BXS1" s="87" t="n"/>
      <c r="BXT1" s="87" t="n"/>
      <c r="BXU1" s="87" t="n"/>
      <c r="BXV1" s="87" t="n"/>
      <c r="BXW1" s="87" t="n"/>
      <c r="BXX1" s="87" t="n"/>
      <c r="BXY1" s="87" t="n"/>
      <c r="BXZ1" s="87" t="n"/>
      <c r="BYA1" s="87" t="n"/>
      <c r="BYB1" s="87" t="n"/>
      <c r="BYC1" s="87" t="n"/>
      <c r="BYD1" s="87" t="n"/>
      <c r="BYE1" s="87" t="n"/>
      <c r="BYF1" s="87" t="n"/>
      <c r="BYG1" s="87" t="n"/>
      <c r="BYH1" s="87" t="n"/>
      <c r="BYI1" s="87" t="n"/>
      <c r="BYJ1" s="87" t="n"/>
      <c r="BYK1" s="87" t="n"/>
      <c r="BYL1" s="87" t="n"/>
      <c r="BYM1" s="87" t="n"/>
      <c r="BYN1" s="87" t="n"/>
      <c r="BYO1" s="87" t="n"/>
      <c r="BYP1" s="87" t="n"/>
      <c r="BYQ1" s="87" t="n"/>
      <c r="BYR1" s="87" t="n"/>
      <c r="BYS1" s="87" t="n"/>
      <c r="BYT1" s="87" t="n"/>
      <c r="BYU1" s="87" t="n"/>
      <c r="BYV1" s="87" t="n"/>
      <c r="BYW1" s="87" t="n"/>
      <c r="BYX1" s="87" t="n"/>
      <c r="BYY1" s="87" t="n"/>
      <c r="BYZ1" s="87" t="n"/>
      <c r="BZA1" s="87" t="n"/>
      <c r="BZB1" s="87" t="n"/>
      <c r="BZC1" s="87" t="n"/>
      <c r="BZD1" s="87" t="n"/>
      <c r="BZE1" s="87" t="n"/>
      <c r="BZF1" s="87" t="n"/>
      <c r="BZG1" s="87" t="n"/>
      <c r="BZH1" s="87" t="n"/>
      <c r="BZI1" s="87" t="n"/>
      <c r="BZJ1" s="87" t="n"/>
      <c r="BZK1" s="87" t="n"/>
      <c r="BZL1" s="87" t="n"/>
      <c r="BZM1" s="87" t="n"/>
      <c r="BZN1" s="87" t="n"/>
      <c r="BZO1" s="87" t="n"/>
      <c r="BZP1" s="87" t="n"/>
      <c r="BZQ1" s="87" t="n"/>
      <c r="BZR1" s="87" t="n"/>
      <c r="BZS1" s="87" t="n"/>
      <c r="BZT1" s="87" t="n"/>
      <c r="BZU1" s="87" t="n"/>
      <c r="BZV1" s="87" t="n"/>
      <c r="BZW1" s="87" t="n"/>
      <c r="BZX1" s="87" t="n"/>
      <c r="BZY1" s="87" t="n"/>
      <c r="BZZ1" s="87" t="n"/>
      <c r="CAA1" s="87" t="n"/>
      <c r="CAB1" s="87" t="n"/>
      <c r="CAC1" s="87" t="n"/>
      <c r="CAD1" s="87" t="n"/>
      <c r="CAE1" s="87" t="n"/>
      <c r="CAF1" s="87" t="n"/>
      <c r="CAG1" s="87" t="n"/>
      <c r="CAH1" s="87" t="n"/>
      <c r="CAI1" s="87" t="n"/>
      <c r="CAJ1" s="87" t="n"/>
      <c r="CAK1" s="87" t="n"/>
      <c r="CAL1" s="87" t="n"/>
      <c r="CAM1" s="87" t="n"/>
      <c r="CAN1" s="87" t="n"/>
      <c r="CAO1" s="87" t="n"/>
      <c r="CAP1" s="87" t="n"/>
      <c r="CAQ1" s="87" t="n"/>
      <c r="CAR1" s="87" t="n"/>
      <c r="CAS1" s="87" t="n"/>
      <c r="CAT1" s="87" t="n"/>
      <c r="CAU1" s="87" t="n"/>
      <c r="CAV1" s="87" t="n"/>
      <c r="CAW1" s="87" t="n"/>
      <c r="CAX1" s="87" t="n"/>
      <c r="CAY1" s="87" t="n"/>
      <c r="CAZ1" s="87" t="n"/>
      <c r="CBA1" s="87" t="n"/>
      <c r="CBB1" s="87" t="n"/>
      <c r="CBC1" s="87" t="n"/>
      <c r="CBD1" s="87" t="n"/>
      <c r="CBE1" s="87" t="n"/>
      <c r="CBF1" s="87" t="n"/>
      <c r="CBG1" s="87" t="n"/>
      <c r="CBH1" s="87" t="n"/>
      <c r="CBI1" s="87" t="n"/>
      <c r="CBJ1" s="87" t="n"/>
      <c r="CBK1" s="87" t="n"/>
      <c r="CBL1" s="87" t="n"/>
      <c r="CBM1" s="87" t="n"/>
      <c r="CBN1" s="87" t="n"/>
      <c r="CBO1" s="87" t="n"/>
      <c r="CBP1" s="87" t="n"/>
      <c r="CBQ1" s="87" t="n"/>
      <c r="CBR1" s="87" t="n"/>
      <c r="CBS1" s="87" t="n"/>
      <c r="CBT1" s="87" t="n"/>
      <c r="CBU1" s="87" t="n"/>
      <c r="CBV1" s="87" t="n"/>
      <c r="CBW1" s="87" t="n"/>
      <c r="CBX1" s="87" t="n"/>
      <c r="CBY1" s="87" t="n"/>
      <c r="CBZ1" s="87" t="n"/>
      <c r="CCA1" s="87" t="n"/>
      <c r="CCB1" s="87" t="n"/>
      <c r="CCC1" s="87" t="n"/>
      <c r="CCD1" s="87" t="n"/>
      <c r="CCE1" s="87" t="n"/>
      <c r="CCF1" s="87" t="n"/>
      <c r="CCG1" s="87" t="n"/>
      <c r="CCH1" s="87" t="n"/>
      <c r="CCI1" s="87" t="n"/>
      <c r="CCJ1" s="87" t="n"/>
      <c r="CCK1" s="87" t="n"/>
      <c r="CCL1" s="87" t="n"/>
      <c r="CCM1" s="87" t="n"/>
      <c r="CCN1" s="87" t="n"/>
      <c r="CCO1" s="87" t="n"/>
      <c r="CCP1" s="87" t="n"/>
      <c r="CCQ1" s="87" t="n"/>
      <c r="CCR1" s="87" t="n"/>
      <c r="CCS1" s="87" t="n"/>
      <c r="CCT1" s="87" t="n"/>
      <c r="CCU1" s="87" t="n"/>
      <c r="CCV1" s="87" t="n"/>
      <c r="CCW1" s="87" t="n"/>
      <c r="CCX1" s="87" t="n"/>
      <c r="CCY1" s="87" t="n"/>
      <c r="CCZ1" s="87" t="n"/>
      <c r="CDA1" s="87" t="n"/>
      <c r="CDB1" s="87" t="n"/>
      <c r="CDC1" s="87" t="n"/>
      <c r="CDD1" s="87" t="n"/>
      <c r="CDE1" s="87" t="n"/>
      <c r="CDF1" s="87" t="n"/>
      <c r="CDG1" s="87" t="n"/>
      <c r="CDH1" s="87" t="n"/>
      <c r="CDI1" s="87" t="n"/>
      <c r="CDJ1" s="87" t="n"/>
      <c r="CDK1" s="87" t="n"/>
      <c r="CDL1" s="87" t="n"/>
      <c r="CDM1" s="87" t="n"/>
      <c r="CDN1" s="87" t="n"/>
      <c r="CDO1" s="87" t="n"/>
      <c r="CDP1" s="87" t="n"/>
      <c r="CDQ1" s="87" t="n"/>
      <c r="CDR1" s="87" t="n"/>
      <c r="CDS1" s="87" t="n"/>
      <c r="CDT1" s="87" t="n"/>
      <c r="CDU1" s="87" t="n"/>
      <c r="CDV1" s="87" t="n"/>
      <c r="CDW1" s="87" t="n"/>
      <c r="CDX1" s="87" t="n"/>
      <c r="CDY1" s="87" t="n"/>
      <c r="CDZ1" s="87" t="n"/>
      <c r="CEA1" s="87" t="n"/>
      <c r="CEB1" s="87" t="n"/>
      <c r="CEC1" s="87" t="n"/>
      <c r="CED1" s="87" t="n"/>
      <c r="CEE1" s="87" t="n"/>
      <c r="CEF1" s="87" t="n"/>
      <c r="CEG1" s="87" t="n"/>
      <c r="CEH1" s="87" t="n"/>
      <c r="CEI1" s="87" t="n"/>
      <c r="CEJ1" s="87" t="n"/>
      <c r="CEK1" s="87" t="n"/>
      <c r="CEL1" s="87" t="n"/>
      <c r="CEM1" s="87" t="n"/>
      <c r="CEN1" s="87" t="n"/>
      <c r="CEO1" s="87" t="n"/>
      <c r="CEP1" s="87" t="n"/>
      <c r="CEQ1" s="87" t="n"/>
      <c r="CER1" s="87" t="n"/>
      <c r="CES1" s="87" t="n"/>
      <c r="CET1" s="87" t="n"/>
      <c r="CEU1" s="87" t="n"/>
      <c r="CEV1" s="87" t="n"/>
      <c r="CEW1" s="87" t="n"/>
      <c r="CEX1" s="87" t="n"/>
      <c r="CEY1" s="87" t="n"/>
      <c r="CEZ1" s="87" t="n"/>
      <c r="CFA1" s="87" t="n"/>
      <c r="CFB1" s="87" t="n"/>
      <c r="CFC1" s="87" t="n"/>
      <c r="CFD1" s="87" t="n"/>
      <c r="CFE1" s="87" t="n"/>
      <c r="CFF1" s="87" t="n"/>
      <c r="CFG1" s="87" t="n"/>
      <c r="CFH1" s="87" t="n"/>
      <c r="CFI1" s="87" t="n"/>
      <c r="CFJ1" s="87" t="n"/>
      <c r="CFK1" s="87" t="n"/>
      <c r="CFL1" s="87" t="n"/>
      <c r="CFM1" s="87" t="n"/>
      <c r="CFN1" s="87" t="n"/>
      <c r="CFO1" s="87" t="n"/>
      <c r="CFP1" s="87" t="n"/>
      <c r="CFQ1" s="87" t="n"/>
      <c r="CFR1" s="87" t="n"/>
      <c r="CFS1" s="87" t="n"/>
      <c r="CFT1" s="87" t="n"/>
      <c r="CFU1" s="87" t="n"/>
      <c r="CFV1" s="87" t="n"/>
      <c r="CFW1" s="87" t="n"/>
      <c r="CFX1" s="87" t="n"/>
      <c r="CFY1" s="87" t="n"/>
      <c r="CFZ1" s="87" t="n"/>
      <c r="CGA1" s="87" t="n"/>
      <c r="CGB1" s="87" t="n"/>
      <c r="CGC1" s="87" t="n"/>
      <c r="CGD1" s="87" t="n"/>
      <c r="CGE1" s="87" t="n"/>
      <c r="CGF1" s="87" t="n"/>
      <c r="CGG1" s="87" t="n"/>
      <c r="CGH1" s="87" t="n"/>
      <c r="CGI1" s="87" t="n"/>
      <c r="CGJ1" s="87" t="n"/>
      <c r="CGK1" s="87" t="n"/>
      <c r="CGL1" s="87" t="n"/>
      <c r="CGM1" s="87" t="n"/>
      <c r="CGN1" s="87" t="n"/>
      <c r="CGO1" s="87" t="n"/>
      <c r="CGP1" s="87" t="n"/>
      <c r="CGQ1" s="87" t="n"/>
      <c r="CGR1" s="87" t="n"/>
      <c r="CGS1" s="87" t="n"/>
      <c r="CGT1" s="87" t="n"/>
      <c r="CGU1" s="87" t="n"/>
      <c r="CGV1" s="87" t="n"/>
      <c r="CGW1" s="87" t="n"/>
      <c r="CGX1" s="87" t="n"/>
      <c r="CGY1" s="87" t="n"/>
      <c r="CGZ1" s="87" t="n"/>
      <c r="CHA1" s="87" t="n"/>
      <c r="CHB1" s="87" t="n"/>
      <c r="CHC1" s="87" t="n"/>
      <c r="CHD1" s="87" t="n"/>
      <c r="CHE1" s="87" t="n"/>
      <c r="CHF1" s="87" t="n"/>
      <c r="CHG1" s="87" t="n"/>
      <c r="CHH1" s="87" t="n"/>
      <c r="CHI1" s="87" t="n"/>
      <c r="CHJ1" s="87" t="n"/>
      <c r="CHK1" s="87" t="n"/>
      <c r="CHL1" s="87" t="n"/>
      <c r="CHM1" s="87" t="n"/>
      <c r="CHN1" s="87" t="n"/>
      <c r="CHO1" s="87" t="n"/>
      <c r="CHP1" s="87" t="n"/>
      <c r="CHQ1" s="87" t="n"/>
      <c r="CHR1" s="87" t="n"/>
      <c r="CHS1" s="87" t="n"/>
      <c r="CHT1" s="87" t="n"/>
      <c r="CHU1" s="87" t="n"/>
      <c r="CHV1" s="87" t="n"/>
      <c r="CHW1" s="87" t="n"/>
      <c r="CHX1" s="87" t="n"/>
      <c r="CHY1" s="87" t="n"/>
      <c r="CHZ1" s="87" t="n"/>
      <c r="CIA1" s="87" t="n"/>
      <c r="CIB1" s="87" t="n"/>
      <c r="CIC1" s="87" t="n"/>
      <c r="CID1" s="87" t="n"/>
      <c r="CIE1" s="87" t="n"/>
      <c r="CIF1" s="87" t="n"/>
      <c r="CIG1" s="87" t="n"/>
      <c r="CIH1" s="87" t="n"/>
      <c r="CII1" s="87" t="n"/>
      <c r="CIJ1" s="87" t="n"/>
      <c r="CIK1" s="87" t="n"/>
      <c r="CIL1" s="87" t="n"/>
      <c r="CIM1" s="87" t="n"/>
      <c r="CIN1" s="87" t="n"/>
      <c r="CIO1" s="87" t="n"/>
      <c r="CIP1" s="87" t="n"/>
      <c r="CIQ1" s="87" t="n"/>
      <c r="CIR1" s="87" t="n"/>
      <c r="CIS1" s="87" t="n"/>
      <c r="CIT1" s="87" t="n"/>
      <c r="CIU1" s="87" t="n"/>
      <c r="CIV1" s="87" t="n"/>
      <c r="CIW1" s="87" t="n"/>
      <c r="CIX1" s="87" t="n"/>
      <c r="CIY1" s="87" t="n"/>
      <c r="CIZ1" s="87" t="n"/>
      <c r="CJA1" s="87" t="n"/>
      <c r="CJB1" s="87" t="n"/>
      <c r="CJC1" s="87" t="n"/>
      <c r="CJD1" s="87" t="n"/>
      <c r="CJE1" s="87" t="n"/>
      <c r="CJF1" s="87" t="n"/>
      <c r="CJG1" s="87" t="n"/>
      <c r="CJH1" s="87" t="n"/>
      <c r="CJI1" s="87" t="n"/>
      <c r="CJJ1" s="87" t="n"/>
      <c r="CJK1" s="87" t="n"/>
      <c r="CJL1" s="87" t="n"/>
      <c r="CJM1" s="87" t="n"/>
      <c r="CJN1" s="87" t="n"/>
      <c r="CJO1" s="87" t="n"/>
      <c r="CJP1" s="87" t="n"/>
      <c r="CJQ1" s="87" t="n"/>
      <c r="CJR1" s="87" t="n"/>
      <c r="CJS1" s="87" t="n"/>
      <c r="CJT1" s="87" t="n"/>
      <c r="CJU1" s="87" t="n"/>
      <c r="CJV1" s="87" t="n"/>
      <c r="CJW1" s="87" t="n"/>
      <c r="CJX1" s="87" t="n"/>
      <c r="CJY1" s="87" t="n"/>
      <c r="CJZ1" s="87" t="n"/>
      <c r="CKA1" s="87" t="n"/>
      <c r="CKB1" s="87" t="n"/>
      <c r="CKC1" s="87" t="n"/>
      <c r="CKD1" s="87" t="n"/>
      <c r="CKE1" s="87" t="n"/>
      <c r="CKF1" s="87" t="n"/>
      <c r="CKG1" s="87" t="n"/>
      <c r="CKH1" s="87" t="n"/>
      <c r="CKI1" s="87" t="n"/>
      <c r="CKJ1" s="87" t="n"/>
      <c r="CKK1" s="87" t="n"/>
      <c r="CKL1" s="87" t="n"/>
      <c r="CKM1" s="87" t="n"/>
      <c r="CKN1" s="87" t="n"/>
      <c r="CKO1" s="87" t="n"/>
      <c r="CKP1" s="87" t="n"/>
      <c r="CKQ1" s="87" t="n"/>
      <c r="CKR1" s="87" t="n"/>
      <c r="CKS1" s="87" t="n"/>
      <c r="CKT1" s="87" t="n"/>
      <c r="CKU1" s="87" t="n"/>
      <c r="CKV1" s="87" t="n"/>
      <c r="CKW1" s="87" t="n"/>
      <c r="CKX1" s="87" t="n"/>
      <c r="CKY1" s="87" t="n"/>
      <c r="CKZ1" s="87" t="n"/>
      <c r="CLA1" s="87" t="n"/>
      <c r="CLB1" s="87" t="n"/>
      <c r="CLC1" s="87" t="n"/>
      <c r="CLD1" s="87" t="n"/>
      <c r="CLE1" s="87" t="n"/>
      <c r="CLF1" s="87" t="n"/>
      <c r="CLG1" s="87" t="n"/>
      <c r="CLH1" s="87" t="n"/>
      <c r="CLI1" s="87" t="n"/>
      <c r="CLJ1" s="87" t="n"/>
      <c r="CLK1" s="87" t="n"/>
      <c r="CLL1" s="87" t="n"/>
      <c r="CLM1" s="87" t="n"/>
      <c r="CLN1" s="87" t="n"/>
      <c r="CLO1" s="87" t="n"/>
      <c r="CLP1" s="87" t="n"/>
      <c r="CLQ1" s="87" t="n"/>
      <c r="CLR1" s="87" t="n"/>
      <c r="CLS1" s="87" t="n"/>
      <c r="CLT1" s="87" t="n"/>
      <c r="CLU1" s="87" t="n"/>
      <c r="CLV1" s="87" t="n"/>
      <c r="CLW1" s="87" t="n"/>
      <c r="CLX1" s="87" t="n"/>
      <c r="CLY1" s="87" t="n"/>
      <c r="CLZ1" s="87" t="n"/>
      <c r="CMA1" s="87" t="n"/>
      <c r="CMB1" s="87" t="n"/>
      <c r="CMC1" s="87" t="n"/>
      <c r="CMD1" s="87" t="n"/>
      <c r="CME1" s="87" t="n"/>
      <c r="CMF1" s="87" t="n"/>
      <c r="CMG1" s="87" t="n"/>
      <c r="CMH1" s="87" t="n"/>
      <c r="CMI1" s="87" t="n"/>
      <c r="CMJ1" s="87" t="n"/>
      <c r="CMK1" s="87" t="n"/>
      <c r="CML1" s="87" t="n"/>
      <c r="CMM1" s="87" t="n"/>
      <c r="CMN1" s="87" t="n"/>
      <c r="CMO1" s="87" t="n"/>
      <c r="CMP1" s="87" t="n"/>
      <c r="CMQ1" s="87" t="n"/>
      <c r="CMR1" s="87" t="n"/>
      <c r="CMS1" s="87" t="n"/>
      <c r="CMT1" s="87" t="n"/>
      <c r="CMU1" s="87" t="n"/>
      <c r="CMV1" s="87" t="n"/>
      <c r="CMW1" s="87" t="n"/>
      <c r="CMX1" s="87" t="n"/>
      <c r="CMY1" s="87" t="n"/>
      <c r="CMZ1" s="87" t="n"/>
      <c r="CNA1" s="87" t="n"/>
      <c r="CNB1" s="87" t="n"/>
      <c r="CNC1" s="87" t="n"/>
      <c r="CND1" s="87" t="n"/>
      <c r="CNE1" s="87" t="n"/>
      <c r="CNF1" s="87" t="n"/>
      <c r="CNG1" s="87" t="n"/>
      <c r="CNH1" s="87" t="n"/>
      <c r="CNI1" s="87" t="n"/>
      <c r="CNJ1" s="87" t="n"/>
      <c r="CNK1" s="87" t="n"/>
      <c r="CNL1" s="87" t="n"/>
      <c r="CNM1" s="87" t="n"/>
      <c r="CNN1" s="87" t="n"/>
      <c r="CNO1" s="87" t="n"/>
      <c r="CNP1" s="87" t="n"/>
      <c r="CNQ1" s="87" t="n"/>
      <c r="CNR1" s="87" t="n"/>
      <c r="CNS1" s="87" t="n"/>
      <c r="CNT1" s="87" t="n"/>
      <c r="CNU1" s="87" t="n"/>
      <c r="CNV1" s="87" t="n"/>
      <c r="CNW1" s="87" t="n"/>
      <c r="CNX1" s="87" t="n"/>
      <c r="CNY1" s="87" t="n"/>
      <c r="CNZ1" s="87" t="n"/>
      <c r="COA1" s="87" t="n"/>
      <c r="COB1" s="87" t="n"/>
      <c r="COC1" s="87" t="n"/>
      <c r="COD1" s="87" t="n"/>
      <c r="COE1" s="87" t="n"/>
      <c r="COF1" s="87" t="n"/>
      <c r="COG1" s="87" t="n"/>
      <c r="COH1" s="87" t="n"/>
      <c r="COI1" s="87" t="n"/>
      <c r="COJ1" s="87" t="n"/>
      <c r="COK1" s="87" t="n"/>
      <c r="COL1" s="87" t="n"/>
      <c r="COM1" s="87" t="n"/>
      <c r="CON1" s="87" t="n"/>
      <c r="COO1" s="87" t="n"/>
      <c r="COP1" s="87" t="n"/>
      <c r="COQ1" s="87" t="n"/>
      <c r="COR1" s="87" t="n"/>
      <c r="COS1" s="87" t="n"/>
      <c r="COT1" s="87" t="n"/>
      <c r="COU1" s="87" t="n"/>
      <c r="COV1" s="87" t="n"/>
      <c r="COW1" s="87" t="n"/>
      <c r="COX1" s="87" t="n"/>
      <c r="COY1" s="87" t="n"/>
      <c r="COZ1" s="87" t="n"/>
      <c r="CPA1" s="87" t="n"/>
      <c r="CPB1" s="87" t="n"/>
      <c r="CPC1" s="87" t="n"/>
      <c r="CPD1" s="87" t="n"/>
      <c r="CPE1" s="87" t="n"/>
      <c r="CPF1" s="87" t="n"/>
      <c r="CPG1" s="87" t="n"/>
      <c r="CPH1" s="87" t="n"/>
      <c r="CPI1" s="87" t="n"/>
      <c r="CPJ1" s="87" t="n"/>
      <c r="CPK1" s="87" t="n"/>
      <c r="CPL1" s="87" t="n"/>
      <c r="CPM1" s="87" t="n"/>
      <c r="CPN1" s="87" t="n"/>
      <c r="CPO1" s="87" t="n"/>
      <c r="CPP1" s="87" t="n"/>
      <c r="CPQ1" s="87" t="n"/>
      <c r="CPR1" s="87" t="n"/>
      <c r="CPS1" s="87" t="n"/>
      <c r="CPT1" s="87" t="n"/>
      <c r="CPU1" s="87" t="n"/>
      <c r="CPV1" s="87" t="n"/>
      <c r="CPW1" s="87" t="n"/>
      <c r="CPX1" s="87" t="n"/>
      <c r="CPY1" s="87" t="n"/>
      <c r="CPZ1" s="87" t="n"/>
      <c r="CQA1" s="87" t="n"/>
      <c r="CQB1" s="87" t="n"/>
      <c r="CQC1" s="87" t="n"/>
      <c r="CQD1" s="87" t="n"/>
      <c r="CQE1" s="87" t="n"/>
      <c r="CQF1" s="87" t="n"/>
      <c r="CQG1" s="87" t="n"/>
      <c r="CQH1" s="87" t="n"/>
      <c r="CQI1" s="87" t="n"/>
      <c r="CQJ1" s="87" t="n"/>
      <c r="CQK1" s="87" t="n"/>
      <c r="CQL1" s="87" t="n"/>
      <c r="CQM1" s="87" t="n"/>
      <c r="CQN1" s="87" t="n"/>
      <c r="CQO1" s="87" t="n"/>
      <c r="CQP1" s="87" t="n"/>
      <c r="CQQ1" s="87" t="n"/>
      <c r="CQR1" s="87" t="n"/>
      <c r="CQS1" s="87" t="n"/>
      <c r="CQT1" s="87" t="n"/>
      <c r="CQU1" s="87" t="n"/>
      <c r="CQV1" s="87" t="n"/>
      <c r="CQW1" s="87" t="n"/>
      <c r="CQX1" s="87" t="n"/>
      <c r="CQY1" s="87" t="n"/>
      <c r="CQZ1" s="87" t="n"/>
      <c r="CRA1" s="87" t="n"/>
      <c r="CRB1" s="87" t="n"/>
      <c r="CRC1" s="87" t="n"/>
      <c r="CRD1" s="87" t="n"/>
      <c r="CRE1" s="87" t="n"/>
      <c r="CRF1" s="87" t="n"/>
      <c r="CRG1" s="87" t="n"/>
      <c r="CRH1" s="87" t="n"/>
      <c r="CRI1" s="87" t="n"/>
      <c r="CRJ1" s="87" t="n"/>
      <c r="CRK1" s="87" t="n"/>
      <c r="CRL1" s="87" t="n"/>
      <c r="CRM1" s="87" t="n"/>
      <c r="CRN1" s="87" t="n"/>
      <c r="CRO1" s="87" t="n"/>
      <c r="CRP1" s="87" t="n"/>
      <c r="CRQ1" s="87" t="n"/>
      <c r="CRR1" s="87" t="n"/>
      <c r="CRS1" s="87" t="n"/>
      <c r="CRT1" s="87" t="n"/>
      <c r="CRU1" s="87" t="n"/>
      <c r="CRV1" s="87" t="n"/>
      <c r="CRW1" s="87" t="n"/>
      <c r="CRX1" s="87" t="n"/>
      <c r="CRY1" s="87" t="n"/>
      <c r="CRZ1" s="87" t="n"/>
      <c r="CSA1" s="87" t="n"/>
      <c r="CSB1" s="87" t="n"/>
      <c r="CSC1" s="87" t="n"/>
      <c r="CSD1" s="87" t="n"/>
      <c r="CSE1" s="87" t="n"/>
      <c r="CSF1" s="87" t="n"/>
      <c r="CSG1" s="87" t="n"/>
      <c r="CSH1" s="87" t="n"/>
      <c r="CSI1" s="87" t="n"/>
      <c r="CSJ1" s="87" t="n"/>
      <c r="CSK1" s="87" t="n"/>
      <c r="CSL1" s="87" t="n"/>
      <c r="CSM1" s="87" t="n"/>
      <c r="CSN1" s="87" t="n"/>
      <c r="CSO1" s="87" t="n"/>
      <c r="CSP1" s="87" t="n"/>
      <c r="CSQ1" s="87" t="n"/>
      <c r="CSR1" s="87" t="n"/>
      <c r="CSS1" s="87" t="n"/>
      <c r="CST1" s="87" t="n"/>
      <c r="CSU1" s="87" t="n"/>
      <c r="CSV1" s="87" t="n"/>
      <c r="CSW1" s="87" t="n"/>
      <c r="CSX1" s="87" t="n"/>
      <c r="CSY1" s="87" t="n"/>
      <c r="CSZ1" s="87" t="n"/>
      <c r="CTA1" s="87" t="n"/>
      <c r="CTB1" s="87" t="n"/>
      <c r="CTC1" s="87" t="n"/>
      <c r="CTD1" s="87" t="n"/>
      <c r="CTE1" s="87" t="n"/>
      <c r="CTF1" s="87" t="n"/>
      <c r="CTG1" s="87" t="n"/>
      <c r="CTH1" s="87" t="n"/>
      <c r="CTI1" s="87" t="n"/>
      <c r="CTJ1" s="87" t="n"/>
      <c r="CTK1" s="87" t="n"/>
      <c r="CTL1" s="87" t="n"/>
      <c r="CTM1" s="87" t="n"/>
      <c r="CTN1" s="87" t="n"/>
      <c r="CTO1" s="87" t="n"/>
      <c r="CTP1" s="87" t="n"/>
      <c r="CTQ1" s="87" t="n"/>
      <c r="CTR1" s="87" t="n"/>
      <c r="CTS1" s="87" t="n"/>
      <c r="CTT1" s="87" t="n"/>
      <c r="CTU1" s="87" t="n"/>
      <c r="CTV1" s="87" t="n"/>
      <c r="CTW1" s="87" t="n"/>
      <c r="CTX1" s="87" t="n"/>
      <c r="CTY1" s="87" t="n"/>
      <c r="CTZ1" s="87" t="n"/>
      <c r="CUA1" s="87" t="n"/>
      <c r="CUB1" s="87" t="n"/>
      <c r="CUC1" s="87" t="n"/>
      <c r="CUD1" s="87" t="n"/>
      <c r="CUE1" s="87" t="n"/>
      <c r="CUF1" s="87" t="n"/>
      <c r="CUG1" s="87" t="n"/>
      <c r="CUH1" s="87" t="n"/>
      <c r="CUI1" s="87" t="n"/>
      <c r="CUJ1" s="87" t="n"/>
      <c r="CUK1" s="87" t="n"/>
      <c r="CUL1" s="87" t="n"/>
      <c r="CUM1" s="87" t="n"/>
      <c r="CUN1" s="87" t="n"/>
      <c r="CUO1" s="87" t="n"/>
      <c r="CUP1" s="87" t="n"/>
      <c r="CUQ1" s="87" t="n"/>
      <c r="CUR1" s="87" t="n"/>
      <c r="CUS1" s="87" t="n"/>
      <c r="CUT1" s="87" t="n"/>
      <c r="CUU1" s="87" t="n"/>
      <c r="CUV1" s="87" t="n"/>
      <c r="CUW1" s="87" t="n"/>
      <c r="CUX1" s="87" t="n"/>
      <c r="CUY1" s="87" t="n"/>
      <c r="CUZ1" s="87" t="n"/>
      <c r="CVA1" s="87" t="n"/>
      <c r="CVB1" s="87" t="n"/>
      <c r="CVC1" s="87" t="n"/>
      <c r="CVD1" s="87" t="n"/>
      <c r="CVE1" s="87" t="n"/>
      <c r="CVF1" s="87" t="n"/>
      <c r="CVG1" s="87" t="n"/>
      <c r="CVH1" s="87" t="n"/>
      <c r="CVI1" s="87" t="n"/>
      <c r="CVJ1" s="87" t="n"/>
      <c r="CVK1" s="87" t="n"/>
      <c r="CVL1" s="87" t="n"/>
      <c r="CVM1" s="87" t="n"/>
      <c r="CVN1" s="87" t="n"/>
      <c r="CVO1" s="87" t="n"/>
      <c r="CVP1" s="87" t="n"/>
      <c r="CVQ1" s="87" t="n"/>
      <c r="CVR1" s="87" t="n"/>
      <c r="CVS1" s="87" t="n"/>
      <c r="CVT1" s="87" t="n"/>
      <c r="CVU1" s="87" t="n"/>
      <c r="CVV1" s="87" t="n"/>
      <c r="CVW1" s="87" t="n"/>
      <c r="CVX1" s="87" t="n"/>
      <c r="CVY1" s="87" t="n"/>
      <c r="CVZ1" s="87" t="n"/>
      <c r="CWA1" s="87" t="n"/>
      <c r="CWB1" s="87" t="n"/>
      <c r="CWC1" s="87" t="n"/>
      <c r="CWD1" s="87" t="n"/>
      <c r="CWE1" s="87" t="n"/>
      <c r="CWF1" s="87" t="n"/>
      <c r="CWG1" s="87" t="n"/>
      <c r="CWH1" s="87" t="n"/>
      <c r="CWI1" s="87" t="n"/>
      <c r="CWJ1" s="87" t="n"/>
      <c r="CWK1" s="87" t="n"/>
      <c r="CWL1" s="87" t="n"/>
      <c r="CWM1" s="87" t="n"/>
      <c r="CWN1" s="87" t="n"/>
      <c r="CWO1" s="87" t="n"/>
      <c r="CWP1" s="87" t="n"/>
      <c r="CWQ1" s="87" t="n"/>
      <c r="CWR1" s="87" t="n"/>
      <c r="CWS1" s="87" t="n"/>
      <c r="CWT1" s="87" t="n"/>
      <c r="CWU1" s="87" t="n"/>
      <c r="CWV1" s="87" t="n"/>
      <c r="CWW1" s="87" t="n"/>
      <c r="CWX1" s="87" t="n"/>
      <c r="CWY1" s="87" t="n"/>
      <c r="CWZ1" s="87" t="n"/>
      <c r="CXA1" s="87" t="n"/>
      <c r="CXB1" s="87" t="n"/>
      <c r="CXC1" s="87" t="n"/>
      <c r="CXD1" s="87" t="n"/>
      <c r="CXE1" s="87" t="n"/>
      <c r="CXF1" s="87" t="n"/>
      <c r="CXG1" s="87" t="n"/>
      <c r="CXH1" s="87" t="n"/>
      <c r="CXI1" s="87" t="n"/>
      <c r="CXJ1" s="87" t="n"/>
      <c r="CXK1" s="87" t="n"/>
      <c r="CXL1" s="87" t="n"/>
      <c r="CXM1" s="87" t="n"/>
      <c r="CXN1" s="87" t="n"/>
      <c r="CXO1" s="87" t="n"/>
      <c r="CXP1" s="87" t="n"/>
      <c r="CXQ1" s="87" t="n"/>
      <c r="CXR1" s="87" t="n"/>
      <c r="CXS1" s="87" t="n"/>
      <c r="CXT1" s="87" t="n"/>
      <c r="CXU1" s="87" t="n"/>
      <c r="CXV1" s="87" t="n"/>
      <c r="CXW1" s="87" t="n"/>
      <c r="CXX1" s="87" t="n"/>
      <c r="CXY1" s="87" t="n"/>
      <c r="CXZ1" s="87" t="n"/>
      <c r="CYA1" s="87" t="n"/>
      <c r="CYB1" s="87" t="n"/>
      <c r="CYC1" s="87" t="n"/>
      <c r="CYD1" s="87" t="n"/>
      <c r="CYE1" s="87" t="n"/>
      <c r="CYF1" s="87" t="n"/>
      <c r="CYG1" s="87" t="n"/>
      <c r="CYH1" s="87" t="n"/>
      <c r="CYI1" s="87" t="n"/>
      <c r="CYJ1" s="87" t="n"/>
      <c r="CYK1" s="87" t="n"/>
      <c r="CYL1" s="87" t="n"/>
      <c r="CYM1" s="87" t="n"/>
      <c r="CYN1" s="87" t="n"/>
      <c r="CYO1" s="87" t="n"/>
      <c r="CYP1" s="87" t="n"/>
      <c r="CYQ1" s="87" t="n"/>
      <c r="CYR1" s="87" t="n"/>
      <c r="CYS1" s="87" t="n"/>
      <c r="CYT1" s="87" t="n"/>
      <c r="CYU1" s="87" t="n"/>
      <c r="CYV1" s="87" t="n"/>
      <c r="CYW1" s="87" t="n"/>
      <c r="CYX1" s="87" t="n"/>
      <c r="CYY1" s="87" t="n"/>
      <c r="CYZ1" s="87" t="n"/>
      <c r="CZA1" s="87" t="n"/>
      <c r="CZB1" s="87" t="n"/>
      <c r="CZC1" s="87" t="n"/>
      <c r="CZD1" s="87" t="n"/>
      <c r="CZE1" s="87" t="n"/>
      <c r="CZF1" s="87" t="n"/>
      <c r="CZG1" s="87" t="n"/>
      <c r="CZH1" s="87" t="n"/>
      <c r="CZI1" s="87" t="n"/>
      <c r="CZJ1" s="87" t="n"/>
      <c r="CZK1" s="87" t="n"/>
      <c r="CZL1" s="87" t="n"/>
      <c r="CZM1" s="87" t="n"/>
      <c r="CZN1" s="87" t="n"/>
      <c r="CZO1" s="87" t="n"/>
      <c r="CZP1" s="87" t="n"/>
      <c r="CZQ1" s="87" t="n"/>
      <c r="CZR1" s="87" t="n"/>
      <c r="CZS1" s="87" t="n"/>
      <c r="CZT1" s="87" t="n"/>
      <c r="CZU1" s="87" t="n"/>
      <c r="CZV1" s="87" t="n"/>
      <c r="CZW1" s="87" t="n"/>
      <c r="CZX1" s="87" t="n"/>
      <c r="CZY1" s="87" t="n"/>
      <c r="CZZ1" s="87" t="n"/>
      <c r="DAA1" s="87" t="n"/>
      <c r="DAB1" s="87" t="n"/>
      <c r="DAC1" s="87" t="n"/>
      <c r="DAD1" s="87" t="n"/>
      <c r="DAE1" s="87" t="n"/>
      <c r="DAF1" s="87" t="n"/>
      <c r="DAG1" s="87" t="n"/>
      <c r="DAH1" s="87" t="n"/>
      <c r="DAI1" s="87" t="n"/>
      <c r="DAJ1" s="87" t="n"/>
      <c r="DAK1" s="87" t="n"/>
      <c r="DAL1" s="87" t="n"/>
      <c r="DAM1" s="87" t="n"/>
      <c r="DAN1" s="87" t="n"/>
      <c r="DAO1" s="87" t="n"/>
      <c r="DAP1" s="87" t="n"/>
      <c r="DAQ1" s="87" t="n"/>
      <c r="DAR1" s="87" t="n"/>
      <c r="DAS1" s="87" t="n"/>
      <c r="DAT1" s="87" t="n"/>
      <c r="DAU1" s="87" t="n"/>
      <c r="DAV1" s="87" t="n"/>
      <c r="DAW1" s="87" t="n"/>
      <c r="DAX1" s="87" t="n"/>
      <c r="DAY1" s="87" t="n"/>
      <c r="DAZ1" s="87" t="n"/>
      <c r="DBA1" s="87" t="n"/>
      <c r="DBB1" s="87" t="n"/>
      <c r="DBC1" s="87" t="n"/>
      <c r="DBD1" s="87" t="n"/>
      <c r="DBE1" s="87" t="n"/>
      <c r="DBF1" s="87" t="n"/>
      <c r="DBG1" s="87" t="n"/>
      <c r="DBH1" s="87" t="n"/>
      <c r="DBI1" s="87" t="n"/>
      <c r="DBJ1" s="87" t="n"/>
      <c r="DBK1" s="87" t="n"/>
      <c r="DBL1" s="87" t="n"/>
      <c r="DBM1" s="87" t="n"/>
      <c r="DBN1" s="87" t="n"/>
      <c r="DBO1" s="87" t="n"/>
      <c r="DBP1" s="87" t="n"/>
      <c r="DBQ1" s="87" t="n"/>
      <c r="DBR1" s="87" t="n"/>
      <c r="DBS1" s="87" t="n"/>
      <c r="DBT1" s="87" t="n"/>
      <c r="DBU1" s="87" t="n"/>
      <c r="DBV1" s="87" t="n"/>
      <c r="DBW1" s="87" t="n"/>
      <c r="DBX1" s="87" t="n"/>
      <c r="DBY1" s="87" t="n"/>
      <c r="DBZ1" s="87" t="n"/>
      <c r="DCA1" s="87" t="n"/>
      <c r="DCB1" s="87" t="n"/>
      <c r="DCC1" s="87" t="n"/>
      <c r="DCD1" s="87" t="n"/>
      <c r="DCE1" s="87" t="n"/>
      <c r="DCF1" s="87" t="n"/>
      <c r="DCG1" s="87" t="n"/>
      <c r="DCH1" s="87" t="n"/>
      <c r="DCI1" s="87" t="n"/>
      <c r="DCJ1" s="87" t="n"/>
      <c r="DCK1" s="87" t="n"/>
      <c r="DCL1" s="87" t="n"/>
      <c r="DCM1" s="87" t="n"/>
      <c r="DCN1" s="87" t="n"/>
      <c r="DCO1" s="87" t="n"/>
      <c r="DCP1" s="87" t="n"/>
      <c r="DCQ1" s="87" t="n"/>
      <c r="DCR1" s="87" t="n"/>
      <c r="DCS1" s="87" t="n"/>
      <c r="DCT1" s="87" t="n"/>
      <c r="DCU1" s="87" t="n"/>
      <c r="DCV1" s="87" t="n"/>
      <c r="DCW1" s="87" t="n"/>
      <c r="DCX1" s="87" t="n"/>
      <c r="DCY1" s="87" t="n"/>
      <c r="DCZ1" s="87" t="n"/>
      <c r="DDA1" s="87" t="n"/>
      <c r="DDB1" s="87" t="n"/>
      <c r="DDC1" s="87" t="n"/>
      <c r="DDD1" s="87" t="n"/>
      <c r="DDE1" s="87" t="n"/>
      <c r="DDF1" s="87" t="n"/>
      <c r="DDG1" s="87" t="n"/>
      <c r="DDH1" s="87" t="n"/>
      <c r="DDI1" s="87" t="n"/>
      <c r="DDJ1" s="87" t="n"/>
      <c r="DDK1" s="87" t="n"/>
      <c r="DDL1" s="87" t="n"/>
      <c r="DDM1" s="87" t="n"/>
      <c r="DDN1" s="87" t="n"/>
      <c r="DDO1" s="87" t="n"/>
      <c r="DDP1" s="87" t="n"/>
      <c r="DDQ1" s="87" t="n"/>
      <c r="DDR1" s="87" t="n"/>
      <c r="DDS1" s="87" t="n"/>
      <c r="DDT1" s="87" t="n"/>
      <c r="DDU1" s="87" t="n"/>
      <c r="DDV1" s="87" t="n"/>
      <c r="DDW1" s="87" t="n"/>
      <c r="DDX1" s="87" t="n"/>
      <c r="DDY1" s="87" t="n"/>
      <c r="DDZ1" s="87" t="n"/>
      <c r="DEA1" s="87" t="n"/>
      <c r="DEB1" s="87" t="n"/>
      <c r="DEC1" s="87" t="n"/>
      <c r="DED1" s="87" t="n"/>
      <c r="DEE1" s="87" t="n"/>
      <c r="DEF1" s="87" t="n"/>
      <c r="DEG1" s="87" t="n"/>
      <c r="DEH1" s="87" t="n"/>
      <c r="DEI1" s="87" t="n"/>
      <c r="DEJ1" s="87" t="n"/>
      <c r="DEK1" s="87" t="n"/>
      <c r="DEL1" s="87" t="n"/>
      <c r="DEM1" s="87" t="n"/>
      <c r="DEN1" s="87" t="n"/>
      <c r="DEO1" s="87" t="n"/>
      <c r="DEP1" s="87" t="n"/>
      <c r="DEQ1" s="87" t="n"/>
      <c r="DER1" s="87" t="n"/>
      <c r="DES1" s="87" t="n"/>
      <c r="DET1" s="87" t="n"/>
      <c r="DEU1" s="87" t="n"/>
      <c r="DEV1" s="87" t="n"/>
      <c r="DEW1" s="87" t="n"/>
      <c r="DEX1" s="87" t="n"/>
      <c r="DEY1" s="87" t="n"/>
      <c r="DEZ1" s="87" t="n"/>
      <c r="DFA1" s="87" t="n"/>
      <c r="DFB1" s="87" t="n"/>
      <c r="DFC1" s="87" t="n"/>
      <c r="DFD1" s="87" t="n"/>
      <c r="DFE1" s="87" t="n"/>
      <c r="DFF1" s="87" t="n"/>
      <c r="DFG1" s="87" t="n"/>
      <c r="DFH1" s="87" t="n"/>
      <c r="DFI1" s="87" t="n"/>
      <c r="DFJ1" s="87" t="n"/>
      <c r="DFK1" s="87" t="n"/>
      <c r="DFL1" s="87" t="n"/>
      <c r="DFM1" s="87" t="n"/>
      <c r="DFN1" s="87" t="n"/>
      <c r="DFO1" s="87" t="n"/>
      <c r="DFP1" s="87" t="n"/>
      <c r="DFQ1" s="87" t="n"/>
      <c r="DFR1" s="87" t="n"/>
      <c r="DFS1" s="87" t="n"/>
      <c r="DFT1" s="87" t="n"/>
      <c r="DFU1" s="87" t="n"/>
      <c r="DFV1" s="87" t="n"/>
      <c r="DFW1" s="87" t="n"/>
      <c r="DFX1" s="87" t="n"/>
      <c r="DFY1" s="87" t="n"/>
      <c r="DFZ1" s="87" t="n"/>
      <c r="DGA1" s="87" t="n"/>
      <c r="DGB1" s="87" t="n"/>
      <c r="DGC1" s="87" t="n"/>
      <c r="DGD1" s="87" t="n"/>
      <c r="DGE1" s="87" t="n"/>
      <c r="DGF1" s="87" t="n"/>
      <c r="DGG1" s="87" t="n"/>
      <c r="DGH1" s="87" t="n"/>
      <c r="DGI1" s="87" t="n"/>
      <c r="DGJ1" s="87" t="n"/>
      <c r="DGK1" s="87" t="n"/>
      <c r="DGL1" s="87" t="n"/>
      <c r="DGM1" s="87" t="n"/>
      <c r="DGN1" s="87" t="n"/>
      <c r="DGO1" s="87" t="n"/>
      <c r="DGP1" s="87" t="n"/>
      <c r="DGQ1" s="87" t="n"/>
      <c r="DGR1" s="87" t="n"/>
      <c r="DGS1" s="87" t="n"/>
      <c r="DGT1" s="87" t="n"/>
      <c r="DGU1" s="87" t="n"/>
      <c r="DGV1" s="87" t="n"/>
      <c r="DGW1" s="87" t="n"/>
      <c r="DGX1" s="87" t="n"/>
      <c r="DGY1" s="87" t="n"/>
      <c r="DGZ1" s="87" t="n"/>
      <c r="DHA1" s="87" t="n"/>
      <c r="DHB1" s="87" t="n"/>
      <c r="DHC1" s="87" t="n"/>
      <c r="DHD1" s="87" t="n"/>
      <c r="DHE1" s="87" t="n"/>
      <c r="DHF1" s="87" t="n"/>
      <c r="DHG1" s="87" t="n"/>
      <c r="DHH1" s="87" t="n"/>
      <c r="DHI1" s="87" t="n"/>
      <c r="DHJ1" s="87" t="n"/>
      <c r="DHK1" s="87" t="n"/>
      <c r="DHL1" s="87" t="n"/>
      <c r="DHM1" s="87" t="n"/>
      <c r="DHN1" s="87" t="n"/>
      <c r="DHO1" s="87" t="n"/>
      <c r="DHP1" s="87" t="n"/>
      <c r="DHQ1" s="87" t="n"/>
      <c r="DHR1" s="87" t="n"/>
      <c r="DHS1" s="87" t="n"/>
      <c r="DHT1" s="87" t="n"/>
      <c r="DHU1" s="87" t="n"/>
      <c r="DHV1" s="87" t="n"/>
      <c r="DHW1" s="87" t="n"/>
      <c r="DHX1" s="87" t="n"/>
      <c r="DHY1" s="87" t="n"/>
      <c r="DHZ1" s="87" t="n"/>
      <c r="DIA1" s="87" t="n"/>
      <c r="DIB1" s="87" t="n"/>
      <c r="DIC1" s="87" t="n"/>
      <c r="DID1" s="87" t="n"/>
      <c r="DIE1" s="87" t="n"/>
      <c r="DIF1" s="87" t="n"/>
      <c r="DIG1" s="87" t="n"/>
      <c r="DIH1" s="87" t="n"/>
      <c r="DII1" s="87" t="n"/>
      <c r="DIJ1" s="87" t="n"/>
      <c r="DIK1" s="87" t="n"/>
      <c r="DIL1" s="87" t="n"/>
      <c r="DIM1" s="87" t="n"/>
      <c r="DIN1" s="87" t="n"/>
      <c r="DIO1" s="87" t="n"/>
      <c r="DIP1" s="87" t="n"/>
      <c r="DIQ1" s="87" t="n"/>
      <c r="DIR1" s="87" t="n"/>
      <c r="DIS1" s="87" t="n"/>
      <c r="DIT1" s="87" t="n"/>
      <c r="DIU1" s="87" t="n"/>
      <c r="DIV1" s="87" t="n"/>
      <c r="DIW1" s="87" t="n"/>
      <c r="DIX1" s="87" t="n"/>
      <c r="DIY1" s="87" t="n"/>
      <c r="DIZ1" s="87" t="n"/>
      <c r="DJA1" s="87" t="n"/>
      <c r="DJB1" s="87" t="n"/>
      <c r="DJC1" s="87" t="n"/>
      <c r="DJD1" s="87" t="n"/>
      <c r="DJE1" s="87" t="n"/>
      <c r="DJF1" s="87" t="n"/>
      <c r="DJG1" s="87" t="n"/>
      <c r="DJH1" s="87" t="n"/>
      <c r="DJI1" s="87" t="n"/>
      <c r="DJJ1" s="87" t="n"/>
      <c r="DJK1" s="87" t="n"/>
      <c r="DJL1" s="87" t="n"/>
      <c r="DJM1" s="87" t="n"/>
      <c r="DJN1" s="87" t="n"/>
      <c r="DJO1" s="87" t="n"/>
      <c r="DJP1" s="87" t="n"/>
      <c r="DJQ1" s="87" t="n"/>
      <c r="DJR1" s="87" t="n"/>
      <c r="DJS1" s="87" t="n"/>
      <c r="DJT1" s="87" t="n"/>
      <c r="DJU1" s="87" t="n"/>
      <c r="DJV1" s="87" t="n"/>
      <c r="DJW1" s="87" t="n"/>
      <c r="DJX1" s="87" t="n"/>
      <c r="DJY1" s="87" t="n"/>
      <c r="DJZ1" s="87" t="n"/>
      <c r="DKA1" s="87" t="n"/>
      <c r="DKB1" s="87" t="n"/>
      <c r="DKC1" s="87" t="n"/>
      <c r="DKD1" s="87" t="n"/>
      <c r="DKE1" s="87" t="n"/>
      <c r="DKF1" s="87" t="n"/>
      <c r="DKG1" s="87" t="n"/>
      <c r="DKH1" s="87" t="n"/>
      <c r="DKI1" s="87" t="n"/>
      <c r="DKJ1" s="87" t="n"/>
      <c r="DKK1" s="87" t="n"/>
      <c r="DKL1" s="87" t="n"/>
      <c r="DKM1" s="87" t="n"/>
      <c r="DKN1" s="87" t="n"/>
      <c r="DKO1" s="87" t="n"/>
      <c r="DKP1" s="87" t="n"/>
      <c r="DKQ1" s="87" t="n"/>
      <c r="DKR1" s="87" t="n"/>
      <c r="DKS1" s="87" t="n"/>
      <c r="DKT1" s="87" t="n"/>
      <c r="DKU1" s="87" t="n"/>
      <c r="DKV1" s="87" t="n"/>
      <c r="DKW1" s="87" t="n"/>
      <c r="DKX1" s="87" t="n"/>
      <c r="DKY1" s="87" t="n"/>
      <c r="DKZ1" s="87" t="n"/>
      <c r="DLA1" s="87" t="n"/>
      <c r="DLB1" s="87" t="n"/>
      <c r="DLC1" s="87" t="n"/>
      <c r="DLD1" s="87" t="n"/>
      <c r="DLE1" s="87" t="n"/>
      <c r="DLF1" s="87" t="n"/>
      <c r="DLG1" s="87" t="n"/>
      <c r="DLH1" s="87" t="n"/>
      <c r="DLI1" s="87" t="n"/>
      <c r="DLJ1" s="87" t="n"/>
      <c r="DLK1" s="87" t="n"/>
      <c r="DLL1" s="87" t="n"/>
      <c r="DLM1" s="87" t="n"/>
      <c r="DLN1" s="87" t="n"/>
      <c r="DLO1" s="87" t="n"/>
      <c r="DLP1" s="87" t="n"/>
      <c r="DLQ1" s="87" t="n"/>
      <c r="DLR1" s="87" t="n"/>
      <c r="DLS1" s="87" t="n"/>
      <c r="DLT1" s="87" t="n"/>
      <c r="DLU1" s="87" t="n"/>
      <c r="DLV1" s="87" t="n"/>
      <c r="DLW1" s="87" t="n"/>
      <c r="DLX1" s="87" t="n"/>
      <c r="DLY1" s="87" t="n"/>
      <c r="DLZ1" s="87" t="n"/>
      <c r="DMA1" s="87" t="n"/>
      <c r="DMB1" s="87" t="n"/>
      <c r="DMC1" s="87" t="n"/>
      <c r="DMD1" s="87" t="n"/>
      <c r="DME1" s="87" t="n"/>
      <c r="DMF1" s="87" t="n"/>
      <c r="DMG1" s="87" t="n"/>
      <c r="DMH1" s="87" t="n"/>
      <c r="DMI1" s="87" t="n"/>
      <c r="DMJ1" s="87" t="n"/>
      <c r="DMK1" s="87" t="n"/>
      <c r="DML1" s="87" t="n"/>
      <c r="DMM1" s="87" t="n"/>
      <c r="DMN1" s="87" t="n"/>
      <c r="DMO1" s="87" t="n"/>
      <c r="DMP1" s="87" t="n"/>
      <c r="DMQ1" s="87" t="n"/>
      <c r="DMR1" s="87" t="n"/>
      <c r="DMS1" s="87" t="n"/>
      <c r="DMT1" s="87" t="n"/>
      <c r="DMU1" s="87" t="n"/>
      <c r="DMV1" s="87" t="n"/>
      <c r="DMW1" s="87" t="n"/>
      <c r="DMX1" s="87" t="n"/>
      <c r="DMY1" s="87" t="n"/>
      <c r="DMZ1" s="87" t="n"/>
      <c r="DNA1" s="87" t="n"/>
      <c r="DNB1" s="87" t="n"/>
      <c r="DNC1" s="87" t="n"/>
      <c r="DND1" s="87" t="n"/>
      <c r="DNE1" s="87" t="n"/>
      <c r="DNF1" s="87" t="n"/>
      <c r="DNG1" s="87" t="n"/>
      <c r="DNH1" s="87" t="n"/>
      <c r="DNI1" s="87" t="n"/>
      <c r="DNJ1" s="87" t="n"/>
      <c r="DNK1" s="87" t="n"/>
      <c r="DNL1" s="87" t="n"/>
      <c r="DNM1" s="87" t="n"/>
      <c r="DNN1" s="87" t="n"/>
      <c r="DNO1" s="87" t="n"/>
      <c r="DNP1" s="87" t="n"/>
      <c r="DNQ1" s="87" t="n"/>
      <c r="DNR1" s="87" t="n"/>
      <c r="DNS1" s="87" t="n"/>
      <c r="DNT1" s="87" t="n"/>
      <c r="DNU1" s="87" t="n"/>
      <c r="DNV1" s="87" t="n"/>
      <c r="DNW1" s="87" t="n"/>
      <c r="DNX1" s="87" t="n"/>
      <c r="DNY1" s="87" t="n"/>
      <c r="DNZ1" s="87" t="n"/>
      <c r="DOA1" s="87" t="n"/>
      <c r="DOB1" s="87" t="n"/>
      <c r="DOC1" s="87" t="n"/>
      <c r="DOD1" s="87" t="n"/>
      <c r="DOE1" s="87" t="n"/>
      <c r="DOF1" s="87" t="n"/>
      <c r="DOG1" s="87" t="n"/>
      <c r="DOH1" s="87" t="n"/>
      <c r="DOI1" s="87" t="n"/>
      <c r="DOJ1" s="87" t="n"/>
      <c r="DOK1" s="87" t="n"/>
      <c r="DOL1" s="87" t="n"/>
      <c r="DOM1" s="87" t="n"/>
      <c r="DON1" s="87" t="n"/>
      <c r="DOO1" s="87" t="n"/>
      <c r="DOP1" s="87" t="n"/>
      <c r="DOQ1" s="87" t="n"/>
      <c r="DOR1" s="87" t="n"/>
      <c r="DOS1" s="87" t="n"/>
      <c r="DOT1" s="87" t="n"/>
      <c r="DOU1" s="87" t="n"/>
      <c r="DOV1" s="87" t="n"/>
      <c r="DOW1" s="87" t="n"/>
      <c r="DOX1" s="87" t="n"/>
      <c r="DOY1" s="87" t="n"/>
      <c r="DOZ1" s="87" t="n"/>
      <c r="DPA1" s="87" t="n"/>
      <c r="DPB1" s="87" t="n"/>
      <c r="DPC1" s="87" t="n"/>
      <c r="DPD1" s="87" t="n"/>
      <c r="DPE1" s="87" t="n"/>
      <c r="DPF1" s="87" t="n"/>
      <c r="DPG1" s="87" t="n"/>
      <c r="DPH1" s="87" t="n"/>
      <c r="DPI1" s="87" t="n"/>
      <c r="DPJ1" s="87" t="n"/>
      <c r="DPK1" s="87" t="n"/>
      <c r="DPL1" s="87" t="n"/>
      <c r="DPM1" s="87" t="n"/>
      <c r="DPN1" s="87" t="n"/>
      <c r="DPO1" s="87" t="n"/>
      <c r="DPP1" s="87" t="n"/>
      <c r="DPQ1" s="87" t="n"/>
      <c r="DPR1" s="87" t="n"/>
      <c r="DPS1" s="87" t="n"/>
      <c r="DPT1" s="87" t="n"/>
      <c r="DPU1" s="87" t="n"/>
      <c r="DPV1" s="87" t="n"/>
      <c r="DPW1" s="87" t="n"/>
      <c r="DPX1" s="87" t="n"/>
      <c r="DPY1" s="87" t="n"/>
      <c r="DPZ1" s="87" t="n"/>
      <c r="DQA1" s="87" t="n"/>
      <c r="DQB1" s="87" t="n"/>
      <c r="DQC1" s="87" t="n"/>
      <c r="DQD1" s="87" t="n"/>
      <c r="DQE1" s="87" t="n"/>
      <c r="DQF1" s="87" t="n"/>
      <c r="DQG1" s="87" t="n"/>
      <c r="DQH1" s="87" t="n"/>
      <c r="DQI1" s="87" t="n"/>
      <c r="DQJ1" s="87" t="n"/>
      <c r="DQK1" s="87" t="n"/>
      <c r="DQL1" s="87" t="n"/>
      <c r="DQM1" s="87" t="n"/>
      <c r="DQN1" s="87" t="n"/>
      <c r="DQO1" s="87" t="n"/>
      <c r="DQP1" s="87" t="n"/>
      <c r="DQQ1" s="87" t="n"/>
      <c r="DQR1" s="87" t="n"/>
      <c r="DQS1" s="87" t="n"/>
      <c r="DQT1" s="87" t="n"/>
      <c r="DQU1" s="87" t="n"/>
      <c r="DQV1" s="87" t="n"/>
      <c r="DQW1" s="87" t="n"/>
      <c r="DQX1" s="87" t="n"/>
      <c r="DQY1" s="87" t="n"/>
      <c r="DQZ1" s="87" t="n"/>
      <c r="DRA1" s="87" t="n"/>
      <c r="DRB1" s="87" t="n"/>
      <c r="DRC1" s="87" t="n"/>
      <c r="DRD1" s="87" t="n"/>
      <c r="DRE1" s="87" t="n"/>
      <c r="DRF1" s="87" t="n"/>
      <c r="DRG1" s="87" t="n"/>
      <c r="DRH1" s="87" t="n"/>
      <c r="DRI1" s="87" t="n"/>
      <c r="DRJ1" s="87" t="n"/>
      <c r="DRK1" s="87" t="n"/>
      <c r="DRL1" s="87" t="n"/>
      <c r="DRM1" s="87" t="n"/>
      <c r="DRN1" s="87" t="n"/>
      <c r="DRO1" s="87" t="n"/>
      <c r="DRP1" s="87" t="n"/>
      <c r="DRQ1" s="87" t="n"/>
      <c r="DRR1" s="87" t="n"/>
      <c r="DRS1" s="87" t="n"/>
      <c r="DRT1" s="87" t="n"/>
      <c r="DRU1" s="87" t="n"/>
      <c r="DRV1" s="87" t="n"/>
      <c r="DRW1" s="87" t="n"/>
      <c r="DRX1" s="87" t="n"/>
      <c r="DRY1" s="87" t="n"/>
      <c r="DRZ1" s="87" t="n"/>
      <c r="DSA1" s="87" t="n"/>
      <c r="DSB1" s="87" t="n"/>
      <c r="DSC1" s="87" t="n"/>
      <c r="DSD1" s="87" t="n"/>
      <c r="DSE1" s="87" t="n"/>
      <c r="DSF1" s="87" t="n"/>
      <c r="DSG1" s="87" t="n"/>
      <c r="DSH1" s="87" t="n"/>
      <c r="DSI1" s="87" t="n"/>
      <c r="DSJ1" s="87" t="n"/>
      <c r="DSK1" s="87" t="n"/>
      <c r="DSL1" s="87" t="n"/>
      <c r="DSM1" s="87" t="n"/>
      <c r="DSN1" s="87" t="n"/>
      <c r="DSO1" s="87" t="n"/>
      <c r="DSP1" s="87" t="n"/>
      <c r="DSQ1" s="87" t="n"/>
      <c r="DSR1" s="87" t="n"/>
      <c r="DSS1" s="87" t="n"/>
      <c r="DST1" s="87" t="n"/>
      <c r="DSU1" s="87" t="n"/>
      <c r="DSV1" s="87" t="n"/>
      <c r="DSW1" s="87" t="n"/>
      <c r="DSX1" s="87" t="n"/>
      <c r="DSY1" s="87" t="n"/>
      <c r="DSZ1" s="87" t="n"/>
      <c r="DTA1" s="87" t="n"/>
      <c r="DTB1" s="87" t="n"/>
      <c r="DTC1" s="87" t="n"/>
      <c r="DTD1" s="87" t="n"/>
      <c r="DTE1" s="87" t="n"/>
      <c r="DTF1" s="87" t="n"/>
      <c r="DTG1" s="87" t="n"/>
      <c r="DTH1" s="87" t="n"/>
      <c r="DTI1" s="87" t="n"/>
      <c r="DTJ1" s="87" t="n"/>
      <c r="DTK1" s="87" t="n"/>
      <c r="DTL1" s="87" t="n"/>
      <c r="DTM1" s="87" t="n"/>
      <c r="DTN1" s="87" t="n"/>
      <c r="DTO1" s="87" t="n"/>
      <c r="DTP1" s="87" t="n"/>
      <c r="DTQ1" s="87" t="n"/>
      <c r="DTR1" s="87" t="n"/>
      <c r="DTS1" s="87" t="n"/>
      <c r="DTT1" s="87" t="n"/>
      <c r="DTU1" s="87" t="n"/>
      <c r="DTV1" s="87" t="n"/>
      <c r="DTW1" s="87" t="n"/>
      <c r="DTX1" s="87" t="n"/>
      <c r="DTY1" s="87" t="n"/>
      <c r="DTZ1" s="87" t="n"/>
      <c r="DUA1" s="87" t="n"/>
      <c r="DUB1" s="87" t="n"/>
      <c r="DUC1" s="87" t="n"/>
      <c r="DUD1" s="87" t="n"/>
      <c r="DUE1" s="87" t="n"/>
      <c r="DUF1" s="87" t="n"/>
      <c r="DUG1" s="87" t="n"/>
      <c r="DUH1" s="87" t="n"/>
      <c r="DUI1" s="87" t="n"/>
      <c r="DUJ1" s="87" t="n"/>
      <c r="DUK1" s="87" t="n"/>
      <c r="DUL1" s="87" t="n"/>
      <c r="DUM1" s="87" t="n"/>
      <c r="DUN1" s="87" t="n"/>
      <c r="DUO1" s="87" t="n"/>
      <c r="DUP1" s="87" t="n"/>
      <c r="DUQ1" s="87" t="n"/>
      <c r="DUR1" s="87" t="n"/>
      <c r="DUS1" s="87" t="n"/>
      <c r="DUT1" s="87" t="n"/>
      <c r="DUU1" s="87" t="n"/>
      <c r="DUV1" s="87" t="n"/>
      <c r="DUW1" s="87" t="n"/>
      <c r="DUX1" s="87" t="n"/>
      <c r="DUY1" s="87" t="n"/>
      <c r="DUZ1" s="87" t="n"/>
      <c r="DVA1" s="87" t="n"/>
      <c r="DVB1" s="87" t="n"/>
      <c r="DVC1" s="87" t="n"/>
      <c r="DVD1" s="87" t="n"/>
      <c r="DVE1" s="87" t="n"/>
      <c r="DVF1" s="87" t="n"/>
      <c r="DVG1" s="87" t="n"/>
      <c r="DVH1" s="87" t="n"/>
      <c r="DVI1" s="87" t="n"/>
      <c r="DVJ1" s="87" t="n"/>
      <c r="DVK1" s="87" t="n"/>
      <c r="DVL1" s="87" t="n"/>
      <c r="DVM1" s="87" t="n"/>
      <c r="DVN1" s="87" t="n"/>
      <c r="DVO1" s="87" t="n"/>
      <c r="DVP1" s="87" t="n"/>
      <c r="DVQ1" s="87" t="n"/>
      <c r="DVR1" s="87" t="n"/>
      <c r="DVS1" s="87" t="n"/>
      <c r="DVT1" s="87" t="n"/>
      <c r="DVU1" s="87" t="n"/>
      <c r="DVV1" s="87" t="n"/>
      <c r="DVW1" s="87" t="n"/>
      <c r="DVX1" s="87" t="n"/>
      <c r="DVY1" s="87" t="n"/>
      <c r="DVZ1" s="87" t="n"/>
      <c r="DWA1" s="87" t="n"/>
      <c r="DWB1" s="87" t="n"/>
      <c r="DWC1" s="87" t="n"/>
      <c r="DWD1" s="87" t="n"/>
      <c r="DWE1" s="87" t="n"/>
      <c r="DWF1" s="87" t="n"/>
      <c r="DWG1" s="87" t="n"/>
      <c r="DWH1" s="87" t="n"/>
      <c r="DWI1" s="87" t="n"/>
      <c r="DWJ1" s="87" t="n"/>
      <c r="DWK1" s="87" t="n"/>
      <c r="DWL1" s="87" t="n"/>
      <c r="DWM1" s="87" t="n"/>
      <c r="DWN1" s="87" t="n"/>
      <c r="DWO1" s="87" t="n"/>
      <c r="DWP1" s="87" t="n"/>
      <c r="DWQ1" s="87" t="n"/>
      <c r="DWR1" s="87" t="n"/>
      <c r="DWS1" s="87" t="n"/>
      <c r="DWT1" s="87" t="n"/>
      <c r="DWU1" s="87" t="n"/>
      <c r="DWV1" s="87" t="n"/>
      <c r="DWW1" s="87" t="n"/>
      <c r="DWX1" s="87" t="n"/>
      <c r="DWY1" s="87" t="n"/>
      <c r="DWZ1" s="87" t="n"/>
      <c r="DXA1" s="87" t="n"/>
      <c r="DXB1" s="87" t="n"/>
      <c r="DXC1" s="87" t="n"/>
      <c r="DXD1" s="87" t="n"/>
      <c r="DXE1" s="87" t="n"/>
      <c r="DXF1" s="87" t="n"/>
      <c r="DXG1" s="87" t="n"/>
      <c r="DXH1" s="87" t="n"/>
      <c r="DXI1" s="87" t="n"/>
      <c r="DXJ1" s="87" t="n"/>
      <c r="DXK1" s="87" t="n"/>
      <c r="DXL1" s="87" t="n"/>
      <c r="DXM1" s="87" t="n"/>
      <c r="DXN1" s="87" t="n"/>
      <c r="DXO1" s="87" t="n"/>
      <c r="DXP1" s="87" t="n"/>
      <c r="DXQ1" s="87" t="n"/>
      <c r="DXR1" s="87" t="n"/>
      <c r="DXS1" s="87" t="n"/>
      <c r="DXT1" s="87" t="n"/>
      <c r="DXU1" s="87" t="n"/>
      <c r="DXV1" s="87" t="n"/>
      <c r="DXW1" s="87" t="n"/>
      <c r="DXX1" s="87" t="n"/>
      <c r="DXY1" s="87" t="n"/>
      <c r="DXZ1" s="87" t="n"/>
      <c r="DYA1" s="87" t="n"/>
      <c r="DYB1" s="87" t="n"/>
      <c r="DYC1" s="87" t="n"/>
      <c r="DYD1" s="87" t="n"/>
      <c r="DYE1" s="87" t="n"/>
      <c r="DYF1" s="87" t="n"/>
      <c r="DYG1" s="87" t="n"/>
      <c r="DYH1" s="87" t="n"/>
      <c r="DYI1" s="87" t="n"/>
      <c r="DYJ1" s="87" t="n"/>
      <c r="DYK1" s="87" t="n"/>
      <c r="DYL1" s="87" t="n"/>
      <c r="DYM1" s="87" t="n"/>
      <c r="DYN1" s="87" t="n"/>
      <c r="DYO1" s="87" t="n"/>
      <c r="DYP1" s="87" t="n"/>
      <c r="DYQ1" s="87" t="n"/>
      <c r="DYR1" s="87" t="n"/>
      <c r="DYS1" s="87" t="n"/>
      <c r="DYT1" s="87" t="n"/>
      <c r="DYU1" s="87" t="n"/>
      <c r="DYV1" s="87" t="n"/>
      <c r="DYW1" s="87" t="n"/>
      <c r="DYX1" s="87" t="n"/>
      <c r="DYY1" s="87" t="n"/>
      <c r="DYZ1" s="87" t="n"/>
      <c r="DZA1" s="87" t="n"/>
      <c r="DZB1" s="87" t="n"/>
      <c r="DZC1" s="87" t="n"/>
      <c r="DZD1" s="87" t="n"/>
      <c r="DZE1" s="87" t="n"/>
      <c r="DZF1" s="87" t="n"/>
      <c r="DZG1" s="87" t="n"/>
      <c r="DZH1" s="87" t="n"/>
      <c r="DZI1" s="87" t="n"/>
      <c r="DZJ1" s="87" t="n"/>
      <c r="DZK1" s="87" t="n"/>
      <c r="DZL1" s="87" t="n"/>
      <c r="DZM1" s="87" t="n"/>
      <c r="DZN1" s="87" t="n"/>
      <c r="DZO1" s="87" t="n"/>
      <c r="DZP1" s="87" t="n"/>
      <c r="DZQ1" s="87" t="n"/>
      <c r="DZR1" s="87" t="n"/>
      <c r="DZS1" s="87" t="n"/>
      <c r="DZT1" s="87" t="n"/>
      <c r="DZU1" s="87" t="n"/>
      <c r="DZV1" s="87" t="n"/>
      <c r="DZW1" s="87" t="n"/>
      <c r="DZX1" s="87" t="n"/>
      <c r="DZY1" s="87" t="n"/>
      <c r="DZZ1" s="87" t="n"/>
      <c r="EAA1" s="87" t="n"/>
      <c r="EAB1" s="87" t="n"/>
      <c r="EAC1" s="87" t="n"/>
      <c r="EAD1" s="87" t="n"/>
      <c r="EAE1" s="87" t="n"/>
      <c r="EAF1" s="87" t="n"/>
      <c r="EAG1" s="87" t="n"/>
      <c r="EAH1" s="87" t="n"/>
      <c r="EAI1" s="87" t="n"/>
      <c r="EAJ1" s="87" t="n"/>
      <c r="EAK1" s="87" t="n"/>
      <c r="EAL1" s="87" t="n"/>
      <c r="EAM1" s="87" t="n"/>
      <c r="EAN1" s="87" t="n"/>
      <c r="EAO1" s="87" t="n"/>
      <c r="EAP1" s="87" t="n"/>
      <c r="EAQ1" s="87" t="n"/>
      <c r="EAR1" s="87" t="n"/>
      <c r="EAS1" s="87" t="n"/>
      <c r="EAT1" s="87" t="n"/>
      <c r="EAU1" s="87" t="n"/>
      <c r="EAV1" s="87" t="n"/>
      <c r="EAW1" s="87" t="n"/>
      <c r="EAX1" s="87" t="n"/>
      <c r="EAY1" s="87" t="n"/>
      <c r="EAZ1" s="87" t="n"/>
      <c r="EBA1" s="87" t="n"/>
      <c r="EBB1" s="87" t="n"/>
      <c r="EBC1" s="87" t="n"/>
      <c r="EBD1" s="87" t="n"/>
      <c r="EBE1" s="87" t="n"/>
      <c r="EBF1" s="87" t="n"/>
      <c r="EBG1" s="87" t="n"/>
      <c r="EBH1" s="87" t="n"/>
      <c r="EBI1" s="87" t="n"/>
      <c r="EBJ1" s="87" t="n"/>
      <c r="EBK1" s="87" t="n"/>
      <c r="EBL1" s="87" t="n"/>
      <c r="EBM1" s="87" t="n"/>
      <c r="EBN1" s="87" t="n"/>
      <c r="EBO1" s="87" t="n"/>
      <c r="EBP1" s="87" t="n"/>
      <c r="EBQ1" s="87" t="n"/>
      <c r="EBR1" s="87" t="n"/>
      <c r="EBS1" s="87" t="n"/>
      <c r="EBT1" s="87" t="n"/>
      <c r="EBU1" s="87" t="n"/>
      <c r="EBV1" s="87" t="n"/>
      <c r="EBW1" s="87" t="n"/>
      <c r="EBX1" s="87" t="n"/>
      <c r="EBY1" s="87" t="n"/>
      <c r="EBZ1" s="87" t="n"/>
      <c r="ECA1" s="87" t="n"/>
      <c r="ECB1" s="87" t="n"/>
      <c r="ECC1" s="87" t="n"/>
      <c r="ECD1" s="87" t="n"/>
      <c r="ECE1" s="87" t="n"/>
      <c r="ECF1" s="87" t="n"/>
      <c r="ECG1" s="87" t="n"/>
      <c r="ECH1" s="87" t="n"/>
      <c r="ECI1" s="87" t="n"/>
      <c r="ECJ1" s="87" t="n"/>
      <c r="ECK1" s="87" t="n"/>
      <c r="ECL1" s="87" t="n"/>
      <c r="ECM1" s="87" t="n"/>
      <c r="ECN1" s="87" t="n"/>
      <c r="ECO1" s="87" t="n"/>
      <c r="ECP1" s="87" t="n"/>
      <c r="ECQ1" s="87" t="n"/>
      <c r="ECR1" s="87" t="n"/>
      <c r="ECS1" s="87" t="n"/>
      <c r="ECT1" s="87" t="n"/>
      <c r="ECU1" s="87" t="n"/>
      <c r="ECV1" s="87" t="n"/>
      <c r="ECW1" s="87" t="n"/>
      <c r="ECX1" s="87" t="n"/>
      <c r="ECY1" s="87" t="n"/>
      <c r="ECZ1" s="87" t="n"/>
      <c r="EDA1" s="87" t="n"/>
      <c r="EDB1" s="87" t="n"/>
      <c r="EDC1" s="87" t="n"/>
      <c r="EDD1" s="87" t="n"/>
      <c r="EDE1" s="87" t="n"/>
      <c r="EDF1" s="87" t="n"/>
      <c r="EDG1" s="87" t="n"/>
      <c r="EDH1" s="87" t="n"/>
      <c r="EDI1" s="87" t="n"/>
      <c r="EDJ1" s="87" t="n"/>
      <c r="EDK1" s="87" t="n"/>
      <c r="EDL1" s="87" t="n"/>
      <c r="EDM1" s="87" t="n"/>
      <c r="EDN1" s="87" t="n"/>
      <c r="EDO1" s="87" t="n"/>
      <c r="EDP1" s="87" t="n"/>
      <c r="EDQ1" s="87" t="n"/>
      <c r="EDR1" s="87" t="n"/>
      <c r="EDS1" s="87" t="n"/>
      <c r="EDT1" s="87" t="n"/>
      <c r="EDU1" s="87" t="n"/>
      <c r="EDV1" s="87" t="n"/>
      <c r="EDW1" s="87" t="n"/>
      <c r="EDX1" s="87" t="n"/>
      <c r="EDY1" s="87" t="n"/>
      <c r="EDZ1" s="87" t="n"/>
      <c r="EEA1" s="87" t="n"/>
      <c r="EEB1" s="87" t="n"/>
      <c r="EEC1" s="87" t="n"/>
      <c r="EED1" s="87" t="n"/>
      <c r="EEE1" s="87" t="n"/>
      <c r="EEF1" s="87" t="n"/>
      <c r="EEG1" s="87" t="n"/>
      <c r="EEH1" s="87" t="n"/>
      <c r="EEI1" s="87" t="n"/>
      <c r="EEJ1" s="87" t="n"/>
      <c r="EEK1" s="87" t="n"/>
      <c r="EEL1" s="87" t="n"/>
      <c r="EEM1" s="87" t="n"/>
      <c r="EEN1" s="87" t="n"/>
      <c r="EEO1" s="87" t="n"/>
      <c r="EEP1" s="87" t="n"/>
      <c r="EEQ1" s="87" t="n"/>
      <c r="EER1" s="87" t="n"/>
      <c r="EES1" s="87" t="n"/>
      <c r="EET1" s="87" t="n"/>
      <c r="EEU1" s="87" t="n"/>
      <c r="EEV1" s="87" t="n"/>
      <c r="EEW1" s="87" t="n"/>
      <c r="EEX1" s="87" t="n"/>
      <c r="EEY1" s="87" t="n"/>
      <c r="EEZ1" s="87" t="n"/>
      <c r="EFA1" s="87" t="n"/>
      <c r="EFB1" s="87" t="n"/>
      <c r="EFC1" s="87" t="n"/>
      <c r="EFD1" s="87" t="n"/>
      <c r="EFE1" s="87" t="n"/>
      <c r="EFF1" s="87" t="n"/>
      <c r="EFG1" s="87" t="n"/>
      <c r="EFH1" s="87" t="n"/>
      <c r="EFI1" s="87" t="n"/>
      <c r="EFJ1" s="87" t="n"/>
      <c r="EFK1" s="87" t="n"/>
      <c r="EFL1" s="87" t="n"/>
      <c r="EFM1" s="87" t="n"/>
      <c r="EFN1" s="87" t="n"/>
      <c r="EFO1" s="87" t="n"/>
      <c r="EFP1" s="87" t="n"/>
      <c r="EFQ1" s="87" t="n"/>
      <c r="EFR1" s="87" t="n"/>
      <c r="EFS1" s="87" t="n"/>
      <c r="EFT1" s="87" t="n"/>
      <c r="EFU1" s="87" t="n"/>
      <c r="EFV1" s="87" t="n"/>
      <c r="EFW1" s="87" t="n"/>
      <c r="EFX1" s="87" t="n"/>
      <c r="EFY1" s="87" t="n"/>
      <c r="EFZ1" s="87" t="n"/>
      <c r="EGA1" s="87" t="n"/>
      <c r="EGB1" s="87" t="n"/>
      <c r="EGC1" s="87" t="n"/>
      <c r="EGD1" s="87" t="n"/>
      <c r="EGE1" s="87" t="n"/>
      <c r="EGF1" s="87" t="n"/>
      <c r="EGG1" s="87" t="n"/>
      <c r="EGH1" s="87" t="n"/>
      <c r="EGI1" s="87" t="n"/>
      <c r="EGJ1" s="87" t="n"/>
      <c r="EGK1" s="87" t="n"/>
      <c r="EGL1" s="87" t="n"/>
      <c r="EGM1" s="87" t="n"/>
      <c r="EGN1" s="87" t="n"/>
      <c r="EGO1" s="87" t="n"/>
      <c r="EGP1" s="87" t="n"/>
      <c r="EGQ1" s="87" t="n"/>
      <c r="EGR1" s="87" t="n"/>
      <c r="EGS1" s="87" t="n"/>
      <c r="EGT1" s="87" t="n"/>
      <c r="EGU1" s="87" t="n"/>
      <c r="EGV1" s="87" t="n"/>
      <c r="EGW1" s="87" t="n"/>
      <c r="EGX1" s="87" t="n"/>
      <c r="EGY1" s="87" t="n"/>
      <c r="EGZ1" s="87" t="n"/>
      <c r="EHA1" s="87" t="n"/>
      <c r="EHB1" s="87" t="n"/>
      <c r="EHC1" s="87" t="n"/>
      <c r="EHD1" s="87" t="n"/>
      <c r="EHE1" s="87" t="n"/>
      <c r="EHF1" s="87" t="n"/>
      <c r="EHG1" s="87" t="n"/>
      <c r="EHH1" s="87" t="n"/>
      <c r="EHI1" s="87" t="n"/>
      <c r="EHJ1" s="87" t="n"/>
      <c r="EHK1" s="87" t="n"/>
      <c r="EHL1" s="87" t="n"/>
      <c r="EHM1" s="87" t="n"/>
      <c r="EHN1" s="87" t="n"/>
      <c r="EHO1" s="87" t="n"/>
      <c r="EHP1" s="87" t="n"/>
      <c r="EHQ1" s="87" t="n"/>
      <c r="EHR1" s="87" t="n"/>
      <c r="EHS1" s="87" t="n"/>
      <c r="EHT1" s="87" t="n"/>
      <c r="EHU1" s="87" t="n"/>
      <c r="EHV1" s="87" t="n"/>
      <c r="EHW1" s="87" t="n"/>
      <c r="EHX1" s="87" t="n"/>
      <c r="EHY1" s="87" t="n"/>
      <c r="EHZ1" s="87" t="n"/>
      <c r="EIA1" s="87" t="n"/>
      <c r="EIB1" s="87" t="n"/>
      <c r="EIC1" s="87" t="n"/>
      <c r="EID1" s="87" t="n"/>
      <c r="EIE1" s="87" t="n"/>
      <c r="EIF1" s="87" t="n"/>
      <c r="EIG1" s="87" t="n"/>
      <c r="EIH1" s="87" t="n"/>
      <c r="EII1" s="87" t="n"/>
      <c r="EIJ1" s="87" t="n"/>
      <c r="EIK1" s="87" t="n"/>
      <c r="EIL1" s="87" t="n"/>
      <c r="EIM1" s="87" t="n"/>
      <c r="EIN1" s="87" t="n"/>
      <c r="EIO1" s="87" t="n"/>
      <c r="EIP1" s="87" t="n"/>
      <c r="EIQ1" s="87" t="n"/>
      <c r="EIR1" s="87" t="n"/>
      <c r="EIS1" s="87" t="n"/>
      <c r="EIT1" s="87" t="n"/>
      <c r="EIU1" s="87" t="n"/>
      <c r="EIV1" s="87" t="n"/>
      <c r="EIW1" s="87" t="n"/>
      <c r="EIX1" s="87" t="n"/>
      <c r="EIY1" s="87" t="n"/>
      <c r="EIZ1" s="87" t="n"/>
      <c r="EJA1" s="87" t="n"/>
      <c r="EJB1" s="87" t="n"/>
      <c r="EJC1" s="87" t="n"/>
      <c r="EJD1" s="87" t="n"/>
      <c r="EJE1" s="87" t="n"/>
      <c r="EJF1" s="87" t="n"/>
      <c r="EJG1" s="87" t="n"/>
      <c r="EJH1" s="87" t="n"/>
      <c r="EJI1" s="87" t="n"/>
      <c r="EJJ1" s="87" t="n"/>
      <c r="EJK1" s="87" t="n"/>
      <c r="EJL1" s="87" t="n"/>
      <c r="EJM1" s="87" t="n"/>
      <c r="EJN1" s="87" t="n"/>
      <c r="EJO1" s="87" t="n"/>
      <c r="EJP1" s="87" t="n"/>
      <c r="EJQ1" s="87" t="n"/>
      <c r="EJR1" s="87" t="n"/>
      <c r="EJS1" s="87" t="n"/>
      <c r="EJT1" s="87" t="n"/>
      <c r="EJU1" s="87" t="n"/>
      <c r="EJV1" s="87" t="n"/>
      <c r="EJW1" s="87" t="n"/>
      <c r="EJX1" s="87" t="n"/>
      <c r="EJY1" s="87" t="n"/>
      <c r="EJZ1" s="87" t="n"/>
      <c r="EKA1" s="87" t="n"/>
      <c r="EKB1" s="87" t="n"/>
      <c r="EKC1" s="87" t="n"/>
      <c r="EKD1" s="87" t="n"/>
      <c r="EKE1" s="87" t="n"/>
      <c r="EKF1" s="87" t="n"/>
      <c r="EKG1" s="87" t="n"/>
      <c r="EKH1" s="87" t="n"/>
      <c r="EKI1" s="87" t="n"/>
      <c r="EKJ1" s="87" t="n"/>
      <c r="EKK1" s="87" t="n"/>
      <c r="EKL1" s="87" t="n"/>
      <c r="EKM1" s="87" t="n"/>
      <c r="EKN1" s="87" t="n"/>
      <c r="EKO1" s="87" t="n"/>
      <c r="EKP1" s="87" t="n"/>
      <c r="EKQ1" s="87" t="n"/>
      <c r="EKR1" s="87" t="n"/>
      <c r="EKS1" s="87" t="n"/>
      <c r="EKT1" s="87" t="n"/>
      <c r="EKU1" s="87" t="n"/>
      <c r="EKV1" s="87" t="n"/>
      <c r="EKW1" s="87" t="n"/>
      <c r="EKX1" s="87" t="n"/>
      <c r="EKY1" s="87" t="n"/>
      <c r="EKZ1" s="87" t="n"/>
      <c r="ELA1" s="87" t="n"/>
      <c r="ELB1" s="87" t="n"/>
      <c r="ELC1" s="87" t="n"/>
      <c r="ELD1" s="87" t="n"/>
      <c r="ELE1" s="87" t="n"/>
      <c r="ELF1" s="87" t="n"/>
      <c r="ELG1" s="87" t="n"/>
      <c r="ELH1" s="87" t="n"/>
      <c r="ELI1" s="87" t="n"/>
      <c r="ELJ1" s="87" t="n"/>
      <c r="ELK1" s="87" t="n"/>
      <c r="ELL1" s="87" t="n"/>
      <c r="ELM1" s="87" t="n"/>
      <c r="ELN1" s="87" t="n"/>
      <c r="ELO1" s="87" t="n"/>
      <c r="ELP1" s="87" t="n"/>
      <c r="ELQ1" s="87" t="n"/>
      <c r="ELR1" s="87" t="n"/>
      <c r="ELS1" s="87" t="n"/>
      <c r="ELT1" s="87" t="n"/>
      <c r="ELU1" s="87" t="n"/>
      <c r="ELV1" s="87" t="n"/>
      <c r="ELW1" s="87" t="n"/>
      <c r="ELX1" s="87" t="n"/>
      <c r="ELY1" s="87" t="n"/>
      <c r="ELZ1" s="87" t="n"/>
      <c r="EMA1" s="87" t="n"/>
      <c r="EMB1" s="87" t="n"/>
      <c r="EMC1" s="87" t="n"/>
      <c r="EMD1" s="87" t="n"/>
      <c r="EME1" s="87" t="n"/>
      <c r="EMF1" s="87" t="n"/>
      <c r="EMG1" s="87" t="n"/>
      <c r="EMH1" s="87" t="n"/>
      <c r="EMI1" s="87" t="n"/>
      <c r="EMJ1" s="87" t="n"/>
      <c r="EMK1" s="87" t="n"/>
      <c r="EML1" s="87" t="n"/>
      <c r="EMM1" s="87" t="n"/>
      <c r="EMN1" s="87" t="n"/>
      <c r="EMO1" s="87" t="n"/>
      <c r="EMP1" s="87" t="n"/>
      <c r="EMQ1" s="87" t="n"/>
      <c r="EMR1" s="87" t="n"/>
      <c r="EMS1" s="87" t="n"/>
      <c r="EMT1" s="87" t="n"/>
      <c r="EMU1" s="87" t="n"/>
      <c r="EMV1" s="87" t="n"/>
      <c r="EMW1" s="87" t="n"/>
      <c r="EMX1" s="87" t="n"/>
      <c r="EMY1" s="87" t="n"/>
      <c r="EMZ1" s="87" t="n"/>
      <c r="ENA1" s="87" t="n"/>
      <c r="ENB1" s="87" t="n"/>
      <c r="ENC1" s="87" t="n"/>
      <c r="END1" s="87" t="n"/>
      <c r="ENE1" s="87" t="n"/>
      <c r="ENF1" s="87" t="n"/>
      <c r="ENG1" s="87" t="n"/>
      <c r="ENH1" s="87" t="n"/>
      <c r="ENI1" s="87" t="n"/>
      <c r="ENJ1" s="87" t="n"/>
      <c r="ENK1" s="87" t="n"/>
      <c r="ENL1" s="87" t="n"/>
      <c r="ENM1" s="87" t="n"/>
      <c r="ENN1" s="87" t="n"/>
      <c r="ENO1" s="87" t="n"/>
      <c r="ENP1" s="87" t="n"/>
      <c r="ENQ1" s="87" t="n"/>
      <c r="ENR1" s="87" t="n"/>
      <c r="ENS1" s="87" t="n"/>
      <c r="ENT1" s="87" t="n"/>
      <c r="ENU1" s="87" t="n"/>
      <c r="ENV1" s="87" t="n"/>
      <c r="ENW1" s="87" t="n"/>
      <c r="ENX1" s="87" t="n"/>
      <c r="ENY1" s="87" t="n"/>
      <c r="ENZ1" s="87" t="n"/>
      <c r="EOA1" s="87" t="n"/>
      <c r="EOB1" s="87" t="n"/>
      <c r="EOC1" s="87" t="n"/>
      <c r="EOD1" s="87" t="n"/>
      <c r="EOE1" s="87" t="n"/>
      <c r="EOF1" s="87" t="n"/>
      <c r="EOG1" s="87" t="n"/>
      <c r="EOH1" s="87" t="n"/>
      <c r="EOI1" s="87" t="n"/>
      <c r="EOJ1" s="87" t="n"/>
      <c r="EOK1" s="87" t="n"/>
      <c r="EOL1" s="87" t="n"/>
      <c r="EOM1" s="87" t="n"/>
      <c r="EON1" s="87" t="n"/>
      <c r="EOO1" s="87" t="n"/>
      <c r="EOP1" s="87" t="n"/>
      <c r="EOQ1" s="87" t="n"/>
      <c r="EOR1" s="87" t="n"/>
      <c r="EOS1" s="87" t="n"/>
      <c r="EOT1" s="87" t="n"/>
      <c r="EOU1" s="87" t="n"/>
      <c r="EOV1" s="87" t="n"/>
      <c r="EOW1" s="87" t="n"/>
      <c r="EOX1" s="87" t="n"/>
      <c r="EOY1" s="87" t="n"/>
      <c r="EOZ1" s="87" t="n"/>
      <c r="EPA1" s="87" t="n"/>
      <c r="EPB1" s="87" t="n"/>
      <c r="EPC1" s="87" t="n"/>
      <c r="EPD1" s="87" t="n"/>
      <c r="EPE1" s="87" t="n"/>
      <c r="EPF1" s="87" t="n"/>
      <c r="EPG1" s="87" t="n"/>
      <c r="EPH1" s="87" t="n"/>
      <c r="EPI1" s="87" t="n"/>
      <c r="EPJ1" s="87" t="n"/>
      <c r="EPK1" s="87" t="n"/>
      <c r="EPL1" s="87" t="n"/>
      <c r="EPM1" s="87" t="n"/>
      <c r="EPN1" s="87" t="n"/>
      <c r="EPO1" s="87" t="n"/>
      <c r="EPP1" s="87" t="n"/>
      <c r="EPQ1" s="87" t="n"/>
      <c r="EPR1" s="87" t="n"/>
      <c r="EPS1" s="87" t="n"/>
      <c r="EPT1" s="87" t="n"/>
      <c r="EPU1" s="87" t="n"/>
      <c r="EPV1" s="87" t="n"/>
      <c r="EPW1" s="87" t="n"/>
      <c r="EPX1" s="87" t="n"/>
      <c r="EPY1" s="87" t="n"/>
      <c r="EPZ1" s="87" t="n"/>
      <c r="EQA1" s="87" t="n"/>
      <c r="EQB1" s="87" t="n"/>
      <c r="EQC1" s="87" t="n"/>
      <c r="EQD1" s="87" t="n"/>
      <c r="EQE1" s="87" t="n"/>
      <c r="EQF1" s="87" t="n"/>
      <c r="EQG1" s="87" t="n"/>
      <c r="EQH1" s="87" t="n"/>
      <c r="EQI1" s="87" t="n"/>
      <c r="EQJ1" s="87" t="n"/>
      <c r="EQK1" s="87" t="n"/>
      <c r="EQL1" s="87" t="n"/>
      <c r="EQM1" s="87" t="n"/>
      <c r="EQN1" s="87" t="n"/>
      <c r="EQO1" s="87" t="n"/>
      <c r="EQP1" s="87" t="n"/>
      <c r="EQQ1" s="87" t="n"/>
      <c r="EQR1" s="87" t="n"/>
      <c r="EQS1" s="87" t="n"/>
      <c r="EQT1" s="87" t="n"/>
      <c r="EQU1" s="87" t="n"/>
      <c r="EQV1" s="87" t="n"/>
      <c r="EQW1" s="87" t="n"/>
      <c r="EQX1" s="87" t="n"/>
      <c r="EQY1" s="87" t="n"/>
      <c r="EQZ1" s="87" t="n"/>
      <c r="ERA1" s="87" t="n"/>
      <c r="ERB1" s="87" t="n"/>
      <c r="ERC1" s="87" t="n"/>
      <c r="ERD1" s="87" t="n"/>
      <c r="ERE1" s="87" t="n"/>
      <c r="ERF1" s="87" t="n"/>
      <c r="ERG1" s="87" t="n"/>
      <c r="ERH1" s="87" t="n"/>
      <c r="ERI1" s="87" t="n"/>
      <c r="ERJ1" s="87" t="n"/>
      <c r="ERK1" s="87" t="n"/>
      <c r="ERL1" s="87" t="n"/>
      <c r="ERM1" s="87" t="n"/>
      <c r="ERN1" s="87" t="n"/>
      <c r="ERO1" s="87" t="n"/>
      <c r="ERP1" s="87" t="n"/>
      <c r="ERQ1" s="87" t="n"/>
      <c r="ERR1" s="87" t="n"/>
      <c r="ERS1" s="87" t="n"/>
      <c r="ERT1" s="87" t="n"/>
      <c r="ERU1" s="87" t="n"/>
      <c r="ERV1" s="87" t="n"/>
      <c r="ERW1" s="87" t="n"/>
      <c r="ERX1" s="87" t="n"/>
      <c r="ERY1" s="87" t="n"/>
      <c r="ERZ1" s="87" t="n"/>
      <c r="ESA1" s="87" t="n"/>
      <c r="ESB1" s="87" t="n"/>
      <c r="ESC1" s="87" t="n"/>
      <c r="ESD1" s="87" t="n"/>
      <c r="ESE1" s="87" t="n"/>
      <c r="ESF1" s="87" t="n"/>
      <c r="ESG1" s="87" t="n"/>
      <c r="ESH1" s="87" t="n"/>
      <c r="ESI1" s="87" t="n"/>
      <c r="ESJ1" s="87" t="n"/>
      <c r="ESK1" s="87" t="n"/>
      <c r="ESL1" s="87" t="n"/>
      <c r="ESM1" s="87" t="n"/>
      <c r="ESN1" s="87" t="n"/>
      <c r="ESO1" s="87" t="n"/>
      <c r="ESP1" s="87" t="n"/>
      <c r="ESQ1" s="87" t="n"/>
      <c r="ESR1" s="87" t="n"/>
      <c r="ESS1" s="87" t="n"/>
      <c r="EST1" s="87" t="n"/>
      <c r="ESU1" s="87" t="n"/>
      <c r="ESV1" s="87" t="n"/>
      <c r="ESW1" s="87" t="n"/>
      <c r="ESX1" s="87" t="n"/>
      <c r="ESY1" s="87" t="n"/>
      <c r="ESZ1" s="87" t="n"/>
      <c r="ETA1" s="87" t="n"/>
      <c r="ETB1" s="87" t="n"/>
      <c r="ETC1" s="87" t="n"/>
      <c r="ETD1" s="87" t="n"/>
      <c r="ETE1" s="87" t="n"/>
      <c r="ETF1" s="87" t="n"/>
      <c r="ETG1" s="87" t="n"/>
      <c r="ETH1" s="87" t="n"/>
      <c r="ETI1" s="87" t="n"/>
      <c r="ETJ1" s="87" t="n"/>
      <c r="ETK1" s="87" t="n"/>
      <c r="ETL1" s="87" t="n"/>
      <c r="ETM1" s="87" t="n"/>
      <c r="ETN1" s="87" t="n"/>
      <c r="ETO1" s="87" t="n"/>
      <c r="ETP1" s="87" t="n"/>
      <c r="ETQ1" s="87" t="n"/>
      <c r="ETR1" s="87" t="n"/>
      <c r="ETS1" s="87" t="n"/>
      <c r="ETT1" s="87" t="n"/>
      <c r="ETU1" s="87" t="n"/>
      <c r="ETV1" s="87" t="n"/>
      <c r="ETW1" s="87" t="n"/>
      <c r="ETX1" s="87" t="n"/>
      <c r="ETY1" s="87" t="n"/>
      <c r="ETZ1" s="87" t="n"/>
      <c r="EUA1" s="87" t="n"/>
      <c r="EUB1" s="87" t="n"/>
      <c r="EUC1" s="87" t="n"/>
      <c r="EUD1" s="87" t="n"/>
      <c r="EUE1" s="87" t="n"/>
      <c r="EUF1" s="87" t="n"/>
      <c r="EUG1" s="87" t="n"/>
      <c r="EUH1" s="87" t="n"/>
      <c r="EUI1" s="87" t="n"/>
      <c r="EUJ1" s="87" t="n"/>
      <c r="EUK1" s="87" t="n"/>
      <c r="EUL1" s="87" t="n"/>
      <c r="EUM1" s="87" t="n"/>
      <c r="EUN1" s="87" t="n"/>
      <c r="EUO1" s="87" t="n"/>
      <c r="EUP1" s="87" t="n"/>
      <c r="EUQ1" s="87" t="n"/>
      <c r="EUR1" s="87" t="n"/>
      <c r="EUS1" s="87" t="n"/>
      <c r="EUT1" s="87" t="n"/>
      <c r="EUU1" s="87" t="n"/>
      <c r="EUV1" s="87" t="n"/>
      <c r="EUW1" s="87" t="n"/>
      <c r="EUX1" s="87" t="n"/>
      <c r="EUY1" s="87" t="n"/>
      <c r="EUZ1" s="87" t="n"/>
      <c r="EVA1" s="87" t="n"/>
      <c r="EVB1" s="87" t="n"/>
      <c r="EVC1" s="87" t="n"/>
      <c r="EVD1" s="87" t="n"/>
      <c r="EVE1" s="87" t="n"/>
      <c r="EVF1" s="87" t="n"/>
      <c r="EVG1" s="87" t="n"/>
      <c r="EVH1" s="87" t="n"/>
      <c r="EVI1" s="87" t="n"/>
      <c r="EVJ1" s="87" t="n"/>
      <c r="EVK1" s="87" t="n"/>
      <c r="EVL1" s="87" t="n"/>
      <c r="EVM1" s="87" t="n"/>
      <c r="EVN1" s="87" t="n"/>
      <c r="EVO1" s="87" t="n"/>
      <c r="EVP1" s="87" t="n"/>
      <c r="EVQ1" s="87" t="n"/>
      <c r="EVR1" s="87" t="n"/>
      <c r="EVS1" s="87" t="n"/>
      <c r="EVT1" s="87" t="n"/>
      <c r="EVU1" s="87" t="n"/>
      <c r="EVV1" s="87" t="n"/>
      <c r="EVW1" s="87" t="n"/>
      <c r="EVX1" s="87" t="n"/>
      <c r="EVY1" s="87" t="n"/>
      <c r="EVZ1" s="87" t="n"/>
      <c r="EWA1" s="87" t="n"/>
      <c r="EWB1" s="87" t="n"/>
      <c r="EWC1" s="87" t="n"/>
      <c r="EWD1" s="87" t="n"/>
      <c r="EWE1" s="87" t="n"/>
      <c r="EWF1" s="87" t="n"/>
      <c r="EWG1" s="87" t="n"/>
      <c r="EWH1" s="87" t="n"/>
      <c r="EWI1" s="87" t="n"/>
      <c r="EWJ1" s="87" t="n"/>
      <c r="EWK1" s="87" t="n"/>
      <c r="EWL1" s="87" t="n"/>
      <c r="EWM1" s="87" t="n"/>
      <c r="EWN1" s="87" t="n"/>
      <c r="EWO1" s="87" t="n"/>
      <c r="EWP1" s="87" t="n"/>
      <c r="EWQ1" s="87" t="n"/>
      <c r="EWR1" s="87" t="n"/>
      <c r="EWS1" s="87" t="n"/>
      <c r="EWT1" s="87" t="n"/>
      <c r="EWU1" s="87" t="n"/>
      <c r="EWV1" s="87" t="n"/>
      <c r="EWW1" s="87" t="n"/>
      <c r="EWX1" s="87" t="n"/>
      <c r="EWY1" s="87" t="n"/>
      <c r="EWZ1" s="87" t="n"/>
      <c r="EXA1" s="87" t="n"/>
      <c r="EXB1" s="87" t="n"/>
      <c r="EXC1" s="87" t="n"/>
      <c r="EXD1" s="87" t="n"/>
      <c r="EXE1" s="87" t="n"/>
      <c r="EXF1" s="87" t="n"/>
      <c r="EXG1" s="87" t="n"/>
      <c r="EXH1" s="87" t="n"/>
      <c r="EXI1" s="87" t="n"/>
      <c r="EXJ1" s="87" t="n"/>
      <c r="EXK1" s="87" t="n"/>
      <c r="EXL1" s="87" t="n"/>
      <c r="EXM1" s="87" t="n"/>
      <c r="EXN1" s="87" t="n"/>
      <c r="EXO1" s="87" t="n"/>
      <c r="EXP1" s="87" t="n"/>
      <c r="EXQ1" s="87" t="n"/>
      <c r="EXR1" s="87" t="n"/>
      <c r="EXS1" s="87" t="n"/>
      <c r="EXT1" s="87" t="n"/>
      <c r="EXU1" s="87" t="n"/>
      <c r="EXV1" s="87" t="n"/>
      <c r="EXW1" s="87" t="n"/>
      <c r="EXX1" s="87" t="n"/>
      <c r="EXY1" s="87" t="n"/>
      <c r="EXZ1" s="87" t="n"/>
      <c r="EYA1" s="87" t="n"/>
      <c r="EYB1" s="87" t="n"/>
      <c r="EYC1" s="87" t="n"/>
      <c r="EYD1" s="87" t="n"/>
      <c r="EYE1" s="87" t="n"/>
      <c r="EYF1" s="87" t="n"/>
      <c r="EYG1" s="87" t="n"/>
      <c r="EYH1" s="87" t="n"/>
      <c r="EYI1" s="87" t="n"/>
      <c r="EYJ1" s="87" t="n"/>
      <c r="EYK1" s="87" t="n"/>
      <c r="EYL1" s="87" t="n"/>
      <c r="EYM1" s="87" t="n"/>
      <c r="EYN1" s="87" t="n"/>
      <c r="EYO1" s="87" t="n"/>
      <c r="EYP1" s="87" t="n"/>
      <c r="EYQ1" s="87" t="n"/>
      <c r="EYR1" s="87" t="n"/>
      <c r="EYS1" s="87" t="n"/>
      <c r="EYT1" s="87" t="n"/>
      <c r="EYU1" s="87" t="n"/>
      <c r="EYV1" s="87" t="n"/>
      <c r="EYW1" s="87" t="n"/>
      <c r="EYX1" s="87" t="n"/>
      <c r="EYY1" s="87" t="n"/>
      <c r="EYZ1" s="87" t="n"/>
      <c r="EZA1" s="87" t="n"/>
      <c r="EZB1" s="87" t="n"/>
      <c r="EZC1" s="87" t="n"/>
      <c r="EZD1" s="87" t="n"/>
      <c r="EZE1" s="87" t="n"/>
      <c r="EZF1" s="87" t="n"/>
      <c r="EZG1" s="87" t="n"/>
      <c r="EZH1" s="87" t="n"/>
      <c r="EZI1" s="87" t="n"/>
      <c r="EZJ1" s="87" t="n"/>
      <c r="EZK1" s="87" t="n"/>
      <c r="EZL1" s="87" t="n"/>
      <c r="EZM1" s="87" t="n"/>
      <c r="EZN1" s="87" t="n"/>
      <c r="EZO1" s="87" t="n"/>
      <c r="EZP1" s="87" t="n"/>
      <c r="EZQ1" s="87" t="n"/>
      <c r="EZR1" s="87" t="n"/>
      <c r="EZS1" s="87" t="n"/>
      <c r="EZT1" s="87" t="n"/>
      <c r="EZU1" s="87" t="n"/>
      <c r="EZV1" s="87" t="n"/>
      <c r="EZW1" s="87" t="n"/>
      <c r="EZX1" s="87" t="n"/>
      <c r="EZY1" s="87" t="n"/>
      <c r="EZZ1" s="87" t="n"/>
      <c r="FAA1" s="87" t="n"/>
      <c r="FAB1" s="87" t="n"/>
      <c r="FAC1" s="87" t="n"/>
      <c r="FAD1" s="87" t="n"/>
      <c r="FAE1" s="87" t="n"/>
      <c r="FAF1" s="87" t="n"/>
      <c r="FAG1" s="87" t="n"/>
      <c r="FAH1" s="87" t="n"/>
      <c r="FAI1" s="87" t="n"/>
      <c r="FAJ1" s="87" t="n"/>
      <c r="FAK1" s="87" t="n"/>
      <c r="FAL1" s="87" t="n"/>
      <c r="FAM1" s="87" t="n"/>
      <c r="FAN1" s="87" t="n"/>
      <c r="FAO1" s="87" t="n"/>
      <c r="FAP1" s="87" t="n"/>
      <c r="FAQ1" s="87" t="n"/>
      <c r="FAR1" s="87" t="n"/>
      <c r="FAS1" s="87" t="n"/>
      <c r="FAT1" s="87" t="n"/>
      <c r="FAU1" s="87" t="n"/>
      <c r="FAV1" s="87" t="n"/>
      <c r="FAW1" s="87" t="n"/>
      <c r="FAX1" s="87" t="n"/>
      <c r="FAY1" s="87" t="n"/>
      <c r="FAZ1" s="87" t="n"/>
      <c r="FBA1" s="87" t="n"/>
      <c r="FBB1" s="87" t="n"/>
      <c r="FBC1" s="87" t="n"/>
      <c r="FBD1" s="87" t="n"/>
      <c r="FBE1" s="87" t="n"/>
      <c r="FBF1" s="87" t="n"/>
      <c r="FBG1" s="87" t="n"/>
      <c r="FBH1" s="87" t="n"/>
      <c r="FBI1" s="87" t="n"/>
      <c r="FBJ1" s="87" t="n"/>
      <c r="FBK1" s="87" t="n"/>
      <c r="FBL1" s="87" t="n"/>
      <c r="FBM1" s="87" t="n"/>
      <c r="FBN1" s="87" t="n"/>
      <c r="FBO1" s="87" t="n"/>
      <c r="FBP1" s="87" t="n"/>
      <c r="FBQ1" s="87" t="n"/>
      <c r="FBR1" s="87" t="n"/>
      <c r="FBS1" s="87" t="n"/>
      <c r="FBT1" s="87" t="n"/>
      <c r="FBU1" s="87" t="n"/>
      <c r="FBV1" s="87" t="n"/>
      <c r="FBW1" s="87" t="n"/>
      <c r="FBX1" s="87" t="n"/>
      <c r="FBY1" s="87" t="n"/>
      <c r="FBZ1" s="87" t="n"/>
      <c r="FCA1" s="87" t="n"/>
      <c r="FCB1" s="87" t="n"/>
      <c r="FCC1" s="87" t="n"/>
      <c r="FCD1" s="87" t="n"/>
      <c r="FCE1" s="87" t="n"/>
      <c r="FCF1" s="87" t="n"/>
      <c r="FCG1" s="87" t="n"/>
      <c r="FCH1" s="87" t="n"/>
      <c r="FCI1" s="87" t="n"/>
      <c r="FCJ1" s="87" t="n"/>
      <c r="FCK1" s="87" t="n"/>
      <c r="FCL1" s="87" t="n"/>
      <c r="FCM1" s="87" t="n"/>
      <c r="FCN1" s="87" t="n"/>
      <c r="FCO1" s="87" t="n"/>
      <c r="FCP1" s="87" t="n"/>
      <c r="FCQ1" s="87" t="n"/>
      <c r="FCR1" s="87" t="n"/>
      <c r="FCS1" s="87" t="n"/>
      <c r="FCT1" s="87" t="n"/>
      <c r="FCU1" s="87" t="n"/>
      <c r="FCV1" s="87" t="n"/>
      <c r="FCW1" s="87" t="n"/>
      <c r="FCX1" s="87" t="n"/>
      <c r="FCY1" s="87" t="n"/>
      <c r="FCZ1" s="87" t="n"/>
      <c r="FDA1" s="87" t="n"/>
      <c r="FDB1" s="87" t="n"/>
      <c r="FDC1" s="87" t="n"/>
      <c r="FDD1" s="87" t="n"/>
      <c r="FDE1" s="87" t="n"/>
      <c r="FDF1" s="87" t="n"/>
      <c r="FDG1" s="87" t="n"/>
      <c r="FDH1" s="87" t="n"/>
      <c r="FDI1" s="87" t="n"/>
      <c r="FDJ1" s="87" t="n"/>
      <c r="FDK1" s="87" t="n"/>
      <c r="FDL1" s="87" t="n"/>
      <c r="FDM1" s="87" t="n"/>
      <c r="FDN1" s="87" t="n"/>
      <c r="FDO1" s="87" t="n"/>
      <c r="FDP1" s="87" t="n"/>
      <c r="FDQ1" s="87" t="n"/>
      <c r="FDR1" s="87" t="n"/>
      <c r="FDS1" s="87" t="n"/>
      <c r="FDT1" s="87" t="n"/>
      <c r="FDU1" s="87" t="n"/>
      <c r="FDV1" s="87" t="n"/>
      <c r="FDW1" s="87" t="n"/>
      <c r="FDX1" s="87" t="n"/>
      <c r="FDY1" s="87" t="n"/>
      <c r="FDZ1" s="87" t="n"/>
      <c r="FEA1" s="87" t="n"/>
      <c r="FEB1" s="87" t="n"/>
      <c r="FEC1" s="87" t="n"/>
      <c r="FED1" s="87" t="n"/>
      <c r="FEE1" s="87" t="n"/>
      <c r="FEF1" s="87" t="n"/>
      <c r="FEG1" s="87" t="n"/>
      <c r="FEH1" s="87" t="n"/>
      <c r="FEI1" s="87" t="n"/>
      <c r="FEJ1" s="87" t="n"/>
      <c r="FEK1" s="87" t="n"/>
      <c r="FEL1" s="87" t="n"/>
      <c r="FEM1" s="87" t="n"/>
      <c r="FEN1" s="87" t="n"/>
      <c r="FEO1" s="87" t="n"/>
      <c r="FEP1" s="87" t="n"/>
      <c r="FEQ1" s="87" t="n"/>
      <c r="FER1" s="87" t="n"/>
      <c r="FES1" s="87" t="n"/>
      <c r="FET1" s="87" t="n"/>
      <c r="FEU1" s="87" t="n"/>
      <c r="FEV1" s="87" t="n"/>
      <c r="FEW1" s="87" t="n"/>
      <c r="FEX1" s="87" t="n"/>
      <c r="FEY1" s="87" t="n"/>
      <c r="FEZ1" s="87" t="n"/>
      <c r="FFA1" s="87" t="n"/>
      <c r="FFB1" s="87" t="n"/>
      <c r="FFC1" s="87" t="n"/>
      <c r="FFD1" s="87" t="n"/>
      <c r="FFE1" s="87" t="n"/>
      <c r="FFF1" s="87" t="n"/>
      <c r="FFG1" s="87" t="n"/>
      <c r="FFH1" s="87" t="n"/>
      <c r="FFI1" s="87" t="n"/>
      <c r="FFJ1" s="87" t="n"/>
      <c r="FFK1" s="87" t="n"/>
      <c r="FFL1" s="87" t="n"/>
      <c r="FFM1" s="87" t="n"/>
      <c r="FFN1" s="87" t="n"/>
      <c r="FFO1" s="87" t="n"/>
      <c r="FFP1" s="87" t="n"/>
      <c r="FFQ1" s="87" t="n"/>
      <c r="FFR1" s="87" t="n"/>
      <c r="FFS1" s="87" t="n"/>
      <c r="FFT1" s="87" t="n"/>
      <c r="FFU1" s="87" t="n"/>
      <c r="FFV1" s="87" t="n"/>
      <c r="FFW1" s="87" t="n"/>
      <c r="FFX1" s="87" t="n"/>
      <c r="FFY1" s="87" t="n"/>
      <c r="FFZ1" s="87" t="n"/>
      <c r="FGA1" s="87" t="n"/>
      <c r="FGB1" s="87" t="n"/>
      <c r="FGC1" s="87" t="n"/>
      <c r="FGD1" s="87" t="n"/>
      <c r="FGE1" s="87" t="n"/>
      <c r="FGF1" s="87" t="n"/>
      <c r="FGG1" s="87" t="n"/>
      <c r="FGH1" s="87" t="n"/>
      <c r="FGI1" s="87" t="n"/>
      <c r="FGJ1" s="87" t="n"/>
      <c r="FGK1" s="87" t="n"/>
      <c r="FGL1" s="87" t="n"/>
      <c r="FGM1" s="87" t="n"/>
      <c r="FGN1" s="87" t="n"/>
      <c r="FGO1" s="87" t="n"/>
      <c r="FGP1" s="87" t="n"/>
      <c r="FGQ1" s="87" t="n"/>
      <c r="FGR1" s="87" t="n"/>
      <c r="FGS1" s="87" t="n"/>
      <c r="FGT1" s="87" t="n"/>
      <c r="FGU1" s="87" t="n"/>
      <c r="FGV1" s="87" t="n"/>
      <c r="FGW1" s="87" t="n"/>
      <c r="FGX1" s="87" t="n"/>
      <c r="FGY1" s="87" t="n"/>
      <c r="FGZ1" s="87" t="n"/>
      <c r="FHA1" s="87" t="n"/>
      <c r="FHB1" s="87" t="n"/>
      <c r="FHC1" s="87" t="n"/>
      <c r="FHD1" s="87" t="n"/>
      <c r="FHE1" s="87" t="n"/>
      <c r="FHF1" s="87" t="n"/>
      <c r="FHG1" s="87" t="n"/>
      <c r="FHH1" s="87" t="n"/>
      <c r="FHI1" s="87" t="n"/>
      <c r="FHJ1" s="87" t="n"/>
      <c r="FHK1" s="87" t="n"/>
      <c r="FHL1" s="87" t="n"/>
      <c r="FHM1" s="87" t="n"/>
      <c r="FHN1" s="87" t="n"/>
      <c r="FHO1" s="87" t="n"/>
      <c r="FHP1" s="87" t="n"/>
      <c r="FHQ1" s="87" t="n"/>
      <c r="FHR1" s="87" t="n"/>
      <c r="FHS1" s="87" t="n"/>
      <c r="FHT1" s="87" t="n"/>
      <c r="FHU1" s="87" t="n"/>
      <c r="FHV1" s="87" t="n"/>
      <c r="FHW1" s="87" t="n"/>
      <c r="FHX1" s="87" t="n"/>
      <c r="FHY1" s="87" t="n"/>
      <c r="FHZ1" s="87" t="n"/>
      <c r="FIA1" s="87" t="n"/>
      <c r="FIB1" s="87" t="n"/>
      <c r="FIC1" s="87" t="n"/>
      <c r="FID1" s="87" t="n"/>
      <c r="FIE1" s="87" t="n"/>
      <c r="FIF1" s="87" t="n"/>
      <c r="FIG1" s="87" t="n"/>
      <c r="FIH1" s="87" t="n"/>
      <c r="FII1" s="87" t="n"/>
      <c r="FIJ1" s="87" t="n"/>
      <c r="FIK1" s="87" t="n"/>
      <c r="FIL1" s="87" t="n"/>
      <c r="FIM1" s="87" t="n"/>
      <c r="FIN1" s="87" t="n"/>
      <c r="FIO1" s="87" t="n"/>
      <c r="FIP1" s="87" t="n"/>
      <c r="FIQ1" s="87" t="n"/>
      <c r="FIR1" s="87" t="n"/>
      <c r="FIS1" s="87" t="n"/>
      <c r="FIT1" s="87" t="n"/>
      <c r="FIU1" s="87" t="n"/>
      <c r="FIV1" s="87" t="n"/>
      <c r="FIW1" s="87" t="n"/>
      <c r="FIX1" s="87" t="n"/>
      <c r="FIY1" s="87" t="n"/>
      <c r="FIZ1" s="87" t="n"/>
      <c r="FJA1" s="87" t="n"/>
      <c r="FJB1" s="87" t="n"/>
      <c r="FJC1" s="87" t="n"/>
      <c r="FJD1" s="87" t="n"/>
      <c r="FJE1" s="87" t="n"/>
      <c r="FJF1" s="87" t="n"/>
      <c r="FJG1" s="87" t="n"/>
      <c r="FJH1" s="87" t="n"/>
      <c r="FJI1" s="87" t="n"/>
      <c r="FJJ1" s="87" t="n"/>
      <c r="FJK1" s="87" t="n"/>
      <c r="FJL1" s="87" t="n"/>
      <c r="FJM1" s="87" t="n"/>
      <c r="FJN1" s="87" t="n"/>
      <c r="FJO1" s="87" t="n"/>
      <c r="FJP1" s="87" t="n"/>
      <c r="FJQ1" s="87" t="n"/>
      <c r="FJR1" s="87" t="n"/>
      <c r="FJS1" s="87" t="n"/>
      <c r="FJT1" s="87" t="n"/>
      <c r="FJU1" s="87" t="n"/>
      <c r="FJV1" s="87" t="n"/>
      <c r="FJW1" s="87" t="n"/>
      <c r="FJX1" s="87" t="n"/>
      <c r="FJY1" s="87" t="n"/>
      <c r="FJZ1" s="87" t="n"/>
      <c r="FKA1" s="87" t="n"/>
      <c r="FKB1" s="87" t="n"/>
      <c r="FKC1" s="87" t="n"/>
      <c r="FKD1" s="87" t="n"/>
      <c r="FKE1" s="87" t="n"/>
      <c r="FKF1" s="87" t="n"/>
      <c r="FKG1" s="87" t="n"/>
      <c r="FKH1" s="87" t="n"/>
      <c r="FKI1" s="87" t="n"/>
      <c r="FKJ1" s="87" t="n"/>
      <c r="FKK1" s="87" t="n"/>
      <c r="FKL1" s="87" t="n"/>
      <c r="FKM1" s="87" t="n"/>
      <c r="FKN1" s="87" t="n"/>
      <c r="FKO1" s="87" t="n"/>
      <c r="FKP1" s="87" t="n"/>
      <c r="FKQ1" s="87" t="n"/>
      <c r="FKR1" s="87" t="n"/>
      <c r="FKS1" s="87" t="n"/>
      <c r="FKT1" s="87" t="n"/>
      <c r="FKU1" s="87" t="n"/>
      <c r="FKV1" s="87" t="n"/>
      <c r="FKW1" s="87" t="n"/>
      <c r="FKX1" s="87" t="n"/>
      <c r="FKY1" s="87" t="n"/>
      <c r="FKZ1" s="87" t="n"/>
      <c r="FLA1" s="87" t="n"/>
      <c r="FLB1" s="87" t="n"/>
      <c r="FLC1" s="87" t="n"/>
      <c r="FLD1" s="87" t="n"/>
      <c r="FLE1" s="87" t="n"/>
      <c r="FLF1" s="87" t="n"/>
      <c r="FLG1" s="87" t="n"/>
      <c r="FLH1" s="87" t="n"/>
      <c r="FLI1" s="87" t="n"/>
      <c r="FLJ1" s="87" t="n"/>
      <c r="FLK1" s="87" t="n"/>
      <c r="FLL1" s="87" t="n"/>
      <c r="FLM1" s="87" t="n"/>
      <c r="FLN1" s="87" t="n"/>
      <c r="FLO1" s="87" t="n"/>
      <c r="FLP1" s="87" t="n"/>
      <c r="FLQ1" s="87" t="n"/>
      <c r="FLR1" s="87" t="n"/>
      <c r="FLS1" s="87" t="n"/>
      <c r="FLT1" s="87" t="n"/>
      <c r="FLU1" s="87" t="n"/>
      <c r="FLV1" s="87" t="n"/>
      <c r="FLW1" s="87" t="n"/>
      <c r="FLX1" s="87" t="n"/>
      <c r="FLY1" s="87" t="n"/>
      <c r="FLZ1" s="87" t="n"/>
      <c r="FMA1" s="87" t="n"/>
      <c r="FMB1" s="87" t="n"/>
      <c r="FMC1" s="87" t="n"/>
      <c r="FMD1" s="87" t="n"/>
      <c r="FME1" s="87" t="n"/>
      <c r="FMF1" s="87" t="n"/>
      <c r="FMG1" s="87" t="n"/>
      <c r="FMH1" s="87" t="n"/>
      <c r="FMI1" s="87" t="n"/>
      <c r="FMJ1" s="87" t="n"/>
      <c r="FMK1" s="87" t="n"/>
      <c r="FML1" s="87" t="n"/>
      <c r="FMM1" s="87" t="n"/>
      <c r="FMN1" s="87" t="n"/>
      <c r="FMO1" s="87" t="n"/>
      <c r="FMP1" s="87" t="n"/>
      <c r="FMQ1" s="87" t="n"/>
      <c r="FMR1" s="87" t="n"/>
      <c r="FMS1" s="87" t="n"/>
      <c r="FMT1" s="87" t="n"/>
      <c r="FMU1" s="87" t="n"/>
      <c r="FMV1" s="87" t="n"/>
      <c r="FMW1" s="87" t="n"/>
      <c r="FMX1" s="87" t="n"/>
      <c r="FMY1" s="87" t="n"/>
      <c r="FMZ1" s="87" t="n"/>
      <c r="FNA1" s="87" t="n"/>
      <c r="FNB1" s="87" t="n"/>
      <c r="FNC1" s="87" t="n"/>
      <c r="FND1" s="87" t="n"/>
      <c r="FNE1" s="87" t="n"/>
      <c r="FNF1" s="87" t="n"/>
      <c r="FNG1" s="87" t="n"/>
      <c r="FNH1" s="87" t="n"/>
      <c r="FNI1" s="87" t="n"/>
      <c r="FNJ1" s="87" t="n"/>
      <c r="FNK1" s="87" t="n"/>
      <c r="FNL1" s="87" t="n"/>
      <c r="FNM1" s="87" t="n"/>
      <c r="FNN1" s="87" t="n"/>
      <c r="FNO1" s="87" t="n"/>
      <c r="FNP1" s="87" t="n"/>
      <c r="FNQ1" s="87" t="n"/>
      <c r="FNR1" s="87" t="n"/>
      <c r="FNS1" s="87" t="n"/>
      <c r="FNT1" s="87" t="n"/>
      <c r="FNU1" s="87" t="n"/>
      <c r="FNV1" s="87" t="n"/>
      <c r="FNW1" s="87" t="n"/>
      <c r="FNX1" s="87" t="n"/>
      <c r="FNY1" s="87" t="n"/>
      <c r="FNZ1" s="87" t="n"/>
      <c r="FOA1" s="87" t="n"/>
      <c r="FOB1" s="87" t="n"/>
      <c r="FOC1" s="87" t="n"/>
      <c r="FOD1" s="87" t="n"/>
      <c r="FOE1" s="87" t="n"/>
      <c r="FOF1" s="87" t="n"/>
      <c r="FOG1" s="87" t="n"/>
      <c r="FOH1" s="87" t="n"/>
      <c r="FOI1" s="87" t="n"/>
      <c r="FOJ1" s="87" t="n"/>
      <c r="FOK1" s="87" t="n"/>
      <c r="FOL1" s="87" t="n"/>
      <c r="FOM1" s="87" t="n"/>
      <c r="FON1" s="87" t="n"/>
      <c r="FOO1" s="87" t="n"/>
      <c r="FOP1" s="87" t="n"/>
      <c r="FOQ1" s="87" t="n"/>
      <c r="FOR1" s="87" t="n"/>
      <c r="FOS1" s="87" t="n"/>
      <c r="FOT1" s="87" t="n"/>
      <c r="FOU1" s="87" t="n"/>
      <c r="FOV1" s="87" t="n"/>
      <c r="FOW1" s="87" t="n"/>
      <c r="FOX1" s="87" t="n"/>
      <c r="FOY1" s="87" t="n"/>
      <c r="FOZ1" s="87" t="n"/>
      <c r="FPA1" s="87" t="n"/>
      <c r="FPB1" s="87" t="n"/>
      <c r="FPC1" s="87" t="n"/>
      <c r="FPD1" s="87" t="n"/>
      <c r="FPE1" s="87" t="n"/>
      <c r="FPF1" s="87" t="n"/>
      <c r="FPG1" s="87" t="n"/>
      <c r="FPH1" s="87" t="n"/>
      <c r="FPI1" s="87" t="n"/>
      <c r="FPJ1" s="87" t="n"/>
      <c r="FPK1" s="87" t="n"/>
      <c r="FPL1" s="87" t="n"/>
      <c r="FPM1" s="87" t="n"/>
      <c r="FPN1" s="87" t="n"/>
      <c r="FPO1" s="87" t="n"/>
      <c r="FPP1" s="87" t="n"/>
      <c r="FPQ1" s="87" t="n"/>
      <c r="FPR1" s="87" t="n"/>
      <c r="FPS1" s="87" t="n"/>
      <c r="FPT1" s="87" t="n"/>
      <c r="FPU1" s="87" t="n"/>
      <c r="FPV1" s="87" t="n"/>
      <c r="FPW1" s="87" t="n"/>
      <c r="FPX1" s="87" t="n"/>
      <c r="FPY1" s="87" t="n"/>
      <c r="FPZ1" s="87" t="n"/>
      <c r="FQA1" s="87" t="n"/>
      <c r="FQB1" s="87" t="n"/>
      <c r="FQC1" s="87" t="n"/>
      <c r="FQD1" s="87" t="n"/>
      <c r="FQE1" s="87" t="n"/>
      <c r="FQF1" s="87" t="n"/>
      <c r="FQG1" s="87" t="n"/>
      <c r="FQH1" s="87" t="n"/>
      <c r="FQI1" s="87" t="n"/>
      <c r="FQJ1" s="87" t="n"/>
      <c r="FQK1" s="87" t="n"/>
      <c r="FQL1" s="87" t="n"/>
      <c r="FQM1" s="87" t="n"/>
      <c r="FQN1" s="87" t="n"/>
      <c r="FQO1" s="87" t="n"/>
      <c r="FQP1" s="87" t="n"/>
      <c r="FQQ1" s="87" t="n"/>
      <c r="FQR1" s="87" t="n"/>
      <c r="FQS1" s="87" t="n"/>
      <c r="FQT1" s="87" t="n"/>
      <c r="FQU1" s="87" t="n"/>
      <c r="FQV1" s="87" t="n"/>
      <c r="FQW1" s="87" t="n"/>
      <c r="FQX1" s="87" t="n"/>
      <c r="FQY1" s="87" t="n"/>
      <c r="FQZ1" s="87" t="n"/>
      <c r="FRA1" s="87" t="n"/>
      <c r="FRB1" s="87" t="n"/>
      <c r="FRC1" s="87" t="n"/>
      <c r="FRD1" s="87" t="n"/>
      <c r="FRE1" s="87" t="n"/>
      <c r="FRF1" s="87" t="n"/>
      <c r="FRG1" s="87" t="n"/>
      <c r="FRH1" s="87" t="n"/>
      <c r="FRI1" s="87" t="n"/>
      <c r="FRJ1" s="87" t="n"/>
      <c r="FRK1" s="87" t="n"/>
      <c r="FRL1" s="87" t="n"/>
      <c r="FRM1" s="87" t="n"/>
      <c r="FRN1" s="87" t="n"/>
      <c r="FRO1" s="87" t="n"/>
      <c r="FRP1" s="87" t="n"/>
      <c r="FRQ1" s="87" t="n"/>
      <c r="FRR1" s="87" t="n"/>
      <c r="FRS1" s="87" t="n"/>
      <c r="FRT1" s="87" t="n"/>
      <c r="FRU1" s="87" t="n"/>
      <c r="FRV1" s="87" t="n"/>
      <c r="FRW1" s="87" t="n"/>
      <c r="FRX1" s="87" t="n"/>
      <c r="FRY1" s="87" t="n"/>
      <c r="FRZ1" s="87" t="n"/>
      <c r="FSA1" s="87" t="n"/>
      <c r="FSB1" s="87" t="n"/>
      <c r="FSC1" s="87" t="n"/>
      <c r="FSD1" s="87" t="n"/>
      <c r="FSE1" s="87" t="n"/>
      <c r="FSF1" s="87" t="n"/>
      <c r="FSG1" s="87" t="n"/>
      <c r="FSH1" s="87" t="n"/>
      <c r="FSI1" s="87" t="n"/>
      <c r="FSJ1" s="87" t="n"/>
      <c r="FSK1" s="87" t="n"/>
      <c r="FSL1" s="87" t="n"/>
      <c r="FSM1" s="87" t="n"/>
      <c r="FSN1" s="87" t="n"/>
      <c r="FSO1" s="87" t="n"/>
      <c r="FSP1" s="87" t="n"/>
      <c r="FSQ1" s="87" t="n"/>
      <c r="FSR1" s="87" t="n"/>
      <c r="FSS1" s="87" t="n"/>
      <c r="FST1" s="87" t="n"/>
      <c r="FSU1" s="87" t="n"/>
      <c r="FSV1" s="87" t="n"/>
      <c r="FSW1" s="87" t="n"/>
      <c r="FSX1" s="87" t="n"/>
      <c r="FSY1" s="87" t="n"/>
      <c r="FSZ1" s="87" t="n"/>
      <c r="FTA1" s="87" t="n"/>
      <c r="FTB1" s="87" t="n"/>
      <c r="FTC1" s="87" t="n"/>
      <c r="FTD1" s="87" t="n"/>
      <c r="FTE1" s="87" t="n"/>
      <c r="FTF1" s="87" t="n"/>
      <c r="FTG1" s="87" t="n"/>
      <c r="FTH1" s="87" t="n"/>
      <c r="FTI1" s="87" t="n"/>
      <c r="FTJ1" s="87" t="n"/>
      <c r="FTK1" s="87" t="n"/>
      <c r="FTL1" s="87" t="n"/>
      <c r="FTM1" s="87" t="n"/>
      <c r="FTN1" s="87" t="n"/>
      <c r="FTO1" s="87" t="n"/>
      <c r="FTP1" s="87" t="n"/>
      <c r="FTQ1" s="87" t="n"/>
      <c r="FTR1" s="87" t="n"/>
      <c r="FTS1" s="87" t="n"/>
      <c r="FTT1" s="87" t="n"/>
      <c r="FTU1" s="87" t="n"/>
      <c r="FTV1" s="87" t="n"/>
      <c r="FTW1" s="87" t="n"/>
      <c r="FTX1" s="87" t="n"/>
      <c r="FTY1" s="87" t="n"/>
      <c r="FTZ1" s="87" t="n"/>
      <c r="FUA1" s="87" t="n"/>
      <c r="FUB1" s="87" t="n"/>
      <c r="FUC1" s="87" t="n"/>
      <c r="FUD1" s="87" t="n"/>
      <c r="FUE1" s="87" t="n"/>
      <c r="FUF1" s="87" t="n"/>
      <c r="FUG1" s="87" t="n"/>
      <c r="FUH1" s="87" t="n"/>
      <c r="FUI1" s="87" t="n"/>
      <c r="FUJ1" s="87" t="n"/>
      <c r="FUK1" s="87" t="n"/>
      <c r="FUL1" s="87" t="n"/>
      <c r="FUM1" s="87" t="n"/>
      <c r="FUN1" s="87" t="n"/>
      <c r="FUO1" s="87" t="n"/>
      <c r="FUP1" s="87" t="n"/>
      <c r="FUQ1" s="87" t="n"/>
      <c r="FUR1" s="87" t="n"/>
      <c r="FUS1" s="87" t="n"/>
      <c r="FUT1" s="87" t="n"/>
      <c r="FUU1" s="87" t="n"/>
      <c r="FUV1" s="87" t="n"/>
      <c r="FUW1" s="87" t="n"/>
      <c r="FUX1" s="87" t="n"/>
      <c r="FUY1" s="87" t="n"/>
      <c r="FUZ1" s="87" t="n"/>
      <c r="FVA1" s="87" t="n"/>
      <c r="FVB1" s="87" t="n"/>
      <c r="FVC1" s="87" t="n"/>
      <c r="FVD1" s="87" t="n"/>
      <c r="FVE1" s="87" t="n"/>
      <c r="FVF1" s="87" t="n"/>
      <c r="FVG1" s="87" t="n"/>
      <c r="FVH1" s="87" t="n"/>
      <c r="FVI1" s="87" t="n"/>
      <c r="FVJ1" s="87" t="n"/>
      <c r="FVK1" s="87" t="n"/>
      <c r="FVL1" s="87" t="n"/>
      <c r="FVM1" s="87" t="n"/>
      <c r="FVN1" s="87" t="n"/>
      <c r="FVO1" s="87" t="n"/>
      <c r="FVP1" s="87" t="n"/>
      <c r="FVQ1" s="87" t="n"/>
      <c r="FVR1" s="87" t="n"/>
      <c r="FVS1" s="87" t="n"/>
      <c r="FVT1" s="87" t="n"/>
      <c r="FVU1" s="87" t="n"/>
      <c r="FVV1" s="87" t="n"/>
      <c r="FVW1" s="87" t="n"/>
      <c r="FVX1" s="87" t="n"/>
      <c r="FVY1" s="87" t="n"/>
      <c r="FVZ1" s="87" t="n"/>
      <c r="FWA1" s="87" t="n"/>
      <c r="FWB1" s="87" t="n"/>
      <c r="FWC1" s="87" t="n"/>
      <c r="FWD1" s="87" t="n"/>
      <c r="FWE1" s="87" t="n"/>
      <c r="FWF1" s="87" t="n"/>
      <c r="FWG1" s="87" t="n"/>
      <c r="FWH1" s="87" t="n"/>
      <c r="FWI1" s="87" t="n"/>
      <c r="FWJ1" s="87" t="n"/>
      <c r="FWK1" s="87" t="n"/>
      <c r="FWL1" s="87" t="n"/>
      <c r="FWM1" s="87" t="n"/>
      <c r="FWN1" s="87" t="n"/>
      <c r="FWO1" s="87" t="n"/>
      <c r="FWP1" s="87" t="n"/>
      <c r="FWQ1" s="87" t="n"/>
      <c r="FWR1" s="87" t="n"/>
      <c r="FWS1" s="87" t="n"/>
      <c r="FWT1" s="87" t="n"/>
      <c r="FWU1" s="87" t="n"/>
      <c r="FWV1" s="87" t="n"/>
      <c r="FWW1" s="87" t="n"/>
      <c r="FWX1" s="87" t="n"/>
      <c r="FWY1" s="87" t="n"/>
      <c r="FWZ1" s="87" t="n"/>
      <c r="FXA1" s="87" t="n"/>
      <c r="FXB1" s="87" t="n"/>
      <c r="FXC1" s="87" t="n"/>
      <c r="FXD1" s="87" t="n"/>
      <c r="FXE1" s="87" t="n"/>
      <c r="FXF1" s="87" t="n"/>
      <c r="FXG1" s="87" t="n"/>
      <c r="FXH1" s="87" t="n"/>
      <c r="FXI1" s="87" t="n"/>
      <c r="FXJ1" s="87" t="n"/>
      <c r="FXK1" s="87" t="n"/>
      <c r="FXL1" s="87" t="n"/>
      <c r="FXM1" s="87" t="n"/>
      <c r="FXN1" s="87" t="n"/>
      <c r="FXO1" s="87" t="n"/>
      <c r="FXP1" s="87" t="n"/>
      <c r="FXQ1" s="87" t="n"/>
      <c r="FXR1" s="87" t="n"/>
      <c r="FXS1" s="87" t="n"/>
      <c r="FXT1" s="87" t="n"/>
      <c r="FXU1" s="87" t="n"/>
      <c r="FXV1" s="87" t="n"/>
      <c r="FXW1" s="87" t="n"/>
      <c r="FXX1" s="87" t="n"/>
      <c r="FXY1" s="87" t="n"/>
      <c r="FXZ1" s="87" t="n"/>
      <c r="FYA1" s="87" t="n"/>
      <c r="FYB1" s="87" t="n"/>
      <c r="FYC1" s="87" t="n"/>
      <c r="FYD1" s="87" t="n"/>
      <c r="FYE1" s="87" t="n"/>
      <c r="FYF1" s="87" t="n"/>
      <c r="FYG1" s="87" t="n"/>
      <c r="FYH1" s="87" t="n"/>
      <c r="FYI1" s="87" t="n"/>
      <c r="FYJ1" s="87" t="n"/>
      <c r="FYK1" s="87" t="n"/>
      <c r="FYL1" s="87" t="n"/>
      <c r="FYM1" s="87" t="n"/>
      <c r="FYN1" s="87" t="n"/>
      <c r="FYO1" s="87" t="n"/>
      <c r="FYP1" s="87" t="n"/>
      <c r="FYQ1" s="87" t="n"/>
      <c r="FYR1" s="87" t="n"/>
      <c r="FYS1" s="87" t="n"/>
      <c r="FYT1" s="87" t="n"/>
      <c r="FYU1" s="87" t="n"/>
      <c r="FYV1" s="87" t="n"/>
      <c r="FYW1" s="87" t="n"/>
      <c r="FYX1" s="87" t="n"/>
      <c r="FYY1" s="87" t="n"/>
      <c r="FYZ1" s="87" t="n"/>
      <c r="FZA1" s="87" t="n"/>
      <c r="FZB1" s="87" t="n"/>
      <c r="FZC1" s="87" t="n"/>
      <c r="FZD1" s="87" t="n"/>
      <c r="FZE1" s="87" t="n"/>
      <c r="FZF1" s="87" t="n"/>
      <c r="FZG1" s="87" t="n"/>
      <c r="FZH1" s="87" t="n"/>
      <c r="FZI1" s="87" t="n"/>
      <c r="FZJ1" s="87" t="n"/>
      <c r="FZK1" s="87" t="n"/>
      <c r="FZL1" s="87" t="n"/>
      <c r="FZM1" s="87" t="n"/>
      <c r="FZN1" s="87" t="n"/>
      <c r="FZO1" s="87" t="n"/>
      <c r="FZP1" s="87" t="n"/>
      <c r="FZQ1" s="87" t="n"/>
      <c r="FZR1" s="87" t="n"/>
      <c r="FZS1" s="87" t="n"/>
      <c r="FZT1" s="87" t="n"/>
      <c r="FZU1" s="87" t="n"/>
      <c r="FZV1" s="87" t="n"/>
      <c r="FZW1" s="87" t="n"/>
      <c r="FZX1" s="87" t="n"/>
      <c r="FZY1" s="87" t="n"/>
      <c r="FZZ1" s="87" t="n"/>
      <c r="GAA1" s="87" t="n"/>
      <c r="GAB1" s="87" t="n"/>
      <c r="GAC1" s="87" t="n"/>
      <c r="GAD1" s="87" t="n"/>
      <c r="GAE1" s="87" t="n"/>
      <c r="GAF1" s="87" t="n"/>
      <c r="GAG1" s="87" t="n"/>
      <c r="GAH1" s="87" t="n"/>
      <c r="GAI1" s="87" t="n"/>
      <c r="GAJ1" s="87" t="n"/>
      <c r="GAK1" s="87" t="n"/>
      <c r="GAL1" s="87" t="n"/>
      <c r="GAM1" s="87" t="n"/>
      <c r="GAN1" s="87" t="n"/>
      <c r="GAO1" s="87" t="n"/>
      <c r="GAP1" s="87" t="n"/>
      <c r="GAQ1" s="87" t="n"/>
      <c r="GAR1" s="87" t="n"/>
      <c r="GAS1" s="87" t="n"/>
      <c r="GAT1" s="87" t="n"/>
      <c r="GAU1" s="87" t="n"/>
      <c r="GAV1" s="87" t="n"/>
      <c r="GAW1" s="87" t="n"/>
      <c r="GAX1" s="87" t="n"/>
      <c r="GAY1" s="87" t="n"/>
      <c r="GAZ1" s="87" t="n"/>
      <c r="GBA1" s="87" t="n"/>
      <c r="GBB1" s="87" t="n"/>
      <c r="GBC1" s="87" t="n"/>
      <c r="GBD1" s="87" t="n"/>
      <c r="GBE1" s="87" t="n"/>
      <c r="GBF1" s="87" t="n"/>
      <c r="GBG1" s="87" t="n"/>
      <c r="GBH1" s="87" t="n"/>
      <c r="GBI1" s="87" t="n"/>
      <c r="GBJ1" s="87" t="n"/>
      <c r="GBK1" s="87" t="n"/>
      <c r="GBL1" s="87" t="n"/>
      <c r="GBM1" s="87" t="n"/>
      <c r="GBN1" s="87" t="n"/>
      <c r="GBO1" s="87" t="n"/>
      <c r="GBP1" s="87" t="n"/>
      <c r="GBQ1" s="87" t="n"/>
      <c r="GBR1" s="87" t="n"/>
      <c r="GBS1" s="87" t="n"/>
      <c r="GBT1" s="87" t="n"/>
      <c r="GBU1" s="87" t="n"/>
      <c r="GBV1" s="87" t="n"/>
      <c r="GBW1" s="87" t="n"/>
      <c r="GBX1" s="87" t="n"/>
      <c r="GBY1" s="87" t="n"/>
      <c r="GBZ1" s="87" t="n"/>
      <c r="GCA1" s="87" t="n"/>
      <c r="GCB1" s="87" t="n"/>
      <c r="GCC1" s="87" t="n"/>
      <c r="GCD1" s="87" t="n"/>
      <c r="GCE1" s="87" t="n"/>
      <c r="GCF1" s="87" t="n"/>
      <c r="GCG1" s="87" t="n"/>
      <c r="GCH1" s="87" t="n"/>
      <c r="GCI1" s="87" t="n"/>
      <c r="GCJ1" s="87" t="n"/>
      <c r="GCK1" s="87" t="n"/>
      <c r="GCL1" s="87" t="n"/>
      <c r="GCM1" s="87" t="n"/>
      <c r="GCN1" s="87" t="n"/>
      <c r="GCO1" s="87" t="n"/>
      <c r="GCP1" s="87" t="n"/>
      <c r="GCQ1" s="87" t="n"/>
      <c r="GCR1" s="87" t="n"/>
      <c r="GCS1" s="87" t="n"/>
      <c r="GCT1" s="87" t="n"/>
      <c r="GCU1" s="87" t="n"/>
      <c r="GCV1" s="87" t="n"/>
      <c r="GCW1" s="87" t="n"/>
      <c r="GCX1" s="87" t="n"/>
      <c r="GCY1" s="87" t="n"/>
      <c r="GCZ1" s="87" t="n"/>
      <c r="GDA1" s="87" t="n"/>
      <c r="GDB1" s="87" t="n"/>
      <c r="GDC1" s="87" t="n"/>
      <c r="GDD1" s="87" t="n"/>
      <c r="GDE1" s="87" t="n"/>
      <c r="GDF1" s="87" t="n"/>
      <c r="GDG1" s="87" t="n"/>
      <c r="GDH1" s="87" t="n"/>
      <c r="GDI1" s="87" t="n"/>
      <c r="GDJ1" s="87" t="n"/>
      <c r="GDK1" s="87" t="n"/>
      <c r="GDL1" s="87" t="n"/>
      <c r="GDM1" s="87" t="n"/>
      <c r="GDN1" s="87" t="n"/>
      <c r="GDO1" s="87" t="n"/>
      <c r="GDP1" s="87" t="n"/>
      <c r="GDQ1" s="87" t="n"/>
      <c r="GDR1" s="87" t="n"/>
      <c r="GDS1" s="87" t="n"/>
      <c r="GDT1" s="87" t="n"/>
      <c r="GDU1" s="87" t="n"/>
      <c r="GDV1" s="87" t="n"/>
      <c r="GDW1" s="87" t="n"/>
      <c r="GDX1" s="87" t="n"/>
      <c r="GDY1" s="87" t="n"/>
      <c r="GDZ1" s="87" t="n"/>
      <c r="GEA1" s="87" t="n"/>
      <c r="GEB1" s="87" t="n"/>
      <c r="GEC1" s="87" t="n"/>
      <c r="GED1" s="87" t="n"/>
      <c r="GEE1" s="87" t="n"/>
      <c r="GEF1" s="87" t="n"/>
      <c r="GEG1" s="87" t="n"/>
      <c r="GEH1" s="87" t="n"/>
      <c r="GEI1" s="87" t="n"/>
      <c r="GEJ1" s="87" t="n"/>
      <c r="GEK1" s="87" t="n"/>
      <c r="GEL1" s="87" t="n"/>
      <c r="GEM1" s="87" t="n"/>
      <c r="GEN1" s="87" t="n"/>
      <c r="GEO1" s="87" t="n"/>
      <c r="GEP1" s="87" t="n"/>
      <c r="GEQ1" s="87" t="n"/>
      <c r="GER1" s="87" t="n"/>
      <c r="GES1" s="87" t="n"/>
      <c r="GET1" s="87" t="n"/>
      <c r="GEU1" s="87" t="n"/>
      <c r="GEV1" s="87" t="n"/>
      <c r="GEW1" s="87" t="n"/>
      <c r="GEX1" s="87" t="n"/>
      <c r="GEY1" s="87" t="n"/>
      <c r="GEZ1" s="87" t="n"/>
      <c r="GFA1" s="87" t="n"/>
      <c r="GFB1" s="87" t="n"/>
      <c r="GFC1" s="87" t="n"/>
      <c r="GFD1" s="87" t="n"/>
      <c r="GFE1" s="87" t="n"/>
      <c r="GFF1" s="87" t="n"/>
      <c r="GFG1" s="87" t="n"/>
      <c r="GFH1" s="87" t="n"/>
      <c r="GFI1" s="87" t="n"/>
      <c r="GFJ1" s="87" t="n"/>
      <c r="GFK1" s="87" t="n"/>
      <c r="GFL1" s="87" t="n"/>
      <c r="GFM1" s="87" t="n"/>
      <c r="GFN1" s="87" t="n"/>
      <c r="GFO1" s="87" t="n"/>
      <c r="GFP1" s="87" t="n"/>
      <c r="GFQ1" s="87" t="n"/>
      <c r="GFR1" s="87" t="n"/>
      <c r="GFS1" s="87" t="n"/>
      <c r="GFT1" s="87" t="n"/>
      <c r="GFU1" s="87" t="n"/>
      <c r="GFV1" s="87" t="n"/>
      <c r="GFW1" s="87" t="n"/>
      <c r="GFX1" s="87" t="n"/>
      <c r="GFY1" s="87" t="n"/>
      <c r="GFZ1" s="87" t="n"/>
      <c r="GGA1" s="87" t="n"/>
      <c r="GGB1" s="87" t="n"/>
      <c r="GGC1" s="87" t="n"/>
      <c r="GGD1" s="87" t="n"/>
      <c r="GGE1" s="87" t="n"/>
      <c r="GGF1" s="87" t="n"/>
      <c r="GGG1" s="87" t="n"/>
      <c r="GGH1" s="87" t="n"/>
      <c r="GGI1" s="87" t="n"/>
      <c r="GGJ1" s="87" t="n"/>
      <c r="GGK1" s="87" t="n"/>
      <c r="GGL1" s="87" t="n"/>
      <c r="GGM1" s="87" t="n"/>
      <c r="GGN1" s="87" t="n"/>
      <c r="GGO1" s="87" t="n"/>
      <c r="GGP1" s="87" t="n"/>
      <c r="GGQ1" s="87" t="n"/>
      <c r="GGR1" s="87" t="n"/>
      <c r="GGS1" s="87" t="n"/>
      <c r="GGT1" s="87" t="n"/>
      <c r="GGU1" s="87" t="n"/>
      <c r="GGV1" s="87" t="n"/>
      <c r="GGW1" s="87" t="n"/>
      <c r="GGX1" s="87" t="n"/>
      <c r="GGY1" s="87" t="n"/>
      <c r="GGZ1" s="87" t="n"/>
      <c r="GHA1" s="87" t="n"/>
      <c r="GHB1" s="87" t="n"/>
      <c r="GHC1" s="87" t="n"/>
      <c r="GHD1" s="87" t="n"/>
      <c r="GHE1" s="87" t="n"/>
      <c r="GHF1" s="87" t="n"/>
      <c r="GHG1" s="87" t="n"/>
      <c r="GHH1" s="87" t="n"/>
      <c r="GHI1" s="87" t="n"/>
      <c r="GHJ1" s="87" t="n"/>
      <c r="GHK1" s="87" t="n"/>
      <c r="GHL1" s="87" t="n"/>
      <c r="GHM1" s="87" t="n"/>
      <c r="GHN1" s="87" t="n"/>
      <c r="GHO1" s="87" t="n"/>
      <c r="GHP1" s="87" t="n"/>
      <c r="GHQ1" s="87" t="n"/>
      <c r="GHR1" s="87" t="n"/>
      <c r="GHS1" s="87" t="n"/>
      <c r="GHT1" s="87" t="n"/>
      <c r="GHU1" s="87" t="n"/>
      <c r="GHV1" s="87" t="n"/>
      <c r="GHW1" s="87" t="n"/>
      <c r="GHX1" s="87" t="n"/>
      <c r="GHY1" s="87" t="n"/>
      <c r="GHZ1" s="87" t="n"/>
      <c r="GIA1" s="87" t="n"/>
      <c r="GIB1" s="87" t="n"/>
      <c r="GIC1" s="87" t="n"/>
      <c r="GID1" s="87" t="n"/>
      <c r="GIE1" s="87" t="n"/>
      <c r="GIF1" s="87" t="n"/>
      <c r="GIG1" s="87" t="n"/>
      <c r="GIH1" s="87" t="n"/>
      <c r="GII1" s="87" t="n"/>
      <c r="GIJ1" s="87" t="n"/>
      <c r="GIK1" s="87" t="n"/>
      <c r="GIL1" s="87" t="n"/>
      <c r="GIM1" s="87" t="n"/>
      <c r="GIN1" s="87" t="n"/>
      <c r="GIO1" s="87" t="n"/>
      <c r="GIP1" s="87" t="n"/>
      <c r="GIQ1" s="87" t="n"/>
      <c r="GIR1" s="87" t="n"/>
      <c r="GIS1" s="87" t="n"/>
      <c r="GIT1" s="87" t="n"/>
      <c r="GIU1" s="87" t="n"/>
      <c r="GIV1" s="87" t="n"/>
      <c r="GIW1" s="87" t="n"/>
      <c r="GIX1" s="87" t="n"/>
      <c r="GIY1" s="87" t="n"/>
      <c r="GIZ1" s="87" t="n"/>
      <c r="GJA1" s="87" t="n"/>
      <c r="GJB1" s="87" t="n"/>
      <c r="GJC1" s="87" t="n"/>
      <c r="GJD1" s="87" t="n"/>
      <c r="GJE1" s="87" t="n"/>
      <c r="GJF1" s="87" t="n"/>
      <c r="GJG1" s="87" t="n"/>
      <c r="GJH1" s="87" t="n"/>
      <c r="GJI1" s="87" t="n"/>
      <c r="GJJ1" s="87" t="n"/>
      <c r="GJK1" s="87" t="n"/>
      <c r="GJL1" s="87" t="n"/>
      <c r="GJM1" s="87" t="n"/>
      <c r="GJN1" s="87" t="n"/>
      <c r="GJO1" s="87" t="n"/>
      <c r="GJP1" s="87" t="n"/>
      <c r="GJQ1" s="87" t="n"/>
      <c r="GJR1" s="87" t="n"/>
      <c r="GJS1" s="87" t="n"/>
      <c r="GJT1" s="87" t="n"/>
      <c r="GJU1" s="87" t="n"/>
      <c r="GJV1" s="87" t="n"/>
      <c r="GJW1" s="87" t="n"/>
      <c r="GJX1" s="87" t="n"/>
      <c r="GJY1" s="87" t="n"/>
      <c r="GJZ1" s="87" t="n"/>
      <c r="GKA1" s="87" t="n"/>
      <c r="GKB1" s="87" t="n"/>
      <c r="GKC1" s="87" t="n"/>
      <c r="GKD1" s="87" t="n"/>
      <c r="GKE1" s="87" t="n"/>
      <c r="GKF1" s="87" t="n"/>
      <c r="GKG1" s="87" t="n"/>
      <c r="GKH1" s="87" t="n"/>
      <c r="GKI1" s="87" t="n"/>
      <c r="GKJ1" s="87" t="n"/>
      <c r="GKK1" s="87" t="n"/>
      <c r="GKL1" s="87" t="n"/>
      <c r="GKM1" s="87" t="n"/>
      <c r="GKN1" s="87" t="n"/>
      <c r="GKO1" s="87" t="n"/>
      <c r="GKP1" s="87" t="n"/>
      <c r="GKQ1" s="87" t="n"/>
      <c r="GKR1" s="87" t="n"/>
      <c r="GKS1" s="87" t="n"/>
      <c r="GKT1" s="87" t="n"/>
      <c r="GKU1" s="87" t="n"/>
      <c r="GKV1" s="87" t="n"/>
      <c r="GKW1" s="87" t="n"/>
      <c r="GKX1" s="87" t="n"/>
      <c r="GKY1" s="87" t="n"/>
      <c r="GKZ1" s="87" t="n"/>
      <c r="GLA1" s="87" t="n"/>
      <c r="GLB1" s="87" t="n"/>
      <c r="GLC1" s="87" t="n"/>
      <c r="GLD1" s="87" t="n"/>
      <c r="GLE1" s="87" t="n"/>
      <c r="GLF1" s="87" t="n"/>
      <c r="GLG1" s="87" t="n"/>
      <c r="GLH1" s="87" t="n"/>
      <c r="GLI1" s="87" t="n"/>
      <c r="GLJ1" s="87" t="n"/>
      <c r="GLK1" s="87" t="n"/>
      <c r="GLL1" s="87" t="n"/>
      <c r="GLM1" s="87" t="n"/>
      <c r="GLN1" s="87" t="n"/>
      <c r="GLO1" s="87" t="n"/>
      <c r="GLP1" s="87" t="n"/>
      <c r="GLQ1" s="87" t="n"/>
      <c r="GLR1" s="87" t="n"/>
      <c r="GLS1" s="87" t="n"/>
      <c r="GLT1" s="87" t="n"/>
      <c r="GLU1" s="87" t="n"/>
      <c r="GLV1" s="87" t="n"/>
      <c r="GLW1" s="87" t="n"/>
      <c r="GLX1" s="87" t="n"/>
      <c r="GLY1" s="87" t="n"/>
      <c r="GLZ1" s="87" t="n"/>
      <c r="GMA1" s="87" t="n"/>
      <c r="GMB1" s="87" t="n"/>
      <c r="GMC1" s="87" t="n"/>
      <c r="GMD1" s="87" t="n"/>
      <c r="GME1" s="87" t="n"/>
      <c r="GMF1" s="87" t="n"/>
      <c r="GMG1" s="87" t="n"/>
      <c r="GMH1" s="87" t="n"/>
      <c r="GMI1" s="87" t="n"/>
      <c r="GMJ1" s="87" t="n"/>
      <c r="GMK1" s="87" t="n"/>
      <c r="GML1" s="87" t="n"/>
      <c r="GMM1" s="87" t="n"/>
      <c r="GMN1" s="87" t="n"/>
      <c r="GMO1" s="87" t="n"/>
      <c r="GMP1" s="87" t="n"/>
      <c r="GMQ1" s="87" t="n"/>
      <c r="GMR1" s="87" t="n"/>
      <c r="GMS1" s="87" t="n"/>
      <c r="GMT1" s="87" t="n"/>
      <c r="GMU1" s="87" t="n"/>
      <c r="GMV1" s="87" t="n"/>
      <c r="GMW1" s="87" t="n"/>
      <c r="GMX1" s="87" t="n"/>
      <c r="GMY1" s="87" t="n"/>
      <c r="GMZ1" s="87" t="n"/>
      <c r="GNA1" s="87" t="n"/>
      <c r="GNB1" s="87" t="n"/>
      <c r="GNC1" s="87" t="n"/>
      <c r="GND1" s="87" t="n"/>
      <c r="GNE1" s="87" t="n"/>
      <c r="GNF1" s="87" t="n"/>
      <c r="GNG1" s="87" t="n"/>
      <c r="GNH1" s="87" t="n"/>
      <c r="GNI1" s="87" t="n"/>
      <c r="GNJ1" s="87" t="n"/>
      <c r="GNK1" s="87" t="n"/>
      <c r="GNL1" s="87" t="n"/>
      <c r="GNM1" s="87" t="n"/>
      <c r="GNN1" s="87" t="n"/>
      <c r="GNO1" s="87" t="n"/>
      <c r="GNP1" s="87" t="n"/>
      <c r="GNQ1" s="87" t="n"/>
      <c r="GNR1" s="87" t="n"/>
      <c r="GNS1" s="87" t="n"/>
      <c r="GNT1" s="87" t="n"/>
      <c r="GNU1" s="87" t="n"/>
      <c r="GNV1" s="87" t="n"/>
      <c r="GNW1" s="87" t="n"/>
      <c r="GNX1" s="87" t="n"/>
      <c r="GNY1" s="87" t="n"/>
      <c r="GNZ1" s="87" t="n"/>
      <c r="GOA1" s="87" t="n"/>
      <c r="GOB1" s="87" t="n"/>
      <c r="GOC1" s="87" t="n"/>
      <c r="GOD1" s="87" t="n"/>
      <c r="GOE1" s="87" t="n"/>
      <c r="GOF1" s="87" t="n"/>
      <c r="GOG1" s="87" t="n"/>
      <c r="GOH1" s="87" t="n"/>
      <c r="GOI1" s="87" t="n"/>
      <c r="GOJ1" s="87" t="n"/>
      <c r="GOK1" s="87" t="n"/>
      <c r="GOL1" s="87" t="n"/>
      <c r="GOM1" s="87" t="n"/>
      <c r="GON1" s="87" t="n"/>
      <c r="GOO1" s="87" t="n"/>
      <c r="GOP1" s="87" t="n"/>
      <c r="GOQ1" s="87" t="n"/>
      <c r="GOR1" s="87" t="n"/>
      <c r="GOS1" s="87" t="n"/>
      <c r="GOT1" s="87" t="n"/>
      <c r="GOU1" s="87" t="n"/>
      <c r="GOV1" s="87" t="n"/>
      <c r="GOW1" s="87" t="n"/>
      <c r="GOX1" s="87" t="n"/>
      <c r="GOY1" s="87" t="n"/>
      <c r="GOZ1" s="87" t="n"/>
      <c r="GPA1" s="87" t="n"/>
      <c r="GPB1" s="87" t="n"/>
      <c r="GPC1" s="87" t="n"/>
      <c r="GPD1" s="87" t="n"/>
      <c r="GPE1" s="87" t="n"/>
      <c r="GPF1" s="87" t="n"/>
      <c r="GPG1" s="87" t="n"/>
      <c r="GPH1" s="87" t="n"/>
      <c r="GPI1" s="87" t="n"/>
      <c r="GPJ1" s="87" t="n"/>
      <c r="GPK1" s="87" t="n"/>
      <c r="GPL1" s="87" t="n"/>
      <c r="GPM1" s="87" t="n"/>
      <c r="GPN1" s="87" t="n"/>
      <c r="GPO1" s="87" t="n"/>
      <c r="GPP1" s="87" t="n"/>
      <c r="GPQ1" s="87" t="n"/>
      <c r="GPR1" s="87" t="n"/>
      <c r="GPS1" s="87" t="n"/>
      <c r="GPT1" s="87" t="n"/>
      <c r="GPU1" s="87" t="n"/>
      <c r="GPV1" s="87" t="n"/>
      <c r="GPW1" s="87" t="n"/>
      <c r="GPX1" s="87" t="n"/>
      <c r="GPY1" s="87" t="n"/>
      <c r="GPZ1" s="87" t="n"/>
      <c r="GQA1" s="87" t="n"/>
      <c r="GQB1" s="87" t="n"/>
      <c r="GQC1" s="87" t="n"/>
      <c r="GQD1" s="87" t="n"/>
      <c r="GQE1" s="87" t="n"/>
      <c r="GQF1" s="87" t="n"/>
      <c r="GQG1" s="87" t="n"/>
      <c r="GQH1" s="87" t="n"/>
      <c r="GQI1" s="87" t="n"/>
      <c r="GQJ1" s="87" t="n"/>
      <c r="GQK1" s="87" t="n"/>
      <c r="GQL1" s="87" t="n"/>
      <c r="GQM1" s="87" t="n"/>
      <c r="GQN1" s="87" t="n"/>
      <c r="GQO1" s="87" t="n"/>
      <c r="GQP1" s="87" t="n"/>
      <c r="GQQ1" s="87" t="n"/>
      <c r="GQR1" s="87" t="n"/>
      <c r="GQS1" s="87" t="n"/>
      <c r="GQT1" s="87" t="n"/>
      <c r="GQU1" s="87" t="n"/>
      <c r="GQV1" s="87" t="n"/>
      <c r="GQW1" s="87" t="n"/>
      <c r="GQX1" s="87" t="n"/>
      <c r="GQY1" s="87" t="n"/>
      <c r="GQZ1" s="87" t="n"/>
      <c r="GRA1" s="87" t="n"/>
      <c r="GRB1" s="87" t="n"/>
      <c r="GRC1" s="87" t="n"/>
      <c r="GRD1" s="87" t="n"/>
      <c r="GRE1" s="87" t="n"/>
      <c r="GRF1" s="87" t="n"/>
      <c r="GRG1" s="87" t="n"/>
      <c r="GRH1" s="87" t="n"/>
      <c r="GRI1" s="87" t="n"/>
      <c r="GRJ1" s="87" t="n"/>
      <c r="GRK1" s="87" t="n"/>
      <c r="GRL1" s="87" t="n"/>
      <c r="GRM1" s="87" t="n"/>
      <c r="GRN1" s="87" t="n"/>
      <c r="GRO1" s="87" t="n"/>
      <c r="GRP1" s="87" t="n"/>
      <c r="GRQ1" s="87" t="n"/>
      <c r="GRR1" s="87" t="n"/>
      <c r="GRS1" s="87" t="n"/>
      <c r="GRT1" s="87" t="n"/>
      <c r="GRU1" s="87" t="n"/>
      <c r="GRV1" s="87" t="n"/>
      <c r="GRW1" s="87" t="n"/>
      <c r="GRX1" s="87" t="n"/>
      <c r="GRY1" s="87" t="n"/>
      <c r="GRZ1" s="87" t="n"/>
      <c r="GSA1" s="87" t="n"/>
      <c r="GSB1" s="87" t="n"/>
      <c r="GSC1" s="87" t="n"/>
      <c r="GSD1" s="87" t="n"/>
      <c r="GSE1" s="87" t="n"/>
      <c r="GSF1" s="87" t="n"/>
      <c r="GSG1" s="87" t="n"/>
      <c r="GSH1" s="87" t="n"/>
      <c r="GSI1" s="87" t="n"/>
      <c r="GSJ1" s="87" t="n"/>
      <c r="GSK1" s="87" t="n"/>
      <c r="GSL1" s="87" t="n"/>
      <c r="GSM1" s="87" t="n"/>
      <c r="GSN1" s="87" t="n"/>
      <c r="GSO1" s="87" t="n"/>
      <c r="GSP1" s="87" t="n"/>
      <c r="GSQ1" s="87" t="n"/>
      <c r="GSR1" s="87" t="n"/>
      <c r="GSS1" s="87" t="n"/>
      <c r="GST1" s="87" t="n"/>
      <c r="GSU1" s="87" t="n"/>
      <c r="GSV1" s="87" t="n"/>
      <c r="GSW1" s="87" t="n"/>
      <c r="GSX1" s="87" t="n"/>
      <c r="GSY1" s="87" t="n"/>
      <c r="GSZ1" s="87" t="n"/>
      <c r="GTA1" s="87" t="n"/>
      <c r="GTB1" s="87" t="n"/>
      <c r="GTC1" s="87" t="n"/>
      <c r="GTD1" s="87" t="n"/>
      <c r="GTE1" s="87" t="n"/>
      <c r="GTF1" s="87" t="n"/>
      <c r="GTG1" s="87" t="n"/>
      <c r="GTH1" s="87" t="n"/>
      <c r="GTI1" s="87" t="n"/>
      <c r="GTJ1" s="87" t="n"/>
      <c r="GTK1" s="87" t="n"/>
      <c r="GTL1" s="87" t="n"/>
      <c r="GTM1" s="87" t="n"/>
      <c r="GTN1" s="87" t="n"/>
      <c r="GTO1" s="87" t="n"/>
      <c r="GTP1" s="87" t="n"/>
      <c r="GTQ1" s="87" t="n"/>
      <c r="GTR1" s="87" t="n"/>
      <c r="GTS1" s="87" t="n"/>
      <c r="GTT1" s="87" t="n"/>
      <c r="GTU1" s="87" t="n"/>
      <c r="GTV1" s="87" t="n"/>
      <c r="GTW1" s="87" t="n"/>
      <c r="GTX1" s="87" t="n"/>
      <c r="GTY1" s="87" t="n"/>
      <c r="GTZ1" s="87" t="n"/>
      <c r="GUA1" s="87" t="n"/>
      <c r="GUB1" s="87" t="n"/>
      <c r="GUC1" s="87" t="n"/>
      <c r="GUD1" s="87" t="n"/>
      <c r="GUE1" s="87" t="n"/>
      <c r="GUF1" s="87" t="n"/>
      <c r="GUG1" s="87" t="n"/>
      <c r="GUH1" s="87" t="n"/>
      <c r="GUI1" s="87" t="n"/>
      <c r="GUJ1" s="87" t="n"/>
      <c r="GUK1" s="87" t="n"/>
      <c r="GUL1" s="87" t="n"/>
      <c r="GUM1" s="87" t="n"/>
      <c r="GUN1" s="87" t="n"/>
      <c r="GUO1" s="87" t="n"/>
      <c r="GUP1" s="87" t="n"/>
      <c r="GUQ1" s="87" t="n"/>
      <c r="GUR1" s="87" t="n"/>
      <c r="GUS1" s="87" t="n"/>
      <c r="GUT1" s="87" t="n"/>
      <c r="GUU1" s="87" t="n"/>
      <c r="GUV1" s="87" t="n"/>
      <c r="GUW1" s="87" t="n"/>
      <c r="GUX1" s="87" t="n"/>
      <c r="GUY1" s="87" t="n"/>
      <c r="GUZ1" s="87" t="n"/>
      <c r="GVA1" s="87" t="n"/>
      <c r="GVB1" s="87" t="n"/>
      <c r="GVC1" s="87" t="n"/>
      <c r="GVD1" s="87" t="n"/>
      <c r="GVE1" s="87" t="n"/>
      <c r="GVF1" s="87" t="n"/>
      <c r="GVG1" s="87" t="n"/>
      <c r="GVH1" s="87" t="n"/>
      <c r="GVI1" s="87" t="n"/>
      <c r="GVJ1" s="87" t="n"/>
      <c r="GVK1" s="87" t="n"/>
      <c r="GVL1" s="87" t="n"/>
      <c r="GVM1" s="87" t="n"/>
      <c r="GVN1" s="87" t="n"/>
      <c r="GVO1" s="87" t="n"/>
      <c r="GVP1" s="87" t="n"/>
      <c r="GVQ1" s="87" t="n"/>
      <c r="GVR1" s="87" t="n"/>
      <c r="GVS1" s="87" t="n"/>
      <c r="GVT1" s="87" t="n"/>
      <c r="GVU1" s="87" t="n"/>
      <c r="GVV1" s="87" t="n"/>
      <c r="GVW1" s="87" t="n"/>
      <c r="GVX1" s="87" t="n"/>
      <c r="GVY1" s="87" t="n"/>
      <c r="GVZ1" s="87" t="n"/>
      <c r="GWA1" s="87" t="n"/>
      <c r="GWB1" s="87" t="n"/>
      <c r="GWC1" s="87" t="n"/>
      <c r="GWD1" s="87" t="n"/>
      <c r="GWE1" s="87" t="n"/>
      <c r="GWF1" s="87" t="n"/>
      <c r="GWG1" s="87" t="n"/>
      <c r="GWH1" s="87" t="n"/>
      <c r="GWI1" s="87" t="n"/>
      <c r="GWJ1" s="87" t="n"/>
      <c r="GWK1" s="87" t="n"/>
      <c r="GWL1" s="87" t="n"/>
      <c r="GWM1" s="87" t="n"/>
      <c r="GWN1" s="87" t="n"/>
      <c r="GWO1" s="87" t="n"/>
      <c r="GWP1" s="87" t="n"/>
      <c r="GWQ1" s="87" t="n"/>
      <c r="GWR1" s="87" t="n"/>
      <c r="GWS1" s="87" t="n"/>
      <c r="GWT1" s="87" t="n"/>
      <c r="GWU1" s="87" t="n"/>
      <c r="GWV1" s="87" t="n"/>
      <c r="GWW1" s="87" t="n"/>
      <c r="GWX1" s="87" t="n"/>
      <c r="GWY1" s="87" t="n"/>
      <c r="GWZ1" s="87" t="n"/>
      <c r="GXA1" s="87" t="n"/>
      <c r="GXB1" s="87" t="n"/>
      <c r="GXC1" s="87" t="n"/>
      <c r="GXD1" s="87" t="n"/>
      <c r="GXE1" s="87" t="n"/>
      <c r="GXF1" s="87" t="n"/>
      <c r="GXG1" s="87" t="n"/>
      <c r="GXH1" s="87" t="n"/>
      <c r="GXI1" s="87" t="n"/>
      <c r="GXJ1" s="87" t="n"/>
      <c r="GXK1" s="87" t="n"/>
      <c r="GXL1" s="87" t="n"/>
      <c r="GXM1" s="87" t="n"/>
      <c r="GXN1" s="87" t="n"/>
      <c r="GXO1" s="87" t="n"/>
      <c r="GXP1" s="87" t="n"/>
      <c r="GXQ1" s="87" t="n"/>
      <c r="GXR1" s="87" t="n"/>
      <c r="GXS1" s="87" t="n"/>
      <c r="GXT1" s="87" t="n"/>
      <c r="GXU1" s="87" t="n"/>
      <c r="GXV1" s="87" t="n"/>
      <c r="GXW1" s="87" t="n"/>
      <c r="GXX1" s="87" t="n"/>
      <c r="GXY1" s="87" t="n"/>
      <c r="GXZ1" s="87" t="n"/>
      <c r="GYA1" s="87" t="n"/>
      <c r="GYB1" s="87" t="n"/>
      <c r="GYC1" s="87" t="n"/>
      <c r="GYD1" s="87" t="n"/>
      <c r="GYE1" s="87" t="n"/>
      <c r="GYF1" s="87" t="n"/>
      <c r="GYG1" s="87" t="n"/>
      <c r="GYH1" s="87" t="n"/>
      <c r="GYI1" s="87" t="n"/>
      <c r="GYJ1" s="87" t="n"/>
      <c r="GYK1" s="87" t="n"/>
      <c r="GYL1" s="87" t="n"/>
      <c r="GYM1" s="87" t="n"/>
      <c r="GYN1" s="87" t="n"/>
      <c r="GYO1" s="87" t="n"/>
      <c r="GYP1" s="87" t="n"/>
      <c r="GYQ1" s="87" t="n"/>
      <c r="GYR1" s="87" t="n"/>
      <c r="GYS1" s="87" t="n"/>
      <c r="GYT1" s="87" t="n"/>
      <c r="GYU1" s="87" t="n"/>
      <c r="GYV1" s="87" t="n"/>
      <c r="GYW1" s="87" t="n"/>
      <c r="GYX1" s="87" t="n"/>
      <c r="GYY1" s="87" t="n"/>
      <c r="GYZ1" s="87" t="n"/>
      <c r="GZA1" s="87" t="n"/>
      <c r="GZB1" s="87" t="n"/>
      <c r="GZC1" s="87" t="n"/>
      <c r="GZD1" s="87" t="n"/>
      <c r="GZE1" s="87" t="n"/>
      <c r="GZF1" s="87" t="n"/>
      <c r="GZG1" s="87" t="n"/>
      <c r="GZH1" s="87" t="n"/>
      <c r="GZI1" s="87" t="n"/>
      <c r="GZJ1" s="87" t="n"/>
      <c r="GZK1" s="87" t="n"/>
      <c r="GZL1" s="87" t="n"/>
      <c r="GZM1" s="87" t="n"/>
      <c r="GZN1" s="87" t="n"/>
      <c r="GZO1" s="87" t="n"/>
      <c r="GZP1" s="87" t="n"/>
      <c r="GZQ1" s="87" t="n"/>
      <c r="GZR1" s="87" t="n"/>
      <c r="GZS1" s="87" t="n"/>
      <c r="GZT1" s="87" t="n"/>
      <c r="GZU1" s="87" t="n"/>
      <c r="GZV1" s="87" t="n"/>
      <c r="GZW1" s="87" t="n"/>
      <c r="GZX1" s="87" t="n"/>
      <c r="GZY1" s="87" t="n"/>
      <c r="GZZ1" s="87" t="n"/>
      <c r="HAA1" s="87" t="n"/>
      <c r="HAB1" s="87" t="n"/>
      <c r="HAC1" s="87" t="n"/>
      <c r="HAD1" s="87" t="n"/>
      <c r="HAE1" s="87" t="n"/>
      <c r="HAF1" s="87" t="n"/>
      <c r="HAG1" s="87" t="n"/>
      <c r="HAH1" s="87" t="n"/>
      <c r="HAI1" s="87" t="n"/>
      <c r="HAJ1" s="87" t="n"/>
      <c r="HAK1" s="87" t="n"/>
      <c r="HAL1" s="87" t="n"/>
      <c r="HAM1" s="87" t="n"/>
      <c r="HAN1" s="87" t="n"/>
      <c r="HAO1" s="87" t="n"/>
      <c r="HAP1" s="87" t="n"/>
      <c r="HAQ1" s="87" t="n"/>
      <c r="HAR1" s="87" t="n"/>
      <c r="HAS1" s="87" t="n"/>
      <c r="HAT1" s="87" t="n"/>
      <c r="HAU1" s="87" t="n"/>
      <c r="HAV1" s="87" t="n"/>
      <c r="HAW1" s="87" t="n"/>
      <c r="HAX1" s="87" t="n"/>
      <c r="HAY1" s="87" t="n"/>
      <c r="HAZ1" s="87" t="n"/>
      <c r="HBA1" s="87" t="n"/>
      <c r="HBB1" s="87" t="n"/>
      <c r="HBC1" s="87" t="n"/>
      <c r="HBD1" s="87" t="n"/>
      <c r="HBE1" s="87" t="n"/>
      <c r="HBF1" s="87" t="n"/>
      <c r="HBG1" s="87" t="n"/>
      <c r="HBH1" s="87" t="n"/>
      <c r="HBI1" s="87" t="n"/>
      <c r="HBJ1" s="87" t="n"/>
      <c r="HBK1" s="87" t="n"/>
      <c r="HBL1" s="87" t="n"/>
      <c r="HBM1" s="87" t="n"/>
      <c r="HBN1" s="87" t="n"/>
      <c r="HBO1" s="87" t="n"/>
      <c r="HBP1" s="87" t="n"/>
      <c r="HBQ1" s="87" t="n"/>
      <c r="HBR1" s="87" t="n"/>
      <c r="HBS1" s="87" t="n"/>
      <c r="HBT1" s="87" t="n"/>
      <c r="HBU1" s="87" t="n"/>
      <c r="HBV1" s="87" t="n"/>
      <c r="HBW1" s="87" t="n"/>
      <c r="HBX1" s="87" t="n"/>
      <c r="HBY1" s="87" t="n"/>
      <c r="HBZ1" s="87" t="n"/>
      <c r="HCA1" s="87" t="n"/>
      <c r="HCB1" s="87" t="n"/>
      <c r="HCC1" s="87" t="n"/>
      <c r="HCD1" s="87" t="n"/>
      <c r="HCE1" s="87" t="n"/>
      <c r="HCF1" s="87" t="n"/>
      <c r="HCG1" s="87" t="n"/>
      <c r="HCH1" s="87" t="n"/>
      <c r="HCI1" s="87" t="n"/>
      <c r="HCJ1" s="87" t="n"/>
      <c r="HCK1" s="87" t="n"/>
      <c r="HCL1" s="87" t="n"/>
      <c r="HCM1" s="87" t="n"/>
      <c r="HCN1" s="87" t="n"/>
      <c r="HCO1" s="87" t="n"/>
      <c r="HCP1" s="87" t="n"/>
      <c r="HCQ1" s="87" t="n"/>
      <c r="HCR1" s="87" t="n"/>
      <c r="HCS1" s="87" t="n"/>
      <c r="HCT1" s="87" t="n"/>
      <c r="HCU1" s="87" t="n"/>
      <c r="HCV1" s="87" t="n"/>
      <c r="HCW1" s="87" t="n"/>
      <c r="HCX1" s="87" t="n"/>
      <c r="HCY1" s="87" t="n"/>
      <c r="HCZ1" s="87" t="n"/>
      <c r="HDA1" s="87" t="n"/>
      <c r="HDB1" s="87" t="n"/>
      <c r="HDC1" s="87" t="n"/>
      <c r="HDD1" s="87" t="n"/>
      <c r="HDE1" s="87" t="n"/>
      <c r="HDF1" s="87" t="n"/>
      <c r="HDG1" s="87" t="n"/>
      <c r="HDH1" s="87" t="n"/>
      <c r="HDI1" s="87" t="n"/>
      <c r="HDJ1" s="87" t="n"/>
      <c r="HDK1" s="87" t="n"/>
      <c r="HDL1" s="87" t="n"/>
      <c r="HDM1" s="87" t="n"/>
      <c r="HDN1" s="87" t="n"/>
      <c r="HDO1" s="87" t="n"/>
      <c r="HDP1" s="87" t="n"/>
      <c r="HDQ1" s="87" t="n"/>
      <c r="HDR1" s="87" t="n"/>
      <c r="HDS1" s="87" t="n"/>
      <c r="HDT1" s="87" t="n"/>
      <c r="HDU1" s="87" t="n"/>
      <c r="HDV1" s="87" t="n"/>
      <c r="HDW1" s="87" t="n"/>
      <c r="HDX1" s="87" t="n"/>
      <c r="HDY1" s="87" t="n"/>
      <c r="HDZ1" s="87" t="n"/>
      <c r="HEA1" s="87" t="n"/>
      <c r="HEB1" s="87" t="n"/>
      <c r="HEC1" s="87" t="n"/>
      <c r="HED1" s="87" t="n"/>
      <c r="HEE1" s="87" t="n"/>
      <c r="HEF1" s="87" t="n"/>
      <c r="HEG1" s="87" t="n"/>
      <c r="HEH1" s="87" t="n"/>
      <c r="HEI1" s="87" t="n"/>
      <c r="HEJ1" s="87" t="n"/>
      <c r="HEK1" s="87" t="n"/>
      <c r="HEL1" s="87" t="n"/>
      <c r="HEM1" s="87" t="n"/>
      <c r="HEN1" s="87" t="n"/>
      <c r="HEO1" s="87" t="n"/>
      <c r="HEP1" s="87" t="n"/>
      <c r="HEQ1" s="87" t="n"/>
      <c r="HER1" s="87" t="n"/>
      <c r="HES1" s="87" t="n"/>
      <c r="HET1" s="87" t="n"/>
      <c r="HEU1" s="87" t="n"/>
      <c r="HEV1" s="87" t="n"/>
      <c r="HEW1" s="87" t="n"/>
      <c r="HEX1" s="87" t="n"/>
      <c r="HEY1" s="87" t="n"/>
      <c r="HEZ1" s="87" t="n"/>
      <c r="HFA1" s="87" t="n"/>
      <c r="HFB1" s="87" t="n"/>
      <c r="HFC1" s="87" t="n"/>
      <c r="HFD1" s="87" t="n"/>
      <c r="HFE1" s="87" t="n"/>
      <c r="HFF1" s="87" t="n"/>
      <c r="HFG1" s="87" t="n"/>
      <c r="HFH1" s="87" t="n"/>
      <c r="HFI1" s="87" t="n"/>
      <c r="HFJ1" s="87" t="n"/>
      <c r="HFK1" s="87" t="n"/>
      <c r="HFL1" s="87" t="n"/>
      <c r="HFM1" s="87" t="n"/>
      <c r="HFN1" s="87" t="n"/>
      <c r="HFO1" s="87" t="n"/>
      <c r="HFP1" s="87" t="n"/>
      <c r="HFQ1" s="87" t="n"/>
      <c r="HFR1" s="87" t="n"/>
      <c r="HFS1" s="87" t="n"/>
      <c r="HFT1" s="87" t="n"/>
      <c r="HFU1" s="87" t="n"/>
      <c r="HFV1" s="87" t="n"/>
      <c r="HFW1" s="87" t="n"/>
      <c r="HFX1" s="87" t="n"/>
      <c r="HFY1" s="87" t="n"/>
      <c r="HFZ1" s="87" t="n"/>
      <c r="HGA1" s="87" t="n"/>
      <c r="HGB1" s="87" t="n"/>
      <c r="HGC1" s="87" t="n"/>
      <c r="HGD1" s="87" t="n"/>
      <c r="HGE1" s="87" t="n"/>
      <c r="HGF1" s="87" t="n"/>
      <c r="HGG1" s="87" t="n"/>
      <c r="HGH1" s="87" t="n"/>
      <c r="HGI1" s="87" t="n"/>
      <c r="HGJ1" s="87" t="n"/>
      <c r="HGK1" s="87" t="n"/>
      <c r="HGL1" s="87" t="n"/>
      <c r="HGM1" s="87" t="n"/>
      <c r="HGN1" s="87" t="n"/>
      <c r="HGO1" s="87" t="n"/>
      <c r="HGP1" s="87" t="n"/>
      <c r="HGQ1" s="87" t="n"/>
      <c r="HGR1" s="87" t="n"/>
      <c r="HGS1" s="87" t="n"/>
      <c r="HGT1" s="87" t="n"/>
      <c r="HGU1" s="87" t="n"/>
      <c r="HGV1" s="87" t="n"/>
      <c r="HGW1" s="87" t="n"/>
      <c r="HGX1" s="87" t="n"/>
      <c r="HGY1" s="87" t="n"/>
      <c r="HGZ1" s="87" t="n"/>
      <c r="HHA1" s="87" t="n"/>
      <c r="HHB1" s="87" t="n"/>
      <c r="HHC1" s="87" t="n"/>
      <c r="HHD1" s="87" t="n"/>
      <c r="HHE1" s="87" t="n"/>
      <c r="HHF1" s="87" t="n"/>
      <c r="HHG1" s="87" t="n"/>
      <c r="HHH1" s="87" t="n"/>
      <c r="HHI1" s="87" t="n"/>
      <c r="HHJ1" s="87" t="n"/>
      <c r="HHK1" s="87" t="n"/>
      <c r="HHL1" s="87" t="n"/>
      <c r="HHM1" s="87" t="n"/>
      <c r="HHN1" s="87" t="n"/>
      <c r="HHO1" s="87" t="n"/>
      <c r="HHP1" s="87" t="n"/>
      <c r="HHQ1" s="87" t="n"/>
      <c r="HHR1" s="87" t="n"/>
      <c r="HHS1" s="87" t="n"/>
      <c r="HHT1" s="87" t="n"/>
      <c r="HHU1" s="87" t="n"/>
      <c r="HHV1" s="87" t="n"/>
      <c r="HHW1" s="87" t="n"/>
      <c r="HHX1" s="87" t="n"/>
      <c r="HHY1" s="87" t="n"/>
      <c r="HHZ1" s="87" t="n"/>
      <c r="HIA1" s="87" t="n"/>
      <c r="HIB1" s="87" t="n"/>
      <c r="HIC1" s="87" t="n"/>
      <c r="HID1" s="87" t="n"/>
      <c r="HIE1" s="87" t="n"/>
      <c r="HIF1" s="87" t="n"/>
      <c r="HIG1" s="87" t="n"/>
      <c r="HIH1" s="87" t="n"/>
      <c r="HII1" s="87" t="n"/>
      <c r="HIJ1" s="87" t="n"/>
      <c r="HIK1" s="87" t="n"/>
      <c r="HIL1" s="87" t="n"/>
      <c r="HIM1" s="87" t="n"/>
      <c r="HIN1" s="87" t="n"/>
      <c r="HIO1" s="87" t="n"/>
      <c r="HIP1" s="87" t="n"/>
      <c r="HIQ1" s="87" t="n"/>
      <c r="HIR1" s="87" t="n"/>
      <c r="HIS1" s="87" t="n"/>
      <c r="HIT1" s="87" t="n"/>
      <c r="HIU1" s="87" t="n"/>
      <c r="HIV1" s="87" t="n"/>
      <c r="HIW1" s="87" t="n"/>
      <c r="HIX1" s="87" t="n"/>
      <c r="HIY1" s="87" t="n"/>
      <c r="HIZ1" s="87" t="n"/>
      <c r="HJA1" s="87" t="n"/>
      <c r="HJB1" s="87" t="n"/>
      <c r="HJC1" s="87" t="n"/>
      <c r="HJD1" s="87" t="n"/>
      <c r="HJE1" s="87" t="n"/>
      <c r="HJF1" s="87" t="n"/>
      <c r="HJG1" s="87" t="n"/>
      <c r="HJH1" s="87" t="n"/>
      <c r="HJI1" s="87" t="n"/>
      <c r="HJJ1" s="87" t="n"/>
      <c r="HJK1" s="87" t="n"/>
      <c r="HJL1" s="87" t="n"/>
      <c r="HJM1" s="87" t="n"/>
      <c r="HJN1" s="87" t="n"/>
      <c r="HJO1" s="87" t="n"/>
      <c r="HJP1" s="87" t="n"/>
      <c r="HJQ1" s="87" t="n"/>
      <c r="HJR1" s="87" t="n"/>
      <c r="HJS1" s="87" t="n"/>
      <c r="HJT1" s="87" t="n"/>
      <c r="HJU1" s="87" t="n"/>
      <c r="HJV1" s="87" t="n"/>
      <c r="HJW1" s="87" t="n"/>
      <c r="HJX1" s="87" t="n"/>
      <c r="HJY1" s="87" t="n"/>
      <c r="HJZ1" s="87" t="n"/>
      <c r="HKA1" s="87" t="n"/>
      <c r="HKB1" s="87" t="n"/>
      <c r="HKC1" s="87" t="n"/>
      <c r="HKD1" s="87" t="n"/>
      <c r="HKE1" s="87" t="n"/>
      <c r="HKF1" s="87" t="n"/>
      <c r="HKG1" s="87" t="n"/>
      <c r="HKH1" s="87" t="n"/>
      <c r="HKI1" s="87" t="n"/>
      <c r="HKJ1" s="87" t="n"/>
      <c r="HKK1" s="87" t="n"/>
      <c r="HKL1" s="87" t="n"/>
      <c r="HKM1" s="87" t="n"/>
      <c r="HKN1" s="87" t="n"/>
      <c r="HKO1" s="87" t="n"/>
      <c r="HKP1" s="87" t="n"/>
      <c r="HKQ1" s="87" t="n"/>
      <c r="HKR1" s="87" t="n"/>
      <c r="HKS1" s="87" t="n"/>
      <c r="HKT1" s="87" t="n"/>
      <c r="HKU1" s="87" t="n"/>
      <c r="HKV1" s="87" t="n"/>
      <c r="HKW1" s="87" t="n"/>
      <c r="HKX1" s="87" t="n"/>
      <c r="HKY1" s="87" t="n"/>
      <c r="HKZ1" s="87" t="n"/>
      <c r="HLA1" s="87" t="n"/>
      <c r="HLB1" s="87" t="n"/>
      <c r="HLC1" s="87" t="n"/>
      <c r="HLD1" s="87" t="n"/>
      <c r="HLE1" s="87" t="n"/>
      <c r="HLF1" s="87" t="n"/>
      <c r="HLG1" s="87" t="n"/>
      <c r="HLH1" s="87" t="n"/>
      <c r="HLI1" s="87" t="n"/>
      <c r="HLJ1" s="87" t="n"/>
      <c r="HLK1" s="87" t="n"/>
      <c r="HLL1" s="87" t="n"/>
      <c r="HLM1" s="87" t="n"/>
      <c r="HLN1" s="87" t="n"/>
      <c r="HLO1" s="87" t="n"/>
      <c r="HLP1" s="87" t="n"/>
      <c r="HLQ1" s="87" t="n"/>
      <c r="HLR1" s="87" t="n"/>
      <c r="HLS1" s="87" t="n"/>
      <c r="HLT1" s="87" t="n"/>
      <c r="HLU1" s="87" t="n"/>
      <c r="HLV1" s="87" t="n"/>
      <c r="HLW1" s="87" t="n"/>
      <c r="HLX1" s="87" t="n"/>
      <c r="HLY1" s="87" t="n"/>
      <c r="HLZ1" s="87" t="n"/>
      <c r="HMA1" s="87" t="n"/>
      <c r="HMB1" s="87" t="n"/>
      <c r="HMC1" s="87" t="n"/>
      <c r="HMD1" s="87" t="n"/>
      <c r="HME1" s="87" t="n"/>
      <c r="HMF1" s="87" t="n"/>
      <c r="HMG1" s="87" t="n"/>
      <c r="HMH1" s="87" t="n"/>
      <c r="HMI1" s="87" t="n"/>
      <c r="HMJ1" s="87" t="n"/>
      <c r="HMK1" s="87" t="n"/>
      <c r="HML1" s="87" t="n"/>
      <c r="HMM1" s="87" t="n"/>
      <c r="HMN1" s="87" t="n"/>
      <c r="HMO1" s="87" t="n"/>
      <c r="HMP1" s="87" t="n"/>
      <c r="HMQ1" s="87" t="n"/>
      <c r="HMR1" s="87" t="n"/>
      <c r="HMS1" s="87" t="n"/>
      <c r="HMT1" s="87" t="n"/>
      <c r="HMU1" s="87" t="n"/>
      <c r="HMV1" s="87" t="n"/>
      <c r="HMW1" s="87" t="n"/>
      <c r="HMX1" s="87" t="n"/>
      <c r="HMY1" s="87" t="n"/>
      <c r="HMZ1" s="87" t="n"/>
      <c r="HNA1" s="87" t="n"/>
      <c r="HNB1" s="87" t="n"/>
      <c r="HNC1" s="87" t="n"/>
      <c r="HND1" s="87" t="n"/>
      <c r="HNE1" s="87" t="n"/>
      <c r="HNF1" s="87" t="n"/>
      <c r="HNG1" s="87" t="n"/>
      <c r="HNH1" s="87" t="n"/>
      <c r="HNI1" s="87" t="n"/>
      <c r="HNJ1" s="87" t="n"/>
      <c r="HNK1" s="87" t="n"/>
      <c r="HNL1" s="87" t="n"/>
      <c r="HNM1" s="87" t="n"/>
      <c r="HNN1" s="87" t="n"/>
      <c r="HNO1" s="87" t="n"/>
      <c r="HNP1" s="87" t="n"/>
      <c r="HNQ1" s="87" t="n"/>
      <c r="HNR1" s="87" t="n"/>
      <c r="HNS1" s="87" t="n"/>
      <c r="HNT1" s="87" t="n"/>
      <c r="HNU1" s="87" t="n"/>
      <c r="HNV1" s="87" t="n"/>
      <c r="HNW1" s="87" t="n"/>
      <c r="HNX1" s="87" t="n"/>
      <c r="HNY1" s="87" t="n"/>
      <c r="HNZ1" s="87" t="n"/>
      <c r="HOA1" s="87" t="n"/>
      <c r="HOB1" s="87" t="n"/>
      <c r="HOC1" s="87" t="n"/>
      <c r="HOD1" s="87" t="n"/>
      <c r="HOE1" s="87" t="n"/>
      <c r="HOF1" s="87" t="n"/>
      <c r="HOG1" s="87" t="n"/>
      <c r="HOH1" s="87" t="n"/>
      <c r="HOI1" s="87" t="n"/>
      <c r="HOJ1" s="87" t="n"/>
      <c r="HOK1" s="87" t="n"/>
      <c r="HOL1" s="87" t="n"/>
      <c r="HOM1" s="87" t="n"/>
      <c r="HON1" s="87" t="n"/>
      <c r="HOO1" s="87" t="n"/>
      <c r="HOP1" s="87" t="n"/>
      <c r="HOQ1" s="87" t="n"/>
      <c r="HOR1" s="87" t="n"/>
      <c r="HOS1" s="87" t="n"/>
      <c r="HOT1" s="87" t="n"/>
      <c r="HOU1" s="87" t="n"/>
      <c r="HOV1" s="87" t="n"/>
      <c r="HOW1" s="87" t="n"/>
      <c r="HOX1" s="87" t="n"/>
      <c r="HOY1" s="87" t="n"/>
      <c r="HOZ1" s="87" t="n"/>
      <c r="HPA1" s="87" t="n"/>
      <c r="HPB1" s="87" t="n"/>
      <c r="HPC1" s="87" t="n"/>
      <c r="HPD1" s="87" t="n"/>
      <c r="HPE1" s="87" t="n"/>
      <c r="HPF1" s="87" t="n"/>
      <c r="HPG1" s="87" t="n"/>
      <c r="HPH1" s="87" t="n"/>
      <c r="HPI1" s="87" t="n"/>
      <c r="HPJ1" s="87" t="n"/>
      <c r="HPK1" s="87" t="n"/>
      <c r="HPL1" s="87" t="n"/>
      <c r="HPM1" s="87" t="n"/>
      <c r="HPN1" s="87" t="n"/>
      <c r="HPO1" s="87" t="n"/>
      <c r="HPP1" s="87" t="n"/>
      <c r="HPQ1" s="87" t="n"/>
      <c r="HPR1" s="87" t="n"/>
      <c r="HPS1" s="87" t="n"/>
      <c r="HPT1" s="87" t="n"/>
      <c r="HPU1" s="87" t="n"/>
      <c r="HPV1" s="87" t="n"/>
      <c r="HPW1" s="87" t="n"/>
      <c r="HPX1" s="87" t="n"/>
      <c r="HPY1" s="87" t="n"/>
      <c r="HPZ1" s="87" t="n"/>
      <c r="HQA1" s="87" t="n"/>
      <c r="HQB1" s="87" t="n"/>
      <c r="HQC1" s="87" t="n"/>
      <c r="HQD1" s="87" t="n"/>
      <c r="HQE1" s="87" t="n"/>
      <c r="HQF1" s="87" t="n"/>
      <c r="HQG1" s="87" t="n"/>
      <c r="HQH1" s="87" t="n"/>
      <c r="HQI1" s="87" t="n"/>
      <c r="HQJ1" s="87" t="n"/>
      <c r="HQK1" s="87" t="n"/>
      <c r="HQL1" s="87" t="n"/>
      <c r="HQM1" s="87" t="n"/>
      <c r="HQN1" s="87" t="n"/>
      <c r="HQO1" s="87" t="n"/>
      <c r="HQP1" s="87" t="n"/>
      <c r="HQQ1" s="87" t="n"/>
      <c r="HQR1" s="87" t="n"/>
      <c r="HQS1" s="87" t="n"/>
      <c r="HQT1" s="87" t="n"/>
      <c r="HQU1" s="87" t="n"/>
      <c r="HQV1" s="87" t="n"/>
      <c r="HQW1" s="87" t="n"/>
      <c r="HQX1" s="87" t="n"/>
      <c r="HQY1" s="87" t="n"/>
      <c r="HQZ1" s="87" t="n"/>
      <c r="HRA1" s="87" t="n"/>
      <c r="HRB1" s="87" t="n"/>
      <c r="HRC1" s="87" t="n"/>
      <c r="HRD1" s="87" t="n"/>
      <c r="HRE1" s="87" t="n"/>
      <c r="HRF1" s="87" t="n"/>
      <c r="HRG1" s="87" t="n"/>
      <c r="HRH1" s="87" t="n"/>
      <c r="HRI1" s="87" t="n"/>
      <c r="HRJ1" s="87" t="n"/>
      <c r="HRK1" s="87" t="n"/>
      <c r="HRL1" s="87" t="n"/>
      <c r="HRM1" s="87" t="n"/>
      <c r="HRN1" s="87" t="n"/>
      <c r="HRO1" s="87" t="n"/>
      <c r="HRP1" s="87" t="n"/>
      <c r="HRQ1" s="87" t="n"/>
      <c r="HRR1" s="87" t="n"/>
      <c r="HRS1" s="87" t="n"/>
      <c r="HRT1" s="87" t="n"/>
      <c r="HRU1" s="87" t="n"/>
      <c r="HRV1" s="87" t="n"/>
      <c r="HRW1" s="87" t="n"/>
      <c r="HRX1" s="87" t="n"/>
      <c r="HRY1" s="87" t="n"/>
      <c r="HRZ1" s="87" t="n"/>
      <c r="HSA1" s="87" t="n"/>
      <c r="HSB1" s="87" t="n"/>
      <c r="HSC1" s="87" t="n"/>
      <c r="HSD1" s="87" t="n"/>
      <c r="HSE1" s="87" t="n"/>
      <c r="HSF1" s="87" t="n"/>
      <c r="HSG1" s="87" t="n"/>
      <c r="HSH1" s="87" t="n"/>
      <c r="HSI1" s="87" t="n"/>
      <c r="HSJ1" s="87" t="n"/>
      <c r="HSK1" s="87" t="n"/>
      <c r="HSL1" s="87" t="n"/>
      <c r="HSM1" s="87" t="n"/>
      <c r="HSN1" s="87" t="n"/>
      <c r="HSO1" s="87" t="n"/>
      <c r="HSP1" s="87" t="n"/>
      <c r="HSQ1" s="87" t="n"/>
      <c r="HSR1" s="87" t="n"/>
      <c r="HSS1" s="87" t="n"/>
      <c r="HST1" s="87" t="n"/>
      <c r="HSU1" s="87" t="n"/>
      <c r="HSV1" s="87" t="n"/>
      <c r="HSW1" s="87" t="n"/>
      <c r="HSX1" s="87" t="n"/>
      <c r="HSY1" s="87" t="n"/>
      <c r="HSZ1" s="87" t="n"/>
      <c r="HTA1" s="87" t="n"/>
      <c r="HTB1" s="87" t="n"/>
      <c r="HTC1" s="87" t="n"/>
      <c r="HTD1" s="87" t="n"/>
      <c r="HTE1" s="87" t="n"/>
      <c r="HTF1" s="87" t="n"/>
      <c r="HTG1" s="87" t="n"/>
      <c r="HTH1" s="87" t="n"/>
      <c r="HTI1" s="87" t="n"/>
      <c r="HTJ1" s="87" t="n"/>
      <c r="HTK1" s="87" t="n"/>
      <c r="HTL1" s="87" t="n"/>
      <c r="HTM1" s="87" t="n"/>
      <c r="HTN1" s="87" t="n"/>
      <c r="HTO1" s="87" t="n"/>
      <c r="HTP1" s="87" t="n"/>
      <c r="HTQ1" s="87" t="n"/>
      <c r="HTR1" s="87" t="n"/>
      <c r="HTS1" s="87" t="n"/>
      <c r="HTT1" s="87" t="n"/>
      <c r="HTU1" s="87" t="n"/>
      <c r="HTV1" s="87" t="n"/>
      <c r="HTW1" s="87" t="n"/>
      <c r="HTX1" s="87" t="n"/>
      <c r="HTY1" s="87" t="n"/>
      <c r="HTZ1" s="87" t="n"/>
      <c r="HUA1" s="87" t="n"/>
      <c r="HUB1" s="87" t="n"/>
      <c r="HUC1" s="87" t="n"/>
      <c r="HUD1" s="87" t="n"/>
      <c r="HUE1" s="87" t="n"/>
      <c r="HUF1" s="87" t="n"/>
      <c r="HUG1" s="87" t="n"/>
      <c r="HUH1" s="87" t="n"/>
      <c r="HUI1" s="87" t="n"/>
      <c r="HUJ1" s="87" t="n"/>
      <c r="HUK1" s="87" t="n"/>
      <c r="HUL1" s="87" t="n"/>
      <c r="HUM1" s="87" t="n"/>
      <c r="HUN1" s="87" t="n"/>
      <c r="HUO1" s="87" t="n"/>
      <c r="HUP1" s="87" t="n"/>
      <c r="HUQ1" s="87" t="n"/>
      <c r="HUR1" s="87" t="n"/>
      <c r="HUS1" s="87" t="n"/>
      <c r="HUT1" s="87" t="n"/>
      <c r="HUU1" s="87" t="n"/>
      <c r="HUV1" s="87" t="n"/>
      <c r="HUW1" s="87" t="n"/>
      <c r="HUX1" s="87" t="n"/>
      <c r="HUY1" s="87" t="n"/>
      <c r="HUZ1" s="87" t="n"/>
      <c r="HVA1" s="87" t="n"/>
      <c r="HVB1" s="87" t="n"/>
      <c r="HVC1" s="87" t="n"/>
      <c r="HVD1" s="87" t="n"/>
      <c r="HVE1" s="87" t="n"/>
      <c r="HVF1" s="87" t="n"/>
      <c r="HVG1" s="87" t="n"/>
      <c r="HVH1" s="87" t="n"/>
      <c r="HVI1" s="87" t="n"/>
      <c r="HVJ1" s="87" t="n"/>
      <c r="HVK1" s="87" t="n"/>
      <c r="HVL1" s="87" t="n"/>
      <c r="HVM1" s="87" t="n"/>
      <c r="HVN1" s="87" t="n"/>
      <c r="HVO1" s="87" t="n"/>
      <c r="HVP1" s="87" t="n"/>
      <c r="HVQ1" s="87" t="n"/>
      <c r="HVR1" s="87" t="n"/>
      <c r="HVS1" s="87" t="n"/>
      <c r="HVT1" s="87" t="n"/>
      <c r="HVU1" s="87" t="n"/>
      <c r="HVV1" s="87" t="n"/>
      <c r="HVW1" s="87" t="n"/>
      <c r="HVX1" s="87" t="n"/>
      <c r="HVY1" s="87" t="n"/>
      <c r="HVZ1" s="87" t="n"/>
      <c r="HWA1" s="87" t="n"/>
      <c r="HWB1" s="87" t="n"/>
      <c r="HWC1" s="87" t="n"/>
      <c r="HWD1" s="87" t="n"/>
      <c r="HWE1" s="87" t="n"/>
      <c r="HWF1" s="87" t="n"/>
      <c r="HWG1" s="87" t="n"/>
      <c r="HWH1" s="87" t="n"/>
      <c r="HWI1" s="87" t="n"/>
      <c r="HWJ1" s="87" t="n"/>
      <c r="HWK1" s="87" t="n"/>
      <c r="HWL1" s="87" t="n"/>
      <c r="HWM1" s="87" t="n"/>
      <c r="HWN1" s="87" t="n"/>
      <c r="HWO1" s="87" t="n"/>
      <c r="HWP1" s="87" t="n"/>
      <c r="HWQ1" s="87" t="n"/>
      <c r="HWR1" s="87" t="n"/>
      <c r="HWS1" s="87" t="n"/>
      <c r="HWT1" s="87" t="n"/>
      <c r="HWU1" s="87" t="n"/>
      <c r="HWV1" s="87" t="n"/>
      <c r="HWW1" s="87" t="n"/>
      <c r="HWX1" s="87" t="n"/>
      <c r="HWY1" s="87" t="n"/>
      <c r="HWZ1" s="87" t="n"/>
      <c r="HXA1" s="87" t="n"/>
      <c r="HXB1" s="87" t="n"/>
      <c r="HXC1" s="87" t="n"/>
      <c r="HXD1" s="87" t="n"/>
      <c r="HXE1" s="87" t="n"/>
      <c r="HXF1" s="87" t="n"/>
      <c r="HXG1" s="87" t="n"/>
      <c r="HXH1" s="87" t="n"/>
      <c r="HXI1" s="87" t="n"/>
      <c r="HXJ1" s="87" t="n"/>
      <c r="HXK1" s="87" t="n"/>
      <c r="HXL1" s="87" t="n"/>
      <c r="HXM1" s="87" t="n"/>
      <c r="HXN1" s="87" t="n"/>
      <c r="HXO1" s="87" t="n"/>
      <c r="HXP1" s="87" t="n"/>
      <c r="HXQ1" s="87" t="n"/>
      <c r="HXR1" s="87" t="n"/>
      <c r="HXS1" s="87" t="n"/>
      <c r="HXT1" s="87" t="n"/>
      <c r="HXU1" s="87" t="n"/>
      <c r="HXV1" s="87" t="n"/>
      <c r="HXW1" s="87" t="n"/>
      <c r="HXX1" s="87" t="n"/>
      <c r="HXY1" s="87" t="n"/>
      <c r="HXZ1" s="87" t="n"/>
      <c r="HYA1" s="87" t="n"/>
      <c r="HYB1" s="87" t="n"/>
      <c r="HYC1" s="87" t="n"/>
      <c r="HYD1" s="87" t="n"/>
      <c r="HYE1" s="87" t="n"/>
      <c r="HYF1" s="87" t="n"/>
      <c r="HYG1" s="87" t="n"/>
      <c r="HYH1" s="87" t="n"/>
      <c r="HYI1" s="87" t="n"/>
      <c r="HYJ1" s="87" t="n"/>
      <c r="HYK1" s="87" t="n"/>
      <c r="HYL1" s="87" t="n"/>
      <c r="HYM1" s="87" t="n"/>
      <c r="HYN1" s="87" t="n"/>
      <c r="HYO1" s="87" t="n"/>
      <c r="HYP1" s="87" t="n"/>
      <c r="HYQ1" s="87" t="n"/>
      <c r="HYR1" s="87" t="n"/>
      <c r="HYS1" s="87" t="n"/>
      <c r="HYT1" s="87" t="n"/>
      <c r="HYU1" s="87" t="n"/>
      <c r="HYV1" s="87" t="n"/>
      <c r="HYW1" s="87" t="n"/>
      <c r="HYX1" s="87" t="n"/>
      <c r="HYY1" s="87" t="n"/>
      <c r="HYZ1" s="87" t="n"/>
      <c r="HZA1" s="87" t="n"/>
      <c r="HZB1" s="87" t="n"/>
      <c r="HZC1" s="87" t="n"/>
      <c r="HZD1" s="87" t="n"/>
      <c r="HZE1" s="87" t="n"/>
      <c r="HZF1" s="87" t="n"/>
      <c r="HZG1" s="87" t="n"/>
      <c r="HZH1" s="87" t="n"/>
      <c r="HZI1" s="87" t="n"/>
      <c r="HZJ1" s="87" t="n"/>
      <c r="HZK1" s="87" t="n"/>
      <c r="HZL1" s="87" t="n"/>
      <c r="HZM1" s="87" t="n"/>
      <c r="HZN1" s="87" t="n"/>
      <c r="HZO1" s="87" t="n"/>
      <c r="HZP1" s="87" t="n"/>
      <c r="HZQ1" s="87" t="n"/>
      <c r="HZR1" s="87" t="n"/>
      <c r="HZS1" s="87" t="n"/>
      <c r="HZT1" s="87" t="n"/>
      <c r="HZU1" s="87" t="n"/>
      <c r="HZV1" s="87" t="n"/>
      <c r="HZW1" s="87" t="n"/>
      <c r="HZX1" s="87" t="n"/>
      <c r="HZY1" s="87" t="n"/>
      <c r="HZZ1" s="87" t="n"/>
      <c r="IAA1" s="87" t="n"/>
      <c r="IAB1" s="87" t="n"/>
      <c r="IAC1" s="87" t="n"/>
      <c r="IAD1" s="87" t="n"/>
      <c r="IAE1" s="87" t="n"/>
      <c r="IAF1" s="87" t="n"/>
      <c r="IAG1" s="87" t="n"/>
      <c r="IAH1" s="87" t="n"/>
      <c r="IAI1" s="87" t="n"/>
      <c r="IAJ1" s="87" t="n"/>
      <c r="IAK1" s="87" t="n"/>
      <c r="IAL1" s="87" t="n"/>
      <c r="IAM1" s="87" t="n"/>
      <c r="IAN1" s="87" t="n"/>
      <c r="IAO1" s="87" t="n"/>
      <c r="IAP1" s="87" t="n"/>
      <c r="IAQ1" s="87" t="n"/>
      <c r="IAR1" s="87" t="n"/>
      <c r="IAS1" s="87" t="n"/>
      <c r="IAT1" s="87" t="n"/>
      <c r="IAU1" s="87" t="n"/>
      <c r="IAV1" s="87" t="n"/>
      <c r="IAW1" s="87" t="n"/>
      <c r="IAX1" s="87" t="n"/>
      <c r="IAY1" s="87" t="n"/>
      <c r="IAZ1" s="87" t="n"/>
      <c r="IBA1" s="87" t="n"/>
      <c r="IBB1" s="87" t="n"/>
      <c r="IBC1" s="87" t="n"/>
      <c r="IBD1" s="87" t="n"/>
      <c r="IBE1" s="87" t="n"/>
      <c r="IBF1" s="87" t="n"/>
      <c r="IBG1" s="87" t="n"/>
      <c r="IBH1" s="87" t="n"/>
      <c r="IBI1" s="87" t="n"/>
      <c r="IBJ1" s="87" t="n"/>
      <c r="IBK1" s="87" t="n"/>
      <c r="IBL1" s="87" t="n"/>
      <c r="IBM1" s="87" t="n"/>
      <c r="IBN1" s="87" t="n"/>
      <c r="IBO1" s="87" t="n"/>
      <c r="IBP1" s="87" t="n"/>
      <c r="IBQ1" s="87" t="n"/>
      <c r="IBR1" s="87" t="n"/>
      <c r="IBS1" s="87" t="n"/>
      <c r="IBT1" s="87" t="n"/>
      <c r="IBU1" s="87" t="n"/>
      <c r="IBV1" s="87" t="n"/>
      <c r="IBW1" s="87" t="n"/>
      <c r="IBX1" s="87" t="n"/>
      <c r="IBY1" s="87" t="n"/>
      <c r="IBZ1" s="87" t="n"/>
      <c r="ICA1" s="87" t="n"/>
      <c r="ICB1" s="87" t="n"/>
      <c r="ICC1" s="87" t="n"/>
      <c r="ICD1" s="87" t="n"/>
      <c r="ICE1" s="87" t="n"/>
      <c r="ICF1" s="87" t="n"/>
      <c r="ICG1" s="87" t="n"/>
      <c r="ICH1" s="87" t="n"/>
      <c r="ICI1" s="87" t="n"/>
      <c r="ICJ1" s="87" t="n"/>
      <c r="ICK1" s="87" t="n"/>
      <c r="ICL1" s="87" t="n"/>
      <c r="ICM1" s="87" t="n"/>
      <c r="ICN1" s="87" t="n"/>
      <c r="ICO1" s="87" t="n"/>
      <c r="ICP1" s="87" t="n"/>
      <c r="ICQ1" s="87" t="n"/>
      <c r="ICR1" s="87" t="n"/>
      <c r="ICS1" s="87" t="n"/>
      <c r="ICT1" s="87" t="n"/>
      <c r="ICU1" s="87" t="n"/>
      <c r="ICV1" s="87" t="n"/>
      <c r="ICW1" s="87" t="n"/>
      <c r="ICX1" s="87" t="n"/>
      <c r="ICY1" s="87" t="n"/>
      <c r="ICZ1" s="87" t="n"/>
      <c r="IDA1" s="87" t="n"/>
      <c r="IDB1" s="87" t="n"/>
      <c r="IDC1" s="87" t="n"/>
      <c r="IDD1" s="87" t="n"/>
      <c r="IDE1" s="87" t="n"/>
      <c r="IDF1" s="87" t="n"/>
      <c r="IDG1" s="87" t="n"/>
      <c r="IDH1" s="87" t="n"/>
      <c r="IDI1" s="87" t="n"/>
      <c r="IDJ1" s="87" t="n"/>
      <c r="IDK1" s="87" t="n"/>
      <c r="IDL1" s="87" t="n"/>
      <c r="IDM1" s="87" t="n"/>
      <c r="IDN1" s="87" t="n"/>
      <c r="IDO1" s="87" t="n"/>
      <c r="IDP1" s="87" t="n"/>
      <c r="IDQ1" s="87" t="n"/>
      <c r="IDR1" s="87" t="n"/>
      <c r="IDS1" s="87" t="n"/>
      <c r="IDT1" s="87" t="n"/>
      <c r="IDU1" s="87" t="n"/>
      <c r="IDV1" s="87" t="n"/>
      <c r="IDW1" s="87" t="n"/>
      <c r="IDX1" s="87" t="n"/>
      <c r="IDY1" s="87" t="n"/>
      <c r="IDZ1" s="87" t="n"/>
      <c r="IEA1" s="87" t="n"/>
      <c r="IEB1" s="87" t="n"/>
      <c r="IEC1" s="87" t="n"/>
      <c r="IED1" s="87" t="n"/>
      <c r="IEE1" s="87" t="n"/>
      <c r="IEF1" s="87" t="n"/>
      <c r="IEG1" s="87" t="n"/>
      <c r="IEH1" s="87" t="n"/>
      <c r="IEI1" s="87" t="n"/>
      <c r="IEJ1" s="87" t="n"/>
      <c r="IEK1" s="87" t="n"/>
      <c r="IEL1" s="87" t="n"/>
      <c r="IEM1" s="87" t="n"/>
      <c r="IEN1" s="87" t="n"/>
      <c r="IEO1" s="87" t="n"/>
      <c r="IEP1" s="87" t="n"/>
      <c r="IEQ1" s="87" t="n"/>
      <c r="IER1" s="87" t="n"/>
      <c r="IES1" s="87" t="n"/>
      <c r="IET1" s="87" t="n"/>
      <c r="IEU1" s="87" t="n"/>
      <c r="IEV1" s="87" t="n"/>
      <c r="IEW1" s="87" t="n"/>
      <c r="IEX1" s="87" t="n"/>
      <c r="IEY1" s="87" t="n"/>
      <c r="IEZ1" s="87" t="n"/>
      <c r="IFA1" s="87" t="n"/>
      <c r="IFB1" s="87" t="n"/>
      <c r="IFC1" s="87" t="n"/>
      <c r="IFD1" s="87" t="n"/>
      <c r="IFE1" s="87" t="n"/>
      <c r="IFF1" s="87" t="n"/>
      <c r="IFG1" s="87" t="n"/>
      <c r="IFH1" s="87" t="n"/>
      <c r="IFI1" s="87" t="n"/>
      <c r="IFJ1" s="87" t="n"/>
      <c r="IFK1" s="87" t="n"/>
      <c r="IFL1" s="87" t="n"/>
      <c r="IFM1" s="87" t="n"/>
      <c r="IFN1" s="87" t="n"/>
      <c r="IFO1" s="87" t="n"/>
      <c r="IFP1" s="87" t="n"/>
      <c r="IFQ1" s="87" t="n"/>
      <c r="IFR1" s="87" t="n"/>
      <c r="IFS1" s="87" t="n"/>
      <c r="IFT1" s="87" t="n"/>
      <c r="IFU1" s="87" t="n"/>
      <c r="IFV1" s="87" t="n"/>
      <c r="IFW1" s="87" t="n"/>
      <c r="IFX1" s="87" t="n"/>
      <c r="IFY1" s="87" t="n"/>
      <c r="IFZ1" s="87" t="n"/>
      <c r="IGA1" s="87" t="n"/>
      <c r="IGB1" s="87" t="n"/>
      <c r="IGC1" s="87" t="n"/>
      <c r="IGD1" s="87" t="n"/>
      <c r="IGE1" s="87" t="n"/>
      <c r="IGF1" s="87" t="n"/>
      <c r="IGG1" s="87" t="n"/>
      <c r="IGH1" s="87" t="n"/>
      <c r="IGI1" s="87" t="n"/>
      <c r="IGJ1" s="87" t="n"/>
      <c r="IGK1" s="87" t="n"/>
      <c r="IGL1" s="87" t="n"/>
      <c r="IGM1" s="87" t="n"/>
      <c r="IGN1" s="87" t="n"/>
      <c r="IGO1" s="87" t="n"/>
      <c r="IGP1" s="87" t="n"/>
      <c r="IGQ1" s="87" t="n"/>
      <c r="IGR1" s="87" t="n"/>
      <c r="IGS1" s="87" t="n"/>
      <c r="IGT1" s="87" t="n"/>
      <c r="IGU1" s="87" t="n"/>
      <c r="IGV1" s="87" t="n"/>
      <c r="IGW1" s="87" t="n"/>
      <c r="IGX1" s="87" t="n"/>
      <c r="IGY1" s="87" t="n"/>
      <c r="IGZ1" s="87" t="n"/>
      <c r="IHA1" s="87" t="n"/>
      <c r="IHB1" s="87" t="n"/>
      <c r="IHC1" s="87" t="n"/>
      <c r="IHD1" s="87" t="n"/>
      <c r="IHE1" s="87" t="n"/>
      <c r="IHF1" s="87" t="n"/>
      <c r="IHG1" s="87" t="n"/>
      <c r="IHH1" s="87" t="n"/>
      <c r="IHI1" s="87" t="n"/>
      <c r="IHJ1" s="87" t="n"/>
      <c r="IHK1" s="87" t="n"/>
      <c r="IHL1" s="87" t="n"/>
      <c r="IHM1" s="87" t="n"/>
      <c r="IHN1" s="87" t="n"/>
      <c r="IHO1" s="87" t="n"/>
      <c r="IHP1" s="87" t="n"/>
      <c r="IHQ1" s="87" t="n"/>
      <c r="IHR1" s="87" t="n"/>
      <c r="IHS1" s="87" t="n"/>
      <c r="IHT1" s="87" t="n"/>
      <c r="IHU1" s="87" t="n"/>
      <c r="IHV1" s="87" t="n"/>
      <c r="IHW1" s="87" t="n"/>
      <c r="IHX1" s="87" t="n"/>
      <c r="IHY1" s="87" t="n"/>
      <c r="IHZ1" s="87" t="n"/>
      <c r="IIA1" s="87" t="n"/>
      <c r="IIB1" s="87" t="n"/>
      <c r="IIC1" s="87" t="n"/>
      <c r="IID1" s="87" t="n"/>
      <c r="IIE1" s="87" t="n"/>
      <c r="IIF1" s="87" t="n"/>
      <c r="IIG1" s="87" t="n"/>
      <c r="IIH1" s="87" t="n"/>
      <c r="III1" s="87" t="n"/>
      <c r="IIJ1" s="87" t="n"/>
      <c r="IIK1" s="87" t="n"/>
      <c r="IIL1" s="87" t="n"/>
      <c r="IIM1" s="87" t="n"/>
      <c r="IIN1" s="87" t="n"/>
      <c r="IIO1" s="87" t="n"/>
      <c r="IIP1" s="87" t="n"/>
      <c r="IIQ1" s="87" t="n"/>
      <c r="IIR1" s="87" t="n"/>
      <c r="IIS1" s="87" t="n"/>
      <c r="IIT1" s="87" t="n"/>
      <c r="IIU1" s="87" t="n"/>
      <c r="IIV1" s="87" t="n"/>
      <c r="IIW1" s="87" t="n"/>
      <c r="IIX1" s="87" t="n"/>
      <c r="IIY1" s="87" t="n"/>
      <c r="IIZ1" s="87" t="n"/>
      <c r="IJA1" s="87" t="n"/>
      <c r="IJB1" s="87" t="n"/>
      <c r="IJC1" s="87" t="n"/>
      <c r="IJD1" s="87" t="n"/>
      <c r="IJE1" s="87" t="n"/>
      <c r="IJF1" s="87" t="n"/>
      <c r="IJG1" s="87" t="n"/>
      <c r="IJH1" s="87" t="n"/>
      <c r="IJI1" s="87" t="n"/>
      <c r="IJJ1" s="87" t="n"/>
      <c r="IJK1" s="87" t="n"/>
      <c r="IJL1" s="87" t="n"/>
      <c r="IJM1" s="87" t="n"/>
      <c r="IJN1" s="87" t="n"/>
      <c r="IJO1" s="87" t="n"/>
      <c r="IJP1" s="87" t="n"/>
      <c r="IJQ1" s="87" t="n"/>
      <c r="IJR1" s="87" t="n"/>
      <c r="IJS1" s="87" t="n"/>
      <c r="IJT1" s="87" t="n"/>
      <c r="IJU1" s="87" t="n"/>
      <c r="IJV1" s="87" t="n"/>
      <c r="IJW1" s="87" t="n"/>
      <c r="IJX1" s="87" t="n"/>
      <c r="IJY1" s="87" t="n"/>
      <c r="IJZ1" s="87" t="n"/>
      <c r="IKA1" s="87" t="n"/>
      <c r="IKB1" s="87" t="n"/>
      <c r="IKC1" s="87" t="n"/>
      <c r="IKD1" s="87" t="n"/>
      <c r="IKE1" s="87" t="n"/>
      <c r="IKF1" s="87" t="n"/>
      <c r="IKG1" s="87" t="n"/>
      <c r="IKH1" s="87" t="n"/>
      <c r="IKI1" s="87" t="n"/>
      <c r="IKJ1" s="87" t="n"/>
      <c r="IKK1" s="87" t="n"/>
      <c r="IKL1" s="87" t="n"/>
      <c r="IKM1" s="87" t="n"/>
      <c r="IKN1" s="87" t="n"/>
      <c r="IKO1" s="87" t="n"/>
      <c r="IKP1" s="87" t="n"/>
      <c r="IKQ1" s="87" t="n"/>
      <c r="IKR1" s="87" t="n"/>
      <c r="IKS1" s="87" t="n"/>
      <c r="IKT1" s="87" t="n"/>
      <c r="IKU1" s="87" t="n"/>
      <c r="IKV1" s="87" t="n"/>
      <c r="IKW1" s="87" t="n"/>
      <c r="IKX1" s="87" t="n"/>
      <c r="IKY1" s="87" t="n"/>
      <c r="IKZ1" s="87" t="n"/>
      <c r="ILA1" s="87" t="n"/>
      <c r="ILB1" s="87" t="n"/>
      <c r="ILC1" s="87" t="n"/>
      <c r="ILD1" s="87" t="n"/>
      <c r="ILE1" s="87" t="n"/>
      <c r="ILF1" s="87" t="n"/>
      <c r="ILG1" s="87" t="n"/>
      <c r="ILH1" s="87" t="n"/>
      <c r="ILI1" s="87" t="n"/>
      <c r="ILJ1" s="87" t="n"/>
      <c r="ILK1" s="87" t="n"/>
      <c r="ILL1" s="87" t="n"/>
      <c r="ILM1" s="87" t="n"/>
      <c r="ILN1" s="87" t="n"/>
      <c r="ILO1" s="87" t="n"/>
      <c r="ILP1" s="87" t="n"/>
      <c r="ILQ1" s="87" t="n"/>
      <c r="ILR1" s="87" t="n"/>
      <c r="ILS1" s="87" t="n"/>
      <c r="ILT1" s="87" t="n"/>
      <c r="ILU1" s="87" t="n"/>
      <c r="ILV1" s="87" t="n"/>
      <c r="ILW1" s="87" t="n"/>
      <c r="ILX1" s="87" t="n"/>
      <c r="ILY1" s="87" t="n"/>
      <c r="ILZ1" s="87" t="n"/>
      <c r="IMA1" s="87" t="n"/>
      <c r="IMB1" s="87" t="n"/>
      <c r="IMC1" s="87" t="n"/>
      <c r="IMD1" s="87" t="n"/>
      <c r="IME1" s="87" t="n"/>
      <c r="IMF1" s="87" t="n"/>
      <c r="IMG1" s="87" t="n"/>
      <c r="IMH1" s="87" t="n"/>
      <c r="IMI1" s="87" t="n"/>
      <c r="IMJ1" s="87" t="n"/>
      <c r="IMK1" s="87" t="n"/>
      <c r="IML1" s="87" t="n"/>
      <c r="IMM1" s="87" t="n"/>
      <c r="IMN1" s="87" t="n"/>
      <c r="IMO1" s="87" t="n"/>
      <c r="IMP1" s="87" t="n"/>
      <c r="IMQ1" s="87" t="n"/>
      <c r="IMR1" s="87" t="n"/>
      <c r="IMS1" s="87" t="n"/>
      <c r="IMT1" s="87" t="n"/>
      <c r="IMU1" s="87" t="n"/>
      <c r="IMV1" s="87" t="n"/>
      <c r="IMW1" s="87" t="n"/>
      <c r="IMX1" s="87" t="n"/>
      <c r="IMY1" s="87" t="n"/>
      <c r="IMZ1" s="87" t="n"/>
      <c r="INA1" s="87" t="n"/>
      <c r="INB1" s="87" t="n"/>
      <c r="INC1" s="87" t="n"/>
      <c r="IND1" s="87" t="n"/>
      <c r="INE1" s="87" t="n"/>
      <c r="INF1" s="87" t="n"/>
      <c r="ING1" s="87" t="n"/>
      <c r="INH1" s="87" t="n"/>
      <c r="INI1" s="87" t="n"/>
      <c r="INJ1" s="87" t="n"/>
      <c r="INK1" s="87" t="n"/>
      <c r="INL1" s="87" t="n"/>
      <c r="INM1" s="87" t="n"/>
      <c r="INN1" s="87" t="n"/>
      <c r="INO1" s="87" t="n"/>
      <c r="INP1" s="87" t="n"/>
      <c r="INQ1" s="87" t="n"/>
      <c r="INR1" s="87" t="n"/>
      <c r="INS1" s="87" t="n"/>
      <c r="INT1" s="87" t="n"/>
      <c r="INU1" s="87" t="n"/>
      <c r="INV1" s="87" t="n"/>
      <c r="INW1" s="87" t="n"/>
      <c r="INX1" s="87" t="n"/>
      <c r="INY1" s="87" t="n"/>
      <c r="INZ1" s="87" t="n"/>
      <c r="IOA1" s="87" t="n"/>
      <c r="IOB1" s="87" t="n"/>
      <c r="IOC1" s="87" t="n"/>
      <c r="IOD1" s="87" t="n"/>
      <c r="IOE1" s="87" t="n"/>
      <c r="IOF1" s="87" t="n"/>
      <c r="IOG1" s="87" t="n"/>
      <c r="IOH1" s="87" t="n"/>
      <c r="IOI1" s="87" t="n"/>
      <c r="IOJ1" s="87" t="n"/>
      <c r="IOK1" s="87" t="n"/>
      <c r="IOL1" s="87" t="n"/>
      <c r="IOM1" s="87" t="n"/>
      <c r="ION1" s="87" t="n"/>
      <c r="IOO1" s="87" t="n"/>
      <c r="IOP1" s="87" t="n"/>
      <c r="IOQ1" s="87" t="n"/>
      <c r="IOR1" s="87" t="n"/>
      <c r="IOS1" s="87" t="n"/>
      <c r="IOT1" s="87" t="n"/>
      <c r="IOU1" s="87" t="n"/>
      <c r="IOV1" s="87" t="n"/>
      <c r="IOW1" s="87" t="n"/>
      <c r="IOX1" s="87" t="n"/>
      <c r="IOY1" s="87" t="n"/>
      <c r="IOZ1" s="87" t="n"/>
      <c r="IPA1" s="87" t="n"/>
      <c r="IPB1" s="87" t="n"/>
      <c r="IPC1" s="87" t="n"/>
      <c r="IPD1" s="87" t="n"/>
      <c r="IPE1" s="87" t="n"/>
      <c r="IPF1" s="87" t="n"/>
      <c r="IPG1" s="87" t="n"/>
      <c r="IPH1" s="87" t="n"/>
      <c r="IPI1" s="87" t="n"/>
      <c r="IPJ1" s="87" t="n"/>
      <c r="IPK1" s="87" t="n"/>
      <c r="IPL1" s="87" t="n"/>
      <c r="IPM1" s="87" t="n"/>
      <c r="IPN1" s="87" t="n"/>
      <c r="IPO1" s="87" t="n"/>
      <c r="IPP1" s="87" t="n"/>
      <c r="IPQ1" s="87" t="n"/>
      <c r="IPR1" s="87" t="n"/>
      <c r="IPS1" s="87" t="n"/>
      <c r="IPT1" s="87" t="n"/>
      <c r="IPU1" s="87" t="n"/>
      <c r="IPV1" s="87" t="n"/>
      <c r="IPW1" s="87" t="n"/>
      <c r="IPX1" s="87" t="n"/>
      <c r="IPY1" s="87" t="n"/>
      <c r="IPZ1" s="87" t="n"/>
      <c r="IQA1" s="87" t="n"/>
      <c r="IQB1" s="87" t="n"/>
      <c r="IQC1" s="87" t="n"/>
      <c r="IQD1" s="87" t="n"/>
      <c r="IQE1" s="87" t="n"/>
      <c r="IQF1" s="87" t="n"/>
      <c r="IQG1" s="87" t="n"/>
      <c r="IQH1" s="87" t="n"/>
      <c r="IQI1" s="87" t="n"/>
      <c r="IQJ1" s="87" t="n"/>
      <c r="IQK1" s="87" t="n"/>
      <c r="IQL1" s="87" t="n"/>
      <c r="IQM1" s="87" t="n"/>
      <c r="IQN1" s="87" t="n"/>
      <c r="IQO1" s="87" t="n"/>
      <c r="IQP1" s="87" t="n"/>
      <c r="IQQ1" s="87" t="n"/>
      <c r="IQR1" s="87" t="n"/>
      <c r="IQS1" s="87" t="n"/>
      <c r="IQT1" s="87" t="n"/>
      <c r="IQU1" s="87" t="n"/>
      <c r="IQV1" s="87" t="n"/>
      <c r="IQW1" s="87" t="n"/>
      <c r="IQX1" s="87" t="n"/>
      <c r="IQY1" s="87" t="n"/>
      <c r="IQZ1" s="87" t="n"/>
      <c r="IRA1" s="87" t="n"/>
      <c r="IRB1" s="87" t="n"/>
      <c r="IRC1" s="87" t="n"/>
      <c r="IRD1" s="87" t="n"/>
      <c r="IRE1" s="87" t="n"/>
      <c r="IRF1" s="87" t="n"/>
      <c r="IRG1" s="87" t="n"/>
      <c r="IRH1" s="87" t="n"/>
      <c r="IRI1" s="87" t="n"/>
      <c r="IRJ1" s="87" t="n"/>
      <c r="IRK1" s="87" t="n"/>
      <c r="IRL1" s="87" t="n"/>
      <c r="IRM1" s="87" t="n"/>
      <c r="IRN1" s="87" t="n"/>
      <c r="IRO1" s="87" t="n"/>
      <c r="IRP1" s="87" t="n"/>
      <c r="IRQ1" s="87" t="n"/>
      <c r="IRR1" s="87" t="n"/>
      <c r="IRS1" s="87" t="n"/>
      <c r="IRT1" s="87" t="n"/>
      <c r="IRU1" s="87" t="n"/>
      <c r="IRV1" s="87" t="n"/>
      <c r="IRW1" s="87" t="n"/>
      <c r="IRX1" s="87" t="n"/>
      <c r="IRY1" s="87" t="n"/>
      <c r="IRZ1" s="87" t="n"/>
      <c r="ISA1" s="87" t="n"/>
      <c r="ISB1" s="87" t="n"/>
      <c r="ISC1" s="87" t="n"/>
      <c r="ISD1" s="87" t="n"/>
      <c r="ISE1" s="87" t="n"/>
      <c r="ISF1" s="87" t="n"/>
      <c r="ISG1" s="87" t="n"/>
      <c r="ISH1" s="87" t="n"/>
      <c r="ISI1" s="87" t="n"/>
      <c r="ISJ1" s="87" t="n"/>
      <c r="ISK1" s="87" t="n"/>
      <c r="ISL1" s="87" t="n"/>
      <c r="ISM1" s="87" t="n"/>
      <c r="ISN1" s="87" t="n"/>
      <c r="ISO1" s="87" t="n"/>
      <c r="ISP1" s="87" t="n"/>
      <c r="ISQ1" s="87" t="n"/>
      <c r="ISR1" s="87" t="n"/>
      <c r="ISS1" s="87" t="n"/>
      <c r="IST1" s="87" t="n"/>
      <c r="ISU1" s="87" t="n"/>
      <c r="ISV1" s="87" t="n"/>
      <c r="ISW1" s="87" t="n"/>
      <c r="ISX1" s="87" t="n"/>
      <c r="ISY1" s="87" t="n"/>
      <c r="ISZ1" s="87" t="n"/>
      <c r="ITA1" s="87" t="n"/>
      <c r="ITB1" s="87" t="n"/>
      <c r="ITC1" s="87" t="n"/>
      <c r="ITD1" s="87" t="n"/>
      <c r="ITE1" s="87" t="n"/>
      <c r="ITF1" s="87" t="n"/>
      <c r="ITG1" s="87" t="n"/>
      <c r="ITH1" s="87" t="n"/>
      <c r="ITI1" s="87" t="n"/>
      <c r="ITJ1" s="87" t="n"/>
      <c r="ITK1" s="87" t="n"/>
      <c r="ITL1" s="87" t="n"/>
      <c r="ITM1" s="87" t="n"/>
      <c r="ITN1" s="87" t="n"/>
      <c r="ITO1" s="87" t="n"/>
      <c r="ITP1" s="87" t="n"/>
      <c r="ITQ1" s="87" t="n"/>
      <c r="ITR1" s="87" t="n"/>
      <c r="ITS1" s="87" t="n"/>
      <c r="ITT1" s="87" t="n"/>
      <c r="ITU1" s="87" t="n"/>
      <c r="ITV1" s="87" t="n"/>
      <c r="ITW1" s="87" t="n"/>
      <c r="ITX1" s="87" t="n"/>
      <c r="ITY1" s="87" t="n"/>
      <c r="ITZ1" s="87" t="n"/>
      <c r="IUA1" s="87" t="n"/>
      <c r="IUB1" s="87" t="n"/>
      <c r="IUC1" s="87" t="n"/>
      <c r="IUD1" s="87" t="n"/>
      <c r="IUE1" s="87" t="n"/>
      <c r="IUF1" s="87" t="n"/>
      <c r="IUG1" s="87" t="n"/>
      <c r="IUH1" s="87" t="n"/>
      <c r="IUI1" s="87" t="n"/>
      <c r="IUJ1" s="87" t="n"/>
      <c r="IUK1" s="87" t="n"/>
      <c r="IUL1" s="87" t="n"/>
      <c r="IUM1" s="87" t="n"/>
      <c r="IUN1" s="87" t="n"/>
      <c r="IUO1" s="87" t="n"/>
      <c r="IUP1" s="87" t="n"/>
      <c r="IUQ1" s="87" t="n"/>
      <c r="IUR1" s="87" t="n"/>
      <c r="IUS1" s="87" t="n"/>
      <c r="IUT1" s="87" t="n"/>
      <c r="IUU1" s="87" t="n"/>
      <c r="IUV1" s="87" t="n"/>
      <c r="IUW1" s="87" t="n"/>
      <c r="IUX1" s="87" t="n"/>
      <c r="IUY1" s="87" t="n"/>
      <c r="IUZ1" s="87" t="n"/>
      <c r="IVA1" s="87" t="n"/>
      <c r="IVB1" s="87" t="n"/>
      <c r="IVC1" s="87" t="n"/>
      <c r="IVD1" s="87" t="n"/>
      <c r="IVE1" s="87" t="n"/>
      <c r="IVF1" s="87" t="n"/>
      <c r="IVG1" s="87" t="n"/>
      <c r="IVH1" s="87" t="n"/>
      <c r="IVI1" s="87" t="n"/>
      <c r="IVJ1" s="87" t="n"/>
      <c r="IVK1" s="87" t="n"/>
      <c r="IVL1" s="87" t="n"/>
      <c r="IVM1" s="87" t="n"/>
      <c r="IVN1" s="87" t="n"/>
      <c r="IVO1" s="87" t="n"/>
      <c r="IVP1" s="87" t="n"/>
      <c r="IVQ1" s="87" t="n"/>
      <c r="IVR1" s="87" t="n"/>
      <c r="IVS1" s="87" t="n"/>
      <c r="IVT1" s="87" t="n"/>
      <c r="IVU1" s="87" t="n"/>
      <c r="IVV1" s="87" t="n"/>
      <c r="IVW1" s="87" t="n"/>
      <c r="IVX1" s="87" t="n"/>
      <c r="IVY1" s="87" t="n"/>
      <c r="IVZ1" s="87" t="n"/>
      <c r="IWA1" s="87" t="n"/>
      <c r="IWB1" s="87" t="n"/>
      <c r="IWC1" s="87" t="n"/>
      <c r="IWD1" s="87" t="n"/>
      <c r="IWE1" s="87" t="n"/>
      <c r="IWF1" s="87" t="n"/>
      <c r="IWG1" s="87" t="n"/>
      <c r="IWH1" s="87" t="n"/>
      <c r="IWI1" s="87" t="n"/>
      <c r="IWJ1" s="87" t="n"/>
      <c r="IWK1" s="87" t="n"/>
      <c r="IWL1" s="87" t="n"/>
      <c r="IWM1" s="87" t="n"/>
      <c r="IWN1" s="87" t="n"/>
      <c r="IWO1" s="87" t="n"/>
      <c r="IWP1" s="87" t="n"/>
      <c r="IWQ1" s="87" t="n"/>
      <c r="IWR1" s="87" t="n"/>
      <c r="IWS1" s="87" t="n"/>
      <c r="IWT1" s="87" t="n"/>
      <c r="IWU1" s="87" t="n"/>
      <c r="IWV1" s="87" t="n"/>
      <c r="IWW1" s="87" t="n"/>
      <c r="IWX1" s="87" t="n"/>
      <c r="IWY1" s="87" t="n"/>
      <c r="IWZ1" s="87" t="n"/>
      <c r="IXA1" s="87" t="n"/>
      <c r="IXB1" s="87" t="n"/>
      <c r="IXC1" s="87" t="n"/>
      <c r="IXD1" s="87" t="n"/>
      <c r="IXE1" s="87" t="n"/>
      <c r="IXF1" s="87" t="n"/>
      <c r="IXG1" s="87" t="n"/>
      <c r="IXH1" s="87" t="n"/>
      <c r="IXI1" s="87" t="n"/>
      <c r="IXJ1" s="87" t="n"/>
      <c r="IXK1" s="87" t="n"/>
      <c r="IXL1" s="87" t="n"/>
      <c r="IXM1" s="87" t="n"/>
      <c r="IXN1" s="87" t="n"/>
      <c r="IXO1" s="87" t="n"/>
      <c r="IXP1" s="87" t="n"/>
      <c r="IXQ1" s="87" t="n"/>
      <c r="IXR1" s="87" t="n"/>
      <c r="IXS1" s="87" t="n"/>
      <c r="IXT1" s="87" t="n"/>
      <c r="IXU1" s="87" t="n"/>
      <c r="IXV1" s="87" t="n"/>
      <c r="IXW1" s="87" t="n"/>
      <c r="IXX1" s="87" t="n"/>
      <c r="IXY1" s="87" t="n"/>
      <c r="IXZ1" s="87" t="n"/>
      <c r="IYA1" s="87" t="n"/>
      <c r="IYB1" s="87" t="n"/>
      <c r="IYC1" s="87" t="n"/>
      <c r="IYD1" s="87" t="n"/>
      <c r="IYE1" s="87" t="n"/>
      <c r="IYF1" s="87" t="n"/>
      <c r="IYG1" s="87" t="n"/>
      <c r="IYH1" s="87" t="n"/>
      <c r="IYI1" s="87" t="n"/>
      <c r="IYJ1" s="87" t="n"/>
      <c r="IYK1" s="87" t="n"/>
      <c r="IYL1" s="87" t="n"/>
      <c r="IYM1" s="87" t="n"/>
      <c r="IYN1" s="87" t="n"/>
      <c r="IYO1" s="87" t="n"/>
      <c r="IYP1" s="87" t="n"/>
      <c r="IYQ1" s="87" t="n"/>
      <c r="IYR1" s="87" t="n"/>
      <c r="IYS1" s="87" t="n"/>
      <c r="IYT1" s="87" t="n"/>
      <c r="IYU1" s="87" t="n"/>
      <c r="IYV1" s="87" t="n"/>
      <c r="IYW1" s="87" t="n"/>
      <c r="IYX1" s="87" t="n"/>
      <c r="IYY1" s="87" t="n"/>
      <c r="IYZ1" s="87" t="n"/>
      <c r="IZA1" s="87" t="n"/>
      <c r="IZB1" s="87" t="n"/>
      <c r="IZC1" s="87" t="n"/>
      <c r="IZD1" s="87" t="n"/>
      <c r="IZE1" s="87" t="n"/>
      <c r="IZF1" s="87" t="n"/>
      <c r="IZG1" s="87" t="n"/>
      <c r="IZH1" s="87" t="n"/>
      <c r="IZI1" s="87" t="n"/>
      <c r="IZJ1" s="87" t="n"/>
      <c r="IZK1" s="87" t="n"/>
      <c r="IZL1" s="87" t="n"/>
      <c r="IZM1" s="87" t="n"/>
      <c r="IZN1" s="87" t="n"/>
      <c r="IZO1" s="87" t="n"/>
      <c r="IZP1" s="87" t="n"/>
      <c r="IZQ1" s="87" t="n"/>
      <c r="IZR1" s="87" t="n"/>
      <c r="IZS1" s="87" t="n"/>
      <c r="IZT1" s="87" t="n"/>
      <c r="IZU1" s="87" t="n"/>
      <c r="IZV1" s="87" t="n"/>
      <c r="IZW1" s="87" t="n"/>
      <c r="IZX1" s="87" t="n"/>
      <c r="IZY1" s="87" t="n"/>
      <c r="IZZ1" s="87" t="n"/>
      <c r="JAA1" s="87" t="n"/>
      <c r="JAB1" s="87" t="n"/>
      <c r="JAC1" s="87" t="n"/>
      <c r="JAD1" s="87" t="n"/>
      <c r="JAE1" s="87" t="n"/>
      <c r="JAF1" s="87" t="n"/>
      <c r="JAG1" s="87" t="n"/>
      <c r="JAH1" s="87" t="n"/>
      <c r="JAI1" s="87" t="n"/>
      <c r="JAJ1" s="87" t="n"/>
      <c r="JAK1" s="87" t="n"/>
      <c r="JAL1" s="87" t="n"/>
      <c r="JAM1" s="87" t="n"/>
      <c r="JAN1" s="87" t="n"/>
      <c r="JAO1" s="87" t="n"/>
      <c r="JAP1" s="87" t="n"/>
      <c r="JAQ1" s="87" t="n"/>
      <c r="JAR1" s="87" t="n"/>
      <c r="JAS1" s="87" t="n"/>
      <c r="JAT1" s="87" t="n"/>
      <c r="JAU1" s="87" t="n"/>
      <c r="JAV1" s="87" t="n"/>
      <c r="JAW1" s="87" t="n"/>
      <c r="JAX1" s="87" t="n"/>
      <c r="JAY1" s="87" t="n"/>
      <c r="JAZ1" s="87" t="n"/>
      <c r="JBA1" s="87" t="n"/>
      <c r="JBB1" s="87" t="n"/>
      <c r="JBC1" s="87" t="n"/>
      <c r="JBD1" s="87" t="n"/>
      <c r="JBE1" s="87" t="n"/>
      <c r="JBF1" s="87" t="n"/>
      <c r="JBG1" s="87" t="n"/>
      <c r="JBH1" s="87" t="n"/>
      <c r="JBI1" s="87" t="n"/>
      <c r="JBJ1" s="87" t="n"/>
      <c r="JBK1" s="87" t="n"/>
      <c r="JBL1" s="87" t="n"/>
      <c r="JBM1" s="87" t="n"/>
      <c r="JBN1" s="87" t="n"/>
      <c r="JBO1" s="87" t="n"/>
      <c r="JBP1" s="87" t="n"/>
      <c r="JBQ1" s="87" t="n"/>
      <c r="JBR1" s="87" t="n"/>
      <c r="JBS1" s="87" t="n"/>
      <c r="JBT1" s="87" t="n"/>
      <c r="JBU1" s="87" t="n"/>
      <c r="JBV1" s="87" t="n"/>
      <c r="JBW1" s="87" t="n"/>
      <c r="JBX1" s="87" t="n"/>
      <c r="JBY1" s="87" t="n"/>
      <c r="JBZ1" s="87" t="n"/>
      <c r="JCA1" s="87" t="n"/>
      <c r="JCB1" s="87" t="n"/>
      <c r="JCC1" s="87" t="n"/>
      <c r="JCD1" s="87" t="n"/>
      <c r="JCE1" s="87" t="n"/>
      <c r="JCF1" s="87" t="n"/>
      <c r="JCG1" s="87" t="n"/>
      <c r="JCH1" s="87" t="n"/>
      <c r="JCI1" s="87" t="n"/>
      <c r="JCJ1" s="87" t="n"/>
      <c r="JCK1" s="87" t="n"/>
      <c r="JCL1" s="87" t="n"/>
      <c r="JCM1" s="87" t="n"/>
      <c r="JCN1" s="87" t="n"/>
      <c r="JCO1" s="87" t="n"/>
      <c r="JCP1" s="87" t="n"/>
      <c r="JCQ1" s="87" t="n"/>
      <c r="JCR1" s="87" t="n"/>
      <c r="JCS1" s="87" t="n"/>
      <c r="JCT1" s="87" t="n"/>
      <c r="JCU1" s="87" t="n"/>
      <c r="JCV1" s="87" t="n"/>
      <c r="JCW1" s="87" t="n"/>
      <c r="JCX1" s="87" t="n"/>
      <c r="JCY1" s="87" t="n"/>
      <c r="JCZ1" s="87" t="n"/>
      <c r="JDA1" s="87" t="n"/>
      <c r="JDB1" s="87" t="n"/>
      <c r="JDC1" s="87" t="n"/>
      <c r="JDD1" s="87" t="n"/>
      <c r="JDE1" s="87" t="n"/>
      <c r="JDF1" s="87" t="n"/>
      <c r="JDG1" s="87" t="n"/>
      <c r="JDH1" s="87" t="n"/>
      <c r="JDI1" s="87" t="n"/>
      <c r="JDJ1" s="87" t="n"/>
      <c r="JDK1" s="87" t="n"/>
      <c r="JDL1" s="87" t="n"/>
      <c r="JDM1" s="87" t="n"/>
      <c r="JDN1" s="87" t="n"/>
      <c r="JDO1" s="87" t="n"/>
      <c r="JDP1" s="87" t="n"/>
      <c r="JDQ1" s="87" t="n"/>
      <c r="JDR1" s="87" t="n"/>
      <c r="JDS1" s="87" t="n"/>
      <c r="JDT1" s="87" t="n"/>
      <c r="JDU1" s="87" t="n"/>
      <c r="JDV1" s="87" t="n"/>
      <c r="JDW1" s="87" t="n"/>
      <c r="JDX1" s="87" t="n"/>
      <c r="JDY1" s="87" t="n"/>
      <c r="JDZ1" s="87" t="n"/>
      <c r="JEA1" s="87" t="n"/>
      <c r="JEB1" s="87" t="n"/>
      <c r="JEC1" s="87" t="n"/>
      <c r="JED1" s="87" t="n"/>
      <c r="JEE1" s="87" t="n"/>
      <c r="JEF1" s="87" t="n"/>
      <c r="JEG1" s="87" t="n"/>
      <c r="JEH1" s="87" t="n"/>
      <c r="JEI1" s="87" t="n"/>
      <c r="JEJ1" s="87" t="n"/>
      <c r="JEK1" s="87" t="n"/>
      <c r="JEL1" s="87" t="n"/>
      <c r="JEM1" s="87" t="n"/>
      <c r="JEN1" s="87" t="n"/>
      <c r="JEO1" s="87" t="n"/>
      <c r="JEP1" s="87" t="n"/>
      <c r="JEQ1" s="87" t="n"/>
      <c r="JER1" s="87" t="n"/>
      <c r="JES1" s="87" t="n"/>
      <c r="JET1" s="87" t="n"/>
      <c r="JEU1" s="87" t="n"/>
      <c r="JEV1" s="87" t="n"/>
      <c r="JEW1" s="87" t="n"/>
      <c r="JEX1" s="87" t="n"/>
      <c r="JEY1" s="87" t="n"/>
      <c r="JEZ1" s="87" t="n"/>
      <c r="JFA1" s="87" t="n"/>
      <c r="JFB1" s="87" t="n"/>
      <c r="JFC1" s="87" t="n"/>
      <c r="JFD1" s="87" t="n"/>
      <c r="JFE1" s="87" t="n"/>
      <c r="JFF1" s="87" t="n"/>
      <c r="JFG1" s="87" t="n"/>
      <c r="JFH1" s="87" t="n"/>
      <c r="JFI1" s="87" t="n"/>
      <c r="JFJ1" s="87" t="n"/>
      <c r="JFK1" s="87" t="n"/>
      <c r="JFL1" s="87" t="n"/>
      <c r="JFM1" s="87" t="n"/>
      <c r="JFN1" s="87" t="n"/>
      <c r="JFO1" s="87" t="n"/>
      <c r="JFP1" s="87" t="n"/>
      <c r="JFQ1" s="87" t="n"/>
      <c r="JFR1" s="87" t="n"/>
      <c r="JFS1" s="87" t="n"/>
      <c r="JFT1" s="87" t="n"/>
      <c r="JFU1" s="87" t="n"/>
      <c r="JFV1" s="87" t="n"/>
      <c r="JFW1" s="87" t="n"/>
      <c r="JFX1" s="87" t="n"/>
      <c r="JFY1" s="87" t="n"/>
      <c r="JFZ1" s="87" t="n"/>
      <c r="JGA1" s="87" t="n"/>
      <c r="JGB1" s="87" t="n"/>
      <c r="JGC1" s="87" t="n"/>
      <c r="JGD1" s="87" t="n"/>
      <c r="JGE1" s="87" t="n"/>
      <c r="JGF1" s="87" t="n"/>
      <c r="JGG1" s="87" t="n"/>
      <c r="JGH1" s="87" t="n"/>
      <c r="JGI1" s="87" t="n"/>
      <c r="JGJ1" s="87" t="n"/>
      <c r="JGK1" s="87" t="n"/>
      <c r="JGL1" s="87" t="n"/>
      <c r="JGM1" s="87" t="n"/>
      <c r="JGN1" s="87" t="n"/>
      <c r="JGO1" s="87" t="n"/>
      <c r="JGP1" s="87" t="n"/>
      <c r="JGQ1" s="87" t="n"/>
      <c r="JGR1" s="87" t="n"/>
      <c r="JGS1" s="87" t="n"/>
      <c r="JGT1" s="87" t="n"/>
      <c r="JGU1" s="87" t="n"/>
      <c r="JGV1" s="87" t="n"/>
      <c r="JGW1" s="87" t="n"/>
      <c r="JGX1" s="87" t="n"/>
      <c r="JGY1" s="87" t="n"/>
      <c r="JGZ1" s="87" t="n"/>
      <c r="JHA1" s="87" t="n"/>
      <c r="JHB1" s="87" t="n"/>
      <c r="JHC1" s="87" t="n"/>
      <c r="JHD1" s="87" t="n"/>
      <c r="JHE1" s="87" t="n"/>
      <c r="JHF1" s="87" t="n"/>
      <c r="JHG1" s="87" t="n"/>
      <c r="JHH1" s="87" t="n"/>
      <c r="JHI1" s="87" t="n"/>
      <c r="JHJ1" s="87" t="n"/>
      <c r="JHK1" s="87" t="n"/>
      <c r="JHL1" s="87" t="n"/>
      <c r="JHM1" s="87" t="n"/>
      <c r="JHN1" s="87" t="n"/>
      <c r="JHO1" s="87" t="n"/>
      <c r="JHP1" s="87" t="n"/>
      <c r="JHQ1" s="87" t="n"/>
      <c r="JHR1" s="87" t="n"/>
      <c r="JHS1" s="87" t="n"/>
      <c r="JHT1" s="87" t="n"/>
      <c r="JHU1" s="87" t="n"/>
      <c r="JHV1" s="87" t="n"/>
      <c r="JHW1" s="87" t="n"/>
      <c r="JHX1" s="87" t="n"/>
      <c r="JHY1" s="87" t="n"/>
      <c r="JHZ1" s="87" t="n"/>
      <c r="JIA1" s="87" t="n"/>
      <c r="JIB1" s="87" t="n"/>
      <c r="JIC1" s="87" t="n"/>
      <c r="JID1" s="87" t="n"/>
      <c r="JIE1" s="87" t="n"/>
      <c r="JIF1" s="87" t="n"/>
      <c r="JIG1" s="87" t="n"/>
      <c r="JIH1" s="87" t="n"/>
      <c r="JII1" s="87" t="n"/>
      <c r="JIJ1" s="87" t="n"/>
      <c r="JIK1" s="87" t="n"/>
      <c r="JIL1" s="87" t="n"/>
      <c r="JIM1" s="87" t="n"/>
      <c r="JIN1" s="87" t="n"/>
      <c r="JIO1" s="87" t="n"/>
      <c r="JIP1" s="87" t="n"/>
      <c r="JIQ1" s="87" t="n"/>
      <c r="JIR1" s="87" t="n"/>
      <c r="JIS1" s="87" t="n"/>
      <c r="JIT1" s="87" t="n"/>
      <c r="JIU1" s="87" t="n"/>
      <c r="JIV1" s="87" t="n"/>
      <c r="JIW1" s="87" t="n"/>
      <c r="JIX1" s="87" t="n"/>
      <c r="JIY1" s="87" t="n"/>
      <c r="JIZ1" s="87" t="n"/>
      <c r="JJA1" s="87" t="n"/>
      <c r="JJB1" s="87" t="n"/>
      <c r="JJC1" s="87" t="n"/>
      <c r="JJD1" s="87" t="n"/>
      <c r="JJE1" s="87" t="n"/>
      <c r="JJF1" s="87" t="n"/>
      <c r="JJG1" s="87" t="n"/>
      <c r="JJH1" s="87" t="n"/>
      <c r="JJI1" s="87" t="n"/>
      <c r="JJJ1" s="87" t="n"/>
      <c r="JJK1" s="87" t="n"/>
      <c r="JJL1" s="87" t="n"/>
      <c r="JJM1" s="87" t="n"/>
      <c r="JJN1" s="87" t="n"/>
      <c r="JJO1" s="87" t="n"/>
      <c r="JJP1" s="87" t="n"/>
      <c r="JJQ1" s="87" t="n"/>
      <c r="JJR1" s="87" t="n"/>
      <c r="JJS1" s="87" t="n"/>
      <c r="JJT1" s="87" t="n"/>
      <c r="JJU1" s="87" t="n"/>
      <c r="JJV1" s="87" t="n"/>
      <c r="JJW1" s="87" t="n"/>
      <c r="JJX1" s="87" t="n"/>
      <c r="JJY1" s="87" t="n"/>
      <c r="JJZ1" s="87" t="n"/>
      <c r="JKA1" s="87" t="n"/>
      <c r="JKB1" s="87" t="n"/>
      <c r="JKC1" s="87" t="n"/>
      <c r="JKD1" s="87" t="n"/>
      <c r="JKE1" s="87" t="n"/>
      <c r="JKF1" s="87" t="n"/>
      <c r="JKG1" s="87" t="n"/>
      <c r="JKH1" s="87" t="n"/>
      <c r="JKI1" s="87" t="n"/>
      <c r="JKJ1" s="87" t="n"/>
      <c r="JKK1" s="87" t="n"/>
      <c r="JKL1" s="87" t="n"/>
      <c r="JKM1" s="87" t="n"/>
      <c r="JKN1" s="87" t="n"/>
      <c r="JKO1" s="87" t="n"/>
      <c r="JKP1" s="87" t="n"/>
      <c r="JKQ1" s="87" t="n"/>
      <c r="JKR1" s="87" t="n"/>
      <c r="JKS1" s="87" t="n"/>
      <c r="JKT1" s="87" t="n"/>
      <c r="JKU1" s="87" t="n"/>
      <c r="JKV1" s="87" t="n"/>
      <c r="JKW1" s="87" t="n"/>
      <c r="JKX1" s="87" t="n"/>
      <c r="JKY1" s="87" t="n"/>
      <c r="JKZ1" s="87" t="n"/>
      <c r="JLA1" s="87" t="n"/>
      <c r="JLB1" s="87" t="n"/>
      <c r="JLC1" s="87" t="n"/>
      <c r="JLD1" s="87" t="n"/>
      <c r="JLE1" s="87" t="n"/>
      <c r="JLF1" s="87" t="n"/>
      <c r="JLG1" s="87" t="n"/>
      <c r="JLH1" s="87" t="n"/>
      <c r="JLI1" s="87" t="n"/>
      <c r="JLJ1" s="87" t="n"/>
      <c r="JLK1" s="87" t="n"/>
      <c r="JLL1" s="87" t="n"/>
      <c r="JLM1" s="87" t="n"/>
      <c r="JLN1" s="87" t="n"/>
      <c r="JLO1" s="87" t="n"/>
      <c r="JLP1" s="87" t="n"/>
      <c r="JLQ1" s="87" t="n"/>
      <c r="JLR1" s="87" t="n"/>
      <c r="JLS1" s="87" t="n"/>
      <c r="JLT1" s="87" t="n"/>
      <c r="JLU1" s="87" t="n"/>
      <c r="JLV1" s="87" t="n"/>
      <c r="JLW1" s="87" t="n"/>
      <c r="JLX1" s="87" t="n"/>
      <c r="JLY1" s="87" t="n"/>
      <c r="JLZ1" s="87" t="n"/>
      <c r="JMA1" s="87" t="n"/>
      <c r="JMB1" s="87" t="n"/>
      <c r="JMC1" s="87" t="n"/>
      <c r="JMD1" s="87" t="n"/>
      <c r="JME1" s="87" t="n"/>
      <c r="JMF1" s="87" t="n"/>
      <c r="JMG1" s="87" t="n"/>
      <c r="JMH1" s="87" t="n"/>
      <c r="JMI1" s="87" t="n"/>
      <c r="JMJ1" s="87" t="n"/>
      <c r="JMK1" s="87" t="n"/>
      <c r="JML1" s="87" t="n"/>
      <c r="JMM1" s="87" t="n"/>
      <c r="JMN1" s="87" t="n"/>
      <c r="JMO1" s="87" t="n"/>
      <c r="JMP1" s="87" t="n"/>
      <c r="JMQ1" s="87" t="n"/>
      <c r="JMR1" s="87" t="n"/>
      <c r="JMS1" s="87" t="n"/>
      <c r="JMT1" s="87" t="n"/>
      <c r="JMU1" s="87" t="n"/>
      <c r="JMV1" s="87" t="n"/>
      <c r="JMW1" s="87" t="n"/>
      <c r="JMX1" s="87" t="n"/>
      <c r="JMY1" s="87" t="n"/>
      <c r="JMZ1" s="87" t="n"/>
      <c r="JNA1" s="87" t="n"/>
      <c r="JNB1" s="87" t="n"/>
      <c r="JNC1" s="87" t="n"/>
      <c r="JND1" s="87" t="n"/>
      <c r="JNE1" s="87" t="n"/>
      <c r="JNF1" s="87" t="n"/>
      <c r="JNG1" s="87" t="n"/>
      <c r="JNH1" s="87" t="n"/>
      <c r="JNI1" s="87" t="n"/>
      <c r="JNJ1" s="87" t="n"/>
      <c r="JNK1" s="87" t="n"/>
      <c r="JNL1" s="87" t="n"/>
      <c r="JNM1" s="87" t="n"/>
      <c r="JNN1" s="87" t="n"/>
      <c r="JNO1" s="87" t="n"/>
      <c r="JNP1" s="87" t="n"/>
      <c r="JNQ1" s="87" t="n"/>
      <c r="JNR1" s="87" t="n"/>
      <c r="JNS1" s="87" t="n"/>
      <c r="JNT1" s="87" t="n"/>
      <c r="JNU1" s="87" t="n"/>
      <c r="JNV1" s="87" t="n"/>
      <c r="JNW1" s="87" t="n"/>
      <c r="JNX1" s="87" t="n"/>
      <c r="JNY1" s="87" t="n"/>
      <c r="JNZ1" s="87" t="n"/>
      <c r="JOA1" s="87" t="n"/>
      <c r="JOB1" s="87" t="n"/>
      <c r="JOC1" s="87" t="n"/>
      <c r="JOD1" s="87" t="n"/>
      <c r="JOE1" s="87" t="n"/>
      <c r="JOF1" s="87" t="n"/>
      <c r="JOG1" s="87" t="n"/>
      <c r="JOH1" s="87" t="n"/>
      <c r="JOI1" s="87" t="n"/>
      <c r="JOJ1" s="87" t="n"/>
      <c r="JOK1" s="87" t="n"/>
      <c r="JOL1" s="87" t="n"/>
      <c r="JOM1" s="87" t="n"/>
      <c r="JON1" s="87" t="n"/>
      <c r="JOO1" s="87" t="n"/>
      <c r="JOP1" s="87" t="n"/>
      <c r="JOQ1" s="87" t="n"/>
      <c r="JOR1" s="87" t="n"/>
      <c r="JOS1" s="87" t="n"/>
      <c r="JOT1" s="87" t="n"/>
      <c r="JOU1" s="87" t="n"/>
      <c r="JOV1" s="87" t="n"/>
      <c r="JOW1" s="87" t="n"/>
      <c r="JOX1" s="87" t="n"/>
      <c r="JOY1" s="87" t="n"/>
      <c r="JOZ1" s="87" t="n"/>
      <c r="JPA1" s="87" t="n"/>
      <c r="JPB1" s="87" t="n"/>
      <c r="JPC1" s="87" t="n"/>
      <c r="JPD1" s="87" t="n"/>
      <c r="JPE1" s="87" t="n"/>
      <c r="JPF1" s="87" t="n"/>
      <c r="JPG1" s="87" t="n"/>
      <c r="JPH1" s="87" t="n"/>
      <c r="JPI1" s="87" t="n"/>
      <c r="JPJ1" s="87" t="n"/>
      <c r="JPK1" s="87" t="n"/>
      <c r="JPL1" s="87" t="n"/>
      <c r="JPM1" s="87" t="n"/>
      <c r="JPN1" s="87" t="n"/>
      <c r="JPO1" s="87" t="n"/>
      <c r="JPP1" s="87" t="n"/>
      <c r="JPQ1" s="87" t="n"/>
      <c r="JPR1" s="87" t="n"/>
      <c r="JPS1" s="87" t="n"/>
      <c r="JPT1" s="87" t="n"/>
      <c r="JPU1" s="87" t="n"/>
      <c r="JPV1" s="87" t="n"/>
      <c r="JPW1" s="87" t="n"/>
      <c r="JPX1" s="87" t="n"/>
      <c r="JPY1" s="87" t="n"/>
      <c r="JPZ1" s="87" t="n"/>
      <c r="JQA1" s="87" t="n"/>
      <c r="JQB1" s="87" t="n"/>
      <c r="JQC1" s="87" t="n"/>
      <c r="JQD1" s="87" t="n"/>
      <c r="JQE1" s="87" t="n"/>
      <c r="JQF1" s="87" t="n"/>
      <c r="JQG1" s="87" t="n"/>
      <c r="JQH1" s="87" t="n"/>
      <c r="JQI1" s="87" t="n"/>
      <c r="JQJ1" s="87" t="n"/>
      <c r="JQK1" s="87" t="n"/>
      <c r="JQL1" s="87" t="n"/>
      <c r="JQM1" s="87" t="n"/>
      <c r="JQN1" s="87" t="n"/>
      <c r="JQO1" s="87" t="n"/>
      <c r="JQP1" s="87" t="n"/>
      <c r="JQQ1" s="87" t="n"/>
      <c r="JQR1" s="87" t="n"/>
      <c r="JQS1" s="87" t="n"/>
      <c r="JQT1" s="87" t="n"/>
      <c r="JQU1" s="87" t="n"/>
      <c r="JQV1" s="87" t="n"/>
      <c r="JQW1" s="87" t="n"/>
      <c r="JQX1" s="87" t="n"/>
      <c r="JQY1" s="87" t="n"/>
      <c r="JQZ1" s="87" t="n"/>
      <c r="JRA1" s="87" t="n"/>
      <c r="JRB1" s="87" t="n"/>
      <c r="JRC1" s="87" t="n"/>
      <c r="JRD1" s="87" t="n"/>
      <c r="JRE1" s="87" t="n"/>
      <c r="JRF1" s="87" t="n"/>
      <c r="JRG1" s="87" t="n"/>
      <c r="JRH1" s="87" t="n"/>
      <c r="JRI1" s="87" t="n"/>
      <c r="JRJ1" s="87" t="n"/>
      <c r="JRK1" s="87" t="n"/>
      <c r="JRL1" s="87" t="n"/>
      <c r="JRM1" s="87" t="n"/>
      <c r="JRN1" s="87" t="n"/>
      <c r="JRO1" s="87" t="n"/>
      <c r="JRP1" s="87" t="n"/>
      <c r="JRQ1" s="87" t="n"/>
      <c r="JRR1" s="87" t="n"/>
      <c r="JRS1" s="87" t="n"/>
      <c r="JRT1" s="87" t="n"/>
      <c r="JRU1" s="87" t="n"/>
      <c r="JRV1" s="87" t="n"/>
      <c r="JRW1" s="87" t="n"/>
      <c r="JRX1" s="87" t="n"/>
      <c r="JRY1" s="87" t="n"/>
      <c r="JRZ1" s="87" t="n"/>
      <c r="JSA1" s="87" t="n"/>
      <c r="JSB1" s="87" t="n"/>
      <c r="JSC1" s="87" t="n"/>
      <c r="JSD1" s="87" t="n"/>
      <c r="JSE1" s="87" t="n"/>
      <c r="JSF1" s="87" t="n"/>
      <c r="JSG1" s="87" t="n"/>
      <c r="JSH1" s="87" t="n"/>
      <c r="JSI1" s="87" t="n"/>
      <c r="JSJ1" s="87" t="n"/>
      <c r="JSK1" s="87" t="n"/>
      <c r="JSL1" s="87" t="n"/>
      <c r="JSM1" s="87" t="n"/>
      <c r="JSN1" s="87" t="n"/>
      <c r="JSO1" s="87" t="n"/>
      <c r="JSP1" s="87" t="n"/>
      <c r="JSQ1" s="87" t="n"/>
      <c r="JSR1" s="87" t="n"/>
      <c r="JSS1" s="87" t="n"/>
      <c r="JST1" s="87" t="n"/>
      <c r="JSU1" s="87" t="n"/>
      <c r="JSV1" s="87" t="n"/>
      <c r="JSW1" s="87" t="n"/>
      <c r="JSX1" s="87" t="n"/>
      <c r="JSY1" s="87" t="n"/>
      <c r="JSZ1" s="87" t="n"/>
      <c r="JTA1" s="87" t="n"/>
      <c r="JTB1" s="87" t="n"/>
      <c r="JTC1" s="87" t="n"/>
      <c r="JTD1" s="87" t="n"/>
      <c r="JTE1" s="87" t="n"/>
      <c r="JTF1" s="87" t="n"/>
      <c r="JTG1" s="87" t="n"/>
      <c r="JTH1" s="87" t="n"/>
      <c r="JTI1" s="87" t="n"/>
      <c r="JTJ1" s="87" t="n"/>
      <c r="JTK1" s="87" t="n"/>
      <c r="JTL1" s="87" t="n"/>
      <c r="JTM1" s="87" t="n"/>
      <c r="JTN1" s="87" t="n"/>
      <c r="JTO1" s="87" t="n"/>
      <c r="JTP1" s="87" t="n"/>
      <c r="JTQ1" s="87" t="n"/>
      <c r="JTR1" s="87" t="n"/>
      <c r="JTS1" s="87" t="n"/>
      <c r="JTT1" s="87" t="n"/>
      <c r="JTU1" s="87" t="n"/>
      <c r="JTV1" s="87" t="n"/>
      <c r="JTW1" s="87" t="n"/>
      <c r="JTX1" s="87" t="n"/>
      <c r="JTY1" s="87" t="n"/>
      <c r="JTZ1" s="87" t="n"/>
      <c r="JUA1" s="87" t="n"/>
      <c r="JUB1" s="87" t="n"/>
      <c r="JUC1" s="87" t="n"/>
      <c r="JUD1" s="87" t="n"/>
      <c r="JUE1" s="87" t="n"/>
      <c r="JUF1" s="87" t="n"/>
      <c r="JUG1" s="87" t="n"/>
      <c r="JUH1" s="87" t="n"/>
      <c r="JUI1" s="87" t="n"/>
      <c r="JUJ1" s="87" t="n"/>
      <c r="JUK1" s="87" t="n"/>
      <c r="JUL1" s="87" t="n"/>
      <c r="JUM1" s="87" t="n"/>
      <c r="JUN1" s="87" t="n"/>
      <c r="JUO1" s="87" t="n"/>
      <c r="JUP1" s="87" t="n"/>
      <c r="JUQ1" s="87" t="n"/>
      <c r="JUR1" s="87" t="n"/>
      <c r="JUS1" s="87" t="n"/>
      <c r="JUT1" s="87" t="n"/>
      <c r="JUU1" s="87" t="n"/>
      <c r="JUV1" s="87" t="n"/>
      <c r="JUW1" s="87" t="n"/>
      <c r="JUX1" s="87" t="n"/>
      <c r="JUY1" s="87" t="n"/>
      <c r="JUZ1" s="87" t="n"/>
      <c r="JVA1" s="87" t="n"/>
      <c r="JVB1" s="87" t="n"/>
      <c r="JVC1" s="87" t="n"/>
      <c r="JVD1" s="87" t="n"/>
      <c r="JVE1" s="87" t="n"/>
      <c r="JVF1" s="87" t="n"/>
      <c r="JVG1" s="87" t="n"/>
      <c r="JVH1" s="87" t="n"/>
      <c r="JVI1" s="87" t="n"/>
      <c r="JVJ1" s="87" t="n"/>
      <c r="JVK1" s="87" t="n"/>
      <c r="JVL1" s="87" t="n"/>
      <c r="JVM1" s="87" t="n"/>
      <c r="JVN1" s="87" t="n"/>
      <c r="JVO1" s="87" t="n"/>
      <c r="JVP1" s="87" t="n"/>
      <c r="JVQ1" s="87" t="n"/>
      <c r="JVR1" s="87" t="n"/>
      <c r="JVS1" s="87" t="n"/>
      <c r="JVT1" s="87" t="n"/>
      <c r="JVU1" s="87" t="n"/>
      <c r="JVV1" s="87" t="n"/>
      <c r="JVW1" s="87" t="n"/>
      <c r="JVX1" s="87" t="n"/>
      <c r="JVY1" s="87" t="n"/>
      <c r="JVZ1" s="87" t="n"/>
      <c r="JWA1" s="87" t="n"/>
      <c r="JWB1" s="87" t="n"/>
      <c r="JWC1" s="87" t="n"/>
      <c r="JWD1" s="87" t="n"/>
      <c r="JWE1" s="87" t="n"/>
      <c r="JWF1" s="87" t="n"/>
      <c r="JWG1" s="87" t="n"/>
      <c r="JWH1" s="87" t="n"/>
      <c r="JWI1" s="87" t="n"/>
      <c r="JWJ1" s="87" t="n"/>
      <c r="JWK1" s="87" t="n"/>
      <c r="JWL1" s="87" t="n"/>
      <c r="JWM1" s="87" t="n"/>
      <c r="JWN1" s="87" t="n"/>
      <c r="JWO1" s="87" t="n"/>
      <c r="JWP1" s="87" t="n"/>
      <c r="JWQ1" s="87" t="n"/>
      <c r="JWR1" s="87" t="n"/>
      <c r="JWS1" s="87" t="n"/>
      <c r="JWT1" s="87" t="n"/>
      <c r="JWU1" s="87" t="n"/>
      <c r="JWV1" s="87" t="n"/>
      <c r="JWW1" s="87" t="n"/>
      <c r="JWX1" s="87" t="n"/>
      <c r="JWY1" s="87" t="n"/>
      <c r="JWZ1" s="87" t="n"/>
      <c r="JXA1" s="87" t="n"/>
      <c r="JXB1" s="87" t="n"/>
      <c r="JXC1" s="87" t="n"/>
      <c r="JXD1" s="87" t="n"/>
      <c r="JXE1" s="87" t="n"/>
      <c r="JXF1" s="87" t="n"/>
      <c r="JXG1" s="87" t="n"/>
      <c r="JXH1" s="87" t="n"/>
      <c r="JXI1" s="87" t="n"/>
      <c r="JXJ1" s="87" t="n"/>
      <c r="JXK1" s="87" t="n"/>
      <c r="JXL1" s="87" t="n"/>
      <c r="JXM1" s="87" t="n"/>
      <c r="JXN1" s="87" t="n"/>
      <c r="JXO1" s="87" t="n"/>
      <c r="JXP1" s="87" t="n"/>
      <c r="JXQ1" s="87" t="n"/>
      <c r="JXR1" s="87" t="n"/>
      <c r="JXS1" s="87" t="n"/>
      <c r="JXT1" s="87" t="n"/>
      <c r="JXU1" s="87" t="n"/>
      <c r="JXV1" s="87" t="n"/>
      <c r="JXW1" s="87" t="n"/>
      <c r="JXX1" s="87" t="n"/>
      <c r="JXY1" s="87" t="n"/>
      <c r="JXZ1" s="87" t="n"/>
      <c r="JYA1" s="87" t="n"/>
      <c r="JYB1" s="87" t="n"/>
      <c r="JYC1" s="87" t="n"/>
      <c r="JYD1" s="87" t="n"/>
      <c r="JYE1" s="87" t="n"/>
      <c r="JYF1" s="87" t="n"/>
      <c r="JYG1" s="87" t="n"/>
      <c r="JYH1" s="87" t="n"/>
      <c r="JYI1" s="87" t="n"/>
      <c r="JYJ1" s="87" t="n"/>
      <c r="JYK1" s="87" t="n"/>
      <c r="JYL1" s="87" t="n"/>
      <c r="JYM1" s="87" t="n"/>
      <c r="JYN1" s="87" t="n"/>
      <c r="JYO1" s="87" t="n"/>
      <c r="JYP1" s="87" t="n"/>
      <c r="JYQ1" s="87" t="n"/>
      <c r="JYR1" s="87" t="n"/>
      <c r="JYS1" s="87" t="n"/>
      <c r="JYT1" s="87" t="n"/>
      <c r="JYU1" s="87" t="n"/>
      <c r="JYV1" s="87" t="n"/>
      <c r="JYW1" s="87" t="n"/>
      <c r="JYX1" s="87" t="n"/>
      <c r="JYY1" s="87" t="n"/>
      <c r="JYZ1" s="87" t="n"/>
      <c r="JZA1" s="87" t="n"/>
      <c r="JZB1" s="87" t="n"/>
      <c r="JZC1" s="87" t="n"/>
      <c r="JZD1" s="87" t="n"/>
      <c r="JZE1" s="87" t="n"/>
      <c r="JZF1" s="87" t="n"/>
      <c r="JZG1" s="87" t="n"/>
      <c r="JZH1" s="87" t="n"/>
      <c r="JZI1" s="87" t="n"/>
      <c r="JZJ1" s="87" t="n"/>
      <c r="JZK1" s="87" t="n"/>
      <c r="JZL1" s="87" t="n"/>
      <c r="JZM1" s="87" t="n"/>
      <c r="JZN1" s="87" t="n"/>
      <c r="JZO1" s="87" t="n"/>
      <c r="JZP1" s="87" t="n"/>
      <c r="JZQ1" s="87" t="n"/>
      <c r="JZR1" s="87" t="n"/>
      <c r="JZS1" s="87" t="n"/>
      <c r="JZT1" s="87" t="n"/>
      <c r="JZU1" s="87" t="n"/>
      <c r="JZV1" s="87" t="n"/>
      <c r="JZW1" s="87" t="n"/>
      <c r="JZX1" s="87" t="n"/>
      <c r="JZY1" s="87" t="n"/>
      <c r="JZZ1" s="87" t="n"/>
      <c r="KAA1" s="87" t="n"/>
      <c r="KAB1" s="87" t="n"/>
      <c r="KAC1" s="87" t="n"/>
      <c r="KAD1" s="87" t="n"/>
      <c r="KAE1" s="87" t="n"/>
      <c r="KAF1" s="87" t="n"/>
      <c r="KAG1" s="87" t="n"/>
      <c r="KAH1" s="87" t="n"/>
      <c r="KAI1" s="87" t="n"/>
      <c r="KAJ1" s="87" t="n"/>
      <c r="KAK1" s="87" t="n"/>
      <c r="KAL1" s="87" t="n"/>
      <c r="KAM1" s="87" t="n"/>
      <c r="KAN1" s="87" t="n"/>
      <c r="KAO1" s="87" t="n"/>
      <c r="KAP1" s="87" t="n"/>
      <c r="KAQ1" s="87" t="n"/>
      <c r="KAR1" s="87" t="n"/>
      <c r="KAS1" s="87" t="n"/>
      <c r="KAT1" s="87" t="n"/>
      <c r="KAU1" s="87" t="n"/>
      <c r="KAV1" s="87" t="n"/>
      <c r="KAW1" s="87" t="n"/>
      <c r="KAX1" s="87" t="n"/>
      <c r="KAY1" s="87" t="n"/>
      <c r="KAZ1" s="87" t="n"/>
      <c r="KBA1" s="87" t="n"/>
      <c r="KBB1" s="87" t="n"/>
      <c r="KBC1" s="87" t="n"/>
      <c r="KBD1" s="87" t="n"/>
      <c r="KBE1" s="87" t="n"/>
      <c r="KBF1" s="87" t="n"/>
      <c r="KBG1" s="87" t="n"/>
      <c r="KBH1" s="87" t="n"/>
      <c r="KBI1" s="87" t="n"/>
      <c r="KBJ1" s="87" t="n"/>
      <c r="KBK1" s="87" t="n"/>
      <c r="KBL1" s="87" t="n"/>
      <c r="KBM1" s="87" t="n"/>
      <c r="KBN1" s="87" t="n"/>
      <c r="KBO1" s="87" t="n"/>
      <c r="KBP1" s="87" t="n"/>
      <c r="KBQ1" s="87" t="n"/>
      <c r="KBR1" s="87" t="n"/>
      <c r="KBS1" s="87" t="n"/>
      <c r="KBT1" s="87" t="n"/>
      <c r="KBU1" s="87" t="n"/>
      <c r="KBV1" s="87" t="n"/>
      <c r="KBW1" s="87" t="n"/>
      <c r="KBX1" s="87" t="n"/>
      <c r="KBY1" s="87" t="n"/>
      <c r="KBZ1" s="87" t="n"/>
      <c r="KCA1" s="87" t="n"/>
      <c r="KCB1" s="87" t="n"/>
      <c r="KCC1" s="87" t="n"/>
      <c r="KCD1" s="87" t="n"/>
      <c r="KCE1" s="87" t="n"/>
      <c r="KCF1" s="87" t="n"/>
      <c r="KCG1" s="87" t="n"/>
      <c r="KCH1" s="87" t="n"/>
      <c r="KCI1" s="87" t="n"/>
      <c r="KCJ1" s="87" t="n"/>
      <c r="KCK1" s="87" t="n"/>
      <c r="KCL1" s="87" t="n"/>
      <c r="KCM1" s="87" t="n"/>
      <c r="KCN1" s="87" t="n"/>
      <c r="KCO1" s="87" t="n"/>
      <c r="KCP1" s="87" t="n"/>
      <c r="KCQ1" s="87" t="n"/>
      <c r="KCR1" s="87" t="n"/>
      <c r="KCS1" s="87" t="n"/>
      <c r="KCT1" s="87" t="n"/>
      <c r="KCU1" s="87" t="n"/>
      <c r="KCV1" s="87" t="n"/>
      <c r="KCW1" s="87" t="n"/>
      <c r="KCX1" s="87" t="n"/>
      <c r="KCY1" s="87" t="n"/>
      <c r="KCZ1" s="87" t="n"/>
      <c r="KDA1" s="87" t="n"/>
      <c r="KDB1" s="87" t="n"/>
      <c r="KDC1" s="87" t="n"/>
      <c r="KDD1" s="87" t="n"/>
      <c r="KDE1" s="87" t="n"/>
      <c r="KDF1" s="87" t="n"/>
      <c r="KDG1" s="87" t="n"/>
      <c r="KDH1" s="87" t="n"/>
      <c r="KDI1" s="87" t="n"/>
      <c r="KDJ1" s="87" t="n"/>
      <c r="KDK1" s="87" t="n"/>
      <c r="KDL1" s="87" t="n"/>
      <c r="KDM1" s="87" t="n"/>
      <c r="KDN1" s="87" t="n"/>
      <c r="KDO1" s="87" t="n"/>
      <c r="KDP1" s="87" t="n"/>
      <c r="KDQ1" s="87" t="n"/>
      <c r="KDR1" s="87" t="n"/>
      <c r="KDS1" s="87" t="n"/>
      <c r="KDT1" s="87" t="n"/>
      <c r="KDU1" s="87" t="n"/>
      <c r="KDV1" s="87" t="n"/>
      <c r="KDW1" s="87" t="n"/>
      <c r="KDX1" s="87" t="n"/>
      <c r="KDY1" s="87" t="n"/>
      <c r="KDZ1" s="87" t="n"/>
      <c r="KEA1" s="87" t="n"/>
      <c r="KEB1" s="87" t="n"/>
      <c r="KEC1" s="87" t="n"/>
      <c r="KED1" s="87" t="n"/>
      <c r="KEE1" s="87" t="n"/>
      <c r="KEF1" s="87" t="n"/>
      <c r="KEG1" s="87" t="n"/>
      <c r="KEH1" s="87" t="n"/>
      <c r="KEI1" s="87" t="n"/>
      <c r="KEJ1" s="87" t="n"/>
      <c r="KEK1" s="87" t="n"/>
      <c r="KEL1" s="87" t="n"/>
      <c r="KEM1" s="87" t="n"/>
      <c r="KEN1" s="87" t="n"/>
      <c r="KEO1" s="87" t="n"/>
      <c r="KEP1" s="87" t="n"/>
      <c r="KEQ1" s="87" t="n"/>
      <c r="KER1" s="87" t="n"/>
      <c r="KES1" s="87" t="n"/>
      <c r="KET1" s="87" t="n"/>
      <c r="KEU1" s="87" t="n"/>
      <c r="KEV1" s="87" t="n"/>
      <c r="KEW1" s="87" t="n"/>
      <c r="KEX1" s="87" t="n"/>
      <c r="KEY1" s="87" t="n"/>
      <c r="KEZ1" s="87" t="n"/>
      <c r="KFA1" s="87" t="n"/>
      <c r="KFB1" s="87" t="n"/>
      <c r="KFC1" s="87" t="n"/>
      <c r="KFD1" s="87" t="n"/>
      <c r="KFE1" s="87" t="n"/>
      <c r="KFF1" s="87" t="n"/>
      <c r="KFG1" s="87" t="n"/>
      <c r="KFH1" s="87" t="n"/>
      <c r="KFI1" s="87" t="n"/>
      <c r="KFJ1" s="87" t="n"/>
      <c r="KFK1" s="87" t="n"/>
      <c r="KFL1" s="87" t="n"/>
      <c r="KFM1" s="87" t="n"/>
      <c r="KFN1" s="87" t="n"/>
      <c r="KFO1" s="87" t="n"/>
      <c r="KFP1" s="87" t="n"/>
      <c r="KFQ1" s="87" t="n"/>
      <c r="KFR1" s="87" t="n"/>
      <c r="KFS1" s="87" t="n"/>
      <c r="KFT1" s="87" t="n"/>
      <c r="KFU1" s="87" t="n"/>
      <c r="KFV1" s="87" t="n"/>
      <c r="KFW1" s="87" t="n"/>
      <c r="KFX1" s="87" t="n"/>
      <c r="KFY1" s="87" t="n"/>
      <c r="KFZ1" s="87" t="n"/>
      <c r="KGA1" s="87" t="n"/>
      <c r="KGB1" s="87" t="n"/>
      <c r="KGC1" s="87" t="n"/>
      <c r="KGD1" s="87" t="n"/>
      <c r="KGE1" s="87" t="n"/>
      <c r="KGF1" s="87" t="n"/>
      <c r="KGG1" s="87" t="n"/>
      <c r="KGH1" s="87" t="n"/>
      <c r="KGI1" s="87" t="n"/>
      <c r="KGJ1" s="87" t="n"/>
      <c r="KGK1" s="87" t="n"/>
      <c r="KGL1" s="87" t="n"/>
      <c r="KGM1" s="87" t="n"/>
      <c r="KGN1" s="87" t="n"/>
      <c r="KGO1" s="87" t="n"/>
      <c r="KGP1" s="87" t="n"/>
      <c r="KGQ1" s="87" t="n"/>
      <c r="KGR1" s="87" t="n"/>
      <c r="KGS1" s="87" t="n"/>
      <c r="KGT1" s="87" t="n"/>
      <c r="KGU1" s="87" t="n"/>
      <c r="KGV1" s="87" t="n"/>
      <c r="KGW1" s="87" t="n"/>
      <c r="KGX1" s="87" t="n"/>
      <c r="KGY1" s="87" t="n"/>
      <c r="KGZ1" s="87" t="n"/>
      <c r="KHA1" s="87" t="n"/>
      <c r="KHB1" s="87" t="n"/>
      <c r="KHC1" s="87" t="n"/>
      <c r="KHD1" s="87" t="n"/>
      <c r="KHE1" s="87" t="n"/>
      <c r="KHF1" s="87" t="n"/>
      <c r="KHG1" s="87" t="n"/>
      <c r="KHH1" s="87" t="n"/>
      <c r="KHI1" s="87" t="n"/>
      <c r="KHJ1" s="87" t="n"/>
      <c r="KHK1" s="87" t="n"/>
      <c r="KHL1" s="87" t="n"/>
      <c r="KHM1" s="87" t="n"/>
      <c r="KHN1" s="87" t="n"/>
      <c r="KHO1" s="87" t="n"/>
      <c r="KHP1" s="87" t="n"/>
      <c r="KHQ1" s="87" t="n"/>
      <c r="KHR1" s="87" t="n"/>
      <c r="KHS1" s="87" t="n"/>
      <c r="KHT1" s="87" t="n"/>
      <c r="KHU1" s="87" t="n"/>
      <c r="KHV1" s="87" t="n"/>
      <c r="KHW1" s="87" t="n"/>
      <c r="KHX1" s="87" t="n"/>
      <c r="KHY1" s="87" t="n"/>
      <c r="KHZ1" s="87" t="n"/>
      <c r="KIA1" s="87" t="n"/>
      <c r="KIB1" s="87" t="n"/>
      <c r="KIC1" s="87" t="n"/>
      <c r="KID1" s="87" t="n"/>
      <c r="KIE1" s="87" t="n"/>
      <c r="KIF1" s="87" t="n"/>
      <c r="KIG1" s="87" t="n"/>
      <c r="KIH1" s="87" t="n"/>
      <c r="KII1" s="87" t="n"/>
      <c r="KIJ1" s="87" t="n"/>
      <c r="KIK1" s="87" t="n"/>
      <c r="KIL1" s="87" t="n"/>
      <c r="KIM1" s="87" t="n"/>
      <c r="KIN1" s="87" t="n"/>
      <c r="KIO1" s="87" t="n"/>
      <c r="KIP1" s="87" t="n"/>
      <c r="KIQ1" s="87" t="n"/>
      <c r="KIR1" s="87" t="n"/>
      <c r="KIS1" s="87" t="n"/>
      <c r="KIT1" s="87" t="n"/>
      <c r="KIU1" s="87" t="n"/>
      <c r="KIV1" s="87" t="n"/>
      <c r="KIW1" s="87" t="n"/>
      <c r="KIX1" s="87" t="n"/>
      <c r="KIY1" s="87" t="n"/>
      <c r="KIZ1" s="87" t="n"/>
      <c r="KJA1" s="87" t="n"/>
      <c r="KJB1" s="87" t="n"/>
      <c r="KJC1" s="87" t="n"/>
      <c r="KJD1" s="87" t="n"/>
      <c r="KJE1" s="87" t="n"/>
      <c r="KJF1" s="87" t="n"/>
      <c r="KJG1" s="87" t="n"/>
      <c r="KJH1" s="87" t="n"/>
      <c r="KJI1" s="87" t="n"/>
      <c r="KJJ1" s="87" t="n"/>
      <c r="KJK1" s="87" t="n"/>
      <c r="KJL1" s="87" t="n"/>
      <c r="KJM1" s="87" t="n"/>
      <c r="KJN1" s="87" t="n"/>
      <c r="KJO1" s="87" t="n"/>
      <c r="KJP1" s="87" t="n"/>
      <c r="KJQ1" s="87" t="n"/>
      <c r="KJR1" s="87" t="n"/>
      <c r="KJS1" s="87" t="n"/>
      <c r="KJT1" s="87" t="n"/>
      <c r="KJU1" s="87" t="n"/>
      <c r="KJV1" s="87" t="n"/>
      <c r="KJW1" s="87" t="n"/>
      <c r="KJX1" s="87" t="n"/>
      <c r="KJY1" s="87" t="n"/>
      <c r="KJZ1" s="87" t="n"/>
      <c r="KKA1" s="87" t="n"/>
      <c r="KKB1" s="87" t="n"/>
      <c r="KKC1" s="87" t="n"/>
      <c r="KKD1" s="87" t="n"/>
      <c r="KKE1" s="87" t="n"/>
      <c r="KKF1" s="87" t="n"/>
      <c r="KKG1" s="87" t="n"/>
      <c r="KKH1" s="87" t="n"/>
      <c r="KKI1" s="87" t="n"/>
      <c r="KKJ1" s="87" t="n"/>
      <c r="KKK1" s="87" t="n"/>
      <c r="KKL1" s="87" t="n"/>
      <c r="KKM1" s="87" t="n"/>
      <c r="KKN1" s="87" t="n"/>
      <c r="KKO1" s="87" t="n"/>
      <c r="KKP1" s="87" t="n"/>
      <c r="KKQ1" s="87" t="n"/>
      <c r="KKR1" s="87" t="n"/>
      <c r="KKS1" s="87" t="n"/>
      <c r="KKT1" s="87" t="n"/>
      <c r="KKU1" s="87" t="n"/>
      <c r="KKV1" s="87" t="n"/>
      <c r="KKW1" s="87" t="n"/>
      <c r="KKX1" s="87" t="n"/>
      <c r="KKY1" s="87" t="n"/>
      <c r="KKZ1" s="87" t="n"/>
      <c r="KLA1" s="87" t="n"/>
      <c r="KLB1" s="87" t="n"/>
      <c r="KLC1" s="87" t="n"/>
      <c r="KLD1" s="87" t="n"/>
      <c r="KLE1" s="87" t="n"/>
      <c r="KLF1" s="87" t="n"/>
      <c r="KLG1" s="87" t="n"/>
      <c r="KLH1" s="87" t="n"/>
      <c r="KLI1" s="87" t="n"/>
      <c r="KLJ1" s="87" t="n"/>
      <c r="KLK1" s="87" t="n"/>
      <c r="KLL1" s="87" t="n"/>
      <c r="KLM1" s="87" t="n"/>
      <c r="KLN1" s="87" t="n"/>
      <c r="KLO1" s="87" t="n"/>
      <c r="KLP1" s="87" t="n"/>
      <c r="KLQ1" s="87" t="n"/>
      <c r="KLR1" s="87" t="n"/>
      <c r="KLS1" s="87" t="n"/>
      <c r="KLT1" s="87" t="n"/>
      <c r="KLU1" s="87" t="n"/>
      <c r="KLV1" s="87" t="n"/>
      <c r="KLW1" s="87" t="n"/>
      <c r="KLX1" s="87" t="n"/>
      <c r="KLY1" s="87" t="n"/>
      <c r="KLZ1" s="87" t="n"/>
      <c r="KMA1" s="87" t="n"/>
      <c r="KMB1" s="87" t="n"/>
      <c r="KMC1" s="87" t="n"/>
      <c r="KMD1" s="87" t="n"/>
      <c r="KME1" s="87" t="n"/>
      <c r="KMF1" s="87" t="n"/>
      <c r="KMG1" s="87" t="n"/>
      <c r="KMH1" s="87" t="n"/>
      <c r="KMI1" s="87" t="n"/>
      <c r="KMJ1" s="87" t="n"/>
      <c r="KMK1" s="87" t="n"/>
      <c r="KML1" s="87" t="n"/>
      <c r="KMM1" s="87" t="n"/>
      <c r="KMN1" s="87" t="n"/>
      <c r="KMO1" s="87" t="n"/>
      <c r="KMP1" s="87" t="n"/>
      <c r="KMQ1" s="87" t="n"/>
      <c r="KMR1" s="87" t="n"/>
      <c r="KMS1" s="87" t="n"/>
      <c r="KMT1" s="87" t="n"/>
      <c r="KMU1" s="87" t="n"/>
      <c r="KMV1" s="87" t="n"/>
      <c r="KMW1" s="87" t="n"/>
      <c r="KMX1" s="87" t="n"/>
      <c r="KMY1" s="87" t="n"/>
      <c r="KMZ1" s="87" t="n"/>
      <c r="KNA1" s="87" t="n"/>
      <c r="KNB1" s="87" t="n"/>
      <c r="KNC1" s="87" t="n"/>
      <c r="KND1" s="87" t="n"/>
      <c r="KNE1" s="87" t="n"/>
      <c r="KNF1" s="87" t="n"/>
      <c r="KNG1" s="87" t="n"/>
      <c r="KNH1" s="87" t="n"/>
      <c r="KNI1" s="87" t="n"/>
      <c r="KNJ1" s="87" t="n"/>
      <c r="KNK1" s="87" t="n"/>
      <c r="KNL1" s="87" t="n"/>
      <c r="KNM1" s="87" t="n"/>
      <c r="KNN1" s="87" t="n"/>
      <c r="KNO1" s="87" t="n"/>
      <c r="KNP1" s="87" t="n"/>
      <c r="KNQ1" s="87" t="n"/>
      <c r="KNR1" s="87" t="n"/>
      <c r="KNS1" s="87" t="n"/>
      <c r="KNT1" s="87" t="n"/>
      <c r="KNU1" s="87" t="n"/>
      <c r="KNV1" s="87" t="n"/>
      <c r="KNW1" s="87" t="n"/>
      <c r="KNX1" s="87" t="n"/>
      <c r="KNY1" s="87" t="n"/>
      <c r="KNZ1" s="87" t="n"/>
      <c r="KOA1" s="87" t="n"/>
      <c r="KOB1" s="87" t="n"/>
      <c r="KOC1" s="87" t="n"/>
      <c r="KOD1" s="87" t="n"/>
      <c r="KOE1" s="87" t="n"/>
      <c r="KOF1" s="87" t="n"/>
      <c r="KOG1" s="87" t="n"/>
      <c r="KOH1" s="87" t="n"/>
      <c r="KOI1" s="87" t="n"/>
      <c r="KOJ1" s="87" t="n"/>
      <c r="KOK1" s="87" t="n"/>
      <c r="KOL1" s="87" t="n"/>
      <c r="KOM1" s="87" t="n"/>
      <c r="KON1" s="87" t="n"/>
      <c r="KOO1" s="87" t="n"/>
      <c r="KOP1" s="87" t="n"/>
      <c r="KOQ1" s="87" t="n"/>
      <c r="KOR1" s="87" t="n"/>
      <c r="KOS1" s="87" t="n"/>
      <c r="KOT1" s="87" t="n"/>
      <c r="KOU1" s="87" t="n"/>
      <c r="KOV1" s="87" t="n"/>
      <c r="KOW1" s="87" t="n"/>
      <c r="KOX1" s="87" t="n"/>
      <c r="KOY1" s="87" t="n"/>
      <c r="KOZ1" s="87" t="n"/>
      <c r="KPA1" s="87" t="n"/>
      <c r="KPB1" s="87" t="n"/>
      <c r="KPC1" s="87" t="n"/>
      <c r="KPD1" s="87" t="n"/>
      <c r="KPE1" s="87" t="n"/>
      <c r="KPF1" s="87" t="n"/>
      <c r="KPG1" s="87" t="n"/>
      <c r="KPH1" s="87" t="n"/>
      <c r="KPI1" s="87" t="n"/>
      <c r="KPJ1" s="87" t="n"/>
      <c r="KPK1" s="87" t="n"/>
      <c r="KPL1" s="87" t="n"/>
      <c r="KPM1" s="87" t="n"/>
      <c r="KPN1" s="87" t="n"/>
      <c r="KPO1" s="87" t="n"/>
      <c r="KPP1" s="87" t="n"/>
      <c r="KPQ1" s="87" t="n"/>
      <c r="KPR1" s="87" t="n"/>
      <c r="KPS1" s="87" t="n"/>
      <c r="KPT1" s="87" t="n"/>
      <c r="KPU1" s="87" t="n"/>
      <c r="KPV1" s="87" t="n"/>
      <c r="KPW1" s="87" t="n"/>
      <c r="KPX1" s="87" t="n"/>
      <c r="KPY1" s="87" t="n"/>
      <c r="KPZ1" s="87" t="n"/>
      <c r="KQA1" s="87" t="n"/>
      <c r="KQB1" s="87" t="n"/>
      <c r="KQC1" s="87" t="n"/>
      <c r="KQD1" s="87" t="n"/>
      <c r="KQE1" s="87" t="n"/>
      <c r="KQF1" s="87" t="n"/>
      <c r="KQG1" s="87" t="n"/>
      <c r="KQH1" s="87" t="n"/>
      <c r="KQI1" s="87" t="n"/>
      <c r="KQJ1" s="87" t="n"/>
      <c r="KQK1" s="87" t="n"/>
      <c r="KQL1" s="87" t="n"/>
      <c r="KQM1" s="87" t="n"/>
      <c r="KQN1" s="87" t="n"/>
      <c r="KQO1" s="87" t="n"/>
      <c r="KQP1" s="87" t="n"/>
      <c r="KQQ1" s="87" t="n"/>
      <c r="KQR1" s="87" t="n"/>
      <c r="KQS1" s="87" t="n"/>
      <c r="KQT1" s="87" t="n"/>
      <c r="KQU1" s="87" t="n"/>
      <c r="KQV1" s="87" t="n"/>
      <c r="KQW1" s="87" t="n"/>
      <c r="KQX1" s="87" t="n"/>
      <c r="KQY1" s="87" t="n"/>
      <c r="KQZ1" s="87" t="n"/>
      <c r="KRA1" s="87" t="n"/>
      <c r="KRB1" s="87" t="n"/>
      <c r="KRC1" s="87" t="n"/>
      <c r="KRD1" s="87" t="n"/>
      <c r="KRE1" s="87" t="n"/>
      <c r="KRF1" s="87" t="n"/>
      <c r="KRG1" s="87" t="n"/>
      <c r="KRH1" s="87" t="n"/>
      <c r="KRI1" s="87" t="n"/>
      <c r="KRJ1" s="87" t="n"/>
      <c r="KRK1" s="87" t="n"/>
      <c r="KRL1" s="87" t="n"/>
      <c r="KRM1" s="87" t="n"/>
      <c r="KRN1" s="87" t="n"/>
      <c r="KRO1" s="87" t="n"/>
      <c r="KRP1" s="87" t="n"/>
      <c r="KRQ1" s="87" t="n"/>
      <c r="KRR1" s="87" t="n"/>
      <c r="KRS1" s="87" t="n"/>
      <c r="KRT1" s="87" t="n"/>
      <c r="KRU1" s="87" t="n"/>
      <c r="KRV1" s="87" t="n"/>
      <c r="KRW1" s="87" t="n"/>
      <c r="KRX1" s="87" t="n"/>
      <c r="KRY1" s="87" t="n"/>
      <c r="KRZ1" s="87" t="n"/>
      <c r="KSA1" s="87" t="n"/>
      <c r="KSB1" s="87" t="n"/>
      <c r="KSC1" s="87" t="n"/>
      <c r="KSD1" s="87" t="n"/>
      <c r="KSE1" s="87" t="n"/>
      <c r="KSF1" s="87" t="n"/>
      <c r="KSG1" s="87" t="n"/>
      <c r="KSH1" s="87" t="n"/>
      <c r="KSI1" s="87" t="n"/>
      <c r="KSJ1" s="87" t="n"/>
      <c r="KSK1" s="87" t="n"/>
      <c r="KSL1" s="87" t="n"/>
      <c r="KSM1" s="87" t="n"/>
      <c r="KSN1" s="87" t="n"/>
      <c r="KSO1" s="87" t="n"/>
      <c r="KSP1" s="87" t="n"/>
      <c r="KSQ1" s="87" t="n"/>
      <c r="KSR1" s="87" t="n"/>
      <c r="KSS1" s="87" t="n"/>
      <c r="KST1" s="87" t="n"/>
      <c r="KSU1" s="87" t="n"/>
      <c r="KSV1" s="87" t="n"/>
      <c r="KSW1" s="87" t="n"/>
      <c r="KSX1" s="87" t="n"/>
      <c r="KSY1" s="87" t="n"/>
      <c r="KSZ1" s="87" t="n"/>
      <c r="KTA1" s="87" t="n"/>
      <c r="KTB1" s="87" t="n"/>
      <c r="KTC1" s="87" t="n"/>
      <c r="KTD1" s="87" t="n"/>
      <c r="KTE1" s="87" t="n"/>
      <c r="KTF1" s="87" t="n"/>
      <c r="KTG1" s="87" t="n"/>
      <c r="KTH1" s="87" t="n"/>
      <c r="KTI1" s="87" t="n"/>
      <c r="KTJ1" s="87" t="n"/>
      <c r="KTK1" s="87" t="n"/>
      <c r="KTL1" s="87" t="n"/>
      <c r="KTM1" s="87" t="n"/>
      <c r="KTN1" s="87" t="n"/>
      <c r="KTO1" s="87" t="n"/>
      <c r="KTP1" s="87" t="n"/>
      <c r="KTQ1" s="87" t="n"/>
      <c r="KTR1" s="87" t="n"/>
      <c r="KTS1" s="87" t="n"/>
      <c r="KTT1" s="87" t="n"/>
      <c r="KTU1" s="87" t="n"/>
      <c r="KTV1" s="87" t="n"/>
      <c r="KTW1" s="87" t="n"/>
      <c r="KTX1" s="87" t="n"/>
      <c r="KTY1" s="87" t="n"/>
      <c r="KTZ1" s="87" t="n"/>
      <c r="KUA1" s="87" t="n"/>
      <c r="KUB1" s="87" t="n"/>
      <c r="KUC1" s="87" t="n"/>
      <c r="KUD1" s="87" t="n"/>
      <c r="KUE1" s="87" t="n"/>
      <c r="KUF1" s="87" t="n"/>
      <c r="KUG1" s="87" t="n"/>
      <c r="KUH1" s="87" t="n"/>
      <c r="KUI1" s="87" t="n"/>
      <c r="KUJ1" s="87" t="n"/>
      <c r="KUK1" s="87" t="n"/>
      <c r="KUL1" s="87" t="n"/>
      <c r="KUM1" s="87" t="n"/>
      <c r="KUN1" s="87" t="n"/>
      <c r="KUO1" s="87" t="n"/>
      <c r="KUP1" s="87" t="n"/>
      <c r="KUQ1" s="87" t="n"/>
      <c r="KUR1" s="87" t="n"/>
      <c r="KUS1" s="87" t="n"/>
      <c r="KUT1" s="87" t="n"/>
      <c r="KUU1" s="87" t="n"/>
      <c r="KUV1" s="87" t="n"/>
      <c r="KUW1" s="87" t="n"/>
      <c r="KUX1" s="87" t="n"/>
      <c r="KUY1" s="87" t="n"/>
      <c r="KUZ1" s="87" t="n"/>
      <c r="KVA1" s="87" t="n"/>
      <c r="KVB1" s="87" t="n"/>
      <c r="KVC1" s="87" t="n"/>
      <c r="KVD1" s="87" t="n"/>
      <c r="KVE1" s="87" t="n"/>
      <c r="KVF1" s="87" t="n"/>
      <c r="KVG1" s="87" t="n"/>
      <c r="KVH1" s="87" t="n"/>
      <c r="KVI1" s="87" t="n"/>
      <c r="KVJ1" s="87" t="n"/>
      <c r="KVK1" s="87" t="n"/>
      <c r="KVL1" s="87" t="n"/>
      <c r="KVM1" s="87" t="n"/>
      <c r="KVN1" s="87" t="n"/>
      <c r="KVO1" s="87" t="n"/>
      <c r="KVP1" s="87" t="n"/>
      <c r="KVQ1" s="87" t="n"/>
      <c r="KVR1" s="87" t="n"/>
      <c r="KVS1" s="87" t="n"/>
      <c r="KVT1" s="87" t="n"/>
      <c r="KVU1" s="87" t="n"/>
      <c r="KVV1" s="87" t="n"/>
      <c r="KVW1" s="87" t="n"/>
      <c r="KVX1" s="87" t="n"/>
      <c r="KVY1" s="87" t="n"/>
      <c r="KVZ1" s="87" t="n"/>
      <c r="KWA1" s="87" t="n"/>
      <c r="KWB1" s="87" t="n"/>
      <c r="KWC1" s="87" t="n"/>
      <c r="KWD1" s="87" t="n"/>
      <c r="KWE1" s="87" t="n"/>
      <c r="KWF1" s="87" t="n"/>
      <c r="KWG1" s="87" t="n"/>
      <c r="KWH1" s="87" t="n"/>
      <c r="KWI1" s="87" t="n"/>
      <c r="KWJ1" s="87" t="n"/>
      <c r="KWK1" s="87" t="n"/>
      <c r="KWL1" s="87" t="n"/>
      <c r="KWM1" s="87" t="n"/>
      <c r="KWN1" s="87" t="n"/>
      <c r="KWO1" s="87" t="n"/>
      <c r="KWP1" s="87" t="n"/>
      <c r="KWQ1" s="87" t="n"/>
      <c r="KWR1" s="87" t="n"/>
      <c r="KWS1" s="87" t="n"/>
      <c r="KWT1" s="87" t="n"/>
      <c r="KWU1" s="87" t="n"/>
      <c r="KWV1" s="87" t="n"/>
      <c r="KWW1" s="87" t="n"/>
      <c r="KWX1" s="87" t="n"/>
      <c r="KWY1" s="87" t="n"/>
      <c r="KWZ1" s="87" t="n"/>
      <c r="KXA1" s="87" t="n"/>
      <c r="KXB1" s="87" t="n"/>
      <c r="KXC1" s="87" t="n"/>
      <c r="KXD1" s="87" t="n"/>
      <c r="KXE1" s="87" t="n"/>
      <c r="KXF1" s="87" t="n"/>
      <c r="KXG1" s="87" t="n"/>
      <c r="KXH1" s="87" t="n"/>
      <c r="KXI1" s="87" t="n"/>
      <c r="KXJ1" s="87" t="n"/>
      <c r="KXK1" s="87" t="n"/>
      <c r="KXL1" s="87" t="n"/>
      <c r="KXM1" s="87" t="n"/>
      <c r="KXN1" s="87" t="n"/>
      <c r="KXO1" s="87" t="n"/>
      <c r="KXP1" s="87" t="n"/>
      <c r="KXQ1" s="87" t="n"/>
      <c r="KXR1" s="87" t="n"/>
      <c r="KXS1" s="87" t="n"/>
      <c r="KXT1" s="87" t="n"/>
      <c r="KXU1" s="87" t="n"/>
      <c r="KXV1" s="87" t="n"/>
      <c r="KXW1" s="87" t="n"/>
      <c r="KXX1" s="87" t="n"/>
      <c r="KXY1" s="87" t="n"/>
      <c r="KXZ1" s="87" t="n"/>
      <c r="KYA1" s="87" t="n"/>
      <c r="KYB1" s="87" t="n"/>
      <c r="KYC1" s="87" t="n"/>
      <c r="KYD1" s="87" t="n"/>
      <c r="KYE1" s="87" t="n"/>
      <c r="KYF1" s="87" t="n"/>
      <c r="KYG1" s="87" t="n"/>
      <c r="KYH1" s="87" t="n"/>
      <c r="KYI1" s="87" t="n"/>
      <c r="KYJ1" s="87" t="n"/>
      <c r="KYK1" s="87" t="n"/>
      <c r="KYL1" s="87" t="n"/>
      <c r="KYM1" s="87" t="n"/>
      <c r="KYN1" s="87" t="n"/>
      <c r="KYO1" s="87" t="n"/>
      <c r="KYP1" s="87" t="n"/>
      <c r="KYQ1" s="87" t="n"/>
      <c r="KYR1" s="87" t="n"/>
      <c r="KYS1" s="87" t="n"/>
      <c r="KYT1" s="87" t="n"/>
      <c r="KYU1" s="87" t="n"/>
      <c r="KYV1" s="87" t="n"/>
      <c r="KYW1" s="87" t="n"/>
      <c r="KYX1" s="87" t="n"/>
      <c r="KYY1" s="87" t="n"/>
      <c r="KYZ1" s="87" t="n"/>
      <c r="KZA1" s="87" t="n"/>
      <c r="KZB1" s="87" t="n"/>
      <c r="KZC1" s="87" t="n"/>
      <c r="KZD1" s="87" t="n"/>
      <c r="KZE1" s="87" t="n"/>
      <c r="KZF1" s="87" t="n"/>
      <c r="KZG1" s="87" t="n"/>
      <c r="KZH1" s="87" t="n"/>
      <c r="KZI1" s="87" t="n"/>
      <c r="KZJ1" s="87" t="n"/>
      <c r="KZK1" s="87" t="n"/>
      <c r="KZL1" s="87" t="n"/>
      <c r="KZM1" s="87" t="n"/>
      <c r="KZN1" s="87" t="n"/>
      <c r="KZO1" s="87" t="n"/>
      <c r="KZP1" s="87" t="n"/>
      <c r="KZQ1" s="87" t="n"/>
      <c r="KZR1" s="87" t="n"/>
      <c r="KZS1" s="87" t="n"/>
      <c r="KZT1" s="87" t="n"/>
      <c r="KZU1" s="87" t="n"/>
      <c r="KZV1" s="87" t="n"/>
      <c r="KZW1" s="87" t="n"/>
      <c r="KZX1" s="87" t="n"/>
      <c r="KZY1" s="87" t="n"/>
      <c r="KZZ1" s="87" t="n"/>
      <c r="LAA1" s="87" t="n"/>
      <c r="LAB1" s="87" t="n"/>
      <c r="LAC1" s="87" t="n"/>
      <c r="LAD1" s="87" t="n"/>
      <c r="LAE1" s="87" t="n"/>
      <c r="LAF1" s="87" t="n"/>
      <c r="LAG1" s="87" t="n"/>
      <c r="LAH1" s="87" t="n"/>
      <c r="LAI1" s="87" t="n"/>
      <c r="LAJ1" s="87" t="n"/>
      <c r="LAK1" s="87" t="n"/>
      <c r="LAL1" s="87" t="n"/>
      <c r="LAM1" s="87" t="n"/>
      <c r="LAN1" s="87" t="n"/>
      <c r="LAO1" s="87" t="n"/>
      <c r="LAP1" s="87" t="n"/>
      <c r="LAQ1" s="87" t="n"/>
      <c r="LAR1" s="87" t="n"/>
      <c r="LAS1" s="87" t="n"/>
      <c r="LAT1" s="87" t="n"/>
      <c r="LAU1" s="87" t="n"/>
      <c r="LAV1" s="87" t="n"/>
      <c r="LAW1" s="87" t="n"/>
      <c r="LAX1" s="87" t="n"/>
      <c r="LAY1" s="87" t="n"/>
      <c r="LAZ1" s="87" t="n"/>
      <c r="LBA1" s="87" t="n"/>
      <c r="LBB1" s="87" t="n"/>
      <c r="LBC1" s="87" t="n"/>
      <c r="LBD1" s="87" t="n"/>
      <c r="LBE1" s="87" t="n"/>
      <c r="LBF1" s="87" t="n"/>
      <c r="LBG1" s="87" t="n"/>
      <c r="LBH1" s="87" t="n"/>
      <c r="LBI1" s="87" t="n"/>
      <c r="LBJ1" s="87" t="n"/>
      <c r="LBK1" s="87" t="n"/>
      <c r="LBL1" s="87" t="n"/>
      <c r="LBM1" s="87" t="n"/>
      <c r="LBN1" s="87" t="n"/>
      <c r="LBO1" s="87" t="n"/>
      <c r="LBP1" s="87" t="n"/>
      <c r="LBQ1" s="87" t="n"/>
      <c r="LBR1" s="87" t="n"/>
      <c r="LBS1" s="87" t="n"/>
      <c r="LBT1" s="87" t="n"/>
      <c r="LBU1" s="87" t="n"/>
      <c r="LBV1" s="87" t="n"/>
      <c r="LBW1" s="87" t="n"/>
      <c r="LBX1" s="87" t="n"/>
      <c r="LBY1" s="87" t="n"/>
      <c r="LBZ1" s="87" t="n"/>
      <c r="LCA1" s="87" t="n"/>
      <c r="LCB1" s="87" t="n"/>
      <c r="LCC1" s="87" t="n"/>
      <c r="LCD1" s="87" t="n"/>
      <c r="LCE1" s="87" t="n"/>
      <c r="LCF1" s="87" t="n"/>
      <c r="LCG1" s="87" t="n"/>
      <c r="LCH1" s="87" t="n"/>
      <c r="LCI1" s="87" t="n"/>
      <c r="LCJ1" s="87" t="n"/>
      <c r="LCK1" s="87" t="n"/>
      <c r="LCL1" s="87" t="n"/>
      <c r="LCM1" s="87" t="n"/>
      <c r="LCN1" s="87" t="n"/>
      <c r="LCO1" s="87" t="n"/>
      <c r="LCP1" s="87" t="n"/>
      <c r="LCQ1" s="87" t="n"/>
      <c r="LCR1" s="87" t="n"/>
      <c r="LCS1" s="87" t="n"/>
      <c r="LCT1" s="87" t="n"/>
      <c r="LCU1" s="87" t="n"/>
      <c r="LCV1" s="87" t="n"/>
      <c r="LCW1" s="87" t="n"/>
      <c r="LCX1" s="87" t="n"/>
      <c r="LCY1" s="87" t="n"/>
      <c r="LCZ1" s="87" t="n"/>
      <c r="LDA1" s="87" t="n"/>
      <c r="LDB1" s="87" t="n"/>
      <c r="LDC1" s="87" t="n"/>
      <c r="LDD1" s="87" t="n"/>
      <c r="LDE1" s="87" t="n"/>
      <c r="LDF1" s="87" t="n"/>
      <c r="LDG1" s="87" t="n"/>
      <c r="LDH1" s="87" t="n"/>
      <c r="LDI1" s="87" t="n"/>
      <c r="LDJ1" s="87" t="n"/>
      <c r="LDK1" s="87" t="n"/>
      <c r="LDL1" s="87" t="n"/>
      <c r="LDM1" s="87" t="n"/>
      <c r="LDN1" s="87" t="n"/>
      <c r="LDO1" s="87" t="n"/>
      <c r="LDP1" s="87" t="n"/>
      <c r="LDQ1" s="87" t="n"/>
      <c r="LDR1" s="87" t="n"/>
      <c r="LDS1" s="87" t="n"/>
      <c r="LDT1" s="87" t="n"/>
      <c r="LDU1" s="87" t="n"/>
      <c r="LDV1" s="87" t="n"/>
      <c r="LDW1" s="87" t="n"/>
      <c r="LDX1" s="87" t="n"/>
      <c r="LDY1" s="87" t="n"/>
      <c r="LDZ1" s="87" t="n"/>
      <c r="LEA1" s="87" t="n"/>
      <c r="LEB1" s="87" t="n"/>
      <c r="LEC1" s="87" t="n"/>
      <c r="LED1" s="87" t="n"/>
      <c r="LEE1" s="87" t="n"/>
      <c r="LEF1" s="87" t="n"/>
      <c r="LEG1" s="87" t="n"/>
      <c r="LEH1" s="87" t="n"/>
      <c r="LEI1" s="87" t="n"/>
      <c r="LEJ1" s="87" t="n"/>
      <c r="LEK1" s="87" t="n"/>
      <c r="LEL1" s="87" t="n"/>
      <c r="LEM1" s="87" t="n"/>
      <c r="LEN1" s="87" t="n"/>
      <c r="LEO1" s="87" t="n"/>
      <c r="LEP1" s="87" t="n"/>
      <c r="LEQ1" s="87" t="n"/>
      <c r="LER1" s="87" t="n"/>
      <c r="LES1" s="87" t="n"/>
      <c r="LET1" s="87" t="n"/>
      <c r="LEU1" s="87" t="n"/>
      <c r="LEV1" s="87" t="n"/>
      <c r="LEW1" s="87" t="n"/>
      <c r="LEX1" s="87" t="n"/>
      <c r="LEY1" s="87" t="n"/>
      <c r="LEZ1" s="87" t="n"/>
      <c r="LFA1" s="87" t="n"/>
      <c r="LFB1" s="87" t="n"/>
      <c r="LFC1" s="87" t="n"/>
      <c r="LFD1" s="87" t="n"/>
      <c r="LFE1" s="87" t="n"/>
      <c r="LFF1" s="87" t="n"/>
      <c r="LFG1" s="87" t="n"/>
      <c r="LFH1" s="87" t="n"/>
      <c r="LFI1" s="87" t="n"/>
      <c r="LFJ1" s="87" t="n"/>
      <c r="LFK1" s="87" t="n"/>
      <c r="LFL1" s="87" t="n"/>
      <c r="LFM1" s="87" t="n"/>
      <c r="LFN1" s="87" t="n"/>
      <c r="LFO1" s="87" t="n"/>
      <c r="LFP1" s="87" t="n"/>
      <c r="LFQ1" s="87" t="n"/>
      <c r="LFR1" s="87" t="n"/>
      <c r="LFS1" s="87" t="n"/>
      <c r="LFT1" s="87" t="n"/>
      <c r="LFU1" s="87" t="n"/>
      <c r="LFV1" s="87" t="n"/>
      <c r="LFW1" s="87" t="n"/>
      <c r="LFX1" s="87" t="n"/>
      <c r="LFY1" s="87" t="n"/>
      <c r="LFZ1" s="87" t="n"/>
      <c r="LGA1" s="87" t="n"/>
      <c r="LGB1" s="87" t="n"/>
      <c r="LGC1" s="87" t="n"/>
      <c r="LGD1" s="87" t="n"/>
      <c r="LGE1" s="87" t="n"/>
      <c r="LGF1" s="87" t="n"/>
      <c r="LGG1" s="87" t="n"/>
      <c r="LGH1" s="87" t="n"/>
      <c r="LGI1" s="87" t="n"/>
      <c r="LGJ1" s="87" t="n"/>
      <c r="LGK1" s="87" t="n"/>
      <c r="LGL1" s="87" t="n"/>
      <c r="LGM1" s="87" t="n"/>
      <c r="LGN1" s="87" t="n"/>
      <c r="LGO1" s="87" t="n"/>
      <c r="LGP1" s="87" t="n"/>
      <c r="LGQ1" s="87" t="n"/>
      <c r="LGR1" s="87" t="n"/>
      <c r="LGS1" s="87" t="n"/>
      <c r="LGT1" s="87" t="n"/>
      <c r="LGU1" s="87" t="n"/>
      <c r="LGV1" s="87" t="n"/>
      <c r="LGW1" s="87" t="n"/>
      <c r="LGX1" s="87" t="n"/>
      <c r="LGY1" s="87" t="n"/>
      <c r="LGZ1" s="87" t="n"/>
      <c r="LHA1" s="87" t="n"/>
      <c r="LHB1" s="87" t="n"/>
      <c r="LHC1" s="87" t="n"/>
      <c r="LHD1" s="87" t="n"/>
      <c r="LHE1" s="87" t="n"/>
      <c r="LHF1" s="87" t="n"/>
      <c r="LHG1" s="87" t="n"/>
      <c r="LHH1" s="87" t="n"/>
      <c r="LHI1" s="87" t="n"/>
      <c r="LHJ1" s="87" t="n"/>
      <c r="LHK1" s="87" t="n"/>
      <c r="LHL1" s="87" t="n"/>
      <c r="LHM1" s="87" t="n"/>
      <c r="LHN1" s="87" t="n"/>
      <c r="LHO1" s="87" t="n"/>
      <c r="LHP1" s="87" t="n"/>
      <c r="LHQ1" s="87" t="n"/>
      <c r="LHR1" s="87" t="n"/>
      <c r="LHS1" s="87" t="n"/>
      <c r="LHT1" s="87" t="n"/>
      <c r="LHU1" s="87" t="n"/>
      <c r="LHV1" s="87" t="n"/>
      <c r="LHW1" s="87" t="n"/>
      <c r="LHX1" s="87" t="n"/>
      <c r="LHY1" s="87" t="n"/>
      <c r="LHZ1" s="87" t="n"/>
      <c r="LIA1" s="87" t="n"/>
      <c r="LIB1" s="87" t="n"/>
      <c r="LIC1" s="87" t="n"/>
      <c r="LID1" s="87" t="n"/>
      <c r="LIE1" s="87" t="n"/>
      <c r="LIF1" s="87" t="n"/>
      <c r="LIG1" s="87" t="n"/>
      <c r="LIH1" s="87" t="n"/>
      <c r="LII1" s="87" t="n"/>
      <c r="LIJ1" s="87" t="n"/>
      <c r="LIK1" s="87" t="n"/>
      <c r="LIL1" s="87" t="n"/>
      <c r="LIM1" s="87" t="n"/>
      <c r="LIN1" s="87" t="n"/>
      <c r="LIO1" s="87" t="n"/>
      <c r="LIP1" s="87" t="n"/>
      <c r="LIQ1" s="87" t="n"/>
      <c r="LIR1" s="87" t="n"/>
      <c r="LIS1" s="87" t="n"/>
      <c r="LIT1" s="87" t="n"/>
      <c r="LIU1" s="87" t="n"/>
      <c r="LIV1" s="87" t="n"/>
      <c r="LIW1" s="87" t="n"/>
      <c r="LIX1" s="87" t="n"/>
      <c r="LIY1" s="87" t="n"/>
      <c r="LIZ1" s="87" t="n"/>
      <c r="LJA1" s="87" t="n"/>
      <c r="LJB1" s="87" t="n"/>
      <c r="LJC1" s="87" t="n"/>
      <c r="LJD1" s="87" t="n"/>
      <c r="LJE1" s="87" t="n"/>
      <c r="LJF1" s="87" t="n"/>
      <c r="LJG1" s="87" t="n"/>
      <c r="LJH1" s="87" t="n"/>
      <c r="LJI1" s="87" t="n"/>
      <c r="LJJ1" s="87" t="n"/>
      <c r="LJK1" s="87" t="n"/>
      <c r="LJL1" s="87" t="n"/>
      <c r="LJM1" s="87" t="n"/>
      <c r="LJN1" s="87" t="n"/>
      <c r="LJO1" s="87" t="n"/>
      <c r="LJP1" s="87" t="n"/>
      <c r="LJQ1" s="87" t="n"/>
      <c r="LJR1" s="87" t="n"/>
      <c r="LJS1" s="87" t="n"/>
      <c r="LJT1" s="87" t="n"/>
      <c r="LJU1" s="87" t="n"/>
      <c r="LJV1" s="87" t="n"/>
      <c r="LJW1" s="87" t="n"/>
      <c r="LJX1" s="87" t="n"/>
      <c r="LJY1" s="87" t="n"/>
      <c r="LJZ1" s="87" t="n"/>
      <c r="LKA1" s="87" t="n"/>
      <c r="LKB1" s="87" t="n"/>
      <c r="LKC1" s="87" t="n"/>
      <c r="LKD1" s="87" t="n"/>
      <c r="LKE1" s="87" t="n"/>
      <c r="LKF1" s="87" t="n"/>
      <c r="LKG1" s="87" t="n"/>
      <c r="LKH1" s="87" t="n"/>
      <c r="LKI1" s="87" t="n"/>
      <c r="LKJ1" s="87" t="n"/>
      <c r="LKK1" s="87" t="n"/>
      <c r="LKL1" s="87" t="n"/>
      <c r="LKM1" s="87" t="n"/>
      <c r="LKN1" s="87" t="n"/>
      <c r="LKO1" s="87" t="n"/>
      <c r="LKP1" s="87" t="n"/>
      <c r="LKQ1" s="87" t="n"/>
      <c r="LKR1" s="87" t="n"/>
      <c r="LKS1" s="87" t="n"/>
      <c r="LKT1" s="87" t="n"/>
      <c r="LKU1" s="87" t="n"/>
      <c r="LKV1" s="87" t="n"/>
      <c r="LKW1" s="87" t="n"/>
      <c r="LKX1" s="87" t="n"/>
      <c r="LKY1" s="87" t="n"/>
      <c r="LKZ1" s="87" t="n"/>
      <c r="LLA1" s="87" t="n"/>
      <c r="LLB1" s="87" t="n"/>
      <c r="LLC1" s="87" t="n"/>
      <c r="LLD1" s="87" t="n"/>
      <c r="LLE1" s="87" t="n"/>
      <c r="LLF1" s="87" t="n"/>
      <c r="LLG1" s="87" t="n"/>
      <c r="LLH1" s="87" t="n"/>
      <c r="LLI1" s="87" t="n"/>
      <c r="LLJ1" s="87" t="n"/>
      <c r="LLK1" s="87" t="n"/>
      <c r="LLL1" s="87" t="n"/>
      <c r="LLM1" s="87" t="n"/>
      <c r="LLN1" s="87" t="n"/>
      <c r="LLO1" s="87" t="n"/>
      <c r="LLP1" s="87" t="n"/>
      <c r="LLQ1" s="87" t="n"/>
      <c r="LLR1" s="87" t="n"/>
      <c r="LLS1" s="87" t="n"/>
      <c r="LLT1" s="87" t="n"/>
      <c r="LLU1" s="87" t="n"/>
      <c r="LLV1" s="87" t="n"/>
      <c r="LLW1" s="87" t="n"/>
      <c r="LLX1" s="87" t="n"/>
      <c r="LLY1" s="87" t="n"/>
      <c r="LLZ1" s="87" t="n"/>
      <c r="LMA1" s="87" t="n"/>
      <c r="LMB1" s="87" t="n"/>
      <c r="LMC1" s="87" t="n"/>
      <c r="LMD1" s="87" t="n"/>
      <c r="LME1" s="87" t="n"/>
      <c r="LMF1" s="87" t="n"/>
      <c r="LMG1" s="87" t="n"/>
      <c r="LMH1" s="87" t="n"/>
      <c r="LMI1" s="87" t="n"/>
      <c r="LMJ1" s="87" t="n"/>
      <c r="LMK1" s="87" t="n"/>
      <c r="LML1" s="87" t="n"/>
      <c r="LMM1" s="87" t="n"/>
      <c r="LMN1" s="87" t="n"/>
      <c r="LMO1" s="87" t="n"/>
      <c r="LMP1" s="87" t="n"/>
      <c r="LMQ1" s="87" t="n"/>
      <c r="LMR1" s="87" t="n"/>
      <c r="LMS1" s="87" t="n"/>
      <c r="LMT1" s="87" t="n"/>
      <c r="LMU1" s="87" t="n"/>
      <c r="LMV1" s="87" t="n"/>
      <c r="LMW1" s="87" t="n"/>
      <c r="LMX1" s="87" t="n"/>
      <c r="LMY1" s="87" t="n"/>
      <c r="LMZ1" s="87" t="n"/>
      <c r="LNA1" s="87" t="n"/>
      <c r="LNB1" s="87" t="n"/>
      <c r="LNC1" s="87" t="n"/>
      <c r="LND1" s="87" t="n"/>
      <c r="LNE1" s="87" t="n"/>
      <c r="LNF1" s="87" t="n"/>
      <c r="LNG1" s="87" t="n"/>
      <c r="LNH1" s="87" t="n"/>
      <c r="LNI1" s="87" t="n"/>
      <c r="LNJ1" s="87" t="n"/>
      <c r="LNK1" s="87" t="n"/>
      <c r="LNL1" s="87" t="n"/>
      <c r="LNM1" s="87" t="n"/>
      <c r="LNN1" s="87" t="n"/>
      <c r="LNO1" s="87" t="n"/>
      <c r="LNP1" s="87" t="n"/>
      <c r="LNQ1" s="87" t="n"/>
      <c r="LNR1" s="87" t="n"/>
      <c r="LNS1" s="87" t="n"/>
      <c r="LNT1" s="87" t="n"/>
      <c r="LNU1" s="87" t="n"/>
      <c r="LNV1" s="87" t="n"/>
      <c r="LNW1" s="87" t="n"/>
      <c r="LNX1" s="87" t="n"/>
      <c r="LNY1" s="87" t="n"/>
      <c r="LNZ1" s="87" t="n"/>
      <c r="LOA1" s="87" t="n"/>
      <c r="LOB1" s="87" t="n"/>
      <c r="LOC1" s="87" t="n"/>
      <c r="LOD1" s="87" t="n"/>
      <c r="LOE1" s="87" t="n"/>
      <c r="LOF1" s="87" t="n"/>
      <c r="LOG1" s="87" t="n"/>
      <c r="LOH1" s="87" t="n"/>
      <c r="LOI1" s="87" t="n"/>
      <c r="LOJ1" s="87" t="n"/>
      <c r="LOK1" s="87" t="n"/>
      <c r="LOL1" s="87" t="n"/>
      <c r="LOM1" s="87" t="n"/>
      <c r="LON1" s="87" t="n"/>
      <c r="LOO1" s="87" t="n"/>
      <c r="LOP1" s="87" t="n"/>
      <c r="LOQ1" s="87" t="n"/>
      <c r="LOR1" s="87" t="n"/>
      <c r="LOS1" s="87" t="n"/>
      <c r="LOT1" s="87" t="n"/>
      <c r="LOU1" s="87" t="n"/>
      <c r="LOV1" s="87" t="n"/>
      <c r="LOW1" s="87" t="n"/>
      <c r="LOX1" s="87" t="n"/>
      <c r="LOY1" s="87" t="n"/>
      <c r="LOZ1" s="87" t="n"/>
      <c r="LPA1" s="87" t="n"/>
      <c r="LPB1" s="87" t="n"/>
      <c r="LPC1" s="87" t="n"/>
      <c r="LPD1" s="87" t="n"/>
      <c r="LPE1" s="87" t="n"/>
      <c r="LPF1" s="87" t="n"/>
      <c r="LPG1" s="87" t="n"/>
      <c r="LPH1" s="87" t="n"/>
      <c r="LPI1" s="87" t="n"/>
      <c r="LPJ1" s="87" t="n"/>
      <c r="LPK1" s="87" t="n"/>
      <c r="LPL1" s="87" t="n"/>
      <c r="LPM1" s="87" t="n"/>
      <c r="LPN1" s="87" t="n"/>
      <c r="LPO1" s="87" t="n"/>
      <c r="LPP1" s="87" t="n"/>
      <c r="LPQ1" s="87" t="n"/>
      <c r="LPR1" s="87" t="n"/>
      <c r="LPS1" s="87" t="n"/>
      <c r="LPT1" s="87" t="n"/>
      <c r="LPU1" s="87" t="n"/>
      <c r="LPV1" s="87" t="n"/>
      <c r="LPW1" s="87" t="n"/>
      <c r="LPX1" s="87" t="n"/>
      <c r="LPY1" s="87" t="n"/>
      <c r="LPZ1" s="87" t="n"/>
      <c r="LQA1" s="87" t="n"/>
      <c r="LQB1" s="87" t="n"/>
      <c r="LQC1" s="87" t="n"/>
      <c r="LQD1" s="87" t="n"/>
      <c r="LQE1" s="87" t="n"/>
      <c r="LQF1" s="87" t="n"/>
      <c r="LQG1" s="87" t="n"/>
      <c r="LQH1" s="87" t="n"/>
      <c r="LQI1" s="87" t="n"/>
      <c r="LQJ1" s="87" t="n"/>
      <c r="LQK1" s="87" t="n"/>
      <c r="LQL1" s="87" t="n"/>
      <c r="LQM1" s="87" t="n"/>
      <c r="LQN1" s="87" t="n"/>
      <c r="LQO1" s="87" t="n"/>
      <c r="LQP1" s="87" t="n"/>
      <c r="LQQ1" s="87" t="n"/>
      <c r="LQR1" s="87" t="n"/>
      <c r="LQS1" s="87" t="n"/>
      <c r="LQT1" s="87" t="n"/>
      <c r="LQU1" s="87" t="n"/>
      <c r="LQV1" s="87" t="n"/>
      <c r="LQW1" s="87" t="n"/>
      <c r="LQX1" s="87" t="n"/>
      <c r="LQY1" s="87" t="n"/>
      <c r="LQZ1" s="87" t="n"/>
      <c r="LRA1" s="87" t="n"/>
      <c r="LRB1" s="87" t="n"/>
      <c r="LRC1" s="87" t="n"/>
      <c r="LRD1" s="87" t="n"/>
      <c r="LRE1" s="87" t="n"/>
      <c r="LRF1" s="87" t="n"/>
      <c r="LRG1" s="87" t="n"/>
      <c r="LRH1" s="87" t="n"/>
      <c r="LRI1" s="87" t="n"/>
      <c r="LRJ1" s="87" t="n"/>
      <c r="LRK1" s="87" t="n"/>
      <c r="LRL1" s="87" t="n"/>
      <c r="LRM1" s="87" t="n"/>
      <c r="LRN1" s="87" t="n"/>
      <c r="LRO1" s="87" t="n"/>
      <c r="LRP1" s="87" t="n"/>
      <c r="LRQ1" s="87" t="n"/>
      <c r="LRR1" s="87" t="n"/>
      <c r="LRS1" s="87" t="n"/>
      <c r="LRT1" s="87" t="n"/>
      <c r="LRU1" s="87" t="n"/>
      <c r="LRV1" s="87" t="n"/>
      <c r="LRW1" s="87" t="n"/>
      <c r="LRX1" s="87" t="n"/>
      <c r="LRY1" s="87" t="n"/>
      <c r="LRZ1" s="87" t="n"/>
      <c r="LSA1" s="87" t="n"/>
      <c r="LSB1" s="87" t="n"/>
      <c r="LSC1" s="87" t="n"/>
      <c r="LSD1" s="87" t="n"/>
      <c r="LSE1" s="87" t="n"/>
      <c r="LSF1" s="87" t="n"/>
      <c r="LSG1" s="87" t="n"/>
      <c r="LSH1" s="87" t="n"/>
      <c r="LSI1" s="87" t="n"/>
      <c r="LSJ1" s="87" t="n"/>
      <c r="LSK1" s="87" t="n"/>
      <c r="LSL1" s="87" t="n"/>
      <c r="LSM1" s="87" t="n"/>
      <c r="LSN1" s="87" t="n"/>
      <c r="LSO1" s="87" t="n"/>
      <c r="LSP1" s="87" t="n"/>
      <c r="LSQ1" s="87" t="n"/>
      <c r="LSR1" s="87" t="n"/>
      <c r="LSS1" s="87" t="n"/>
      <c r="LST1" s="87" t="n"/>
      <c r="LSU1" s="87" t="n"/>
      <c r="LSV1" s="87" t="n"/>
      <c r="LSW1" s="87" t="n"/>
      <c r="LSX1" s="87" t="n"/>
      <c r="LSY1" s="87" t="n"/>
      <c r="LSZ1" s="87" t="n"/>
      <c r="LTA1" s="87" t="n"/>
      <c r="LTB1" s="87" t="n"/>
      <c r="LTC1" s="87" t="n"/>
      <c r="LTD1" s="87" t="n"/>
      <c r="LTE1" s="87" t="n"/>
      <c r="LTF1" s="87" t="n"/>
      <c r="LTG1" s="87" t="n"/>
      <c r="LTH1" s="87" t="n"/>
      <c r="LTI1" s="87" t="n"/>
      <c r="LTJ1" s="87" t="n"/>
      <c r="LTK1" s="87" t="n"/>
      <c r="LTL1" s="87" t="n"/>
      <c r="LTM1" s="87" t="n"/>
      <c r="LTN1" s="87" t="n"/>
      <c r="LTO1" s="87" t="n"/>
      <c r="LTP1" s="87" t="n"/>
      <c r="LTQ1" s="87" t="n"/>
      <c r="LTR1" s="87" t="n"/>
      <c r="LTS1" s="87" t="n"/>
      <c r="LTT1" s="87" t="n"/>
      <c r="LTU1" s="87" t="n"/>
      <c r="LTV1" s="87" t="n"/>
      <c r="LTW1" s="87" t="n"/>
      <c r="LTX1" s="87" t="n"/>
      <c r="LTY1" s="87" t="n"/>
      <c r="LTZ1" s="87" t="n"/>
      <c r="LUA1" s="87" t="n"/>
      <c r="LUB1" s="87" t="n"/>
      <c r="LUC1" s="87" t="n"/>
      <c r="LUD1" s="87" t="n"/>
      <c r="LUE1" s="87" t="n"/>
      <c r="LUF1" s="87" t="n"/>
      <c r="LUG1" s="87" t="n"/>
      <c r="LUH1" s="87" t="n"/>
      <c r="LUI1" s="87" t="n"/>
      <c r="LUJ1" s="87" t="n"/>
      <c r="LUK1" s="87" t="n"/>
      <c r="LUL1" s="87" t="n"/>
      <c r="LUM1" s="87" t="n"/>
      <c r="LUN1" s="87" t="n"/>
      <c r="LUO1" s="87" t="n"/>
      <c r="LUP1" s="87" t="n"/>
      <c r="LUQ1" s="87" t="n"/>
      <c r="LUR1" s="87" t="n"/>
      <c r="LUS1" s="87" t="n"/>
      <c r="LUT1" s="87" t="n"/>
      <c r="LUU1" s="87" t="n"/>
      <c r="LUV1" s="87" t="n"/>
      <c r="LUW1" s="87" t="n"/>
      <c r="LUX1" s="87" t="n"/>
      <c r="LUY1" s="87" t="n"/>
      <c r="LUZ1" s="87" t="n"/>
      <c r="LVA1" s="87" t="n"/>
      <c r="LVB1" s="87" t="n"/>
      <c r="LVC1" s="87" t="n"/>
      <c r="LVD1" s="87" t="n"/>
      <c r="LVE1" s="87" t="n"/>
      <c r="LVF1" s="87" t="n"/>
      <c r="LVG1" s="87" t="n"/>
      <c r="LVH1" s="87" t="n"/>
      <c r="LVI1" s="87" t="n"/>
      <c r="LVJ1" s="87" t="n"/>
      <c r="LVK1" s="87" t="n"/>
      <c r="LVL1" s="87" t="n"/>
      <c r="LVM1" s="87" t="n"/>
      <c r="LVN1" s="87" t="n"/>
      <c r="LVO1" s="87" t="n"/>
      <c r="LVP1" s="87" t="n"/>
      <c r="LVQ1" s="87" t="n"/>
      <c r="LVR1" s="87" t="n"/>
      <c r="LVS1" s="87" t="n"/>
      <c r="LVT1" s="87" t="n"/>
      <c r="LVU1" s="87" t="n"/>
      <c r="LVV1" s="87" t="n"/>
      <c r="LVW1" s="87" t="n"/>
      <c r="LVX1" s="87" t="n"/>
      <c r="LVY1" s="87" t="n"/>
      <c r="LVZ1" s="87" t="n"/>
      <c r="LWA1" s="87" t="n"/>
      <c r="LWB1" s="87" t="n"/>
      <c r="LWC1" s="87" t="n"/>
      <c r="LWD1" s="87" t="n"/>
      <c r="LWE1" s="87" t="n"/>
      <c r="LWF1" s="87" t="n"/>
      <c r="LWG1" s="87" t="n"/>
      <c r="LWH1" s="87" t="n"/>
      <c r="LWI1" s="87" t="n"/>
      <c r="LWJ1" s="87" t="n"/>
      <c r="LWK1" s="87" t="n"/>
      <c r="LWL1" s="87" t="n"/>
      <c r="LWM1" s="87" t="n"/>
      <c r="LWN1" s="87" t="n"/>
      <c r="LWO1" s="87" t="n"/>
      <c r="LWP1" s="87" t="n"/>
      <c r="LWQ1" s="87" t="n"/>
      <c r="LWR1" s="87" t="n"/>
      <c r="LWS1" s="87" t="n"/>
      <c r="LWT1" s="87" t="n"/>
      <c r="LWU1" s="87" t="n"/>
      <c r="LWV1" s="87" t="n"/>
      <c r="LWW1" s="87" t="n"/>
      <c r="LWX1" s="87" t="n"/>
      <c r="LWY1" s="87" t="n"/>
      <c r="LWZ1" s="87" t="n"/>
      <c r="LXA1" s="87" t="n"/>
      <c r="LXB1" s="87" t="n"/>
      <c r="LXC1" s="87" t="n"/>
      <c r="LXD1" s="87" t="n"/>
      <c r="LXE1" s="87" t="n"/>
      <c r="LXF1" s="87" t="n"/>
      <c r="LXG1" s="87" t="n"/>
      <c r="LXH1" s="87" t="n"/>
      <c r="LXI1" s="87" t="n"/>
      <c r="LXJ1" s="87" t="n"/>
      <c r="LXK1" s="87" t="n"/>
      <c r="LXL1" s="87" t="n"/>
      <c r="LXM1" s="87" t="n"/>
      <c r="LXN1" s="87" t="n"/>
      <c r="LXO1" s="87" t="n"/>
      <c r="LXP1" s="87" t="n"/>
      <c r="LXQ1" s="87" t="n"/>
      <c r="LXR1" s="87" t="n"/>
      <c r="LXS1" s="87" t="n"/>
      <c r="LXT1" s="87" t="n"/>
      <c r="LXU1" s="87" t="n"/>
      <c r="LXV1" s="87" t="n"/>
      <c r="LXW1" s="87" t="n"/>
      <c r="LXX1" s="87" t="n"/>
      <c r="LXY1" s="87" t="n"/>
      <c r="LXZ1" s="87" t="n"/>
      <c r="LYA1" s="87" t="n"/>
      <c r="LYB1" s="87" t="n"/>
      <c r="LYC1" s="87" t="n"/>
      <c r="LYD1" s="87" t="n"/>
      <c r="LYE1" s="87" t="n"/>
      <c r="LYF1" s="87" t="n"/>
      <c r="LYG1" s="87" t="n"/>
      <c r="LYH1" s="87" t="n"/>
      <c r="LYI1" s="87" t="n"/>
      <c r="LYJ1" s="87" t="n"/>
      <c r="LYK1" s="87" t="n"/>
      <c r="LYL1" s="87" t="n"/>
      <c r="LYM1" s="87" t="n"/>
      <c r="LYN1" s="87" t="n"/>
      <c r="LYO1" s="87" t="n"/>
      <c r="LYP1" s="87" t="n"/>
      <c r="LYQ1" s="87" t="n"/>
      <c r="LYR1" s="87" t="n"/>
      <c r="LYS1" s="87" t="n"/>
      <c r="LYT1" s="87" t="n"/>
      <c r="LYU1" s="87" t="n"/>
      <c r="LYV1" s="87" t="n"/>
      <c r="LYW1" s="87" t="n"/>
      <c r="LYX1" s="87" t="n"/>
      <c r="LYY1" s="87" t="n"/>
      <c r="LYZ1" s="87" t="n"/>
      <c r="LZA1" s="87" t="n"/>
      <c r="LZB1" s="87" t="n"/>
      <c r="LZC1" s="87" t="n"/>
      <c r="LZD1" s="87" t="n"/>
      <c r="LZE1" s="87" t="n"/>
      <c r="LZF1" s="87" t="n"/>
      <c r="LZG1" s="87" t="n"/>
      <c r="LZH1" s="87" t="n"/>
      <c r="LZI1" s="87" t="n"/>
      <c r="LZJ1" s="87" t="n"/>
      <c r="LZK1" s="87" t="n"/>
      <c r="LZL1" s="87" t="n"/>
      <c r="LZM1" s="87" t="n"/>
      <c r="LZN1" s="87" t="n"/>
      <c r="LZO1" s="87" t="n"/>
      <c r="LZP1" s="87" t="n"/>
      <c r="LZQ1" s="87" t="n"/>
      <c r="LZR1" s="87" t="n"/>
      <c r="LZS1" s="87" t="n"/>
      <c r="LZT1" s="87" t="n"/>
      <c r="LZU1" s="87" t="n"/>
      <c r="LZV1" s="87" t="n"/>
      <c r="LZW1" s="87" t="n"/>
      <c r="LZX1" s="87" t="n"/>
      <c r="LZY1" s="87" t="n"/>
      <c r="LZZ1" s="87" t="n"/>
      <c r="MAA1" s="87" t="n"/>
      <c r="MAB1" s="87" t="n"/>
      <c r="MAC1" s="87" t="n"/>
      <c r="MAD1" s="87" t="n"/>
      <c r="MAE1" s="87" t="n"/>
      <c r="MAF1" s="87" t="n"/>
      <c r="MAG1" s="87" t="n"/>
      <c r="MAH1" s="87" t="n"/>
      <c r="MAI1" s="87" t="n"/>
      <c r="MAJ1" s="87" t="n"/>
      <c r="MAK1" s="87" t="n"/>
      <c r="MAL1" s="87" t="n"/>
      <c r="MAM1" s="87" t="n"/>
      <c r="MAN1" s="87" t="n"/>
      <c r="MAO1" s="87" t="n"/>
      <c r="MAP1" s="87" t="n"/>
      <c r="MAQ1" s="87" t="n"/>
      <c r="MAR1" s="87" t="n"/>
      <c r="MAS1" s="87" t="n"/>
      <c r="MAT1" s="87" t="n"/>
      <c r="MAU1" s="87" t="n"/>
      <c r="MAV1" s="87" t="n"/>
      <c r="MAW1" s="87" t="n"/>
      <c r="MAX1" s="87" t="n"/>
      <c r="MAY1" s="87" t="n"/>
      <c r="MAZ1" s="87" t="n"/>
      <c r="MBA1" s="87" t="n"/>
      <c r="MBB1" s="87" t="n"/>
      <c r="MBC1" s="87" t="n"/>
      <c r="MBD1" s="87" t="n"/>
      <c r="MBE1" s="87" t="n"/>
      <c r="MBF1" s="87" t="n"/>
      <c r="MBG1" s="87" t="n"/>
      <c r="MBH1" s="87" t="n"/>
      <c r="MBI1" s="87" t="n"/>
      <c r="MBJ1" s="87" t="n"/>
      <c r="MBK1" s="87" t="n"/>
      <c r="MBL1" s="87" t="n"/>
      <c r="MBM1" s="87" t="n"/>
      <c r="MBN1" s="87" t="n"/>
      <c r="MBO1" s="87" t="n"/>
      <c r="MBP1" s="87" t="n"/>
      <c r="MBQ1" s="87" t="n"/>
      <c r="MBR1" s="87" t="n"/>
      <c r="MBS1" s="87" t="n"/>
      <c r="MBT1" s="87" t="n"/>
      <c r="MBU1" s="87" t="n"/>
      <c r="MBV1" s="87" t="n"/>
      <c r="MBW1" s="87" t="n"/>
      <c r="MBX1" s="87" t="n"/>
      <c r="MBY1" s="87" t="n"/>
      <c r="MBZ1" s="87" t="n"/>
      <c r="MCA1" s="87" t="n"/>
      <c r="MCB1" s="87" t="n"/>
      <c r="MCC1" s="87" t="n"/>
      <c r="MCD1" s="87" t="n"/>
      <c r="MCE1" s="87" t="n"/>
      <c r="MCF1" s="87" t="n"/>
      <c r="MCG1" s="87" t="n"/>
      <c r="MCH1" s="87" t="n"/>
      <c r="MCI1" s="87" t="n"/>
      <c r="MCJ1" s="87" t="n"/>
      <c r="MCK1" s="87" t="n"/>
      <c r="MCL1" s="87" t="n"/>
      <c r="MCM1" s="87" t="n"/>
      <c r="MCN1" s="87" t="n"/>
      <c r="MCO1" s="87" t="n"/>
      <c r="MCP1" s="87" t="n"/>
      <c r="MCQ1" s="87" t="n"/>
      <c r="MCR1" s="87" t="n"/>
      <c r="MCS1" s="87" t="n"/>
      <c r="MCT1" s="87" t="n"/>
      <c r="MCU1" s="87" t="n"/>
      <c r="MCV1" s="87" t="n"/>
      <c r="MCW1" s="87" t="n"/>
      <c r="MCX1" s="87" t="n"/>
      <c r="MCY1" s="87" t="n"/>
      <c r="MCZ1" s="87" t="n"/>
      <c r="MDA1" s="87" t="n"/>
      <c r="MDB1" s="87" t="n"/>
      <c r="MDC1" s="87" t="n"/>
      <c r="MDD1" s="87" t="n"/>
      <c r="MDE1" s="87" t="n"/>
      <c r="MDF1" s="87" t="n"/>
      <c r="MDG1" s="87" t="n"/>
      <c r="MDH1" s="87" t="n"/>
      <c r="MDI1" s="87" t="n"/>
      <c r="MDJ1" s="87" t="n"/>
      <c r="MDK1" s="87" t="n"/>
      <c r="MDL1" s="87" t="n"/>
      <c r="MDM1" s="87" t="n"/>
      <c r="MDN1" s="87" t="n"/>
      <c r="MDO1" s="87" t="n"/>
      <c r="MDP1" s="87" t="n"/>
      <c r="MDQ1" s="87" t="n"/>
      <c r="MDR1" s="87" t="n"/>
      <c r="MDS1" s="87" t="n"/>
      <c r="MDT1" s="87" t="n"/>
      <c r="MDU1" s="87" t="n"/>
      <c r="MDV1" s="87" t="n"/>
      <c r="MDW1" s="87" t="n"/>
      <c r="MDX1" s="87" t="n"/>
      <c r="MDY1" s="87" t="n"/>
      <c r="MDZ1" s="87" t="n"/>
      <c r="MEA1" s="87" t="n"/>
      <c r="MEB1" s="87" t="n"/>
      <c r="MEC1" s="87" t="n"/>
      <c r="MED1" s="87" t="n"/>
      <c r="MEE1" s="87" t="n"/>
      <c r="MEF1" s="87" t="n"/>
      <c r="MEG1" s="87" t="n"/>
      <c r="MEH1" s="87" t="n"/>
      <c r="MEI1" s="87" t="n"/>
      <c r="MEJ1" s="87" t="n"/>
      <c r="MEK1" s="87" t="n"/>
      <c r="MEL1" s="87" t="n"/>
      <c r="MEM1" s="87" t="n"/>
      <c r="MEN1" s="87" t="n"/>
      <c r="MEO1" s="87" t="n"/>
      <c r="MEP1" s="87" t="n"/>
      <c r="MEQ1" s="87" t="n"/>
      <c r="MER1" s="87" t="n"/>
      <c r="MES1" s="87" t="n"/>
      <c r="MET1" s="87" t="n"/>
      <c r="MEU1" s="87" t="n"/>
      <c r="MEV1" s="87" t="n"/>
      <c r="MEW1" s="87" t="n"/>
      <c r="MEX1" s="87" t="n"/>
      <c r="MEY1" s="87" t="n"/>
      <c r="MEZ1" s="87" t="n"/>
      <c r="MFA1" s="87" t="n"/>
      <c r="MFB1" s="87" t="n"/>
      <c r="MFC1" s="87" t="n"/>
      <c r="MFD1" s="87" t="n"/>
      <c r="MFE1" s="87" t="n"/>
      <c r="MFF1" s="87" t="n"/>
      <c r="MFG1" s="87" t="n"/>
      <c r="MFH1" s="87" t="n"/>
      <c r="MFI1" s="87" t="n"/>
      <c r="MFJ1" s="87" t="n"/>
      <c r="MFK1" s="87" t="n"/>
      <c r="MFL1" s="87" t="n"/>
      <c r="MFM1" s="87" t="n"/>
      <c r="MFN1" s="87" t="n"/>
      <c r="MFO1" s="87" t="n"/>
      <c r="MFP1" s="87" t="n"/>
      <c r="MFQ1" s="87" t="n"/>
      <c r="MFR1" s="87" t="n"/>
      <c r="MFS1" s="87" t="n"/>
      <c r="MFT1" s="87" t="n"/>
      <c r="MFU1" s="87" t="n"/>
      <c r="MFV1" s="87" t="n"/>
      <c r="MFW1" s="87" t="n"/>
      <c r="MFX1" s="87" t="n"/>
      <c r="MFY1" s="87" t="n"/>
      <c r="MFZ1" s="87" t="n"/>
      <c r="MGA1" s="87" t="n"/>
      <c r="MGB1" s="87" t="n"/>
      <c r="MGC1" s="87" t="n"/>
      <c r="MGD1" s="87" t="n"/>
      <c r="MGE1" s="87" t="n"/>
      <c r="MGF1" s="87" t="n"/>
      <c r="MGG1" s="87" t="n"/>
      <c r="MGH1" s="87" t="n"/>
      <c r="MGI1" s="87" t="n"/>
      <c r="MGJ1" s="87" t="n"/>
      <c r="MGK1" s="87" t="n"/>
      <c r="MGL1" s="87" t="n"/>
      <c r="MGM1" s="87" t="n"/>
      <c r="MGN1" s="87" t="n"/>
      <c r="MGO1" s="87" t="n"/>
      <c r="MGP1" s="87" t="n"/>
      <c r="MGQ1" s="87" t="n"/>
      <c r="MGR1" s="87" t="n"/>
      <c r="MGS1" s="87" t="n"/>
      <c r="MGT1" s="87" t="n"/>
      <c r="MGU1" s="87" t="n"/>
      <c r="MGV1" s="87" t="n"/>
      <c r="MGW1" s="87" t="n"/>
      <c r="MGX1" s="87" t="n"/>
      <c r="MGY1" s="87" t="n"/>
      <c r="MGZ1" s="87" t="n"/>
      <c r="MHA1" s="87" t="n"/>
      <c r="MHB1" s="87" t="n"/>
      <c r="MHC1" s="87" t="n"/>
      <c r="MHD1" s="87" t="n"/>
      <c r="MHE1" s="87" t="n"/>
      <c r="MHF1" s="87" t="n"/>
      <c r="MHG1" s="87" t="n"/>
      <c r="MHH1" s="87" t="n"/>
      <c r="MHI1" s="87" t="n"/>
      <c r="MHJ1" s="87" t="n"/>
      <c r="MHK1" s="87" t="n"/>
      <c r="MHL1" s="87" t="n"/>
      <c r="MHM1" s="87" t="n"/>
      <c r="MHN1" s="87" t="n"/>
      <c r="MHO1" s="87" t="n"/>
      <c r="MHP1" s="87" t="n"/>
      <c r="MHQ1" s="87" t="n"/>
      <c r="MHR1" s="87" t="n"/>
      <c r="MHS1" s="87" t="n"/>
      <c r="MHT1" s="87" t="n"/>
      <c r="MHU1" s="87" t="n"/>
      <c r="MHV1" s="87" t="n"/>
      <c r="MHW1" s="87" t="n"/>
      <c r="MHX1" s="87" t="n"/>
      <c r="MHY1" s="87" t="n"/>
      <c r="MHZ1" s="87" t="n"/>
      <c r="MIA1" s="87" t="n"/>
      <c r="MIB1" s="87" t="n"/>
      <c r="MIC1" s="87" t="n"/>
      <c r="MID1" s="87" t="n"/>
      <c r="MIE1" s="87" t="n"/>
      <c r="MIF1" s="87" t="n"/>
      <c r="MIG1" s="87" t="n"/>
      <c r="MIH1" s="87" t="n"/>
      <c r="MII1" s="87" t="n"/>
      <c r="MIJ1" s="87" t="n"/>
      <c r="MIK1" s="87" t="n"/>
      <c r="MIL1" s="87" t="n"/>
      <c r="MIM1" s="87" t="n"/>
      <c r="MIN1" s="87" t="n"/>
      <c r="MIO1" s="87" t="n"/>
      <c r="MIP1" s="87" t="n"/>
      <c r="MIQ1" s="87" t="n"/>
      <c r="MIR1" s="87" t="n"/>
      <c r="MIS1" s="87" t="n"/>
      <c r="MIT1" s="87" t="n"/>
      <c r="MIU1" s="87" t="n"/>
      <c r="MIV1" s="87" t="n"/>
      <c r="MIW1" s="87" t="n"/>
      <c r="MIX1" s="87" t="n"/>
      <c r="MIY1" s="87" t="n"/>
      <c r="MIZ1" s="87" t="n"/>
      <c r="MJA1" s="87" t="n"/>
      <c r="MJB1" s="87" t="n"/>
      <c r="MJC1" s="87" t="n"/>
      <c r="MJD1" s="87" t="n"/>
      <c r="MJE1" s="87" t="n"/>
      <c r="MJF1" s="87" t="n"/>
      <c r="MJG1" s="87" t="n"/>
      <c r="MJH1" s="87" t="n"/>
      <c r="MJI1" s="87" t="n"/>
      <c r="MJJ1" s="87" t="n"/>
      <c r="MJK1" s="87" t="n"/>
      <c r="MJL1" s="87" t="n"/>
      <c r="MJM1" s="87" t="n"/>
      <c r="MJN1" s="87" t="n"/>
      <c r="MJO1" s="87" t="n"/>
      <c r="MJP1" s="87" t="n"/>
      <c r="MJQ1" s="87" t="n"/>
      <c r="MJR1" s="87" t="n"/>
      <c r="MJS1" s="87" t="n"/>
      <c r="MJT1" s="87" t="n"/>
      <c r="MJU1" s="87" t="n"/>
      <c r="MJV1" s="87" t="n"/>
      <c r="MJW1" s="87" t="n"/>
      <c r="MJX1" s="87" t="n"/>
      <c r="MJY1" s="87" t="n"/>
      <c r="MJZ1" s="87" t="n"/>
      <c r="MKA1" s="87" t="n"/>
      <c r="MKB1" s="87" t="n"/>
      <c r="MKC1" s="87" t="n"/>
      <c r="MKD1" s="87" t="n"/>
      <c r="MKE1" s="87" t="n"/>
      <c r="MKF1" s="87" t="n"/>
      <c r="MKG1" s="87" t="n"/>
      <c r="MKH1" s="87" t="n"/>
      <c r="MKI1" s="87" t="n"/>
      <c r="MKJ1" s="87" t="n"/>
      <c r="MKK1" s="87" t="n"/>
      <c r="MKL1" s="87" t="n"/>
      <c r="MKM1" s="87" t="n"/>
      <c r="MKN1" s="87" t="n"/>
      <c r="MKO1" s="87" t="n"/>
      <c r="MKP1" s="87" t="n"/>
      <c r="MKQ1" s="87" t="n"/>
      <c r="MKR1" s="87" t="n"/>
      <c r="MKS1" s="87" t="n"/>
      <c r="MKT1" s="87" t="n"/>
      <c r="MKU1" s="87" t="n"/>
      <c r="MKV1" s="87" t="n"/>
      <c r="MKW1" s="87" t="n"/>
      <c r="MKX1" s="87" t="n"/>
      <c r="MKY1" s="87" t="n"/>
      <c r="MKZ1" s="87" t="n"/>
      <c r="MLA1" s="87" t="n"/>
      <c r="MLB1" s="87" t="n"/>
      <c r="MLC1" s="87" t="n"/>
      <c r="MLD1" s="87" t="n"/>
      <c r="MLE1" s="87" t="n"/>
      <c r="MLF1" s="87" t="n"/>
      <c r="MLG1" s="87" t="n"/>
      <c r="MLH1" s="87" t="n"/>
      <c r="MLI1" s="87" t="n"/>
      <c r="MLJ1" s="87" t="n"/>
      <c r="MLK1" s="87" t="n"/>
      <c r="MLL1" s="87" t="n"/>
      <c r="MLM1" s="87" t="n"/>
      <c r="MLN1" s="87" t="n"/>
      <c r="MLO1" s="87" t="n"/>
      <c r="MLP1" s="87" t="n"/>
      <c r="MLQ1" s="87" t="n"/>
      <c r="MLR1" s="87" t="n"/>
      <c r="MLS1" s="87" t="n"/>
      <c r="MLT1" s="87" t="n"/>
      <c r="MLU1" s="87" t="n"/>
      <c r="MLV1" s="87" t="n"/>
      <c r="MLW1" s="87" t="n"/>
      <c r="MLX1" s="87" t="n"/>
      <c r="MLY1" s="87" t="n"/>
      <c r="MLZ1" s="87" t="n"/>
      <c r="MMA1" s="87" t="n"/>
      <c r="MMB1" s="87" t="n"/>
      <c r="MMC1" s="87" t="n"/>
      <c r="MMD1" s="87" t="n"/>
      <c r="MME1" s="87" t="n"/>
      <c r="MMF1" s="87" t="n"/>
      <c r="MMG1" s="87" t="n"/>
      <c r="MMH1" s="87" t="n"/>
      <c r="MMI1" s="87" t="n"/>
      <c r="MMJ1" s="87" t="n"/>
      <c r="MMK1" s="87" t="n"/>
      <c r="MML1" s="87" t="n"/>
      <c r="MMM1" s="87" t="n"/>
      <c r="MMN1" s="87" t="n"/>
      <c r="MMO1" s="87" t="n"/>
      <c r="MMP1" s="87" t="n"/>
      <c r="MMQ1" s="87" t="n"/>
      <c r="MMR1" s="87" t="n"/>
      <c r="MMS1" s="87" t="n"/>
      <c r="MMT1" s="87" t="n"/>
      <c r="MMU1" s="87" t="n"/>
      <c r="MMV1" s="87" t="n"/>
      <c r="MMW1" s="87" t="n"/>
      <c r="MMX1" s="87" t="n"/>
      <c r="MMY1" s="87" t="n"/>
      <c r="MMZ1" s="87" t="n"/>
      <c r="MNA1" s="87" t="n"/>
      <c r="MNB1" s="87" t="n"/>
      <c r="MNC1" s="87" t="n"/>
      <c r="MND1" s="87" t="n"/>
      <c r="MNE1" s="87" t="n"/>
      <c r="MNF1" s="87" t="n"/>
      <c r="MNG1" s="87" t="n"/>
      <c r="MNH1" s="87" t="n"/>
      <c r="MNI1" s="87" t="n"/>
      <c r="MNJ1" s="87" t="n"/>
      <c r="MNK1" s="87" t="n"/>
      <c r="MNL1" s="87" t="n"/>
      <c r="MNM1" s="87" t="n"/>
      <c r="MNN1" s="87" t="n"/>
      <c r="MNO1" s="87" t="n"/>
      <c r="MNP1" s="87" t="n"/>
      <c r="MNQ1" s="87" t="n"/>
      <c r="MNR1" s="87" t="n"/>
      <c r="MNS1" s="87" t="n"/>
      <c r="MNT1" s="87" t="n"/>
      <c r="MNU1" s="87" t="n"/>
      <c r="MNV1" s="87" t="n"/>
      <c r="MNW1" s="87" t="n"/>
      <c r="MNX1" s="87" t="n"/>
      <c r="MNY1" s="87" t="n"/>
      <c r="MNZ1" s="87" t="n"/>
      <c r="MOA1" s="87" t="n"/>
      <c r="MOB1" s="87" t="n"/>
      <c r="MOC1" s="87" t="n"/>
      <c r="MOD1" s="87" t="n"/>
      <c r="MOE1" s="87" t="n"/>
      <c r="MOF1" s="87" t="n"/>
      <c r="MOG1" s="87" t="n"/>
      <c r="MOH1" s="87" t="n"/>
      <c r="MOI1" s="87" t="n"/>
      <c r="MOJ1" s="87" t="n"/>
      <c r="MOK1" s="87" t="n"/>
      <c r="MOL1" s="87" t="n"/>
      <c r="MOM1" s="87" t="n"/>
      <c r="MON1" s="87" t="n"/>
      <c r="MOO1" s="87" t="n"/>
      <c r="MOP1" s="87" t="n"/>
      <c r="MOQ1" s="87" t="n"/>
      <c r="MOR1" s="87" t="n"/>
      <c r="MOS1" s="87" t="n"/>
      <c r="MOT1" s="87" t="n"/>
      <c r="MOU1" s="87" t="n"/>
      <c r="MOV1" s="87" t="n"/>
      <c r="MOW1" s="87" t="n"/>
      <c r="MOX1" s="87" t="n"/>
      <c r="MOY1" s="87" t="n"/>
      <c r="MOZ1" s="87" t="n"/>
      <c r="MPA1" s="87" t="n"/>
      <c r="MPB1" s="87" t="n"/>
      <c r="MPC1" s="87" t="n"/>
      <c r="MPD1" s="87" t="n"/>
      <c r="MPE1" s="87" t="n"/>
      <c r="MPF1" s="87" t="n"/>
      <c r="MPG1" s="87" t="n"/>
      <c r="MPH1" s="87" t="n"/>
      <c r="MPI1" s="87" t="n"/>
      <c r="MPJ1" s="87" t="n"/>
      <c r="MPK1" s="87" t="n"/>
      <c r="MPL1" s="87" t="n"/>
      <c r="MPM1" s="87" t="n"/>
      <c r="MPN1" s="87" t="n"/>
      <c r="MPO1" s="87" t="n"/>
      <c r="MPP1" s="87" t="n"/>
      <c r="MPQ1" s="87" t="n"/>
      <c r="MPR1" s="87" t="n"/>
      <c r="MPS1" s="87" t="n"/>
      <c r="MPT1" s="87" t="n"/>
      <c r="MPU1" s="87" t="n"/>
      <c r="MPV1" s="87" t="n"/>
      <c r="MPW1" s="87" t="n"/>
      <c r="MPX1" s="87" t="n"/>
      <c r="MPY1" s="87" t="n"/>
      <c r="MPZ1" s="87" t="n"/>
      <c r="MQA1" s="87" t="n"/>
      <c r="MQB1" s="87" t="n"/>
      <c r="MQC1" s="87" t="n"/>
      <c r="MQD1" s="87" t="n"/>
      <c r="MQE1" s="87" t="n"/>
      <c r="MQF1" s="87" t="n"/>
      <c r="MQG1" s="87" t="n"/>
      <c r="MQH1" s="87" t="n"/>
      <c r="MQI1" s="87" t="n"/>
      <c r="MQJ1" s="87" t="n"/>
      <c r="MQK1" s="87" t="n"/>
      <c r="MQL1" s="87" t="n"/>
      <c r="MQM1" s="87" t="n"/>
      <c r="MQN1" s="87" t="n"/>
      <c r="MQO1" s="87" t="n"/>
      <c r="MQP1" s="87" t="n"/>
      <c r="MQQ1" s="87" t="n"/>
      <c r="MQR1" s="87" t="n"/>
      <c r="MQS1" s="87" t="n"/>
      <c r="MQT1" s="87" t="n"/>
      <c r="MQU1" s="87" t="n"/>
      <c r="MQV1" s="87" t="n"/>
      <c r="MQW1" s="87" t="n"/>
      <c r="MQX1" s="87" t="n"/>
      <c r="MQY1" s="87" t="n"/>
      <c r="MQZ1" s="87" t="n"/>
      <c r="MRA1" s="87" t="n"/>
      <c r="MRB1" s="87" t="n"/>
      <c r="MRC1" s="87" t="n"/>
      <c r="MRD1" s="87" t="n"/>
      <c r="MRE1" s="87" t="n"/>
      <c r="MRF1" s="87" t="n"/>
      <c r="MRG1" s="87" t="n"/>
      <c r="MRH1" s="87" t="n"/>
      <c r="MRI1" s="87" t="n"/>
      <c r="MRJ1" s="87" t="n"/>
      <c r="MRK1" s="87" t="n"/>
      <c r="MRL1" s="87" t="n"/>
      <c r="MRM1" s="87" t="n"/>
      <c r="MRN1" s="87" t="n"/>
      <c r="MRO1" s="87" t="n"/>
      <c r="MRP1" s="87" t="n"/>
      <c r="MRQ1" s="87" t="n"/>
      <c r="MRR1" s="87" t="n"/>
      <c r="MRS1" s="87" t="n"/>
      <c r="MRT1" s="87" t="n"/>
      <c r="MRU1" s="87" t="n"/>
      <c r="MRV1" s="87" t="n"/>
      <c r="MRW1" s="87" t="n"/>
      <c r="MRX1" s="87" t="n"/>
      <c r="MRY1" s="87" t="n"/>
      <c r="MRZ1" s="87" t="n"/>
      <c r="MSA1" s="87" t="n"/>
      <c r="MSB1" s="87" t="n"/>
      <c r="MSC1" s="87" t="n"/>
      <c r="MSD1" s="87" t="n"/>
      <c r="MSE1" s="87" t="n"/>
      <c r="MSF1" s="87" t="n"/>
      <c r="MSG1" s="87" t="n"/>
      <c r="MSH1" s="87" t="n"/>
      <c r="MSI1" s="87" t="n"/>
      <c r="MSJ1" s="87" t="n"/>
      <c r="MSK1" s="87" t="n"/>
      <c r="MSL1" s="87" t="n"/>
      <c r="MSM1" s="87" t="n"/>
      <c r="MSN1" s="87" t="n"/>
      <c r="MSO1" s="87" t="n"/>
      <c r="MSP1" s="87" t="n"/>
      <c r="MSQ1" s="87" t="n"/>
      <c r="MSR1" s="87" t="n"/>
      <c r="MSS1" s="87" t="n"/>
      <c r="MST1" s="87" t="n"/>
      <c r="MSU1" s="87" t="n"/>
      <c r="MSV1" s="87" t="n"/>
      <c r="MSW1" s="87" t="n"/>
      <c r="MSX1" s="87" t="n"/>
      <c r="MSY1" s="87" t="n"/>
      <c r="MSZ1" s="87" t="n"/>
      <c r="MTA1" s="87" t="n"/>
      <c r="MTB1" s="87" t="n"/>
      <c r="MTC1" s="87" t="n"/>
      <c r="MTD1" s="87" t="n"/>
      <c r="MTE1" s="87" t="n"/>
      <c r="MTF1" s="87" t="n"/>
      <c r="MTG1" s="87" t="n"/>
      <c r="MTH1" s="87" t="n"/>
      <c r="MTI1" s="87" t="n"/>
      <c r="MTJ1" s="87" t="n"/>
      <c r="MTK1" s="87" t="n"/>
      <c r="MTL1" s="87" t="n"/>
      <c r="MTM1" s="87" t="n"/>
      <c r="MTN1" s="87" t="n"/>
      <c r="MTO1" s="87" t="n"/>
      <c r="MTP1" s="87" t="n"/>
      <c r="MTQ1" s="87" t="n"/>
      <c r="MTR1" s="87" t="n"/>
      <c r="MTS1" s="87" t="n"/>
      <c r="MTT1" s="87" t="n"/>
      <c r="MTU1" s="87" t="n"/>
      <c r="MTV1" s="87" t="n"/>
      <c r="MTW1" s="87" t="n"/>
      <c r="MTX1" s="87" t="n"/>
      <c r="MTY1" s="87" t="n"/>
      <c r="MTZ1" s="87" t="n"/>
      <c r="MUA1" s="87" t="n"/>
      <c r="MUB1" s="87" t="n"/>
      <c r="MUC1" s="87" t="n"/>
      <c r="MUD1" s="87" t="n"/>
      <c r="MUE1" s="87" t="n"/>
      <c r="MUF1" s="87" t="n"/>
      <c r="MUG1" s="87" t="n"/>
      <c r="MUH1" s="87" t="n"/>
      <c r="MUI1" s="87" t="n"/>
      <c r="MUJ1" s="87" t="n"/>
      <c r="MUK1" s="87" t="n"/>
      <c r="MUL1" s="87" t="n"/>
      <c r="MUM1" s="87" t="n"/>
      <c r="MUN1" s="87" t="n"/>
      <c r="MUO1" s="87" t="n"/>
      <c r="MUP1" s="87" t="n"/>
      <c r="MUQ1" s="87" t="n"/>
      <c r="MUR1" s="87" t="n"/>
      <c r="MUS1" s="87" t="n"/>
      <c r="MUT1" s="87" t="n"/>
      <c r="MUU1" s="87" t="n"/>
      <c r="MUV1" s="87" t="n"/>
      <c r="MUW1" s="87" t="n"/>
      <c r="MUX1" s="87" t="n"/>
      <c r="MUY1" s="87" t="n"/>
      <c r="MUZ1" s="87" t="n"/>
      <c r="MVA1" s="87" t="n"/>
      <c r="MVB1" s="87" t="n"/>
      <c r="MVC1" s="87" t="n"/>
      <c r="MVD1" s="87" t="n"/>
      <c r="MVE1" s="87" t="n"/>
      <c r="MVF1" s="87" t="n"/>
      <c r="MVG1" s="87" t="n"/>
      <c r="MVH1" s="87" t="n"/>
      <c r="MVI1" s="87" t="n"/>
      <c r="MVJ1" s="87" t="n"/>
      <c r="MVK1" s="87" t="n"/>
      <c r="MVL1" s="87" t="n"/>
      <c r="MVM1" s="87" t="n"/>
      <c r="MVN1" s="87" t="n"/>
      <c r="MVO1" s="87" t="n"/>
      <c r="MVP1" s="87" t="n"/>
      <c r="MVQ1" s="87" t="n"/>
      <c r="MVR1" s="87" t="n"/>
      <c r="MVS1" s="87" t="n"/>
      <c r="MVT1" s="87" t="n"/>
      <c r="MVU1" s="87" t="n"/>
      <c r="MVV1" s="87" t="n"/>
      <c r="MVW1" s="87" t="n"/>
      <c r="MVX1" s="87" t="n"/>
      <c r="MVY1" s="87" t="n"/>
      <c r="MVZ1" s="87" t="n"/>
      <c r="MWA1" s="87" t="n"/>
      <c r="MWB1" s="87" t="n"/>
      <c r="MWC1" s="87" t="n"/>
      <c r="MWD1" s="87" t="n"/>
      <c r="MWE1" s="87" t="n"/>
      <c r="MWF1" s="87" t="n"/>
      <c r="MWG1" s="87" t="n"/>
      <c r="MWH1" s="87" t="n"/>
      <c r="MWI1" s="87" t="n"/>
      <c r="MWJ1" s="87" t="n"/>
      <c r="MWK1" s="87" t="n"/>
      <c r="MWL1" s="87" t="n"/>
      <c r="MWM1" s="87" t="n"/>
      <c r="MWN1" s="87" t="n"/>
      <c r="MWO1" s="87" t="n"/>
      <c r="MWP1" s="87" t="n"/>
      <c r="MWQ1" s="87" t="n"/>
      <c r="MWR1" s="87" t="n"/>
      <c r="MWS1" s="87" t="n"/>
      <c r="MWT1" s="87" t="n"/>
      <c r="MWU1" s="87" t="n"/>
      <c r="MWV1" s="87" t="n"/>
      <c r="MWW1" s="87" t="n"/>
      <c r="MWX1" s="87" t="n"/>
      <c r="MWY1" s="87" t="n"/>
      <c r="MWZ1" s="87" t="n"/>
      <c r="MXA1" s="87" t="n"/>
      <c r="MXB1" s="87" t="n"/>
      <c r="MXC1" s="87" t="n"/>
      <c r="MXD1" s="87" t="n"/>
      <c r="MXE1" s="87" t="n"/>
      <c r="MXF1" s="87" t="n"/>
      <c r="MXG1" s="87" t="n"/>
      <c r="MXH1" s="87" t="n"/>
      <c r="MXI1" s="87" t="n"/>
      <c r="MXJ1" s="87" t="n"/>
      <c r="MXK1" s="87" t="n"/>
      <c r="MXL1" s="87" t="n"/>
      <c r="MXM1" s="87" t="n"/>
      <c r="MXN1" s="87" t="n"/>
      <c r="MXO1" s="87" t="n"/>
      <c r="MXP1" s="87" t="n"/>
      <c r="MXQ1" s="87" t="n"/>
      <c r="MXR1" s="87" t="n"/>
      <c r="MXS1" s="87" t="n"/>
      <c r="MXT1" s="87" t="n"/>
      <c r="MXU1" s="87" t="n"/>
      <c r="MXV1" s="87" t="n"/>
      <c r="MXW1" s="87" t="n"/>
      <c r="MXX1" s="87" t="n"/>
      <c r="MXY1" s="87" t="n"/>
      <c r="MXZ1" s="87" t="n"/>
      <c r="MYA1" s="87" t="n"/>
      <c r="MYB1" s="87" t="n"/>
      <c r="MYC1" s="87" t="n"/>
      <c r="MYD1" s="87" t="n"/>
      <c r="MYE1" s="87" t="n"/>
      <c r="MYF1" s="87" t="n"/>
      <c r="MYG1" s="87" t="n"/>
      <c r="MYH1" s="87" t="n"/>
      <c r="MYI1" s="87" t="n"/>
      <c r="MYJ1" s="87" t="n"/>
      <c r="MYK1" s="87" t="n"/>
      <c r="MYL1" s="87" t="n"/>
      <c r="MYM1" s="87" t="n"/>
      <c r="MYN1" s="87" t="n"/>
      <c r="MYO1" s="87" t="n"/>
      <c r="MYP1" s="87" t="n"/>
      <c r="MYQ1" s="87" t="n"/>
      <c r="MYR1" s="87" t="n"/>
      <c r="MYS1" s="87" t="n"/>
      <c r="MYT1" s="87" t="n"/>
      <c r="MYU1" s="87" t="n"/>
      <c r="MYV1" s="87" t="n"/>
      <c r="MYW1" s="87" t="n"/>
      <c r="MYX1" s="87" t="n"/>
      <c r="MYY1" s="87" t="n"/>
      <c r="MYZ1" s="87" t="n"/>
      <c r="MZA1" s="87" t="n"/>
      <c r="MZB1" s="87" t="n"/>
      <c r="MZC1" s="87" t="n"/>
      <c r="MZD1" s="87" t="n"/>
      <c r="MZE1" s="87" t="n"/>
      <c r="MZF1" s="87" t="n"/>
      <c r="MZG1" s="87" t="n"/>
      <c r="MZH1" s="87" t="n"/>
      <c r="MZI1" s="87" t="n"/>
      <c r="MZJ1" s="87" t="n"/>
      <c r="MZK1" s="87" t="n"/>
      <c r="MZL1" s="87" t="n"/>
      <c r="MZM1" s="87" t="n"/>
      <c r="MZN1" s="87" t="n"/>
      <c r="MZO1" s="87" t="n"/>
      <c r="MZP1" s="87" t="n"/>
      <c r="MZQ1" s="87" t="n"/>
      <c r="MZR1" s="87" t="n"/>
      <c r="MZS1" s="87" t="n"/>
      <c r="MZT1" s="87" t="n"/>
      <c r="MZU1" s="87" t="n"/>
      <c r="MZV1" s="87" t="n"/>
      <c r="MZW1" s="87" t="n"/>
      <c r="MZX1" s="87" t="n"/>
      <c r="MZY1" s="87" t="n"/>
      <c r="MZZ1" s="87" t="n"/>
      <c r="NAA1" s="87" t="n"/>
      <c r="NAB1" s="87" t="n"/>
      <c r="NAC1" s="87" t="n"/>
      <c r="NAD1" s="87" t="n"/>
      <c r="NAE1" s="87" t="n"/>
      <c r="NAF1" s="87" t="n"/>
      <c r="NAG1" s="87" t="n"/>
      <c r="NAH1" s="87" t="n"/>
      <c r="NAI1" s="87" t="n"/>
      <c r="NAJ1" s="87" t="n"/>
      <c r="NAK1" s="87" t="n"/>
      <c r="NAL1" s="87" t="n"/>
      <c r="NAM1" s="87" t="n"/>
      <c r="NAN1" s="87" t="n"/>
      <c r="NAO1" s="87" t="n"/>
      <c r="NAP1" s="87" t="n"/>
      <c r="NAQ1" s="87" t="n"/>
      <c r="NAR1" s="87" t="n"/>
      <c r="NAS1" s="87" t="n"/>
      <c r="NAT1" s="87" t="n"/>
      <c r="NAU1" s="87" t="n"/>
      <c r="NAV1" s="87" t="n"/>
      <c r="NAW1" s="87" t="n"/>
      <c r="NAX1" s="87" t="n"/>
      <c r="NAY1" s="87" t="n"/>
      <c r="NAZ1" s="87" t="n"/>
      <c r="NBA1" s="87" t="n"/>
      <c r="NBB1" s="87" t="n"/>
      <c r="NBC1" s="87" t="n"/>
      <c r="NBD1" s="87" t="n"/>
      <c r="NBE1" s="87" t="n"/>
      <c r="NBF1" s="87" t="n"/>
      <c r="NBG1" s="87" t="n"/>
      <c r="NBH1" s="87" t="n"/>
      <c r="NBI1" s="87" t="n"/>
      <c r="NBJ1" s="87" t="n"/>
      <c r="NBK1" s="87" t="n"/>
      <c r="NBL1" s="87" t="n"/>
      <c r="NBM1" s="87" t="n"/>
      <c r="NBN1" s="87" t="n"/>
      <c r="NBO1" s="87" t="n"/>
      <c r="NBP1" s="87" t="n"/>
      <c r="NBQ1" s="87" t="n"/>
      <c r="NBR1" s="87" t="n"/>
      <c r="NBS1" s="87" t="n"/>
      <c r="NBT1" s="87" t="n"/>
      <c r="NBU1" s="87" t="n"/>
      <c r="NBV1" s="87" t="n"/>
      <c r="NBW1" s="87" t="n"/>
      <c r="NBX1" s="87" t="n"/>
      <c r="NBY1" s="87" t="n"/>
      <c r="NBZ1" s="87" t="n"/>
      <c r="NCA1" s="87" t="n"/>
      <c r="NCB1" s="87" t="n"/>
      <c r="NCC1" s="87" t="n"/>
      <c r="NCD1" s="87" t="n"/>
      <c r="NCE1" s="87" t="n"/>
      <c r="NCF1" s="87" t="n"/>
      <c r="NCG1" s="87" t="n"/>
      <c r="NCH1" s="87" t="n"/>
      <c r="NCI1" s="87" t="n"/>
      <c r="NCJ1" s="87" t="n"/>
      <c r="NCK1" s="87" t="n"/>
      <c r="NCL1" s="87" t="n"/>
      <c r="NCM1" s="87" t="n"/>
      <c r="NCN1" s="87" t="n"/>
      <c r="NCO1" s="87" t="n"/>
      <c r="NCP1" s="87" t="n"/>
      <c r="NCQ1" s="87" t="n"/>
      <c r="NCR1" s="87" t="n"/>
      <c r="NCS1" s="87" t="n"/>
      <c r="NCT1" s="87" t="n"/>
      <c r="NCU1" s="87" t="n"/>
      <c r="NCV1" s="87" t="n"/>
      <c r="NCW1" s="87" t="n"/>
      <c r="NCX1" s="87" t="n"/>
      <c r="NCY1" s="87" t="n"/>
      <c r="NCZ1" s="87" t="n"/>
      <c r="NDA1" s="87" t="n"/>
      <c r="NDB1" s="87" t="n"/>
      <c r="NDC1" s="87" t="n"/>
      <c r="NDD1" s="87" t="n"/>
      <c r="NDE1" s="87" t="n"/>
      <c r="NDF1" s="87" t="n"/>
      <c r="NDG1" s="87" t="n"/>
      <c r="NDH1" s="87" t="n"/>
      <c r="NDI1" s="87" t="n"/>
      <c r="NDJ1" s="87" t="n"/>
      <c r="NDK1" s="87" t="n"/>
      <c r="NDL1" s="87" t="n"/>
      <c r="NDM1" s="87" t="n"/>
      <c r="NDN1" s="87" t="n"/>
      <c r="NDO1" s="87" t="n"/>
      <c r="NDP1" s="87" t="n"/>
      <c r="NDQ1" s="87" t="n"/>
      <c r="NDR1" s="87" t="n"/>
      <c r="NDS1" s="87" t="n"/>
      <c r="NDT1" s="87" t="n"/>
      <c r="NDU1" s="87" t="n"/>
      <c r="NDV1" s="87" t="n"/>
      <c r="NDW1" s="87" t="n"/>
      <c r="NDX1" s="87" t="n"/>
      <c r="NDY1" s="87" t="n"/>
      <c r="NDZ1" s="87" t="n"/>
      <c r="NEA1" s="87" t="n"/>
      <c r="NEB1" s="87" t="n"/>
      <c r="NEC1" s="87" t="n"/>
      <c r="NED1" s="87" t="n"/>
      <c r="NEE1" s="87" t="n"/>
      <c r="NEF1" s="87" t="n"/>
      <c r="NEG1" s="87" t="n"/>
      <c r="NEH1" s="87" t="n"/>
      <c r="NEI1" s="87" t="n"/>
      <c r="NEJ1" s="87" t="n"/>
      <c r="NEK1" s="87" t="n"/>
      <c r="NEL1" s="87" t="n"/>
      <c r="NEM1" s="87" t="n"/>
      <c r="NEN1" s="87" t="n"/>
      <c r="NEO1" s="87" t="n"/>
      <c r="NEP1" s="87" t="n"/>
      <c r="NEQ1" s="87" t="n"/>
      <c r="NER1" s="87" t="n"/>
      <c r="NES1" s="87" t="n"/>
      <c r="NET1" s="87" t="n"/>
      <c r="NEU1" s="87" t="n"/>
      <c r="NEV1" s="87" t="n"/>
      <c r="NEW1" s="87" t="n"/>
      <c r="NEX1" s="87" t="n"/>
      <c r="NEY1" s="87" t="n"/>
      <c r="NEZ1" s="87" t="n"/>
      <c r="NFA1" s="87" t="n"/>
      <c r="NFB1" s="87" t="n"/>
      <c r="NFC1" s="87" t="n"/>
      <c r="NFD1" s="87" t="n"/>
      <c r="NFE1" s="87" t="n"/>
      <c r="NFF1" s="87" t="n"/>
      <c r="NFG1" s="87" t="n"/>
      <c r="NFH1" s="87" t="n"/>
      <c r="NFI1" s="87" t="n"/>
      <c r="NFJ1" s="87" t="n"/>
      <c r="NFK1" s="87" t="n"/>
      <c r="NFL1" s="87" t="n"/>
      <c r="NFM1" s="87" t="n"/>
      <c r="NFN1" s="87" t="n"/>
      <c r="NFO1" s="87" t="n"/>
      <c r="NFP1" s="87" t="n"/>
      <c r="NFQ1" s="87" t="n"/>
      <c r="NFR1" s="87" t="n"/>
      <c r="NFS1" s="87" t="n"/>
      <c r="NFT1" s="87" t="n"/>
      <c r="NFU1" s="87" t="n"/>
      <c r="NFV1" s="87" t="n"/>
      <c r="NFW1" s="87" t="n"/>
      <c r="NFX1" s="87" t="n"/>
      <c r="NFY1" s="87" t="n"/>
      <c r="NFZ1" s="87" t="n"/>
      <c r="NGA1" s="87" t="n"/>
      <c r="NGB1" s="87" t="n"/>
      <c r="NGC1" s="87" t="n"/>
      <c r="NGD1" s="87" t="n"/>
      <c r="NGE1" s="87" t="n"/>
      <c r="NGF1" s="87" t="n"/>
      <c r="NGG1" s="87" t="n"/>
      <c r="NGH1" s="87" t="n"/>
      <c r="NGI1" s="87" t="n"/>
      <c r="NGJ1" s="87" t="n"/>
      <c r="NGK1" s="87" t="n"/>
      <c r="NGL1" s="87" t="n"/>
      <c r="NGM1" s="87" t="n"/>
      <c r="NGN1" s="87" t="n"/>
      <c r="NGO1" s="87" t="n"/>
      <c r="NGP1" s="87" t="n"/>
      <c r="NGQ1" s="87" t="n"/>
      <c r="NGR1" s="87" t="n"/>
      <c r="NGS1" s="87" t="n"/>
      <c r="NGT1" s="87" t="n"/>
      <c r="NGU1" s="87" t="n"/>
      <c r="NGV1" s="87" t="n"/>
      <c r="NGW1" s="87" t="n"/>
      <c r="NGX1" s="87" t="n"/>
      <c r="NGY1" s="87" t="n"/>
      <c r="NGZ1" s="87" t="n"/>
      <c r="NHA1" s="87" t="n"/>
      <c r="NHB1" s="87" t="n"/>
      <c r="NHC1" s="87" t="n"/>
      <c r="NHD1" s="87" t="n"/>
      <c r="NHE1" s="87" t="n"/>
      <c r="NHF1" s="87" t="n"/>
      <c r="NHG1" s="87" t="n"/>
      <c r="NHH1" s="87" t="n"/>
      <c r="NHI1" s="87" t="n"/>
      <c r="NHJ1" s="87" t="n"/>
      <c r="NHK1" s="87" t="n"/>
      <c r="NHL1" s="87" t="n"/>
      <c r="NHM1" s="87" t="n"/>
      <c r="NHN1" s="87" t="n"/>
      <c r="NHO1" s="87" t="n"/>
      <c r="NHP1" s="87" t="n"/>
      <c r="NHQ1" s="87" t="n"/>
      <c r="NHR1" s="87" t="n"/>
      <c r="NHS1" s="87" t="n"/>
      <c r="NHT1" s="87" t="n"/>
      <c r="NHU1" s="87" t="n"/>
      <c r="NHV1" s="87" t="n"/>
      <c r="NHW1" s="87" t="n"/>
      <c r="NHX1" s="87" t="n"/>
      <c r="NHY1" s="87" t="n"/>
      <c r="NHZ1" s="87" t="n"/>
      <c r="NIA1" s="87" t="n"/>
      <c r="NIB1" s="87" t="n"/>
      <c r="NIC1" s="87" t="n"/>
      <c r="NID1" s="87" t="n"/>
      <c r="NIE1" s="87" t="n"/>
      <c r="NIF1" s="87" t="n"/>
      <c r="NIG1" s="87" t="n"/>
      <c r="NIH1" s="87" t="n"/>
      <c r="NII1" s="87" t="n"/>
      <c r="NIJ1" s="87" t="n"/>
      <c r="NIK1" s="87" t="n"/>
      <c r="NIL1" s="87" t="n"/>
      <c r="NIM1" s="87" t="n"/>
      <c r="NIN1" s="87" t="n"/>
      <c r="NIO1" s="87" t="n"/>
      <c r="NIP1" s="87" t="n"/>
      <c r="NIQ1" s="87" t="n"/>
      <c r="NIR1" s="87" t="n"/>
      <c r="NIS1" s="87" t="n"/>
      <c r="NIT1" s="87" t="n"/>
      <c r="NIU1" s="87" t="n"/>
      <c r="NIV1" s="87" t="n"/>
      <c r="NIW1" s="87" t="n"/>
      <c r="NIX1" s="87" t="n"/>
      <c r="NIY1" s="87" t="n"/>
      <c r="NIZ1" s="87" t="n"/>
      <c r="NJA1" s="87" t="n"/>
      <c r="NJB1" s="87" t="n"/>
      <c r="NJC1" s="87" t="n"/>
      <c r="NJD1" s="87" t="n"/>
      <c r="NJE1" s="87" t="n"/>
      <c r="NJF1" s="87" t="n"/>
      <c r="NJG1" s="87" t="n"/>
      <c r="NJH1" s="87" t="n"/>
      <c r="NJI1" s="87" t="n"/>
      <c r="NJJ1" s="87" t="n"/>
      <c r="NJK1" s="87" t="n"/>
      <c r="NJL1" s="87" t="n"/>
      <c r="NJM1" s="87" t="n"/>
      <c r="NJN1" s="87" t="n"/>
      <c r="NJO1" s="87" t="n"/>
      <c r="NJP1" s="87" t="n"/>
      <c r="NJQ1" s="87" t="n"/>
      <c r="NJR1" s="87" t="n"/>
      <c r="NJS1" s="87" t="n"/>
      <c r="NJT1" s="87" t="n"/>
      <c r="NJU1" s="87" t="n"/>
      <c r="NJV1" s="87" t="n"/>
      <c r="NJW1" s="87" t="n"/>
      <c r="NJX1" s="87" t="n"/>
      <c r="NJY1" s="87" t="n"/>
      <c r="NJZ1" s="87" t="n"/>
      <c r="NKA1" s="87" t="n"/>
      <c r="NKB1" s="87" t="n"/>
      <c r="NKC1" s="87" t="n"/>
      <c r="NKD1" s="87" t="n"/>
      <c r="NKE1" s="87" t="n"/>
      <c r="NKF1" s="87" t="n"/>
      <c r="NKG1" s="87" t="n"/>
      <c r="NKH1" s="87" t="n"/>
      <c r="NKI1" s="87" t="n"/>
      <c r="NKJ1" s="87" t="n"/>
      <c r="NKK1" s="87" t="n"/>
      <c r="NKL1" s="87" t="n"/>
      <c r="NKM1" s="87" t="n"/>
      <c r="NKN1" s="87" t="n"/>
      <c r="NKO1" s="87" t="n"/>
      <c r="NKP1" s="87" t="n"/>
      <c r="NKQ1" s="87" t="n"/>
      <c r="NKR1" s="87" t="n"/>
      <c r="NKS1" s="87" t="n"/>
      <c r="NKT1" s="87" t="n"/>
      <c r="NKU1" s="87" t="n"/>
      <c r="NKV1" s="87" t="n"/>
      <c r="NKW1" s="87" t="n"/>
      <c r="NKX1" s="87" t="n"/>
      <c r="NKY1" s="87" t="n"/>
      <c r="NKZ1" s="87" t="n"/>
      <c r="NLA1" s="87" t="n"/>
      <c r="NLB1" s="87" t="n"/>
      <c r="NLC1" s="87" t="n"/>
      <c r="NLD1" s="87" t="n"/>
      <c r="NLE1" s="87" t="n"/>
      <c r="NLF1" s="87" t="n"/>
      <c r="NLG1" s="87" t="n"/>
      <c r="NLH1" s="87" t="n"/>
      <c r="NLI1" s="87" t="n"/>
      <c r="NLJ1" s="87" t="n"/>
      <c r="NLK1" s="87" t="n"/>
      <c r="NLL1" s="87" t="n"/>
      <c r="NLM1" s="87" t="n"/>
      <c r="NLN1" s="87" t="n"/>
      <c r="NLO1" s="87" t="n"/>
      <c r="NLP1" s="87" t="n"/>
      <c r="NLQ1" s="87" t="n"/>
      <c r="NLR1" s="87" t="n"/>
      <c r="NLS1" s="87" t="n"/>
      <c r="NLT1" s="87" t="n"/>
      <c r="NLU1" s="87" t="n"/>
      <c r="NLV1" s="87" t="n"/>
      <c r="NLW1" s="87" t="n"/>
      <c r="NLX1" s="87" t="n"/>
      <c r="NLY1" s="87" t="n"/>
      <c r="NLZ1" s="87" t="n"/>
      <c r="NMA1" s="87" t="n"/>
      <c r="NMB1" s="87" t="n"/>
      <c r="NMC1" s="87" t="n"/>
      <c r="NMD1" s="87" t="n"/>
      <c r="NME1" s="87" t="n"/>
      <c r="NMF1" s="87" t="n"/>
      <c r="NMG1" s="87" t="n"/>
      <c r="NMH1" s="87" t="n"/>
      <c r="NMI1" s="87" t="n"/>
      <c r="NMJ1" s="87" t="n"/>
      <c r="NMK1" s="87" t="n"/>
      <c r="NML1" s="87" t="n"/>
      <c r="NMM1" s="87" t="n"/>
      <c r="NMN1" s="87" t="n"/>
      <c r="NMO1" s="87" t="n"/>
      <c r="NMP1" s="87" t="n"/>
      <c r="NMQ1" s="87" t="n"/>
      <c r="NMR1" s="87" t="n"/>
      <c r="NMS1" s="87" t="n"/>
      <c r="NMT1" s="87" t="n"/>
      <c r="NMU1" s="87" t="n"/>
      <c r="NMV1" s="87" t="n"/>
      <c r="NMW1" s="87" t="n"/>
      <c r="NMX1" s="87" t="n"/>
      <c r="NMY1" s="87" t="n"/>
      <c r="NMZ1" s="87" t="n"/>
      <c r="NNA1" s="87" t="n"/>
      <c r="NNB1" s="87" t="n"/>
      <c r="NNC1" s="87" t="n"/>
      <c r="NND1" s="87" t="n"/>
      <c r="NNE1" s="87" t="n"/>
      <c r="NNF1" s="87" t="n"/>
      <c r="NNG1" s="87" t="n"/>
      <c r="NNH1" s="87" t="n"/>
      <c r="NNI1" s="87" t="n"/>
      <c r="NNJ1" s="87" t="n"/>
      <c r="NNK1" s="87" t="n"/>
      <c r="NNL1" s="87" t="n"/>
      <c r="NNM1" s="87" t="n"/>
      <c r="NNN1" s="87" t="n"/>
      <c r="NNO1" s="87" t="n"/>
      <c r="NNP1" s="87" t="n"/>
      <c r="NNQ1" s="87" t="n"/>
      <c r="NNR1" s="87" t="n"/>
      <c r="NNS1" s="87" t="n"/>
      <c r="NNT1" s="87" t="n"/>
      <c r="NNU1" s="87" t="n"/>
      <c r="NNV1" s="87" t="n"/>
      <c r="NNW1" s="87" t="n"/>
      <c r="NNX1" s="87" t="n"/>
      <c r="NNY1" s="87" t="n"/>
      <c r="NNZ1" s="87" t="n"/>
      <c r="NOA1" s="87" t="n"/>
      <c r="NOB1" s="87" t="n"/>
      <c r="NOC1" s="87" t="n"/>
      <c r="NOD1" s="87" t="n"/>
      <c r="NOE1" s="87" t="n"/>
      <c r="NOF1" s="87" t="n"/>
      <c r="NOG1" s="87" t="n"/>
      <c r="NOH1" s="87" t="n"/>
      <c r="NOI1" s="87" t="n"/>
      <c r="NOJ1" s="87" t="n"/>
      <c r="NOK1" s="87" t="n"/>
      <c r="NOL1" s="87" t="n"/>
      <c r="NOM1" s="87" t="n"/>
      <c r="NON1" s="87" t="n"/>
      <c r="NOO1" s="87" t="n"/>
      <c r="NOP1" s="87" t="n"/>
      <c r="NOQ1" s="87" t="n"/>
      <c r="NOR1" s="87" t="n"/>
      <c r="NOS1" s="87" t="n"/>
      <c r="NOT1" s="87" t="n"/>
      <c r="NOU1" s="87" t="n"/>
      <c r="NOV1" s="87" t="n"/>
      <c r="NOW1" s="87" t="n"/>
      <c r="NOX1" s="87" t="n"/>
      <c r="NOY1" s="87" t="n"/>
      <c r="NOZ1" s="87" t="n"/>
      <c r="NPA1" s="87" t="n"/>
      <c r="NPB1" s="87" t="n"/>
      <c r="NPC1" s="87" t="n"/>
      <c r="NPD1" s="87" t="n"/>
      <c r="NPE1" s="87" t="n"/>
      <c r="NPF1" s="87" t="n"/>
      <c r="NPG1" s="87" t="n"/>
      <c r="NPH1" s="87" t="n"/>
      <c r="NPI1" s="87" t="n"/>
      <c r="NPJ1" s="87" t="n"/>
      <c r="NPK1" s="87" t="n"/>
      <c r="NPL1" s="87" t="n"/>
      <c r="NPM1" s="87" t="n"/>
      <c r="NPN1" s="87" t="n"/>
      <c r="NPO1" s="87" t="n"/>
      <c r="NPP1" s="87" t="n"/>
      <c r="NPQ1" s="87" t="n"/>
      <c r="NPR1" s="87" t="n"/>
      <c r="NPS1" s="87" t="n"/>
      <c r="NPT1" s="87" t="n"/>
      <c r="NPU1" s="87" t="n"/>
      <c r="NPV1" s="87" t="n"/>
      <c r="NPW1" s="87" t="n"/>
      <c r="NPX1" s="87" t="n"/>
      <c r="NPY1" s="87" t="n"/>
      <c r="NPZ1" s="87" t="n"/>
      <c r="NQA1" s="87" t="n"/>
      <c r="NQB1" s="87" t="n"/>
      <c r="NQC1" s="87" t="n"/>
      <c r="NQD1" s="87" t="n"/>
      <c r="NQE1" s="87" t="n"/>
      <c r="NQF1" s="87" t="n"/>
      <c r="NQG1" s="87" t="n"/>
      <c r="NQH1" s="87" t="n"/>
      <c r="NQI1" s="87" t="n"/>
      <c r="NQJ1" s="87" t="n"/>
      <c r="NQK1" s="87" t="n"/>
      <c r="NQL1" s="87" t="n"/>
      <c r="NQM1" s="87" t="n"/>
      <c r="NQN1" s="87" t="n"/>
      <c r="NQO1" s="87" t="n"/>
      <c r="NQP1" s="87" t="n"/>
      <c r="NQQ1" s="87" t="n"/>
      <c r="NQR1" s="87" t="n"/>
      <c r="NQS1" s="87" t="n"/>
      <c r="NQT1" s="87" t="n"/>
      <c r="NQU1" s="87" t="n"/>
      <c r="NQV1" s="87" t="n"/>
      <c r="NQW1" s="87" t="n"/>
      <c r="NQX1" s="87" t="n"/>
      <c r="NQY1" s="87" t="n"/>
      <c r="NQZ1" s="87" t="n"/>
      <c r="NRA1" s="87" t="n"/>
      <c r="NRB1" s="87" t="n"/>
      <c r="NRC1" s="87" t="n"/>
      <c r="NRD1" s="87" t="n"/>
      <c r="NRE1" s="87" t="n"/>
      <c r="NRF1" s="87" t="n"/>
      <c r="NRG1" s="87" t="n"/>
      <c r="NRH1" s="87" t="n"/>
      <c r="NRI1" s="87" t="n"/>
      <c r="NRJ1" s="87" t="n"/>
      <c r="NRK1" s="87" t="n"/>
      <c r="NRL1" s="87" t="n"/>
      <c r="NRM1" s="87" t="n"/>
      <c r="NRN1" s="87" t="n"/>
      <c r="NRO1" s="87" t="n"/>
      <c r="NRP1" s="87" t="n"/>
      <c r="NRQ1" s="87" t="n"/>
      <c r="NRR1" s="87" t="n"/>
      <c r="NRS1" s="87" t="n"/>
      <c r="NRT1" s="87" t="n"/>
      <c r="NRU1" s="87" t="n"/>
      <c r="NRV1" s="87" t="n"/>
      <c r="NRW1" s="87" t="n"/>
      <c r="NRX1" s="87" t="n"/>
      <c r="NRY1" s="87" t="n"/>
      <c r="NRZ1" s="87" t="n"/>
      <c r="NSA1" s="87" t="n"/>
      <c r="NSB1" s="87" t="n"/>
      <c r="NSC1" s="87" t="n"/>
      <c r="NSD1" s="87" t="n"/>
      <c r="NSE1" s="87" t="n"/>
      <c r="NSF1" s="87" t="n"/>
      <c r="NSG1" s="87" t="n"/>
      <c r="NSH1" s="87" t="n"/>
      <c r="NSI1" s="87" t="n"/>
      <c r="NSJ1" s="87" t="n"/>
      <c r="NSK1" s="87" t="n"/>
      <c r="NSL1" s="87" t="n"/>
      <c r="NSM1" s="87" t="n"/>
      <c r="NSN1" s="87" t="n"/>
      <c r="NSO1" s="87" t="n"/>
      <c r="NSP1" s="87" t="n"/>
      <c r="NSQ1" s="87" t="n"/>
      <c r="NSR1" s="87" t="n"/>
      <c r="NSS1" s="87" t="n"/>
      <c r="NST1" s="87" t="n"/>
      <c r="NSU1" s="87" t="n"/>
      <c r="NSV1" s="87" t="n"/>
      <c r="NSW1" s="87" t="n"/>
      <c r="NSX1" s="87" t="n"/>
      <c r="NSY1" s="87" t="n"/>
      <c r="NSZ1" s="87" t="n"/>
      <c r="NTA1" s="87" t="n"/>
      <c r="NTB1" s="87" t="n"/>
      <c r="NTC1" s="87" t="n"/>
      <c r="NTD1" s="87" t="n"/>
      <c r="NTE1" s="87" t="n"/>
      <c r="NTF1" s="87" t="n"/>
      <c r="NTG1" s="87" t="n"/>
      <c r="NTH1" s="87" t="n"/>
      <c r="NTI1" s="87" t="n"/>
      <c r="NTJ1" s="87" t="n"/>
      <c r="NTK1" s="87" t="n"/>
      <c r="NTL1" s="87" t="n"/>
      <c r="NTM1" s="87" t="n"/>
      <c r="NTN1" s="87" t="n"/>
      <c r="NTO1" s="87" t="n"/>
      <c r="NTP1" s="87" t="n"/>
      <c r="NTQ1" s="87" t="n"/>
      <c r="NTR1" s="87" t="n"/>
      <c r="NTS1" s="87" t="n"/>
      <c r="NTT1" s="87" t="n"/>
      <c r="NTU1" s="87" t="n"/>
      <c r="NTV1" s="87" t="n"/>
      <c r="NTW1" s="87" t="n"/>
      <c r="NTX1" s="87" t="n"/>
      <c r="NTY1" s="87" t="n"/>
      <c r="NTZ1" s="87" t="n"/>
      <c r="NUA1" s="87" t="n"/>
      <c r="NUB1" s="87" t="n"/>
      <c r="NUC1" s="87" t="n"/>
      <c r="NUD1" s="87" t="n"/>
      <c r="NUE1" s="87" t="n"/>
      <c r="NUF1" s="87" t="n"/>
      <c r="NUG1" s="87" t="n"/>
      <c r="NUH1" s="87" t="n"/>
      <c r="NUI1" s="87" t="n"/>
      <c r="NUJ1" s="87" t="n"/>
      <c r="NUK1" s="87" t="n"/>
      <c r="NUL1" s="87" t="n"/>
      <c r="NUM1" s="87" t="n"/>
      <c r="NUN1" s="87" t="n"/>
      <c r="NUO1" s="87" t="n"/>
      <c r="NUP1" s="87" t="n"/>
      <c r="NUQ1" s="87" t="n"/>
      <c r="NUR1" s="87" t="n"/>
      <c r="NUS1" s="87" t="n"/>
      <c r="NUT1" s="87" t="n"/>
      <c r="NUU1" s="87" t="n"/>
      <c r="NUV1" s="87" t="n"/>
      <c r="NUW1" s="87" t="n"/>
      <c r="NUX1" s="87" t="n"/>
      <c r="NUY1" s="87" t="n"/>
      <c r="NUZ1" s="87" t="n"/>
      <c r="NVA1" s="87" t="n"/>
      <c r="NVB1" s="87" t="n"/>
      <c r="NVC1" s="87" t="n"/>
      <c r="NVD1" s="87" t="n"/>
      <c r="NVE1" s="87" t="n"/>
      <c r="NVF1" s="87" t="n"/>
      <c r="NVG1" s="87" t="n"/>
      <c r="NVH1" s="87" t="n"/>
      <c r="NVI1" s="87" t="n"/>
      <c r="NVJ1" s="87" t="n"/>
      <c r="NVK1" s="87" t="n"/>
      <c r="NVL1" s="87" t="n"/>
      <c r="NVM1" s="87" t="n"/>
      <c r="NVN1" s="87" t="n"/>
      <c r="NVO1" s="87" t="n"/>
      <c r="NVP1" s="87" t="n"/>
      <c r="NVQ1" s="87" t="n"/>
      <c r="NVR1" s="87" t="n"/>
      <c r="NVS1" s="87" t="n"/>
      <c r="NVT1" s="87" t="n"/>
      <c r="NVU1" s="87" t="n"/>
      <c r="NVV1" s="87" t="n"/>
      <c r="NVW1" s="87" t="n"/>
      <c r="NVX1" s="87" t="n"/>
      <c r="NVY1" s="87" t="n"/>
      <c r="NVZ1" s="87" t="n"/>
      <c r="NWA1" s="87" t="n"/>
      <c r="NWB1" s="87" t="n"/>
      <c r="NWC1" s="87" t="n"/>
      <c r="NWD1" s="87" t="n"/>
      <c r="NWE1" s="87" t="n"/>
      <c r="NWF1" s="87" t="n"/>
      <c r="NWG1" s="87" t="n"/>
      <c r="NWH1" s="87" t="n"/>
      <c r="NWI1" s="87" t="n"/>
      <c r="NWJ1" s="87" t="n"/>
      <c r="NWK1" s="87" t="n"/>
      <c r="NWL1" s="87" t="n"/>
      <c r="NWM1" s="87" t="n"/>
      <c r="NWN1" s="87" t="n"/>
      <c r="NWO1" s="87" t="n"/>
      <c r="NWP1" s="87" t="n"/>
      <c r="NWQ1" s="87" t="n"/>
      <c r="NWR1" s="87" t="n"/>
      <c r="NWS1" s="87" t="n"/>
      <c r="NWT1" s="87" t="n"/>
      <c r="NWU1" s="87" t="n"/>
      <c r="NWV1" s="87" t="n"/>
      <c r="NWW1" s="87" t="n"/>
      <c r="NWX1" s="87" t="n"/>
      <c r="NWY1" s="87" t="n"/>
      <c r="NWZ1" s="87" t="n"/>
      <c r="NXA1" s="87" t="n"/>
      <c r="NXB1" s="87" t="n"/>
      <c r="NXC1" s="87" t="n"/>
      <c r="NXD1" s="87" t="n"/>
      <c r="NXE1" s="87" t="n"/>
      <c r="NXF1" s="87" t="n"/>
      <c r="NXG1" s="87" t="n"/>
      <c r="NXH1" s="87" t="n"/>
      <c r="NXI1" s="87" t="n"/>
      <c r="NXJ1" s="87" t="n"/>
      <c r="NXK1" s="87" t="n"/>
      <c r="NXL1" s="87" t="n"/>
      <c r="NXM1" s="87" t="n"/>
      <c r="NXN1" s="87" t="n"/>
      <c r="NXO1" s="87" t="n"/>
      <c r="NXP1" s="87" t="n"/>
      <c r="NXQ1" s="87" t="n"/>
      <c r="NXR1" s="87" t="n"/>
      <c r="NXS1" s="87" t="n"/>
      <c r="NXT1" s="87" t="n"/>
      <c r="NXU1" s="87" t="n"/>
      <c r="NXV1" s="87" t="n"/>
      <c r="NXW1" s="87" t="n"/>
      <c r="NXX1" s="87" t="n"/>
      <c r="NXY1" s="87" t="n"/>
      <c r="NXZ1" s="87" t="n"/>
      <c r="NYA1" s="87" t="n"/>
      <c r="NYB1" s="87" t="n"/>
      <c r="NYC1" s="87" t="n"/>
      <c r="NYD1" s="87" t="n"/>
      <c r="NYE1" s="87" t="n"/>
      <c r="NYF1" s="87" t="n"/>
      <c r="NYG1" s="87" t="n"/>
      <c r="NYH1" s="87" t="n"/>
      <c r="NYI1" s="87" t="n"/>
      <c r="NYJ1" s="87" t="n"/>
      <c r="NYK1" s="87" t="n"/>
      <c r="NYL1" s="87" t="n"/>
      <c r="NYM1" s="87" t="n"/>
      <c r="NYN1" s="87" t="n"/>
      <c r="NYO1" s="87" t="n"/>
      <c r="NYP1" s="87" t="n"/>
      <c r="NYQ1" s="87" t="n"/>
      <c r="NYR1" s="87" t="n"/>
      <c r="NYS1" s="87" t="n"/>
      <c r="NYT1" s="87" t="n"/>
      <c r="NYU1" s="87" t="n"/>
      <c r="NYV1" s="87" t="n"/>
      <c r="NYW1" s="87" t="n"/>
      <c r="NYX1" s="87" t="n"/>
      <c r="NYY1" s="87" t="n"/>
      <c r="NYZ1" s="87" t="n"/>
      <c r="NZA1" s="87" t="n"/>
      <c r="NZB1" s="87" t="n"/>
      <c r="NZC1" s="87" t="n"/>
      <c r="NZD1" s="87" t="n"/>
      <c r="NZE1" s="87" t="n"/>
      <c r="NZF1" s="87" t="n"/>
      <c r="NZG1" s="87" t="n"/>
      <c r="NZH1" s="87" t="n"/>
      <c r="NZI1" s="87" t="n"/>
      <c r="NZJ1" s="87" t="n"/>
      <c r="NZK1" s="87" t="n"/>
      <c r="NZL1" s="87" t="n"/>
      <c r="NZM1" s="87" t="n"/>
      <c r="NZN1" s="87" t="n"/>
      <c r="NZO1" s="87" t="n"/>
      <c r="NZP1" s="87" t="n"/>
      <c r="NZQ1" s="87" t="n"/>
      <c r="NZR1" s="87" t="n"/>
      <c r="NZS1" s="87" t="n"/>
      <c r="NZT1" s="87" t="n"/>
      <c r="NZU1" s="87" t="n"/>
      <c r="NZV1" s="87" t="n"/>
      <c r="NZW1" s="87" t="n"/>
      <c r="NZX1" s="87" t="n"/>
      <c r="NZY1" s="87" t="n"/>
      <c r="NZZ1" s="87" t="n"/>
      <c r="OAA1" s="87" t="n"/>
      <c r="OAB1" s="87" t="n"/>
      <c r="OAC1" s="87" t="n"/>
      <c r="OAD1" s="87" t="n"/>
      <c r="OAE1" s="87" t="n"/>
      <c r="OAF1" s="87" t="n"/>
      <c r="OAG1" s="87" t="n"/>
      <c r="OAH1" s="87" t="n"/>
      <c r="OAI1" s="87" t="n"/>
      <c r="OAJ1" s="87" t="n"/>
      <c r="OAK1" s="87" t="n"/>
      <c r="OAL1" s="87" t="n"/>
      <c r="OAM1" s="87" t="n"/>
      <c r="OAN1" s="87" t="n"/>
      <c r="OAO1" s="87" t="n"/>
      <c r="OAP1" s="87" t="n"/>
      <c r="OAQ1" s="87" t="n"/>
      <c r="OAR1" s="87" t="n"/>
      <c r="OAS1" s="87" t="n"/>
      <c r="OAT1" s="87" t="n"/>
      <c r="OAU1" s="87" t="n"/>
      <c r="OAV1" s="87" t="n"/>
      <c r="OAW1" s="87" t="n"/>
      <c r="OAX1" s="87" t="n"/>
      <c r="OAY1" s="87" t="n"/>
      <c r="OAZ1" s="87" t="n"/>
      <c r="OBA1" s="87" t="n"/>
      <c r="OBB1" s="87" t="n"/>
      <c r="OBC1" s="87" t="n"/>
      <c r="OBD1" s="87" t="n"/>
      <c r="OBE1" s="87" t="n"/>
      <c r="OBF1" s="87" t="n"/>
      <c r="OBG1" s="87" t="n"/>
      <c r="OBH1" s="87" t="n"/>
      <c r="OBI1" s="87" t="n"/>
      <c r="OBJ1" s="87" t="n"/>
      <c r="OBK1" s="87" t="n"/>
      <c r="OBL1" s="87" t="n"/>
      <c r="OBM1" s="87" t="n"/>
      <c r="OBN1" s="87" t="n"/>
      <c r="OBO1" s="87" t="n"/>
      <c r="OBP1" s="87" t="n"/>
      <c r="OBQ1" s="87" t="n"/>
      <c r="OBR1" s="87" t="n"/>
      <c r="OBS1" s="87" t="n"/>
      <c r="OBT1" s="87" t="n"/>
      <c r="OBU1" s="87" t="n"/>
      <c r="OBV1" s="87" t="n"/>
      <c r="OBW1" s="87" t="n"/>
      <c r="OBX1" s="87" t="n"/>
      <c r="OBY1" s="87" t="n"/>
      <c r="OBZ1" s="87" t="n"/>
      <c r="OCA1" s="87" t="n"/>
      <c r="OCB1" s="87" t="n"/>
      <c r="OCC1" s="87" t="n"/>
      <c r="OCD1" s="87" t="n"/>
      <c r="OCE1" s="87" t="n"/>
      <c r="OCF1" s="87" t="n"/>
      <c r="OCG1" s="87" t="n"/>
      <c r="OCH1" s="87" t="n"/>
      <c r="OCI1" s="87" t="n"/>
      <c r="OCJ1" s="87" t="n"/>
      <c r="OCK1" s="87" t="n"/>
      <c r="OCL1" s="87" t="n"/>
      <c r="OCM1" s="87" t="n"/>
      <c r="OCN1" s="87" t="n"/>
      <c r="OCO1" s="87" t="n"/>
      <c r="OCP1" s="87" t="n"/>
      <c r="OCQ1" s="87" t="n"/>
      <c r="OCR1" s="87" t="n"/>
      <c r="OCS1" s="87" t="n"/>
      <c r="OCT1" s="87" t="n"/>
      <c r="OCU1" s="87" t="n"/>
      <c r="OCV1" s="87" t="n"/>
      <c r="OCW1" s="87" t="n"/>
      <c r="OCX1" s="87" t="n"/>
      <c r="OCY1" s="87" t="n"/>
      <c r="OCZ1" s="87" t="n"/>
      <c r="ODA1" s="87" t="n"/>
      <c r="ODB1" s="87" t="n"/>
      <c r="ODC1" s="87" t="n"/>
      <c r="ODD1" s="87" t="n"/>
      <c r="ODE1" s="87" t="n"/>
      <c r="ODF1" s="87" t="n"/>
      <c r="ODG1" s="87" t="n"/>
      <c r="ODH1" s="87" t="n"/>
      <c r="ODI1" s="87" t="n"/>
      <c r="ODJ1" s="87" t="n"/>
      <c r="ODK1" s="87" t="n"/>
      <c r="ODL1" s="87" t="n"/>
      <c r="ODM1" s="87" t="n"/>
      <c r="ODN1" s="87" t="n"/>
      <c r="ODO1" s="87" t="n"/>
      <c r="ODP1" s="87" t="n"/>
      <c r="ODQ1" s="87" t="n"/>
      <c r="ODR1" s="87" t="n"/>
      <c r="ODS1" s="87" t="n"/>
      <c r="ODT1" s="87" t="n"/>
      <c r="ODU1" s="87" t="n"/>
      <c r="ODV1" s="87" t="n"/>
      <c r="ODW1" s="87" t="n"/>
      <c r="ODX1" s="87" t="n"/>
      <c r="ODY1" s="87" t="n"/>
      <c r="ODZ1" s="87" t="n"/>
      <c r="OEA1" s="87" t="n"/>
      <c r="OEB1" s="87" t="n"/>
      <c r="OEC1" s="87" t="n"/>
      <c r="OED1" s="87" t="n"/>
      <c r="OEE1" s="87" t="n"/>
      <c r="OEF1" s="87" t="n"/>
      <c r="OEG1" s="87" t="n"/>
      <c r="OEH1" s="87" t="n"/>
      <c r="OEI1" s="87" t="n"/>
      <c r="OEJ1" s="87" t="n"/>
      <c r="OEK1" s="87" t="n"/>
      <c r="OEL1" s="87" t="n"/>
      <c r="OEM1" s="87" t="n"/>
      <c r="OEN1" s="87" t="n"/>
      <c r="OEO1" s="87" t="n"/>
      <c r="OEP1" s="87" t="n"/>
      <c r="OEQ1" s="87" t="n"/>
      <c r="OER1" s="87" t="n"/>
      <c r="OES1" s="87" t="n"/>
      <c r="OET1" s="87" t="n"/>
      <c r="OEU1" s="87" t="n"/>
      <c r="OEV1" s="87" t="n"/>
      <c r="OEW1" s="87" t="n"/>
      <c r="OEX1" s="87" t="n"/>
      <c r="OEY1" s="87" t="n"/>
      <c r="OEZ1" s="87" t="n"/>
      <c r="OFA1" s="87" t="n"/>
      <c r="OFB1" s="87" t="n"/>
      <c r="OFC1" s="87" t="n"/>
      <c r="OFD1" s="87" t="n"/>
      <c r="OFE1" s="87" t="n"/>
      <c r="OFF1" s="87" t="n"/>
      <c r="OFG1" s="87" t="n"/>
      <c r="OFH1" s="87" t="n"/>
      <c r="OFI1" s="87" t="n"/>
      <c r="OFJ1" s="87" t="n"/>
      <c r="OFK1" s="87" t="n"/>
      <c r="OFL1" s="87" t="n"/>
      <c r="OFM1" s="87" t="n"/>
      <c r="OFN1" s="87" t="n"/>
      <c r="OFO1" s="87" t="n"/>
      <c r="OFP1" s="87" t="n"/>
      <c r="OFQ1" s="87" t="n"/>
      <c r="OFR1" s="87" t="n"/>
      <c r="OFS1" s="87" t="n"/>
      <c r="OFT1" s="87" t="n"/>
      <c r="OFU1" s="87" t="n"/>
      <c r="OFV1" s="87" t="n"/>
      <c r="OFW1" s="87" t="n"/>
      <c r="OFX1" s="87" t="n"/>
      <c r="OFY1" s="87" t="n"/>
      <c r="OFZ1" s="87" t="n"/>
      <c r="OGA1" s="87" t="n"/>
      <c r="OGB1" s="87" t="n"/>
      <c r="OGC1" s="87" t="n"/>
      <c r="OGD1" s="87" t="n"/>
      <c r="OGE1" s="87" t="n"/>
      <c r="OGF1" s="87" t="n"/>
      <c r="OGG1" s="87" t="n"/>
      <c r="OGH1" s="87" t="n"/>
      <c r="OGI1" s="87" t="n"/>
      <c r="OGJ1" s="87" t="n"/>
      <c r="OGK1" s="87" t="n"/>
      <c r="OGL1" s="87" t="n"/>
      <c r="OGM1" s="87" t="n"/>
      <c r="OGN1" s="87" t="n"/>
      <c r="OGO1" s="87" t="n"/>
      <c r="OGP1" s="87" t="n"/>
      <c r="OGQ1" s="87" t="n"/>
      <c r="OGR1" s="87" t="n"/>
      <c r="OGS1" s="87" t="n"/>
      <c r="OGT1" s="87" t="n"/>
      <c r="OGU1" s="87" t="n"/>
      <c r="OGV1" s="87" t="n"/>
      <c r="OGW1" s="87" t="n"/>
      <c r="OGX1" s="87" t="n"/>
      <c r="OGY1" s="87" t="n"/>
      <c r="OGZ1" s="87" t="n"/>
      <c r="OHA1" s="87" t="n"/>
      <c r="OHB1" s="87" t="n"/>
      <c r="OHC1" s="87" t="n"/>
      <c r="OHD1" s="87" t="n"/>
      <c r="OHE1" s="87" t="n"/>
      <c r="OHF1" s="87" t="n"/>
      <c r="OHG1" s="87" t="n"/>
      <c r="OHH1" s="87" t="n"/>
      <c r="OHI1" s="87" t="n"/>
      <c r="OHJ1" s="87" t="n"/>
      <c r="OHK1" s="87" t="n"/>
      <c r="OHL1" s="87" t="n"/>
      <c r="OHM1" s="87" t="n"/>
      <c r="OHN1" s="87" t="n"/>
      <c r="OHO1" s="87" t="n"/>
      <c r="OHP1" s="87" t="n"/>
      <c r="OHQ1" s="87" t="n"/>
      <c r="OHR1" s="87" t="n"/>
      <c r="OHS1" s="87" t="n"/>
      <c r="OHT1" s="87" t="n"/>
      <c r="OHU1" s="87" t="n"/>
      <c r="OHV1" s="87" t="n"/>
      <c r="OHW1" s="87" t="n"/>
      <c r="OHX1" s="87" t="n"/>
      <c r="OHY1" s="87" t="n"/>
      <c r="OHZ1" s="87" t="n"/>
      <c r="OIA1" s="87" t="n"/>
      <c r="OIB1" s="87" t="n"/>
      <c r="OIC1" s="87" t="n"/>
      <c r="OID1" s="87" t="n"/>
      <c r="OIE1" s="87" t="n"/>
      <c r="OIF1" s="87" t="n"/>
      <c r="OIG1" s="87" t="n"/>
      <c r="OIH1" s="87" t="n"/>
      <c r="OII1" s="87" t="n"/>
      <c r="OIJ1" s="87" t="n"/>
      <c r="OIK1" s="87" t="n"/>
      <c r="OIL1" s="87" t="n"/>
      <c r="OIM1" s="87" t="n"/>
      <c r="OIN1" s="87" t="n"/>
      <c r="OIO1" s="87" t="n"/>
      <c r="OIP1" s="87" t="n"/>
      <c r="OIQ1" s="87" t="n"/>
      <c r="OIR1" s="87" t="n"/>
      <c r="OIS1" s="87" t="n"/>
      <c r="OIT1" s="87" t="n"/>
      <c r="OIU1" s="87" t="n"/>
      <c r="OIV1" s="87" t="n"/>
      <c r="OIW1" s="87" t="n"/>
      <c r="OIX1" s="87" t="n"/>
      <c r="OIY1" s="87" t="n"/>
      <c r="OIZ1" s="87" t="n"/>
      <c r="OJA1" s="87" t="n"/>
      <c r="OJB1" s="87" t="n"/>
      <c r="OJC1" s="87" t="n"/>
      <c r="OJD1" s="87" t="n"/>
      <c r="OJE1" s="87" t="n"/>
      <c r="OJF1" s="87" t="n"/>
      <c r="OJG1" s="87" t="n"/>
      <c r="OJH1" s="87" t="n"/>
      <c r="OJI1" s="87" t="n"/>
      <c r="OJJ1" s="87" t="n"/>
      <c r="OJK1" s="87" t="n"/>
      <c r="OJL1" s="87" t="n"/>
      <c r="OJM1" s="87" t="n"/>
      <c r="OJN1" s="87" t="n"/>
      <c r="OJO1" s="87" t="n"/>
      <c r="OJP1" s="87" t="n"/>
      <c r="OJQ1" s="87" t="n"/>
      <c r="OJR1" s="87" t="n"/>
      <c r="OJS1" s="87" t="n"/>
      <c r="OJT1" s="87" t="n"/>
      <c r="OJU1" s="87" t="n"/>
      <c r="OJV1" s="87" t="n"/>
      <c r="OJW1" s="87" t="n"/>
      <c r="OJX1" s="87" t="n"/>
      <c r="OJY1" s="87" t="n"/>
      <c r="OJZ1" s="87" t="n"/>
      <c r="OKA1" s="87" t="n"/>
      <c r="OKB1" s="87" t="n"/>
      <c r="OKC1" s="87" t="n"/>
      <c r="OKD1" s="87" t="n"/>
      <c r="OKE1" s="87" t="n"/>
      <c r="OKF1" s="87" t="n"/>
      <c r="OKG1" s="87" t="n"/>
      <c r="OKH1" s="87" t="n"/>
      <c r="OKI1" s="87" t="n"/>
      <c r="OKJ1" s="87" t="n"/>
      <c r="OKK1" s="87" t="n"/>
      <c r="OKL1" s="87" t="n"/>
      <c r="OKM1" s="87" t="n"/>
      <c r="OKN1" s="87" t="n"/>
      <c r="OKO1" s="87" t="n"/>
      <c r="OKP1" s="87" t="n"/>
      <c r="OKQ1" s="87" t="n"/>
      <c r="OKR1" s="87" t="n"/>
      <c r="OKS1" s="87" t="n"/>
      <c r="OKT1" s="87" t="n"/>
      <c r="OKU1" s="87" t="n"/>
      <c r="OKV1" s="87" t="n"/>
      <c r="OKW1" s="87" t="n"/>
      <c r="OKX1" s="87" t="n"/>
      <c r="OKY1" s="87" t="n"/>
      <c r="OKZ1" s="87" t="n"/>
      <c r="OLA1" s="87" t="n"/>
      <c r="OLB1" s="87" t="n"/>
      <c r="OLC1" s="87" t="n"/>
      <c r="OLD1" s="87" t="n"/>
      <c r="OLE1" s="87" t="n"/>
      <c r="OLF1" s="87" t="n"/>
      <c r="OLG1" s="87" t="n"/>
      <c r="OLH1" s="87" t="n"/>
      <c r="OLI1" s="87" t="n"/>
      <c r="OLJ1" s="87" t="n"/>
      <c r="OLK1" s="87" t="n"/>
      <c r="OLL1" s="87" t="n"/>
      <c r="OLM1" s="87" t="n"/>
      <c r="OLN1" s="87" t="n"/>
      <c r="OLO1" s="87" t="n"/>
      <c r="OLP1" s="87" t="n"/>
      <c r="OLQ1" s="87" t="n"/>
      <c r="OLR1" s="87" t="n"/>
      <c r="OLS1" s="87" t="n"/>
      <c r="OLT1" s="87" t="n"/>
      <c r="OLU1" s="87" t="n"/>
      <c r="OLV1" s="87" t="n"/>
      <c r="OLW1" s="87" t="n"/>
      <c r="OLX1" s="87" t="n"/>
      <c r="OLY1" s="87" t="n"/>
      <c r="OLZ1" s="87" t="n"/>
      <c r="OMA1" s="87" t="n"/>
      <c r="OMB1" s="87" t="n"/>
      <c r="OMC1" s="87" t="n"/>
      <c r="OMD1" s="87" t="n"/>
      <c r="OME1" s="87" t="n"/>
      <c r="OMF1" s="87" t="n"/>
      <c r="OMG1" s="87" t="n"/>
      <c r="OMH1" s="87" t="n"/>
      <c r="OMI1" s="87" t="n"/>
      <c r="OMJ1" s="87" t="n"/>
      <c r="OMK1" s="87" t="n"/>
      <c r="OML1" s="87" t="n"/>
      <c r="OMM1" s="87" t="n"/>
      <c r="OMN1" s="87" t="n"/>
      <c r="OMO1" s="87" t="n"/>
      <c r="OMP1" s="87" t="n"/>
      <c r="OMQ1" s="87" t="n"/>
      <c r="OMR1" s="87" t="n"/>
      <c r="OMS1" s="87" t="n"/>
      <c r="OMT1" s="87" t="n"/>
      <c r="OMU1" s="87" t="n"/>
      <c r="OMV1" s="87" t="n"/>
      <c r="OMW1" s="87" t="n"/>
      <c r="OMX1" s="87" t="n"/>
      <c r="OMY1" s="87" t="n"/>
      <c r="OMZ1" s="87" t="n"/>
      <c r="ONA1" s="87" t="n"/>
      <c r="ONB1" s="87" t="n"/>
      <c r="ONC1" s="87" t="n"/>
      <c r="OND1" s="87" t="n"/>
      <c r="ONE1" s="87" t="n"/>
      <c r="ONF1" s="87" t="n"/>
      <c r="ONG1" s="87" t="n"/>
      <c r="ONH1" s="87" t="n"/>
      <c r="ONI1" s="87" t="n"/>
      <c r="ONJ1" s="87" t="n"/>
      <c r="ONK1" s="87" t="n"/>
      <c r="ONL1" s="87" t="n"/>
      <c r="ONM1" s="87" t="n"/>
      <c r="ONN1" s="87" t="n"/>
      <c r="ONO1" s="87" t="n"/>
      <c r="ONP1" s="87" t="n"/>
      <c r="ONQ1" s="87" t="n"/>
      <c r="ONR1" s="87" t="n"/>
      <c r="ONS1" s="87" t="n"/>
      <c r="ONT1" s="87" t="n"/>
      <c r="ONU1" s="87" t="n"/>
      <c r="ONV1" s="87" t="n"/>
      <c r="ONW1" s="87" t="n"/>
      <c r="ONX1" s="87" t="n"/>
      <c r="ONY1" s="87" t="n"/>
      <c r="ONZ1" s="87" t="n"/>
      <c r="OOA1" s="87" t="n"/>
      <c r="OOB1" s="87" t="n"/>
      <c r="OOC1" s="87" t="n"/>
      <c r="OOD1" s="87" t="n"/>
      <c r="OOE1" s="87" t="n"/>
      <c r="OOF1" s="87" t="n"/>
      <c r="OOG1" s="87" t="n"/>
      <c r="OOH1" s="87" t="n"/>
      <c r="OOI1" s="87" t="n"/>
      <c r="OOJ1" s="87" t="n"/>
      <c r="OOK1" s="87" t="n"/>
      <c r="OOL1" s="87" t="n"/>
      <c r="OOM1" s="87" t="n"/>
      <c r="OON1" s="87" t="n"/>
      <c r="OOO1" s="87" t="n"/>
      <c r="OOP1" s="87" t="n"/>
      <c r="OOQ1" s="87" t="n"/>
      <c r="OOR1" s="87" t="n"/>
      <c r="OOS1" s="87" t="n"/>
      <c r="OOT1" s="87" t="n"/>
      <c r="OOU1" s="87" t="n"/>
      <c r="OOV1" s="87" t="n"/>
      <c r="OOW1" s="87" t="n"/>
      <c r="OOX1" s="87" t="n"/>
      <c r="OOY1" s="87" t="n"/>
      <c r="OOZ1" s="87" t="n"/>
      <c r="OPA1" s="87" t="n"/>
      <c r="OPB1" s="87" t="n"/>
      <c r="OPC1" s="87" t="n"/>
      <c r="OPD1" s="87" t="n"/>
      <c r="OPE1" s="87" t="n"/>
      <c r="OPF1" s="87" t="n"/>
      <c r="OPG1" s="87" t="n"/>
      <c r="OPH1" s="87" t="n"/>
      <c r="OPI1" s="87" t="n"/>
      <c r="OPJ1" s="87" t="n"/>
      <c r="OPK1" s="87" t="n"/>
      <c r="OPL1" s="87" t="n"/>
      <c r="OPM1" s="87" t="n"/>
      <c r="OPN1" s="87" t="n"/>
      <c r="OPO1" s="87" t="n"/>
      <c r="OPP1" s="87" t="n"/>
      <c r="OPQ1" s="87" t="n"/>
      <c r="OPR1" s="87" t="n"/>
      <c r="OPS1" s="87" t="n"/>
      <c r="OPT1" s="87" t="n"/>
      <c r="OPU1" s="87" t="n"/>
      <c r="OPV1" s="87" t="n"/>
      <c r="OPW1" s="87" t="n"/>
      <c r="OPX1" s="87" t="n"/>
      <c r="OPY1" s="87" t="n"/>
      <c r="OPZ1" s="87" t="n"/>
      <c r="OQA1" s="87" t="n"/>
      <c r="OQB1" s="87" t="n"/>
      <c r="OQC1" s="87" t="n"/>
      <c r="OQD1" s="87" t="n"/>
      <c r="OQE1" s="87" t="n"/>
      <c r="OQF1" s="87" t="n"/>
      <c r="OQG1" s="87" t="n"/>
      <c r="OQH1" s="87" t="n"/>
      <c r="OQI1" s="87" t="n"/>
      <c r="OQJ1" s="87" t="n"/>
      <c r="OQK1" s="87" t="n"/>
      <c r="OQL1" s="87" t="n"/>
      <c r="OQM1" s="87" t="n"/>
      <c r="OQN1" s="87" t="n"/>
      <c r="OQO1" s="87" t="n"/>
      <c r="OQP1" s="87" t="n"/>
      <c r="OQQ1" s="87" t="n"/>
      <c r="OQR1" s="87" t="n"/>
      <c r="OQS1" s="87" t="n"/>
      <c r="OQT1" s="87" t="n"/>
      <c r="OQU1" s="87" t="n"/>
      <c r="OQV1" s="87" t="n"/>
      <c r="OQW1" s="87" t="n"/>
      <c r="OQX1" s="87" t="n"/>
      <c r="OQY1" s="87" t="n"/>
      <c r="OQZ1" s="87" t="n"/>
      <c r="ORA1" s="87" t="n"/>
      <c r="ORB1" s="87" t="n"/>
      <c r="ORC1" s="87" t="n"/>
      <c r="ORD1" s="87" t="n"/>
      <c r="ORE1" s="87" t="n"/>
      <c r="ORF1" s="87" t="n"/>
      <c r="ORG1" s="87" t="n"/>
      <c r="ORH1" s="87" t="n"/>
      <c r="ORI1" s="87" t="n"/>
      <c r="ORJ1" s="87" t="n"/>
      <c r="ORK1" s="87" t="n"/>
      <c r="ORL1" s="87" t="n"/>
      <c r="ORM1" s="87" t="n"/>
      <c r="ORN1" s="87" t="n"/>
      <c r="ORO1" s="87" t="n"/>
      <c r="ORP1" s="87" t="n"/>
      <c r="ORQ1" s="87" t="n"/>
      <c r="ORR1" s="87" t="n"/>
      <c r="ORS1" s="87" t="n"/>
      <c r="ORT1" s="87" t="n"/>
      <c r="ORU1" s="87" t="n"/>
      <c r="ORV1" s="87" t="n"/>
      <c r="ORW1" s="87" t="n"/>
      <c r="ORX1" s="87" t="n"/>
      <c r="ORY1" s="87" t="n"/>
      <c r="ORZ1" s="87" t="n"/>
      <c r="OSA1" s="87" t="n"/>
      <c r="OSB1" s="87" t="n"/>
      <c r="OSC1" s="87" t="n"/>
      <c r="OSD1" s="87" t="n"/>
      <c r="OSE1" s="87" t="n"/>
      <c r="OSF1" s="87" t="n"/>
      <c r="OSG1" s="87" t="n"/>
      <c r="OSH1" s="87" t="n"/>
      <c r="OSI1" s="87" t="n"/>
      <c r="OSJ1" s="87" t="n"/>
      <c r="OSK1" s="87" t="n"/>
      <c r="OSL1" s="87" t="n"/>
      <c r="OSM1" s="87" t="n"/>
      <c r="OSN1" s="87" t="n"/>
      <c r="OSO1" s="87" t="n"/>
      <c r="OSP1" s="87" t="n"/>
      <c r="OSQ1" s="87" t="n"/>
      <c r="OSR1" s="87" t="n"/>
      <c r="OSS1" s="87" t="n"/>
      <c r="OST1" s="87" t="n"/>
      <c r="OSU1" s="87" t="n"/>
      <c r="OSV1" s="87" t="n"/>
      <c r="OSW1" s="87" t="n"/>
      <c r="OSX1" s="87" t="n"/>
      <c r="OSY1" s="87" t="n"/>
      <c r="OSZ1" s="87" t="n"/>
      <c r="OTA1" s="87" t="n"/>
      <c r="OTB1" s="87" t="n"/>
      <c r="OTC1" s="87" t="n"/>
      <c r="OTD1" s="87" t="n"/>
      <c r="OTE1" s="87" t="n"/>
      <c r="OTF1" s="87" t="n"/>
      <c r="OTG1" s="87" t="n"/>
      <c r="OTH1" s="87" t="n"/>
      <c r="OTI1" s="87" t="n"/>
      <c r="OTJ1" s="87" t="n"/>
      <c r="OTK1" s="87" t="n"/>
      <c r="OTL1" s="87" t="n"/>
      <c r="OTM1" s="87" t="n"/>
      <c r="OTN1" s="87" t="n"/>
      <c r="OTO1" s="87" t="n"/>
      <c r="OTP1" s="87" t="n"/>
      <c r="OTQ1" s="87" t="n"/>
      <c r="OTR1" s="87" t="n"/>
      <c r="OTS1" s="87" t="n"/>
      <c r="OTT1" s="87" t="n"/>
      <c r="OTU1" s="87" t="n"/>
      <c r="OTV1" s="87" t="n"/>
      <c r="OTW1" s="87" t="n"/>
      <c r="OTX1" s="87" t="n"/>
      <c r="OTY1" s="87" t="n"/>
      <c r="OTZ1" s="87" t="n"/>
      <c r="OUA1" s="87" t="n"/>
      <c r="OUB1" s="87" t="n"/>
      <c r="OUC1" s="87" t="n"/>
      <c r="OUD1" s="87" t="n"/>
      <c r="OUE1" s="87" t="n"/>
      <c r="OUF1" s="87" t="n"/>
      <c r="OUG1" s="87" t="n"/>
      <c r="OUH1" s="87" t="n"/>
      <c r="OUI1" s="87" t="n"/>
      <c r="OUJ1" s="87" t="n"/>
      <c r="OUK1" s="87" t="n"/>
      <c r="OUL1" s="87" t="n"/>
      <c r="OUM1" s="87" t="n"/>
      <c r="OUN1" s="87" t="n"/>
      <c r="OUO1" s="87" t="n"/>
      <c r="OUP1" s="87" t="n"/>
      <c r="OUQ1" s="87" t="n"/>
      <c r="OUR1" s="87" t="n"/>
      <c r="OUS1" s="87" t="n"/>
      <c r="OUT1" s="87" t="n"/>
      <c r="OUU1" s="87" t="n"/>
      <c r="OUV1" s="87" t="n"/>
      <c r="OUW1" s="87" t="n"/>
      <c r="OUX1" s="87" t="n"/>
      <c r="OUY1" s="87" t="n"/>
      <c r="OUZ1" s="87" t="n"/>
      <c r="OVA1" s="87" t="n"/>
      <c r="OVB1" s="87" t="n"/>
      <c r="OVC1" s="87" t="n"/>
      <c r="OVD1" s="87" t="n"/>
      <c r="OVE1" s="87" t="n"/>
      <c r="OVF1" s="87" t="n"/>
      <c r="OVG1" s="87" t="n"/>
      <c r="OVH1" s="87" t="n"/>
      <c r="OVI1" s="87" t="n"/>
      <c r="OVJ1" s="87" t="n"/>
      <c r="OVK1" s="87" t="n"/>
      <c r="OVL1" s="87" t="n"/>
      <c r="OVM1" s="87" t="n"/>
      <c r="OVN1" s="87" t="n"/>
      <c r="OVO1" s="87" t="n"/>
      <c r="OVP1" s="87" t="n"/>
      <c r="OVQ1" s="87" t="n"/>
      <c r="OVR1" s="87" t="n"/>
      <c r="OVS1" s="87" t="n"/>
      <c r="OVT1" s="87" t="n"/>
      <c r="OVU1" s="87" t="n"/>
      <c r="OVV1" s="87" t="n"/>
      <c r="OVW1" s="87" t="n"/>
      <c r="OVX1" s="87" t="n"/>
      <c r="OVY1" s="87" t="n"/>
      <c r="OVZ1" s="87" t="n"/>
      <c r="OWA1" s="87" t="n"/>
      <c r="OWB1" s="87" t="n"/>
      <c r="OWC1" s="87" t="n"/>
      <c r="OWD1" s="87" t="n"/>
      <c r="OWE1" s="87" t="n"/>
      <c r="OWF1" s="87" t="n"/>
      <c r="OWG1" s="87" t="n"/>
      <c r="OWH1" s="87" t="n"/>
      <c r="OWI1" s="87" t="n"/>
      <c r="OWJ1" s="87" t="n"/>
      <c r="OWK1" s="87" t="n"/>
      <c r="OWL1" s="87" t="n"/>
      <c r="OWM1" s="87" t="n"/>
      <c r="OWN1" s="87" t="n"/>
      <c r="OWO1" s="87" t="n"/>
      <c r="OWP1" s="87" t="n"/>
      <c r="OWQ1" s="87" t="n"/>
      <c r="OWR1" s="87" t="n"/>
      <c r="OWS1" s="87" t="n"/>
      <c r="OWT1" s="87" t="n"/>
      <c r="OWU1" s="87" t="n"/>
      <c r="OWV1" s="87" t="n"/>
      <c r="OWW1" s="87" t="n"/>
      <c r="OWX1" s="87" t="n"/>
      <c r="OWY1" s="87" t="n"/>
      <c r="OWZ1" s="87" t="n"/>
      <c r="OXA1" s="87" t="n"/>
      <c r="OXB1" s="87" t="n"/>
      <c r="OXC1" s="87" t="n"/>
      <c r="OXD1" s="87" t="n"/>
      <c r="OXE1" s="87" t="n"/>
      <c r="OXF1" s="87" t="n"/>
      <c r="OXG1" s="87" t="n"/>
      <c r="OXH1" s="87" t="n"/>
      <c r="OXI1" s="87" t="n"/>
      <c r="OXJ1" s="87" t="n"/>
      <c r="OXK1" s="87" t="n"/>
      <c r="OXL1" s="87" t="n"/>
      <c r="OXM1" s="87" t="n"/>
      <c r="OXN1" s="87" t="n"/>
      <c r="OXO1" s="87" t="n"/>
      <c r="OXP1" s="87" t="n"/>
      <c r="OXQ1" s="87" t="n"/>
      <c r="OXR1" s="87" t="n"/>
      <c r="OXS1" s="87" t="n"/>
      <c r="OXT1" s="87" t="n"/>
      <c r="OXU1" s="87" t="n"/>
      <c r="OXV1" s="87" t="n"/>
      <c r="OXW1" s="87" t="n"/>
      <c r="OXX1" s="87" t="n"/>
      <c r="OXY1" s="87" t="n"/>
      <c r="OXZ1" s="87" t="n"/>
      <c r="OYA1" s="87" t="n"/>
      <c r="OYB1" s="87" t="n"/>
      <c r="OYC1" s="87" t="n"/>
      <c r="OYD1" s="87" t="n"/>
      <c r="OYE1" s="87" t="n"/>
      <c r="OYF1" s="87" t="n"/>
      <c r="OYG1" s="87" t="n"/>
      <c r="OYH1" s="87" t="n"/>
      <c r="OYI1" s="87" t="n"/>
      <c r="OYJ1" s="87" t="n"/>
      <c r="OYK1" s="87" t="n"/>
      <c r="OYL1" s="87" t="n"/>
      <c r="OYM1" s="87" t="n"/>
      <c r="OYN1" s="87" t="n"/>
      <c r="OYO1" s="87" t="n"/>
      <c r="OYP1" s="87" t="n"/>
      <c r="OYQ1" s="87" t="n"/>
      <c r="OYR1" s="87" t="n"/>
      <c r="OYS1" s="87" t="n"/>
      <c r="OYT1" s="87" t="n"/>
      <c r="OYU1" s="87" t="n"/>
      <c r="OYV1" s="87" t="n"/>
      <c r="OYW1" s="87" t="n"/>
      <c r="OYX1" s="87" t="n"/>
      <c r="OYY1" s="87" t="n"/>
      <c r="OYZ1" s="87" t="n"/>
      <c r="OZA1" s="87" t="n"/>
      <c r="OZB1" s="87" t="n"/>
      <c r="OZC1" s="87" t="n"/>
      <c r="OZD1" s="87" t="n"/>
      <c r="OZE1" s="87" t="n"/>
      <c r="OZF1" s="87" t="n"/>
      <c r="OZG1" s="87" t="n"/>
      <c r="OZH1" s="87" t="n"/>
      <c r="OZI1" s="87" t="n"/>
      <c r="OZJ1" s="87" t="n"/>
      <c r="OZK1" s="87" t="n"/>
      <c r="OZL1" s="87" t="n"/>
      <c r="OZM1" s="87" t="n"/>
      <c r="OZN1" s="87" t="n"/>
      <c r="OZO1" s="87" t="n"/>
      <c r="OZP1" s="87" t="n"/>
      <c r="OZQ1" s="87" t="n"/>
      <c r="OZR1" s="87" t="n"/>
      <c r="OZS1" s="87" t="n"/>
      <c r="OZT1" s="87" t="n"/>
      <c r="OZU1" s="87" t="n"/>
      <c r="OZV1" s="87" t="n"/>
      <c r="OZW1" s="87" t="n"/>
      <c r="OZX1" s="87" t="n"/>
      <c r="OZY1" s="87" t="n"/>
      <c r="OZZ1" s="87" t="n"/>
      <c r="PAA1" s="87" t="n"/>
      <c r="PAB1" s="87" t="n"/>
      <c r="PAC1" s="87" t="n"/>
      <c r="PAD1" s="87" t="n"/>
      <c r="PAE1" s="87" t="n"/>
      <c r="PAF1" s="87" t="n"/>
      <c r="PAG1" s="87" t="n"/>
      <c r="PAH1" s="87" t="n"/>
      <c r="PAI1" s="87" t="n"/>
      <c r="PAJ1" s="87" t="n"/>
      <c r="PAK1" s="87" t="n"/>
      <c r="PAL1" s="87" t="n"/>
      <c r="PAM1" s="87" t="n"/>
      <c r="PAN1" s="87" t="n"/>
      <c r="PAO1" s="87" t="n"/>
      <c r="PAP1" s="87" t="n"/>
      <c r="PAQ1" s="87" t="n"/>
      <c r="PAR1" s="87" t="n"/>
      <c r="PAS1" s="87" t="n"/>
      <c r="PAT1" s="87" t="n"/>
      <c r="PAU1" s="87" t="n"/>
      <c r="PAV1" s="87" t="n"/>
      <c r="PAW1" s="87" t="n"/>
      <c r="PAX1" s="87" t="n"/>
      <c r="PAY1" s="87" t="n"/>
      <c r="PAZ1" s="87" t="n"/>
      <c r="PBA1" s="87" t="n"/>
      <c r="PBB1" s="87" t="n"/>
      <c r="PBC1" s="87" t="n"/>
      <c r="PBD1" s="87" t="n"/>
      <c r="PBE1" s="87" t="n"/>
      <c r="PBF1" s="87" t="n"/>
      <c r="PBG1" s="87" t="n"/>
      <c r="PBH1" s="87" t="n"/>
      <c r="PBI1" s="87" t="n"/>
      <c r="PBJ1" s="87" t="n"/>
      <c r="PBK1" s="87" t="n"/>
      <c r="PBL1" s="87" t="n"/>
      <c r="PBM1" s="87" t="n"/>
      <c r="PBN1" s="87" t="n"/>
      <c r="PBO1" s="87" t="n"/>
      <c r="PBP1" s="87" t="n"/>
      <c r="PBQ1" s="87" t="n"/>
      <c r="PBR1" s="87" t="n"/>
      <c r="PBS1" s="87" t="n"/>
      <c r="PBT1" s="87" t="n"/>
      <c r="PBU1" s="87" t="n"/>
      <c r="PBV1" s="87" t="n"/>
      <c r="PBW1" s="87" t="n"/>
      <c r="PBX1" s="87" t="n"/>
      <c r="PBY1" s="87" t="n"/>
      <c r="PBZ1" s="87" t="n"/>
      <c r="PCA1" s="87" t="n"/>
      <c r="PCB1" s="87" t="n"/>
      <c r="PCC1" s="87" t="n"/>
      <c r="PCD1" s="87" t="n"/>
      <c r="PCE1" s="87" t="n"/>
      <c r="PCF1" s="87" t="n"/>
      <c r="PCG1" s="87" t="n"/>
      <c r="PCH1" s="87" t="n"/>
      <c r="PCI1" s="87" t="n"/>
      <c r="PCJ1" s="87" t="n"/>
      <c r="PCK1" s="87" t="n"/>
      <c r="PCL1" s="87" t="n"/>
      <c r="PCM1" s="87" t="n"/>
      <c r="PCN1" s="87" t="n"/>
      <c r="PCO1" s="87" t="n"/>
      <c r="PCP1" s="87" t="n"/>
      <c r="PCQ1" s="87" t="n"/>
      <c r="PCR1" s="87" t="n"/>
      <c r="PCS1" s="87" t="n"/>
      <c r="PCT1" s="87" t="n"/>
      <c r="PCU1" s="87" t="n"/>
      <c r="PCV1" s="87" t="n"/>
      <c r="PCW1" s="87" t="n"/>
      <c r="PCX1" s="87" t="n"/>
      <c r="PCY1" s="87" t="n"/>
      <c r="PCZ1" s="87" t="n"/>
      <c r="PDA1" s="87" t="n"/>
      <c r="PDB1" s="87" t="n"/>
      <c r="PDC1" s="87" t="n"/>
      <c r="PDD1" s="87" t="n"/>
      <c r="PDE1" s="87" t="n"/>
      <c r="PDF1" s="87" t="n"/>
      <c r="PDG1" s="87" t="n"/>
      <c r="PDH1" s="87" t="n"/>
      <c r="PDI1" s="87" t="n"/>
      <c r="PDJ1" s="87" t="n"/>
      <c r="PDK1" s="87" t="n"/>
      <c r="PDL1" s="87" t="n"/>
      <c r="PDM1" s="87" t="n"/>
      <c r="PDN1" s="87" t="n"/>
      <c r="PDO1" s="87" t="n"/>
      <c r="PDP1" s="87" t="n"/>
      <c r="PDQ1" s="87" t="n"/>
      <c r="PDR1" s="87" t="n"/>
      <c r="PDS1" s="87" t="n"/>
      <c r="PDT1" s="87" t="n"/>
      <c r="PDU1" s="87" t="n"/>
      <c r="PDV1" s="87" t="n"/>
      <c r="PDW1" s="87" t="n"/>
      <c r="PDX1" s="87" t="n"/>
      <c r="PDY1" s="87" t="n"/>
      <c r="PDZ1" s="87" t="n"/>
      <c r="PEA1" s="87" t="n"/>
      <c r="PEB1" s="87" t="n"/>
      <c r="PEC1" s="87" t="n"/>
      <c r="PED1" s="87" t="n"/>
      <c r="PEE1" s="87" t="n"/>
      <c r="PEF1" s="87" t="n"/>
      <c r="PEG1" s="87" t="n"/>
      <c r="PEH1" s="87" t="n"/>
      <c r="PEI1" s="87" t="n"/>
      <c r="PEJ1" s="87" t="n"/>
      <c r="PEK1" s="87" t="n"/>
      <c r="PEL1" s="87" t="n"/>
      <c r="PEM1" s="87" t="n"/>
      <c r="PEN1" s="87" t="n"/>
      <c r="PEO1" s="87" t="n"/>
      <c r="PEP1" s="87" t="n"/>
      <c r="PEQ1" s="87" t="n"/>
      <c r="PER1" s="87" t="n"/>
      <c r="PES1" s="87" t="n"/>
      <c r="PET1" s="87" t="n"/>
      <c r="PEU1" s="87" t="n"/>
      <c r="PEV1" s="87" t="n"/>
      <c r="PEW1" s="87" t="n"/>
      <c r="PEX1" s="87" t="n"/>
      <c r="PEY1" s="87" t="n"/>
      <c r="PEZ1" s="87" t="n"/>
      <c r="PFA1" s="87" t="n"/>
      <c r="PFB1" s="87" t="n"/>
      <c r="PFC1" s="87" t="n"/>
      <c r="PFD1" s="87" t="n"/>
      <c r="PFE1" s="87" t="n"/>
      <c r="PFF1" s="87" t="n"/>
      <c r="PFG1" s="87" t="n"/>
      <c r="PFH1" s="87" t="n"/>
      <c r="PFI1" s="87" t="n"/>
      <c r="PFJ1" s="87" t="n"/>
      <c r="PFK1" s="87" t="n"/>
      <c r="PFL1" s="87" t="n"/>
      <c r="PFM1" s="87" t="n"/>
      <c r="PFN1" s="87" t="n"/>
      <c r="PFO1" s="87" t="n"/>
      <c r="PFP1" s="87" t="n"/>
      <c r="PFQ1" s="87" t="n"/>
      <c r="PFR1" s="87" t="n"/>
      <c r="PFS1" s="87" t="n"/>
      <c r="PFT1" s="87" t="n"/>
      <c r="PFU1" s="87" t="n"/>
      <c r="PFV1" s="87" t="n"/>
      <c r="PFW1" s="87" t="n"/>
      <c r="PFX1" s="87" t="n"/>
      <c r="PFY1" s="87" t="n"/>
      <c r="PFZ1" s="87" t="n"/>
      <c r="PGA1" s="87" t="n"/>
      <c r="PGB1" s="87" t="n"/>
      <c r="PGC1" s="87" t="n"/>
      <c r="PGD1" s="87" t="n"/>
      <c r="PGE1" s="87" t="n"/>
      <c r="PGF1" s="87" t="n"/>
      <c r="PGG1" s="87" t="n"/>
      <c r="PGH1" s="87" t="n"/>
      <c r="PGI1" s="87" t="n"/>
      <c r="PGJ1" s="87" t="n"/>
      <c r="PGK1" s="87" t="n"/>
      <c r="PGL1" s="87" t="n"/>
      <c r="PGM1" s="87" t="n"/>
      <c r="PGN1" s="87" t="n"/>
      <c r="PGO1" s="87" t="n"/>
      <c r="PGP1" s="87" t="n"/>
      <c r="PGQ1" s="87" t="n"/>
      <c r="PGR1" s="87" t="n"/>
      <c r="PGS1" s="87" t="n"/>
      <c r="PGT1" s="87" t="n"/>
      <c r="PGU1" s="87" t="n"/>
      <c r="PGV1" s="87" t="n"/>
      <c r="PGW1" s="87" t="n"/>
      <c r="PGX1" s="87" t="n"/>
      <c r="PGY1" s="87" t="n"/>
      <c r="PGZ1" s="87" t="n"/>
      <c r="PHA1" s="87" t="n"/>
      <c r="PHB1" s="87" t="n"/>
      <c r="PHC1" s="87" t="n"/>
      <c r="PHD1" s="87" t="n"/>
      <c r="PHE1" s="87" t="n"/>
      <c r="PHF1" s="87" t="n"/>
      <c r="PHG1" s="87" t="n"/>
      <c r="PHH1" s="87" t="n"/>
      <c r="PHI1" s="87" t="n"/>
      <c r="PHJ1" s="87" t="n"/>
      <c r="PHK1" s="87" t="n"/>
      <c r="PHL1" s="87" t="n"/>
      <c r="PHM1" s="87" t="n"/>
      <c r="PHN1" s="87" t="n"/>
      <c r="PHO1" s="87" t="n"/>
      <c r="PHP1" s="87" t="n"/>
      <c r="PHQ1" s="87" t="n"/>
      <c r="PHR1" s="87" t="n"/>
      <c r="PHS1" s="87" t="n"/>
      <c r="PHT1" s="87" t="n"/>
      <c r="PHU1" s="87" t="n"/>
      <c r="PHV1" s="87" t="n"/>
      <c r="PHW1" s="87" t="n"/>
      <c r="PHX1" s="87" t="n"/>
      <c r="PHY1" s="87" t="n"/>
      <c r="PHZ1" s="87" t="n"/>
      <c r="PIA1" s="87" t="n"/>
      <c r="PIB1" s="87" t="n"/>
      <c r="PIC1" s="87" t="n"/>
      <c r="PID1" s="87" t="n"/>
      <c r="PIE1" s="87" t="n"/>
      <c r="PIF1" s="87" t="n"/>
      <c r="PIG1" s="87" t="n"/>
      <c r="PIH1" s="87" t="n"/>
      <c r="PII1" s="87" t="n"/>
      <c r="PIJ1" s="87" t="n"/>
      <c r="PIK1" s="87" t="n"/>
      <c r="PIL1" s="87" t="n"/>
      <c r="PIM1" s="87" t="n"/>
      <c r="PIN1" s="87" t="n"/>
      <c r="PIO1" s="87" t="n"/>
      <c r="PIP1" s="87" t="n"/>
      <c r="PIQ1" s="87" t="n"/>
      <c r="PIR1" s="87" t="n"/>
      <c r="PIS1" s="87" t="n"/>
      <c r="PIT1" s="87" t="n"/>
      <c r="PIU1" s="87" t="n"/>
      <c r="PIV1" s="87" t="n"/>
      <c r="PIW1" s="87" t="n"/>
      <c r="PIX1" s="87" t="n"/>
      <c r="PIY1" s="87" t="n"/>
      <c r="PIZ1" s="87" t="n"/>
      <c r="PJA1" s="87" t="n"/>
      <c r="PJB1" s="87" t="n"/>
      <c r="PJC1" s="87" t="n"/>
      <c r="PJD1" s="87" t="n"/>
      <c r="PJE1" s="87" t="n"/>
      <c r="PJF1" s="87" t="n"/>
      <c r="PJG1" s="87" t="n"/>
      <c r="PJH1" s="87" t="n"/>
      <c r="PJI1" s="87" t="n"/>
      <c r="PJJ1" s="87" t="n"/>
      <c r="PJK1" s="87" t="n"/>
      <c r="PJL1" s="87" t="n"/>
      <c r="PJM1" s="87" t="n"/>
      <c r="PJN1" s="87" t="n"/>
      <c r="PJO1" s="87" t="n"/>
      <c r="PJP1" s="87" t="n"/>
      <c r="PJQ1" s="87" t="n"/>
      <c r="PJR1" s="87" t="n"/>
      <c r="PJS1" s="87" t="n"/>
      <c r="PJT1" s="87" t="n"/>
      <c r="PJU1" s="87" t="n"/>
      <c r="PJV1" s="87" t="n"/>
      <c r="PJW1" s="87" t="n"/>
      <c r="PJX1" s="87" t="n"/>
      <c r="PJY1" s="87" t="n"/>
      <c r="PJZ1" s="87" t="n"/>
      <c r="PKA1" s="87" t="n"/>
      <c r="PKB1" s="87" t="n"/>
      <c r="PKC1" s="87" t="n"/>
      <c r="PKD1" s="87" t="n"/>
      <c r="PKE1" s="87" t="n"/>
      <c r="PKF1" s="87" t="n"/>
      <c r="PKG1" s="87" t="n"/>
      <c r="PKH1" s="87" t="n"/>
      <c r="PKI1" s="87" t="n"/>
      <c r="PKJ1" s="87" t="n"/>
      <c r="PKK1" s="87" t="n"/>
      <c r="PKL1" s="87" t="n"/>
      <c r="PKM1" s="87" t="n"/>
      <c r="PKN1" s="87" t="n"/>
      <c r="PKO1" s="87" t="n"/>
      <c r="PKP1" s="87" t="n"/>
      <c r="PKQ1" s="87" t="n"/>
      <c r="PKR1" s="87" t="n"/>
      <c r="PKS1" s="87" t="n"/>
      <c r="PKT1" s="87" t="n"/>
      <c r="PKU1" s="87" t="n"/>
      <c r="PKV1" s="87" t="n"/>
      <c r="PKW1" s="87" t="n"/>
      <c r="PKX1" s="87" t="n"/>
      <c r="PKY1" s="87" t="n"/>
      <c r="PKZ1" s="87" t="n"/>
      <c r="PLA1" s="87" t="n"/>
      <c r="PLB1" s="87" t="n"/>
      <c r="PLC1" s="87" t="n"/>
      <c r="PLD1" s="87" t="n"/>
      <c r="PLE1" s="87" t="n"/>
      <c r="PLF1" s="87" t="n"/>
      <c r="PLG1" s="87" t="n"/>
      <c r="PLH1" s="87" t="n"/>
      <c r="PLI1" s="87" t="n"/>
      <c r="PLJ1" s="87" t="n"/>
      <c r="PLK1" s="87" t="n"/>
      <c r="PLL1" s="87" t="n"/>
      <c r="PLM1" s="87" t="n"/>
      <c r="PLN1" s="87" t="n"/>
      <c r="PLO1" s="87" t="n"/>
      <c r="PLP1" s="87" t="n"/>
      <c r="PLQ1" s="87" t="n"/>
      <c r="PLR1" s="87" t="n"/>
      <c r="PLS1" s="87" t="n"/>
      <c r="PLT1" s="87" t="n"/>
      <c r="PLU1" s="87" t="n"/>
      <c r="PLV1" s="87" t="n"/>
      <c r="PLW1" s="87" t="n"/>
      <c r="PLX1" s="87" t="n"/>
      <c r="PLY1" s="87" t="n"/>
      <c r="PLZ1" s="87" t="n"/>
      <c r="PMA1" s="87" t="n"/>
      <c r="PMB1" s="87" t="n"/>
      <c r="PMC1" s="87" t="n"/>
      <c r="PMD1" s="87" t="n"/>
      <c r="PME1" s="87" t="n"/>
      <c r="PMF1" s="87" t="n"/>
      <c r="PMG1" s="87" t="n"/>
      <c r="PMH1" s="87" t="n"/>
      <c r="PMI1" s="87" t="n"/>
      <c r="PMJ1" s="87" t="n"/>
      <c r="PMK1" s="87" t="n"/>
      <c r="PML1" s="87" t="n"/>
      <c r="PMM1" s="87" t="n"/>
      <c r="PMN1" s="87" t="n"/>
      <c r="PMO1" s="87" t="n"/>
      <c r="PMP1" s="87" t="n"/>
      <c r="PMQ1" s="87" t="n"/>
      <c r="PMR1" s="87" t="n"/>
      <c r="PMS1" s="87" t="n"/>
      <c r="PMT1" s="87" t="n"/>
      <c r="PMU1" s="87" t="n"/>
      <c r="PMV1" s="87" t="n"/>
      <c r="PMW1" s="87" t="n"/>
      <c r="PMX1" s="87" t="n"/>
      <c r="PMY1" s="87" t="n"/>
      <c r="PMZ1" s="87" t="n"/>
      <c r="PNA1" s="87" t="n"/>
      <c r="PNB1" s="87" t="n"/>
      <c r="PNC1" s="87" t="n"/>
      <c r="PND1" s="87" t="n"/>
      <c r="PNE1" s="87" t="n"/>
      <c r="PNF1" s="87" t="n"/>
      <c r="PNG1" s="87" t="n"/>
      <c r="PNH1" s="87" t="n"/>
      <c r="PNI1" s="87" t="n"/>
      <c r="PNJ1" s="87" t="n"/>
      <c r="PNK1" s="87" t="n"/>
      <c r="PNL1" s="87" t="n"/>
      <c r="PNM1" s="87" t="n"/>
      <c r="PNN1" s="87" t="n"/>
      <c r="PNO1" s="87" t="n"/>
      <c r="PNP1" s="87" t="n"/>
      <c r="PNQ1" s="87" t="n"/>
      <c r="PNR1" s="87" t="n"/>
      <c r="PNS1" s="87" t="n"/>
      <c r="PNT1" s="87" t="n"/>
      <c r="PNU1" s="87" t="n"/>
      <c r="PNV1" s="87" t="n"/>
      <c r="PNW1" s="87" t="n"/>
      <c r="PNX1" s="87" t="n"/>
      <c r="PNY1" s="87" t="n"/>
      <c r="PNZ1" s="87" t="n"/>
      <c r="POA1" s="87" t="n"/>
      <c r="POB1" s="87" t="n"/>
      <c r="POC1" s="87" t="n"/>
      <c r="POD1" s="87" t="n"/>
      <c r="POE1" s="87" t="n"/>
      <c r="POF1" s="87" t="n"/>
      <c r="POG1" s="87" t="n"/>
      <c r="POH1" s="87" t="n"/>
      <c r="POI1" s="87" t="n"/>
      <c r="POJ1" s="87" t="n"/>
      <c r="POK1" s="87" t="n"/>
      <c r="POL1" s="87" t="n"/>
      <c r="POM1" s="87" t="n"/>
      <c r="PON1" s="87" t="n"/>
      <c r="POO1" s="87" t="n"/>
      <c r="POP1" s="87" t="n"/>
      <c r="POQ1" s="87" t="n"/>
      <c r="POR1" s="87" t="n"/>
      <c r="POS1" s="87" t="n"/>
      <c r="POT1" s="87" t="n"/>
      <c r="POU1" s="87" t="n"/>
      <c r="POV1" s="87" t="n"/>
      <c r="POW1" s="87" t="n"/>
      <c r="POX1" s="87" t="n"/>
      <c r="POY1" s="87" t="n"/>
      <c r="POZ1" s="87" t="n"/>
      <c r="PPA1" s="87" t="n"/>
      <c r="PPB1" s="87" t="n"/>
      <c r="PPC1" s="87" t="n"/>
      <c r="PPD1" s="87" t="n"/>
      <c r="PPE1" s="87" t="n"/>
      <c r="PPF1" s="87" t="n"/>
      <c r="PPG1" s="87" t="n"/>
      <c r="PPH1" s="87" t="n"/>
      <c r="PPI1" s="87" t="n"/>
      <c r="PPJ1" s="87" t="n"/>
      <c r="PPK1" s="87" t="n"/>
      <c r="PPL1" s="87" t="n"/>
      <c r="PPM1" s="87" t="n"/>
      <c r="PPN1" s="87" t="n"/>
      <c r="PPO1" s="87" t="n"/>
      <c r="PPP1" s="87" t="n"/>
      <c r="PPQ1" s="87" t="n"/>
      <c r="PPR1" s="87" t="n"/>
      <c r="PPS1" s="87" t="n"/>
      <c r="PPT1" s="87" t="n"/>
      <c r="PPU1" s="87" t="n"/>
      <c r="PPV1" s="87" t="n"/>
      <c r="PPW1" s="87" t="n"/>
      <c r="PPX1" s="87" t="n"/>
      <c r="PPY1" s="87" t="n"/>
      <c r="PPZ1" s="87" t="n"/>
      <c r="PQA1" s="87" t="n"/>
      <c r="PQB1" s="87" t="n"/>
      <c r="PQC1" s="87" t="n"/>
      <c r="PQD1" s="87" t="n"/>
      <c r="PQE1" s="87" t="n"/>
      <c r="PQF1" s="87" t="n"/>
      <c r="PQG1" s="87" t="n"/>
      <c r="PQH1" s="87" t="n"/>
      <c r="PQI1" s="87" t="n"/>
      <c r="PQJ1" s="87" t="n"/>
      <c r="PQK1" s="87" t="n"/>
      <c r="PQL1" s="87" t="n"/>
      <c r="PQM1" s="87" t="n"/>
      <c r="PQN1" s="87" t="n"/>
      <c r="PQO1" s="87" t="n"/>
      <c r="PQP1" s="87" t="n"/>
      <c r="PQQ1" s="87" t="n"/>
      <c r="PQR1" s="87" t="n"/>
      <c r="PQS1" s="87" t="n"/>
      <c r="PQT1" s="87" t="n"/>
      <c r="PQU1" s="87" t="n"/>
      <c r="PQV1" s="87" t="n"/>
      <c r="PQW1" s="87" t="n"/>
      <c r="PQX1" s="87" t="n"/>
      <c r="PQY1" s="87" t="n"/>
      <c r="PQZ1" s="87" t="n"/>
      <c r="PRA1" s="87" t="n"/>
      <c r="PRB1" s="87" t="n"/>
      <c r="PRC1" s="87" t="n"/>
      <c r="PRD1" s="87" t="n"/>
      <c r="PRE1" s="87" t="n"/>
      <c r="PRF1" s="87" t="n"/>
      <c r="PRG1" s="87" t="n"/>
      <c r="PRH1" s="87" t="n"/>
      <c r="PRI1" s="87" t="n"/>
      <c r="PRJ1" s="87" t="n"/>
      <c r="PRK1" s="87" t="n"/>
      <c r="PRL1" s="87" t="n"/>
      <c r="PRM1" s="87" t="n"/>
      <c r="PRN1" s="87" t="n"/>
      <c r="PRO1" s="87" t="n"/>
      <c r="PRP1" s="87" t="n"/>
      <c r="PRQ1" s="87" t="n"/>
      <c r="PRR1" s="87" t="n"/>
      <c r="PRS1" s="87" t="n"/>
      <c r="PRT1" s="87" t="n"/>
      <c r="PRU1" s="87" t="n"/>
      <c r="PRV1" s="87" t="n"/>
      <c r="PRW1" s="87" t="n"/>
      <c r="PRX1" s="87" t="n"/>
      <c r="PRY1" s="87" t="n"/>
      <c r="PRZ1" s="87" t="n"/>
      <c r="PSA1" s="87" t="n"/>
      <c r="PSB1" s="87" t="n"/>
      <c r="PSC1" s="87" t="n"/>
      <c r="PSD1" s="87" t="n"/>
      <c r="PSE1" s="87" t="n"/>
      <c r="PSF1" s="87" t="n"/>
      <c r="PSG1" s="87" t="n"/>
      <c r="PSH1" s="87" t="n"/>
      <c r="PSI1" s="87" t="n"/>
      <c r="PSJ1" s="87" t="n"/>
      <c r="PSK1" s="87" t="n"/>
      <c r="PSL1" s="87" t="n"/>
      <c r="PSM1" s="87" t="n"/>
      <c r="PSN1" s="87" t="n"/>
      <c r="PSO1" s="87" t="n"/>
      <c r="PSP1" s="87" t="n"/>
      <c r="PSQ1" s="87" t="n"/>
      <c r="PSR1" s="87" t="n"/>
      <c r="PSS1" s="87" t="n"/>
      <c r="PST1" s="87" t="n"/>
      <c r="PSU1" s="87" t="n"/>
      <c r="PSV1" s="87" t="n"/>
      <c r="PSW1" s="87" t="n"/>
      <c r="PSX1" s="87" t="n"/>
      <c r="PSY1" s="87" t="n"/>
      <c r="PSZ1" s="87" t="n"/>
      <c r="PTA1" s="87" t="n"/>
      <c r="PTB1" s="87" t="n"/>
      <c r="PTC1" s="87" t="n"/>
      <c r="PTD1" s="87" t="n"/>
      <c r="PTE1" s="87" t="n"/>
      <c r="PTF1" s="87" t="n"/>
      <c r="PTG1" s="87" t="n"/>
      <c r="PTH1" s="87" t="n"/>
      <c r="PTI1" s="87" t="n"/>
      <c r="PTJ1" s="87" t="n"/>
      <c r="PTK1" s="87" t="n"/>
      <c r="PTL1" s="87" t="n"/>
      <c r="PTM1" s="87" t="n"/>
      <c r="PTN1" s="87" t="n"/>
      <c r="PTO1" s="87" t="n"/>
      <c r="PTP1" s="87" t="n"/>
      <c r="PTQ1" s="87" t="n"/>
      <c r="PTR1" s="87" t="n"/>
      <c r="PTS1" s="87" t="n"/>
      <c r="PTT1" s="87" t="n"/>
      <c r="PTU1" s="87" t="n"/>
      <c r="PTV1" s="87" t="n"/>
      <c r="PTW1" s="87" t="n"/>
      <c r="PTX1" s="87" t="n"/>
      <c r="PTY1" s="87" t="n"/>
      <c r="PTZ1" s="87" t="n"/>
      <c r="PUA1" s="87" t="n"/>
      <c r="PUB1" s="87" t="n"/>
      <c r="PUC1" s="87" t="n"/>
      <c r="PUD1" s="87" t="n"/>
      <c r="PUE1" s="87" t="n"/>
      <c r="PUF1" s="87" t="n"/>
      <c r="PUG1" s="87" t="n"/>
      <c r="PUH1" s="87" t="n"/>
      <c r="PUI1" s="87" t="n"/>
      <c r="PUJ1" s="87" t="n"/>
      <c r="PUK1" s="87" t="n"/>
      <c r="PUL1" s="87" t="n"/>
      <c r="PUM1" s="87" t="n"/>
      <c r="PUN1" s="87" t="n"/>
      <c r="PUO1" s="87" t="n"/>
      <c r="PUP1" s="87" t="n"/>
      <c r="PUQ1" s="87" t="n"/>
      <c r="PUR1" s="87" t="n"/>
      <c r="PUS1" s="87" t="n"/>
      <c r="PUT1" s="87" t="n"/>
      <c r="PUU1" s="87" t="n"/>
      <c r="PUV1" s="87" t="n"/>
      <c r="PUW1" s="87" t="n"/>
      <c r="PUX1" s="87" t="n"/>
      <c r="PUY1" s="87" t="n"/>
      <c r="PUZ1" s="87" t="n"/>
      <c r="PVA1" s="87" t="n"/>
      <c r="PVB1" s="87" t="n"/>
      <c r="PVC1" s="87" t="n"/>
      <c r="PVD1" s="87" t="n"/>
      <c r="PVE1" s="87" t="n"/>
      <c r="PVF1" s="87" t="n"/>
      <c r="PVG1" s="87" t="n"/>
      <c r="PVH1" s="87" t="n"/>
      <c r="PVI1" s="87" t="n"/>
      <c r="PVJ1" s="87" t="n"/>
      <c r="PVK1" s="87" t="n"/>
      <c r="PVL1" s="87" t="n"/>
      <c r="PVM1" s="87" t="n"/>
      <c r="PVN1" s="87" t="n"/>
      <c r="PVO1" s="87" t="n"/>
      <c r="PVP1" s="87" t="n"/>
      <c r="PVQ1" s="87" t="n"/>
      <c r="PVR1" s="87" t="n"/>
      <c r="PVS1" s="87" t="n"/>
      <c r="PVT1" s="87" t="n"/>
      <c r="PVU1" s="87" t="n"/>
      <c r="PVV1" s="87" t="n"/>
      <c r="PVW1" s="87" t="n"/>
      <c r="PVX1" s="87" t="n"/>
      <c r="PVY1" s="87" t="n"/>
      <c r="PVZ1" s="87" t="n"/>
      <c r="PWA1" s="87" t="n"/>
      <c r="PWB1" s="87" t="n"/>
      <c r="PWC1" s="87" t="n"/>
      <c r="PWD1" s="87" t="n"/>
      <c r="PWE1" s="87" t="n"/>
      <c r="PWF1" s="87" t="n"/>
      <c r="PWG1" s="87" t="n"/>
      <c r="PWH1" s="87" t="n"/>
      <c r="PWI1" s="87" t="n"/>
      <c r="PWJ1" s="87" t="n"/>
      <c r="PWK1" s="87" t="n"/>
      <c r="PWL1" s="87" t="n"/>
      <c r="PWM1" s="87" t="n"/>
      <c r="PWN1" s="87" t="n"/>
      <c r="PWO1" s="87" t="n"/>
      <c r="PWP1" s="87" t="n"/>
      <c r="PWQ1" s="87" t="n"/>
      <c r="PWR1" s="87" t="n"/>
      <c r="PWS1" s="87" t="n"/>
      <c r="PWT1" s="87" t="n"/>
      <c r="PWU1" s="87" t="n"/>
      <c r="PWV1" s="87" t="n"/>
      <c r="PWW1" s="87" t="n"/>
      <c r="PWX1" s="87" t="n"/>
      <c r="PWY1" s="87" t="n"/>
      <c r="PWZ1" s="87" t="n"/>
      <c r="PXA1" s="87" t="n"/>
      <c r="PXB1" s="87" t="n"/>
      <c r="PXC1" s="87" t="n"/>
      <c r="PXD1" s="87" t="n"/>
      <c r="PXE1" s="87" t="n"/>
      <c r="PXF1" s="87" t="n"/>
      <c r="PXG1" s="87" t="n"/>
      <c r="PXH1" s="87" t="n"/>
      <c r="PXI1" s="87" t="n"/>
      <c r="PXJ1" s="87" t="n"/>
      <c r="PXK1" s="87" t="n"/>
      <c r="PXL1" s="87" t="n"/>
      <c r="PXM1" s="87" t="n"/>
      <c r="PXN1" s="87" t="n"/>
      <c r="PXO1" s="87" t="n"/>
      <c r="PXP1" s="87" t="n"/>
      <c r="PXQ1" s="87" t="n"/>
      <c r="PXR1" s="87" t="n"/>
      <c r="PXS1" s="87" t="n"/>
      <c r="PXT1" s="87" t="n"/>
      <c r="PXU1" s="87" t="n"/>
      <c r="PXV1" s="87" t="n"/>
      <c r="PXW1" s="87" t="n"/>
      <c r="PXX1" s="87" t="n"/>
      <c r="PXY1" s="87" t="n"/>
      <c r="PXZ1" s="87" t="n"/>
      <c r="PYA1" s="87" t="n"/>
      <c r="PYB1" s="87" t="n"/>
      <c r="PYC1" s="87" t="n"/>
      <c r="PYD1" s="87" t="n"/>
      <c r="PYE1" s="87" t="n"/>
      <c r="PYF1" s="87" t="n"/>
      <c r="PYG1" s="87" t="n"/>
      <c r="PYH1" s="87" t="n"/>
      <c r="PYI1" s="87" t="n"/>
      <c r="PYJ1" s="87" t="n"/>
      <c r="PYK1" s="87" t="n"/>
      <c r="PYL1" s="87" t="n"/>
      <c r="PYM1" s="87" t="n"/>
      <c r="PYN1" s="87" t="n"/>
      <c r="PYO1" s="87" t="n"/>
      <c r="PYP1" s="87" t="n"/>
      <c r="PYQ1" s="87" t="n"/>
      <c r="PYR1" s="87" t="n"/>
      <c r="PYS1" s="87" t="n"/>
      <c r="PYT1" s="87" t="n"/>
      <c r="PYU1" s="87" t="n"/>
      <c r="PYV1" s="87" t="n"/>
      <c r="PYW1" s="87" t="n"/>
      <c r="PYX1" s="87" t="n"/>
      <c r="PYY1" s="87" t="n"/>
      <c r="PYZ1" s="87" t="n"/>
      <c r="PZA1" s="87" t="n"/>
      <c r="PZB1" s="87" t="n"/>
      <c r="PZC1" s="87" t="n"/>
      <c r="PZD1" s="87" t="n"/>
      <c r="PZE1" s="87" t="n"/>
      <c r="PZF1" s="87" t="n"/>
      <c r="PZG1" s="87" t="n"/>
      <c r="PZH1" s="87" t="n"/>
      <c r="PZI1" s="87" t="n"/>
      <c r="PZJ1" s="87" t="n"/>
      <c r="PZK1" s="87" t="n"/>
      <c r="PZL1" s="87" t="n"/>
      <c r="PZM1" s="87" t="n"/>
      <c r="PZN1" s="87" t="n"/>
      <c r="PZO1" s="87" t="n"/>
      <c r="PZP1" s="87" t="n"/>
      <c r="PZQ1" s="87" t="n"/>
      <c r="PZR1" s="87" t="n"/>
      <c r="PZS1" s="87" t="n"/>
      <c r="PZT1" s="87" t="n"/>
      <c r="PZU1" s="87" t="n"/>
      <c r="PZV1" s="87" t="n"/>
      <c r="PZW1" s="87" t="n"/>
      <c r="PZX1" s="87" t="n"/>
      <c r="PZY1" s="87" t="n"/>
      <c r="PZZ1" s="87" t="n"/>
      <c r="QAA1" s="87" t="n"/>
      <c r="QAB1" s="87" t="n"/>
      <c r="QAC1" s="87" t="n"/>
      <c r="QAD1" s="87" t="n"/>
      <c r="QAE1" s="87" t="n"/>
      <c r="QAF1" s="87" t="n"/>
      <c r="QAG1" s="87" t="n"/>
      <c r="QAH1" s="87" t="n"/>
      <c r="QAI1" s="87" t="n"/>
      <c r="QAJ1" s="87" t="n"/>
      <c r="QAK1" s="87" t="n"/>
      <c r="QAL1" s="87" t="n"/>
      <c r="QAM1" s="87" t="n"/>
      <c r="QAN1" s="87" t="n"/>
      <c r="QAO1" s="87" t="n"/>
      <c r="QAP1" s="87" t="n"/>
      <c r="QAQ1" s="87" t="n"/>
      <c r="QAR1" s="87" t="n"/>
      <c r="QAS1" s="87" t="n"/>
      <c r="QAT1" s="87" t="n"/>
      <c r="QAU1" s="87" t="n"/>
      <c r="QAV1" s="87" t="n"/>
      <c r="QAW1" s="87" t="n"/>
      <c r="QAX1" s="87" t="n"/>
      <c r="QAY1" s="87" t="n"/>
      <c r="QAZ1" s="87" t="n"/>
      <c r="QBA1" s="87" t="n"/>
      <c r="QBB1" s="87" t="n"/>
      <c r="QBC1" s="87" t="n"/>
      <c r="QBD1" s="87" t="n"/>
      <c r="QBE1" s="87" t="n"/>
      <c r="QBF1" s="87" t="n"/>
      <c r="QBG1" s="87" t="n"/>
      <c r="QBH1" s="87" t="n"/>
      <c r="QBI1" s="87" t="n"/>
      <c r="QBJ1" s="87" t="n"/>
      <c r="QBK1" s="87" t="n"/>
      <c r="QBL1" s="87" t="n"/>
      <c r="QBM1" s="87" t="n"/>
      <c r="QBN1" s="87" t="n"/>
      <c r="QBO1" s="87" t="n"/>
      <c r="QBP1" s="87" t="n"/>
      <c r="QBQ1" s="87" t="n"/>
      <c r="QBR1" s="87" t="n"/>
      <c r="QBS1" s="87" t="n"/>
      <c r="QBT1" s="87" t="n"/>
      <c r="QBU1" s="87" t="n"/>
      <c r="QBV1" s="87" t="n"/>
      <c r="QBW1" s="87" t="n"/>
      <c r="QBX1" s="87" t="n"/>
      <c r="QBY1" s="87" t="n"/>
      <c r="QBZ1" s="87" t="n"/>
      <c r="QCA1" s="87" t="n"/>
      <c r="QCB1" s="87" t="n"/>
      <c r="QCC1" s="87" t="n"/>
      <c r="QCD1" s="87" t="n"/>
      <c r="QCE1" s="87" t="n"/>
      <c r="QCF1" s="87" t="n"/>
      <c r="QCG1" s="87" t="n"/>
      <c r="QCH1" s="87" t="n"/>
      <c r="QCI1" s="87" t="n"/>
      <c r="QCJ1" s="87" t="n"/>
      <c r="QCK1" s="87" t="n"/>
      <c r="QCL1" s="87" t="n"/>
      <c r="QCM1" s="87" t="n"/>
      <c r="QCN1" s="87" t="n"/>
      <c r="QCO1" s="87" t="n"/>
      <c r="QCP1" s="87" t="n"/>
      <c r="QCQ1" s="87" t="n"/>
      <c r="QCR1" s="87" t="n"/>
      <c r="QCS1" s="87" t="n"/>
      <c r="QCT1" s="87" t="n"/>
      <c r="QCU1" s="87" t="n"/>
      <c r="QCV1" s="87" t="n"/>
      <c r="QCW1" s="87" t="n"/>
      <c r="QCX1" s="87" t="n"/>
      <c r="QCY1" s="87" t="n"/>
      <c r="QCZ1" s="87" t="n"/>
      <c r="QDA1" s="87" t="n"/>
      <c r="QDB1" s="87" t="n"/>
      <c r="QDC1" s="87" t="n"/>
      <c r="QDD1" s="87" t="n"/>
      <c r="QDE1" s="87" t="n"/>
      <c r="QDF1" s="87" t="n"/>
      <c r="QDG1" s="87" t="n"/>
      <c r="QDH1" s="87" t="n"/>
      <c r="QDI1" s="87" t="n"/>
      <c r="QDJ1" s="87" t="n"/>
      <c r="QDK1" s="87" t="n"/>
      <c r="QDL1" s="87" t="n"/>
      <c r="QDM1" s="87" t="n"/>
      <c r="QDN1" s="87" t="n"/>
      <c r="QDO1" s="87" t="n"/>
      <c r="QDP1" s="87" t="n"/>
      <c r="QDQ1" s="87" t="n"/>
      <c r="QDR1" s="87" t="n"/>
      <c r="QDS1" s="87" t="n"/>
      <c r="QDT1" s="87" t="n"/>
      <c r="QDU1" s="87" t="n"/>
      <c r="QDV1" s="87" t="n"/>
      <c r="QDW1" s="87" t="n"/>
      <c r="QDX1" s="87" t="n"/>
      <c r="QDY1" s="87" t="n"/>
      <c r="QDZ1" s="87" t="n"/>
      <c r="QEA1" s="87" t="n"/>
      <c r="QEB1" s="87" t="n"/>
      <c r="QEC1" s="87" t="n"/>
      <c r="QED1" s="87" t="n"/>
      <c r="QEE1" s="87" t="n"/>
      <c r="QEF1" s="87" t="n"/>
      <c r="QEG1" s="87" t="n"/>
      <c r="QEH1" s="87" t="n"/>
      <c r="QEI1" s="87" t="n"/>
      <c r="QEJ1" s="87" t="n"/>
      <c r="QEK1" s="87" t="n"/>
      <c r="QEL1" s="87" t="n"/>
      <c r="QEM1" s="87" t="n"/>
      <c r="QEN1" s="87" t="n"/>
      <c r="QEO1" s="87" t="n"/>
      <c r="QEP1" s="87" t="n"/>
      <c r="QEQ1" s="87" t="n"/>
      <c r="QER1" s="87" t="n"/>
      <c r="QES1" s="87" t="n"/>
      <c r="QET1" s="87" t="n"/>
      <c r="QEU1" s="87" t="n"/>
      <c r="QEV1" s="87" t="n"/>
      <c r="QEW1" s="87" t="n"/>
      <c r="QEX1" s="87" t="n"/>
      <c r="QEY1" s="87" t="n"/>
      <c r="QEZ1" s="87" t="n"/>
      <c r="QFA1" s="87" t="n"/>
      <c r="QFB1" s="87" t="n"/>
      <c r="QFC1" s="87" t="n"/>
      <c r="QFD1" s="87" t="n"/>
      <c r="QFE1" s="87" t="n"/>
      <c r="QFF1" s="87" t="n"/>
      <c r="QFG1" s="87" t="n"/>
      <c r="QFH1" s="87" t="n"/>
      <c r="QFI1" s="87" t="n"/>
      <c r="QFJ1" s="87" t="n"/>
      <c r="QFK1" s="87" t="n"/>
      <c r="QFL1" s="87" t="n"/>
      <c r="QFM1" s="87" t="n"/>
      <c r="QFN1" s="87" t="n"/>
      <c r="QFO1" s="87" t="n"/>
      <c r="QFP1" s="87" t="n"/>
      <c r="QFQ1" s="87" t="n"/>
      <c r="QFR1" s="87" t="n"/>
      <c r="QFS1" s="87" t="n"/>
      <c r="QFT1" s="87" t="n"/>
      <c r="QFU1" s="87" t="n"/>
      <c r="QFV1" s="87" t="n"/>
      <c r="QFW1" s="87" t="n"/>
      <c r="QFX1" s="87" t="n"/>
      <c r="QFY1" s="87" t="n"/>
      <c r="QFZ1" s="87" t="n"/>
      <c r="QGA1" s="87" t="n"/>
      <c r="QGB1" s="87" t="n"/>
      <c r="QGC1" s="87" t="n"/>
      <c r="QGD1" s="87" t="n"/>
      <c r="QGE1" s="87" t="n"/>
      <c r="QGF1" s="87" t="n"/>
      <c r="QGG1" s="87" t="n"/>
      <c r="QGH1" s="87" t="n"/>
      <c r="QGI1" s="87" t="n"/>
      <c r="QGJ1" s="87" t="n"/>
      <c r="QGK1" s="87" t="n"/>
      <c r="QGL1" s="87" t="n"/>
      <c r="QGM1" s="87" t="n"/>
      <c r="QGN1" s="87" t="n"/>
      <c r="QGO1" s="87" t="n"/>
      <c r="QGP1" s="87" t="n"/>
      <c r="QGQ1" s="87" t="n"/>
      <c r="QGR1" s="87" t="n"/>
      <c r="QGS1" s="87" t="n"/>
      <c r="QGT1" s="87" t="n"/>
      <c r="QGU1" s="87" t="n"/>
      <c r="QGV1" s="87" t="n"/>
      <c r="QGW1" s="87" t="n"/>
      <c r="QGX1" s="87" t="n"/>
      <c r="QGY1" s="87" t="n"/>
      <c r="QGZ1" s="87" t="n"/>
      <c r="QHA1" s="87" t="n"/>
      <c r="QHB1" s="87" t="n"/>
      <c r="QHC1" s="87" t="n"/>
      <c r="QHD1" s="87" t="n"/>
      <c r="QHE1" s="87" t="n"/>
      <c r="QHF1" s="87" t="n"/>
      <c r="QHG1" s="87" t="n"/>
      <c r="QHH1" s="87" t="n"/>
      <c r="QHI1" s="87" t="n"/>
      <c r="QHJ1" s="87" t="n"/>
      <c r="QHK1" s="87" t="n"/>
      <c r="QHL1" s="87" t="n"/>
      <c r="QHM1" s="87" t="n"/>
      <c r="QHN1" s="87" t="n"/>
      <c r="QHO1" s="87" t="n"/>
      <c r="QHP1" s="87" t="n"/>
      <c r="QHQ1" s="87" t="n"/>
      <c r="QHR1" s="87" t="n"/>
      <c r="QHS1" s="87" t="n"/>
      <c r="QHT1" s="87" t="n"/>
      <c r="QHU1" s="87" t="n"/>
      <c r="QHV1" s="87" t="n"/>
      <c r="QHW1" s="87" t="n"/>
      <c r="QHX1" s="87" t="n"/>
      <c r="QHY1" s="87" t="n"/>
      <c r="QHZ1" s="87" t="n"/>
      <c r="QIA1" s="87" t="n"/>
      <c r="QIB1" s="87" t="n"/>
      <c r="QIC1" s="87" t="n"/>
      <c r="QID1" s="87" t="n"/>
      <c r="QIE1" s="87" t="n"/>
      <c r="QIF1" s="87" t="n"/>
      <c r="QIG1" s="87" t="n"/>
      <c r="QIH1" s="87" t="n"/>
      <c r="QII1" s="87" t="n"/>
      <c r="QIJ1" s="87" t="n"/>
      <c r="QIK1" s="87" t="n"/>
      <c r="QIL1" s="87" t="n"/>
      <c r="QIM1" s="87" t="n"/>
      <c r="QIN1" s="87" t="n"/>
      <c r="QIO1" s="87" t="n"/>
      <c r="QIP1" s="87" t="n"/>
      <c r="QIQ1" s="87" t="n"/>
      <c r="QIR1" s="87" t="n"/>
      <c r="QIS1" s="87" t="n"/>
      <c r="QIT1" s="87" t="n"/>
      <c r="QIU1" s="87" t="n"/>
      <c r="QIV1" s="87" t="n"/>
      <c r="QIW1" s="87" t="n"/>
      <c r="QIX1" s="87" t="n"/>
      <c r="QIY1" s="87" t="n"/>
      <c r="QIZ1" s="87" t="n"/>
      <c r="QJA1" s="87" t="n"/>
      <c r="QJB1" s="87" t="n"/>
      <c r="QJC1" s="87" t="n"/>
      <c r="QJD1" s="87" t="n"/>
      <c r="QJE1" s="87" t="n"/>
      <c r="QJF1" s="87" t="n"/>
      <c r="QJG1" s="87" t="n"/>
      <c r="QJH1" s="87" t="n"/>
      <c r="QJI1" s="87" t="n"/>
      <c r="QJJ1" s="87" t="n"/>
      <c r="QJK1" s="87" t="n"/>
      <c r="QJL1" s="87" t="n"/>
      <c r="QJM1" s="87" t="n"/>
      <c r="QJN1" s="87" t="n"/>
      <c r="QJO1" s="87" t="n"/>
      <c r="QJP1" s="87" t="n"/>
      <c r="QJQ1" s="87" t="n"/>
      <c r="QJR1" s="87" t="n"/>
      <c r="QJS1" s="87" t="n"/>
      <c r="QJT1" s="87" t="n"/>
      <c r="QJU1" s="87" t="n"/>
      <c r="QJV1" s="87" t="n"/>
      <c r="QJW1" s="87" t="n"/>
      <c r="QJX1" s="87" t="n"/>
      <c r="QJY1" s="87" t="n"/>
      <c r="QJZ1" s="87" t="n"/>
      <c r="QKA1" s="87" t="n"/>
      <c r="QKB1" s="87" t="n"/>
      <c r="QKC1" s="87" t="n"/>
      <c r="QKD1" s="87" t="n"/>
      <c r="QKE1" s="87" t="n"/>
      <c r="QKF1" s="87" t="n"/>
      <c r="QKG1" s="87" t="n"/>
      <c r="QKH1" s="87" t="n"/>
      <c r="QKI1" s="87" t="n"/>
      <c r="QKJ1" s="87" t="n"/>
      <c r="QKK1" s="87" t="n"/>
      <c r="QKL1" s="87" t="n"/>
      <c r="QKM1" s="87" t="n"/>
      <c r="QKN1" s="87" t="n"/>
      <c r="QKO1" s="87" t="n"/>
      <c r="QKP1" s="87" t="n"/>
      <c r="QKQ1" s="87" t="n"/>
      <c r="QKR1" s="87" t="n"/>
      <c r="QKS1" s="87" t="n"/>
      <c r="QKT1" s="87" t="n"/>
      <c r="QKU1" s="87" t="n"/>
      <c r="QKV1" s="87" t="n"/>
      <c r="QKW1" s="87" t="n"/>
      <c r="QKX1" s="87" t="n"/>
      <c r="QKY1" s="87" t="n"/>
      <c r="QKZ1" s="87" t="n"/>
      <c r="QLA1" s="87" t="n"/>
      <c r="QLB1" s="87" t="n"/>
      <c r="QLC1" s="87" t="n"/>
      <c r="QLD1" s="87" t="n"/>
      <c r="QLE1" s="87" t="n"/>
      <c r="QLF1" s="87" t="n"/>
      <c r="QLG1" s="87" t="n"/>
      <c r="QLH1" s="87" t="n"/>
      <c r="QLI1" s="87" t="n"/>
      <c r="QLJ1" s="87" t="n"/>
      <c r="QLK1" s="87" t="n"/>
      <c r="QLL1" s="87" t="n"/>
      <c r="QLM1" s="87" t="n"/>
      <c r="QLN1" s="87" t="n"/>
      <c r="QLO1" s="87" t="n"/>
      <c r="QLP1" s="87" t="n"/>
      <c r="QLQ1" s="87" t="n"/>
      <c r="QLR1" s="87" t="n"/>
      <c r="QLS1" s="87" t="n"/>
      <c r="QLT1" s="87" t="n"/>
      <c r="QLU1" s="87" t="n"/>
      <c r="QLV1" s="87" t="n"/>
      <c r="QLW1" s="87" t="n"/>
      <c r="QLX1" s="87" t="n"/>
      <c r="QLY1" s="87" t="n"/>
      <c r="QLZ1" s="87" t="n"/>
      <c r="QMA1" s="87" t="n"/>
      <c r="QMB1" s="87" t="n"/>
      <c r="QMC1" s="87" t="n"/>
      <c r="QMD1" s="87" t="n"/>
      <c r="QME1" s="87" t="n"/>
      <c r="QMF1" s="87" t="n"/>
      <c r="QMG1" s="87" t="n"/>
      <c r="QMH1" s="87" t="n"/>
      <c r="QMI1" s="87" t="n"/>
      <c r="QMJ1" s="87" t="n"/>
      <c r="QMK1" s="87" t="n"/>
      <c r="QML1" s="87" t="n"/>
      <c r="QMM1" s="87" t="n"/>
      <c r="QMN1" s="87" t="n"/>
      <c r="QMO1" s="87" t="n"/>
      <c r="QMP1" s="87" t="n"/>
      <c r="QMQ1" s="87" t="n"/>
      <c r="QMR1" s="87" t="n"/>
      <c r="QMS1" s="87" t="n"/>
      <c r="QMT1" s="87" t="n"/>
      <c r="QMU1" s="87" t="n"/>
      <c r="QMV1" s="87" t="n"/>
      <c r="QMW1" s="87" t="n"/>
      <c r="QMX1" s="87" t="n"/>
      <c r="QMY1" s="87" t="n"/>
      <c r="QMZ1" s="87" t="n"/>
      <c r="QNA1" s="87" t="n"/>
      <c r="QNB1" s="87" t="n"/>
      <c r="QNC1" s="87" t="n"/>
      <c r="QND1" s="87" t="n"/>
      <c r="QNE1" s="87" t="n"/>
      <c r="QNF1" s="87" t="n"/>
      <c r="QNG1" s="87" t="n"/>
      <c r="QNH1" s="87" t="n"/>
      <c r="QNI1" s="87" t="n"/>
      <c r="QNJ1" s="87" t="n"/>
      <c r="QNK1" s="87" t="n"/>
      <c r="QNL1" s="87" t="n"/>
      <c r="QNM1" s="87" t="n"/>
      <c r="QNN1" s="87" t="n"/>
      <c r="QNO1" s="87" t="n"/>
      <c r="QNP1" s="87" t="n"/>
      <c r="QNQ1" s="87" t="n"/>
      <c r="QNR1" s="87" t="n"/>
      <c r="QNS1" s="87" t="n"/>
      <c r="QNT1" s="87" t="n"/>
      <c r="QNU1" s="87" t="n"/>
      <c r="QNV1" s="87" t="n"/>
      <c r="QNW1" s="87" t="n"/>
      <c r="QNX1" s="87" t="n"/>
      <c r="QNY1" s="87" t="n"/>
      <c r="QNZ1" s="87" t="n"/>
      <c r="QOA1" s="87" t="n"/>
      <c r="QOB1" s="87" t="n"/>
      <c r="QOC1" s="87" t="n"/>
      <c r="QOD1" s="87" t="n"/>
      <c r="QOE1" s="87" t="n"/>
      <c r="QOF1" s="87" t="n"/>
      <c r="QOG1" s="87" t="n"/>
      <c r="QOH1" s="87" t="n"/>
      <c r="QOI1" s="87" t="n"/>
      <c r="QOJ1" s="87" t="n"/>
      <c r="QOK1" s="87" t="n"/>
      <c r="QOL1" s="87" t="n"/>
      <c r="QOM1" s="87" t="n"/>
      <c r="QON1" s="87" t="n"/>
      <c r="QOO1" s="87" t="n"/>
      <c r="QOP1" s="87" t="n"/>
      <c r="QOQ1" s="87" t="n"/>
      <c r="QOR1" s="87" t="n"/>
      <c r="QOS1" s="87" t="n"/>
      <c r="QOT1" s="87" t="n"/>
      <c r="QOU1" s="87" t="n"/>
      <c r="QOV1" s="87" t="n"/>
      <c r="QOW1" s="87" t="n"/>
      <c r="QOX1" s="87" t="n"/>
      <c r="QOY1" s="87" t="n"/>
      <c r="QOZ1" s="87" t="n"/>
      <c r="QPA1" s="87" t="n"/>
      <c r="QPB1" s="87" t="n"/>
      <c r="QPC1" s="87" t="n"/>
      <c r="QPD1" s="87" t="n"/>
      <c r="QPE1" s="87" t="n"/>
      <c r="QPF1" s="87" t="n"/>
      <c r="QPG1" s="87" t="n"/>
      <c r="QPH1" s="87" t="n"/>
      <c r="QPI1" s="87" t="n"/>
      <c r="QPJ1" s="87" t="n"/>
      <c r="QPK1" s="87" t="n"/>
      <c r="QPL1" s="87" t="n"/>
      <c r="QPM1" s="87" t="n"/>
      <c r="QPN1" s="87" t="n"/>
      <c r="QPO1" s="87" t="n"/>
      <c r="QPP1" s="87" t="n"/>
      <c r="QPQ1" s="87" t="n"/>
      <c r="QPR1" s="87" t="n"/>
      <c r="QPS1" s="87" t="n"/>
      <c r="QPT1" s="87" t="n"/>
      <c r="QPU1" s="87" t="n"/>
      <c r="QPV1" s="87" t="n"/>
      <c r="QPW1" s="87" t="n"/>
      <c r="QPX1" s="87" t="n"/>
      <c r="QPY1" s="87" t="n"/>
      <c r="QPZ1" s="87" t="n"/>
      <c r="QQA1" s="87" t="n"/>
      <c r="QQB1" s="87" t="n"/>
      <c r="QQC1" s="87" t="n"/>
      <c r="QQD1" s="87" t="n"/>
      <c r="QQE1" s="87" t="n"/>
      <c r="QQF1" s="87" t="n"/>
      <c r="QQG1" s="87" t="n"/>
      <c r="QQH1" s="87" t="n"/>
      <c r="QQI1" s="87" t="n"/>
      <c r="QQJ1" s="87" t="n"/>
      <c r="QQK1" s="87" t="n"/>
      <c r="QQL1" s="87" t="n"/>
      <c r="QQM1" s="87" t="n"/>
      <c r="QQN1" s="87" t="n"/>
      <c r="QQO1" s="87" t="n"/>
      <c r="QQP1" s="87" t="n"/>
      <c r="QQQ1" s="87" t="n"/>
      <c r="QQR1" s="87" t="n"/>
      <c r="QQS1" s="87" t="n"/>
      <c r="QQT1" s="87" t="n"/>
      <c r="QQU1" s="87" t="n"/>
      <c r="QQV1" s="87" t="n"/>
      <c r="QQW1" s="87" t="n"/>
      <c r="QQX1" s="87" t="n"/>
      <c r="QQY1" s="87" t="n"/>
      <c r="QQZ1" s="87" t="n"/>
      <c r="QRA1" s="87" t="n"/>
      <c r="QRB1" s="87" t="n"/>
      <c r="QRC1" s="87" t="n"/>
      <c r="QRD1" s="87" t="n"/>
      <c r="QRE1" s="87" t="n"/>
      <c r="QRF1" s="87" t="n"/>
      <c r="QRG1" s="87" t="n"/>
      <c r="QRH1" s="87" t="n"/>
      <c r="QRI1" s="87" t="n"/>
      <c r="QRJ1" s="87" t="n"/>
      <c r="QRK1" s="87" t="n"/>
      <c r="QRL1" s="87" t="n"/>
      <c r="QRM1" s="87" t="n"/>
      <c r="QRN1" s="87" t="n"/>
      <c r="QRO1" s="87" t="n"/>
      <c r="QRP1" s="87" t="n"/>
      <c r="QRQ1" s="87" t="n"/>
      <c r="QRR1" s="87" t="n"/>
      <c r="QRS1" s="87" t="n"/>
      <c r="QRT1" s="87" t="n"/>
      <c r="QRU1" s="87" t="n"/>
      <c r="QRV1" s="87" t="n"/>
      <c r="QRW1" s="87" t="n"/>
      <c r="QRX1" s="87" t="n"/>
      <c r="QRY1" s="87" t="n"/>
      <c r="QRZ1" s="87" t="n"/>
      <c r="QSA1" s="87" t="n"/>
      <c r="QSB1" s="87" t="n"/>
      <c r="QSC1" s="87" t="n"/>
      <c r="QSD1" s="87" t="n"/>
      <c r="QSE1" s="87" t="n"/>
      <c r="QSF1" s="87" t="n"/>
      <c r="QSG1" s="87" t="n"/>
      <c r="QSH1" s="87" t="n"/>
      <c r="QSI1" s="87" t="n"/>
      <c r="QSJ1" s="87" t="n"/>
      <c r="QSK1" s="87" t="n"/>
      <c r="QSL1" s="87" t="n"/>
      <c r="QSM1" s="87" t="n"/>
      <c r="QSN1" s="87" t="n"/>
      <c r="QSO1" s="87" t="n"/>
      <c r="QSP1" s="87" t="n"/>
      <c r="QSQ1" s="87" t="n"/>
      <c r="QSR1" s="87" t="n"/>
      <c r="QSS1" s="87" t="n"/>
      <c r="QST1" s="87" t="n"/>
      <c r="QSU1" s="87" t="n"/>
      <c r="QSV1" s="87" t="n"/>
      <c r="QSW1" s="87" t="n"/>
      <c r="QSX1" s="87" t="n"/>
      <c r="QSY1" s="87" t="n"/>
      <c r="QSZ1" s="87" t="n"/>
      <c r="QTA1" s="87" t="n"/>
      <c r="QTB1" s="87" t="n"/>
      <c r="QTC1" s="87" t="n"/>
      <c r="QTD1" s="87" t="n"/>
      <c r="QTE1" s="87" t="n"/>
      <c r="QTF1" s="87" t="n"/>
      <c r="QTG1" s="87" t="n"/>
      <c r="QTH1" s="87" t="n"/>
      <c r="QTI1" s="87" t="n"/>
      <c r="QTJ1" s="87" t="n"/>
      <c r="QTK1" s="87" t="n"/>
      <c r="QTL1" s="87" t="n"/>
      <c r="QTM1" s="87" t="n"/>
      <c r="QTN1" s="87" t="n"/>
      <c r="QTO1" s="87" t="n"/>
      <c r="QTP1" s="87" t="n"/>
      <c r="QTQ1" s="87" t="n"/>
      <c r="QTR1" s="87" t="n"/>
      <c r="QTS1" s="87" t="n"/>
      <c r="QTT1" s="87" t="n"/>
      <c r="QTU1" s="87" t="n"/>
      <c r="QTV1" s="87" t="n"/>
      <c r="QTW1" s="87" t="n"/>
      <c r="QTX1" s="87" t="n"/>
      <c r="QTY1" s="87" t="n"/>
      <c r="QTZ1" s="87" t="n"/>
      <c r="QUA1" s="87" t="n"/>
      <c r="QUB1" s="87" t="n"/>
      <c r="QUC1" s="87" t="n"/>
      <c r="QUD1" s="87" t="n"/>
      <c r="QUE1" s="87" t="n"/>
      <c r="QUF1" s="87" t="n"/>
      <c r="QUG1" s="87" t="n"/>
      <c r="QUH1" s="87" t="n"/>
      <c r="QUI1" s="87" t="n"/>
      <c r="QUJ1" s="87" t="n"/>
      <c r="QUK1" s="87" t="n"/>
      <c r="QUL1" s="87" t="n"/>
      <c r="QUM1" s="87" t="n"/>
      <c r="QUN1" s="87" t="n"/>
      <c r="QUO1" s="87" t="n"/>
      <c r="QUP1" s="87" t="n"/>
      <c r="QUQ1" s="87" t="n"/>
      <c r="QUR1" s="87" t="n"/>
      <c r="QUS1" s="87" t="n"/>
      <c r="QUT1" s="87" t="n"/>
      <c r="QUU1" s="87" t="n"/>
      <c r="QUV1" s="87" t="n"/>
      <c r="QUW1" s="87" t="n"/>
      <c r="QUX1" s="87" t="n"/>
      <c r="QUY1" s="87" t="n"/>
      <c r="QUZ1" s="87" t="n"/>
      <c r="QVA1" s="87" t="n"/>
      <c r="QVB1" s="87" t="n"/>
      <c r="QVC1" s="87" t="n"/>
      <c r="QVD1" s="87" t="n"/>
      <c r="QVE1" s="87" t="n"/>
      <c r="QVF1" s="87" t="n"/>
      <c r="QVG1" s="87" t="n"/>
      <c r="QVH1" s="87" t="n"/>
      <c r="QVI1" s="87" t="n"/>
      <c r="QVJ1" s="87" t="n"/>
      <c r="QVK1" s="87" t="n"/>
      <c r="QVL1" s="87" t="n"/>
      <c r="QVM1" s="87" t="n"/>
      <c r="QVN1" s="87" t="n"/>
      <c r="QVO1" s="87" t="n"/>
      <c r="QVP1" s="87" t="n"/>
      <c r="QVQ1" s="87" t="n"/>
      <c r="QVR1" s="87" t="n"/>
      <c r="QVS1" s="87" t="n"/>
      <c r="QVT1" s="87" t="n"/>
      <c r="QVU1" s="87" t="n"/>
      <c r="QVV1" s="87" t="n"/>
      <c r="QVW1" s="87" t="n"/>
      <c r="QVX1" s="87" t="n"/>
      <c r="QVY1" s="87" t="n"/>
      <c r="QVZ1" s="87" t="n"/>
      <c r="QWA1" s="87" t="n"/>
      <c r="QWB1" s="87" t="n"/>
      <c r="QWC1" s="87" t="n"/>
      <c r="QWD1" s="87" t="n"/>
      <c r="QWE1" s="87" t="n"/>
      <c r="QWF1" s="87" t="n"/>
      <c r="QWG1" s="87" t="n"/>
      <c r="QWH1" s="87" t="n"/>
      <c r="QWI1" s="87" t="n"/>
      <c r="QWJ1" s="87" t="n"/>
      <c r="QWK1" s="87" t="n"/>
      <c r="QWL1" s="87" t="n"/>
      <c r="QWM1" s="87" t="n"/>
      <c r="QWN1" s="87" t="n"/>
      <c r="QWO1" s="87" t="n"/>
      <c r="QWP1" s="87" t="n"/>
      <c r="QWQ1" s="87" t="n"/>
      <c r="QWR1" s="87" t="n"/>
      <c r="QWS1" s="87" t="n"/>
      <c r="QWT1" s="87" t="n"/>
      <c r="QWU1" s="87" t="n"/>
      <c r="QWV1" s="87" t="n"/>
      <c r="QWW1" s="87" t="n"/>
      <c r="QWX1" s="87" t="n"/>
      <c r="QWY1" s="87" t="n"/>
      <c r="QWZ1" s="87" t="n"/>
      <c r="QXA1" s="87" t="n"/>
      <c r="QXB1" s="87" t="n"/>
      <c r="QXC1" s="87" t="n"/>
      <c r="QXD1" s="87" t="n"/>
      <c r="QXE1" s="87" t="n"/>
      <c r="QXF1" s="87" t="n"/>
      <c r="QXG1" s="87" t="n"/>
      <c r="QXH1" s="87" t="n"/>
      <c r="QXI1" s="87" t="n"/>
      <c r="QXJ1" s="87" t="n"/>
      <c r="QXK1" s="87" t="n"/>
      <c r="QXL1" s="87" t="n"/>
      <c r="QXM1" s="87" t="n"/>
      <c r="QXN1" s="87" t="n"/>
      <c r="QXO1" s="87" t="n"/>
      <c r="QXP1" s="87" t="n"/>
      <c r="QXQ1" s="87" t="n"/>
      <c r="QXR1" s="87" t="n"/>
      <c r="QXS1" s="87" t="n"/>
      <c r="QXT1" s="87" t="n"/>
      <c r="QXU1" s="87" t="n"/>
      <c r="QXV1" s="87" t="n"/>
      <c r="QXW1" s="87" t="n"/>
      <c r="QXX1" s="87" t="n"/>
      <c r="QXY1" s="87" t="n"/>
      <c r="QXZ1" s="87" t="n"/>
      <c r="QYA1" s="87" t="n"/>
      <c r="QYB1" s="87" t="n"/>
      <c r="QYC1" s="87" t="n"/>
      <c r="QYD1" s="87" t="n"/>
      <c r="QYE1" s="87" t="n"/>
      <c r="QYF1" s="87" t="n"/>
      <c r="QYG1" s="87" t="n"/>
      <c r="QYH1" s="87" t="n"/>
      <c r="QYI1" s="87" t="n"/>
      <c r="QYJ1" s="87" t="n"/>
      <c r="QYK1" s="87" t="n"/>
      <c r="QYL1" s="87" t="n"/>
      <c r="QYM1" s="87" t="n"/>
      <c r="QYN1" s="87" t="n"/>
      <c r="QYO1" s="87" t="n"/>
      <c r="QYP1" s="87" t="n"/>
      <c r="QYQ1" s="87" t="n"/>
      <c r="QYR1" s="87" t="n"/>
      <c r="QYS1" s="87" t="n"/>
      <c r="QYT1" s="87" t="n"/>
      <c r="QYU1" s="87" t="n"/>
      <c r="QYV1" s="87" t="n"/>
      <c r="QYW1" s="87" t="n"/>
      <c r="QYX1" s="87" t="n"/>
      <c r="QYY1" s="87" t="n"/>
      <c r="QYZ1" s="87" t="n"/>
      <c r="QZA1" s="87" t="n"/>
      <c r="QZB1" s="87" t="n"/>
      <c r="QZC1" s="87" t="n"/>
      <c r="QZD1" s="87" t="n"/>
      <c r="QZE1" s="87" t="n"/>
      <c r="QZF1" s="87" t="n"/>
      <c r="QZG1" s="87" t="n"/>
      <c r="QZH1" s="87" t="n"/>
      <c r="QZI1" s="87" t="n"/>
      <c r="QZJ1" s="87" t="n"/>
      <c r="QZK1" s="87" t="n"/>
      <c r="QZL1" s="87" t="n"/>
      <c r="QZM1" s="87" t="n"/>
      <c r="QZN1" s="87" t="n"/>
      <c r="QZO1" s="87" t="n"/>
      <c r="QZP1" s="87" t="n"/>
      <c r="QZQ1" s="87" t="n"/>
      <c r="QZR1" s="87" t="n"/>
      <c r="QZS1" s="87" t="n"/>
      <c r="QZT1" s="87" t="n"/>
      <c r="QZU1" s="87" t="n"/>
      <c r="QZV1" s="87" t="n"/>
      <c r="QZW1" s="87" t="n"/>
      <c r="QZX1" s="87" t="n"/>
      <c r="QZY1" s="87" t="n"/>
      <c r="QZZ1" s="87" t="n"/>
      <c r="RAA1" s="87" t="n"/>
      <c r="RAB1" s="87" t="n"/>
      <c r="RAC1" s="87" t="n"/>
      <c r="RAD1" s="87" t="n"/>
      <c r="RAE1" s="87" t="n"/>
      <c r="RAF1" s="87" t="n"/>
      <c r="RAG1" s="87" t="n"/>
      <c r="RAH1" s="87" t="n"/>
      <c r="RAI1" s="87" t="n"/>
      <c r="RAJ1" s="87" t="n"/>
      <c r="RAK1" s="87" t="n"/>
      <c r="RAL1" s="87" t="n"/>
      <c r="RAM1" s="87" t="n"/>
      <c r="RAN1" s="87" t="n"/>
      <c r="RAO1" s="87" t="n"/>
      <c r="RAP1" s="87" t="n"/>
      <c r="RAQ1" s="87" t="n"/>
      <c r="RAR1" s="87" t="n"/>
      <c r="RAS1" s="87" t="n"/>
      <c r="RAT1" s="87" t="n"/>
      <c r="RAU1" s="87" t="n"/>
      <c r="RAV1" s="87" t="n"/>
      <c r="RAW1" s="87" t="n"/>
      <c r="RAX1" s="87" t="n"/>
      <c r="RAY1" s="87" t="n"/>
      <c r="RAZ1" s="87" t="n"/>
      <c r="RBA1" s="87" t="n"/>
      <c r="RBB1" s="87" t="n"/>
      <c r="RBC1" s="87" t="n"/>
      <c r="RBD1" s="87" t="n"/>
      <c r="RBE1" s="87" t="n"/>
      <c r="RBF1" s="87" t="n"/>
      <c r="RBG1" s="87" t="n"/>
      <c r="RBH1" s="87" t="n"/>
      <c r="RBI1" s="87" t="n"/>
      <c r="RBJ1" s="87" t="n"/>
      <c r="RBK1" s="87" t="n"/>
      <c r="RBL1" s="87" t="n"/>
      <c r="RBM1" s="87" t="n"/>
      <c r="RBN1" s="87" t="n"/>
      <c r="RBO1" s="87" t="n"/>
      <c r="RBP1" s="87" t="n"/>
      <c r="RBQ1" s="87" t="n"/>
      <c r="RBR1" s="87" t="n"/>
      <c r="RBS1" s="87" t="n"/>
      <c r="RBT1" s="87" t="n"/>
      <c r="RBU1" s="87" t="n"/>
      <c r="RBV1" s="87" t="n"/>
      <c r="RBW1" s="87" t="n"/>
      <c r="RBX1" s="87" t="n"/>
      <c r="RBY1" s="87" t="n"/>
      <c r="RBZ1" s="87" t="n"/>
      <c r="RCA1" s="87" t="n"/>
      <c r="RCB1" s="87" t="n"/>
      <c r="RCC1" s="87" t="n"/>
      <c r="RCD1" s="87" t="n"/>
      <c r="RCE1" s="87" t="n"/>
      <c r="RCF1" s="87" t="n"/>
      <c r="RCG1" s="87" t="n"/>
      <c r="RCH1" s="87" t="n"/>
      <c r="RCI1" s="87" t="n"/>
      <c r="RCJ1" s="87" t="n"/>
      <c r="RCK1" s="87" t="n"/>
      <c r="RCL1" s="87" t="n"/>
      <c r="RCM1" s="87" t="n"/>
      <c r="RCN1" s="87" t="n"/>
      <c r="RCO1" s="87" t="n"/>
      <c r="RCP1" s="87" t="n"/>
      <c r="RCQ1" s="87" t="n"/>
      <c r="RCR1" s="87" t="n"/>
      <c r="RCS1" s="87" t="n"/>
      <c r="RCT1" s="87" t="n"/>
      <c r="RCU1" s="87" t="n"/>
      <c r="RCV1" s="87" t="n"/>
      <c r="RCW1" s="87" t="n"/>
      <c r="RCX1" s="87" t="n"/>
      <c r="RCY1" s="87" t="n"/>
      <c r="RCZ1" s="87" t="n"/>
      <c r="RDA1" s="87" t="n"/>
      <c r="RDB1" s="87" t="n"/>
      <c r="RDC1" s="87" t="n"/>
      <c r="RDD1" s="87" t="n"/>
      <c r="RDE1" s="87" t="n"/>
      <c r="RDF1" s="87" t="n"/>
      <c r="RDG1" s="87" t="n"/>
      <c r="RDH1" s="87" t="n"/>
      <c r="RDI1" s="87" t="n"/>
      <c r="RDJ1" s="87" t="n"/>
      <c r="RDK1" s="87" t="n"/>
      <c r="RDL1" s="87" t="n"/>
      <c r="RDM1" s="87" t="n"/>
      <c r="RDN1" s="87" t="n"/>
      <c r="RDO1" s="87" t="n"/>
      <c r="RDP1" s="87" t="n"/>
      <c r="RDQ1" s="87" t="n"/>
      <c r="RDR1" s="87" t="n"/>
      <c r="RDS1" s="87" t="n"/>
      <c r="RDT1" s="87" t="n"/>
      <c r="RDU1" s="87" t="n"/>
      <c r="RDV1" s="87" t="n"/>
      <c r="RDW1" s="87" t="n"/>
      <c r="RDX1" s="87" t="n"/>
      <c r="RDY1" s="87" t="n"/>
      <c r="RDZ1" s="87" t="n"/>
      <c r="REA1" s="87" t="n"/>
      <c r="REB1" s="87" t="n"/>
      <c r="REC1" s="87" t="n"/>
      <c r="RED1" s="87" t="n"/>
      <c r="REE1" s="87" t="n"/>
      <c r="REF1" s="87" t="n"/>
      <c r="REG1" s="87" t="n"/>
      <c r="REH1" s="87" t="n"/>
      <c r="REI1" s="87" t="n"/>
      <c r="REJ1" s="87" t="n"/>
      <c r="REK1" s="87" t="n"/>
      <c r="REL1" s="87" t="n"/>
      <c r="REM1" s="87" t="n"/>
      <c r="REN1" s="87" t="n"/>
      <c r="REO1" s="87" t="n"/>
      <c r="REP1" s="87" t="n"/>
      <c r="REQ1" s="87" t="n"/>
      <c r="RER1" s="87" t="n"/>
      <c r="RES1" s="87" t="n"/>
      <c r="RET1" s="87" t="n"/>
      <c r="REU1" s="87" t="n"/>
      <c r="REV1" s="87" t="n"/>
      <c r="REW1" s="87" t="n"/>
      <c r="REX1" s="87" t="n"/>
      <c r="REY1" s="87" t="n"/>
      <c r="REZ1" s="87" t="n"/>
      <c r="RFA1" s="87" t="n"/>
      <c r="RFB1" s="87" t="n"/>
      <c r="RFC1" s="87" t="n"/>
      <c r="RFD1" s="87" t="n"/>
      <c r="RFE1" s="87" t="n"/>
      <c r="RFF1" s="87" t="n"/>
      <c r="RFG1" s="87" t="n"/>
      <c r="RFH1" s="87" t="n"/>
      <c r="RFI1" s="87" t="n"/>
      <c r="RFJ1" s="87" t="n"/>
      <c r="RFK1" s="87" t="n"/>
      <c r="RFL1" s="87" t="n"/>
      <c r="RFM1" s="87" t="n"/>
      <c r="RFN1" s="87" t="n"/>
      <c r="RFO1" s="87" t="n"/>
      <c r="RFP1" s="87" t="n"/>
      <c r="RFQ1" s="87" t="n"/>
      <c r="RFR1" s="87" t="n"/>
      <c r="RFS1" s="87" t="n"/>
      <c r="RFT1" s="87" t="n"/>
      <c r="RFU1" s="87" t="n"/>
      <c r="RFV1" s="87" t="n"/>
      <c r="RFW1" s="87" t="n"/>
      <c r="RFX1" s="87" t="n"/>
      <c r="RFY1" s="87" t="n"/>
      <c r="RFZ1" s="87" t="n"/>
      <c r="RGA1" s="87" t="n"/>
      <c r="RGB1" s="87" t="n"/>
      <c r="RGC1" s="87" t="n"/>
      <c r="RGD1" s="87" t="n"/>
      <c r="RGE1" s="87" t="n"/>
      <c r="RGF1" s="87" t="n"/>
      <c r="RGG1" s="87" t="n"/>
      <c r="RGH1" s="87" t="n"/>
      <c r="RGI1" s="87" t="n"/>
      <c r="RGJ1" s="87" t="n"/>
      <c r="RGK1" s="87" t="n"/>
      <c r="RGL1" s="87" t="n"/>
      <c r="RGM1" s="87" t="n"/>
      <c r="RGN1" s="87" t="n"/>
      <c r="RGO1" s="87" t="n"/>
      <c r="RGP1" s="87" t="n"/>
      <c r="RGQ1" s="87" t="n"/>
      <c r="RGR1" s="87" t="n"/>
      <c r="RGS1" s="87" t="n"/>
      <c r="RGT1" s="87" t="n"/>
      <c r="RGU1" s="87" t="n"/>
      <c r="RGV1" s="87" t="n"/>
      <c r="RGW1" s="87" t="n"/>
      <c r="RGX1" s="87" t="n"/>
      <c r="RGY1" s="87" t="n"/>
      <c r="RGZ1" s="87" t="n"/>
      <c r="RHA1" s="87" t="n"/>
      <c r="RHB1" s="87" t="n"/>
      <c r="RHC1" s="87" t="n"/>
      <c r="RHD1" s="87" t="n"/>
      <c r="RHE1" s="87" t="n"/>
      <c r="RHF1" s="87" t="n"/>
      <c r="RHG1" s="87" t="n"/>
      <c r="RHH1" s="87" t="n"/>
      <c r="RHI1" s="87" t="n"/>
      <c r="RHJ1" s="87" t="n"/>
      <c r="RHK1" s="87" t="n"/>
      <c r="RHL1" s="87" t="n"/>
      <c r="RHM1" s="87" t="n"/>
      <c r="RHN1" s="87" t="n"/>
      <c r="RHO1" s="87" t="n"/>
      <c r="RHP1" s="87" t="n"/>
      <c r="RHQ1" s="87" t="n"/>
      <c r="RHR1" s="87" t="n"/>
      <c r="RHS1" s="87" t="n"/>
      <c r="RHT1" s="87" t="n"/>
      <c r="RHU1" s="87" t="n"/>
      <c r="RHV1" s="87" t="n"/>
      <c r="RHW1" s="87" t="n"/>
      <c r="RHX1" s="87" t="n"/>
      <c r="RHY1" s="87" t="n"/>
      <c r="RHZ1" s="87" t="n"/>
      <c r="RIA1" s="87" t="n"/>
      <c r="RIB1" s="87" t="n"/>
      <c r="RIC1" s="87" t="n"/>
      <c r="RID1" s="87" t="n"/>
      <c r="RIE1" s="87" t="n"/>
      <c r="RIF1" s="87" t="n"/>
      <c r="RIG1" s="87" t="n"/>
      <c r="RIH1" s="87" t="n"/>
      <c r="RII1" s="87" t="n"/>
      <c r="RIJ1" s="87" t="n"/>
      <c r="RIK1" s="87" t="n"/>
      <c r="RIL1" s="87" t="n"/>
      <c r="RIM1" s="87" t="n"/>
      <c r="RIN1" s="87" t="n"/>
      <c r="RIO1" s="87" t="n"/>
      <c r="RIP1" s="87" t="n"/>
      <c r="RIQ1" s="87" t="n"/>
      <c r="RIR1" s="87" t="n"/>
      <c r="RIS1" s="87" t="n"/>
      <c r="RIT1" s="87" t="n"/>
      <c r="RIU1" s="87" t="n"/>
      <c r="RIV1" s="87" t="n"/>
      <c r="RIW1" s="87" t="n"/>
      <c r="RIX1" s="87" t="n"/>
      <c r="RIY1" s="87" t="n"/>
      <c r="RIZ1" s="87" t="n"/>
      <c r="RJA1" s="87" t="n"/>
      <c r="RJB1" s="87" t="n"/>
      <c r="RJC1" s="87" t="n"/>
      <c r="RJD1" s="87" t="n"/>
      <c r="RJE1" s="87" t="n"/>
      <c r="RJF1" s="87" t="n"/>
      <c r="RJG1" s="87" t="n"/>
      <c r="RJH1" s="87" t="n"/>
      <c r="RJI1" s="87" t="n"/>
      <c r="RJJ1" s="87" t="n"/>
      <c r="RJK1" s="87" t="n"/>
      <c r="RJL1" s="87" t="n"/>
      <c r="RJM1" s="87" t="n"/>
      <c r="RJN1" s="87" t="n"/>
      <c r="RJO1" s="87" t="n"/>
      <c r="RJP1" s="87" t="n"/>
      <c r="RJQ1" s="87" t="n"/>
      <c r="RJR1" s="87" t="n"/>
      <c r="RJS1" s="87" t="n"/>
      <c r="RJT1" s="87" t="n"/>
      <c r="RJU1" s="87" t="n"/>
      <c r="RJV1" s="87" t="n"/>
      <c r="RJW1" s="87" t="n"/>
      <c r="RJX1" s="87" t="n"/>
      <c r="RJY1" s="87" t="n"/>
      <c r="RJZ1" s="87" t="n"/>
      <c r="RKA1" s="87" t="n"/>
      <c r="RKB1" s="87" t="n"/>
      <c r="RKC1" s="87" t="n"/>
      <c r="RKD1" s="87" t="n"/>
      <c r="RKE1" s="87" t="n"/>
      <c r="RKF1" s="87" t="n"/>
      <c r="RKG1" s="87" t="n"/>
      <c r="RKH1" s="87" t="n"/>
      <c r="RKI1" s="87" t="n"/>
      <c r="RKJ1" s="87" t="n"/>
      <c r="RKK1" s="87" t="n"/>
      <c r="RKL1" s="87" t="n"/>
      <c r="RKM1" s="87" t="n"/>
      <c r="RKN1" s="87" t="n"/>
      <c r="RKO1" s="87" t="n"/>
      <c r="RKP1" s="87" t="n"/>
      <c r="RKQ1" s="87" t="n"/>
      <c r="RKR1" s="87" t="n"/>
      <c r="RKS1" s="87" t="n"/>
      <c r="RKT1" s="87" t="n"/>
      <c r="RKU1" s="87" t="n"/>
      <c r="RKV1" s="87" t="n"/>
      <c r="RKW1" s="87" t="n"/>
      <c r="RKX1" s="87" t="n"/>
      <c r="RKY1" s="87" t="n"/>
      <c r="RKZ1" s="87" t="n"/>
      <c r="RLA1" s="87" t="n"/>
      <c r="RLB1" s="87" t="n"/>
      <c r="RLC1" s="87" t="n"/>
      <c r="RLD1" s="87" t="n"/>
      <c r="RLE1" s="87" t="n"/>
      <c r="RLF1" s="87" t="n"/>
      <c r="RLG1" s="87" t="n"/>
      <c r="RLH1" s="87" t="n"/>
      <c r="RLI1" s="87" t="n"/>
      <c r="RLJ1" s="87" t="n"/>
      <c r="RLK1" s="87" t="n"/>
      <c r="RLL1" s="87" t="n"/>
      <c r="RLM1" s="87" t="n"/>
      <c r="RLN1" s="87" t="n"/>
      <c r="RLO1" s="87" t="n"/>
      <c r="RLP1" s="87" t="n"/>
      <c r="RLQ1" s="87" t="n"/>
      <c r="RLR1" s="87" t="n"/>
      <c r="RLS1" s="87" t="n"/>
      <c r="RLT1" s="87" t="n"/>
      <c r="RLU1" s="87" t="n"/>
      <c r="RLV1" s="87" t="n"/>
      <c r="RLW1" s="87" t="n"/>
      <c r="RLX1" s="87" t="n"/>
      <c r="RLY1" s="87" t="n"/>
      <c r="RLZ1" s="87" t="n"/>
      <c r="RMA1" s="87" t="n"/>
      <c r="RMB1" s="87" t="n"/>
      <c r="RMC1" s="87" t="n"/>
      <c r="RMD1" s="87" t="n"/>
      <c r="RME1" s="87" t="n"/>
      <c r="RMF1" s="87" t="n"/>
      <c r="RMG1" s="87" t="n"/>
      <c r="RMH1" s="87" t="n"/>
      <c r="RMI1" s="87" t="n"/>
      <c r="RMJ1" s="87" t="n"/>
      <c r="RMK1" s="87" t="n"/>
      <c r="RML1" s="87" t="n"/>
      <c r="RMM1" s="87" t="n"/>
      <c r="RMN1" s="87" t="n"/>
      <c r="RMO1" s="87" t="n"/>
      <c r="RMP1" s="87" t="n"/>
      <c r="RMQ1" s="87" t="n"/>
      <c r="RMR1" s="87" t="n"/>
      <c r="RMS1" s="87" t="n"/>
      <c r="RMT1" s="87" t="n"/>
      <c r="RMU1" s="87" t="n"/>
      <c r="RMV1" s="87" t="n"/>
      <c r="RMW1" s="87" t="n"/>
      <c r="RMX1" s="87" t="n"/>
      <c r="RMY1" s="87" t="n"/>
      <c r="RMZ1" s="87" t="n"/>
      <c r="RNA1" s="87" t="n"/>
      <c r="RNB1" s="87" t="n"/>
      <c r="RNC1" s="87" t="n"/>
      <c r="RND1" s="87" t="n"/>
      <c r="RNE1" s="87" t="n"/>
      <c r="RNF1" s="87" t="n"/>
      <c r="RNG1" s="87" t="n"/>
      <c r="RNH1" s="87" t="n"/>
      <c r="RNI1" s="87" t="n"/>
      <c r="RNJ1" s="87" t="n"/>
      <c r="RNK1" s="87" t="n"/>
      <c r="RNL1" s="87" t="n"/>
      <c r="RNM1" s="87" t="n"/>
      <c r="RNN1" s="87" t="n"/>
      <c r="RNO1" s="87" t="n"/>
      <c r="RNP1" s="87" t="n"/>
      <c r="RNQ1" s="87" t="n"/>
      <c r="RNR1" s="87" t="n"/>
      <c r="RNS1" s="87" t="n"/>
      <c r="RNT1" s="87" t="n"/>
      <c r="RNU1" s="87" t="n"/>
      <c r="RNV1" s="87" t="n"/>
      <c r="RNW1" s="87" t="n"/>
      <c r="RNX1" s="87" t="n"/>
      <c r="RNY1" s="87" t="n"/>
      <c r="RNZ1" s="87" t="n"/>
      <c r="ROA1" s="87" t="n"/>
      <c r="ROB1" s="87" t="n"/>
      <c r="ROC1" s="87" t="n"/>
      <c r="ROD1" s="87" t="n"/>
      <c r="ROE1" s="87" t="n"/>
      <c r="ROF1" s="87" t="n"/>
      <c r="ROG1" s="87" t="n"/>
      <c r="ROH1" s="87" t="n"/>
      <c r="ROI1" s="87" t="n"/>
      <c r="ROJ1" s="87" t="n"/>
      <c r="ROK1" s="87" t="n"/>
      <c r="ROL1" s="87" t="n"/>
      <c r="ROM1" s="87" t="n"/>
      <c r="RON1" s="87" t="n"/>
      <c r="ROO1" s="87" t="n"/>
      <c r="ROP1" s="87" t="n"/>
      <c r="ROQ1" s="87" t="n"/>
      <c r="ROR1" s="87" t="n"/>
      <c r="ROS1" s="87" t="n"/>
      <c r="ROT1" s="87" t="n"/>
      <c r="ROU1" s="87" t="n"/>
      <c r="ROV1" s="87" t="n"/>
      <c r="ROW1" s="87" t="n"/>
      <c r="ROX1" s="87" t="n"/>
      <c r="ROY1" s="87" t="n"/>
      <c r="ROZ1" s="87" t="n"/>
      <c r="RPA1" s="87" t="n"/>
      <c r="RPB1" s="87" t="n"/>
      <c r="RPC1" s="87" t="n"/>
      <c r="RPD1" s="87" t="n"/>
      <c r="RPE1" s="87" t="n"/>
      <c r="RPF1" s="87" t="n"/>
      <c r="RPG1" s="87" t="n"/>
      <c r="RPH1" s="87" t="n"/>
      <c r="RPI1" s="87" t="n"/>
      <c r="RPJ1" s="87" t="n"/>
      <c r="RPK1" s="87" t="n"/>
      <c r="RPL1" s="87" t="n"/>
      <c r="RPM1" s="87" t="n"/>
      <c r="RPN1" s="87" t="n"/>
      <c r="RPO1" s="87" t="n"/>
      <c r="RPP1" s="87" t="n"/>
      <c r="RPQ1" s="87" t="n"/>
      <c r="RPR1" s="87" t="n"/>
      <c r="RPS1" s="87" t="n"/>
      <c r="RPT1" s="87" t="n"/>
      <c r="RPU1" s="87" t="n"/>
      <c r="RPV1" s="87" t="n"/>
      <c r="RPW1" s="87" t="n"/>
      <c r="RPX1" s="87" t="n"/>
      <c r="RPY1" s="87" t="n"/>
      <c r="RPZ1" s="87" t="n"/>
      <c r="RQA1" s="87" t="n"/>
      <c r="RQB1" s="87" t="n"/>
      <c r="RQC1" s="87" t="n"/>
      <c r="RQD1" s="87" t="n"/>
      <c r="RQE1" s="87" t="n"/>
      <c r="RQF1" s="87" t="n"/>
      <c r="RQG1" s="87" t="n"/>
      <c r="RQH1" s="87" t="n"/>
      <c r="RQI1" s="87" t="n"/>
      <c r="RQJ1" s="87" t="n"/>
      <c r="RQK1" s="87" t="n"/>
      <c r="RQL1" s="87" t="n"/>
      <c r="RQM1" s="87" t="n"/>
      <c r="RQN1" s="87" t="n"/>
      <c r="RQO1" s="87" t="n"/>
      <c r="RQP1" s="87" t="n"/>
      <c r="RQQ1" s="87" t="n"/>
      <c r="RQR1" s="87" t="n"/>
      <c r="RQS1" s="87" t="n"/>
      <c r="RQT1" s="87" t="n"/>
      <c r="RQU1" s="87" t="n"/>
      <c r="RQV1" s="87" t="n"/>
      <c r="RQW1" s="87" t="n"/>
      <c r="RQX1" s="87" t="n"/>
      <c r="RQY1" s="87" t="n"/>
      <c r="RQZ1" s="87" t="n"/>
      <c r="RRA1" s="87" t="n"/>
      <c r="RRB1" s="87" t="n"/>
      <c r="RRC1" s="87" t="n"/>
      <c r="RRD1" s="87" t="n"/>
      <c r="RRE1" s="87" t="n"/>
      <c r="RRF1" s="87" t="n"/>
      <c r="RRG1" s="87" t="n"/>
      <c r="RRH1" s="87" t="n"/>
      <c r="RRI1" s="87" t="n"/>
      <c r="RRJ1" s="87" t="n"/>
      <c r="RRK1" s="87" t="n"/>
      <c r="RRL1" s="87" t="n"/>
      <c r="RRM1" s="87" t="n"/>
      <c r="RRN1" s="87" t="n"/>
      <c r="RRO1" s="87" t="n"/>
      <c r="RRP1" s="87" t="n"/>
      <c r="RRQ1" s="87" t="n"/>
      <c r="RRR1" s="87" t="n"/>
      <c r="RRS1" s="87" t="n"/>
      <c r="RRT1" s="87" t="n"/>
      <c r="RRU1" s="87" t="n"/>
      <c r="RRV1" s="87" t="n"/>
      <c r="RRW1" s="87" t="n"/>
      <c r="RRX1" s="87" t="n"/>
      <c r="RRY1" s="87" t="n"/>
      <c r="RRZ1" s="87" t="n"/>
      <c r="RSA1" s="87" t="n"/>
      <c r="RSB1" s="87" t="n"/>
      <c r="RSC1" s="87" t="n"/>
      <c r="RSD1" s="87" t="n"/>
      <c r="RSE1" s="87" t="n"/>
      <c r="RSF1" s="87" t="n"/>
      <c r="RSG1" s="87" t="n"/>
      <c r="RSH1" s="87" t="n"/>
      <c r="RSI1" s="87" t="n"/>
      <c r="RSJ1" s="87" t="n"/>
      <c r="RSK1" s="87" t="n"/>
      <c r="RSL1" s="87" t="n"/>
      <c r="RSM1" s="87" t="n"/>
      <c r="RSN1" s="87" t="n"/>
      <c r="RSO1" s="87" t="n"/>
      <c r="RSP1" s="87" t="n"/>
      <c r="RSQ1" s="87" t="n"/>
      <c r="RSR1" s="87" t="n"/>
      <c r="RSS1" s="87" t="n"/>
      <c r="RST1" s="87" t="n"/>
      <c r="RSU1" s="87" t="n"/>
      <c r="RSV1" s="87" t="n"/>
      <c r="RSW1" s="87" t="n"/>
      <c r="RSX1" s="87" t="n"/>
      <c r="RSY1" s="87" t="n"/>
      <c r="RSZ1" s="87" t="n"/>
      <c r="RTA1" s="87" t="n"/>
      <c r="RTB1" s="87" t="n"/>
      <c r="RTC1" s="87" t="n"/>
      <c r="RTD1" s="87" t="n"/>
      <c r="RTE1" s="87" t="n"/>
      <c r="RTF1" s="87" t="n"/>
      <c r="RTG1" s="87" t="n"/>
      <c r="RTH1" s="87" t="n"/>
      <c r="RTI1" s="87" t="n"/>
      <c r="RTJ1" s="87" t="n"/>
      <c r="RTK1" s="87" t="n"/>
      <c r="RTL1" s="87" t="n"/>
      <c r="RTM1" s="87" t="n"/>
      <c r="RTN1" s="87" t="n"/>
      <c r="RTO1" s="87" t="n"/>
      <c r="RTP1" s="87" t="n"/>
      <c r="RTQ1" s="87" t="n"/>
      <c r="RTR1" s="87" t="n"/>
      <c r="RTS1" s="87" t="n"/>
      <c r="RTT1" s="87" t="n"/>
      <c r="RTU1" s="87" t="n"/>
      <c r="RTV1" s="87" t="n"/>
      <c r="RTW1" s="87" t="n"/>
      <c r="RTX1" s="87" t="n"/>
      <c r="RTY1" s="87" t="n"/>
      <c r="RTZ1" s="87" t="n"/>
      <c r="RUA1" s="87" t="n"/>
      <c r="RUB1" s="87" t="n"/>
      <c r="RUC1" s="87" t="n"/>
      <c r="RUD1" s="87" t="n"/>
      <c r="RUE1" s="87" t="n"/>
      <c r="RUF1" s="87" t="n"/>
      <c r="RUG1" s="87" t="n"/>
      <c r="RUH1" s="87" t="n"/>
      <c r="RUI1" s="87" t="n"/>
      <c r="RUJ1" s="87" t="n"/>
      <c r="RUK1" s="87" t="n"/>
      <c r="RUL1" s="87" t="n"/>
      <c r="RUM1" s="87" t="n"/>
      <c r="RUN1" s="87" t="n"/>
      <c r="RUO1" s="87" t="n"/>
      <c r="RUP1" s="87" t="n"/>
      <c r="RUQ1" s="87" t="n"/>
      <c r="RUR1" s="87" t="n"/>
      <c r="RUS1" s="87" t="n"/>
      <c r="RUT1" s="87" t="n"/>
      <c r="RUU1" s="87" t="n"/>
      <c r="RUV1" s="87" t="n"/>
      <c r="RUW1" s="87" t="n"/>
      <c r="RUX1" s="87" t="n"/>
      <c r="RUY1" s="87" t="n"/>
      <c r="RUZ1" s="87" t="n"/>
      <c r="RVA1" s="87" t="n"/>
      <c r="RVB1" s="87" t="n"/>
      <c r="RVC1" s="87" t="n"/>
      <c r="RVD1" s="87" t="n"/>
      <c r="RVE1" s="87" t="n"/>
      <c r="RVF1" s="87" t="n"/>
      <c r="RVG1" s="87" t="n"/>
      <c r="RVH1" s="87" t="n"/>
      <c r="RVI1" s="87" t="n"/>
      <c r="RVJ1" s="87" t="n"/>
      <c r="RVK1" s="87" t="n"/>
      <c r="RVL1" s="87" t="n"/>
      <c r="RVM1" s="87" t="n"/>
      <c r="RVN1" s="87" t="n"/>
      <c r="RVO1" s="87" t="n"/>
      <c r="RVP1" s="87" t="n"/>
      <c r="RVQ1" s="87" t="n"/>
      <c r="RVR1" s="87" t="n"/>
      <c r="RVS1" s="87" t="n"/>
      <c r="RVT1" s="87" t="n"/>
      <c r="RVU1" s="87" t="n"/>
      <c r="RVV1" s="87" t="n"/>
      <c r="RVW1" s="87" t="n"/>
      <c r="RVX1" s="87" t="n"/>
      <c r="RVY1" s="87" t="n"/>
      <c r="RVZ1" s="87" t="n"/>
      <c r="RWA1" s="87" t="n"/>
      <c r="RWB1" s="87" t="n"/>
      <c r="RWC1" s="87" t="n"/>
      <c r="RWD1" s="87" t="n"/>
      <c r="RWE1" s="87" t="n"/>
      <c r="RWF1" s="87" t="n"/>
      <c r="RWG1" s="87" t="n"/>
      <c r="RWH1" s="87" t="n"/>
      <c r="RWI1" s="87" t="n"/>
      <c r="RWJ1" s="87" t="n"/>
      <c r="RWK1" s="87" t="n"/>
      <c r="RWL1" s="87" t="n"/>
      <c r="RWM1" s="87" t="n"/>
      <c r="RWN1" s="87" t="n"/>
      <c r="RWO1" s="87" t="n"/>
      <c r="RWP1" s="87" t="n"/>
      <c r="RWQ1" s="87" t="n"/>
      <c r="RWR1" s="87" t="n"/>
      <c r="RWS1" s="87" t="n"/>
      <c r="RWT1" s="87" t="n"/>
      <c r="RWU1" s="87" t="n"/>
      <c r="RWV1" s="87" t="n"/>
      <c r="RWW1" s="87" t="n"/>
      <c r="RWX1" s="87" t="n"/>
      <c r="RWY1" s="87" t="n"/>
      <c r="RWZ1" s="87" t="n"/>
      <c r="RXA1" s="87" t="n"/>
      <c r="RXB1" s="87" t="n"/>
      <c r="RXC1" s="87" t="n"/>
      <c r="RXD1" s="87" t="n"/>
      <c r="RXE1" s="87" t="n"/>
      <c r="RXF1" s="87" t="n"/>
      <c r="RXG1" s="87" t="n"/>
      <c r="RXH1" s="87" t="n"/>
      <c r="RXI1" s="87" t="n"/>
      <c r="RXJ1" s="87" t="n"/>
      <c r="RXK1" s="87" t="n"/>
      <c r="RXL1" s="87" t="n"/>
      <c r="RXM1" s="87" t="n"/>
      <c r="RXN1" s="87" t="n"/>
      <c r="RXO1" s="87" t="n"/>
      <c r="RXP1" s="87" t="n"/>
      <c r="RXQ1" s="87" t="n"/>
      <c r="RXR1" s="87" t="n"/>
      <c r="RXS1" s="87" t="n"/>
      <c r="RXT1" s="87" t="n"/>
      <c r="RXU1" s="87" t="n"/>
      <c r="RXV1" s="87" t="n"/>
      <c r="RXW1" s="87" t="n"/>
      <c r="RXX1" s="87" t="n"/>
      <c r="RXY1" s="87" t="n"/>
      <c r="RXZ1" s="87" t="n"/>
      <c r="RYA1" s="87" t="n"/>
      <c r="RYB1" s="87" t="n"/>
      <c r="RYC1" s="87" t="n"/>
      <c r="RYD1" s="87" t="n"/>
      <c r="RYE1" s="87" t="n"/>
      <c r="RYF1" s="87" t="n"/>
      <c r="RYG1" s="87" t="n"/>
      <c r="RYH1" s="87" t="n"/>
      <c r="RYI1" s="87" t="n"/>
      <c r="RYJ1" s="87" t="n"/>
      <c r="RYK1" s="87" t="n"/>
      <c r="RYL1" s="87" t="n"/>
      <c r="RYM1" s="87" t="n"/>
      <c r="RYN1" s="87" t="n"/>
      <c r="RYO1" s="87" t="n"/>
      <c r="RYP1" s="87" t="n"/>
      <c r="RYQ1" s="87" t="n"/>
      <c r="RYR1" s="87" t="n"/>
      <c r="RYS1" s="87" t="n"/>
      <c r="RYT1" s="87" t="n"/>
      <c r="RYU1" s="87" t="n"/>
      <c r="RYV1" s="87" t="n"/>
      <c r="RYW1" s="87" t="n"/>
      <c r="RYX1" s="87" t="n"/>
      <c r="RYY1" s="87" t="n"/>
      <c r="RYZ1" s="87" t="n"/>
      <c r="RZA1" s="87" t="n"/>
      <c r="RZB1" s="87" t="n"/>
      <c r="RZC1" s="87" t="n"/>
      <c r="RZD1" s="87" t="n"/>
      <c r="RZE1" s="87" t="n"/>
      <c r="RZF1" s="87" t="n"/>
      <c r="RZG1" s="87" t="n"/>
      <c r="RZH1" s="87" t="n"/>
      <c r="RZI1" s="87" t="n"/>
      <c r="RZJ1" s="87" t="n"/>
      <c r="RZK1" s="87" t="n"/>
      <c r="RZL1" s="87" t="n"/>
      <c r="RZM1" s="87" t="n"/>
      <c r="RZN1" s="87" t="n"/>
      <c r="RZO1" s="87" t="n"/>
      <c r="RZP1" s="87" t="n"/>
      <c r="RZQ1" s="87" t="n"/>
      <c r="RZR1" s="87" t="n"/>
      <c r="RZS1" s="87" t="n"/>
      <c r="RZT1" s="87" t="n"/>
      <c r="RZU1" s="87" t="n"/>
      <c r="RZV1" s="87" t="n"/>
      <c r="RZW1" s="87" t="n"/>
      <c r="RZX1" s="87" t="n"/>
      <c r="RZY1" s="87" t="n"/>
      <c r="RZZ1" s="87" t="n"/>
      <c r="SAA1" s="87" t="n"/>
      <c r="SAB1" s="87" t="n"/>
      <c r="SAC1" s="87" t="n"/>
      <c r="SAD1" s="87" t="n"/>
      <c r="SAE1" s="87" t="n"/>
      <c r="SAF1" s="87" t="n"/>
      <c r="SAG1" s="87" t="n"/>
      <c r="SAH1" s="87" t="n"/>
      <c r="SAI1" s="87" t="n"/>
      <c r="SAJ1" s="87" t="n"/>
      <c r="SAK1" s="87" t="n"/>
      <c r="SAL1" s="87" t="n"/>
      <c r="SAM1" s="87" t="n"/>
      <c r="SAN1" s="87" t="n"/>
      <c r="SAO1" s="87" t="n"/>
      <c r="SAP1" s="87" t="n"/>
      <c r="SAQ1" s="87" t="n"/>
      <c r="SAR1" s="87" t="n"/>
      <c r="SAS1" s="87" t="n"/>
      <c r="SAT1" s="87" t="n"/>
      <c r="SAU1" s="87" t="n"/>
      <c r="SAV1" s="87" t="n"/>
      <c r="SAW1" s="87" t="n"/>
      <c r="SAX1" s="87" t="n"/>
      <c r="SAY1" s="87" t="n"/>
      <c r="SAZ1" s="87" t="n"/>
      <c r="SBA1" s="87" t="n"/>
      <c r="SBB1" s="87" t="n"/>
      <c r="SBC1" s="87" t="n"/>
      <c r="SBD1" s="87" t="n"/>
      <c r="SBE1" s="87" t="n"/>
      <c r="SBF1" s="87" t="n"/>
      <c r="SBG1" s="87" t="n"/>
      <c r="SBH1" s="87" t="n"/>
      <c r="SBI1" s="87" t="n"/>
      <c r="SBJ1" s="87" t="n"/>
      <c r="SBK1" s="87" t="n"/>
      <c r="SBL1" s="87" t="n"/>
      <c r="SBM1" s="87" t="n"/>
      <c r="SBN1" s="87" t="n"/>
      <c r="SBO1" s="87" t="n"/>
      <c r="SBP1" s="87" t="n"/>
      <c r="SBQ1" s="87" t="n"/>
      <c r="SBR1" s="87" t="n"/>
      <c r="SBS1" s="87" t="n"/>
      <c r="SBT1" s="87" t="n"/>
      <c r="SBU1" s="87" t="n"/>
      <c r="SBV1" s="87" t="n"/>
      <c r="SBW1" s="87" t="n"/>
      <c r="SBX1" s="87" t="n"/>
      <c r="SBY1" s="87" t="n"/>
      <c r="SBZ1" s="87" t="n"/>
      <c r="SCA1" s="87" t="n"/>
      <c r="SCB1" s="87" t="n"/>
      <c r="SCC1" s="87" t="n"/>
      <c r="SCD1" s="87" t="n"/>
      <c r="SCE1" s="87" t="n"/>
      <c r="SCF1" s="87" t="n"/>
      <c r="SCG1" s="87" t="n"/>
      <c r="SCH1" s="87" t="n"/>
      <c r="SCI1" s="87" t="n"/>
      <c r="SCJ1" s="87" t="n"/>
      <c r="SCK1" s="87" t="n"/>
      <c r="SCL1" s="87" t="n"/>
      <c r="SCM1" s="87" t="n"/>
      <c r="SCN1" s="87" t="n"/>
      <c r="SCO1" s="87" t="n"/>
      <c r="SCP1" s="87" t="n"/>
      <c r="SCQ1" s="87" t="n"/>
      <c r="SCR1" s="87" t="n"/>
      <c r="SCS1" s="87" t="n"/>
      <c r="SCT1" s="87" t="n"/>
      <c r="SCU1" s="87" t="n"/>
      <c r="SCV1" s="87" t="n"/>
      <c r="SCW1" s="87" t="n"/>
      <c r="SCX1" s="87" t="n"/>
      <c r="SCY1" s="87" t="n"/>
      <c r="SCZ1" s="87" t="n"/>
      <c r="SDA1" s="87" t="n"/>
      <c r="SDB1" s="87" t="n"/>
      <c r="SDC1" s="87" t="n"/>
      <c r="SDD1" s="87" t="n"/>
      <c r="SDE1" s="87" t="n"/>
      <c r="SDF1" s="87" t="n"/>
      <c r="SDG1" s="87" t="n"/>
      <c r="SDH1" s="87" t="n"/>
      <c r="SDI1" s="87" t="n"/>
      <c r="SDJ1" s="87" t="n"/>
      <c r="SDK1" s="87" t="n"/>
      <c r="SDL1" s="87" t="n"/>
      <c r="SDM1" s="87" t="n"/>
      <c r="SDN1" s="87" t="n"/>
      <c r="SDO1" s="87" t="n"/>
      <c r="SDP1" s="87" t="n"/>
      <c r="SDQ1" s="87" t="n"/>
      <c r="SDR1" s="87" t="n"/>
      <c r="SDS1" s="87" t="n"/>
      <c r="SDT1" s="87" t="n"/>
      <c r="SDU1" s="87" t="n"/>
      <c r="SDV1" s="87" t="n"/>
      <c r="SDW1" s="87" t="n"/>
      <c r="SDX1" s="87" t="n"/>
      <c r="SDY1" s="87" t="n"/>
      <c r="SDZ1" s="87" t="n"/>
      <c r="SEA1" s="87" t="n"/>
      <c r="SEB1" s="87" t="n"/>
      <c r="SEC1" s="87" t="n"/>
      <c r="SED1" s="87" t="n"/>
      <c r="SEE1" s="87" t="n"/>
      <c r="SEF1" s="87" t="n"/>
      <c r="SEG1" s="87" t="n"/>
      <c r="SEH1" s="87" t="n"/>
      <c r="SEI1" s="87" t="n"/>
      <c r="SEJ1" s="87" t="n"/>
      <c r="SEK1" s="87" t="n"/>
      <c r="SEL1" s="87" t="n"/>
      <c r="SEM1" s="87" t="n"/>
      <c r="SEN1" s="87" t="n"/>
      <c r="SEO1" s="87" t="n"/>
      <c r="SEP1" s="87" t="n"/>
      <c r="SEQ1" s="87" t="n"/>
      <c r="SER1" s="87" t="n"/>
      <c r="SES1" s="87" t="n"/>
      <c r="SET1" s="87" t="n"/>
      <c r="SEU1" s="87" t="n"/>
      <c r="SEV1" s="87" t="n"/>
      <c r="SEW1" s="87" t="n"/>
      <c r="SEX1" s="87" t="n"/>
      <c r="SEY1" s="87" t="n"/>
      <c r="SEZ1" s="87" t="n"/>
      <c r="SFA1" s="87" t="n"/>
      <c r="SFB1" s="87" t="n"/>
      <c r="SFC1" s="87" t="n"/>
      <c r="SFD1" s="87" t="n"/>
      <c r="SFE1" s="87" t="n"/>
      <c r="SFF1" s="87" t="n"/>
      <c r="SFG1" s="87" t="n"/>
      <c r="SFH1" s="87" t="n"/>
      <c r="SFI1" s="87" t="n"/>
      <c r="SFJ1" s="87" t="n"/>
      <c r="SFK1" s="87" t="n"/>
      <c r="SFL1" s="87" t="n"/>
      <c r="SFM1" s="87" t="n"/>
      <c r="SFN1" s="87" t="n"/>
      <c r="SFO1" s="87" t="n"/>
      <c r="SFP1" s="87" t="n"/>
      <c r="SFQ1" s="87" t="n"/>
      <c r="SFR1" s="87" t="n"/>
      <c r="SFS1" s="87" t="n"/>
      <c r="SFT1" s="87" t="n"/>
      <c r="SFU1" s="87" t="n"/>
      <c r="SFV1" s="87" t="n"/>
      <c r="SFW1" s="87" t="n"/>
      <c r="SFX1" s="87" t="n"/>
      <c r="SFY1" s="87" t="n"/>
      <c r="SFZ1" s="87" t="n"/>
      <c r="SGA1" s="87" t="n"/>
      <c r="SGB1" s="87" t="n"/>
      <c r="SGC1" s="87" t="n"/>
      <c r="SGD1" s="87" t="n"/>
      <c r="SGE1" s="87" t="n"/>
      <c r="SGF1" s="87" t="n"/>
      <c r="SGG1" s="87" t="n"/>
      <c r="SGH1" s="87" t="n"/>
      <c r="SGI1" s="87" t="n"/>
      <c r="SGJ1" s="87" t="n"/>
      <c r="SGK1" s="87" t="n"/>
      <c r="SGL1" s="87" t="n"/>
      <c r="SGM1" s="87" t="n"/>
      <c r="SGN1" s="87" t="n"/>
      <c r="SGO1" s="87" t="n"/>
      <c r="SGP1" s="87" t="n"/>
      <c r="SGQ1" s="87" t="n"/>
      <c r="SGR1" s="87" t="n"/>
      <c r="SGS1" s="87" t="n"/>
      <c r="SGT1" s="87" t="n"/>
      <c r="SGU1" s="87" t="n"/>
      <c r="SGV1" s="87" t="n"/>
      <c r="SGW1" s="87" t="n"/>
      <c r="SGX1" s="87" t="n"/>
      <c r="SGY1" s="87" t="n"/>
      <c r="SGZ1" s="87" t="n"/>
      <c r="SHA1" s="87" t="n"/>
      <c r="SHB1" s="87" t="n"/>
      <c r="SHC1" s="87" t="n"/>
      <c r="SHD1" s="87" t="n"/>
      <c r="SHE1" s="87" t="n"/>
      <c r="SHF1" s="87" t="n"/>
      <c r="SHG1" s="87" t="n"/>
      <c r="SHH1" s="87" t="n"/>
      <c r="SHI1" s="87" t="n"/>
      <c r="SHJ1" s="87" t="n"/>
      <c r="SHK1" s="87" t="n"/>
      <c r="SHL1" s="87" t="n"/>
      <c r="SHM1" s="87" t="n"/>
      <c r="SHN1" s="87" t="n"/>
      <c r="SHO1" s="87" t="n"/>
      <c r="SHP1" s="87" t="n"/>
      <c r="SHQ1" s="87" t="n"/>
      <c r="SHR1" s="87" t="n"/>
      <c r="SHS1" s="87" t="n"/>
      <c r="SHT1" s="87" t="n"/>
      <c r="SHU1" s="87" t="n"/>
      <c r="SHV1" s="87" t="n"/>
      <c r="SHW1" s="87" t="n"/>
      <c r="SHX1" s="87" t="n"/>
      <c r="SHY1" s="87" t="n"/>
      <c r="SHZ1" s="87" t="n"/>
      <c r="SIA1" s="87" t="n"/>
      <c r="SIB1" s="87" t="n"/>
      <c r="SIC1" s="87" t="n"/>
      <c r="SID1" s="87" t="n"/>
      <c r="SIE1" s="87" t="n"/>
      <c r="SIF1" s="87" t="n"/>
      <c r="SIG1" s="87" t="n"/>
      <c r="SIH1" s="87" t="n"/>
      <c r="SII1" s="87" t="n"/>
      <c r="SIJ1" s="87" t="n"/>
      <c r="SIK1" s="87" t="n"/>
      <c r="SIL1" s="87" t="n"/>
      <c r="SIM1" s="87" t="n"/>
      <c r="SIN1" s="87" t="n"/>
      <c r="SIO1" s="87" t="n"/>
      <c r="SIP1" s="87" t="n"/>
      <c r="SIQ1" s="87" t="n"/>
      <c r="SIR1" s="87" t="n"/>
      <c r="SIS1" s="87" t="n"/>
      <c r="SIT1" s="87" t="n"/>
      <c r="SIU1" s="87" t="n"/>
      <c r="SIV1" s="87" t="n"/>
      <c r="SIW1" s="87" t="n"/>
      <c r="SIX1" s="87" t="n"/>
      <c r="SIY1" s="87" t="n"/>
      <c r="SIZ1" s="87" t="n"/>
      <c r="SJA1" s="87" t="n"/>
      <c r="SJB1" s="87" t="n"/>
      <c r="SJC1" s="87" t="n"/>
      <c r="SJD1" s="87" t="n"/>
      <c r="SJE1" s="87" t="n"/>
      <c r="SJF1" s="87" t="n"/>
      <c r="SJG1" s="87" t="n"/>
      <c r="SJH1" s="87" t="n"/>
      <c r="SJI1" s="87" t="n"/>
      <c r="SJJ1" s="87" t="n"/>
      <c r="SJK1" s="87" t="n"/>
      <c r="SJL1" s="87" t="n"/>
      <c r="SJM1" s="87" t="n"/>
      <c r="SJN1" s="87" t="n"/>
      <c r="SJO1" s="87" t="n"/>
      <c r="SJP1" s="87" t="n"/>
      <c r="SJQ1" s="87" t="n"/>
      <c r="SJR1" s="87" t="n"/>
      <c r="SJS1" s="87" t="n"/>
      <c r="SJT1" s="87" t="n"/>
      <c r="SJU1" s="87" t="n"/>
      <c r="SJV1" s="87" t="n"/>
      <c r="SJW1" s="87" t="n"/>
      <c r="SJX1" s="87" t="n"/>
      <c r="SJY1" s="87" t="n"/>
      <c r="SJZ1" s="87" t="n"/>
      <c r="SKA1" s="87" t="n"/>
      <c r="SKB1" s="87" t="n"/>
      <c r="SKC1" s="87" t="n"/>
      <c r="SKD1" s="87" t="n"/>
      <c r="SKE1" s="87" t="n"/>
      <c r="SKF1" s="87" t="n"/>
      <c r="SKG1" s="87" t="n"/>
      <c r="SKH1" s="87" t="n"/>
      <c r="SKI1" s="87" t="n"/>
      <c r="SKJ1" s="87" t="n"/>
      <c r="SKK1" s="87" t="n"/>
      <c r="SKL1" s="87" t="n"/>
      <c r="SKM1" s="87" t="n"/>
      <c r="SKN1" s="87" t="n"/>
      <c r="SKO1" s="87" t="n"/>
      <c r="SKP1" s="87" t="n"/>
      <c r="SKQ1" s="87" t="n"/>
      <c r="SKR1" s="87" t="n"/>
      <c r="SKS1" s="87" t="n"/>
      <c r="SKT1" s="87" t="n"/>
      <c r="SKU1" s="87" t="n"/>
      <c r="SKV1" s="87" t="n"/>
      <c r="SKW1" s="87" t="n"/>
      <c r="SKX1" s="87" t="n"/>
      <c r="SKY1" s="87" t="n"/>
      <c r="SKZ1" s="87" t="n"/>
      <c r="SLA1" s="87" t="n"/>
      <c r="SLB1" s="87" t="n"/>
      <c r="SLC1" s="87" t="n"/>
      <c r="SLD1" s="87" t="n"/>
      <c r="SLE1" s="87" t="n"/>
      <c r="SLF1" s="87" t="n"/>
      <c r="SLG1" s="87" t="n"/>
      <c r="SLH1" s="87" t="n"/>
      <c r="SLI1" s="87" t="n"/>
      <c r="SLJ1" s="87" t="n"/>
      <c r="SLK1" s="87" t="n"/>
      <c r="SLL1" s="87" t="n"/>
      <c r="SLM1" s="87" t="n"/>
      <c r="SLN1" s="87" t="n"/>
      <c r="SLO1" s="87" t="n"/>
      <c r="SLP1" s="87" t="n"/>
      <c r="SLQ1" s="87" t="n"/>
      <c r="SLR1" s="87" t="n"/>
      <c r="SLS1" s="87" t="n"/>
      <c r="SLT1" s="87" t="n"/>
      <c r="SLU1" s="87" t="n"/>
      <c r="SLV1" s="87" t="n"/>
      <c r="SLW1" s="87" t="n"/>
      <c r="SLX1" s="87" t="n"/>
      <c r="SLY1" s="87" t="n"/>
      <c r="SLZ1" s="87" t="n"/>
      <c r="SMA1" s="87" t="n"/>
      <c r="SMB1" s="87" t="n"/>
      <c r="SMC1" s="87" t="n"/>
      <c r="SMD1" s="87" t="n"/>
      <c r="SME1" s="87" t="n"/>
      <c r="SMF1" s="87" t="n"/>
      <c r="SMG1" s="87" t="n"/>
      <c r="SMH1" s="87" t="n"/>
      <c r="SMI1" s="87" t="n"/>
      <c r="SMJ1" s="87" t="n"/>
      <c r="SMK1" s="87" t="n"/>
      <c r="SML1" s="87" t="n"/>
      <c r="SMM1" s="87" t="n"/>
      <c r="SMN1" s="87" t="n"/>
      <c r="SMO1" s="87" t="n"/>
      <c r="SMP1" s="87" t="n"/>
      <c r="SMQ1" s="87" t="n"/>
      <c r="SMR1" s="87" t="n"/>
      <c r="SMS1" s="87" t="n"/>
      <c r="SMT1" s="87" t="n"/>
      <c r="SMU1" s="87" t="n"/>
      <c r="SMV1" s="87" t="n"/>
      <c r="SMW1" s="87" t="n"/>
      <c r="SMX1" s="87" t="n"/>
      <c r="SMY1" s="87" t="n"/>
      <c r="SMZ1" s="87" t="n"/>
      <c r="SNA1" s="87" t="n"/>
      <c r="SNB1" s="87" t="n"/>
      <c r="SNC1" s="87" t="n"/>
      <c r="SND1" s="87" t="n"/>
      <c r="SNE1" s="87" t="n"/>
      <c r="SNF1" s="87" t="n"/>
      <c r="SNG1" s="87" t="n"/>
      <c r="SNH1" s="87" t="n"/>
      <c r="SNI1" s="87" t="n"/>
      <c r="SNJ1" s="87" t="n"/>
      <c r="SNK1" s="87" t="n"/>
      <c r="SNL1" s="87" t="n"/>
      <c r="SNM1" s="87" t="n"/>
      <c r="SNN1" s="87" t="n"/>
      <c r="SNO1" s="87" t="n"/>
      <c r="SNP1" s="87" t="n"/>
      <c r="SNQ1" s="87" t="n"/>
      <c r="SNR1" s="87" t="n"/>
      <c r="SNS1" s="87" t="n"/>
      <c r="SNT1" s="87" t="n"/>
      <c r="SNU1" s="87" t="n"/>
      <c r="SNV1" s="87" t="n"/>
      <c r="SNW1" s="87" t="n"/>
      <c r="SNX1" s="87" t="n"/>
      <c r="SNY1" s="87" t="n"/>
      <c r="SNZ1" s="87" t="n"/>
      <c r="SOA1" s="87" t="n"/>
      <c r="SOB1" s="87" t="n"/>
      <c r="SOC1" s="87" t="n"/>
      <c r="SOD1" s="87" t="n"/>
      <c r="SOE1" s="87" t="n"/>
      <c r="SOF1" s="87" t="n"/>
      <c r="SOG1" s="87" t="n"/>
      <c r="SOH1" s="87" t="n"/>
      <c r="SOI1" s="87" t="n"/>
      <c r="SOJ1" s="87" t="n"/>
      <c r="SOK1" s="87" t="n"/>
      <c r="SOL1" s="87" t="n"/>
      <c r="SOM1" s="87" t="n"/>
      <c r="SON1" s="87" t="n"/>
      <c r="SOO1" s="87" t="n"/>
      <c r="SOP1" s="87" t="n"/>
      <c r="SOQ1" s="87" t="n"/>
      <c r="SOR1" s="87" t="n"/>
      <c r="SOS1" s="87" t="n"/>
      <c r="SOT1" s="87" t="n"/>
      <c r="SOU1" s="87" t="n"/>
      <c r="SOV1" s="87" t="n"/>
      <c r="SOW1" s="87" t="n"/>
      <c r="SOX1" s="87" t="n"/>
      <c r="SOY1" s="87" t="n"/>
      <c r="SOZ1" s="87" t="n"/>
      <c r="SPA1" s="87" t="n"/>
      <c r="SPB1" s="87" t="n"/>
      <c r="SPC1" s="87" t="n"/>
      <c r="SPD1" s="87" t="n"/>
      <c r="SPE1" s="87" t="n"/>
      <c r="SPF1" s="87" t="n"/>
      <c r="SPG1" s="87" t="n"/>
      <c r="SPH1" s="87" t="n"/>
      <c r="SPI1" s="87" t="n"/>
      <c r="SPJ1" s="87" t="n"/>
      <c r="SPK1" s="87" t="n"/>
      <c r="SPL1" s="87" t="n"/>
      <c r="SPM1" s="87" t="n"/>
      <c r="SPN1" s="87" t="n"/>
      <c r="SPO1" s="87" t="n"/>
      <c r="SPP1" s="87" t="n"/>
      <c r="SPQ1" s="87" t="n"/>
      <c r="SPR1" s="87" t="n"/>
      <c r="SPS1" s="87" t="n"/>
      <c r="SPT1" s="87" t="n"/>
      <c r="SPU1" s="87" t="n"/>
      <c r="SPV1" s="87" t="n"/>
      <c r="SPW1" s="87" t="n"/>
      <c r="SPX1" s="87" t="n"/>
      <c r="SPY1" s="87" t="n"/>
      <c r="SPZ1" s="87" t="n"/>
      <c r="SQA1" s="87" t="n"/>
      <c r="SQB1" s="87" t="n"/>
      <c r="SQC1" s="87" t="n"/>
      <c r="SQD1" s="87" t="n"/>
      <c r="SQE1" s="87" t="n"/>
      <c r="SQF1" s="87" t="n"/>
      <c r="SQG1" s="87" t="n"/>
      <c r="SQH1" s="87" t="n"/>
      <c r="SQI1" s="87" t="n"/>
      <c r="SQJ1" s="87" t="n"/>
      <c r="SQK1" s="87" t="n"/>
      <c r="SQL1" s="87" t="n"/>
      <c r="SQM1" s="87" t="n"/>
      <c r="SQN1" s="87" t="n"/>
      <c r="SQO1" s="87" t="n"/>
      <c r="SQP1" s="87" t="n"/>
      <c r="SQQ1" s="87" t="n"/>
      <c r="SQR1" s="87" t="n"/>
      <c r="SQS1" s="87" t="n"/>
      <c r="SQT1" s="87" t="n"/>
      <c r="SQU1" s="87" t="n"/>
      <c r="SQV1" s="87" t="n"/>
      <c r="SQW1" s="87" t="n"/>
      <c r="SQX1" s="87" t="n"/>
      <c r="SQY1" s="87" t="n"/>
      <c r="SQZ1" s="87" t="n"/>
      <c r="SRA1" s="87" t="n"/>
      <c r="SRB1" s="87" t="n"/>
      <c r="SRC1" s="87" t="n"/>
      <c r="SRD1" s="87" t="n"/>
      <c r="SRE1" s="87" t="n"/>
      <c r="SRF1" s="87" t="n"/>
      <c r="SRG1" s="87" t="n"/>
      <c r="SRH1" s="87" t="n"/>
      <c r="SRI1" s="87" t="n"/>
      <c r="SRJ1" s="87" t="n"/>
      <c r="SRK1" s="87" t="n"/>
      <c r="SRL1" s="87" t="n"/>
      <c r="SRM1" s="87" t="n"/>
      <c r="SRN1" s="87" t="n"/>
      <c r="SRO1" s="87" t="n"/>
      <c r="SRP1" s="87" t="n"/>
      <c r="SRQ1" s="87" t="n"/>
      <c r="SRR1" s="87" t="n"/>
      <c r="SRS1" s="87" t="n"/>
      <c r="SRT1" s="87" t="n"/>
      <c r="SRU1" s="87" t="n"/>
      <c r="SRV1" s="87" t="n"/>
      <c r="SRW1" s="87" t="n"/>
      <c r="SRX1" s="87" t="n"/>
      <c r="SRY1" s="87" t="n"/>
      <c r="SRZ1" s="87" t="n"/>
      <c r="SSA1" s="87" t="n"/>
      <c r="SSB1" s="87" t="n"/>
      <c r="SSC1" s="87" t="n"/>
      <c r="SSD1" s="87" t="n"/>
      <c r="SSE1" s="87" t="n"/>
      <c r="SSF1" s="87" t="n"/>
      <c r="SSG1" s="87" t="n"/>
      <c r="SSH1" s="87" t="n"/>
      <c r="SSI1" s="87" t="n"/>
      <c r="SSJ1" s="87" t="n"/>
      <c r="SSK1" s="87" t="n"/>
      <c r="SSL1" s="87" t="n"/>
      <c r="SSM1" s="87" t="n"/>
      <c r="SSN1" s="87" t="n"/>
      <c r="SSO1" s="87" t="n"/>
      <c r="SSP1" s="87" t="n"/>
      <c r="SSQ1" s="87" t="n"/>
      <c r="SSR1" s="87" t="n"/>
      <c r="SSS1" s="87" t="n"/>
      <c r="SST1" s="87" t="n"/>
      <c r="SSU1" s="87" t="n"/>
      <c r="SSV1" s="87" t="n"/>
      <c r="SSW1" s="87" t="n"/>
      <c r="SSX1" s="87" t="n"/>
      <c r="SSY1" s="87" t="n"/>
      <c r="SSZ1" s="87" t="n"/>
      <c r="STA1" s="87" t="n"/>
      <c r="STB1" s="87" t="n"/>
      <c r="STC1" s="87" t="n"/>
      <c r="STD1" s="87" t="n"/>
      <c r="STE1" s="87" t="n"/>
      <c r="STF1" s="87" t="n"/>
      <c r="STG1" s="87" t="n"/>
      <c r="STH1" s="87" t="n"/>
      <c r="STI1" s="87" t="n"/>
      <c r="STJ1" s="87" t="n"/>
      <c r="STK1" s="87" t="n"/>
      <c r="STL1" s="87" t="n"/>
      <c r="STM1" s="87" t="n"/>
      <c r="STN1" s="87" t="n"/>
      <c r="STO1" s="87" t="n"/>
      <c r="STP1" s="87" t="n"/>
      <c r="STQ1" s="87" t="n"/>
      <c r="STR1" s="87" t="n"/>
      <c r="STS1" s="87" t="n"/>
      <c r="STT1" s="87" t="n"/>
      <c r="STU1" s="87" t="n"/>
      <c r="STV1" s="87" t="n"/>
      <c r="STW1" s="87" t="n"/>
      <c r="STX1" s="87" t="n"/>
      <c r="STY1" s="87" t="n"/>
      <c r="STZ1" s="87" t="n"/>
      <c r="SUA1" s="87" t="n"/>
      <c r="SUB1" s="87" t="n"/>
      <c r="SUC1" s="87" t="n"/>
      <c r="SUD1" s="87" t="n"/>
      <c r="SUE1" s="87" t="n"/>
      <c r="SUF1" s="87" t="n"/>
      <c r="SUG1" s="87" t="n"/>
      <c r="SUH1" s="87" t="n"/>
      <c r="SUI1" s="87" t="n"/>
      <c r="SUJ1" s="87" t="n"/>
      <c r="SUK1" s="87" t="n"/>
      <c r="SUL1" s="87" t="n"/>
      <c r="SUM1" s="87" t="n"/>
      <c r="SUN1" s="87" t="n"/>
      <c r="SUO1" s="87" t="n"/>
      <c r="SUP1" s="87" t="n"/>
      <c r="SUQ1" s="87" t="n"/>
      <c r="SUR1" s="87" t="n"/>
      <c r="SUS1" s="87" t="n"/>
      <c r="SUT1" s="87" t="n"/>
      <c r="SUU1" s="87" t="n"/>
      <c r="SUV1" s="87" t="n"/>
      <c r="SUW1" s="87" t="n"/>
      <c r="SUX1" s="87" t="n"/>
      <c r="SUY1" s="87" t="n"/>
      <c r="SUZ1" s="87" t="n"/>
      <c r="SVA1" s="87" t="n"/>
      <c r="SVB1" s="87" t="n"/>
      <c r="SVC1" s="87" t="n"/>
      <c r="SVD1" s="87" t="n"/>
      <c r="SVE1" s="87" t="n"/>
      <c r="SVF1" s="87" t="n"/>
      <c r="SVG1" s="87" t="n"/>
      <c r="SVH1" s="87" t="n"/>
      <c r="SVI1" s="87" t="n"/>
      <c r="SVJ1" s="87" t="n"/>
      <c r="SVK1" s="87" t="n"/>
      <c r="SVL1" s="87" t="n"/>
      <c r="SVM1" s="87" t="n"/>
      <c r="SVN1" s="87" t="n"/>
      <c r="SVO1" s="87" t="n"/>
      <c r="SVP1" s="87" t="n"/>
      <c r="SVQ1" s="87" t="n"/>
      <c r="SVR1" s="87" t="n"/>
      <c r="SVS1" s="87" t="n"/>
      <c r="SVT1" s="87" t="n"/>
      <c r="SVU1" s="87" t="n"/>
      <c r="SVV1" s="87" t="n"/>
      <c r="SVW1" s="87" t="n"/>
      <c r="SVX1" s="87" t="n"/>
      <c r="SVY1" s="87" t="n"/>
      <c r="SVZ1" s="87" t="n"/>
      <c r="SWA1" s="87" t="n"/>
      <c r="SWB1" s="87" t="n"/>
      <c r="SWC1" s="87" t="n"/>
      <c r="SWD1" s="87" t="n"/>
      <c r="SWE1" s="87" t="n"/>
      <c r="SWF1" s="87" t="n"/>
      <c r="SWG1" s="87" t="n"/>
      <c r="SWH1" s="87" t="n"/>
      <c r="SWI1" s="87" t="n"/>
      <c r="SWJ1" s="87" t="n"/>
      <c r="SWK1" s="87" t="n"/>
      <c r="SWL1" s="87" t="n"/>
      <c r="SWM1" s="87" t="n"/>
      <c r="SWN1" s="87" t="n"/>
      <c r="SWO1" s="87" t="n"/>
      <c r="SWP1" s="87" t="n"/>
      <c r="SWQ1" s="87" t="n"/>
      <c r="SWR1" s="87" t="n"/>
      <c r="SWS1" s="87" t="n"/>
      <c r="SWT1" s="87" t="n"/>
      <c r="SWU1" s="87" t="n"/>
      <c r="SWV1" s="87" t="n"/>
      <c r="SWW1" s="87" t="n"/>
      <c r="SWX1" s="87" t="n"/>
      <c r="SWY1" s="87" t="n"/>
      <c r="SWZ1" s="87" t="n"/>
      <c r="SXA1" s="87" t="n"/>
      <c r="SXB1" s="87" t="n"/>
      <c r="SXC1" s="87" t="n"/>
      <c r="SXD1" s="87" t="n"/>
      <c r="SXE1" s="87" t="n"/>
      <c r="SXF1" s="87" t="n"/>
      <c r="SXG1" s="87" t="n"/>
      <c r="SXH1" s="87" t="n"/>
      <c r="SXI1" s="87" t="n"/>
      <c r="SXJ1" s="87" t="n"/>
      <c r="SXK1" s="87" t="n"/>
      <c r="SXL1" s="87" t="n"/>
      <c r="SXM1" s="87" t="n"/>
      <c r="SXN1" s="87" t="n"/>
      <c r="SXO1" s="87" t="n"/>
      <c r="SXP1" s="87" t="n"/>
      <c r="SXQ1" s="87" t="n"/>
      <c r="SXR1" s="87" t="n"/>
      <c r="SXS1" s="87" t="n"/>
      <c r="SXT1" s="87" t="n"/>
      <c r="SXU1" s="87" t="n"/>
      <c r="SXV1" s="87" t="n"/>
      <c r="SXW1" s="87" t="n"/>
      <c r="SXX1" s="87" t="n"/>
      <c r="SXY1" s="87" t="n"/>
      <c r="SXZ1" s="87" t="n"/>
      <c r="SYA1" s="87" t="n"/>
      <c r="SYB1" s="87" t="n"/>
      <c r="SYC1" s="87" t="n"/>
      <c r="SYD1" s="87" t="n"/>
      <c r="SYE1" s="87" t="n"/>
      <c r="SYF1" s="87" t="n"/>
      <c r="SYG1" s="87" t="n"/>
      <c r="SYH1" s="87" t="n"/>
      <c r="SYI1" s="87" t="n"/>
      <c r="SYJ1" s="87" t="n"/>
      <c r="SYK1" s="87" t="n"/>
      <c r="SYL1" s="87" t="n"/>
      <c r="SYM1" s="87" t="n"/>
      <c r="SYN1" s="87" t="n"/>
      <c r="SYO1" s="87" t="n"/>
      <c r="SYP1" s="87" t="n"/>
      <c r="SYQ1" s="87" t="n"/>
      <c r="SYR1" s="87" t="n"/>
      <c r="SYS1" s="87" t="n"/>
      <c r="SYT1" s="87" t="n"/>
      <c r="SYU1" s="87" t="n"/>
      <c r="SYV1" s="87" t="n"/>
      <c r="SYW1" s="87" t="n"/>
      <c r="SYX1" s="87" t="n"/>
      <c r="SYY1" s="87" t="n"/>
      <c r="SYZ1" s="87" t="n"/>
      <c r="SZA1" s="87" t="n"/>
      <c r="SZB1" s="87" t="n"/>
      <c r="SZC1" s="87" t="n"/>
      <c r="SZD1" s="87" t="n"/>
      <c r="SZE1" s="87" t="n"/>
      <c r="SZF1" s="87" t="n"/>
      <c r="SZG1" s="87" t="n"/>
      <c r="SZH1" s="87" t="n"/>
      <c r="SZI1" s="87" t="n"/>
      <c r="SZJ1" s="87" t="n"/>
      <c r="SZK1" s="87" t="n"/>
      <c r="SZL1" s="87" t="n"/>
      <c r="SZM1" s="87" t="n"/>
      <c r="SZN1" s="87" t="n"/>
      <c r="SZO1" s="87" t="n"/>
      <c r="SZP1" s="87" t="n"/>
      <c r="SZQ1" s="87" t="n"/>
      <c r="SZR1" s="87" t="n"/>
      <c r="SZS1" s="87" t="n"/>
      <c r="SZT1" s="87" t="n"/>
      <c r="SZU1" s="87" t="n"/>
      <c r="SZV1" s="87" t="n"/>
      <c r="SZW1" s="87" t="n"/>
      <c r="SZX1" s="87" t="n"/>
      <c r="SZY1" s="87" t="n"/>
      <c r="SZZ1" s="87" t="n"/>
      <c r="TAA1" s="87" t="n"/>
      <c r="TAB1" s="87" t="n"/>
      <c r="TAC1" s="87" t="n"/>
      <c r="TAD1" s="87" t="n"/>
      <c r="TAE1" s="87" t="n"/>
      <c r="TAF1" s="87" t="n"/>
      <c r="TAG1" s="87" t="n"/>
      <c r="TAH1" s="87" t="n"/>
      <c r="TAI1" s="87" t="n"/>
      <c r="TAJ1" s="87" t="n"/>
      <c r="TAK1" s="87" t="n"/>
      <c r="TAL1" s="87" t="n"/>
      <c r="TAM1" s="87" t="n"/>
      <c r="TAN1" s="87" t="n"/>
      <c r="TAO1" s="87" t="n"/>
      <c r="TAP1" s="87" t="n"/>
      <c r="TAQ1" s="87" t="n"/>
      <c r="TAR1" s="87" t="n"/>
      <c r="TAS1" s="87" t="n"/>
      <c r="TAT1" s="87" t="n"/>
      <c r="TAU1" s="87" t="n"/>
      <c r="TAV1" s="87" t="n"/>
      <c r="TAW1" s="87" t="n"/>
      <c r="TAX1" s="87" t="n"/>
      <c r="TAY1" s="87" t="n"/>
      <c r="TAZ1" s="87" t="n"/>
      <c r="TBA1" s="87" t="n"/>
      <c r="TBB1" s="87" t="n"/>
      <c r="TBC1" s="87" t="n"/>
      <c r="TBD1" s="87" t="n"/>
      <c r="TBE1" s="87" t="n"/>
      <c r="TBF1" s="87" t="n"/>
      <c r="TBG1" s="87" t="n"/>
      <c r="TBH1" s="87" t="n"/>
      <c r="TBI1" s="87" t="n"/>
      <c r="TBJ1" s="87" t="n"/>
      <c r="TBK1" s="87" t="n"/>
      <c r="TBL1" s="87" t="n"/>
      <c r="TBM1" s="87" t="n"/>
      <c r="TBN1" s="87" t="n"/>
      <c r="TBO1" s="87" t="n"/>
      <c r="TBP1" s="87" t="n"/>
      <c r="TBQ1" s="87" t="n"/>
      <c r="TBR1" s="87" t="n"/>
      <c r="TBS1" s="87" t="n"/>
      <c r="TBT1" s="87" t="n"/>
      <c r="TBU1" s="87" t="n"/>
      <c r="TBV1" s="87" t="n"/>
      <c r="TBW1" s="87" t="n"/>
      <c r="TBX1" s="87" t="n"/>
      <c r="TBY1" s="87" t="n"/>
      <c r="TBZ1" s="87" t="n"/>
      <c r="TCA1" s="87" t="n"/>
      <c r="TCB1" s="87" t="n"/>
      <c r="TCC1" s="87" t="n"/>
      <c r="TCD1" s="87" t="n"/>
      <c r="TCE1" s="87" t="n"/>
      <c r="TCF1" s="87" t="n"/>
      <c r="TCG1" s="87" t="n"/>
      <c r="TCH1" s="87" t="n"/>
      <c r="TCI1" s="87" t="n"/>
      <c r="TCJ1" s="87" t="n"/>
      <c r="TCK1" s="87" t="n"/>
      <c r="TCL1" s="87" t="n"/>
      <c r="TCM1" s="87" t="n"/>
      <c r="TCN1" s="87" t="n"/>
      <c r="TCO1" s="87" t="n"/>
      <c r="TCP1" s="87" t="n"/>
      <c r="TCQ1" s="87" t="n"/>
      <c r="TCR1" s="87" t="n"/>
      <c r="TCS1" s="87" t="n"/>
      <c r="TCT1" s="87" t="n"/>
      <c r="TCU1" s="87" t="n"/>
      <c r="TCV1" s="87" t="n"/>
      <c r="TCW1" s="87" t="n"/>
      <c r="TCX1" s="87" t="n"/>
      <c r="TCY1" s="87" t="n"/>
      <c r="TCZ1" s="87" t="n"/>
      <c r="TDA1" s="87" t="n"/>
      <c r="TDB1" s="87" t="n"/>
      <c r="TDC1" s="87" t="n"/>
      <c r="TDD1" s="87" t="n"/>
      <c r="TDE1" s="87" t="n"/>
      <c r="TDF1" s="87" t="n"/>
      <c r="TDG1" s="87" t="n"/>
      <c r="TDH1" s="87" t="n"/>
      <c r="TDI1" s="87" t="n"/>
      <c r="TDJ1" s="87" t="n"/>
      <c r="TDK1" s="87" t="n"/>
      <c r="TDL1" s="87" t="n"/>
      <c r="TDM1" s="87" t="n"/>
      <c r="TDN1" s="87" t="n"/>
      <c r="TDO1" s="87" t="n"/>
      <c r="TDP1" s="87" t="n"/>
      <c r="TDQ1" s="87" t="n"/>
      <c r="TDR1" s="87" t="n"/>
      <c r="TDS1" s="87" t="n"/>
      <c r="TDT1" s="87" t="n"/>
      <c r="TDU1" s="87" t="n"/>
      <c r="TDV1" s="87" t="n"/>
      <c r="TDW1" s="87" t="n"/>
      <c r="TDX1" s="87" t="n"/>
      <c r="TDY1" s="87" t="n"/>
      <c r="TDZ1" s="87" t="n"/>
      <c r="TEA1" s="87" t="n"/>
      <c r="TEB1" s="87" t="n"/>
      <c r="TEC1" s="87" t="n"/>
      <c r="TED1" s="87" t="n"/>
      <c r="TEE1" s="87" t="n"/>
      <c r="TEF1" s="87" t="n"/>
      <c r="TEG1" s="87" t="n"/>
      <c r="TEH1" s="87" t="n"/>
      <c r="TEI1" s="87" t="n"/>
      <c r="TEJ1" s="87" t="n"/>
      <c r="TEK1" s="87" t="n"/>
      <c r="TEL1" s="87" t="n"/>
      <c r="TEM1" s="87" t="n"/>
      <c r="TEN1" s="87" t="n"/>
      <c r="TEO1" s="87" t="n"/>
      <c r="TEP1" s="87" t="n"/>
      <c r="TEQ1" s="87" t="n"/>
      <c r="TER1" s="87" t="n"/>
      <c r="TES1" s="87" t="n"/>
      <c r="TET1" s="87" t="n"/>
      <c r="TEU1" s="87" t="n"/>
      <c r="TEV1" s="87" t="n"/>
      <c r="TEW1" s="87" t="n"/>
      <c r="TEX1" s="87" t="n"/>
      <c r="TEY1" s="87" t="n"/>
      <c r="TEZ1" s="87" t="n"/>
      <c r="TFA1" s="87" t="n"/>
      <c r="TFB1" s="87" t="n"/>
      <c r="TFC1" s="87" t="n"/>
      <c r="TFD1" s="87" t="n"/>
      <c r="TFE1" s="87" t="n"/>
      <c r="TFF1" s="87" t="n"/>
      <c r="TFG1" s="87" t="n"/>
      <c r="TFH1" s="87" t="n"/>
      <c r="TFI1" s="87" t="n"/>
      <c r="TFJ1" s="87" t="n"/>
      <c r="TFK1" s="87" t="n"/>
      <c r="TFL1" s="87" t="n"/>
      <c r="TFM1" s="87" t="n"/>
      <c r="TFN1" s="87" t="n"/>
      <c r="TFO1" s="87" t="n"/>
      <c r="TFP1" s="87" t="n"/>
      <c r="TFQ1" s="87" t="n"/>
      <c r="TFR1" s="87" t="n"/>
      <c r="TFS1" s="87" t="n"/>
      <c r="TFT1" s="87" t="n"/>
      <c r="TFU1" s="87" t="n"/>
      <c r="TFV1" s="87" t="n"/>
      <c r="TFW1" s="87" t="n"/>
      <c r="TFX1" s="87" t="n"/>
      <c r="TFY1" s="87" t="n"/>
      <c r="TFZ1" s="87" t="n"/>
      <c r="TGA1" s="87" t="n"/>
      <c r="TGB1" s="87" t="n"/>
      <c r="TGC1" s="87" t="n"/>
      <c r="TGD1" s="87" t="n"/>
      <c r="TGE1" s="87" t="n"/>
      <c r="TGF1" s="87" t="n"/>
      <c r="TGG1" s="87" t="n"/>
      <c r="TGH1" s="87" t="n"/>
      <c r="TGI1" s="87" t="n"/>
      <c r="TGJ1" s="87" t="n"/>
      <c r="TGK1" s="87" t="n"/>
      <c r="TGL1" s="87" t="n"/>
      <c r="TGM1" s="87" t="n"/>
      <c r="TGN1" s="87" t="n"/>
      <c r="TGO1" s="87" t="n"/>
      <c r="TGP1" s="87" t="n"/>
      <c r="TGQ1" s="87" t="n"/>
      <c r="TGR1" s="87" t="n"/>
      <c r="TGS1" s="87" t="n"/>
      <c r="TGT1" s="87" t="n"/>
      <c r="TGU1" s="87" t="n"/>
      <c r="TGV1" s="87" t="n"/>
      <c r="TGW1" s="87" t="n"/>
      <c r="TGX1" s="87" t="n"/>
      <c r="TGY1" s="87" t="n"/>
      <c r="TGZ1" s="87" t="n"/>
      <c r="THA1" s="87" t="n"/>
      <c r="THB1" s="87" t="n"/>
      <c r="THC1" s="87" t="n"/>
      <c r="THD1" s="87" t="n"/>
      <c r="THE1" s="87" t="n"/>
      <c r="THF1" s="87" t="n"/>
      <c r="THG1" s="87" t="n"/>
      <c r="THH1" s="87" t="n"/>
      <c r="THI1" s="87" t="n"/>
      <c r="THJ1" s="87" t="n"/>
      <c r="THK1" s="87" t="n"/>
      <c r="THL1" s="87" t="n"/>
      <c r="THM1" s="87" t="n"/>
      <c r="THN1" s="87" t="n"/>
      <c r="THO1" s="87" t="n"/>
      <c r="THP1" s="87" t="n"/>
      <c r="THQ1" s="87" t="n"/>
      <c r="THR1" s="87" t="n"/>
      <c r="THS1" s="87" t="n"/>
      <c r="THT1" s="87" t="n"/>
      <c r="THU1" s="87" t="n"/>
      <c r="THV1" s="87" t="n"/>
      <c r="THW1" s="87" t="n"/>
      <c r="THX1" s="87" t="n"/>
      <c r="THY1" s="87" t="n"/>
      <c r="THZ1" s="87" t="n"/>
      <c r="TIA1" s="87" t="n"/>
      <c r="TIB1" s="87" t="n"/>
      <c r="TIC1" s="87" t="n"/>
      <c r="TID1" s="87" t="n"/>
      <c r="TIE1" s="87" t="n"/>
      <c r="TIF1" s="87" t="n"/>
      <c r="TIG1" s="87" t="n"/>
      <c r="TIH1" s="87" t="n"/>
      <c r="TII1" s="87" t="n"/>
      <c r="TIJ1" s="87" t="n"/>
      <c r="TIK1" s="87" t="n"/>
      <c r="TIL1" s="87" t="n"/>
      <c r="TIM1" s="87" t="n"/>
      <c r="TIN1" s="87" t="n"/>
      <c r="TIO1" s="87" t="n"/>
      <c r="TIP1" s="87" t="n"/>
      <c r="TIQ1" s="87" t="n"/>
      <c r="TIR1" s="87" t="n"/>
      <c r="TIS1" s="87" t="n"/>
      <c r="TIT1" s="87" t="n"/>
      <c r="TIU1" s="87" t="n"/>
      <c r="TIV1" s="87" t="n"/>
      <c r="TIW1" s="87" t="n"/>
      <c r="TIX1" s="87" t="n"/>
      <c r="TIY1" s="87" t="n"/>
      <c r="TIZ1" s="87" t="n"/>
      <c r="TJA1" s="87" t="n"/>
      <c r="TJB1" s="87" t="n"/>
      <c r="TJC1" s="87" t="n"/>
      <c r="TJD1" s="87" t="n"/>
      <c r="TJE1" s="87" t="n"/>
      <c r="TJF1" s="87" t="n"/>
      <c r="TJG1" s="87" t="n"/>
      <c r="TJH1" s="87" t="n"/>
      <c r="TJI1" s="87" t="n"/>
      <c r="TJJ1" s="87" t="n"/>
      <c r="TJK1" s="87" t="n"/>
      <c r="TJL1" s="87" t="n"/>
      <c r="TJM1" s="87" t="n"/>
      <c r="TJN1" s="87" t="n"/>
      <c r="TJO1" s="87" t="n"/>
      <c r="TJP1" s="87" t="n"/>
      <c r="TJQ1" s="87" t="n"/>
      <c r="TJR1" s="87" t="n"/>
      <c r="TJS1" s="87" t="n"/>
      <c r="TJT1" s="87" t="n"/>
      <c r="TJU1" s="87" t="n"/>
      <c r="TJV1" s="87" t="n"/>
      <c r="TJW1" s="87" t="n"/>
      <c r="TJX1" s="87" t="n"/>
      <c r="TJY1" s="87" t="n"/>
      <c r="TJZ1" s="87" t="n"/>
      <c r="TKA1" s="87" t="n"/>
      <c r="TKB1" s="87" t="n"/>
      <c r="TKC1" s="87" t="n"/>
      <c r="TKD1" s="87" t="n"/>
      <c r="TKE1" s="87" t="n"/>
      <c r="TKF1" s="87" t="n"/>
      <c r="TKG1" s="87" t="n"/>
      <c r="TKH1" s="87" t="n"/>
      <c r="TKI1" s="87" t="n"/>
      <c r="TKJ1" s="87" t="n"/>
      <c r="TKK1" s="87" t="n"/>
      <c r="TKL1" s="87" t="n"/>
      <c r="TKM1" s="87" t="n"/>
      <c r="TKN1" s="87" t="n"/>
      <c r="TKO1" s="87" t="n"/>
      <c r="TKP1" s="87" t="n"/>
      <c r="TKQ1" s="87" t="n"/>
      <c r="TKR1" s="87" t="n"/>
      <c r="TKS1" s="87" t="n"/>
      <c r="TKT1" s="87" t="n"/>
      <c r="TKU1" s="87" t="n"/>
      <c r="TKV1" s="87" t="n"/>
      <c r="TKW1" s="87" t="n"/>
      <c r="TKX1" s="87" t="n"/>
      <c r="TKY1" s="87" t="n"/>
      <c r="TKZ1" s="87" t="n"/>
      <c r="TLA1" s="87" t="n"/>
      <c r="TLB1" s="87" t="n"/>
      <c r="TLC1" s="87" t="n"/>
      <c r="TLD1" s="87" t="n"/>
      <c r="TLE1" s="87" t="n"/>
      <c r="TLF1" s="87" t="n"/>
      <c r="TLG1" s="87" t="n"/>
      <c r="TLH1" s="87" t="n"/>
      <c r="TLI1" s="87" t="n"/>
      <c r="TLJ1" s="87" t="n"/>
      <c r="TLK1" s="87" t="n"/>
      <c r="TLL1" s="87" t="n"/>
      <c r="TLM1" s="87" t="n"/>
      <c r="TLN1" s="87" t="n"/>
      <c r="TLO1" s="87" t="n"/>
      <c r="TLP1" s="87" t="n"/>
      <c r="TLQ1" s="87" t="n"/>
      <c r="TLR1" s="87" t="n"/>
      <c r="TLS1" s="87" t="n"/>
      <c r="TLT1" s="87" t="n"/>
      <c r="TLU1" s="87" t="n"/>
      <c r="TLV1" s="87" t="n"/>
      <c r="TLW1" s="87" t="n"/>
      <c r="TLX1" s="87" t="n"/>
      <c r="TLY1" s="87" t="n"/>
      <c r="TLZ1" s="87" t="n"/>
      <c r="TMA1" s="87" t="n"/>
      <c r="TMB1" s="87" t="n"/>
      <c r="TMC1" s="87" t="n"/>
      <c r="TMD1" s="87" t="n"/>
      <c r="TME1" s="87" t="n"/>
      <c r="TMF1" s="87" t="n"/>
      <c r="TMG1" s="87" t="n"/>
      <c r="TMH1" s="87" t="n"/>
      <c r="TMI1" s="87" t="n"/>
      <c r="TMJ1" s="87" t="n"/>
      <c r="TMK1" s="87" t="n"/>
      <c r="TML1" s="87" t="n"/>
      <c r="TMM1" s="87" t="n"/>
      <c r="TMN1" s="87" t="n"/>
      <c r="TMO1" s="87" t="n"/>
      <c r="TMP1" s="87" t="n"/>
      <c r="TMQ1" s="87" t="n"/>
      <c r="TMR1" s="87" t="n"/>
      <c r="TMS1" s="87" t="n"/>
      <c r="TMT1" s="87" t="n"/>
      <c r="TMU1" s="87" t="n"/>
      <c r="TMV1" s="87" t="n"/>
      <c r="TMW1" s="87" t="n"/>
      <c r="TMX1" s="87" t="n"/>
      <c r="TMY1" s="87" t="n"/>
      <c r="TMZ1" s="87" t="n"/>
      <c r="TNA1" s="87" t="n"/>
      <c r="TNB1" s="87" t="n"/>
      <c r="TNC1" s="87" t="n"/>
      <c r="TND1" s="87" t="n"/>
      <c r="TNE1" s="87" t="n"/>
      <c r="TNF1" s="87" t="n"/>
      <c r="TNG1" s="87" t="n"/>
      <c r="TNH1" s="87" t="n"/>
      <c r="TNI1" s="87" t="n"/>
      <c r="TNJ1" s="87" t="n"/>
      <c r="TNK1" s="87" t="n"/>
      <c r="TNL1" s="87" t="n"/>
      <c r="TNM1" s="87" t="n"/>
      <c r="TNN1" s="87" t="n"/>
      <c r="TNO1" s="87" t="n"/>
      <c r="TNP1" s="87" t="n"/>
      <c r="TNQ1" s="87" t="n"/>
      <c r="TNR1" s="87" t="n"/>
      <c r="TNS1" s="87" t="n"/>
      <c r="TNT1" s="87" t="n"/>
      <c r="TNU1" s="87" t="n"/>
      <c r="TNV1" s="87" t="n"/>
      <c r="TNW1" s="87" t="n"/>
      <c r="TNX1" s="87" t="n"/>
      <c r="TNY1" s="87" t="n"/>
      <c r="TNZ1" s="87" t="n"/>
      <c r="TOA1" s="87" t="n"/>
      <c r="TOB1" s="87" t="n"/>
      <c r="TOC1" s="87" t="n"/>
      <c r="TOD1" s="87" t="n"/>
      <c r="TOE1" s="87" t="n"/>
      <c r="TOF1" s="87" t="n"/>
      <c r="TOG1" s="87" t="n"/>
      <c r="TOH1" s="87" t="n"/>
      <c r="TOI1" s="87" t="n"/>
      <c r="TOJ1" s="87" t="n"/>
      <c r="TOK1" s="87" t="n"/>
      <c r="TOL1" s="87" t="n"/>
      <c r="TOM1" s="87" t="n"/>
      <c r="TON1" s="87" t="n"/>
      <c r="TOO1" s="87" t="n"/>
      <c r="TOP1" s="87" t="n"/>
      <c r="TOQ1" s="87" t="n"/>
      <c r="TOR1" s="87" t="n"/>
      <c r="TOS1" s="87" t="n"/>
      <c r="TOT1" s="87" t="n"/>
      <c r="TOU1" s="87" t="n"/>
      <c r="TOV1" s="87" t="n"/>
      <c r="TOW1" s="87" t="n"/>
      <c r="TOX1" s="87" t="n"/>
      <c r="TOY1" s="87" t="n"/>
      <c r="TOZ1" s="87" t="n"/>
      <c r="TPA1" s="87" t="n"/>
      <c r="TPB1" s="87" t="n"/>
      <c r="TPC1" s="87" t="n"/>
      <c r="TPD1" s="87" t="n"/>
      <c r="TPE1" s="87" t="n"/>
      <c r="TPF1" s="87" t="n"/>
      <c r="TPG1" s="87" t="n"/>
      <c r="TPH1" s="87" t="n"/>
      <c r="TPI1" s="87" t="n"/>
      <c r="TPJ1" s="87" t="n"/>
      <c r="TPK1" s="87" t="n"/>
      <c r="TPL1" s="87" t="n"/>
      <c r="TPM1" s="87" t="n"/>
      <c r="TPN1" s="87" t="n"/>
      <c r="TPO1" s="87" t="n"/>
      <c r="TPP1" s="87" t="n"/>
      <c r="TPQ1" s="87" t="n"/>
      <c r="TPR1" s="87" t="n"/>
      <c r="TPS1" s="87" t="n"/>
      <c r="TPT1" s="87" t="n"/>
      <c r="TPU1" s="87" t="n"/>
      <c r="TPV1" s="87" t="n"/>
      <c r="TPW1" s="87" t="n"/>
      <c r="TPX1" s="87" t="n"/>
      <c r="TPY1" s="87" t="n"/>
      <c r="TPZ1" s="87" t="n"/>
      <c r="TQA1" s="87" t="n"/>
      <c r="TQB1" s="87" t="n"/>
      <c r="TQC1" s="87" t="n"/>
      <c r="TQD1" s="87" t="n"/>
      <c r="TQE1" s="87" t="n"/>
      <c r="TQF1" s="87" t="n"/>
      <c r="TQG1" s="87" t="n"/>
      <c r="TQH1" s="87" t="n"/>
      <c r="TQI1" s="87" t="n"/>
      <c r="TQJ1" s="87" t="n"/>
      <c r="TQK1" s="87" t="n"/>
      <c r="TQL1" s="87" t="n"/>
      <c r="TQM1" s="87" t="n"/>
      <c r="TQN1" s="87" t="n"/>
      <c r="TQO1" s="87" t="n"/>
      <c r="TQP1" s="87" t="n"/>
      <c r="TQQ1" s="87" t="n"/>
      <c r="TQR1" s="87" t="n"/>
      <c r="TQS1" s="87" t="n"/>
      <c r="TQT1" s="87" t="n"/>
      <c r="TQU1" s="87" t="n"/>
      <c r="TQV1" s="87" t="n"/>
      <c r="TQW1" s="87" t="n"/>
      <c r="TQX1" s="87" t="n"/>
      <c r="TQY1" s="87" t="n"/>
      <c r="TQZ1" s="87" t="n"/>
      <c r="TRA1" s="87" t="n"/>
      <c r="TRB1" s="87" t="n"/>
      <c r="TRC1" s="87" t="n"/>
      <c r="TRD1" s="87" t="n"/>
      <c r="TRE1" s="87" t="n"/>
      <c r="TRF1" s="87" t="n"/>
      <c r="TRG1" s="87" t="n"/>
      <c r="TRH1" s="87" t="n"/>
      <c r="TRI1" s="87" t="n"/>
      <c r="TRJ1" s="87" t="n"/>
      <c r="TRK1" s="87" t="n"/>
      <c r="TRL1" s="87" t="n"/>
      <c r="TRM1" s="87" t="n"/>
      <c r="TRN1" s="87" t="n"/>
      <c r="TRO1" s="87" t="n"/>
      <c r="TRP1" s="87" t="n"/>
      <c r="TRQ1" s="87" t="n"/>
      <c r="TRR1" s="87" t="n"/>
      <c r="TRS1" s="87" t="n"/>
      <c r="TRT1" s="87" t="n"/>
      <c r="TRU1" s="87" t="n"/>
      <c r="TRV1" s="87" t="n"/>
      <c r="TRW1" s="87" t="n"/>
      <c r="TRX1" s="87" t="n"/>
      <c r="TRY1" s="87" t="n"/>
      <c r="TRZ1" s="87" t="n"/>
      <c r="TSA1" s="87" t="n"/>
      <c r="TSB1" s="87" t="n"/>
      <c r="TSC1" s="87" t="n"/>
      <c r="TSD1" s="87" t="n"/>
      <c r="TSE1" s="87" t="n"/>
      <c r="TSF1" s="87" t="n"/>
      <c r="TSG1" s="87" t="n"/>
      <c r="TSH1" s="87" t="n"/>
      <c r="TSI1" s="87" t="n"/>
      <c r="TSJ1" s="87" t="n"/>
      <c r="TSK1" s="87" t="n"/>
      <c r="TSL1" s="87" t="n"/>
      <c r="TSM1" s="87" t="n"/>
      <c r="TSN1" s="87" t="n"/>
      <c r="TSO1" s="87" t="n"/>
      <c r="TSP1" s="87" t="n"/>
      <c r="TSQ1" s="87" t="n"/>
      <c r="TSR1" s="87" t="n"/>
      <c r="TSS1" s="87" t="n"/>
      <c r="TST1" s="87" t="n"/>
      <c r="TSU1" s="87" t="n"/>
      <c r="TSV1" s="87" t="n"/>
      <c r="TSW1" s="87" t="n"/>
      <c r="TSX1" s="87" t="n"/>
      <c r="TSY1" s="87" t="n"/>
      <c r="TSZ1" s="87" t="n"/>
      <c r="TTA1" s="87" t="n"/>
      <c r="TTB1" s="87" t="n"/>
      <c r="TTC1" s="87" t="n"/>
      <c r="TTD1" s="87" t="n"/>
      <c r="TTE1" s="87" t="n"/>
      <c r="TTF1" s="87" t="n"/>
      <c r="TTG1" s="87" t="n"/>
      <c r="TTH1" s="87" t="n"/>
      <c r="TTI1" s="87" t="n"/>
      <c r="TTJ1" s="87" t="n"/>
      <c r="TTK1" s="87" t="n"/>
      <c r="TTL1" s="87" t="n"/>
      <c r="TTM1" s="87" t="n"/>
      <c r="TTN1" s="87" t="n"/>
      <c r="TTO1" s="87" t="n"/>
      <c r="TTP1" s="87" t="n"/>
      <c r="TTQ1" s="87" t="n"/>
      <c r="TTR1" s="87" t="n"/>
      <c r="TTS1" s="87" t="n"/>
      <c r="TTT1" s="87" t="n"/>
      <c r="TTU1" s="87" t="n"/>
      <c r="TTV1" s="87" t="n"/>
      <c r="TTW1" s="87" t="n"/>
      <c r="TTX1" s="87" t="n"/>
      <c r="TTY1" s="87" t="n"/>
      <c r="TTZ1" s="87" t="n"/>
      <c r="TUA1" s="87" t="n"/>
      <c r="TUB1" s="87" t="n"/>
      <c r="TUC1" s="87" t="n"/>
      <c r="TUD1" s="87" t="n"/>
      <c r="TUE1" s="87" t="n"/>
      <c r="TUF1" s="87" t="n"/>
      <c r="TUG1" s="87" t="n"/>
      <c r="TUH1" s="87" t="n"/>
      <c r="TUI1" s="87" t="n"/>
      <c r="TUJ1" s="87" t="n"/>
      <c r="TUK1" s="87" t="n"/>
      <c r="TUL1" s="87" t="n"/>
      <c r="TUM1" s="87" t="n"/>
      <c r="TUN1" s="87" t="n"/>
      <c r="TUO1" s="87" t="n"/>
      <c r="TUP1" s="87" t="n"/>
      <c r="TUQ1" s="87" t="n"/>
      <c r="TUR1" s="87" t="n"/>
      <c r="TUS1" s="87" t="n"/>
      <c r="TUT1" s="87" t="n"/>
      <c r="TUU1" s="87" t="n"/>
      <c r="TUV1" s="87" t="n"/>
      <c r="TUW1" s="87" t="n"/>
      <c r="TUX1" s="87" t="n"/>
      <c r="TUY1" s="87" t="n"/>
      <c r="TUZ1" s="87" t="n"/>
      <c r="TVA1" s="87" t="n"/>
      <c r="TVB1" s="87" t="n"/>
      <c r="TVC1" s="87" t="n"/>
      <c r="TVD1" s="87" t="n"/>
      <c r="TVE1" s="87" t="n"/>
      <c r="TVF1" s="87" t="n"/>
      <c r="TVG1" s="87" t="n"/>
      <c r="TVH1" s="87" t="n"/>
      <c r="TVI1" s="87" t="n"/>
      <c r="TVJ1" s="87" t="n"/>
      <c r="TVK1" s="87" t="n"/>
      <c r="TVL1" s="87" t="n"/>
      <c r="TVM1" s="87" t="n"/>
      <c r="TVN1" s="87" t="n"/>
      <c r="TVO1" s="87" t="n"/>
      <c r="TVP1" s="87" t="n"/>
      <c r="TVQ1" s="87" t="n"/>
      <c r="TVR1" s="87" t="n"/>
      <c r="TVS1" s="87" t="n"/>
      <c r="TVT1" s="87" t="n"/>
      <c r="TVU1" s="87" t="n"/>
      <c r="TVV1" s="87" t="n"/>
      <c r="TVW1" s="87" t="n"/>
      <c r="TVX1" s="87" t="n"/>
      <c r="TVY1" s="87" t="n"/>
      <c r="TVZ1" s="87" t="n"/>
      <c r="TWA1" s="87" t="n"/>
      <c r="TWB1" s="87" t="n"/>
      <c r="TWC1" s="87" t="n"/>
      <c r="TWD1" s="87" t="n"/>
      <c r="TWE1" s="87" t="n"/>
      <c r="TWF1" s="87" t="n"/>
      <c r="TWG1" s="87" t="n"/>
      <c r="TWH1" s="87" t="n"/>
      <c r="TWI1" s="87" t="n"/>
      <c r="TWJ1" s="87" t="n"/>
      <c r="TWK1" s="87" t="n"/>
      <c r="TWL1" s="87" t="n"/>
      <c r="TWM1" s="87" t="n"/>
      <c r="TWN1" s="87" t="n"/>
      <c r="TWO1" s="87" t="n"/>
      <c r="TWP1" s="87" t="n"/>
      <c r="TWQ1" s="87" t="n"/>
      <c r="TWR1" s="87" t="n"/>
      <c r="TWS1" s="87" t="n"/>
      <c r="TWT1" s="87" t="n"/>
      <c r="TWU1" s="87" t="n"/>
      <c r="TWV1" s="87" t="n"/>
      <c r="TWW1" s="87" t="n"/>
      <c r="TWX1" s="87" t="n"/>
      <c r="TWY1" s="87" t="n"/>
      <c r="TWZ1" s="87" t="n"/>
      <c r="TXA1" s="87" t="n"/>
      <c r="TXB1" s="87" t="n"/>
      <c r="TXC1" s="87" t="n"/>
      <c r="TXD1" s="87" t="n"/>
      <c r="TXE1" s="87" t="n"/>
      <c r="TXF1" s="87" t="n"/>
      <c r="TXG1" s="87" t="n"/>
      <c r="TXH1" s="87" t="n"/>
      <c r="TXI1" s="87" t="n"/>
      <c r="TXJ1" s="87" t="n"/>
      <c r="TXK1" s="87" t="n"/>
      <c r="TXL1" s="87" t="n"/>
      <c r="TXM1" s="87" t="n"/>
      <c r="TXN1" s="87" t="n"/>
      <c r="TXO1" s="87" t="n"/>
      <c r="TXP1" s="87" t="n"/>
      <c r="TXQ1" s="87" t="n"/>
      <c r="TXR1" s="87" t="n"/>
      <c r="TXS1" s="87" t="n"/>
      <c r="TXT1" s="87" t="n"/>
      <c r="TXU1" s="87" t="n"/>
      <c r="TXV1" s="87" t="n"/>
      <c r="TXW1" s="87" t="n"/>
      <c r="TXX1" s="87" t="n"/>
      <c r="TXY1" s="87" t="n"/>
      <c r="TXZ1" s="87" t="n"/>
      <c r="TYA1" s="87" t="n"/>
      <c r="TYB1" s="87" t="n"/>
      <c r="TYC1" s="87" t="n"/>
      <c r="TYD1" s="87" t="n"/>
      <c r="TYE1" s="87" t="n"/>
      <c r="TYF1" s="87" t="n"/>
      <c r="TYG1" s="87" t="n"/>
      <c r="TYH1" s="87" t="n"/>
      <c r="TYI1" s="87" t="n"/>
      <c r="TYJ1" s="87" t="n"/>
      <c r="TYK1" s="87" t="n"/>
      <c r="TYL1" s="87" t="n"/>
      <c r="TYM1" s="87" t="n"/>
      <c r="TYN1" s="87" t="n"/>
      <c r="TYO1" s="87" t="n"/>
      <c r="TYP1" s="87" t="n"/>
      <c r="TYQ1" s="87" t="n"/>
      <c r="TYR1" s="87" t="n"/>
      <c r="TYS1" s="87" t="n"/>
      <c r="TYT1" s="87" t="n"/>
      <c r="TYU1" s="87" t="n"/>
      <c r="TYV1" s="87" t="n"/>
      <c r="TYW1" s="87" t="n"/>
      <c r="TYX1" s="87" t="n"/>
      <c r="TYY1" s="87" t="n"/>
      <c r="TYZ1" s="87" t="n"/>
      <c r="TZA1" s="87" t="n"/>
      <c r="TZB1" s="87" t="n"/>
      <c r="TZC1" s="87" t="n"/>
      <c r="TZD1" s="87" t="n"/>
      <c r="TZE1" s="87" t="n"/>
      <c r="TZF1" s="87" t="n"/>
      <c r="TZG1" s="87" t="n"/>
      <c r="TZH1" s="87" t="n"/>
      <c r="TZI1" s="87" t="n"/>
      <c r="TZJ1" s="87" t="n"/>
      <c r="TZK1" s="87" t="n"/>
      <c r="TZL1" s="87" t="n"/>
      <c r="TZM1" s="87" t="n"/>
      <c r="TZN1" s="87" t="n"/>
      <c r="TZO1" s="87" t="n"/>
      <c r="TZP1" s="87" t="n"/>
      <c r="TZQ1" s="87" t="n"/>
      <c r="TZR1" s="87" t="n"/>
      <c r="TZS1" s="87" t="n"/>
      <c r="TZT1" s="87" t="n"/>
      <c r="TZU1" s="87" t="n"/>
      <c r="TZV1" s="87" t="n"/>
      <c r="TZW1" s="87" t="n"/>
      <c r="TZX1" s="87" t="n"/>
      <c r="TZY1" s="87" t="n"/>
      <c r="TZZ1" s="87" t="n"/>
      <c r="UAA1" s="87" t="n"/>
      <c r="UAB1" s="87" t="n"/>
      <c r="UAC1" s="87" t="n"/>
      <c r="UAD1" s="87" t="n"/>
      <c r="UAE1" s="87" t="n"/>
      <c r="UAF1" s="87" t="n"/>
      <c r="UAG1" s="87" t="n"/>
      <c r="UAH1" s="87" t="n"/>
      <c r="UAI1" s="87" t="n"/>
      <c r="UAJ1" s="87" t="n"/>
      <c r="UAK1" s="87" t="n"/>
      <c r="UAL1" s="87" t="n"/>
      <c r="UAM1" s="87" t="n"/>
      <c r="UAN1" s="87" t="n"/>
      <c r="UAO1" s="87" t="n"/>
      <c r="UAP1" s="87" t="n"/>
      <c r="UAQ1" s="87" t="n"/>
      <c r="UAR1" s="87" t="n"/>
      <c r="UAS1" s="87" t="n"/>
      <c r="UAT1" s="87" t="n"/>
      <c r="UAU1" s="87" t="n"/>
      <c r="UAV1" s="87" t="n"/>
      <c r="UAW1" s="87" t="n"/>
      <c r="UAX1" s="87" t="n"/>
      <c r="UAY1" s="87" t="n"/>
      <c r="UAZ1" s="87" t="n"/>
      <c r="UBA1" s="87" t="n"/>
      <c r="UBB1" s="87" t="n"/>
      <c r="UBC1" s="87" t="n"/>
      <c r="UBD1" s="87" t="n"/>
      <c r="UBE1" s="87" t="n"/>
      <c r="UBF1" s="87" t="n"/>
      <c r="UBG1" s="87" t="n"/>
      <c r="UBH1" s="87" t="n"/>
      <c r="UBI1" s="87" t="n"/>
      <c r="UBJ1" s="87" t="n"/>
      <c r="UBK1" s="87" t="n"/>
      <c r="UBL1" s="87" t="n"/>
      <c r="UBM1" s="87" t="n"/>
      <c r="UBN1" s="87" t="n"/>
      <c r="UBO1" s="87" t="n"/>
      <c r="UBP1" s="87" t="n"/>
      <c r="UBQ1" s="87" t="n"/>
      <c r="UBR1" s="87" t="n"/>
      <c r="UBS1" s="87" t="n"/>
      <c r="UBT1" s="87" t="n"/>
      <c r="UBU1" s="87" t="n"/>
      <c r="UBV1" s="87" t="n"/>
      <c r="UBW1" s="87" t="n"/>
      <c r="UBX1" s="87" t="n"/>
      <c r="UBY1" s="87" t="n"/>
      <c r="UBZ1" s="87" t="n"/>
      <c r="UCA1" s="87" t="n"/>
      <c r="UCB1" s="87" t="n"/>
      <c r="UCC1" s="87" t="n"/>
      <c r="UCD1" s="87" t="n"/>
      <c r="UCE1" s="87" t="n"/>
      <c r="UCF1" s="87" t="n"/>
      <c r="UCG1" s="87" t="n"/>
      <c r="UCH1" s="87" t="n"/>
      <c r="UCI1" s="87" t="n"/>
      <c r="UCJ1" s="87" t="n"/>
      <c r="UCK1" s="87" t="n"/>
      <c r="UCL1" s="87" t="n"/>
      <c r="UCM1" s="87" t="n"/>
      <c r="UCN1" s="87" t="n"/>
      <c r="UCO1" s="87" t="n"/>
      <c r="UCP1" s="87" t="n"/>
      <c r="UCQ1" s="87" t="n"/>
      <c r="UCR1" s="87" t="n"/>
      <c r="UCS1" s="87" t="n"/>
      <c r="UCT1" s="87" t="n"/>
      <c r="UCU1" s="87" t="n"/>
      <c r="UCV1" s="87" t="n"/>
      <c r="UCW1" s="87" t="n"/>
      <c r="UCX1" s="87" t="n"/>
      <c r="UCY1" s="87" t="n"/>
      <c r="UCZ1" s="87" t="n"/>
      <c r="UDA1" s="87" t="n"/>
      <c r="UDB1" s="87" t="n"/>
      <c r="UDC1" s="87" t="n"/>
      <c r="UDD1" s="87" t="n"/>
      <c r="UDE1" s="87" t="n"/>
      <c r="UDF1" s="87" t="n"/>
      <c r="UDG1" s="87" t="n"/>
      <c r="UDH1" s="87" t="n"/>
      <c r="UDI1" s="87" t="n"/>
      <c r="UDJ1" s="87" t="n"/>
      <c r="UDK1" s="87" t="n"/>
      <c r="UDL1" s="87" t="n"/>
      <c r="UDM1" s="87" t="n"/>
      <c r="UDN1" s="87" t="n"/>
      <c r="UDO1" s="87" t="n"/>
      <c r="UDP1" s="87" t="n"/>
      <c r="UDQ1" s="87" t="n"/>
      <c r="UDR1" s="87" t="n"/>
      <c r="UDS1" s="87" t="n"/>
      <c r="UDT1" s="87" t="n"/>
      <c r="UDU1" s="87" t="n"/>
      <c r="UDV1" s="87" t="n"/>
      <c r="UDW1" s="87" t="n"/>
      <c r="UDX1" s="87" t="n"/>
      <c r="UDY1" s="87" t="n"/>
      <c r="UDZ1" s="87" t="n"/>
      <c r="UEA1" s="87" t="n"/>
      <c r="UEB1" s="87" t="n"/>
      <c r="UEC1" s="87" t="n"/>
      <c r="UED1" s="87" t="n"/>
      <c r="UEE1" s="87" t="n"/>
      <c r="UEF1" s="87" t="n"/>
      <c r="UEG1" s="87" t="n"/>
      <c r="UEH1" s="87" t="n"/>
      <c r="UEI1" s="87" t="n"/>
      <c r="UEJ1" s="87" t="n"/>
      <c r="UEK1" s="87" t="n"/>
      <c r="UEL1" s="87" t="n"/>
      <c r="UEM1" s="87" t="n"/>
      <c r="UEN1" s="87" t="n"/>
      <c r="UEO1" s="87" t="n"/>
      <c r="UEP1" s="87" t="n"/>
      <c r="UEQ1" s="87" t="n"/>
      <c r="UER1" s="87" t="n"/>
      <c r="UES1" s="87" t="n"/>
      <c r="UET1" s="87" t="n"/>
      <c r="UEU1" s="87" t="n"/>
      <c r="UEV1" s="87" t="n"/>
      <c r="UEW1" s="87" t="n"/>
      <c r="UEX1" s="87" t="n"/>
      <c r="UEY1" s="87" t="n"/>
      <c r="UEZ1" s="87" t="n"/>
      <c r="UFA1" s="87" t="n"/>
      <c r="UFB1" s="87" t="n"/>
      <c r="UFC1" s="87" t="n"/>
      <c r="UFD1" s="87" t="n"/>
      <c r="UFE1" s="87" t="n"/>
      <c r="UFF1" s="87" t="n"/>
      <c r="UFG1" s="87" t="n"/>
      <c r="UFH1" s="87" t="n"/>
      <c r="UFI1" s="87" t="n"/>
      <c r="UFJ1" s="87" t="n"/>
      <c r="UFK1" s="87" t="n"/>
      <c r="UFL1" s="87" t="n"/>
      <c r="UFM1" s="87" t="n"/>
      <c r="UFN1" s="87" t="n"/>
      <c r="UFO1" s="87" t="n"/>
      <c r="UFP1" s="87" t="n"/>
      <c r="UFQ1" s="87" t="n"/>
      <c r="UFR1" s="87" t="n"/>
      <c r="UFS1" s="87" t="n"/>
      <c r="UFT1" s="87" t="n"/>
      <c r="UFU1" s="87" t="n"/>
      <c r="UFV1" s="87" t="n"/>
      <c r="UFW1" s="87" t="n"/>
      <c r="UFX1" s="87" t="n"/>
      <c r="UFY1" s="87" t="n"/>
      <c r="UFZ1" s="87" t="n"/>
      <c r="UGA1" s="87" t="n"/>
      <c r="UGB1" s="87" t="n"/>
      <c r="UGC1" s="87" t="n"/>
      <c r="UGD1" s="87" t="n"/>
      <c r="UGE1" s="87" t="n"/>
      <c r="UGF1" s="87" t="n"/>
      <c r="UGG1" s="87" t="n"/>
      <c r="UGH1" s="87" t="n"/>
      <c r="UGI1" s="87" t="n"/>
      <c r="UGJ1" s="87" t="n"/>
      <c r="UGK1" s="87" t="n"/>
      <c r="UGL1" s="87" t="n"/>
      <c r="UGM1" s="87" t="n"/>
      <c r="UGN1" s="87" t="n"/>
      <c r="UGO1" s="87" t="n"/>
      <c r="UGP1" s="87" t="n"/>
      <c r="UGQ1" s="87" t="n"/>
      <c r="UGR1" s="87" t="n"/>
      <c r="UGS1" s="87" t="n"/>
      <c r="UGT1" s="87" t="n"/>
      <c r="UGU1" s="87" t="n"/>
      <c r="UGV1" s="87" t="n"/>
      <c r="UGW1" s="87" t="n"/>
      <c r="UGX1" s="87" t="n"/>
      <c r="UGY1" s="87" t="n"/>
      <c r="UGZ1" s="87" t="n"/>
      <c r="UHA1" s="87" t="n"/>
      <c r="UHB1" s="87" t="n"/>
      <c r="UHC1" s="87" t="n"/>
      <c r="UHD1" s="87" t="n"/>
      <c r="UHE1" s="87" t="n"/>
      <c r="UHF1" s="87" t="n"/>
      <c r="UHG1" s="87" t="n"/>
      <c r="UHH1" s="87" t="n"/>
      <c r="UHI1" s="87" t="n"/>
      <c r="UHJ1" s="87" t="n"/>
      <c r="UHK1" s="87" t="n"/>
      <c r="UHL1" s="87" t="n"/>
      <c r="UHM1" s="87" t="n"/>
      <c r="UHN1" s="87" t="n"/>
      <c r="UHO1" s="87" t="n"/>
      <c r="UHP1" s="87" t="n"/>
      <c r="UHQ1" s="87" t="n"/>
      <c r="UHR1" s="87" t="n"/>
      <c r="UHS1" s="87" t="n"/>
      <c r="UHT1" s="87" t="n"/>
      <c r="UHU1" s="87" t="n"/>
      <c r="UHV1" s="87" t="n"/>
      <c r="UHW1" s="87" t="n"/>
      <c r="UHX1" s="87" t="n"/>
      <c r="UHY1" s="87" t="n"/>
      <c r="UHZ1" s="87" t="n"/>
      <c r="UIA1" s="87" t="n"/>
      <c r="UIB1" s="87" t="n"/>
      <c r="UIC1" s="87" t="n"/>
      <c r="UID1" s="87" t="n"/>
      <c r="UIE1" s="87" t="n"/>
      <c r="UIF1" s="87" t="n"/>
      <c r="UIG1" s="87" t="n"/>
      <c r="UIH1" s="87" t="n"/>
      <c r="UII1" s="87" t="n"/>
      <c r="UIJ1" s="87" t="n"/>
      <c r="UIK1" s="87" t="n"/>
      <c r="UIL1" s="87" t="n"/>
      <c r="UIM1" s="87" t="n"/>
      <c r="UIN1" s="87" t="n"/>
      <c r="UIO1" s="87" t="n"/>
      <c r="UIP1" s="87" t="n"/>
      <c r="UIQ1" s="87" t="n"/>
      <c r="UIR1" s="87" t="n"/>
      <c r="UIS1" s="87" t="n"/>
      <c r="UIT1" s="87" t="n"/>
      <c r="UIU1" s="87" t="n"/>
      <c r="UIV1" s="87" t="n"/>
      <c r="UIW1" s="87" t="n"/>
      <c r="UIX1" s="87" t="n"/>
      <c r="UIY1" s="87" t="n"/>
      <c r="UIZ1" s="87" t="n"/>
      <c r="UJA1" s="87" t="n"/>
      <c r="UJB1" s="87" t="n"/>
      <c r="UJC1" s="87" t="n"/>
      <c r="UJD1" s="87" t="n"/>
      <c r="UJE1" s="87" t="n"/>
      <c r="UJF1" s="87" t="n"/>
      <c r="UJG1" s="87" t="n"/>
      <c r="UJH1" s="87" t="n"/>
      <c r="UJI1" s="87" t="n"/>
      <c r="UJJ1" s="87" t="n"/>
      <c r="UJK1" s="87" t="n"/>
      <c r="UJL1" s="87" t="n"/>
      <c r="UJM1" s="87" t="n"/>
      <c r="UJN1" s="87" t="n"/>
      <c r="UJO1" s="87" t="n"/>
      <c r="UJP1" s="87" t="n"/>
      <c r="UJQ1" s="87" t="n"/>
      <c r="UJR1" s="87" t="n"/>
      <c r="UJS1" s="87" t="n"/>
      <c r="UJT1" s="87" t="n"/>
      <c r="UJU1" s="87" t="n"/>
      <c r="UJV1" s="87" t="n"/>
      <c r="UJW1" s="87" t="n"/>
      <c r="UJX1" s="87" t="n"/>
      <c r="UJY1" s="87" t="n"/>
      <c r="UJZ1" s="87" t="n"/>
      <c r="UKA1" s="87" t="n"/>
      <c r="UKB1" s="87" t="n"/>
      <c r="UKC1" s="87" t="n"/>
      <c r="UKD1" s="87" t="n"/>
      <c r="UKE1" s="87" t="n"/>
      <c r="UKF1" s="87" t="n"/>
      <c r="UKG1" s="87" t="n"/>
      <c r="UKH1" s="87" t="n"/>
      <c r="UKI1" s="87" t="n"/>
      <c r="UKJ1" s="87" t="n"/>
      <c r="UKK1" s="87" t="n"/>
      <c r="UKL1" s="87" t="n"/>
      <c r="UKM1" s="87" t="n"/>
      <c r="UKN1" s="87" t="n"/>
      <c r="UKO1" s="87" t="n"/>
      <c r="UKP1" s="87" t="n"/>
      <c r="UKQ1" s="87" t="n"/>
      <c r="UKR1" s="87" t="n"/>
      <c r="UKS1" s="87" t="n"/>
      <c r="UKT1" s="87" t="n"/>
      <c r="UKU1" s="87" t="n"/>
      <c r="UKV1" s="87" t="n"/>
      <c r="UKW1" s="87" t="n"/>
      <c r="UKX1" s="87" t="n"/>
      <c r="UKY1" s="87" t="n"/>
      <c r="UKZ1" s="87" t="n"/>
      <c r="ULA1" s="87" t="n"/>
      <c r="ULB1" s="87" t="n"/>
      <c r="ULC1" s="87" t="n"/>
      <c r="ULD1" s="87" t="n"/>
      <c r="ULE1" s="87" t="n"/>
      <c r="ULF1" s="87" t="n"/>
      <c r="ULG1" s="87" t="n"/>
      <c r="ULH1" s="87" t="n"/>
      <c r="ULI1" s="87" t="n"/>
      <c r="ULJ1" s="87" t="n"/>
      <c r="ULK1" s="87" t="n"/>
      <c r="ULL1" s="87" t="n"/>
      <c r="ULM1" s="87" t="n"/>
      <c r="ULN1" s="87" t="n"/>
      <c r="ULO1" s="87" t="n"/>
      <c r="ULP1" s="87" t="n"/>
      <c r="ULQ1" s="87" t="n"/>
      <c r="ULR1" s="87" t="n"/>
      <c r="ULS1" s="87" t="n"/>
      <c r="ULT1" s="87" t="n"/>
      <c r="ULU1" s="87" t="n"/>
      <c r="ULV1" s="87" t="n"/>
      <c r="ULW1" s="87" t="n"/>
      <c r="ULX1" s="87" t="n"/>
      <c r="ULY1" s="87" t="n"/>
      <c r="ULZ1" s="87" t="n"/>
      <c r="UMA1" s="87" t="n"/>
      <c r="UMB1" s="87" t="n"/>
      <c r="UMC1" s="87" t="n"/>
      <c r="UMD1" s="87" t="n"/>
      <c r="UME1" s="87" t="n"/>
      <c r="UMF1" s="87" t="n"/>
      <c r="UMG1" s="87" t="n"/>
      <c r="UMH1" s="87" t="n"/>
      <c r="UMI1" s="87" t="n"/>
      <c r="UMJ1" s="87" t="n"/>
      <c r="UMK1" s="87" t="n"/>
      <c r="UML1" s="87" t="n"/>
      <c r="UMM1" s="87" t="n"/>
      <c r="UMN1" s="87" t="n"/>
      <c r="UMO1" s="87" t="n"/>
      <c r="UMP1" s="87" t="n"/>
      <c r="UMQ1" s="87" t="n"/>
      <c r="UMR1" s="87" t="n"/>
      <c r="UMS1" s="87" t="n"/>
      <c r="UMT1" s="87" t="n"/>
      <c r="UMU1" s="87" t="n"/>
      <c r="UMV1" s="87" t="n"/>
      <c r="UMW1" s="87" t="n"/>
      <c r="UMX1" s="87" t="n"/>
      <c r="UMY1" s="87" t="n"/>
      <c r="UMZ1" s="87" t="n"/>
      <c r="UNA1" s="87" t="n"/>
      <c r="UNB1" s="87" t="n"/>
      <c r="UNC1" s="87" t="n"/>
      <c r="UND1" s="87" t="n"/>
      <c r="UNE1" s="87" t="n"/>
      <c r="UNF1" s="87" t="n"/>
      <c r="UNG1" s="87" t="n"/>
      <c r="UNH1" s="87" t="n"/>
      <c r="UNI1" s="87" t="n"/>
      <c r="UNJ1" s="87" t="n"/>
      <c r="UNK1" s="87" t="n"/>
      <c r="UNL1" s="87" t="n"/>
      <c r="UNM1" s="87" t="n"/>
      <c r="UNN1" s="87" t="n"/>
      <c r="UNO1" s="87" t="n"/>
      <c r="UNP1" s="87" t="n"/>
      <c r="UNQ1" s="87" t="n"/>
      <c r="UNR1" s="87" t="n"/>
      <c r="UNS1" s="87" t="n"/>
      <c r="UNT1" s="87" t="n"/>
      <c r="UNU1" s="87" t="n"/>
      <c r="UNV1" s="87" t="n"/>
      <c r="UNW1" s="87" t="n"/>
      <c r="UNX1" s="87" t="n"/>
      <c r="UNY1" s="87" t="n"/>
      <c r="UNZ1" s="87" t="n"/>
      <c r="UOA1" s="87" t="n"/>
      <c r="UOB1" s="87" t="n"/>
      <c r="UOC1" s="87" t="n"/>
      <c r="UOD1" s="87" t="n"/>
      <c r="UOE1" s="87" t="n"/>
      <c r="UOF1" s="87" t="n"/>
      <c r="UOG1" s="87" t="n"/>
      <c r="UOH1" s="87" t="n"/>
      <c r="UOI1" s="87" t="n"/>
      <c r="UOJ1" s="87" t="n"/>
      <c r="UOK1" s="87" t="n"/>
      <c r="UOL1" s="87" t="n"/>
      <c r="UOM1" s="87" t="n"/>
      <c r="UON1" s="87" t="n"/>
      <c r="UOO1" s="87" t="n"/>
      <c r="UOP1" s="87" t="n"/>
      <c r="UOQ1" s="87" t="n"/>
      <c r="UOR1" s="87" t="n"/>
      <c r="UOS1" s="87" t="n"/>
      <c r="UOT1" s="87" t="n"/>
      <c r="UOU1" s="87" t="n"/>
      <c r="UOV1" s="87" t="n"/>
      <c r="UOW1" s="87" t="n"/>
      <c r="UOX1" s="87" t="n"/>
      <c r="UOY1" s="87" t="n"/>
      <c r="UOZ1" s="87" t="n"/>
      <c r="UPA1" s="87" t="n"/>
      <c r="UPB1" s="87" t="n"/>
      <c r="UPC1" s="87" t="n"/>
      <c r="UPD1" s="87" t="n"/>
      <c r="UPE1" s="87" t="n"/>
      <c r="UPF1" s="87" t="n"/>
      <c r="UPG1" s="87" t="n"/>
      <c r="UPH1" s="87" t="n"/>
      <c r="UPI1" s="87" t="n"/>
      <c r="UPJ1" s="87" t="n"/>
      <c r="UPK1" s="87" t="n"/>
      <c r="UPL1" s="87" t="n"/>
      <c r="UPM1" s="87" t="n"/>
      <c r="UPN1" s="87" t="n"/>
      <c r="UPO1" s="87" t="n"/>
      <c r="UPP1" s="87" t="n"/>
      <c r="UPQ1" s="87" t="n"/>
      <c r="UPR1" s="87" t="n"/>
      <c r="UPS1" s="87" t="n"/>
      <c r="UPT1" s="87" t="n"/>
      <c r="UPU1" s="87" t="n"/>
      <c r="UPV1" s="87" t="n"/>
      <c r="UPW1" s="87" t="n"/>
      <c r="UPX1" s="87" t="n"/>
      <c r="UPY1" s="87" t="n"/>
      <c r="UPZ1" s="87" t="n"/>
      <c r="UQA1" s="87" t="n"/>
      <c r="UQB1" s="87" t="n"/>
      <c r="UQC1" s="87" t="n"/>
      <c r="UQD1" s="87" t="n"/>
      <c r="UQE1" s="87" t="n"/>
      <c r="UQF1" s="87" t="n"/>
      <c r="UQG1" s="87" t="n"/>
      <c r="UQH1" s="87" t="n"/>
      <c r="UQI1" s="87" t="n"/>
      <c r="UQJ1" s="87" t="n"/>
      <c r="UQK1" s="87" t="n"/>
      <c r="UQL1" s="87" t="n"/>
      <c r="UQM1" s="87" t="n"/>
      <c r="UQN1" s="87" t="n"/>
      <c r="UQO1" s="87" t="n"/>
      <c r="UQP1" s="87" t="n"/>
      <c r="UQQ1" s="87" t="n"/>
      <c r="UQR1" s="87" t="n"/>
      <c r="UQS1" s="87" t="n"/>
      <c r="UQT1" s="87" t="n"/>
      <c r="UQU1" s="87" t="n"/>
      <c r="UQV1" s="87" t="n"/>
      <c r="UQW1" s="87" t="n"/>
      <c r="UQX1" s="87" t="n"/>
      <c r="UQY1" s="87" t="n"/>
      <c r="UQZ1" s="87" t="n"/>
      <c r="URA1" s="87" t="n"/>
      <c r="URB1" s="87" t="n"/>
      <c r="URC1" s="87" t="n"/>
      <c r="URD1" s="87" t="n"/>
      <c r="URE1" s="87" t="n"/>
      <c r="URF1" s="87" t="n"/>
      <c r="URG1" s="87" t="n"/>
      <c r="URH1" s="87" t="n"/>
      <c r="URI1" s="87" t="n"/>
      <c r="URJ1" s="87" t="n"/>
      <c r="URK1" s="87" t="n"/>
      <c r="URL1" s="87" t="n"/>
      <c r="URM1" s="87" t="n"/>
      <c r="URN1" s="87" t="n"/>
      <c r="URO1" s="87" t="n"/>
      <c r="URP1" s="87" t="n"/>
      <c r="URQ1" s="87" t="n"/>
      <c r="URR1" s="87" t="n"/>
      <c r="URS1" s="87" t="n"/>
      <c r="URT1" s="87" t="n"/>
      <c r="URU1" s="87" t="n"/>
      <c r="URV1" s="87" t="n"/>
      <c r="URW1" s="87" t="n"/>
      <c r="URX1" s="87" t="n"/>
      <c r="URY1" s="87" t="n"/>
      <c r="URZ1" s="87" t="n"/>
      <c r="USA1" s="87" t="n"/>
      <c r="USB1" s="87" t="n"/>
      <c r="USC1" s="87" t="n"/>
      <c r="USD1" s="87" t="n"/>
      <c r="USE1" s="87" t="n"/>
      <c r="USF1" s="87" t="n"/>
      <c r="USG1" s="87" t="n"/>
      <c r="USH1" s="87" t="n"/>
      <c r="USI1" s="87" t="n"/>
      <c r="USJ1" s="87" t="n"/>
      <c r="USK1" s="87" t="n"/>
      <c r="USL1" s="87" t="n"/>
      <c r="USM1" s="87" t="n"/>
      <c r="USN1" s="87" t="n"/>
      <c r="USO1" s="87" t="n"/>
      <c r="USP1" s="87" t="n"/>
      <c r="USQ1" s="87" t="n"/>
      <c r="USR1" s="87" t="n"/>
      <c r="USS1" s="87" t="n"/>
      <c r="UST1" s="87" t="n"/>
      <c r="USU1" s="87" t="n"/>
      <c r="USV1" s="87" t="n"/>
      <c r="USW1" s="87" t="n"/>
      <c r="USX1" s="87" t="n"/>
      <c r="USY1" s="87" t="n"/>
      <c r="USZ1" s="87" t="n"/>
      <c r="UTA1" s="87" t="n"/>
      <c r="UTB1" s="87" t="n"/>
      <c r="UTC1" s="87" t="n"/>
      <c r="UTD1" s="87" t="n"/>
      <c r="UTE1" s="87" t="n"/>
      <c r="UTF1" s="87" t="n"/>
      <c r="UTG1" s="87" t="n"/>
      <c r="UTH1" s="87" t="n"/>
      <c r="UTI1" s="87" t="n"/>
      <c r="UTJ1" s="87" t="n"/>
      <c r="UTK1" s="87" t="n"/>
      <c r="UTL1" s="87" t="n"/>
      <c r="UTM1" s="87" t="n"/>
      <c r="UTN1" s="87" t="n"/>
      <c r="UTO1" s="87" t="n"/>
      <c r="UTP1" s="87" t="n"/>
      <c r="UTQ1" s="87" t="n"/>
      <c r="UTR1" s="87" t="n"/>
      <c r="UTS1" s="87" t="n"/>
      <c r="UTT1" s="87" t="n"/>
      <c r="UTU1" s="87" t="n"/>
      <c r="UTV1" s="87" t="n"/>
      <c r="UTW1" s="87" t="n"/>
      <c r="UTX1" s="87" t="n"/>
      <c r="UTY1" s="87" t="n"/>
      <c r="UTZ1" s="87" t="n"/>
      <c r="UUA1" s="87" t="n"/>
      <c r="UUB1" s="87" t="n"/>
      <c r="UUC1" s="87" t="n"/>
      <c r="UUD1" s="87" t="n"/>
      <c r="UUE1" s="87" t="n"/>
      <c r="UUF1" s="87" t="n"/>
      <c r="UUG1" s="87" t="n"/>
      <c r="UUH1" s="87" t="n"/>
      <c r="UUI1" s="87" t="n"/>
      <c r="UUJ1" s="87" t="n"/>
      <c r="UUK1" s="87" t="n"/>
      <c r="UUL1" s="87" t="n"/>
      <c r="UUM1" s="87" t="n"/>
      <c r="UUN1" s="87" t="n"/>
      <c r="UUO1" s="87" t="n"/>
      <c r="UUP1" s="87" t="n"/>
      <c r="UUQ1" s="87" t="n"/>
      <c r="UUR1" s="87" t="n"/>
      <c r="UUS1" s="87" t="n"/>
      <c r="UUT1" s="87" t="n"/>
      <c r="UUU1" s="87" t="n"/>
      <c r="UUV1" s="87" t="n"/>
      <c r="UUW1" s="87" t="n"/>
      <c r="UUX1" s="87" t="n"/>
      <c r="UUY1" s="87" t="n"/>
      <c r="UUZ1" s="87" t="n"/>
      <c r="UVA1" s="87" t="n"/>
      <c r="UVB1" s="87" t="n"/>
      <c r="UVC1" s="87" t="n"/>
      <c r="UVD1" s="87" t="n"/>
      <c r="UVE1" s="87" t="n"/>
      <c r="UVF1" s="87" t="n"/>
      <c r="UVG1" s="87" t="n"/>
      <c r="UVH1" s="87" t="n"/>
      <c r="UVI1" s="87" t="n"/>
      <c r="UVJ1" s="87" t="n"/>
      <c r="UVK1" s="87" t="n"/>
      <c r="UVL1" s="87" t="n"/>
      <c r="UVM1" s="87" t="n"/>
      <c r="UVN1" s="87" t="n"/>
      <c r="UVO1" s="87" t="n"/>
      <c r="UVP1" s="87" t="n"/>
      <c r="UVQ1" s="87" t="n"/>
      <c r="UVR1" s="87" t="n"/>
      <c r="UVS1" s="87" t="n"/>
      <c r="UVT1" s="87" t="n"/>
      <c r="UVU1" s="87" t="n"/>
      <c r="UVV1" s="87" t="n"/>
      <c r="UVW1" s="87" t="n"/>
      <c r="UVX1" s="87" t="n"/>
      <c r="UVY1" s="87" t="n"/>
      <c r="UVZ1" s="87" t="n"/>
      <c r="UWA1" s="87" t="n"/>
      <c r="UWB1" s="87" t="n"/>
      <c r="UWC1" s="87" t="n"/>
      <c r="UWD1" s="87" t="n"/>
      <c r="UWE1" s="87" t="n"/>
      <c r="UWF1" s="87" t="n"/>
      <c r="UWG1" s="87" t="n"/>
      <c r="UWH1" s="87" t="n"/>
      <c r="UWI1" s="87" t="n"/>
      <c r="UWJ1" s="87" t="n"/>
      <c r="UWK1" s="87" t="n"/>
      <c r="UWL1" s="87" t="n"/>
      <c r="UWM1" s="87" t="n"/>
      <c r="UWN1" s="87" t="n"/>
      <c r="UWO1" s="87" t="n"/>
      <c r="UWP1" s="87" t="n"/>
      <c r="UWQ1" s="87" t="n"/>
      <c r="UWR1" s="87" t="n"/>
      <c r="UWS1" s="87" t="n"/>
      <c r="UWT1" s="87" t="n"/>
      <c r="UWU1" s="87" t="n"/>
      <c r="UWV1" s="87" t="n"/>
      <c r="UWW1" s="87" t="n"/>
      <c r="UWX1" s="87" t="n"/>
      <c r="UWY1" s="87" t="n"/>
      <c r="UWZ1" s="87" t="n"/>
      <c r="UXA1" s="87" t="n"/>
      <c r="UXB1" s="87" t="n"/>
      <c r="UXC1" s="87" t="n"/>
      <c r="UXD1" s="87" t="n"/>
      <c r="UXE1" s="87" t="n"/>
      <c r="UXF1" s="87" t="n"/>
      <c r="UXG1" s="87" t="n"/>
      <c r="UXH1" s="87" t="n"/>
      <c r="UXI1" s="87" t="n"/>
      <c r="UXJ1" s="87" t="n"/>
      <c r="UXK1" s="87" t="n"/>
      <c r="UXL1" s="87" t="n"/>
      <c r="UXM1" s="87" t="n"/>
      <c r="UXN1" s="87" t="n"/>
      <c r="UXO1" s="87" t="n"/>
      <c r="UXP1" s="87" t="n"/>
      <c r="UXQ1" s="87" t="n"/>
      <c r="UXR1" s="87" t="n"/>
      <c r="UXS1" s="87" t="n"/>
      <c r="UXT1" s="87" t="n"/>
      <c r="UXU1" s="87" t="n"/>
      <c r="UXV1" s="87" t="n"/>
      <c r="UXW1" s="87" t="n"/>
      <c r="UXX1" s="87" t="n"/>
      <c r="UXY1" s="87" t="n"/>
      <c r="UXZ1" s="87" t="n"/>
      <c r="UYA1" s="87" t="n"/>
      <c r="UYB1" s="87" t="n"/>
      <c r="UYC1" s="87" t="n"/>
      <c r="UYD1" s="87" t="n"/>
      <c r="UYE1" s="87" t="n"/>
      <c r="UYF1" s="87" t="n"/>
      <c r="UYG1" s="87" t="n"/>
      <c r="UYH1" s="87" t="n"/>
      <c r="UYI1" s="87" t="n"/>
      <c r="UYJ1" s="87" t="n"/>
      <c r="UYK1" s="87" t="n"/>
      <c r="UYL1" s="87" t="n"/>
      <c r="UYM1" s="87" t="n"/>
      <c r="UYN1" s="87" t="n"/>
      <c r="UYO1" s="87" t="n"/>
      <c r="UYP1" s="87" t="n"/>
      <c r="UYQ1" s="87" t="n"/>
      <c r="UYR1" s="87" t="n"/>
      <c r="UYS1" s="87" t="n"/>
      <c r="UYT1" s="87" t="n"/>
      <c r="UYU1" s="87" t="n"/>
      <c r="UYV1" s="87" t="n"/>
      <c r="UYW1" s="87" t="n"/>
      <c r="UYX1" s="87" t="n"/>
      <c r="UYY1" s="87" t="n"/>
      <c r="UYZ1" s="87" t="n"/>
      <c r="UZA1" s="87" t="n"/>
      <c r="UZB1" s="87" t="n"/>
      <c r="UZC1" s="87" t="n"/>
      <c r="UZD1" s="87" t="n"/>
      <c r="UZE1" s="87" t="n"/>
      <c r="UZF1" s="87" t="n"/>
      <c r="UZG1" s="87" t="n"/>
      <c r="UZH1" s="87" t="n"/>
      <c r="UZI1" s="87" t="n"/>
      <c r="UZJ1" s="87" t="n"/>
      <c r="UZK1" s="87" t="n"/>
      <c r="UZL1" s="87" t="n"/>
      <c r="UZM1" s="87" t="n"/>
      <c r="UZN1" s="87" t="n"/>
      <c r="UZO1" s="87" t="n"/>
      <c r="UZP1" s="87" t="n"/>
      <c r="UZQ1" s="87" t="n"/>
      <c r="UZR1" s="87" t="n"/>
      <c r="UZS1" s="87" t="n"/>
      <c r="UZT1" s="87" t="n"/>
      <c r="UZU1" s="87" t="n"/>
      <c r="UZV1" s="87" t="n"/>
      <c r="UZW1" s="87" t="n"/>
      <c r="UZX1" s="87" t="n"/>
      <c r="UZY1" s="87" t="n"/>
      <c r="UZZ1" s="87" t="n"/>
      <c r="VAA1" s="87" t="n"/>
      <c r="VAB1" s="87" t="n"/>
      <c r="VAC1" s="87" t="n"/>
      <c r="VAD1" s="87" t="n"/>
      <c r="VAE1" s="87" t="n"/>
      <c r="VAF1" s="87" t="n"/>
      <c r="VAG1" s="87" t="n"/>
      <c r="VAH1" s="87" t="n"/>
      <c r="VAI1" s="87" t="n"/>
      <c r="VAJ1" s="87" t="n"/>
      <c r="VAK1" s="87" t="n"/>
      <c r="VAL1" s="87" t="n"/>
      <c r="VAM1" s="87" t="n"/>
      <c r="VAN1" s="87" t="n"/>
      <c r="VAO1" s="87" t="n"/>
      <c r="VAP1" s="87" t="n"/>
      <c r="VAQ1" s="87" t="n"/>
      <c r="VAR1" s="87" t="n"/>
      <c r="VAS1" s="87" t="n"/>
      <c r="VAT1" s="87" t="n"/>
      <c r="VAU1" s="87" t="n"/>
      <c r="VAV1" s="87" t="n"/>
      <c r="VAW1" s="87" t="n"/>
      <c r="VAX1" s="87" t="n"/>
      <c r="VAY1" s="87" t="n"/>
      <c r="VAZ1" s="87" t="n"/>
      <c r="VBA1" s="87" t="n"/>
      <c r="VBB1" s="87" t="n"/>
      <c r="VBC1" s="87" t="n"/>
      <c r="VBD1" s="87" t="n"/>
      <c r="VBE1" s="87" t="n"/>
      <c r="VBF1" s="87" t="n"/>
      <c r="VBG1" s="87" t="n"/>
      <c r="VBH1" s="87" t="n"/>
      <c r="VBI1" s="87" t="n"/>
      <c r="VBJ1" s="87" t="n"/>
      <c r="VBK1" s="87" t="n"/>
      <c r="VBL1" s="87" t="n"/>
      <c r="VBM1" s="87" t="n"/>
      <c r="VBN1" s="87" t="n"/>
      <c r="VBO1" s="87" t="n"/>
      <c r="VBP1" s="87" t="n"/>
      <c r="VBQ1" s="87" t="n"/>
      <c r="VBR1" s="87" t="n"/>
      <c r="VBS1" s="87" t="n"/>
      <c r="VBT1" s="87" t="n"/>
      <c r="VBU1" s="87" t="n"/>
      <c r="VBV1" s="87" t="n"/>
      <c r="VBW1" s="87" t="n"/>
      <c r="VBX1" s="87" t="n"/>
      <c r="VBY1" s="87" t="n"/>
      <c r="VBZ1" s="87" t="n"/>
      <c r="VCA1" s="87" t="n"/>
      <c r="VCB1" s="87" t="n"/>
      <c r="VCC1" s="87" t="n"/>
      <c r="VCD1" s="87" t="n"/>
      <c r="VCE1" s="87" t="n"/>
      <c r="VCF1" s="87" t="n"/>
      <c r="VCG1" s="87" t="n"/>
      <c r="VCH1" s="87" t="n"/>
      <c r="VCI1" s="87" t="n"/>
      <c r="VCJ1" s="87" t="n"/>
      <c r="VCK1" s="87" t="n"/>
      <c r="VCL1" s="87" t="n"/>
      <c r="VCM1" s="87" t="n"/>
      <c r="VCN1" s="87" t="n"/>
      <c r="VCO1" s="87" t="n"/>
      <c r="VCP1" s="87" t="n"/>
      <c r="VCQ1" s="87" t="n"/>
      <c r="VCR1" s="87" t="n"/>
      <c r="VCS1" s="87" t="n"/>
      <c r="VCT1" s="87" t="n"/>
      <c r="VCU1" s="87" t="n"/>
      <c r="VCV1" s="87" t="n"/>
      <c r="VCW1" s="87" t="n"/>
      <c r="VCX1" s="87" t="n"/>
      <c r="VCY1" s="87" t="n"/>
      <c r="VCZ1" s="87" t="n"/>
      <c r="VDA1" s="87" t="n"/>
      <c r="VDB1" s="87" t="n"/>
      <c r="VDC1" s="87" t="n"/>
      <c r="VDD1" s="87" t="n"/>
      <c r="VDE1" s="87" t="n"/>
      <c r="VDF1" s="87" t="n"/>
      <c r="VDG1" s="87" t="n"/>
      <c r="VDH1" s="87" t="n"/>
      <c r="VDI1" s="87" t="n"/>
      <c r="VDJ1" s="87" t="n"/>
      <c r="VDK1" s="87" t="n"/>
      <c r="VDL1" s="87" t="n"/>
      <c r="VDM1" s="87" t="n"/>
      <c r="VDN1" s="87" t="n"/>
      <c r="VDO1" s="87" t="n"/>
      <c r="VDP1" s="87" t="n"/>
      <c r="VDQ1" s="87" t="n"/>
      <c r="VDR1" s="87" t="n"/>
      <c r="VDS1" s="87" t="n"/>
      <c r="VDT1" s="87" t="n"/>
      <c r="VDU1" s="87" t="n"/>
      <c r="VDV1" s="87" t="n"/>
      <c r="VDW1" s="87" t="n"/>
      <c r="VDX1" s="87" t="n"/>
      <c r="VDY1" s="87" t="n"/>
      <c r="VDZ1" s="87" t="n"/>
      <c r="VEA1" s="87" t="n"/>
      <c r="VEB1" s="87" t="n"/>
      <c r="VEC1" s="87" t="n"/>
      <c r="VED1" s="87" t="n"/>
      <c r="VEE1" s="87" t="n"/>
      <c r="VEF1" s="87" t="n"/>
      <c r="VEG1" s="87" t="n"/>
      <c r="VEH1" s="87" t="n"/>
      <c r="VEI1" s="87" t="n"/>
      <c r="VEJ1" s="87" t="n"/>
      <c r="VEK1" s="87" t="n"/>
      <c r="VEL1" s="87" t="n"/>
      <c r="VEM1" s="87" t="n"/>
      <c r="VEN1" s="87" t="n"/>
      <c r="VEO1" s="87" t="n"/>
      <c r="VEP1" s="87" t="n"/>
      <c r="VEQ1" s="87" t="n"/>
      <c r="VER1" s="87" t="n"/>
      <c r="VES1" s="87" t="n"/>
      <c r="VET1" s="87" t="n"/>
      <c r="VEU1" s="87" t="n"/>
      <c r="VEV1" s="87" t="n"/>
      <c r="VEW1" s="87" t="n"/>
      <c r="VEX1" s="87" t="n"/>
      <c r="VEY1" s="87" t="n"/>
      <c r="VEZ1" s="87" t="n"/>
      <c r="VFA1" s="87" t="n"/>
      <c r="VFB1" s="87" t="n"/>
      <c r="VFC1" s="87" t="n"/>
      <c r="VFD1" s="87" t="n"/>
      <c r="VFE1" s="87" t="n"/>
      <c r="VFF1" s="87" t="n"/>
      <c r="VFG1" s="87" t="n"/>
      <c r="VFH1" s="87" t="n"/>
      <c r="VFI1" s="87" t="n"/>
      <c r="VFJ1" s="87" t="n"/>
      <c r="VFK1" s="87" t="n"/>
      <c r="VFL1" s="87" t="n"/>
      <c r="VFM1" s="87" t="n"/>
      <c r="VFN1" s="87" t="n"/>
      <c r="VFO1" s="87" t="n"/>
      <c r="VFP1" s="87" t="n"/>
      <c r="VFQ1" s="87" t="n"/>
      <c r="VFR1" s="87" t="n"/>
      <c r="VFS1" s="87" t="n"/>
      <c r="VFT1" s="87" t="n"/>
      <c r="VFU1" s="87" t="n"/>
      <c r="VFV1" s="87" t="n"/>
      <c r="VFW1" s="87" t="n"/>
      <c r="VFX1" s="87" t="n"/>
      <c r="VFY1" s="87" t="n"/>
      <c r="VFZ1" s="87" t="n"/>
      <c r="VGA1" s="87" t="n"/>
      <c r="VGB1" s="87" t="n"/>
      <c r="VGC1" s="87" t="n"/>
      <c r="VGD1" s="87" t="n"/>
      <c r="VGE1" s="87" t="n"/>
      <c r="VGF1" s="87" t="n"/>
      <c r="VGG1" s="87" t="n"/>
      <c r="VGH1" s="87" t="n"/>
      <c r="VGI1" s="87" t="n"/>
      <c r="VGJ1" s="87" t="n"/>
      <c r="VGK1" s="87" t="n"/>
      <c r="VGL1" s="87" t="n"/>
      <c r="VGM1" s="87" t="n"/>
      <c r="VGN1" s="87" t="n"/>
      <c r="VGO1" s="87" t="n"/>
      <c r="VGP1" s="87" t="n"/>
      <c r="VGQ1" s="87" t="n"/>
      <c r="VGR1" s="87" t="n"/>
      <c r="VGS1" s="87" t="n"/>
      <c r="VGT1" s="87" t="n"/>
      <c r="VGU1" s="87" t="n"/>
      <c r="VGV1" s="87" t="n"/>
      <c r="VGW1" s="87" t="n"/>
      <c r="VGX1" s="87" t="n"/>
      <c r="VGY1" s="87" t="n"/>
      <c r="VGZ1" s="87" t="n"/>
      <c r="VHA1" s="87" t="n"/>
      <c r="VHB1" s="87" t="n"/>
      <c r="VHC1" s="87" t="n"/>
      <c r="VHD1" s="87" t="n"/>
      <c r="VHE1" s="87" t="n"/>
      <c r="VHF1" s="87" t="n"/>
      <c r="VHG1" s="87" t="n"/>
      <c r="VHH1" s="87" t="n"/>
      <c r="VHI1" s="87" t="n"/>
      <c r="VHJ1" s="87" t="n"/>
      <c r="VHK1" s="87" t="n"/>
      <c r="VHL1" s="87" t="n"/>
      <c r="VHM1" s="87" t="n"/>
      <c r="VHN1" s="87" t="n"/>
      <c r="VHO1" s="87" t="n"/>
      <c r="VHP1" s="87" t="n"/>
      <c r="VHQ1" s="87" t="n"/>
      <c r="VHR1" s="87" t="n"/>
      <c r="VHS1" s="87" t="n"/>
      <c r="VHT1" s="87" t="n"/>
      <c r="VHU1" s="87" t="n"/>
      <c r="VHV1" s="87" t="n"/>
      <c r="VHW1" s="87" t="n"/>
      <c r="VHX1" s="87" t="n"/>
      <c r="VHY1" s="87" t="n"/>
      <c r="VHZ1" s="87" t="n"/>
      <c r="VIA1" s="87" t="n"/>
      <c r="VIB1" s="87" t="n"/>
      <c r="VIC1" s="87" t="n"/>
      <c r="VID1" s="87" t="n"/>
      <c r="VIE1" s="87" t="n"/>
      <c r="VIF1" s="87" t="n"/>
      <c r="VIG1" s="87" t="n"/>
      <c r="VIH1" s="87" t="n"/>
      <c r="VII1" s="87" t="n"/>
      <c r="VIJ1" s="87" t="n"/>
      <c r="VIK1" s="87" t="n"/>
      <c r="VIL1" s="87" t="n"/>
      <c r="VIM1" s="87" t="n"/>
      <c r="VIN1" s="87" t="n"/>
      <c r="VIO1" s="87" t="n"/>
      <c r="VIP1" s="87" t="n"/>
      <c r="VIQ1" s="87" t="n"/>
      <c r="VIR1" s="87" t="n"/>
      <c r="VIS1" s="87" t="n"/>
      <c r="VIT1" s="87" t="n"/>
      <c r="VIU1" s="87" t="n"/>
      <c r="VIV1" s="87" t="n"/>
      <c r="VIW1" s="87" t="n"/>
      <c r="VIX1" s="87" t="n"/>
      <c r="VIY1" s="87" t="n"/>
      <c r="VIZ1" s="87" t="n"/>
      <c r="VJA1" s="87" t="n"/>
      <c r="VJB1" s="87" t="n"/>
      <c r="VJC1" s="87" t="n"/>
      <c r="VJD1" s="87" t="n"/>
      <c r="VJE1" s="87" t="n"/>
      <c r="VJF1" s="87" t="n"/>
      <c r="VJG1" s="87" t="n"/>
      <c r="VJH1" s="87" t="n"/>
      <c r="VJI1" s="87" t="n"/>
      <c r="VJJ1" s="87" t="n"/>
      <c r="VJK1" s="87" t="n"/>
      <c r="VJL1" s="87" t="n"/>
      <c r="VJM1" s="87" t="n"/>
      <c r="VJN1" s="87" t="n"/>
      <c r="VJO1" s="87" t="n"/>
      <c r="VJP1" s="87" t="n"/>
      <c r="VJQ1" s="87" t="n"/>
      <c r="VJR1" s="87" t="n"/>
      <c r="VJS1" s="87" t="n"/>
      <c r="VJT1" s="87" t="n"/>
      <c r="VJU1" s="87" t="n"/>
      <c r="VJV1" s="87" t="n"/>
      <c r="VJW1" s="87" t="n"/>
      <c r="VJX1" s="87" t="n"/>
      <c r="VJY1" s="87" t="n"/>
      <c r="VJZ1" s="87" t="n"/>
      <c r="VKA1" s="87" t="n"/>
      <c r="VKB1" s="87" t="n"/>
      <c r="VKC1" s="87" t="n"/>
      <c r="VKD1" s="87" t="n"/>
      <c r="VKE1" s="87" t="n"/>
      <c r="VKF1" s="87" t="n"/>
      <c r="VKG1" s="87" t="n"/>
      <c r="VKH1" s="87" t="n"/>
      <c r="VKI1" s="87" t="n"/>
      <c r="VKJ1" s="87" t="n"/>
      <c r="VKK1" s="87" t="n"/>
      <c r="VKL1" s="87" t="n"/>
      <c r="VKM1" s="87" t="n"/>
      <c r="VKN1" s="87" t="n"/>
      <c r="VKO1" s="87" t="n"/>
      <c r="VKP1" s="87" t="n"/>
      <c r="VKQ1" s="87" t="n"/>
      <c r="VKR1" s="87" t="n"/>
      <c r="VKS1" s="87" t="n"/>
      <c r="VKT1" s="87" t="n"/>
      <c r="VKU1" s="87" t="n"/>
      <c r="VKV1" s="87" t="n"/>
      <c r="VKW1" s="87" t="n"/>
      <c r="VKX1" s="87" t="n"/>
      <c r="VKY1" s="87" t="n"/>
      <c r="VKZ1" s="87" t="n"/>
      <c r="VLA1" s="87" t="n"/>
      <c r="VLB1" s="87" t="n"/>
      <c r="VLC1" s="87" t="n"/>
      <c r="VLD1" s="87" t="n"/>
      <c r="VLE1" s="87" t="n"/>
      <c r="VLF1" s="87" t="n"/>
      <c r="VLG1" s="87" t="n"/>
      <c r="VLH1" s="87" t="n"/>
      <c r="VLI1" s="87" t="n"/>
      <c r="VLJ1" s="87" t="n"/>
      <c r="VLK1" s="87" t="n"/>
      <c r="VLL1" s="87" t="n"/>
      <c r="VLM1" s="87" t="n"/>
      <c r="VLN1" s="87" t="n"/>
      <c r="VLO1" s="87" t="n"/>
      <c r="VLP1" s="87" t="n"/>
      <c r="VLQ1" s="87" t="n"/>
      <c r="VLR1" s="87" t="n"/>
      <c r="VLS1" s="87" t="n"/>
      <c r="VLT1" s="87" t="n"/>
      <c r="VLU1" s="87" t="n"/>
      <c r="VLV1" s="87" t="n"/>
      <c r="VLW1" s="87" t="n"/>
      <c r="VLX1" s="87" t="n"/>
      <c r="VLY1" s="87" t="n"/>
      <c r="VLZ1" s="87" t="n"/>
      <c r="VMA1" s="87" t="n"/>
      <c r="VMB1" s="87" t="n"/>
      <c r="VMC1" s="87" t="n"/>
      <c r="VMD1" s="87" t="n"/>
      <c r="VME1" s="87" t="n"/>
      <c r="VMF1" s="87" t="n"/>
      <c r="VMG1" s="87" t="n"/>
      <c r="VMH1" s="87" t="n"/>
      <c r="VMI1" s="87" t="n"/>
      <c r="VMJ1" s="87" t="n"/>
      <c r="VMK1" s="87" t="n"/>
      <c r="VML1" s="87" t="n"/>
      <c r="VMM1" s="87" t="n"/>
      <c r="VMN1" s="87" t="n"/>
      <c r="VMO1" s="87" t="n"/>
      <c r="VMP1" s="87" t="n"/>
      <c r="VMQ1" s="87" t="n"/>
      <c r="VMR1" s="87" t="n"/>
      <c r="VMS1" s="87" t="n"/>
      <c r="VMT1" s="87" t="n"/>
      <c r="VMU1" s="87" t="n"/>
      <c r="VMV1" s="87" t="n"/>
      <c r="VMW1" s="87" t="n"/>
      <c r="VMX1" s="87" t="n"/>
      <c r="VMY1" s="87" t="n"/>
      <c r="VMZ1" s="87" t="n"/>
      <c r="VNA1" s="87" t="n"/>
      <c r="VNB1" s="87" t="n"/>
      <c r="VNC1" s="87" t="n"/>
      <c r="VND1" s="87" t="n"/>
      <c r="VNE1" s="87" t="n"/>
      <c r="VNF1" s="87" t="n"/>
      <c r="VNG1" s="87" t="n"/>
      <c r="VNH1" s="87" t="n"/>
      <c r="VNI1" s="87" t="n"/>
      <c r="VNJ1" s="87" t="n"/>
      <c r="VNK1" s="87" t="n"/>
      <c r="VNL1" s="87" t="n"/>
      <c r="VNM1" s="87" t="n"/>
      <c r="VNN1" s="87" t="n"/>
      <c r="VNO1" s="87" t="n"/>
      <c r="VNP1" s="87" t="n"/>
      <c r="VNQ1" s="87" t="n"/>
      <c r="VNR1" s="87" t="n"/>
      <c r="VNS1" s="87" t="n"/>
      <c r="VNT1" s="87" t="n"/>
      <c r="VNU1" s="87" t="n"/>
      <c r="VNV1" s="87" t="n"/>
      <c r="VNW1" s="87" t="n"/>
      <c r="VNX1" s="87" t="n"/>
      <c r="VNY1" s="87" t="n"/>
      <c r="VNZ1" s="87" t="n"/>
      <c r="VOA1" s="87" t="n"/>
      <c r="VOB1" s="87" t="n"/>
      <c r="VOC1" s="87" t="n"/>
      <c r="VOD1" s="87" t="n"/>
      <c r="VOE1" s="87" t="n"/>
      <c r="VOF1" s="87" t="n"/>
      <c r="VOG1" s="87" t="n"/>
      <c r="VOH1" s="87" t="n"/>
      <c r="VOI1" s="87" t="n"/>
      <c r="VOJ1" s="87" t="n"/>
      <c r="VOK1" s="87" t="n"/>
      <c r="VOL1" s="87" t="n"/>
      <c r="VOM1" s="87" t="n"/>
      <c r="VON1" s="87" t="n"/>
      <c r="VOO1" s="87" t="n"/>
      <c r="VOP1" s="87" t="n"/>
      <c r="VOQ1" s="87" t="n"/>
      <c r="VOR1" s="87" t="n"/>
      <c r="VOS1" s="87" t="n"/>
      <c r="VOT1" s="87" t="n"/>
      <c r="VOU1" s="87" t="n"/>
      <c r="VOV1" s="87" t="n"/>
      <c r="VOW1" s="87" t="n"/>
      <c r="VOX1" s="87" t="n"/>
      <c r="VOY1" s="87" t="n"/>
      <c r="VOZ1" s="87" t="n"/>
      <c r="VPA1" s="87" t="n"/>
      <c r="VPB1" s="87" t="n"/>
      <c r="VPC1" s="87" t="n"/>
      <c r="VPD1" s="87" t="n"/>
      <c r="VPE1" s="87" t="n"/>
      <c r="VPF1" s="87" t="n"/>
      <c r="VPG1" s="87" t="n"/>
      <c r="VPH1" s="87" t="n"/>
      <c r="VPI1" s="87" t="n"/>
      <c r="VPJ1" s="87" t="n"/>
      <c r="VPK1" s="87" t="n"/>
      <c r="VPL1" s="87" t="n"/>
      <c r="VPM1" s="87" t="n"/>
      <c r="VPN1" s="87" t="n"/>
      <c r="VPO1" s="87" t="n"/>
      <c r="VPP1" s="87" t="n"/>
      <c r="VPQ1" s="87" t="n"/>
      <c r="VPR1" s="87" t="n"/>
      <c r="VPS1" s="87" t="n"/>
      <c r="VPT1" s="87" t="n"/>
      <c r="VPU1" s="87" t="n"/>
      <c r="VPV1" s="87" t="n"/>
      <c r="VPW1" s="87" t="n"/>
      <c r="VPX1" s="87" t="n"/>
      <c r="VPY1" s="87" t="n"/>
      <c r="VPZ1" s="87" t="n"/>
      <c r="VQA1" s="87" t="n"/>
      <c r="VQB1" s="87" t="n"/>
      <c r="VQC1" s="87" t="n"/>
      <c r="VQD1" s="87" t="n"/>
      <c r="VQE1" s="87" t="n"/>
      <c r="VQF1" s="87" t="n"/>
      <c r="VQG1" s="87" t="n"/>
      <c r="VQH1" s="87" t="n"/>
      <c r="VQI1" s="87" t="n"/>
      <c r="VQJ1" s="87" t="n"/>
      <c r="VQK1" s="87" t="n"/>
      <c r="VQL1" s="87" t="n"/>
      <c r="VQM1" s="87" t="n"/>
      <c r="VQN1" s="87" t="n"/>
      <c r="VQO1" s="87" t="n"/>
      <c r="VQP1" s="87" t="n"/>
      <c r="VQQ1" s="87" t="n"/>
      <c r="VQR1" s="87" t="n"/>
      <c r="VQS1" s="87" t="n"/>
      <c r="VQT1" s="87" t="n"/>
      <c r="VQU1" s="87" t="n"/>
      <c r="VQV1" s="87" t="n"/>
      <c r="VQW1" s="87" t="n"/>
      <c r="VQX1" s="87" t="n"/>
      <c r="VQY1" s="87" t="n"/>
      <c r="VQZ1" s="87" t="n"/>
      <c r="VRA1" s="87" t="n"/>
      <c r="VRB1" s="87" t="n"/>
      <c r="VRC1" s="87" t="n"/>
      <c r="VRD1" s="87" t="n"/>
      <c r="VRE1" s="87" t="n"/>
      <c r="VRF1" s="87" t="n"/>
      <c r="VRG1" s="87" t="n"/>
      <c r="VRH1" s="87" t="n"/>
      <c r="VRI1" s="87" t="n"/>
      <c r="VRJ1" s="87" t="n"/>
      <c r="VRK1" s="87" t="n"/>
      <c r="VRL1" s="87" t="n"/>
      <c r="VRM1" s="87" t="n"/>
      <c r="VRN1" s="87" t="n"/>
      <c r="VRO1" s="87" t="n"/>
      <c r="VRP1" s="87" t="n"/>
      <c r="VRQ1" s="87" t="n"/>
      <c r="VRR1" s="87" t="n"/>
      <c r="VRS1" s="87" t="n"/>
      <c r="VRT1" s="87" t="n"/>
      <c r="VRU1" s="87" t="n"/>
      <c r="VRV1" s="87" t="n"/>
      <c r="VRW1" s="87" t="n"/>
      <c r="VRX1" s="87" t="n"/>
      <c r="VRY1" s="87" t="n"/>
      <c r="VRZ1" s="87" t="n"/>
      <c r="VSA1" s="87" t="n"/>
      <c r="VSB1" s="87" t="n"/>
      <c r="VSC1" s="87" t="n"/>
      <c r="VSD1" s="87" t="n"/>
      <c r="VSE1" s="87" t="n"/>
      <c r="VSF1" s="87" t="n"/>
      <c r="VSG1" s="87" t="n"/>
      <c r="VSH1" s="87" t="n"/>
      <c r="VSI1" s="87" t="n"/>
      <c r="VSJ1" s="87" t="n"/>
      <c r="VSK1" s="87" t="n"/>
      <c r="VSL1" s="87" t="n"/>
      <c r="VSM1" s="87" t="n"/>
      <c r="VSN1" s="87" t="n"/>
      <c r="VSO1" s="87" t="n"/>
      <c r="VSP1" s="87" t="n"/>
      <c r="VSQ1" s="87" t="n"/>
      <c r="VSR1" s="87" t="n"/>
      <c r="VSS1" s="87" t="n"/>
      <c r="VST1" s="87" t="n"/>
      <c r="VSU1" s="87" t="n"/>
      <c r="VSV1" s="87" t="n"/>
      <c r="VSW1" s="87" t="n"/>
      <c r="VSX1" s="87" t="n"/>
      <c r="VSY1" s="87" t="n"/>
      <c r="VSZ1" s="87" t="n"/>
      <c r="VTA1" s="87" t="n"/>
      <c r="VTB1" s="87" t="n"/>
      <c r="VTC1" s="87" t="n"/>
      <c r="VTD1" s="87" t="n"/>
      <c r="VTE1" s="87" t="n"/>
      <c r="VTF1" s="87" t="n"/>
      <c r="VTG1" s="87" t="n"/>
      <c r="VTH1" s="87" t="n"/>
      <c r="VTI1" s="87" t="n"/>
      <c r="VTJ1" s="87" t="n"/>
      <c r="VTK1" s="87" t="n"/>
      <c r="VTL1" s="87" t="n"/>
      <c r="VTM1" s="87" t="n"/>
      <c r="VTN1" s="87" t="n"/>
      <c r="VTO1" s="87" t="n"/>
      <c r="VTP1" s="87" t="n"/>
      <c r="VTQ1" s="87" t="n"/>
      <c r="VTR1" s="87" t="n"/>
      <c r="VTS1" s="87" t="n"/>
      <c r="VTT1" s="87" t="n"/>
      <c r="VTU1" s="87" t="n"/>
      <c r="VTV1" s="87" t="n"/>
      <c r="VTW1" s="87" t="n"/>
      <c r="VTX1" s="87" t="n"/>
      <c r="VTY1" s="87" t="n"/>
      <c r="VTZ1" s="87" t="n"/>
      <c r="VUA1" s="87" t="n"/>
      <c r="VUB1" s="87" t="n"/>
      <c r="VUC1" s="87" t="n"/>
      <c r="VUD1" s="87" t="n"/>
      <c r="VUE1" s="87" t="n"/>
      <c r="VUF1" s="87" t="n"/>
      <c r="VUG1" s="87" t="n"/>
      <c r="VUH1" s="87" t="n"/>
      <c r="VUI1" s="87" t="n"/>
      <c r="VUJ1" s="87" t="n"/>
      <c r="VUK1" s="87" t="n"/>
      <c r="VUL1" s="87" t="n"/>
      <c r="VUM1" s="87" t="n"/>
      <c r="VUN1" s="87" t="n"/>
      <c r="VUO1" s="87" t="n"/>
      <c r="VUP1" s="87" t="n"/>
      <c r="VUQ1" s="87" t="n"/>
      <c r="VUR1" s="87" t="n"/>
      <c r="VUS1" s="87" t="n"/>
      <c r="VUT1" s="87" t="n"/>
      <c r="VUU1" s="87" t="n"/>
      <c r="VUV1" s="87" t="n"/>
      <c r="VUW1" s="87" t="n"/>
      <c r="VUX1" s="87" t="n"/>
      <c r="VUY1" s="87" t="n"/>
      <c r="VUZ1" s="87" t="n"/>
      <c r="VVA1" s="87" t="n"/>
      <c r="VVB1" s="87" t="n"/>
      <c r="VVC1" s="87" t="n"/>
      <c r="VVD1" s="87" t="n"/>
      <c r="VVE1" s="87" t="n"/>
      <c r="VVF1" s="87" t="n"/>
      <c r="VVG1" s="87" t="n"/>
      <c r="VVH1" s="87" t="n"/>
      <c r="VVI1" s="87" t="n"/>
      <c r="VVJ1" s="87" t="n"/>
      <c r="VVK1" s="87" t="n"/>
      <c r="VVL1" s="87" t="n"/>
      <c r="VVM1" s="87" t="n"/>
      <c r="VVN1" s="87" t="n"/>
      <c r="VVO1" s="87" t="n"/>
      <c r="VVP1" s="87" t="n"/>
      <c r="VVQ1" s="87" t="n"/>
      <c r="VVR1" s="87" t="n"/>
      <c r="VVS1" s="87" t="n"/>
      <c r="VVT1" s="87" t="n"/>
      <c r="VVU1" s="87" t="n"/>
      <c r="VVV1" s="87" t="n"/>
      <c r="VVW1" s="87" t="n"/>
      <c r="VVX1" s="87" t="n"/>
      <c r="VVY1" s="87" t="n"/>
      <c r="VVZ1" s="87" t="n"/>
      <c r="VWA1" s="87" t="n"/>
      <c r="VWB1" s="87" t="n"/>
      <c r="VWC1" s="87" t="n"/>
      <c r="VWD1" s="87" t="n"/>
      <c r="VWE1" s="87" t="n"/>
      <c r="VWF1" s="87" t="n"/>
      <c r="VWG1" s="87" t="n"/>
      <c r="VWH1" s="87" t="n"/>
      <c r="VWI1" s="87" t="n"/>
      <c r="VWJ1" s="87" t="n"/>
      <c r="VWK1" s="87" t="n"/>
      <c r="VWL1" s="87" t="n"/>
      <c r="VWM1" s="87" t="n"/>
      <c r="VWN1" s="87" t="n"/>
      <c r="VWO1" s="87" t="n"/>
      <c r="VWP1" s="87" t="n"/>
      <c r="VWQ1" s="87" t="n"/>
      <c r="VWR1" s="87" t="n"/>
      <c r="VWS1" s="87" t="n"/>
      <c r="VWT1" s="87" t="n"/>
      <c r="VWU1" s="87" t="n"/>
      <c r="VWV1" s="87" t="n"/>
      <c r="VWW1" s="87" t="n"/>
      <c r="VWX1" s="87" t="n"/>
      <c r="VWY1" s="87" t="n"/>
      <c r="VWZ1" s="87" t="n"/>
      <c r="VXA1" s="87" t="n"/>
      <c r="VXB1" s="87" t="n"/>
      <c r="VXC1" s="87" t="n"/>
      <c r="VXD1" s="87" t="n"/>
      <c r="VXE1" s="87" t="n"/>
      <c r="VXF1" s="87" t="n"/>
      <c r="VXG1" s="87" t="n"/>
      <c r="VXH1" s="87" t="n"/>
      <c r="VXI1" s="87" t="n"/>
      <c r="VXJ1" s="87" t="n"/>
      <c r="VXK1" s="87" t="n"/>
      <c r="VXL1" s="87" t="n"/>
      <c r="VXM1" s="87" t="n"/>
      <c r="VXN1" s="87" t="n"/>
      <c r="VXO1" s="87" t="n"/>
      <c r="VXP1" s="87" t="n"/>
      <c r="VXQ1" s="87" t="n"/>
      <c r="VXR1" s="87" t="n"/>
      <c r="VXS1" s="87" t="n"/>
      <c r="VXT1" s="87" t="n"/>
      <c r="VXU1" s="87" t="n"/>
      <c r="VXV1" s="87" t="n"/>
      <c r="VXW1" s="87" t="n"/>
      <c r="VXX1" s="87" t="n"/>
      <c r="VXY1" s="87" t="n"/>
      <c r="VXZ1" s="87" t="n"/>
      <c r="VYA1" s="87" t="n"/>
      <c r="VYB1" s="87" t="n"/>
      <c r="VYC1" s="87" t="n"/>
      <c r="VYD1" s="87" t="n"/>
      <c r="VYE1" s="87" t="n"/>
      <c r="VYF1" s="87" t="n"/>
      <c r="VYG1" s="87" t="n"/>
      <c r="VYH1" s="87" t="n"/>
      <c r="VYI1" s="87" t="n"/>
      <c r="VYJ1" s="87" t="n"/>
      <c r="VYK1" s="87" t="n"/>
      <c r="VYL1" s="87" t="n"/>
      <c r="VYM1" s="87" t="n"/>
      <c r="VYN1" s="87" t="n"/>
      <c r="VYO1" s="87" t="n"/>
      <c r="VYP1" s="87" t="n"/>
      <c r="VYQ1" s="87" t="n"/>
      <c r="VYR1" s="87" t="n"/>
      <c r="VYS1" s="87" t="n"/>
      <c r="VYT1" s="87" t="n"/>
      <c r="VYU1" s="87" t="n"/>
      <c r="VYV1" s="87" t="n"/>
      <c r="VYW1" s="87" t="n"/>
      <c r="VYX1" s="87" t="n"/>
      <c r="VYY1" s="87" t="n"/>
      <c r="VYZ1" s="87" t="n"/>
      <c r="VZA1" s="87" t="n"/>
      <c r="VZB1" s="87" t="n"/>
      <c r="VZC1" s="87" t="n"/>
      <c r="VZD1" s="87" t="n"/>
      <c r="VZE1" s="87" t="n"/>
      <c r="VZF1" s="87" t="n"/>
      <c r="VZG1" s="87" t="n"/>
      <c r="VZH1" s="87" t="n"/>
      <c r="VZI1" s="87" t="n"/>
      <c r="VZJ1" s="87" t="n"/>
      <c r="VZK1" s="87" t="n"/>
      <c r="VZL1" s="87" t="n"/>
      <c r="VZM1" s="87" t="n"/>
      <c r="VZN1" s="87" t="n"/>
      <c r="VZO1" s="87" t="n"/>
      <c r="VZP1" s="87" t="n"/>
      <c r="VZQ1" s="87" t="n"/>
      <c r="VZR1" s="87" t="n"/>
      <c r="VZS1" s="87" t="n"/>
      <c r="VZT1" s="87" t="n"/>
      <c r="VZU1" s="87" t="n"/>
      <c r="VZV1" s="87" t="n"/>
      <c r="VZW1" s="87" t="n"/>
      <c r="VZX1" s="87" t="n"/>
      <c r="VZY1" s="87" t="n"/>
      <c r="VZZ1" s="87" t="n"/>
      <c r="WAA1" s="87" t="n"/>
      <c r="WAB1" s="87" t="n"/>
      <c r="WAC1" s="87" t="n"/>
      <c r="WAD1" s="87" t="n"/>
      <c r="WAE1" s="87" t="n"/>
      <c r="WAF1" s="87" t="n"/>
      <c r="WAG1" s="87" t="n"/>
      <c r="WAH1" s="87" t="n"/>
      <c r="WAI1" s="87" t="n"/>
      <c r="WAJ1" s="87" t="n"/>
      <c r="WAK1" s="87" t="n"/>
      <c r="WAL1" s="87" t="n"/>
      <c r="WAM1" s="87" t="n"/>
      <c r="WAN1" s="87" t="n"/>
      <c r="WAO1" s="87" t="n"/>
      <c r="WAP1" s="87" t="n"/>
      <c r="WAQ1" s="87" t="n"/>
      <c r="WAR1" s="87" t="n"/>
      <c r="WAS1" s="87" t="n"/>
      <c r="WAT1" s="87" t="n"/>
      <c r="WAU1" s="87" t="n"/>
      <c r="WAV1" s="87" t="n"/>
      <c r="WAW1" s="87" t="n"/>
      <c r="WAX1" s="87" t="n"/>
      <c r="WAY1" s="87" t="n"/>
      <c r="WAZ1" s="87" t="n"/>
      <c r="WBA1" s="87" t="n"/>
      <c r="WBB1" s="87" t="n"/>
      <c r="WBC1" s="87" t="n"/>
      <c r="WBD1" s="87" t="n"/>
      <c r="WBE1" s="87" t="n"/>
      <c r="WBF1" s="87" t="n"/>
      <c r="WBG1" s="87" t="n"/>
      <c r="WBH1" s="87" t="n"/>
      <c r="WBI1" s="87" t="n"/>
      <c r="WBJ1" s="87" t="n"/>
      <c r="WBK1" s="87" t="n"/>
      <c r="WBL1" s="87" t="n"/>
      <c r="WBM1" s="87" t="n"/>
      <c r="WBN1" s="87" t="n"/>
      <c r="WBO1" s="87" t="n"/>
      <c r="WBP1" s="87" t="n"/>
      <c r="WBQ1" s="87" t="n"/>
      <c r="WBR1" s="87" t="n"/>
      <c r="WBS1" s="87" t="n"/>
      <c r="WBT1" s="87" t="n"/>
      <c r="WBU1" s="87" t="n"/>
      <c r="WBV1" s="87" t="n"/>
      <c r="WBW1" s="87" t="n"/>
      <c r="WBX1" s="87" t="n"/>
      <c r="WBY1" s="87" t="n"/>
      <c r="WBZ1" s="87" t="n"/>
      <c r="WCA1" s="87" t="n"/>
      <c r="WCB1" s="87" t="n"/>
      <c r="WCC1" s="87" t="n"/>
      <c r="WCD1" s="87" t="n"/>
      <c r="WCE1" s="87" t="n"/>
      <c r="WCF1" s="87" t="n"/>
      <c r="WCG1" s="87" t="n"/>
      <c r="WCH1" s="87" t="n"/>
      <c r="WCI1" s="87" t="n"/>
      <c r="WCJ1" s="87" t="n"/>
      <c r="WCK1" s="87" t="n"/>
      <c r="WCL1" s="87" t="n"/>
      <c r="WCM1" s="87" t="n"/>
      <c r="WCN1" s="87" t="n"/>
      <c r="WCO1" s="87" t="n"/>
      <c r="WCP1" s="87" t="n"/>
      <c r="WCQ1" s="87" t="n"/>
      <c r="WCR1" s="87" t="n"/>
      <c r="WCS1" s="87" t="n"/>
      <c r="WCT1" s="87" t="n"/>
      <c r="WCU1" s="87" t="n"/>
      <c r="WCV1" s="87" t="n"/>
      <c r="WCW1" s="87" t="n"/>
      <c r="WCX1" s="87" t="n"/>
      <c r="WCY1" s="87" t="n"/>
      <c r="WCZ1" s="87" t="n"/>
      <c r="WDA1" s="87" t="n"/>
      <c r="WDB1" s="87" t="n"/>
      <c r="WDC1" s="87" t="n"/>
      <c r="WDD1" s="87" t="n"/>
      <c r="WDE1" s="87" t="n"/>
      <c r="WDF1" s="87" t="n"/>
      <c r="WDG1" s="87" t="n"/>
      <c r="WDH1" s="87" t="n"/>
      <c r="WDI1" s="87" t="n"/>
      <c r="WDJ1" s="87" t="n"/>
      <c r="WDK1" s="87" t="n"/>
      <c r="WDL1" s="87" t="n"/>
      <c r="WDM1" s="87" t="n"/>
      <c r="WDN1" s="87" t="n"/>
      <c r="WDO1" s="87" t="n"/>
      <c r="WDP1" s="87" t="n"/>
      <c r="WDQ1" s="87" t="n"/>
      <c r="WDR1" s="87" t="n"/>
      <c r="WDS1" s="87" t="n"/>
      <c r="WDT1" s="87" t="n"/>
      <c r="WDU1" s="87" t="n"/>
      <c r="WDV1" s="87" t="n"/>
      <c r="WDW1" s="87" t="n"/>
      <c r="WDX1" s="87" t="n"/>
      <c r="WDY1" s="87" t="n"/>
      <c r="WDZ1" s="87" t="n"/>
      <c r="WEA1" s="87" t="n"/>
      <c r="WEB1" s="87" t="n"/>
      <c r="WEC1" s="87" t="n"/>
      <c r="WED1" s="87" t="n"/>
      <c r="WEE1" s="87" t="n"/>
      <c r="WEF1" s="87" t="n"/>
      <c r="WEG1" s="87" t="n"/>
      <c r="WEH1" s="87" t="n"/>
      <c r="WEI1" s="87" t="n"/>
      <c r="WEJ1" s="87" t="n"/>
      <c r="WEK1" s="87" t="n"/>
      <c r="WEL1" s="87" t="n"/>
      <c r="WEM1" s="87" t="n"/>
      <c r="WEN1" s="87" t="n"/>
      <c r="WEO1" s="87" t="n"/>
      <c r="WEP1" s="87" t="n"/>
      <c r="WEQ1" s="87" t="n"/>
      <c r="WER1" s="87" t="n"/>
      <c r="WES1" s="87" t="n"/>
      <c r="WET1" s="87" t="n"/>
      <c r="WEU1" s="87" t="n"/>
      <c r="WEV1" s="87" t="n"/>
      <c r="WEW1" s="87" t="n"/>
      <c r="WEX1" s="87" t="n"/>
      <c r="WEY1" s="87" t="n"/>
      <c r="WEZ1" s="87" t="n"/>
      <c r="WFA1" s="87" t="n"/>
      <c r="WFB1" s="87" t="n"/>
      <c r="WFC1" s="87" t="n"/>
      <c r="WFD1" s="87" t="n"/>
      <c r="WFE1" s="87" t="n"/>
      <c r="WFF1" s="87" t="n"/>
      <c r="WFG1" s="87" t="n"/>
      <c r="WFH1" s="87" t="n"/>
      <c r="WFI1" s="87" t="n"/>
      <c r="WFJ1" s="87" t="n"/>
      <c r="WFK1" s="87" t="n"/>
      <c r="WFL1" s="87" t="n"/>
      <c r="WFM1" s="87" t="n"/>
      <c r="WFN1" s="87" t="n"/>
      <c r="WFO1" s="87" t="n"/>
      <c r="WFP1" s="87" t="n"/>
      <c r="WFQ1" s="87" t="n"/>
      <c r="WFR1" s="87" t="n"/>
      <c r="WFS1" s="87" t="n"/>
      <c r="WFT1" s="87" t="n"/>
      <c r="WFU1" s="87" t="n"/>
      <c r="WFV1" s="87" t="n"/>
      <c r="WFW1" s="87" t="n"/>
      <c r="WFX1" s="87" t="n"/>
      <c r="WFY1" s="87" t="n"/>
      <c r="WFZ1" s="87" t="n"/>
      <c r="WGA1" s="87" t="n"/>
      <c r="WGB1" s="87" t="n"/>
      <c r="WGC1" s="87" t="n"/>
      <c r="WGD1" s="87" t="n"/>
      <c r="WGE1" s="87" t="n"/>
      <c r="WGF1" s="87" t="n"/>
      <c r="WGG1" s="87" t="n"/>
      <c r="WGH1" s="87" t="n"/>
      <c r="WGI1" s="87" t="n"/>
      <c r="WGJ1" s="87" t="n"/>
      <c r="WGK1" s="87" t="n"/>
      <c r="WGL1" s="87" t="n"/>
      <c r="WGM1" s="87" t="n"/>
      <c r="WGN1" s="87" t="n"/>
      <c r="WGO1" s="87" t="n"/>
      <c r="WGP1" s="87" t="n"/>
      <c r="WGQ1" s="87" t="n"/>
      <c r="WGR1" s="87" t="n"/>
      <c r="WGS1" s="87" t="n"/>
      <c r="WGT1" s="87" t="n"/>
      <c r="WGU1" s="87" t="n"/>
      <c r="WGV1" s="87" t="n"/>
      <c r="WGW1" s="87" t="n"/>
      <c r="WGX1" s="87" t="n"/>
      <c r="WGY1" s="87" t="n"/>
      <c r="WGZ1" s="87" t="n"/>
      <c r="WHA1" s="87" t="n"/>
      <c r="WHB1" s="87" t="n"/>
      <c r="WHC1" s="87" t="n"/>
      <c r="WHD1" s="87" t="n"/>
      <c r="WHE1" s="87" t="n"/>
      <c r="WHF1" s="87" t="n"/>
      <c r="WHG1" s="87" t="n"/>
      <c r="WHH1" s="87" t="n"/>
      <c r="WHI1" s="87" t="n"/>
      <c r="WHJ1" s="87" t="n"/>
      <c r="WHK1" s="87" t="n"/>
      <c r="WHL1" s="87" t="n"/>
      <c r="WHM1" s="87" t="n"/>
      <c r="WHN1" s="87" t="n"/>
      <c r="WHO1" s="87" t="n"/>
      <c r="WHP1" s="87" t="n"/>
      <c r="WHQ1" s="87" t="n"/>
      <c r="WHR1" s="87" t="n"/>
      <c r="WHS1" s="87" t="n"/>
      <c r="WHT1" s="87" t="n"/>
      <c r="WHU1" s="87" t="n"/>
      <c r="WHV1" s="87" t="n"/>
      <c r="WHW1" s="87" t="n"/>
      <c r="WHX1" s="87" t="n"/>
      <c r="WHY1" s="87" t="n"/>
      <c r="WHZ1" s="87" t="n"/>
      <c r="WIA1" s="87" t="n"/>
      <c r="WIB1" s="87" t="n"/>
      <c r="WIC1" s="87" t="n"/>
      <c r="WID1" s="87" t="n"/>
      <c r="WIE1" s="87" t="n"/>
      <c r="WIF1" s="87" t="n"/>
      <c r="WIG1" s="87" t="n"/>
      <c r="WIH1" s="87" t="n"/>
      <c r="WII1" s="87" t="n"/>
      <c r="WIJ1" s="87" t="n"/>
      <c r="WIK1" s="87" t="n"/>
      <c r="WIL1" s="87" t="n"/>
      <c r="WIM1" s="87" t="n"/>
      <c r="WIN1" s="87" t="n"/>
      <c r="WIO1" s="87" t="n"/>
      <c r="WIP1" s="87" t="n"/>
      <c r="WIQ1" s="87" t="n"/>
      <c r="WIR1" s="87" t="n"/>
      <c r="WIS1" s="87" t="n"/>
      <c r="WIT1" s="87" t="n"/>
      <c r="WIU1" s="87" t="n"/>
      <c r="WIV1" s="87" t="n"/>
      <c r="WIW1" s="87" t="n"/>
      <c r="WIX1" s="87" t="n"/>
      <c r="WIY1" s="87" t="n"/>
      <c r="WIZ1" s="87" t="n"/>
      <c r="WJA1" s="87" t="n"/>
      <c r="WJB1" s="87" t="n"/>
      <c r="WJC1" s="87" t="n"/>
      <c r="WJD1" s="87" t="n"/>
      <c r="WJE1" s="87" t="n"/>
      <c r="WJF1" s="87" t="n"/>
      <c r="WJG1" s="87" t="n"/>
      <c r="WJH1" s="87" t="n"/>
      <c r="WJI1" s="87" t="n"/>
      <c r="WJJ1" s="87" t="n"/>
      <c r="WJK1" s="87" t="n"/>
      <c r="WJL1" s="87" t="n"/>
      <c r="WJM1" s="87" t="n"/>
      <c r="WJN1" s="87" t="n"/>
      <c r="WJO1" s="87" t="n"/>
      <c r="WJP1" s="87" t="n"/>
      <c r="WJQ1" s="87" t="n"/>
      <c r="WJR1" s="87" t="n"/>
      <c r="WJS1" s="87" t="n"/>
      <c r="WJT1" s="87" t="n"/>
      <c r="WJU1" s="87" t="n"/>
      <c r="WJV1" s="87" t="n"/>
      <c r="WJW1" s="87" t="n"/>
      <c r="WJX1" s="87" t="n"/>
      <c r="WJY1" s="87" t="n"/>
      <c r="WJZ1" s="87" t="n"/>
      <c r="WKA1" s="87" t="n"/>
      <c r="WKB1" s="87" t="n"/>
      <c r="WKC1" s="87" t="n"/>
      <c r="WKD1" s="87" t="n"/>
      <c r="WKE1" s="87" t="n"/>
      <c r="WKF1" s="87" t="n"/>
      <c r="WKG1" s="87" t="n"/>
      <c r="WKH1" s="87" t="n"/>
      <c r="WKI1" s="87" t="n"/>
      <c r="WKJ1" s="87" t="n"/>
      <c r="WKK1" s="87" t="n"/>
      <c r="WKL1" s="87" t="n"/>
      <c r="WKM1" s="87" t="n"/>
      <c r="WKN1" s="87" t="n"/>
      <c r="WKO1" s="87" t="n"/>
      <c r="WKP1" s="87" t="n"/>
      <c r="WKQ1" s="87" t="n"/>
      <c r="WKR1" s="87" t="n"/>
      <c r="WKS1" s="87" t="n"/>
      <c r="WKT1" s="87" t="n"/>
      <c r="WKU1" s="87" t="n"/>
      <c r="WKV1" s="87" t="n"/>
      <c r="WKW1" s="87" t="n"/>
      <c r="WKX1" s="87" t="n"/>
      <c r="WKY1" s="87" t="n"/>
      <c r="WKZ1" s="87" t="n"/>
      <c r="WLA1" s="87" t="n"/>
      <c r="WLB1" s="87" t="n"/>
      <c r="WLC1" s="87" t="n"/>
      <c r="WLD1" s="87" t="n"/>
      <c r="WLE1" s="87" t="n"/>
      <c r="WLF1" s="87" t="n"/>
      <c r="WLG1" s="87" t="n"/>
      <c r="WLH1" s="87" t="n"/>
      <c r="WLI1" s="87" t="n"/>
      <c r="WLJ1" s="87" t="n"/>
      <c r="WLK1" s="87" t="n"/>
      <c r="WLL1" s="87" t="n"/>
      <c r="WLM1" s="87" t="n"/>
      <c r="WLN1" s="87" t="n"/>
      <c r="WLO1" s="87" t="n"/>
      <c r="WLP1" s="87" t="n"/>
      <c r="WLQ1" s="87" t="n"/>
      <c r="WLR1" s="87" t="n"/>
      <c r="WLS1" s="87" t="n"/>
      <c r="WLT1" s="87" t="n"/>
      <c r="WLU1" s="87" t="n"/>
      <c r="WLV1" s="87" t="n"/>
      <c r="WLW1" s="87" t="n"/>
      <c r="WLX1" s="87" t="n"/>
      <c r="WLY1" s="87" t="n"/>
      <c r="WLZ1" s="87" t="n"/>
      <c r="WMA1" s="87" t="n"/>
      <c r="WMB1" s="87" t="n"/>
      <c r="WMC1" s="87" t="n"/>
      <c r="WMD1" s="87" t="n"/>
      <c r="WME1" s="87" t="n"/>
      <c r="WMF1" s="87" t="n"/>
      <c r="WMG1" s="87" t="n"/>
      <c r="WMH1" s="87" t="n"/>
      <c r="WMI1" s="87" t="n"/>
      <c r="WMJ1" s="87" t="n"/>
      <c r="WMK1" s="87" t="n"/>
      <c r="WML1" s="87" t="n"/>
      <c r="WMM1" s="87" t="n"/>
      <c r="WMN1" s="87" t="n"/>
      <c r="WMO1" s="87" t="n"/>
      <c r="WMP1" s="87" t="n"/>
      <c r="WMQ1" s="87" t="n"/>
      <c r="WMR1" s="87" t="n"/>
      <c r="WMS1" s="87" t="n"/>
      <c r="WMT1" s="87" t="n"/>
      <c r="WMU1" s="87" t="n"/>
      <c r="WMV1" s="87" t="n"/>
      <c r="WMW1" s="87" t="n"/>
      <c r="WMX1" s="87" t="n"/>
      <c r="WMY1" s="87" t="n"/>
      <c r="WMZ1" s="87" t="n"/>
      <c r="WNA1" s="87" t="n"/>
      <c r="WNB1" s="87" t="n"/>
      <c r="WNC1" s="87" t="n"/>
      <c r="WND1" s="87" t="n"/>
      <c r="WNE1" s="87" t="n"/>
      <c r="WNF1" s="87" t="n"/>
      <c r="WNG1" s="87" t="n"/>
      <c r="WNH1" s="87" t="n"/>
      <c r="WNI1" s="87" t="n"/>
      <c r="WNJ1" s="87" t="n"/>
      <c r="WNK1" s="87" t="n"/>
      <c r="WNL1" s="87" t="n"/>
      <c r="WNM1" s="87" t="n"/>
      <c r="WNN1" s="87" t="n"/>
      <c r="WNO1" s="87" t="n"/>
      <c r="WNP1" s="87" t="n"/>
      <c r="WNQ1" s="87" t="n"/>
      <c r="WNR1" s="87" t="n"/>
      <c r="WNS1" s="87" t="n"/>
      <c r="WNT1" s="87" t="n"/>
      <c r="WNU1" s="87" t="n"/>
      <c r="WNV1" s="87" t="n"/>
      <c r="WNW1" s="87" t="n"/>
      <c r="WNX1" s="87" t="n"/>
      <c r="WNY1" s="87" t="n"/>
      <c r="WNZ1" s="87" t="n"/>
      <c r="WOA1" s="87" t="n"/>
      <c r="WOB1" s="87" t="n"/>
      <c r="WOC1" s="87" t="n"/>
      <c r="WOD1" s="87" t="n"/>
      <c r="WOE1" s="87" t="n"/>
      <c r="WOF1" s="87" t="n"/>
      <c r="WOG1" s="87" t="n"/>
      <c r="WOH1" s="87" t="n"/>
      <c r="WOI1" s="87" t="n"/>
      <c r="WOJ1" s="87" t="n"/>
      <c r="WOK1" s="87" t="n"/>
      <c r="WOL1" s="87" t="n"/>
      <c r="WOM1" s="87" t="n"/>
      <c r="WON1" s="87" t="n"/>
      <c r="WOO1" s="87" t="n"/>
      <c r="WOP1" s="87" t="n"/>
      <c r="WOQ1" s="87" t="n"/>
      <c r="WOR1" s="87" t="n"/>
      <c r="WOS1" s="87" t="n"/>
      <c r="WOT1" s="87" t="n"/>
      <c r="WOU1" s="87" t="n"/>
      <c r="WOV1" s="87" t="n"/>
      <c r="WOW1" s="87" t="n"/>
      <c r="WOX1" s="87" t="n"/>
      <c r="WOY1" s="87" t="n"/>
      <c r="WOZ1" s="87" t="n"/>
      <c r="WPA1" s="87" t="n"/>
      <c r="WPB1" s="87" t="n"/>
      <c r="WPC1" s="87" t="n"/>
      <c r="WPD1" s="87" t="n"/>
      <c r="WPE1" s="87" t="n"/>
      <c r="WPF1" s="87" t="n"/>
      <c r="WPG1" s="87" t="n"/>
      <c r="WPH1" s="87" t="n"/>
      <c r="WPI1" s="87" t="n"/>
      <c r="WPJ1" s="87" t="n"/>
      <c r="WPK1" s="87" t="n"/>
      <c r="WPL1" s="87" t="n"/>
      <c r="WPM1" s="87" t="n"/>
      <c r="WPN1" s="87" t="n"/>
      <c r="WPO1" s="87" t="n"/>
      <c r="WPP1" s="87" t="n"/>
      <c r="WPQ1" s="87" t="n"/>
      <c r="WPR1" s="87" t="n"/>
      <c r="WPS1" s="87" t="n"/>
      <c r="WPT1" s="87" t="n"/>
      <c r="WPU1" s="87" t="n"/>
      <c r="WPV1" s="87" t="n"/>
      <c r="WPW1" s="87" t="n"/>
      <c r="WPX1" s="87" t="n"/>
      <c r="WPY1" s="87" t="n"/>
      <c r="WPZ1" s="87" t="n"/>
      <c r="WQA1" s="87" t="n"/>
      <c r="WQB1" s="87" t="n"/>
      <c r="WQC1" s="87" t="n"/>
      <c r="WQD1" s="87" t="n"/>
      <c r="WQE1" s="87" t="n"/>
      <c r="WQF1" s="87" t="n"/>
      <c r="WQG1" s="87" t="n"/>
      <c r="WQH1" s="87" t="n"/>
      <c r="WQI1" s="87" t="n"/>
      <c r="WQJ1" s="87" t="n"/>
      <c r="WQK1" s="87" t="n"/>
      <c r="WQL1" s="87" t="n"/>
      <c r="WQM1" s="87" t="n"/>
      <c r="WQN1" s="87" t="n"/>
      <c r="WQO1" s="87" t="n"/>
      <c r="WQP1" s="87" t="n"/>
      <c r="WQQ1" s="87" t="n"/>
      <c r="WQR1" s="87" t="n"/>
      <c r="WQS1" s="87" t="n"/>
      <c r="WQT1" s="87" t="n"/>
      <c r="WQU1" s="87" t="n"/>
      <c r="WQV1" s="87" t="n"/>
      <c r="WQW1" s="87" t="n"/>
      <c r="WQX1" s="87" t="n"/>
      <c r="WQY1" s="87" t="n"/>
      <c r="WQZ1" s="87" t="n"/>
      <c r="WRA1" s="87" t="n"/>
      <c r="WRB1" s="87" t="n"/>
      <c r="WRC1" s="87" t="n"/>
      <c r="WRD1" s="87" t="n"/>
      <c r="WRE1" s="87" t="n"/>
      <c r="WRF1" s="87" t="n"/>
      <c r="WRG1" s="87" t="n"/>
      <c r="WRH1" s="87" t="n"/>
      <c r="WRI1" s="87" t="n"/>
      <c r="WRJ1" s="87" t="n"/>
      <c r="WRK1" s="87" t="n"/>
      <c r="WRL1" s="87" t="n"/>
      <c r="WRM1" s="87" t="n"/>
      <c r="WRN1" s="87" t="n"/>
      <c r="WRO1" s="87" t="n"/>
      <c r="WRP1" s="87" t="n"/>
      <c r="WRQ1" s="87" t="n"/>
      <c r="WRR1" s="87" t="n"/>
      <c r="WRS1" s="87" t="n"/>
      <c r="WRT1" s="87" t="n"/>
      <c r="WRU1" s="87" t="n"/>
      <c r="WRV1" s="87" t="n"/>
      <c r="WRW1" s="87" t="n"/>
      <c r="WRX1" s="87" t="n"/>
      <c r="WRY1" s="87" t="n"/>
      <c r="WRZ1" s="87" t="n"/>
      <c r="WSA1" s="87" t="n"/>
      <c r="WSB1" s="87" t="n"/>
      <c r="WSC1" s="87" t="n"/>
      <c r="WSD1" s="87" t="n"/>
      <c r="WSE1" s="87" t="n"/>
      <c r="WSF1" s="87" t="n"/>
      <c r="WSG1" s="87" t="n"/>
      <c r="WSH1" s="87" t="n"/>
      <c r="WSI1" s="87" t="n"/>
      <c r="WSJ1" s="87" t="n"/>
      <c r="WSK1" s="87" t="n"/>
      <c r="WSL1" s="87" t="n"/>
      <c r="WSM1" s="87" t="n"/>
      <c r="WSN1" s="87" t="n"/>
      <c r="WSO1" s="87" t="n"/>
      <c r="WSP1" s="87" t="n"/>
      <c r="WSQ1" s="87" t="n"/>
      <c r="WSR1" s="87" t="n"/>
      <c r="WSS1" s="87" t="n"/>
      <c r="WST1" s="87" t="n"/>
      <c r="WSU1" s="87" t="n"/>
      <c r="WSV1" s="87" t="n"/>
      <c r="WSW1" s="87" t="n"/>
      <c r="WSX1" s="87" t="n"/>
      <c r="WSY1" s="87" t="n"/>
      <c r="WSZ1" s="87" t="n"/>
      <c r="WTA1" s="87" t="n"/>
      <c r="WTB1" s="87" t="n"/>
      <c r="WTC1" s="87" t="n"/>
      <c r="WTD1" s="87" t="n"/>
      <c r="WTE1" s="87" t="n"/>
      <c r="WTF1" s="87" t="n"/>
      <c r="WTG1" s="87" t="n"/>
      <c r="WTH1" s="87" t="n"/>
      <c r="WTI1" s="87" t="n"/>
      <c r="WTJ1" s="87" t="n"/>
      <c r="WTK1" s="87" t="n"/>
      <c r="WTL1" s="87" t="n"/>
      <c r="WTM1" s="87" t="n"/>
      <c r="WTN1" s="87" t="n"/>
      <c r="WTO1" s="87" t="n"/>
      <c r="WTP1" s="87" t="n"/>
      <c r="WTQ1" s="87" t="n"/>
      <c r="WTR1" s="87" t="n"/>
      <c r="WTS1" s="87" t="n"/>
      <c r="WTT1" s="87" t="n"/>
      <c r="WTU1" s="87" t="n"/>
      <c r="WTV1" s="87" t="n"/>
      <c r="WTW1" s="87" t="n"/>
      <c r="WTX1" s="87" t="n"/>
      <c r="WTY1" s="87" t="n"/>
      <c r="WTZ1" s="87" t="n"/>
      <c r="WUA1" s="87" t="n"/>
      <c r="WUB1" s="87" t="n"/>
      <c r="WUC1" s="87" t="n"/>
      <c r="WUD1" s="87" t="n"/>
      <c r="WUE1" s="87" t="n"/>
      <c r="WUF1" s="87" t="n"/>
      <c r="WUG1" s="87" t="n"/>
      <c r="WUH1" s="87" t="n"/>
      <c r="WUI1" s="87" t="n"/>
      <c r="WUJ1" s="87" t="n"/>
      <c r="WUK1" s="87" t="n"/>
      <c r="WUL1" s="87" t="n"/>
      <c r="WUM1" s="87" t="n"/>
      <c r="WUN1" s="87" t="n"/>
      <c r="WUO1" s="87" t="n"/>
      <c r="WUP1" s="87" t="n"/>
      <c r="WUQ1" s="87" t="n"/>
      <c r="WUR1" s="87" t="n"/>
      <c r="WUS1" s="87" t="n"/>
      <c r="WUT1" s="87" t="n"/>
      <c r="WUU1" s="87" t="n"/>
      <c r="WUV1" s="87" t="n"/>
      <c r="WUW1" s="87" t="n"/>
      <c r="WUX1" s="87" t="n"/>
      <c r="WUY1" s="87" t="n"/>
      <c r="WUZ1" s="87" t="n"/>
      <c r="WVA1" s="87" t="n"/>
      <c r="WVB1" s="87" t="n"/>
      <c r="WVC1" s="87" t="n"/>
      <c r="WVD1" s="87" t="n"/>
      <c r="WVE1" s="87" t="n"/>
      <c r="WVF1" s="87" t="n"/>
      <c r="WVG1" s="87" t="n"/>
      <c r="WVH1" s="87" t="n"/>
      <c r="WVI1" s="87" t="n"/>
      <c r="WVJ1" s="87" t="n"/>
      <c r="WVK1" s="87" t="n"/>
      <c r="WVL1" s="87" t="n"/>
      <c r="WVM1" s="87" t="n"/>
      <c r="WVN1" s="87" t="n"/>
      <c r="WVO1" s="87" t="n"/>
      <c r="WVP1" s="87" t="n"/>
      <c r="WVQ1" s="87" t="n"/>
      <c r="WVR1" s="87" t="n"/>
      <c r="WVS1" s="87" t="n"/>
      <c r="WVT1" s="87" t="n"/>
      <c r="WVU1" s="87" t="n"/>
      <c r="WVV1" s="87" t="n"/>
      <c r="WVW1" s="87" t="n"/>
      <c r="WVX1" s="87" t="n"/>
      <c r="WVY1" s="87" t="n"/>
      <c r="WVZ1" s="87" t="n"/>
      <c r="WWA1" s="87" t="n"/>
      <c r="WWB1" s="87" t="n"/>
      <c r="WWC1" s="87" t="n"/>
      <c r="WWD1" s="87" t="n"/>
      <c r="WWE1" s="87" t="n"/>
      <c r="WWF1" s="87" t="n"/>
      <c r="WWG1" s="87" t="n"/>
      <c r="WWH1" s="87" t="n"/>
      <c r="WWI1" s="87" t="n"/>
      <c r="WWJ1" s="87" t="n"/>
      <c r="WWK1" s="87" t="n"/>
      <c r="WWL1" s="87" t="n"/>
      <c r="WWM1" s="87" t="n"/>
      <c r="WWN1" s="87" t="n"/>
      <c r="WWO1" s="87" t="n"/>
      <c r="WWP1" s="87" t="n"/>
      <c r="WWQ1" s="87" t="n"/>
      <c r="WWR1" s="87" t="n"/>
      <c r="WWS1" s="87" t="n"/>
      <c r="WWT1" s="87" t="n"/>
      <c r="WWU1" s="87" t="n"/>
      <c r="WWV1" s="87" t="n"/>
      <c r="WWW1" s="87" t="n"/>
      <c r="WWX1" s="87" t="n"/>
      <c r="WWY1" s="87" t="n"/>
      <c r="WWZ1" s="87" t="n"/>
      <c r="WXA1" s="87" t="n"/>
      <c r="WXB1" s="87" t="n"/>
      <c r="WXC1" s="87" t="n"/>
      <c r="WXD1" s="87" t="n"/>
      <c r="WXE1" s="87" t="n"/>
      <c r="WXF1" s="87" t="n"/>
      <c r="WXG1" s="87" t="n"/>
      <c r="WXH1" s="87" t="n"/>
      <c r="WXI1" s="87" t="n"/>
      <c r="WXJ1" s="87" t="n"/>
      <c r="WXK1" s="87" t="n"/>
      <c r="WXL1" s="87" t="n"/>
      <c r="WXM1" s="87" t="n"/>
      <c r="WXN1" s="87" t="n"/>
      <c r="WXO1" s="87" t="n"/>
      <c r="WXP1" s="87" t="n"/>
      <c r="WXQ1" s="87" t="n"/>
      <c r="WXR1" s="87" t="n"/>
      <c r="WXS1" s="87" t="n"/>
      <c r="WXT1" s="87" t="n"/>
      <c r="WXU1" s="87" t="n"/>
      <c r="WXV1" s="87" t="n"/>
      <c r="WXW1" s="87" t="n"/>
      <c r="WXX1" s="87" t="n"/>
      <c r="WXY1" s="87" t="n"/>
      <c r="WXZ1" s="87" t="n"/>
      <c r="WYA1" s="87" t="n"/>
      <c r="WYB1" s="87" t="n"/>
      <c r="WYC1" s="87" t="n"/>
      <c r="WYD1" s="87" t="n"/>
      <c r="WYE1" s="87" t="n"/>
      <c r="WYF1" s="87" t="n"/>
      <c r="WYG1" s="87" t="n"/>
      <c r="WYH1" s="87" t="n"/>
      <c r="WYI1" s="87" t="n"/>
      <c r="WYJ1" s="87" t="n"/>
      <c r="WYK1" s="87" t="n"/>
      <c r="WYL1" s="87" t="n"/>
      <c r="WYM1" s="87" t="n"/>
      <c r="WYN1" s="87" t="n"/>
      <c r="WYO1" s="87" t="n"/>
      <c r="WYP1" s="87" t="n"/>
      <c r="WYQ1" s="87" t="n"/>
      <c r="WYR1" s="87" t="n"/>
      <c r="WYS1" s="87" t="n"/>
      <c r="WYT1" s="87" t="n"/>
      <c r="WYU1" s="87" t="n"/>
      <c r="WYV1" s="87" t="n"/>
      <c r="WYW1" s="87" t="n"/>
      <c r="WYX1" s="87" t="n"/>
      <c r="WYY1" s="87" t="n"/>
      <c r="WYZ1" s="87" t="n"/>
      <c r="WZA1" s="87" t="n"/>
      <c r="WZB1" s="87" t="n"/>
      <c r="WZC1" s="87" t="n"/>
      <c r="WZD1" s="87" t="n"/>
      <c r="WZE1" s="87" t="n"/>
      <c r="WZF1" s="87" t="n"/>
      <c r="WZG1" s="87" t="n"/>
      <c r="WZH1" s="87" t="n"/>
      <c r="WZI1" s="87" t="n"/>
      <c r="WZJ1" s="87" t="n"/>
      <c r="WZK1" s="87" t="n"/>
      <c r="WZL1" s="87" t="n"/>
      <c r="WZM1" s="87" t="n"/>
      <c r="WZN1" s="87" t="n"/>
      <c r="WZO1" s="87" t="n"/>
      <c r="WZP1" s="87" t="n"/>
      <c r="WZQ1" s="87" t="n"/>
      <c r="WZR1" s="87" t="n"/>
      <c r="WZS1" s="87" t="n"/>
      <c r="WZT1" s="87" t="n"/>
      <c r="WZU1" s="87" t="n"/>
      <c r="WZV1" s="87" t="n"/>
      <c r="WZW1" s="87" t="n"/>
      <c r="WZX1" s="87" t="n"/>
      <c r="WZY1" s="87" t="n"/>
      <c r="WZZ1" s="87" t="n"/>
      <c r="XAA1" s="87" t="n"/>
      <c r="XAB1" s="87" t="n"/>
      <c r="XAC1" s="87" t="n"/>
      <c r="XAD1" s="87" t="n"/>
      <c r="XAE1" s="87" t="n"/>
      <c r="XAF1" s="87" t="n"/>
      <c r="XAG1" s="87" t="n"/>
      <c r="XAH1" s="87" t="n"/>
      <c r="XAI1" s="87" t="n"/>
      <c r="XAJ1" s="87" t="n"/>
      <c r="XAK1" s="87" t="n"/>
      <c r="XAL1" s="87" t="n"/>
      <c r="XAM1" s="87" t="n"/>
      <c r="XAN1" s="87" t="n"/>
      <c r="XAO1" s="87" t="n"/>
      <c r="XAP1" s="87" t="n"/>
      <c r="XAQ1" s="87" t="n"/>
      <c r="XAR1" s="87" t="n"/>
      <c r="XAS1" s="87" t="n"/>
      <c r="XAT1" s="87" t="n"/>
      <c r="XAU1" s="87" t="n"/>
      <c r="XAV1" s="87" t="n"/>
      <c r="XAW1" s="87" t="n"/>
      <c r="XAX1" s="87" t="n"/>
      <c r="XAY1" s="87" t="n"/>
      <c r="XAZ1" s="87" t="n"/>
      <c r="XBA1" s="87" t="n"/>
      <c r="XBB1" s="87" t="n"/>
      <c r="XBC1" s="87" t="n"/>
      <c r="XBD1" s="87" t="n"/>
      <c r="XBE1" s="87" t="n"/>
      <c r="XBF1" s="87" t="n"/>
      <c r="XBG1" s="87" t="n"/>
      <c r="XBH1" s="87" t="n"/>
      <c r="XBI1" s="87" t="n"/>
      <c r="XBJ1" s="87" t="n"/>
      <c r="XBK1" s="87" t="n"/>
      <c r="XBL1" s="87" t="n"/>
      <c r="XBM1" s="87" t="n"/>
      <c r="XBN1" s="87" t="n"/>
      <c r="XBO1" s="87" t="n"/>
      <c r="XBP1" s="87" t="n"/>
      <c r="XBQ1" s="87" t="n"/>
      <c r="XBR1" s="87" t="n"/>
      <c r="XBS1" s="87" t="n"/>
      <c r="XBT1" s="87" t="n"/>
      <c r="XBU1" s="87" t="n"/>
      <c r="XBV1" s="87" t="n"/>
      <c r="XBW1" s="87" t="n"/>
      <c r="XBX1" s="87" t="n"/>
      <c r="XBY1" s="87" t="n"/>
      <c r="XBZ1" s="87" t="n"/>
      <c r="XCA1" s="87" t="n"/>
      <c r="XCB1" s="87" t="n"/>
      <c r="XCC1" s="87" t="n"/>
      <c r="XCD1" s="87" t="n"/>
      <c r="XCE1" s="87" t="n"/>
      <c r="XCF1" s="87" t="n"/>
      <c r="XCG1" s="87" t="n"/>
      <c r="XCH1" s="87" t="n"/>
      <c r="XCI1" s="87" t="n"/>
      <c r="XCJ1" s="87" t="n"/>
      <c r="XCK1" s="87" t="n"/>
      <c r="XCL1" s="87" t="n"/>
      <c r="XCM1" s="87" t="n"/>
      <c r="XCN1" s="87" t="n"/>
      <c r="XCO1" s="87" t="n"/>
      <c r="XCP1" s="87" t="n"/>
      <c r="XCQ1" s="87" t="n"/>
      <c r="XCR1" s="87" t="n"/>
      <c r="XCS1" s="87" t="n"/>
      <c r="XCT1" s="87" t="n"/>
      <c r="XCU1" s="87" t="n"/>
      <c r="XCV1" s="87" t="n"/>
      <c r="XCW1" s="87" t="n"/>
      <c r="XCX1" s="87" t="n"/>
      <c r="XCY1" s="87" t="n"/>
      <c r="XCZ1" s="87" t="n"/>
      <c r="XDA1" s="87" t="n"/>
      <c r="XDB1" s="87" t="n"/>
      <c r="XDC1" s="87" t="n"/>
      <c r="XDD1" s="87" t="n"/>
      <c r="XDE1" s="87" t="n"/>
      <c r="XDF1" s="87" t="n"/>
      <c r="XDG1" s="87" t="n"/>
      <c r="XDH1" s="87" t="n"/>
      <c r="XDI1" s="87" t="n"/>
      <c r="XDJ1" s="87" t="n"/>
      <c r="XDK1" s="87" t="n"/>
      <c r="XDL1" s="87" t="n"/>
      <c r="XDM1" s="87" t="n"/>
      <c r="XDN1" s="87" t="n"/>
      <c r="XDO1" s="87" t="n"/>
      <c r="XDP1" s="87" t="n"/>
      <c r="XDQ1" s="87" t="n"/>
      <c r="XDR1" s="87" t="n"/>
      <c r="XDS1" s="87" t="n"/>
      <c r="XDT1" s="87" t="n"/>
      <c r="XDU1" s="87" t="n"/>
      <c r="XDV1" s="87" t="n"/>
      <c r="XDW1" s="87" t="n"/>
      <c r="XDX1" s="87" t="n"/>
      <c r="XDY1" s="87" t="n"/>
      <c r="XDZ1" s="87" t="n"/>
      <c r="XEA1" s="87" t="n"/>
      <c r="XEB1" s="87" t="n"/>
      <c r="XEC1" s="87" t="n"/>
      <c r="XED1" s="87" t="n"/>
      <c r="XEE1" s="87" t="n"/>
      <c r="XEF1" s="87" t="n"/>
      <c r="XEG1" s="87" t="n"/>
      <c r="XEH1" s="87" t="n"/>
      <c r="XEI1" s="87" t="n"/>
      <c r="XEJ1" s="87" t="n"/>
    </row>
    <row r="2">
      <c r="A2">
        <f>I2&amp;"-"&amp;J2</f>
        <v/>
      </c>
      <c r="B2" s="1">
        <f>M2</f>
        <v/>
      </c>
      <c r="C2">
        <f>N2</f>
        <v/>
      </c>
      <c r="D2">
        <f>K2</f>
        <v/>
      </c>
      <c r="E2">
        <f>L2</f>
        <v/>
      </c>
      <c r="F2" s="236">
        <f>S2</f>
        <v/>
      </c>
      <c r="G2">
        <f>U2*100&amp;"%"</f>
        <v/>
      </c>
      <c r="I2" s="212" t="n">
        <v>2024</v>
      </c>
      <c r="J2" s="213" t="n">
        <v>1</v>
      </c>
      <c r="K2" s="71" t="inlineStr">
        <is>
          <t>Ausgaben</t>
        </is>
      </c>
      <c r="L2" t="inlineStr">
        <is>
          <t>sonstige Betriebsausgaben</t>
        </is>
      </c>
      <c r="M2" s="1" t="n">
        <v>45293</v>
      </c>
      <c r="N2" t="inlineStr">
        <is>
          <t>HoT Telekom und Service GmbH, Postfach 28, 1121 Wien</t>
        </is>
      </c>
      <c r="Q2" t="b">
        <v>0</v>
      </c>
      <c r="R2" s="214" t="n">
        <v>19.9</v>
      </c>
      <c r="S2" s="215" t="n">
        <v>19.9</v>
      </c>
      <c r="T2" s="159" t="n">
        <v>1</v>
      </c>
      <c r="U2" s="159" t="n">
        <v>0.2</v>
      </c>
      <c r="V2" s="215" t="n">
        <v>3.316666666666666</v>
      </c>
      <c r="W2" s="215" t="n">
        <v>3.316666666666666</v>
      </c>
      <c r="X2" s="215" t="n">
        <v>16.58333333333333</v>
      </c>
      <c r="Y2" s="215" t="n">
        <v>16.58333333333333</v>
      </c>
      <c r="Z2" s="192" t="n">
        <v>45427</v>
      </c>
      <c r="AA2" t="n">
        <v>20</v>
      </c>
      <c r="AB2" s="220" t="n">
        <v>16.58333333333333</v>
      </c>
      <c r="AC2" s="221" t="n">
        <v>3.98</v>
      </c>
      <c r="AD2" s="237" t="n">
        <v>0</v>
      </c>
      <c r="AE2" t="b">
        <v>0</v>
      </c>
      <c r="AF2" s="228" t="n">
        <v>529.3</v>
      </c>
    </row>
    <row r="3">
      <c r="A3">
        <f>I3&amp;"-"&amp;J3</f>
        <v/>
      </c>
      <c r="B3" s="1">
        <f>M3</f>
        <v/>
      </c>
      <c r="C3">
        <f>N3</f>
        <v/>
      </c>
      <c r="D3">
        <f>K3</f>
        <v/>
      </c>
      <c r="E3">
        <f>L3</f>
        <v/>
      </c>
      <c r="F3" s="236">
        <f>S3</f>
        <v/>
      </c>
      <c r="G3">
        <f>U3*100&amp;"%"</f>
        <v/>
      </c>
      <c r="I3" s="212" t="n">
        <v>2024</v>
      </c>
      <c r="J3" s="213" t="n">
        <v>2</v>
      </c>
      <c r="K3" s="71" t="inlineStr">
        <is>
          <t>Einnahmen</t>
        </is>
      </c>
      <c r="L3" t="inlineStr">
        <is>
          <t>Waren-/Leistungserlöse</t>
        </is>
      </c>
      <c r="M3" s="1" t="n">
        <v>45294</v>
      </c>
      <c r="N3" t="inlineStr">
        <is>
          <t>ZT DI Dr. Arno Kolbitsch, Gütleweg 1, 6822 Satteins</t>
        </is>
      </c>
      <c r="R3" s="214" t="n">
        <v>696.34</v>
      </c>
      <c r="S3" s="215" t="n">
        <v>696.34</v>
      </c>
      <c r="T3" s="159" t="n">
        <v>1</v>
      </c>
      <c r="U3" s="159" t="n">
        <v>0.2</v>
      </c>
      <c r="V3" s="215" t="n">
        <v>116.0566666666667</v>
      </c>
      <c r="W3" s="215" t="n">
        <v>116.0566666666667</v>
      </c>
      <c r="X3" s="215" t="n">
        <v>580.2833333333334</v>
      </c>
      <c r="Y3" s="215" t="n">
        <v>580.2833333333334</v>
      </c>
      <c r="Z3" s="192" t="n">
        <v>45427</v>
      </c>
      <c r="AB3" s="220" t="n">
        <v>580.2833333333334</v>
      </c>
      <c r="AC3" s="221" t="n">
        <v>0</v>
      </c>
      <c r="AD3" s="237" t="n">
        <v>1.872</v>
      </c>
      <c r="AE3" t="b">
        <v>0</v>
      </c>
      <c r="AF3" s="228" t="n">
        <v>-9.359999999999999</v>
      </c>
    </row>
    <row r="4">
      <c r="A4">
        <f>I4&amp;"-"&amp;J4</f>
        <v/>
      </c>
      <c r="B4" s="1">
        <f>M4</f>
        <v/>
      </c>
      <c r="C4">
        <f>N4</f>
        <v/>
      </c>
      <c r="D4">
        <f>K4</f>
        <v/>
      </c>
      <c r="E4">
        <f>L4</f>
        <v/>
      </c>
      <c r="F4" s="236">
        <f>S4</f>
        <v/>
      </c>
      <c r="G4">
        <f>U4*100&amp;"%"</f>
        <v/>
      </c>
      <c r="I4" s="212" t="n">
        <v>2024</v>
      </c>
      <c r="J4" s="213" t="n">
        <v>3</v>
      </c>
      <c r="K4" s="71" t="inlineStr">
        <is>
          <t>Ausgaben</t>
        </is>
      </c>
      <c r="L4" t="inlineStr">
        <is>
          <t>sonstige Betriebsausgaben</t>
        </is>
      </c>
      <c r="M4" s="1" t="n">
        <v>45294</v>
      </c>
      <c r="N4" t="inlineStr">
        <is>
          <t>Google Ireland Ltd, Gordon House, Barrow Street, Dublin 4, Ireland; VAT number: IE 6388047V</t>
        </is>
      </c>
      <c r="Q4" t="b">
        <v>0</v>
      </c>
      <c r="R4" s="214" t="n">
        <v>10.4</v>
      </c>
      <c r="S4" s="215" t="n">
        <v>10.4</v>
      </c>
      <c r="T4" s="159" t="n">
        <v>1</v>
      </c>
      <c r="U4" s="159" t="n">
        <v>0</v>
      </c>
      <c r="V4" s="215" t="n">
        <v>0</v>
      </c>
      <c r="W4" s="215" t="n">
        <v>0</v>
      </c>
      <c r="X4" s="215" t="n">
        <v>10.4</v>
      </c>
      <c r="Y4" s="215" t="n">
        <v>10.4</v>
      </c>
      <c r="Z4" s="192" t="n">
        <v>45427</v>
      </c>
      <c r="AA4" t="n">
        <v>20</v>
      </c>
      <c r="AB4" s="220" t="n">
        <v>10.4</v>
      </c>
      <c r="AC4" s="221" t="n">
        <v>2.08</v>
      </c>
      <c r="AD4" s="237" t="n">
        <v>0</v>
      </c>
      <c r="AE4" t="b">
        <v>0</v>
      </c>
      <c r="AF4" s="228" t="n">
        <v>-44.62</v>
      </c>
    </row>
    <row r="5">
      <c r="A5">
        <f>I5&amp;"-"&amp;J5</f>
        <v/>
      </c>
      <c r="B5" s="1">
        <f>M5</f>
        <v/>
      </c>
      <c r="C5">
        <f>N5</f>
        <v/>
      </c>
      <c r="D5">
        <f>K5</f>
        <v/>
      </c>
      <c r="E5">
        <f>L5</f>
        <v/>
      </c>
      <c r="F5" s="236">
        <f>S5</f>
        <v/>
      </c>
      <c r="G5">
        <f>U5*100&amp;"%"</f>
        <v/>
      </c>
      <c r="I5" s="212" t="n">
        <v>2024</v>
      </c>
      <c r="J5" s="213" t="n">
        <v>4</v>
      </c>
      <c r="K5" s="71" t="inlineStr">
        <is>
          <t>Ausgaben</t>
        </is>
      </c>
      <c r="L5" t="inlineStr">
        <is>
          <t>Telefon/Internet</t>
        </is>
      </c>
      <c r="M5" s="1" t="n">
        <v>45299</v>
      </c>
      <c r="N5" t="inlineStr">
        <is>
          <t>Hutchison Drei Austria GmbH, Brünner Straße 52, 1210 Wien, Österreich</t>
        </is>
      </c>
      <c r="Q5" t="b">
        <v>0</v>
      </c>
      <c r="R5" s="214" t="n">
        <v>12.9</v>
      </c>
      <c r="S5" s="215" t="n">
        <v>12.9</v>
      </c>
      <c r="T5" s="159" t="n">
        <v>1</v>
      </c>
      <c r="U5" s="159" t="n">
        <v>0.2</v>
      </c>
      <c r="V5" s="215" t="n">
        <v>2.15</v>
      </c>
      <c r="W5" s="215" t="n">
        <v>2.15</v>
      </c>
      <c r="X5" s="215" t="n">
        <v>10.75</v>
      </c>
      <c r="Y5" s="215" t="n">
        <v>10.75</v>
      </c>
      <c r="Z5" s="192" t="n">
        <v>45427</v>
      </c>
      <c r="AB5" s="220" t="n">
        <v>10.75</v>
      </c>
      <c r="AC5" s="221" t="n">
        <v>0</v>
      </c>
      <c r="AD5" s="237" t="n">
        <v>0</v>
      </c>
      <c r="AE5" t="b">
        <v>0</v>
      </c>
      <c r="AF5" s="228" t="n">
        <v>-515.85</v>
      </c>
    </row>
    <row r="6">
      <c r="A6">
        <f>I6&amp;"-"&amp;J6</f>
        <v/>
      </c>
      <c r="B6" s="1">
        <f>M6</f>
        <v/>
      </c>
      <c r="C6">
        <f>N6</f>
        <v/>
      </c>
      <c r="D6">
        <f>K6</f>
        <v/>
      </c>
      <c r="E6">
        <f>L6</f>
        <v/>
      </c>
      <c r="F6" s="236">
        <f>S6</f>
        <v/>
      </c>
      <c r="G6">
        <f>U6*100&amp;"%"</f>
        <v/>
      </c>
      <c r="I6" s="212" t="n">
        <v>2024</v>
      </c>
      <c r="J6" s="213" t="n">
        <v>5</v>
      </c>
      <c r="K6" s="71" t="inlineStr">
        <is>
          <t>Ausgaben</t>
        </is>
      </c>
      <c r="L6" t="inlineStr">
        <is>
          <t>sonstige Betriebsausgaben</t>
        </is>
      </c>
      <c r="M6" s="1" t="n">
        <v>45300</v>
      </c>
      <c r="N6" t="inlineStr">
        <is>
          <t>Aon Austria GmbH</t>
        </is>
      </c>
      <c r="Q6" t="b">
        <v>0</v>
      </c>
      <c r="R6" s="214" t="n">
        <v>264.62</v>
      </c>
      <c r="S6" s="215" t="n">
        <v>264.62</v>
      </c>
      <c r="T6" s="159" t="n">
        <v>1</v>
      </c>
      <c r="U6" s="159" t="n">
        <v>0</v>
      </c>
      <c r="V6" s="215" t="n">
        <v>0</v>
      </c>
      <c r="W6" s="215" t="n">
        <v>0</v>
      </c>
      <c r="X6" s="215" t="n">
        <v>264.62</v>
      </c>
      <c r="Y6" s="215" t="n">
        <v>264.62</v>
      </c>
      <c r="Z6" s="192" t="n">
        <v>45427</v>
      </c>
      <c r="AB6" s="220" t="n">
        <v>264.62</v>
      </c>
      <c r="AC6" s="221" t="n">
        <v>0</v>
      </c>
      <c r="AD6" s="237" t="n">
        <v>0</v>
      </c>
      <c r="AE6" t="b">
        <v>0</v>
      </c>
      <c r="AF6" s="228" t="n">
        <v>-15</v>
      </c>
    </row>
    <row r="7">
      <c r="A7">
        <f>I7&amp;"-"&amp;J7</f>
        <v/>
      </c>
      <c r="B7" s="1">
        <f>M7</f>
        <v/>
      </c>
      <c r="C7">
        <f>N7</f>
        <v/>
      </c>
      <c r="D7">
        <f>K7</f>
        <v/>
      </c>
      <c r="E7">
        <f>L7</f>
        <v/>
      </c>
      <c r="F7" s="236">
        <f>S7</f>
        <v/>
      </c>
      <c r="G7">
        <f>U7*100&amp;"%"</f>
        <v/>
      </c>
      <c r="I7" s="212" t="n">
        <v>2024</v>
      </c>
      <c r="J7" s="213" t="n">
        <v>6</v>
      </c>
      <c r="K7" s="71" t="inlineStr">
        <is>
          <t>Ausgaben</t>
        </is>
      </c>
      <c r="L7" t="inlineStr">
        <is>
          <t>sonstige Betriebsausgaben</t>
        </is>
      </c>
      <c r="M7" s="1" t="n">
        <v>45301</v>
      </c>
      <c r="N7" t="inlineStr">
        <is>
          <t>Wien Energie</t>
        </is>
      </c>
      <c r="Q7" t="b">
        <v>0</v>
      </c>
      <c r="R7" s="214" t="n">
        <v>265.22</v>
      </c>
      <c r="S7" s="215" t="n">
        <v>24.44115382187717</v>
      </c>
      <c r="T7" s="159" t="n">
        <v>0.09215426371268068</v>
      </c>
      <c r="U7" s="159" t="n">
        <v>0.2</v>
      </c>
      <c r="V7" s="215" t="n">
        <v>44.20333333333335</v>
      </c>
      <c r="W7" s="215" t="n">
        <v>4.07352563697953</v>
      </c>
      <c r="X7" s="215" t="n">
        <v>221.0166666666667</v>
      </c>
      <c r="Y7" s="215" t="n">
        <v>20.36762818489764</v>
      </c>
      <c r="Z7" s="192" t="n">
        <v>45427</v>
      </c>
      <c r="AB7" s="220" t="n">
        <v>20.36762818489764</v>
      </c>
      <c r="AC7" s="221" t="n">
        <v>0</v>
      </c>
      <c r="AD7" s="237" t="n">
        <v>0</v>
      </c>
      <c r="AE7" t="b">
        <v>0</v>
      </c>
      <c r="AF7" s="228" t="n">
        <v>-5</v>
      </c>
    </row>
    <row r="8">
      <c r="A8">
        <f>I8&amp;"-"&amp;J8</f>
        <v/>
      </c>
      <c r="B8" s="1">
        <f>M8</f>
        <v/>
      </c>
      <c r="C8">
        <f>N8</f>
        <v/>
      </c>
      <c r="D8">
        <f>K8</f>
        <v/>
      </c>
      <c r="E8">
        <f>L8</f>
        <v/>
      </c>
      <c r="F8" s="236">
        <f>S8</f>
        <v/>
      </c>
      <c r="G8">
        <f>U8*100&amp;"%"</f>
        <v/>
      </c>
      <c r="I8" s="212" t="n">
        <v>2024</v>
      </c>
      <c r="J8" s="213" t="n">
        <v>7</v>
      </c>
      <c r="K8" s="71" t="inlineStr">
        <is>
          <t>Ausgaben</t>
        </is>
      </c>
      <c r="L8" t="inlineStr">
        <is>
          <t>sonstige Betriebsausgaben</t>
        </is>
      </c>
      <c r="M8" s="1" t="n">
        <v>45302</v>
      </c>
      <c r="N8" t="inlineStr">
        <is>
          <t>Hetzner Online GmbH, Industriestraße 25, 91710 Gunzenhausen</t>
        </is>
      </c>
      <c r="Q8" t="b">
        <v>0</v>
      </c>
      <c r="R8" s="214" t="n">
        <v>52.21</v>
      </c>
      <c r="S8" s="215" t="n">
        <v>52.21</v>
      </c>
      <c r="T8" s="159" t="n">
        <v>1</v>
      </c>
      <c r="U8" s="159" t="n">
        <v>0</v>
      </c>
      <c r="V8" s="215" t="n">
        <v>0</v>
      </c>
      <c r="W8" s="215" t="n">
        <v>0</v>
      </c>
      <c r="X8" s="215" t="n">
        <v>52.21</v>
      </c>
      <c r="Y8" s="215" t="n">
        <v>52.21</v>
      </c>
      <c r="Z8" s="192" t="n">
        <v>45427</v>
      </c>
      <c r="AA8" t="n">
        <v>20</v>
      </c>
      <c r="AB8" s="220" t="n">
        <v>52.21</v>
      </c>
      <c r="AC8" s="221" t="n">
        <v>10.442</v>
      </c>
      <c r="AD8" s="237" t="n">
        <v>0</v>
      </c>
      <c r="AE8" t="b">
        <v>0</v>
      </c>
      <c r="AF8" s="228" t="n">
        <v>-122.6</v>
      </c>
    </row>
    <row r="9">
      <c r="A9">
        <f>I9&amp;"-"&amp;J9</f>
        <v/>
      </c>
      <c r="B9" s="1">
        <f>M9</f>
        <v/>
      </c>
      <c r="C9">
        <f>N9</f>
        <v/>
      </c>
      <c r="D9">
        <f>K9</f>
        <v/>
      </c>
      <c r="E9">
        <f>L9</f>
        <v/>
      </c>
      <c r="F9" s="236">
        <f>S9</f>
        <v/>
      </c>
      <c r="G9">
        <f>U9*100&amp;"%"</f>
        <v/>
      </c>
      <c r="I9" s="212" t="n">
        <v>2024</v>
      </c>
      <c r="J9" s="213" t="n">
        <v>8</v>
      </c>
      <c r="K9" s="71" t="inlineStr">
        <is>
          <t>Einnahmen</t>
        </is>
      </c>
      <c r="L9" t="inlineStr">
        <is>
          <t>Waren-/Leistungserlöse</t>
        </is>
      </c>
      <c r="M9" s="1" t="n">
        <v>45303</v>
      </c>
      <c r="N9" t="inlineStr">
        <is>
          <t>Hays Österreich GmbH, Bahnhof City Wien West - Europaplatz 3/5, 1150 Wien</t>
        </is>
      </c>
      <c r="R9" s="214" t="n">
        <v>16806.16</v>
      </c>
      <c r="S9" s="215" t="n">
        <v>16806.16</v>
      </c>
      <c r="T9" s="159" t="n">
        <v>1</v>
      </c>
      <c r="U9" s="159" t="n">
        <v>0.2</v>
      </c>
      <c r="V9" s="215" t="n">
        <v>2801.026666666667</v>
      </c>
      <c r="W9" s="215" t="n">
        <v>2801.026666666667</v>
      </c>
      <c r="X9" s="215" t="n">
        <v>14005.13333333333</v>
      </c>
      <c r="Y9" s="215" t="n">
        <v>14005.13333333333</v>
      </c>
      <c r="Z9" s="192" t="n">
        <v>45427</v>
      </c>
      <c r="AB9" s="220" t="n">
        <v>14005.13333333333</v>
      </c>
      <c r="AC9" s="221" t="n">
        <v>0</v>
      </c>
      <c r="AD9" s="237" t="n">
        <v>0</v>
      </c>
      <c r="AE9" t="b">
        <v>0</v>
      </c>
      <c r="AF9" s="228" t="n">
        <v>-0.8</v>
      </c>
    </row>
    <row r="10">
      <c r="A10">
        <f>I10&amp;"-"&amp;J10</f>
        <v/>
      </c>
      <c r="B10" s="1">
        <f>M10</f>
        <v/>
      </c>
      <c r="C10">
        <f>N10</f>
        <v/>
      </c>
      <c r="D10">
        <f>K10</f>
        <v/>
      </c>
      <c r="E10">
        <f>L10</f>
        <v/>
      </c>
      <c r="F10" s="236">
        <f>S10</f>
        <v/>
      </c>
      <c r="G10">
        <f>U10*100&amp;"%"</f>
        <v/>
      </c>
      <c r="I10" s="212" t="n">
        <v>2024</v>
      </c>
      <c r="J10" s="213" t="n">
        <v>9</v>
      </c>
      <c r="K10" s="71" t="inlineStr">
        <is>
          <t>Ausgaben</t>
        </is>
      </c>
      <c r="L10" t="inlineStr">
        <is>
          <t>Telefon/Internet</t>
        </is>
      </c>
      <c r="M10" s="1" t="n">
        <v>45305</v>
      </c>
      <c r="N10" t="inlineStr">
        <is>
          <t>kabelplus GmbH, Südstadtzentrum 4, 2344 Maria Enzersdorf</t>
        </is>
      </c>
      <c r="Q10" t="b">
        <v>0</v>
      </c>
      <c r="R10" s="214" t="n">
        <v>1.9</v>
      </c>
      <c r="S10" s="215" t="n">
        <v>1.273</v>
      </c>
      <c r="T10" s="159" t="n">
        <v>0.67</v>
      </c>
      <c r="U10" s="159" t="n">
        <v>0.2</v>
      </c>
      <c r="V10" s="215" t="n">
        <v>0.3166666666666667</v>
      </c>
      <c r="W10" s="215" t="n">
        <v>0.2121666666666667</v>
      </c>
      <c r="X10" s="215" t="n">
        <v>1.583333333333333</v>
      </c>
      <c r="Y10" s="215" t="n">
        <v>1.060833333333333</v>
      </c>
      <c r="Z10" s="192" t="n">
        <v>45427</v>
      </c>
      <c r="AB10" s="220" t="n">
        <v>1.060833333333333</v>
      </c>
      <c r="AC10" s="221" t="n">
        <v>0</v>
      </c>
      <c r="AD10" s="237" t="n">
        <v>0</v>
      </c>
      <c r="AE10" t="b">
        <v>0</v>
      </c>
      <c r="AF10" s="228" t="n">
        <v>-58.22</v>
      </c>
    </row>
    <row r="11">
      <c r="A11">
        <f>I11&amp;"-"&amp;J11</f>
        <v/>
      </c>
      <c r="B11" s="1">
        <f>M11</f>
        <v/>
      </c>
      <c r="C11">
        <f>N11</f>
        <v/>
      </c>
      <c r="D11">
        <f>K11</f>
        <v/>
      </c>
      <c r="E11">
        <f>L11</f>
        <v/>
      </c>
      <c r="F11" s="236">
        <f>S11</f>
        <v/>
      </c>
      <c r="G11">
        <f>U11*100&amp;"%"</f>
        <v/>
      </c>
      <c r="I11" s="212" t="n">
        <v>2024</v>
      </c>
      <c r="J11" s="213" t="n">
        <v>10</v>
      </c>
      <c r="K11" s="71" t="inlineStr">
        <is>
          <t>Ausgaben</t>
        </is>
      </c>
      <c r="L11" t="inlineStr">
        <is>
          <t>Personalaufwand</t>
        </is>
      </c>
      <c r="M11" s="1" t="n">
        <v>45306</v>
      </c>
      <c r="N11" t="inlineStr">
        <is>
          <t>Eva Jaros-Kolbitsch</t>
        </is>
      </c>
      <c r="Q11" t="b">
        <v>0</v>
      </c>
      <c r="R11" s="214" t="n">
        <v>365</v>
      </c>
      <c r="S11" s="215" t="n">
        <v>365</v>
      </c>
      <c r="T11" s="159" t="n">
        <v>1</v>
      </c>
      <c r="U11" s="159" t="n">
        <v>0</v>
      </c>
      <c r="V11" s="215" t="n">
        <v>0</v>
      </c>
      <c r="W11" s="215" t="n">
        <v>0</v>
      </c>
      <c r="X11" s="215" t="n">
        <v>365</v>
      </c>
      <c r="Y11" s="215" t="n">
        <v>365</v>
      </c>
      <c r="Z11" s="192" t="n">
        <v>45427</v>
      </c>
      <c r="AB11" s="220" t="n">
        <v>365</v>
      </c>
      <c r="AC11" s="221" t="n">
        <v>0</v>
      </c>
      <c r="AD11" s="237" t="n">
        <v>10.26806</v>
      </c>
      <c r="AE11" t="b">
        <v>0</v>
      </c>
      <c r="AF11" s="228" t="n">
        <v>-51.3403</v>
      </c>
    </row>
    <row r="12">
      <c r="A12">
        <f>I12&amp;"-"&amp;J12</f>
        <v/>
      </c>
      <c r="B12" s="1">
        <f>M12</f>
        <v/>
      </c>
      <c r="C12">
        <f>N12</f>
        <v/>
      </c>
      <c r="D12">
        <f>K12</f>
        <v/>
      </c>
      <c r="E12">
        <f>L12</f>
        <v/>
      </c>
      <c r="F12" s="236">
        <f>S12</f>
        <v/>
      </c>
      <c r="G12">
        <f>U12*100&amp;"%"</f>
        <v/>
      </c>
      <c r="I12" s="212" t="n">
        <v>2024</v>
      </c>
      <c r="J12" s="213" t="n">
        <v>11</v>
      </c>
      <c r="K12" s="71" t="inlineStr">
        <is>
          <t>Ausgaben</t>
        </is>
      </c>
      <c r="L12" t="inlineStr">
        <is>
          <t>Büromaterial</t>
        </is>
      </c>
      <c r="M12" s="1" t="n">
        <v>45307</v>
      </c>
      <c r="N12" t="inlineStr">
        <is>
          <t>Amazon EU S. à r.l., 38 avenue John F. Kennedy, L-1855 Luxembourg</t>
        </is>
      </c>
      <c r="Q12" t="b">
        <v>0</v>
      </c>
      <c r="R12" s="214" t="n">
        <v>276.39</v>
      </c>
      <c r="S12" s="215" t="n">
        <v>276.39</v>
      </c>
      <c r="T12" s="159" t="n">
        <v>1</v>
      </c>
      <c r="U12" s="159" t="n">
        <v>0.2</v>
      </c>
      <c r="V12" s="215" t="n">
        <v>46.065</v>
      </c>
      <c r="W12" s="215" t="n">
        <v>46.065</v>
      </c>
      <c r="X12" s="215" t="n">
        <v>230.325</v>
      </c>
      <c r="Y12" s="215" t="n">
        <v>230.325</v>
      </c>
      <c r="Z12" s="192" t="n">
        <v>45427</v>
      </c>
      <c r="AB12" s="220" t="n">
        <v>230.325</v>
      </c>
      <c r="AC12" s="221" t="n">
        <v>0</v>
      </c>
      <c r="AD12" s="237" t="n">
        <v>0</v>
      </c>
      <c r="AE12" t="b">
        <v>0</v>
      </c>
      <c r="AF12" s="228" t="n">
        <v>15708</v>
      </c>
    </row>
    <row r="13">
      <c r="A13">
        <f>I13&amp;"-"&amp;J13</f>
        <v/>
      </c>
      <c r="B13" s="1">
        <f>M13</f>
        <v/>
      </c>
      <c r="C13">
        <f>N13</f>
        <v/>
      </c>
      <c r="D13">
        <f>K13</f>
        <v/>
      </c>
      <c r="E13">
        <f>L13</f>
        <v/>
      </c>
      <c r="F13" s="236">
        <f>S13</f>
        <v/>
      </c>
      <c r="G13">
        <f>U13*100&amp;"%"</f>
        <v/>
      </c>
      <c r="I13" s="212" t="n">
        <v>2024</v>
      </c>
      <c r="J13" s="213" t="n">
        <v>12</v>
      </c>
      <c r="K13" s="71" t="inlineStr">
        <is>
          <t>Ausgaben</t>
        </is>
      </c>
      <c r="L13" t="inlineStr">
        <is>
          <t>Büromaterial</t>
        </is>
      </c>
      <c r="M13" s="1" t="n">
        <v>45307</v>
      </c>
      <c r="N13" t="inlineStr">
        <is>
          <t>Lemon Technologies GmbH, Unterweißenbach 181, 8330 Feldbach: Dell Precision 3580 Laptop</t>
        </is>
      </c>
      <c r="Q13" t="b">
        <v>0</v>
      </c>
      <c r="R13" s="214" t="n">
        <v>138.08</v>
      </c>
      <c r="S13" s="215" t="n">
        <v>138.08</v>
      </c>
      <c r="T13" s="159" t="n">
        <v>1</v>
      </c>
      <c r="U13" s="159" t="n">
        <v>0.2</v>
      </c>
      <c r="V13" s="215" t="n">
        <v>23.01333333333334</v>
      </c>
      <c r="W13" s="215" t="n">
        <v>23.01333333333334</v>
      </c>
      <c r="X13" s="215" t="n">
        <v>115.0666666666667</v>
      </c>
      <c r="Y13" s="215" t="n">
        <v>115.0666666666667</v>
      </c>
      <c r="Z13" s="192" t="n">
        <v>45427</v>
      </c>
      <c r="AB13" s="220" t="n">
        <v>115.0666666666667</v>
      </c>
      <c r="AC13" s="221" t="n">
        <v>0</v>
      </c>
      <c r="AD13" s="237" t="n">
        <v>0</v>
      </c>
      <c r="AE13" t="b">
        <v>0</v>
      </c>
      <c r="AF13" s="228" t="n">
        <v>-365</v>
      </c>
    </row>
    <row r="14">
      <c r="A14">
        <f>I14&amp;"-"&amp;J14</f>
        <v/>
      </c>
      <c r="B14" s="1">
        <f>M14</f>
        <v/>
      </c>
      <c r="C14">
        <f>N14</f>
        <v/>
      </c>
      <c r="D14">
        <f>K14</f>
        <v/>
      </c>
      <c r="E14">
        <f>L14</f>
        <v/>
      </c>
      <c r="F14" s="236">
        <f>S14</f>
        <v/>
      </c>
      <c r="G14">
        <f>U14*100&amp;"%"</f>
        <v/>
      </c>
      <c r="I14" s="212" t="n">
        <v>2024</v>
      </c>
      <c r="J14" s="213" t="n">
        <v>13</v>
      </c>
      <c r="K14" s="71" t="inlineStr">
        <is>
          <t>Ausgaben</t>
        </is>
      </c>
      <c r="L14" t="inlineStr">
        <is>
          <t>sonstige Betriebsausgaben</t>
        </is>
      </c>
      <c r="M14" s="1" t="n">
        <v>45310</v>
      </c>
      <c r="N14" t="inlineStr">
        <is>
          <t>Microsoft Ireland Operations Ltd. One Microsoft Place, South County, Business Park, Leopardstown, Dublin 18, D18 P521, Ireland</t>
        </is>
      </c>
      <c r="Q14" t="b">
        <v>0</v>
      </c>
      <c r="R14" s="214" t="n">
        <v>11.7</v>
      </c>
      <c r="S14" s="215" t="n">
        <v>11.7</v>
      </c>
      <c r="T14" s="159" t="n">
        <v>1</v>
      </c>
      <c r="U14" s="159" t="n">
        <v>0</v>
      </c>
      <c r="V14" s="215" t="n">
        <v>0</v>
      </c>
      <c r="W14" s="215" t="n">
        <v>0</v>
      </c>
      <c r="X14" s="215" t="n">
        <v>11.7</v>
      </c>
      <c r="Y14" s="215" t="n">
        <v>11.7</v>
      </c>
      <c r="Z14" s="192" t="n">
        <v>45427</v>
      </c>
      <c r="AA14" t="n">
        <v>20</v>
      </c>
      <c r="AB14" s="220" t="n">
        <v>11.7</v>
      </c>
      <c r="AC14" s="221" t="n">
        <v>2.34</v>
      </c>
      <c r="AD14" s="237" t="n">
        <v>0</v>
      </c>
      <c r="AE14" t="b">
        <v>0</v>
      </c>
      <c r="AF14" s="228" t="n">
        <v>178</v>
      </c>
    </row>
    <row r="15">
      <c r="A15">
        <f>I15&amp;"-"&amp;J15</f>
        <v/>
      </c>
      <c r="B15" s="1">
        <f>M15</f>
        <v/>
      </c>
      <c r="C15">
        <f>N15</f>
        <v/>
      </c>
      <c r="D15">
        <f>K15</f>
        <v/>
      </c>
      <c r="E15">
        <f>L15</f>
        <v/>
      </c>
      <c r="F15" s="236">
        <f>S15</f>
        <v/>
      </c>
      <c r="G15">
        <f>U15*100&amp;"%"</f>
        <v/>
      </c>
      <c r="I15" s="212" t="n">
        <v>2024</v>
      </c>
      <c r="J15" s="213" t="n">
        <v>14</v>
      </c>
      <c r="K15" s="71" t="inlineStr">
        <is>
          <t>Ausgaben</t>
        </is>
      </c>
      <c r="L15" t="inlineStr">
        <is>
          <t>sonstige Betriebsausgaben</t>
        </is>
      </c>
      <c r="M15" s="1" t="n">
        <v>45316</v>
      </c>
      <c r="N15" t="inlineStr">
        <is>
          <t>Hetzner Online GmbH, Industriestraße 25, 91710 Gunzenhausen</t>
        </is>
      </c>
      <c r="Q15" t="b">
        <v>0</v>
      </c>
      <c r="R15" s="214" t="n">
        <v>10.08</v>
      </c>
      <c r="S15" s="215" t="n">
        <v>10.08</v>
      </c>
      <c r="T15" s="159" t="n">
        <v>1</v>
      </c>
      <c r="U15" s="159" t="n">
        <v>0</v>
      </c>
      <c r="V15" s="215" t="n">
        <v>0</v>
      </c>
      <c r="W15" s="215" t="n">
        <v>0</v>
      </c>
      <c r="X15" s="215" t="n">
        <v>10.08</v>
      </c>
      <c r="Y15" s="215" t="n">
        <v>10.08</v>
      </c>
      <c r="Z15" s="192" t="n">
        <v>45427</v>
      </c>
      <c r="AA15" t="n">
        <v>20</v>
      </c>
      <c r="AB15" s="220" t="n">
        <v>10.08</v>
      </c>
      <c r="AC15" s="221" t="n">
        <v>2.016</v>
      </c>
      <c r="AD15" s="237" t="n">
        <v>2.1</v>
      </c>
      <c r="AE15" t="b">
        <v>0</v>
      </c>
      <c r="AF15" s="228" t="n">
        <v>-10.5</v>
      </c>
    </row>
    <row r="16">
      <c r="A16">
        <f>I16&amp;"-"&amp;J16</f>
        <v/>
      </c>
      <c r="B16" s="1">
        <f>M16</f>
        <v/>
      </c>
      <c r="C16">
        <f>N16</f>
        <v/>
      </c>
      <c r="D16">
        <f>K16</f>
        <v/>
      </c>
      <c r="E16">
        <f>L16</f>
        <v/>
      </c>
      <c r="F16" s="236">
        <f>S16</f>
        <v/>
      </c>
      <c r="G16">
        <f>U16*100&amp;"%"</f>
        <v/>
      </c>
      <c r="I16" s="212" t="n">
        <v>2024</v>
      </c>
      <c r="J16" s="213" t="n">
        <v>15</v>
      </c>
      <c r="K16" s="71" t="inlineStr">
        <is>
          <t>Ausgaben</t>
        </is>
      </c>
      <c r="L16" t="inlineStr">
        <is>
          <t>Reise- und Fahrtspesen inkl. Kilometergeld und Diäten</t>
        </is>
      </c>
      <c r="M16" s="1" t="n">
        <v>45317</v>
      </c>
      <c r="N16" t="inlineStr">
        <is>
          <t>ISTmobil GmbH, Conrad-von-Hötzendorf-Straße 110, 8010 Graz</t>
        </is>
      </c>
      <c r="Q16" t="b">
        <v>0</v>
      </c>
      <c r="R16" s="214" t="n">
        <v>6.5</v>
      </c>
      <c r="S16" s="215" t="n">
        <v>6.5</v>
      </c>
      <c r="T16" s="159" t="n">
        <v>1</v>
      </c>
      <c r="U16" s="159" t="n">
        <v>0.1</v>
      </c>
      <c r="V16" s="215" t="n">
        <v>0.5909090909090908</v>
      </c>
      <c r="W16" s="215" t="n">
        <v>0.5909090909090908</v>
      </c>
      <c r="X16" s="215" t="n">
        <v>5.909090909090908</v>
      </c>
      <c r="Y16" s="215" t="n">
        <v>5.909090909090908</v>
      </c>
      <c r="Z16" s="192" t="n">
        <v>45427</v>
      </c>
      <c r="AB16" s="220" t="n">
        <v>5.909090909090908</v>
      </c>
      <c r="AC16" s="221" t="n">
        <v>0</v>
      </c>
      <c r="AD16" s="237" t="n">
        <v>0</v>
      </c>
      <c r="AE16" t="b">
        <v>0</v>
      </c>
      <c r="AF16" s="228" t="n">
        <v>-31.92</v>
      </c>
    </row>
    <row r="17">
      <c r="A17">
        <f>I17&amp;"-"&amp;J17</f>
        <v/>
      </c>
      <c r="B17" s="1">
        <f>M17</f>
        <v/>
      </c>
      <c r="C17">
        <f>N17</f>
        <v/>
      </c>
      <c r="D17">
        <f>K17</f>
        <v/>
      </c>
      <c r="E17">
        <f>L17</f>
        <v/>
      </c>
      <c r="F17" s="236">
        <f>S17</f>
        <v/>
      </c>
      <c r="G17">
        <f>U17*100&amp;"%"</f>
        <v/>
      </c>
      <c r="I17" s="212" t="n">
        <v>2024</v>
      </c>
      <c r="J17" s="213" t="n">
        <v>16</v>
      </c>
      <c r="K17" s="71" t="inlineStr">
        <is>
          <t>Ausgaben</t>
        </is>
      </c>
      <c r="L17" t="inlineStr">
        <is>
          <t>Reise- und Fahrtspesen inkl. Kilometergeld und Diäten</t>
        </is>
      </c>
      <c r="M17" s="1" t="n">
        <v>45320</v>
      </c>
      <c r="N17" t="inlineStr">
        <is>
          <t>Uber B.V. Burgenweeshuispad 301, 1076 HR Amsterdam</t>
        </is>
      </c>
      <c r="Q17" t="b">
        <v>0</v>
      </c>
      <c r="R17" s="214" t="n">
        <v>11.14</v>
      </c>
      <c r="S17" s="215" t="n">
        <v>11.14</v>
      </c>
      <c r="T17" s="159" t="n">
        <v>1</v>
      </c>
      <c r="U17" s="159" t="n">
        <v>0</v>
      </c>
      <c r="V17" s="215" t="n">
        <v>0</v>
      </c>
      <c r="W17" s="215" t="n">
        <v>0</v>
      </c>
      <c r="X17" s="215" t="n">
        <v>11.14</v>
      </c>
      <c r="Y17" s="215" t="n">
        <v>11.14</v>
      </c>
      <c r="Z17" s="192" t="n">
        <v>45427</v>
      </c>
      <c r="AB17" s="220" t="n">
        <v>11.14</v>
      </c>
      <c r="AC17" s="221" t="n">
        <v>0</v>
      </c>
      <c r="AD17" s="237" t="n">
        <v>0</v>
      </c>
      <c r="AE17" t="b">
        <v>0</v>
      </c>
      <c r="AF17" s="228" t="n">
        <v>-265.08</v>
      </c>
    </row>
    <row r="18">
      <c r="A18">
        <f>I18&amp;"-"&amp;J18</f>
        <v/>
      </c>
      <c r="B18" s="1">
        <f>M18</f>
        <v/>
      </c>
      <c r="C18">
        <f>N18</f>
        <v/>
      </c>
      <c r="D18">
        <f>K18</f>
        <v/>
      </c>
      <c r="E18">
        <f>L18</f>
        <v/>
      </c>
      <c r="F18" s="236">
        <f>S18</f>
        <v/>
      </c>
      <c r="G18">
        <f>U18*100&amp;"%"</f>
        <v/>
      </c>
      <c r="I18" s="212" t="n">
        <v>2024</v>
      </c>
      <c r="J18" s="213" t="n">
        <v>17</v>
      </c>
      <c r="K18" s="71" t="inlineStr">
        <is>
          <t>Ausgaben</t>
        </is>
      </c>
      <c r="L18" t="inlineStr">
        <is>
          <t>sonstige Betriebsausgaben</t>
        </is>
      </c>
      <c r="M18" s="1" t="n">
        <v>45322</v>
      </c>
      <c r="N18" t="inlineStr">
        <is>
          <t>Marktgemeinde Bisamberg, Hauptstraße 2, 2102 Bisamberg</t>
        </is>
      </c>
      <c r="Q18" t="b">
        <v>0</v>
      </c>
      <c r="R18" s="214" t="n">
        <v>924.51</v>
      </c>
      <c r="S18" s="215" t="n">
        <v>85.19753834501041</v>
      </c>
      <c r="T18" s="159" t="n">
        <v>0.09215426371268068</v>
      </c>
      <c r="U18" s="159" t="n">
        <v>0.2</v>
      </c>
      <c r="V18" s="215" t="n">
        <v>154.085</v>
      </c>
      <c r="W18" s="215" t="n">
        <v>14.1995897241684</v>
      </c>
      <c r="X18" s="215" t="n">
        <v>770.4250000000001</v>
      </c>
      <c r="Y18" s="215" t="n">
        <v>70.99794862084202</v>
      </c>
      <c r="Z18" s="192" t="n">
        <v>45427</v>
      </c>
      <c r="AB18" s="220" t="n">
        <v>70.99794862084202</v>
      </c>
      <c r="AC18" s="221" t="n">
        <v>0</v>
      </c>
      <c r="AD18" s="237" t="n">
        <v>0</v>
      </c>
      <c r="AE18" t="b">
        <v>0</v>
      </c>
      <c r="AF18" s="228" t="n">
        <v>-20.75</v>
      </c>
    </row>
    <row r="19">
      <c r="A19">
        <f>I19&amp;"-"&amp;J19</f>
        <v/>
      </c>
      <c r="B19" s="1">
        <f>M19</f>
        <v/>
      </c>
      <c r="C19">
        <f>N19</f>
        <v/>
      </c>
      <c r="D19">
        <f>K19</f>
        <v/>
      </c>
      <c r="E19">
        <f>L19</f>
        <v/>
      </c>
      <c r="F19" s="236">
        <f>S19</f>
        <v/>
      </c>
      <c r="G19">
        <f>U19*100&amp;"%"</f>
        <v/>
      </c>
      <c r="I19" s="212" t="n">
        <v>2024</v>
      </c>
      <c r="J19" s="213" t="n">
        <v>18</v>
      </c>
      <c r="K19" s="71" t="inlineStr">
        <is>
          <t>Ausgaben</t>
        </is>
      </c>
      <c r="L19" t="inlineStr">
        <is>
          <t>Telefon/Internet</t>
        </is>
      </c>
      <c r="M19" s="1" t="n">
        <v>45323</v>
      </c>
      <c r="N19" t="inlineStr">
        <is>
          <t>Hutchison Drei Austria GmbH, Brünner Straße 52, 1210 Wien, Österreich</t>
        </is>
      </c>
      <c r="Q19" t="b">
        <v>0</v>
      </c>
      <c r="R19" s="214" t="n">
        <v>12.9</v>
      </c>
      <c r="S19" s="215" t="n">
        <v>12.9</v>
      </c>
      <c r="T19" s="159" t="n">
        <v>1</v>
      </c>
      <c r="U19" s="159" t="n">
        <v>0.2</v>
      </c>
      <c r="V19" s="215" t="n">
        <v>2.15</v>
      </c>
      <c r="W19" s="215" t="n">
        <v>2.15</v>
      </c>
      <c r="X19" s="215" t="n">
        <v>10.75</v>
      </c>
      <c r="Y19" s="215" t="n">
        <v>10.75</v>
      </c>
      <c r="Z19" s="192" t="n">
        <v>45427</v>
      </c>
      <c r="AB19" s="220" t="n">
        <v>10.75</v>
      </c>
      <c r="AC19" s="221" t="n">
        <v>0</v>
      </c>
      <c r="AD19" s="237" t="n">
        <v>0</v>
      </c>
      <c r="AE19" t="b">
        <v>0</v>
      </c>
      <c r="AF19" s="228" t="n">
        <v>-55.44</v>
      </c>
    </row>
    <row r="20">
      <c r="A20">
        <f>I20&amp;"-"&amp;J20</f>
        <v/>
      </c>
      <c r="B20" s="1">
        <f>M20</f>
        <v/>
      </c>
      <c r="C20">
        <f>N20</f>
        <v/>
      </c>
      <c r="D20">
        <f>K20</f>
        <v/>
      </c>
      <c r="E20">
        <f>L20</f>
        <v/>
      </c>
      <c r="F20" s="236">
        <f>S20</f>
        <v/>
      </c>
      <c r="G20">
        <f>U20*100&amp;"%"</f>
        <v/>
      </c>
      <c r="I20" s="212" t="n">
        <v>2024</v>
      </c>
      <c r="J20" s="213" t="n">
        <v>19</v>
      </c>
      <c r="K20" s="71" t="inlineStr">
        <is>
          <t>Ausgaben</t>
        </is>
      </c>
      <c r="L20" t="inlineStr">
        <is>
          <t>sonstige Betriebsausgaben</t>
        </is>
      </c>
      <c r="M20" s="1" t="n">
        <v>45323</v>
      </c>
      <c r="N20" t="inlineStr">
        <is>
          <t>Wirtschaftskammer Niederösterreich Grundumlage</t>
        </is>
      </c>
      <c r="Q20" t="b">
        <v>0</v>
      </c>
      <c r="R20" s="214" t="n">
        <v>61</v>
      </c>
      <c r="S20" s="215" t="n">
        <v>61</v>
      </c>
      <c r="T20" s="159" t="n">
        <v>1</v>
      </c>
      <c r="U20" s="159" t="n">
        <v>0</v>
      </c>
      <c r="V20" s="215" t="n">
        <v>0</v>
      </c>
      <c r="W20" s="215" t="n">
        <v>0</v>
      </c>
      <c r="X20" s="215" t="n">
        <v>61</v>
      </c>
      <c r="Y20" s="215" t="n">
        <v>61</v>
      </c>
      <c r="Z20" s="192" t="n">
        <v>45427</v>
      </c>
      <c r="AB20" s="220" t="n">
        <v>61</v>
      </c>
      <c r="AC20" s="221" t="n">
        <v>0</v>
      </c>
      <c r="AD20" s="237" t="n">
        <v>0</v>
      </c>
      <c r="AE20" t="b">
        <v>0</v>
      </c>
      <c r="AF20" s="228" t="n">
        <v>-515.85</v>
      </c>
    </row>
    <row r="21">
      <c r="A21">
        <f>I21&amp;"-"&amp;J21</f>
        <v/>
      </c>
      <c r="B21" s="1">
        <f>M21</f>
        <v/>
      </c>
      <c r="C21">
        <f>N21</f>
        <v/>
      </c>
      <c r="D21">
        <f>K21</f>
        <v/>
      </c>
      <c r="E21">
        <f>L21</f>
        <v/>
      </c>
      <c r="F21" s="236">
        <f>S21</f>
        <v/>
      </c>
      <c r="G21">
        <f>U21*100&amp;"%"</f>
        <v/>
      </c>
      <c r="I21" s="212" t="n">
        <v>2024</v>
      </c>
      <c r="J21" s="213" t="n">
        <v>20</v>
      </c>
      <c r="K21" s="71" t="inlineStr">
        <is>
          <t>Einnahmen</t>
        </is>
      </c>
      <c r="L21" t="inlineStr">
        <is>
          <t>Waren-/Leistungserlöse</t>
        </is>
      </c>
      <c r="M21" s="1" t="n">
        <v>45324</v>
      </c>
      <c r="N21" t="inlineStr">
        <is>
          <t>Hays Österreich GmbH, Bahnhof City Wien West - Europaplatz 3/5, 1150 Wien</t>
        </is>
      </c>
      <c r="R21" s="214" t="n">
        <v>13540.5</v>
      </c>
      <c r="S21" s="215" t="n">
        <v>13540.5</v>
      </c>
      <c r="T21" s="159" t="n">
        <v>1</v>
      </c>
      <c r="U21" s="159" t="n">
        <v>0.2</v>
      </c>
      <c r="V21" s="215" t="n">
        <v>2256.75</v>
      </c>
      <c r="W21" s="215" t="n">
        <v>2256.75</v>
      </c>
      <c r="X21" s="215" t="n">
        <v>11283.75</v>
      </c>
      <c r="Y21" s="215" t="n">
        <v>11283.75</v>
      </c>
      <c r="Z21" s="192" t="n">
        <v>45427</v>
      </c>
      <c r="AB21" s="220" t="n">
        <v>11283.75</v>
      </c>
      <c r="AC21" s="221" t="n">
        <v>0</v>
      </c>
      <c r="AD21" s="237" t="n">
        <v>0</v>
      </c>
      <c r="AE21" t="b">
        <v>0</v>
      </c>
      <c r="AF21" s="228" t="n">
        <v>-21.8</v>
      </c>
    </row>
    <row r="22">
      <c r="A22">
        <f>I22&amp;"-"&amp;J22</f>
        <v/>
      </c>
      <c r="B22" s="1">
        <f>M22</f>
        <v/>
      </c>
      <c r="C22">
        <f>N22</f>
        <v/>
      </c>
      <c r="D22">
        <f>K22</f>
        <v/>
      </c>
      <c r="E22">
        <f>L22</f>
        <v/>
      </c>
      <c r="F22" s="236">
        <f>S22</f>
        <v/>
      </c>
      <c r="G22">
        <f>U22*100&amp;"%"</f>
        <v/>
      </c>
      <c r="I22" s="212" t="n">
        <v>2024</v>
      </c>
      <c r="J22" s="213" t="n">
        <v>21</v>
      </c>
      <c r="K22" s="71" t="inlineStr">
        <is>
          <t>Ausgaben</t>
        </is>
      </c>
      <c r="L22" t="inlineStr">
        <is>
          <t>sonstige Betriebsausgaben</t>
        </is>
      </c>
      <c r="M22" s="1" t="n">
        <v>45327</v>
      </c>
      <c r="N22" t="inlineStr">
        <is>
          <t>Google Ireland Ltd, Gordon House, Barrow Street, Dublin 4, Ireland; VAT number: IE 6388047V</t>
        </is>
      </c>
      <c r="Q22" t="b">
        <v>0</v>
      </c>
      <c r="R22" s="214" t="n">
        <v>10.4</v>
      </c>
      <c r="S22" s="215" t="n">
        <v>10.4</v>
      </c>
      <c r="T22" s="159" t="n">
        <v>1</v>
      </c>
      <c r="U22" s="159" t="n">
        <v>0</v>
      </c>
      <c r="V22" s="215" t="n">
        <v>0</v>
      </c>
      <c r="W22" s="215" t="n">
        <v>0</v>
      </c>
      <c r="X22" s="215" t="n">
        <v>10.4</v>
      </c>
      <c r="Y22" s="215" t="n">
        <v>10.4</v>
      </c>
      <c r="Z22" s="192" t="n">
        <v>45427</v>
      </c>
      <c r="AA22" t="n">
        <v>20</v>
      </c>
      <c r="AB22" s="220" t="n">
        <v>10.4</v>
      </c>
      <c r="AC22" s="221" t="n">
        <v>2.08</v>
      </c>
      <c r="AD22" s="237" t="n">
        <v>1.872</v>
      </c>
      <c r="AE22" t="b">
        <v>0</v>
      </c>
      <c r="AF22" s="228" t="n">
        <v>-9.359999999999999</v>
      </c>
    </row>
    <row r="23">
      <c r="A23">
        <f>I23&amp;"-"&amp;J23</f>
        <v/>
      </c>
      <c r="B23" s="1">
        <f>M23</f>
        <v/>
      </c>
      <c r="C23">
        <f>N23</f>
        <v/>
      </c>
      <c r="D23">
        <f>K23</f>
        <v/>
      </c>
      <c r="E23">
        <f>L23</f>
        <v/>
      </c>
      <c r="F23" s="236">
        <f>S23</f>
        <v/>
      </c>
      <c r="G23">
        <f>U23*100&amp;"%"</f>
        <v/>
      </c>
      <c r="I23" s="212" t="n">
        <v>2024</v>
      </c>
      <c r="J23" s="213" t="n">
        <v>22</v>
      </c>
      <c r="K23" s="71" t="inlineStr">
        <is>
          <t>Ausgaben</t>
        </is>
      </c>
      <c r="L23" t="inlineStr">
        <is>
          <t>Zinsen und ähnliche Aufwendungen</t>
        </is>
      </c>
      <c r="M23" s="1" t="n">
        <v>45293</v>
      </c>
      <c r="N23" t="inlineStr">
        <is>
          <t>Erste Bank der österreichischen Sparkassen AG, Am Belvedere 1, 1100 Wien</t>
        </is>
      </c>
      <c r="Q23" t="b">
        <v>0</v>
      </c>
      <c r="R23" s="214" t="n">
        <v>1701.85</v>
      </c>
      <c r="S23" s="215" t="n">
        <v>156.8327336994256</v>
      </c>
      <c r="T23" s="159" t="n">
        <v>0.09215426371268068</v>
      </c>
      <c r="U23" s="159" t="n">
        <v>0</v>
      </c>
      <c r="V23" s="215" t="n">
        <v>0</v>
      </c>
      <c r="W23" s="215" t="n">
        <v>0</v>
      </c>
      <c r="X23" s="215" t="n">
        <v>1701.85</v>
      </c>
      <c r="Y23" s="215" t="n">
        <v>156.8327336994256</v>
      </c>
      <c r="Z23" s="192" t="n">
        <v>45427</v>
      </c>
      <c r="AB23" s="220" t="n">
        <v>156.8327336994256</v>
      </c>
      <c r="AC23" s="221" t="n">
        <v>0</v>
      </c>
      <c r="AD23" s="237" t="n">
        <v>0</v>
      </c>
      <c r="AE23" t="b">
        <v>0</v>
      </c>
      <c r="AF23" s="228" t="n">
        <v>-15</v>
      </c>
    </row>
    <row r="24">
      <c r="A24">
        <f>I24&amp;"-"&amp;J24</f>
        <v/>
      </c>
      <c r="B24" s="1">
        <f>M24</f>
        <v/>
      </c>
      <c r="C24">
        <f>N24</f>
        <v/>
      </c>
      <c r="D24">
        <f>K24</f>
        <v/>
      </c>
      <c r="E24">
        <f>L24</f>
        <v/>
      </c>
      <c r="F24" s="236">
        <f>S24</f>
        <v/>
      </c>
      <c r="G24">
        <f>U24*100&amp;"%"</f>
        <v/>
      </c>
      <c r="I24" s="212" t="n">
        <v>2024</v>
      </c>
      <c r="J24" s="213" t="n">
        <v>23</v>
      </c>
      <c r="K24" s="71" t="inlineStr">
        <is>
          <t>Ausgaben</t>
        </is>
      </c>
      <c r="L24" t="inlineStr">
        <is>
          <t>sonstige Betriebsausgaben</t>
        </is>
      </c>
      <c r="M24" s="1" t="n">
        <v>45293</v>
      </c>
      <c r="N24" t="inlineStr">
        <is>
          <t>Elektrotechnik Winkler GmbH</t>
        </is>
      </c>
      <c r="Q24" t="b">
        <v>1</v>
      </c>
      <c r="R24" s="214" t="n">
        <v>24028.08</v>
      </c>
      <c r="S24" s="215" t="n">
        <v>2214.290020829389</v>
      </c>
      <c r="T24" s="159" t="n">
        <v>0.09215426371268068</v>
      </c>
      <c r="U24" s="159" t="n">
        <v>0.2</v>
      </c>
      <c r="V24" s="215" t="n">
        <v>4004.68</v>
      </c>
      <c r="W24" s="215" t="n">
        <v>369.0483368048981</v>
      </c>
      <c r="X24" s="215" t="n">
        <v>20023.4</v>
      </c>
      <c r="Y24" s="215" t="n">
        <v>1845.24168402449</v>
      </c>
      <c r="Z24" s="192" t="n">
        <v>45427</v>
      </c>
      <c r="AB24" s="220" t="n">
        <v>1845.24168402449</v>
      </c>
      <c r="AC24" s="221" t="n">
        <v>0</v>
      </c>
      <c r="AD24" s="237" t="n">
        <v>0</v>
      </c>
      <c r="AE24" t="b">
        <v>0</v>
      </c>
      <c r="AF24" s="228" t="n">
        <v>-5</v>
      </c>
    </row>
    <row r="25">
      <c r="A25">
        <f>I25&amp;"-"&amp;J25</f>
        <v/>
      </c>
      <c r="B25" s="1">
        <f>M25</f>
        <v/>
      </c>
      <c r="C25">
        <f>N25</f>
        <v/>
      </c>
      <c r="D25">
        <f>K25</f>
        <v/>
      </c>
      <c r="E25">
        <f>L25</f>
        <v/>
      </c>
      <c r="F25" s="236">
        <f>S25</f>
        <v/>
      </c>
      <c r="G25">
        <f>U25*100&amp;"%"</f>
        <v/>
      </c>
      <c r="I25" s="212" t="n">
        <v>2024</v>
      </c>
      <c r="J25" s="213" t="n">
        <v>24</v>
      </c>
      <c r="K25" s="71" t="inlineStr">
        <is>
          <t>Ausgaben</t>
        </is>
      </c>
      <c r="L25" t="inlineStr">
        <is>
          <t>sonstige Betriebsausgaben</t>
        </is>
      </c>
      <c r="M25" s="1" t="n">
        <v>45302</v>
      </c>
      <c r="N25" t="inlineStr">
        <is>
          <t>Elektrotechnik Winkler GmbH</t>
        </is>
      </c>
      <c r="Q25" t="b">
        <v>1</v>
      </c>
      <c r="R25" s="214" t="n">
        <v>3000</v>
      </c>
      <c r="S25" s="215" t="n">
        <v>276.462791138042</v>
      </c>
      <c r="T25" s="159" t="n">
        <v>0.09215426371268068</v>
      </c>
      <c r="U25" s="159" t="n">
        <v>0.2</v>
      </c>
      <c r="V25" s="215" t="n">
        <v>500</v>
      </c>
      <c r="W25" s="215" t="n">
        <v>46.07713185634034</v>
      </c>
      <c r="X25" s="215" t="n">
        <v>2500</v>
      </c>
      <c r="Y25" s="215" t="n">
        <v>230.3856592817017</v>
      </c>
      <c r="Z25" s="192" t="n">
        <v>45427</v>
      </c>
      <c r="AB25" s="220" t="n">
        <v>230.3856592817017</v>
      </c>
      <c r="AC25" s="221" t="n">
        <v>0</v>
      </c>
      <c r="AD25" s="237" t="n">
        <v>0</v>
      </c>
      <c r="AE25" t="b">
        <v>0</v>
      </c>
      <c r="AF25" s="228" t="n">
        <v>-11.53333333333333</v>
      </c>
    </row>
    <row r="26">
      <c r="A26">
        <f>I26&amp;"-"&amp;J26</f>
        <v/>
      </c>
      <c r="B26" s="1">
        <f>M26</f>
        <v/>
      </c>
      <c r="C26">
        <f>N26</f>
        <v/>
      </c>
      <c r="D26">
        <f>K26</f>
        <v/>
      </c>
      <c r="E26">
        <f>L26</f>
        <v/>
      </c>
      <c r="F26" s="236">
        <f>S26</f>
        <v/>
      </c>
      <c r="G26">
        <f>U26*100&amp;"%"</f>
        <v/>
      </c>
      <c r="I26" s="212" t="n">
        <v>2024</v>
      </c>
      <c r="J26" s="213" t="n">
        <v>25</v>
      </c>
      <c r="K26" s="71" t="inlineStr">
        <is>
          <t>Ausgaben</t>
        </is>
      </c>
      <c r="L26" t="inlineStr">
        <is>
          <t>sonstige Betriebsausgaben</t>
        </is>
      </c>
      <c r="M26" s="1" t="n">
        <v>45327</v>
      </c>
      <c r="N26" t="inlineStr">
        <is>
          <t>Google Ireland Ltd, Gordon House, Barrow Street, Dublin 4, Ireland; VAT number: IE 6388047V</t>
        </is>
      </c>
      <c r="Q26" t="b">
        <v>0</v>
      </c>
      <c r="R26" s="214" t="n">
        <v>10.4</v>
      </c>
      <c r="S26" s="215" t="n">
        <v>10.4</v>
      </c>
      <c r="T26" s="159" t="n">
        <v>1</v>
      </c>
      <c r="U26" s="159" t="n">
        <v>0</v>
      </c>
      <c r="V26" s="215" t="n">
        <v>0</v>
      </c>
      <c r="W26" s="215" t="n">
        <v>0</v>
      </c>
      <c r="X26" s="215" t="n">
        <v>10.4</v>
      </c>
      <c r="Y26" s="215" t="n">
        <v>10.4</v>
      </c>
      <c r="Z26" s="192" t="n">
        <v>45427</v>
      </c>
      <c r="AA26" t="n">
        <v>20</v>
      </c>
      <c r="AB26" s="220" t="n">
        <v>10.4</v>
      </c>
      <c r="AC26" s="221" t="n">
        <v>2.08</v>
      </c>
      <c r="AD26" s="237" t="n">
        <v>0</v>
      </c>
      <c r="AE26" t="b">
        <v>0</v>
      </c>
      <c r="AF26" s="228" t="n">
        <v>-7.233333333333333</v>
      </c>
    </row>
    <row r="27">
      <c r="A27">
        <f>I27&amp;"-"&amp;J27</f>
        <v/>
      </c>
      <c r="B27" s="1">
        <f>M27</f>
        <v/>
      </c>
      <c r="C27">
        <f>N27</f>
        <v/>
      </c>
      <c r="D27">
        <f>K27</f>
        <v/>
      </c>
      <c r="E27">
        <f>L27</f>
        <v/>
      </c>
      <c r="F27" s="236">
        <f>S27</f>
        <v/>
      </c>
      <c r="G27">
        <f>U27*100&amp;"%"</f>
        <v/>
      </c>
      <c r="I27" s="212" t="n">
        <v>2024</v>
      </c>
      <c r="J27" s="213" t="n">
        <v>26</v>
      </c>
      <c r="K27" s="71" t="inlineStr">
        <is>
          <t>Ausgaben</t>
        </is>
      </c>
      <c r="L27" t="inlineStr">
        <is>
          <t>sonstige Betriebsausgaben</t>
        </is>
      </c>
      <c r="M27" s="1" t="n">
        <v>45334</v>
      </c>
      <c r="N27" t="inlineStr">
        <is>
          <t>Wien Energie Vertrieb GmbH &amp; Co KG, 1030 Wien, Pf 520</t>
        </is>
      </c>
      <c r="Q27" t="b">
        <v>0</v>
      </c>
      <c r="R27" s="214" t="n">
        <v>284</v>
      </c>
      <c r="S27" s="215" t="n">
        <v>26.17181089440131</v>
      </c>
      <c r="T27" s="159" t="n">
        <v>0.09215426371268068</v>
      </c>
      <c r="U27" s="159" t="n">
        <v>0.2</v>
      </c>
      <c r="V27" s="215" t="n">
        <v>47.33333333333334</v>
      </c>
      <c r="W27" s="215" t="n">
        <v>4.361968482400219</v>
      </c>
      <c r="X27" s="215" t="n">
        <v>236.6666666666667</v>
      </c>
      <c r="Y27" s="215" t="n">
        <v>21.8098424120011</v>
      </c>
      <c r="Z27" s="192" t="n">
        <v>45427</v>
      </c>
      <c r="AB27" s="220" t="n">
        <v>21.8098424120011</v>
      </c>
      <c r="AC27" s="221" t="n">
        <v>0</v>
      </c>
      <c r="AD27" s="237" t="n">
        <v>0</v>
      </c>
      <c r="AE27" t="b">
        <v>0</v>
      </c>
      <c r="AF27" s="228" t="n">
        <v>16.8</v>
      </c>
    </row>
    <row r="28">
      <c r="A28">
        <f>I28&amp;"-"&amp;J28</f>
        <v/>
      </c>
      <c r="B28" s="1">
        <f>M28</f>
        <v/>
      </c>
      <c r="C28">
        <f>N28</f>
        <v/>
      </c>
      <c r="D28">
        <f>K28</f>
        <v/>
      </c>
      <c r="E28">
        <f>L28</f>
        <v/>
      </c>
      <c r="F28" s="236">
        <f>S28</f>
        <v/>
      </c>
      <c r="G28">
        <f>U28*100&amp;"%"</f>
        <v/>
      </c>
      <c r="I28" s="212" t="n">
        <v>2024</v>
      </c>
      <c r="J28" s="213" t="n">
        <v>27</v>
      </c>
      <c r="K28" s="71" t="inlineStr">
        <is>
          <t>Ausgaben</t>
        </is>
      </c>
      <c r="L28" t="inlineStr">
        <is>
          <t>Pflichversicherungsbeiträge</t>
        </is>
      </c>
      <c r="M28" s="1" t="n">
        <v>45334</v>
      </c>
      <c r="N28" t="inlineStr">
        <is>
          <t>Österreichische Gesundheitskasse</t>
        </is>
      </c>
      <c r="Q28" t="b">
        <v>0</v>
      </c>
      <c r="R28" s="214" t="n">
        <v>119.52</v>
      </c>
      <c r="S28" s="215" t="n">
        <v>119.52</v>
      </c>
      <c r="T28" s="159" t="n">
        <v>1</v>
      </c>
      <c r="U28" s="159" t="n">
        <v>0</v>
      </c>
      <c r="V28" s="215" t="n">
        <v>0</v>
      </c>
      <c r="W28" s="215" t="n">
        <v>0</v>
      </c>
      <c r="X28" s="215" t="n">
        <v>119.52</v>
      </c>
      <c r="Y28" s="215" t="n">
        <v>119.52</v>
      </c>
      <c r="Z28" s="192" t="n">
        <v>45427</v>
      </c>
      <c r="AB28" s="220" t="n">
        <v>119.52</v>
      </c>
      <c r="AC28" s="221" t="n">
        <v>0</v>
      </c>
      <c r="AD28" s="237" t="n">
        <v>0</v>
      </c>
      <c r="AE28" t="b">
        <v>0</v>
      </c>
      <c r="AF28" s="228" t="n">
        <v>-119.52</v>
      </c>
    </row>
    <row r="29">
      <c r="A29">
        <f>I29&amp;"-"&amp;J29</f>
        <v/>
      </c>
      <c r="B29" s="1">
        <f>M29</f>
        <v/>
      </c>
      <c r="C29">
        <f>N29</f>
        <v/>
      </c>
      <c r="D29">
        <f>K29</f>
        <v/>
      </c>
      <c r="E29">
        <f>L29</f>
        <v/>
      </c>
      <c r="F29" s="236">
        <f>S29</f>
        <v/>
      </c>
      <c r="G29">
        <f>U29*100&amp;"%"</f>
        <v/>
      </c>
      <c r="I29" s="212" t="n">
        <v>2024</v>
      </c>
      <c r="J29" s="213" t="n">
        <v>28</v>
      </c>
      <c r="K29" s="71" t="inlineStr">
        <is>
          <t>Ausgaben</t>
        </is>
      </c>
      <c r="L29" t="inlineStr">
        <is>
          <t>sonstige Betriebsausgaben</t>
        </is>
      </c>
      <c r="M29" s="1" t="n">
        <v>45335</v>
      </c>
      <c r="N29" t="inlineStr">
        <is>
          <t>Hetzner Online GmbH, Industriestraße 25, 91710 Gunzenhausen</t>
        </is>
      </c>
      <c r="Q29" t="b">
        <v>0</v>
      </c>
      <c r="R29" s="214" t="n">
        <v>52.21</v>
      </c>
      <c r="S29" s="215" t="n">
        <v>52.21</v>
      </c>
      <c r="T29" s="159" t="n">
        <v>1</v>
      </c>
      <c r="U29" s="159" t="n">
        <v>0</v>
      </c>
      <c r="V29" s="215" t="n">
        <v>0</v>
      </c>
      <c r="W29" s="215" t="n">
        <v>0</v>
      </c>
      <c r="X29" s="215" t="n">
        <v>52.21</v>
      </c>
      <c r="Y29" s="215" t="n">
        <v>52.21</v>
      </c>
      <c r="Z29" s="192" t="n">
        <v>45427</v>
      </c>
      <c r="AA29" t="n">
        <v>20</v>
      </c>
      <c r="AB29" s="220" t="n">
        <v>52.21</v>
      </c>
      <c r="AC29" s="221" t="n">
        <v>10.442</v>
      </c>
      <c r="AD29" s="237" t="n">
        <v>0</v>
      </c>
      <c r="AE29" t="b">
        <v>0</v>
      </c>
      <c r="AF29" s="228" t="n">
        <v>-122.6</v>
      </c>
    </row>
    <row r="30">
      <c r="A30">
        <f>I30&amp;"-"&amp;J30</f>
        <v/>
      </c>
      <c r="B30" s="1">
        <f>M30</f>
        <v/>
      </c>
      <c r="C30">
        <f>N30</f>
        <v/>
      </c>
      <c r="D30">
        <f>K30</f>
        <v/>
      </c>
      <c r="E30">
        <f>L30</f>
        <v/>
      </c>
      <c r="F30" s="236">
        <f>S30</f>
        <v/>
      </c>
      <c r="G30">
        <f>U30*100&amp;"%"</f>
        <v/>
      </c>
      <c r="I30" s="212" t="n">
        <v>2024</v>
      </c>
      <c r="J30" s="213" t="n">
        <v>29</v>
      </c>
      <c r="K30" s="71" t="inlineStr">
        <is>
          <t>Ausgaben</t>
        </is>
      </c>
      <c r="L30" t="inlineStr">
        <is>
          <t>Personalaufwand</t>
        </is>
      </c>
      <c r="M30" s="1" t="n">
        <v>45337</v>
      </c>
      <c r="N30" t="inlineStr">
        <is>
          <t>Eva Jaros-Kolbitsch</t>
        </is>
      </c>
      <c r="Q30" t="b">
        <v>0</v>
      </c>
      <c r="R30" s="214" t="n">
        <v>365</v>
      </c>
      <c r="S30" s="215" t="n">
        <v>365</v>
      </c>
      <c r="T30" s="159" t="n">
        <v>1</v>
      </c>
      <c r="U30" s="159" t="n">
        <v>0</v>
      </c>
      <c r="V30" s="215" t="n">
        <v>0</v>
      </c>
      <c r="W30" s="215" t="n">
        <v>0</v>
      </c>
      <c r="X30" s="215" t="n">
        <v>365</v>
      </c>
      <c r="Y30" s="215" t="n">
        <v>365</v>
      </c>
      <c r="Z30" s="192" t="n">
        <v>45427</v>
      </c>
      <c r="AB30" s="220" t="n">
        <v>365</v>
      </c>
      <c r="AC30" s="221" t="n">
        <v>0</v>
      </c>
      <c r="AD30" s="237" t="n">
        <v>0</v>
      </c>
      <c r="AE30" t="b">
        <v>0</v>
      </c>
      <c r="AF30" s="228" t="n">
        <v>540</v>
      </c>
    </row>
    <row r="31">
      <c r="A31">
        <f>I31&amp;"-"&amp;J31</f>
        <v/>
      </c>
      <c r="B31" s="1">
        <f>M31</f>
        <v/>
      </c>
      <c r="C31">
        <f>N31</f>
        <v/>
      </c>
      <c r="D31">
        <f>K31</f>
        <v/>
      </c>
      <c r="E31">
        <f>L31</f>
        <v/>
      </c>
      <c r="F31" s="236">
        <f>S31</f>
        <v/>
      </c>
      <c r="G31">
        <f>U31*100&amp;"%"</f>
        <v/>
      </c>
      <c r="I31" s="212" t="n">
        <v>2024</v>
      </c>
      <c r="J31" s="213" t="n">
        <v>30</v>
      </c>
      <c r="K31" s="71" t="inlineStr">
        <is>
          <t>Ausgaben</t>
        </is>
      </c>
      <c r="L31" t="inlineStr">
        <is>
          <t>sonstige Betriebsausgaben</t>
        </is>
      </c>
      <c r="M31" s="1" t="n">
        <v>45342</v>
      </c>
      <c r="N31" t="inlineStr">
        <is>
          <t>Microsoft Ireland Operations Ltd. One Microsoft Place, South County, Business Park, Leopardstown, Dublin 18, D18 P521, Ireland</t>
        </is>
      </c>
      <c r="Q31" t="b">
        <v>0</v>
      </c>
      <c r="R31" s="214" t="n">
        <v>11.7</v>
      </c>
      <c r="S31" s="215" t="n">
        <v>11.7</v>
      </c>
      <c r="T31" s="159" t="n">
        <v>1</v>
      </c>
      <c r="U31" s="159" t="n">
        <v>0</v>
      </c>
      <c r="V31" s="215" t="n">
        <v>0</v>
      </c>
      <c r="W31" s="215" t="n">
        <v>0</v>
      </c>
      <c r="X31" s="215" t="n">
        <v>11.7</v>
      </c>
      <c r="Y31" s="215" t="n">
        <v>11.7</v>
      </c>
      <c r="Z31" s="192" t="n">
        <v>45427</v>
      </c>
      <c r="AA31" t="n">
        <v>20</v>
      </c>
      <c r="AB31" s="220" t="n">
        <v>11.7</v>
      </c>
      <c r="AC31" s="221" t="n">
        <v>2.34</v>
      </c>
      <c r="AD31" s="237" t="n">
        <v>0</v>
      </c>
      <c r="AE31" t="b">
        <v>0</v>
      </c>
      <c r="AF31" s="228" t="n">
        <v>12537</v>
      </c>
    </row>
    <row r="32">
      <c r="A32">
        <f>I32&amp;"-"&amp;J32</f>
        <v/>
      </c>
      <c r="B32" s="1">
        <f>M32</f>
        <v/>
      </c>
      <c r="C32">
        <f>N32</f>
        <v/>
      </c>
      <c r="D32">
        <f>K32</f>
        <v/>
      </c>
      <c r="E32">
        <f>L32</f>
        <v/>
      </c>
      <c r="F32" s="236">
        <f>S32</f>
        <v/>
      </c>
      <c r="G32">
        <f>U32*100&amp;"%"</f>
        <v/>
      </c>
      <c r="I32" s="212" t="n">
        <v>2024</v>
      </c>
      <c r="J32" s="213" t="n">
        <v>31</v>
      </c>
      <c r="K32" s="71" t="inlineStr">
        <is>
          <t>Ausgaben</t>
        </is>
      </c>
      <c r="L32" t="inlineStr">
        <is>
          <t>sonstige Betriebsausgaben</t>
        </is>
      </c>
      <c r="M32" s="1" t="n">
        <v>45345</v>
      </c>
      <c r="N32" t="inlineStr">
        <is>
          <t>Hetzner Online GmbH, Industriestraße 25, 91710 Gunzenhausen</t>
        </is>
      </c>
      <c r="Q32" t="b">
        <v>0</v>
      </c>
      <c r="R32" s="214" t="n">
        <v>1.76</v>
      </c>
      <c r="S32" s="215" t="n">
        <v>1.76</v>
      </c>
      <c r="T32" s="159" t="n">
        <v>1</v>
      </c>
      <c r="U32" s="159" t="n">
        <v>0</v>
      </c>
      <c r="V32" s="215" t="n">
        <v>0</v>
      </c>
      <c r="W32" s="215" t="n">
        <v>0</v>
      </c>
      <c r="X32" s="215" t="n">
        <v>1.76</v>
      </c>
      <c r="Y32" s="215" t="n">
        <v>1.76</v>
      </c>
      <c r="Z32" s="192" t="n">
        <v>45427</v>
      </c>
      <c r="AA32" t="n">
        <v>20</v>
      </c>
      <c r="AB32" s="220" t="n">
        <v>1.76</v>
      </c>
      <c r="AC32" s="221" t="n">
        <v>0.352</v>
      </c>
      <c r="AD32" s="237" t="n">
        <v>10.44282</v>
      </c>
      <c r="AE32" t="b">
        <v>0</v>
      </c>
      <c r="AF32" s="228" t="n">
        <v>-52.2141</v>
      </c>
    </row>
    <row r="33">
      <c r="A33">
        <f>I33&amp;"-"&amp;J33</f>
        <v/>
      </c>
      <c r="B33" s="1">
        <f>M33</f>
        <v/>
      </c>
      <c r="C33">
        <f>N33</f>
        <v/>
      </c>
      <c r="D33">
        <f>K33</f>
        <v/>
      </c>
      <c r="E33">
        <f>L33</f>
        <v/>
      </c>
      <c r="F33" s="236">
        <f>S33</f>
        <v/>
      </c>
      <c r="G33">
        <f>U33*100&amp;"%"</f>
        <v/>
      </c>
      <c r="I33" s="212" t="n">
        <v>2024</v>
      </c>
      <c r="J33" s="213" t="n">
        <v>32</v>
      </c>
      <c r="K33" s="71" t="inlineStr">
        <is>
          <t>Ausgaben</t>
        </is>
      </c>
      <c r="L33" t="inlineStr">
        <is>
          <t>sonstige Betriebsausgaben</t>
        </is>
      </c>
      <c r="M33" s="1" t="n">
        <v>45348</v>
      </c>
      <c r="N33" t="inlineStr">
        <is>
          <t>EVN Wasser GmbH</t>
        </is>
      </c>
      <c r="Q33" t="b">
        <v>0</v>
      </c>
      <c r="R33" s="214" t="n">
        <v>55</v>
      </c>
      <c r="S33" s="215" t="n">
        <v>5.068484504197437</v>
      </c>
      <c r="T33" s="159" t="n">
        <v>0.09215426371268068</v>
      </c>
      <c r="U33" s="159" t="n">
        <v>0.1</v>
      </c>
      <c r="V33" s="215" t="n">
        <v>5</v>
      </c>
      <c r="W33" s="215" t="n">
        <v>0.4607713185634034</v>
      </c>
      <c r="X33" s="215" t="n">
        <v>49.99999999999999</v>
      </c>
      <c r="Y33" s="215" t="n">
        <v>4.607713185634033</v>
      </c>
      <c r="Z33" s="192" t="n">
        <v>45427</v>
      </c>
      <c r="AB33" s="220" t="n">
        <v>4.607713185634033</v>
      </c>
      <c r="AC33" s="221" t="n">
        <v>0</v>
      </c>
      <c r="AD33" s="237" t="n">
        <v>0</v>
      </c>
      <c r="AE33" t="b">
        <v>0</v>
      </c>
      <c r="AF33" s="228" t="n">
        <v>-12</v>
      </c>
    </row>
    <row r="34">
      <c r="A34">
        <f>I34&amp;"-"&amp;J34</f>
        <v/>
      </c>
      <c r="B34" s="1">
        <f>M34</f>
        <v/>
      </c>
      <c r="C34">
        <f>N34</f>
        <v/>
      </c>
      <c r="D34">
        <f>K34</f>
        <v/>
      </c>
      <c r="E34">
        <f>L34</f>
        <v/>
      </c>
      <c r="F34" s="236">
        <f>S34</f>
        <v/>
      </c>
      <c r="G34">
        <f>U34*100&amp;"%"</f>
        <v/>
      </c>
      <c r="I34" s="212" t="n">
        <v>2024</v>
      </c>
      <c r="J34" s="213" t="n">
        <v>33</v>
      </c>
      <c r="K34" s="71" t="inlineStr">
        <is>
          <t>Ausgaben</t>
        </is>
      </c>
      <c r="L34" t="inlineStr">
        <is>
          <t>sonstige Betriebsausgaben</t>
        </is>
      </c>
      <c r="M34" s="1" t="n">
        <v>45348</v>
      </c>
      <c r="N34" t="inlineStr">
        <is>
          <t>OpenAI, LLC, 548 Market Street, PMB 97273, San Francisco, California 94104-5401, United States</t>
        </is>
      </c>
      <c r="Q34" t="b">
        <v>0</v>
      </c>
      <c r="R34" s="214" t="n">
        <v>22.55</v>
      </c>
      <c r="S34" s="215" t="n">
        <v>22.55</v>
      </c>
      <c r="T34" s="159" t="n">
        <v>1</v>
      </c>
      <c r="U34" s="159" t="n">
        <v>0.2</v>
      </c>
      <c r="V34" s="215" t="n">
        <v>3.705000000000001</v>
      </c>
      <c r="W34" s="215" t="n">
        <v>3.705000000000001</v>
      </c>
      <c r="X34" s="215" t="n">
        <v>18.525</v>
      </c>
      <c r="Y34" s="215" t="n">
        <v>18.525</v>
      </c>
      <c r="Z34" s="192" t="n">
        <v>45427</v>
      </c>
      <c r="AB34" s="220" t="n">
        <v>18.525</v>
      </c>
      <c r="AC34" s="221" t="n">
        <v>0</v>
      </c>
      <c r="AD34" s="237" t="n">
        <v>0</v>
      </c>
      <c r="AE34" t="b">
        <v>0</v>
      </c>
      <c r="AF34" s="228" t="n">
        <v>-8.050000000000001</v>
      </c>
    </row>
    <row r="35">
      <c r="A35">
        <f>I35&amp;"-"&amp;J35</f>
        <v/>
      </c>
      <c r="B35" s="1">
        <f>M35</f>
        <v/>
      </c>
      <c r="C35">
        <f>N35</f>
        <v/>
      </c>
      <c r="D35">
        <f>K35</f>
        <v/>
      </c>
      <c r="E35">
        <f>L35</f>
        <v/>
      </c>
      <c r="F35" s="236">
        <f>S35</f>
        <v/>
      </c>
      <c r="G35">
        <f>U35*100&amp;"%"</f>
        <v/>
      </c>
      <c r="I35" s="212" t="n">
        <v>2024</v>
      </c>
      <c r="J35" s="213" t="n">
        <v>34</v>
      </c>
      <c r="K35" s="71" t="inlineStr">
        <is>
          <t>Ausgaben</t>
        </is>
      </c>
      <c r="L35" t="inlineStr">
        <is>
          <t>Pflichversicherungsbeiträge</t>
        </is>
      </c>
      <c r="M35" s="1" t="n">
        <v>45351</v>
      </c>
      <c r="N35" t="inlineStr">
        <is>
          <t>SVS</t>
        </is>
      </c>
      <c r="Q35" t="b">
        <v>0</v>
      </c>
      <c r="R35" s="214" t="n">
        <v>5053.16</v>
      </c>
      <c r="S35" s="215" t="n">
        <v>5053.16</v>
      </c>
      <c r="T35" s="159" t="n">
        <v>1</v>
      </c>
      <c r="U35" s="159" t="n">
        <v>0</v>
      </c>
      <c r="V35" s="215" t="n">
        <v>0</v>
      </c>
      <c r="W35" s="215" t="n">
        <v>0</v>
      </c>
      <c r="X35" s="215" t="n">
        <v>5053.16</v>
      </c>
      <c r="Y35" s="215" t="n">
        <v>5053.16</v>
      </c>
      <c r="Z35" s="192" t="n">
        <v>45427</v>
      </c>
      <c r="AB35" s="220" t="n">
        <v>5053.16</v>
      </c>
      <c r="AC35" s="221" t="n">
        <v>0</v>
      </c>
      <c r="AD35" s="237" t="n">
        <v>0</v>
      </c>
      <c r="AE35" t="b">
        <v>0</v>
      </c>
      <c r="AF35" s="228" t="n">
        <v>-365</v>
      </c>
    </row>
    <row r="36">
      <c r="A36">
        <f>I36&amp;"-"&amp;J36</f>
        <v/>
      </c>
      <c r="B36" s="1">
        <f>M36</f>
        <v/>
      </c>
      <c r="C36">
        <f>N36</f>
        <v/>
      </c>
      <c r="D36">
        <f>K36</f>
        <v/>
      </c>
      <c r="E36">
        <f>L36</f>
        <v/>
      </c>
      <c r="F36" s="236">
        <f>S36</f>
        <v/>
      </c>
      <c r="G36">
        <f>U36*100&amp;"%"</f>
        <v/>
      </c>
      <c r="I36" s="212" t="n">
        <v>2024</v>
      </c>
      <c r="J36" s="213" t="n">
        <v>35</v>
      </c>
      <c r="K36" s="71" t="inlineStr">
        <is>
          <t>Ausgaben</t>
        </is>
      </c>
      <c r="L36" t="inlineStr">
        <is>
          <t>sonstige Betriebsausgaben</t>
        </is>
      </c>
      <c r="M36" s="1" t="n">
        <v>45355</v>
      </c>
      <c r="N36" t="inlineStr">
        <is>
          <t>Marktgemeinde Bisamberg, Hauptstraße 2, 2102 Bisamberg</t>
        </is>
      </c>
      <c r="Q36" t="b">
        <v>0</v>
      </c>
      <c r="R36" s="214" t="n">
        <v>5129.15</v>
      </c>
      <c r="S36" s="215" t="n">
        <v>472.6730417218961</v>
      </c>
      <c r="T36" s="159" t="n">
        <v>0.09215426371268068</v>
      </c>
      <c r="U36" s="159" t="n">
        <v>0</v>
      </c>
      <c r="V36" s="215" t="n">
        <v>0</v>
      </c>
      <c r="W36" s="215" t="n">
        <v>0</v>
      </c>
      <c r="X36" s="215" t="n">
        <v>5129.15</v>
      </c>
      <c r="Y36" s="215" t="n">
        <v>472.6730417218961</v>
      </c>
      <c r="Z36" s="192" t="n">
        <v>45427</v>
      </c>
      <c r="AB36" s="220" t="n">
        <v>472.6730417218961</v>
      </c>
      <c r="AC36" s="221" t="n">
        <v>0</v>
      </c>
      <c r="AD36" s="237" t="n">
        <v>0</v>
      </c>
      <c r="AE36" t="b">
        <v>0</v>
      </c>
      <c r="AF36" s="228" t="n">
        <v>-16.67</v>
      </c>
    </row>
    <row r="37">
      <c r="A37">
        <f>I37&amp;"-"&amp;J37</f>
        <v/>
      </c>
      <c r="B37" s="1">
        <f>M37</f>
        <v/>
      </c>
      <c r="C37">
        <f>N37</f>
        <v/>
      </c>
      <c r="D37">
        <f>K37</f>
        <v/>
      </c>
      <c r="E37">
        <f>L37</f>
        <v/>
      </c>
      <c r="F37" s="236">
        <f>S37</f>
        <v/>
      </c>
      <c r="G37">
        <f>U37*100&amp;"%"</f>
        <v/>
      </c>
      <c r="I37" s="212" t="n">
        <v>2024</v>
      </c>
      <c r="J37" s="213" t="n">
        <v>36</v>
      </c>
      <c r="K37" s="71" t="inlineStr">
        <is>
          <t>Ausgaben</t>
        </is>
      </c>
      <c r="L37" t="inlineStr">
        <is>
          <t>sonstige Betriebsausgaben</t>
        </is>
      </c>
      <c r="M37" s="1" t="n">
        <v>45355</v>
      </c>
      <c r="N37" t="inlineStr">
        <is>
          <t>Google Ireland Ltd, Gordon House, Barrow Street, Dublin 4, Ireland; VAT number: IE 6388047V</t>
        </is>
      </c>
      <c r="Q37" t="b">
        <v>0</v>
      </c>
      <c r="R37" s="214" t="n">
        <v>10.4</v>
      </c>
      <c r="S37" s="215" t="n">
        <v>10.4</v>
      </c>
      <c r="T37" s="159" t="n">
        <v>1</v>
      </c>
      <c r="U37" s="159" t="n">
        <v>0</v>
      </c>
      <c r="V37" s="215" t="n">
        <v>0</v>
      </c>
      <c r="W37" s="215" t="n">
        <v>0</v>
      </c>
      <c r="X37" s="215" t="n">
        <v>10.4</v>
      </c>
      <c r="Y37" s="215" t="n">
        <v>10.4</v>
      </c>
      <c r="Z37" s="192" t="n">
        <v>45427</v>
      </c>
      <c r="AA37" t="n">
        <v>20</v>
      </c>
      <c r="AB37" s="220" t="n">
        <v>10.4</v>
      </c>
      <c r="AC37" s="221" t="n">
        <v>2.08</v>
      </c>
      <c r="AD37" s="237" t="n">
        <v>2.1</v>
      </c>
      <c r="AE37" t="b">
        <v>0</v>
      </c>
      <c r="AF37" s="228" t="n">
        <v>-10.5</v>
      </c>
    </row>
    <row r="38">
      <c r="A38">
        <f>I38&amp;"-"&amp;J38</f>
        <v/>
      </c>
      <c r="B38" s="1">
        <f>M38</f>
        <v/>
      </c>
      <c r="C38">
        <f>N38</f>
        <v/>
      </c>
      <c r="D38">
        <f>K38</f>
        <v/>
      </c>
      <c r="E38">
        <f>L38</f>
        <v/>
      </c>
      <c r="F38" s="236">
        <f>S38</f>
        <v/>
      </c>
      <c r="G38">
        <f>U38*100&amp;"%"</f>
        <v/>
      </c>
      <c r="I38" s="212" t="n">
        <v>2024</v>
      </c>
      <c r="J38" s="213" t="n">
        <v>37</v>
      </c>
      <c r="K38" s="71" t="inlineStr">
        <is>
          <t>Ausgaben</t>
        </is>
      </c>
      <c r="L38" t="inlineStr">
        <is>
          <t>Telefon/Internet</t>
        </is>
      </c>
      <c r="M38" s="1" t="n">
        <v>45356</v>
      </c>
      <c r="N38" t="inlineStr">
        <is>
          <t>Hutchison Drei Austria GmbH, Brünner Straße 52, 1210 Wien, Österreich</t>
        </is>
      </c>
      <c r="Q38" t="b">
        <v>0</v>
      </c>
      <c r="R38" s="214" t="n">
        <v>12.9</v>
      </c>
      <c r="S38" s="215" t="n">
        <v>12.9</v>
      </c>
      <c r="T38" s="159" t="n">
        <v>1</v>
      </c>
      <c r="U38" s="159" t="n">
        <v>0.2</v>
      </c>
      <c r="V38" s="215" t="n">
        <v>2.15</v>
      </c>
      <c r="W38" s="215" t="n">
        <v>2.15</v>
      </c>
      <c r="X38" s="215" t="n">
        <v>10.75</v>
      </c>
      <c r="Y38" s="215" t="n">
        <v>10.75</v>
      </c>
      <c r="Z38" s="192" t="n">
        <v>45427</v>
      </c>
      <c r="AB38" s="220" t="n">
        <v>10.75</v>
      </c>
      <c r="AC38" s="221" t="n">
        <v>0</v>
      </c>
      <c r="AD38" s="237" t="n">
        <v>0</v>
      </c>
      <c r="AE38" t="b">
        <v>0</v>
      </c>
      <c r="AF38" s="228" t="n">
        <v>-77.44</v>
      </c>
    </row>
    <row r="39">
      <c r="A39">
        <f>I39&amp;"-"&amp;J39</f>
        <v/>
      </c>
      <c r="B39" s="1">
        <f>M39</f>
        <v/>
      </c>
      <c r="C39">
        <f>N39</f>
        <v/>
      </c>
      <c r="D39">
        <f>K39</f>
        <v/>
      </c>
      <c r="E39">
        <f>L39</f>
        <v/>
      </c>
      <c r="F39" s="236">
        <f>S39</f>
        <v/>
      </c>
      <c r="G39">
        <f>U39*100&amp;"%"</f>
        <v/>
      </c>
      <c r="I39" s="212" t="n">
        <v>2024</v>
      </c>
      <c r="J39" s="213" t="n">
        <v>38</v>
      </c>
      <c r="K39" s="71" t="inlineStr">
        <is>
          <t>Ausgaben</t>
        </is>
      </c>
      <c r="L39" t="inlineStr">
        <is>
          <t>sonstige Betriebsausgaben</t>
        </is>
      </c>
      <c r="M39" s="1" t="n">
        <v>45357</v>
      </c>
      <c r="N39" t="inlineStr">
        <is>
          <t>Wien Energie Vertrieb GmbH &amp; Co KG, 1030 Wien, Pf 520</t>
        </is>
      </c>
      <c r="Q39" t="b">
        <v>0</v>
      </c>
      <c r="R39" s="214" t="n">
        <v>24</v>
      </c>
      <c r="S39" s="215" t="n">
        <v>2.211702329104337</v>
      </c>
      <c r="T39" s="159" t="n">
        <v>0.09215426371268068</v>
      </c>
      <c r="U39" s="159" t="n">
        <v>0.2</v>
      </c>
      <c r="V39" s="215" t="n">
        <v>4</v>
      </c>
      <c r="W39" s="215" t="n">
        <v>0.3686170548507227</v>
      </c>
      <c r="X39" s="215" t="n">
        <v>20</v>
      </c>
      <c r="Y39" s="215" t="n">
        <v>1.843085274253613</v>
      </c>
      <c r="Z39" s="192" t="n">
        <v>45427</v>
      </c>
      <c r="AB39" s="220" t="n">
        <v>1.843085274253613</v>
      </c>
      <c r="AC39" s="221" t="n">
        <v>0</v>
      </c>
      <c r="AD39" s="237" t="n">
        <v>0</v>
      </c>
      <c r="AE39" t="b">
        <v>0</v>
      </c>
      <c r="AF39" s="228" t="n">
        <v>-6.71</v>
      </c>
    </row>
    <row r="40">
      <c r="A40">
        <f>I40&amp;"-"&amp;J40</f>
        <v/>
      </c>
      <c r="B40" s="1">
        <f>M40</f>
        <v/>
      </c>
      <c r="C40">
        <f>N40</f>
        <v/>
      </c>
      <c r="D40">
        <f>K40</f>
        <v/>
      </c>
      <c r="E40">
        <f>L40</f>
        <v/>
      </c>
      <c r="F40" s="236">
        <f>S40</f>
        <v/>
      </c>
      <c r="G40">
        <f>U40*100&amp;"%"</f>
        <v/>
      </c>
      <c r="I40" s="212" t="n">
        <v>2024</v>
      </c>
      <c r="J40" s="213" t="n">
        <v>39</v>
      </c>
      <c r="K40" s="71" t="inlineStr">
        <is>
          <t>Ausgaben</t>
        </is>
      </c>
      <c r="L40" t="inlineStr">
        <is>
          <t>Reise- und Fahrtspesen inkl. Kilometergeld und Diäten</t>
        </is>
      </c>
      <c r="M40" s="1" t="n">
        <v>45357</v>
      </c>
      <c r="N40" t="inlineStr">
        <is>
          <t>ISTmobil GmbH, Conrad-von-Hötzendorf-Straße 110, 8010 Graz</t>
        </is>
      </c>
      <c r="Q40" t="b">
        <v>0</v>
      </c>
      <c r="R40" s="214" t="n">
        <v>6.6</v>
      </c>
      <c r="S40" s="215" t="n">
        <v>6.6</v>
      </c>
      <c r="T40" s="159" t="n">
        <v>1</v>
      </c>
      <c r="U40" s="159" t="n">
        <v>0.1</v>
      </c>
      <c r="V40" s="215" t="n">
        <v>0.6</v>
      </c>
      <c r="W40" s="215" t="n">
        <v>0.6</v>
      </c>
      <c r="X40" s="215" t="n">
        <v>5.999999999999999</v>
      </c>
      <c r="Y40" s="215" t="n">
        <v>5.999999999999999</v>
      </c>
      <c r="Z40" s="192" t="n">
        <v>45427</v>
      </c>
      <c r="AB40" s="220" t="n">
        <v>5.999999999999999</v>
      </c>
      <c r="AC40" s="221" t="n">
        <v>0</v>
      </c>
      <c r="AD40" s="237" t="n">
        <v>0</v>
      </c>
      <c r="AE40" t="b">
        <v>0</v>
      </c>
      <c r="AF40" s="228" t="n">
        <v>-31.92</v>
      </c>
    </row>
    <row r="41">
      <c r="A41">
        <f>I41&amp;"-"&amp;J41</f>
        <v/>
      </c>
      <c r="B41" s="1">
        <f>M41</f>
        <v/>
      </c>
      <c r="C41">
        <f>N41</f>
        <v/>
      </c>
      <c r="D41">
        <f>K41</f>
        <v/>
      </c>
      <c r="E41">
        <f>L41</f>
        <v/>
      </c>
      <c r="F41" s="236">
        <f>S41</f>
        <v/>
      </c>
      <c r="G41">
        <f>U41*100&amp;"%"</f>
        <v/>
      </c>
      <c r="I41" s="212" t="n">
        <v>2024</v>
      </c>
      <c r="J41" s="213" t="n">
        <v>40</v>
      </c>
      <c r="K41" s="71" t="inlineStr">
        <is>
          <t>Ausgaben</t>
        </is>
      </c>
      <c r="L41" t="inlineStr">
        <is>
          <t>sonstige Betriebsausgaben</t>
        </is>
      </c>
      <c r="M41" s="1" t="n">
        <v>45357</v>
      </c>
      <c r="N41" t="inlineStr">
        <is>
          <t>Wien Energie Vertrieb GmbH &amp; Co KG, 1030 Wien, Pf 520</t>
        </is>
      </c>
      <c r="Q41" t="b">
        <v>0</v>
      </c>
      <c r="R41" s="214" t="n">
        <v>257.74</v>
      </c>
      <c r="S41" s="215" t="n">
        <v>23.75183992930632</v>
      </c>
      <c r="T41" s="159" t="n">
        <v>0.09215426371268068</v>
      </c>
      <c r="U41" s="159" t="n">
        <v>0.2</v>
      </c>
      <c r="V41" s="215" t="n">
        <v>42.95666666666668</v>
      </c>
      <c r="W41" s="215" t="n">
        <v>3.958639988217721</v>
      </c>
      <c r="X41" s="215" t="n">
        <v>214.7833333333334</v>
      </c>
      <c r="Y41" s="215" t="n">
        <v>19.7931999410886</v>
      </c>
      <c r="Z41" s="192" t="n">
        <v>45427</v>
      </c>
      <c r="AB41" s="220" t="n">
        <v>19.7931999410886</v>
      </c>
      <c r="AC41" s="221" t="n">
        <v>0</v>
      </c>
      <c r="AD41" s="237" t="n">
        <v>0</v>
      </c>
      <c r="AE41" t="b">
        <v>0</v>
      </c>
      <c r="AF41" s="228" t="n">
        <v>-515.85</v>
      </c>
    </row>
    <row r="42">
      <c r="A42">
        <f>I42&amp;"-"&amp;J42</f>
        <v/>
      </c>
      <c r="B42" s="1">
        <f>M42</f>
        <v/>
      </c>
      <c r="C42">
        <f>N42</f>
        <v/>
      </c>
      <c r="D42">
        <f>K42</f>
        <v/>
      </c>
      <c r="E42">
        <f>L42</f>
        <v/>
      </c>
      <c r="F42" s="236">
        <f>S42</f>
        <v/>
      </c>
      <c r="G42">
        <f>U42*100&amp;"%"</f>
        <v/>
      </c>
      <c r="I42" s="212" t="n">
        <v>2024</v>
      </c>
      <c r="J42" s="213" t="n">
        <v>41</v>
      </c>
      <c r="K42" s="71" t="inlineStr">
        <is>
          <t>Ausgaben</t>
        </is>
      </c>
      <c r="L42" t="inlineStr">
        <is>
          <t>sonstige Betriebsausgaben</t>
        </is>
      </c>
      <c r="M42" s="1" t="n">
        <v>45364</v>
      </c>
      <c r="N42" t="inlineStr">
        <is>
          <t>Hetzner Online GmbH, Industriestraße 25, 91710 Gunzenhausen</t>
        </is>
      </c>
      <c r="Q42" t="b">
        <v>0</v>
      </c>
      <c r="R42" s="214" t="n">
        <v>1.76</v>
      </c>
      <c r="S42" s="215" t="n">
        <v>1.76</v>
      </c>
      <c r="T42" s="159" t="n">
        <v>1</v>
      </c>
      <c r="U42" s="159" t="n">
        <v>0</v>
      </c>
      <c r="V42" s="215" t="n">
        <v>0</v>
      </c>
      <c r="W42" s="215" t="n">
        <v>0</v>
      </c>
      <c r="X42" s="215" t="n">
        <v>1.76</v>
      </c>
      <c r="Y42" s="215" t="n">
        <v>1.76</v>
      </c>
      <c r="Z42" s="192" t="n">
        <v>45427</v>
      </c>
      <c r="AA42" t="n">
        <v>20</v>
      </c>
      <c r="AB42" s="220" t="n">
        <v>1.76</v>
      </c>
      <c r="AC42" s="221" t="n">
        <v>0.352</v>
      </c>
      <c r="AD42" s="237" t="n">
        <v>0</v>
      </c>
      <c r="AE42" t="b">
        <v>0</v>
      </c>
      <c r="AF42" s="228" t="n">
        <v>-16.67</v>
      </c>
    </row>
    <row r="43">
      <c r="A43">
        <f>I43&amp;"-"&amp;J43</f>
        <v/>
      </c>
      <c r="B43" s="1">
        <f>M43</f>
        <v/>
      </c>
      <c r="C43">
        <f>N43</f>
        <v/>
      </c>
      <c r="D43">
        <f>K43</f>
        <v/>
      </c>
      <c r="E43">
        <f>L43</f>
        <v/>
      </c>
      <c r="F43" s="236">
        <f>S43</f>
        <v/>
      </c>
      <c r="G43">
        <f>U43*100&amp;"%"</f>
        <v/>
      </c>
      <c r="I43" s="212" t="n">
        <v>2024</v>
      </c>
      <c r="J43" s="213" t="n">
        <v>42</v>
      </c>
      <c r="K43" s="71" t="inlineStr">
        <is>
          <t>Ausgaben</t>
        </is>
      </c>
      <c r="L43" t="inlineStr">
        <is>
          <t>Personalaufwand</t>
        </is>
      </c>
      <c r="M43" s="1" t="n">
        <v>45366</v>
      </c>
      <c r="N43" t="inlineStr">
        <is>
          <t>Eva Jaros-Kolbitsch</t>
        </is>
      </c>
      <c r="Q43" t="b">
        <v>0</v>
      </c>
      <c r="R43" s="214" t="n">
        <v>365</v>
      </c>
      <c r="S43" s="215" t="n">
        <v>365</v>
      </c>
      <c r="T43" s="159" t="n">
        <v>1</v>
      </c>
      <c r="U43" s="159" t="n">
        <v>0</v>
      </c>
      <c r="V43" s="215" t="n">
        <v>0</v>
      </c>
      <c r="W43" s="215" t="n">
        <v>0</v>
      </c>
      <c r="X43" s="215" t="n">
        <v>365</v>
      </c>
      <c r="Y43" s="215" t="n">
        <v>365</v>
      </c>
      <c r="Z43" s="192" t="n">
        <v>45427</v>
      </c>
      <c r="AB43" s="220" t="n">
        <v>365</v>
      </c>
      <c r="AC43" s="221" t="n">
        <v>0</v>
      </c>
      <c r="AD43" s="237" t="n">
        <v>1.872</v>
      </c>
      <c r="AE43" t="b">
        <v>0</v>
      </c>
      <c r="AF43" s="228" t="n">
        <v>-9.359999999999999</v>
      </c>
    </row>
    <row r="44">
      <c r="A44">
        <f>I44&amp;"-"&amp;J44</f>
        <v/>
      </c>
      <c r="B44" s="1">
        <f>M44</f>
        <v/>
      </c>
      <c r="C44">
        <f>N44</f>
        <v/>
      </c>
      <c r="D44">
        <f>K44</f>
        <v/>
      </c>
      <c r="E44">
        <f>L44</f>
        <v/>
      </c>
      <c r="F44" s="236">
        <f>S44</f>
        <v/>
      </c>
      <c r="G44">
        <f>U44*100&amp;"%"</f>
        <v/>
      </c>
      <c r="I44" s="212" t="n">
        <v>2024</v>
      </c>
      <c r="J44" s="213" t="n">
        <v>43</v>
      </c>
      <c r="K44" s="71" t="inlineStr">
        <is>
          <t>Einnahmen</t>
        </is>
      </c>
      <c r="L44" t="inlineStr">
        <is>
          <t>Waren-/Leistungserlöse</t>
        </is>
      </c>
      <c r="M44" s="1" t="n">
        <v>45366</v>
      </c>
      <c r="N44" t="inlineStr">
        <is>
          <t>Hays Österreich GmbH, Bahnhof City Wien West - Europaplatz 3/5, 1150 Wien</t>
        </is>
      </c>
      <c r="R44" s="214" t="n">
        <v>22081.73</v>
      </c>
      <c r="S44" s="215" t="n">
        <v>22081.73</v>
      </c>
      <c r="T44" s="159" t="n">
        <v>1</v>
      </c>
      <c r="U44" s="159" t="n">
        <v>0.2</v>
      </c>
      <c r="V44" s="215" t="n">
        <v>3680.288333333333</v>
      </c>
      <c r="W44" s="215" t="n">
        <v>3680.288333333333</v>
      </c>
      <c r="X44" s="215" t="n">
        <v>18401.44166666667</v>
      </c>
      <c r="Y44" s="215" t="n">
        <v>18401.44166666667</v>
      </c>
      <c r="Z44" s="192" t="n">
        <v>45427</v>
      </c>
      <c r="AB44" s="220" t="n">
        <v>18401.44166666667</v>
      </c>
      <c r="AC44" s="221" t="n">
        <v>0</v>
      </c>
      <c r="AD44" s="237" t="n">
        <v>0</v>
      </c>
      <c r="AE44" t="b">
        <v>0</v>
      </c>
      <c r="AF44" s="228" t="n">
        <v>-122.6</v>
      </c>
    </row>
    <row r="45">
      <c r="A45">
        <f>I45&amp;"-"&amp;J45</f>
        <v/>
      </c>
      <c r="B45" s="1">
        <f>M45</f>
        <v/>
      </c>
      <c r="C45">
        <f>N45</f>
        <v/>
      </c>
      <c r="D45">
        <f>K45</f>
        <v/>
      </c>
      <c r="E45">
        <f>L45</f>
        <v/>
      </c>
      <c r="F45" s="236">
        <f>S45</f>
        <v/>
      </c>
      <c r="G45">
        <f>U45*100&amp;"%"</f>
        <v/>
      </c>
      <c r="I45" s="212" t="n">
        <v>2024</v>
      </c>
      <c r="J45" s="213" t="n">
        <v>44</v>
      </c>
      <c r="K45" s="71" t="inlineStr">
        <is>
          <t>Ausgaben</t>
        </is>
      </c>
      <c r="L45" t="inlineStr">
        <is>
          <t>sonstige Betriebsausgaben</t>
        </is>
      </c>
      <c r="M45" s="1" t="n">
        <v>45371</v>
      </c>
      <c r="N45" t="inlineStr">
        <is>
          <t>easyname</t>
        </is>
      </c>
      <c r="Q45" t="b">
        <v>0</v>
      </c>
      <c r="R45" s="214" t="n">
        <v>23.9</v>
      </c>
      <c r="S45" s="215" t="n">
        <v>23.9</v>
      </c>
      <c r="T45" s="159" t="n">
        <v>1</v>
      </c>
      <c r="U45" s="159" t="n">
        <v>0.2</v>
      </c>
      <c r="V45" s="215" t="n">
        <v>3.983333333333334</v>
      </c>
      <c r="W45" s="215" t="n">
        <v>3.983333333333334</v>
      </c>
      <c r="X45" s="215" t="n">
        <v>19.91666666666667</v>
      </c>
      <c r="Y45" s="215" t="n">
        <v>19.91666666666667</v>
      </c>
      <c r="Z45" s="192" t="n">
        <v>45427</v>
      </c>
      <c r="AB45" s="220" t="n">
        <v>19.91666666666667</v>
      </c>
      <c r="AC45" s="221" t="n">
        <v>0</v>
      </c>
      <c r="AD45" s="237" t="n">
        <v>0</v>
      </c>
      <c r="AE45" t="b">
        <v>0</v>
      </c>
      <c r="AF45" s="228" t="n">
        <v>-5</v>
      </c>
    </row>
    <row r="46">
      <c r="A46">
        <f>I46&amp;"-"&amp;J46</f>
        <v/>
      </c>
      <c r="B46" s="1">
        <f>M46</f>
        <v/>
      </c>
      <c r="C46">
        <f>N46</f>
        <v/>
      </c>
      <c r="D46">
        <f>K46</f>
        <v/>
      </c>
      <c r="E46">
        <f>L46</f>
        <v/>
      </c>
      <c r="F46" s="236">
        <f>S46</f>
        <v/>
      </c>
      <c r="G46">
        <f>U46*100&amp;"%"</f>
        <v/>
      </c>
      <c r="I46" s="212" t="n">
        <v>2024</v>
      </c>
      <c r="J46" s="213" t="n">
        <v>45</v>
      </c>
      <c r="K46" s="71" t="inlineStr">
        <is>
          <t>Ausgaben</t>
        </is>
      </c>
      <c r="L46" t="inlineStr">
        <is>
          <t>sonstige Betriebsausgaben</t>
        </is>
      </c>
      <c r="M46" s="1" t="n">
        <v>45371</v>
      </c>
      <c r="N46" t="inlineStr">
        <is>
          <t>Microsoft Ireland Operations Ltd. One Microsoft Place, South County, Business Park, Leopardstown, Dublin 18, D18 P521, Ireland</t>
        </is>
      </c>
      <c r="Q46" t="b">
        <v>0</v>
      </c>
      <c r="R46" s="214" t="n">
        <v>11.7</v>
      </c>
      <c r="S46" s="215" t="n">
        <v>11.7</v>
      </c>
      <c r="T46" s="159" t="n">
        <v>1</v>
      </c>
      <c r="U46" s="159" t="n">
        <v>0</v>
      </c>
      <c r="V46" s="215" t="n">
        <v>0</v>
      </c>
      <c r="W46" s="215" t="n">
        <v>0</v>
      </c>
      <c r="X46" s="215" t="n">
        <v>11.7</v>
      </c>
      <c r="Y46" s="215" t="n">
        <v>11.7</v>
      </c>
      <c r="Z46" s="192" t="n">
        <v>45427</v>
      </c>
      <c r="AA46" t="n">
        <v>20</v>
      </c>
      <c r="AB46" s="220" t="n">
        <v>11.7</v>
      </c>
      <c r="AC46" s="221" t="n">
        <v>2.34</v>
      </c>
      <c r="AD46" s="237" t="n">
        <v>0</v>
      </c>
      <c r="AE46" t="b">
        <v>0</v>
      </c>
      <c r="AF46" s="228" t="n">
        <v>-15</v>
      </c>
    </row>
    <row r="47">
      <c r="A47">
        <f>I47&amp;"-"&amp;J47</f>
        <v/>
      </c>
      <c r="B47" s="1">
        <f>M47</f>
        <v/>
      </c>
      <c r="C47">
        <f>N47</f>
        <v/>
      </c>
      <c r="D47">
        <f>K47</f>
        <v/>
      </c>
      <c r="E47">
        <f>L47</f>
        <v/>
      </c>
      <c r="F47" s="236">
        <f>S47</f>
        <v/>
      </c>
      <c r="G47">
        <f>U47*100&amp;"%"</f>
        <v/>
      </c>
      <c r="I47" s="212" t="n">
        <v>2024</v>
      </c>
      <c r="J47" s="213" t="n">
        <v>46</v>
      </c>
      <c r="K47" s="71" t="inlineStr">
        <is>
          <t>Ausgaben</t>
        </is>
      </c>
      <c r="L47" t="inlineStr">
        <is>
          <t>sonstige Betriebsausgaben</t>
        </is>
      </c>
      <c r="M47" s="1" t="n">
        <v>45376</v>
      </c>
      <c r="N47" t="inlineStr">
        <is>
          <t>OpenAI, LLC, 548 Market Street, PMB 97273, San Francisco, California 94104-5401, United States</t>
        </is>
      </c>
      <c r="Q47" t="b">
        <v>0</v>
      </c>
      <c r="R47" s="214" t="n">
        <v>22.55</v>
      </c>
      <c r="S47" s="215" t="n">
        <v>22.55</v>
      </c>
      <c r="T47" s="159" t="n">
        <v>1</v>
      </c>
      <c r="U47" s="159" t="n">
        <v>0.2</v>
      </c>
      <c r="V47" s="215" t="n">
        <v>3.705000000000001</v>
      </c>
      <c r="W47" s="215" t="n">
        <v>3.705000000000001</v>
      </c>
      <c r="X47" s="215" t="n">
        <v>18.525</v>
      </c>
      <c r="Y47" s="215" t="n">
        <v>18.525</v>
      </c>
      <c r="Z47" s="192" t="n">
        <v>45427</v>
      </c>
      <c r="AB47" s="220" t="n">
        <v>18.525</v>
      </c>
      <c r="AC47" s="221" t="n">
        <v>0</v>
      </c>
      <c r="AD47" s="237" t="n">
        <v>10.44282</v>
      </c>
      <c r="AE47" t="b">
        <v>0</v>
      </c>
      <c r="AF47" s="228" t="n">
        <v>-52.2141</v>
      </c>
    </row>
    <row r="48">
      <c r="A48">
        <f>I48&amp;"-"&amp;J48</f>
        <v/>
      </c>
      <c r="B48" s="1">
        <f>M48</f>
        <v/>
      </c>
      <c r="C48">
        <f>N48</f>
        <v/>
      </c>
      <c r="D48">
        <f>K48</f>
        <v/>
      </c>
      <c r="E48">
        <f>L48</f>
        <v/>
      </c>
      <c r="F48" s="236">
        <f>S48</f>
        <v/>
      </c>
      <c r="G48">
        <f>U48*100&amp;"%"</f>
        <v/>
      </c>
      <c r="I48" s="212" t="n">
        <v>2024</v>
      </c>
      <c r="J48" s="213" t="n">
        <v>47</v>
      </c>
      <c r="K48" s="71" t="inlineStr">
        <is>
          <t>Ausgaben</t>
        </is>
      </c>
      <c r="L48" t="inlineStr">
        <is>
          <t>sonstige Betriebsausgaben</t>
        </is>
      </c>
      <c r="M48" s="1" t="n">
        <v>45380</v>
      </c>
      <c r="N48" t="inlineStr">
        <is>
          <t>aap.architekten ZT-GmbH, Albertplatz 1/6, 1080 Wien</t>
        </is>
      </c>
      <c r="Q48" t="b">
        <v>1</v>
      </c>
      <c r="R48" s="214" t="n">
        <v>31920</v>
      </c>
      <c r="S48" s="215" t="n">
        <v>2941.564097708767</v>
      </c>
      <c r="T48" s="159" t="n">
        <v>0.09215426371268068</v>
      </c>
      <c r="U48" s="159" t="n">
        <v>0.2</v>
      </c>
      <c r="V48" s="215" t="n">
        <v>5320</v>
      </c>
      <c r="W48" s="215" t="n">
        <v>490.2606829514612</v>
      </c>
      <c r="X48" s="215" t="n">
        <v>26600</v>
      </c>
      <c r="Y48" s="215" t="n">
        <v>2451.303414757306</v>
      </c>
      <c r="Z48" s="192" t="n">
        <v>45427</v>
      </c>
      <c r="AB48" s="220" t="n">
        <v>2451.303414757306</v>
      </c>
      <c r="AC48" s="221" t="n">
        <v>0</v>
      </c>
      <c r="AD48" s="237" t="n">
        <v>0</v>
      </c>
      <c r="AE48" t="b">
        <v>0</v>
      </c>
      <c r="AF48" s="228" t="n">
        <v>-12</v>
      </c>
    </row>
    <row r="49">
      <c r="A49">
        <f>I49&amp;"-"&amp;J49</f>
        <v/>
      </c>
      <c r="B49" s="1">
        <f>M49</f>
        <v/>
      </c>
      <c r="C49">
        <f>N49</f>
        <v/>
      </c>
      <c r="D49">
        <f>K49</f>
        <v/>
      </c>
      <c r="E49">
        <f>L49</f>
        <v/>
      </c>
      <c r="F49" s="236">
        <f>S49</f>
        <v/>
      </c>
      <c r="G49">
        <f>U49*100&amp;"%"</f>
        <v/>
      </c>
      <c r="I49" s="212" t="n">
        <v>2024</v>
      </c>
      <c r="J49" s="213" t="n">
        <v>48</v>
      </c>
      <c r="K49" s="71" t="inlineStr">
        <is>
          <t>Ausgaben</t>
        </is>
      </c>
      <c r="L49" t="inlineStr">
        <is>
          <t>sonstige Betriebsausgaben</t>
        </is>
      </c>
      <c r="M49" s="1" t="n">
        <v>45380</v>
      </c>
      <c r="N49" t="inlineStr">
        <is>
          <t>aap.architekten ZT-GmbH, Albertplatz 1/6, 1080 Wien</t>
        </is>
      </c>
      <c r="Q49" t="b">
        <v>1</v>
      </c>
      <c r="R49" s="214" t="n">
        <v>12000</v>
      </c>
      <c r="S49" s="215" t="n">
        <v>1105.851164552168</v>
      </c>
      <c r="T49" s="159" t="n">
        <v>0.09215426371268068</v>
      </c>
      <c r="U49" s="159" t="n">
        <v>0.2</v>
      </c>
      <c r="V49" s="215" t="n">
        <v>2000</v>
      </c>
      <c r="W49" s="215" t="n">
        <v>184.3085274253613</v>
      </c>
      <c r="X49" s="215" t="n">
        <v>10000</v>
      </c>
      <c r="Y49" s="215" t="n">
        <v>921.5426371268068</v>
      </c>
      <c r="Z49" s="192" t="n">
        <v>45427</v>
      </c>
      <c r="AB49" s="220" t="n">
        <v>921.5426371268068</v>
      </c>
      <c r="AC49" s="221" t="n">
        <v>0</v>
      </c>
      <c r="AD49" s="237" t="n">
        <v>0</v>
      </c>
      <c r="AE49" t="b">
        <v>0</v>
      </c>
      <c r="AF49" s="228" t="n">
        <v>-365</v>
      </c>
    </row>
    <row r="50">
      <c r="A50">
        <f>I50&amp;"-"&amp;J50</f>
        <v/>
      </c>
      <c r="B50" s="1">
        <f>M50</f>
        <v/>
      </c>
      <c r="C50">
        <f>N50</f>
        <v/>
      </c>
      <c r="D50">
        <f>K50</f>
        <v/>
      </c>
      <c r="E50">
        <f>L50</f>
        <v/>
      </c>
      <c r="F50" s="236">
        <f>S50</f>
        <v/>
      </c>
      <c r="G50">
        <f>U50*100&amp;"%"</f>
        <v/>
      </c>
      <c r="I50" s="212" t="n">
        <v>2024</v>
      </c>
      <c r="J50" s="213" t="n">
        <v>49</v>
      </c>
      <c r="K50" s="71" t="inlineStr">
        <is>
          <t>Ausgaben</t>
        </is>
      </c>
      <c r="L50" t="inlineStr">
        <is>
          <t>sonstige Betriebsausgaben</t>
        </is>
      </c>
      <c r="M50" s="1" t="n">
        <v>45384</v>
      </c>
      <c r="N50" t="inlineStr">
        <is>
          <t>TeamViewer Germany Gmbh, Bahnhofsplatz 2, 73033 Göppingen</t>
        </is>
      </c>
      <c r="P50" t="inlineStr">
        <is>
          <t>ja</t>
        </is>
      </c>
      <c r="Q50" t="b">
        <v>0</v>
      </c>
      <c r="R50" s="214" t="n">
        <v>394.8</v>
      </c>
      <c r="S50" s="215" t="n">
        <v>394.8</v>
      </c>
      <c r="T50" s="159" t="n">
        <v>1</v>
      </c>
      <c r="U50" s="159" t="n">
        <v>0</v>
      </c>
      <c r="V50" s="215" t="n">
        <v>0</v>
      </c>
      <c r="W50" s="215" t="n">
        <v>0</v>
      </c>
      <c r="X50" s="215" t="n">
        <v>394.8</v>
      </c>
      <c r="Y50" s="215" t="n">
        <v>394.8</v>
      </c>
      <c r="Z50" s="192" t="n">
        <v>45519</v>
      </c>
      <c r="AA50" t="n">
        <v>20</v>
      </c>
      <c r="AB50" s="220" t="n">
        <v>394.8</v>
      </c>
      <c r="AC50" s="221" t="n">
        <v>78.96000000000001</v>
      </c>
      <c r="AD50" s="237" t="n">
        <v>0</v>
      </c>
      <c r="AE50" t="b">
        <v>0</v>
      </c>
      <c r="AF50" s="228" t="n">
        <v>103.42</v>
      </c>
    </row>
    <row r="51">
      <c r="A51">
        <f>I51&amp;"-"&amp;J51</f>
        <v/>
      </c>
      <c r="B51" s="1">
        <f>M51</f>
        <v/>
      </c>
      <c r="C51">
        <f>N51</f>
        <v/>
      </c>
      <c r="D51">
        <f>K51</f>
        <v/>
      </c>
      <c r="E51">
        <f>L51</f>
        <v/>
      </c>
      <c r="F51" s="236">
        <f>S51</f>
        <v/>
      </c>
      <c r="G51">
        <f>U51*100&amp;"%"</f>
        <v/>
      </c>
      <c r="I51" s="212" t="n">
        <v>2024</v>
      </c>
      <c r="J51" s="213" t="n">
        <v>50</v>
      </c>
      <c r="K51" s="71" t="inlineStr">
        <is>
          <t>Ausgaben</t>
        </is>
      </c>
      <c r="L51" t="inlineStr">
        <is>
          <t>sonstige Betriebsausgaben</t>
        </is>
      </c>
      <c r="M51" s="1" t="n">
        <v>45385</v>
      </c>
      <c r="N51" t="inlineStr">
        <is>
          <t>muki POL 3000081716, ReNr 9001577939</t>
        </is>
      </c>
      <c r="Q51" t="b">
        <v>0</v>
      </c>
      <c r="R51" s="214" t="n">
        <v>38.48</v>
      </c>
      <c r="S51" s="215" t="n">
        <v>3.546096067663952</v>
      </c>
      <c r="T51" s="159" t="n">
        <v>0.09215426371268068</v>
      </c>
      <c r="U51" s="159" t="n">
        <v>0</v>
      </c>
      <c r="V51" s="215" t="n">
        <v>0</v>
      </c>
      <c r="W51" s="215" t="n">
        <v>0</v>
      </c>
      <c r="X51" s="215" t="n">
        <v>38.48</v>
      </c>
      <c r="Y51" s="215" t="n">
        <v>3.546096067663952</v>
      </c>
      <c r="Z51" s="192" t="n">
        <v>45519</v>
      </c>
      <c r="AB51" s="220" t="n">
        <v>3.546096067663952</v>
      </c>
      <c r="AC51" s="221" t="n">
        <v>0</v>
      </c>
      <c r="AD51" s="237" t="n">
        <v>0</v>
      </c>
      <c r="AE51" t="b">
        <v>0</v>
      </c>
      <c r="AF51" s="228" t="n">
        <v>13075.88</v>
      </c>
    </row>
    <row r="52">
      <c r="A52">
        <f>I52&amp;"-"&amp;J52</f>
        <v/>
      </c>
      <c r="B52" s="1">
        <f>M52</f>
        <v/>
      </c>
      <c r="C52">
        <f>N52</f>
        <v/>
      </c>
      <c r="D52">
        <f>K52</f>
        <v/>
      </c>
      <c r="E52">
        <f>L52</f>
        <v/>
      </c>
      <c r="F52" s="236">
        <f>S52</f>
        <v/>
      </c>
      <c r="G52">
        <f>U52*100&amp;"%"</f>
        <v/>
      </c>
      <c r="I52" s="212" t="n">
        <v>2024</v>
      </c>
      <c r="J52" s="213" t="n">
        <v>51</v>
      </c>
      <c r="K52" s="71" t="inlineStr">
        <is>
          <t>Ausgaben</t>
        </is>
      </c>
      <c r="L52" t="inlineStr">
        <is>
          <t>sonstige Betriebsausgaben</t>
        </is>
      </c>
      <c r="M52" s="1" t="n">
        <v>45385</v>
      </c>
      <c r="N52" t="inlineStr">
        <is>
          <t>Google Ireland Ltd, Gordon House, Barrow Street, Dublin 4, Ireland; VAT number: IE 6388047V</t>
        </is>
      </c>
      <c r="Q52" t="b">
        <v>0</v>
      </c>
      <c r="R52" s="214" t="n">
        <v>12.56</v>
      </c>
      <c r="S52" s="215" t="n">
        <v>12.56</v>
      </c>
      <c r="T52" s="159" t="n">
        <v>1</v>
      </c>
      <c r="U52" s="159" t="n">
        <v>0</v>
      </c>
      <c r="V52" s="215" t="n">
        <v>0</v>
      </c>
      <c r="W52" s="215" t="n">
        <v>0</v>
      </c>
      <c r="X52" s="215" t="n">
        <v>12.56</v>
      </c>
      <c r="Y52" s="215" t="n">
        <v>12.56</v>
      </c>
      <c r="Z52" s="192" t="n">
        <v>45519</v>
      </c>
      <c r="AA52" t="n">
        <v>20</v>
      </c>
      <c r="AB52" s="220" t="n">
        <v>12.56</v>
      </c>
      <c r="AC52" s="221" t="n">
        <v>2.512</v>
      </c>
      <c r="AD52" s="237" t="n">
        <v>0</v>
      </c>
      <c r="AE52" t="b">
        <v>0</v>
      </c>
      <c r="AF52" s="228" t="n">
        <v>31.28</v>
      </c>
    </row>
    <row r="53">
      <c r="A53">
        <f>I53&amp;"-"&amp;J53</f>
        <v/>
      </c>
      <c r="B53" s="1">
        <f>M53</f>
        <v/>
      </c>
      <c r="C53">
        <f>N53</f>
        <v/>
      </c>
      <c r="D53">
        <f>K53</f>
        <v/>
      </c>
      <c r="E53">
        <f>L53</f>
        <v/>
      </c>
      <c r="F53" s="236">
        <f>S53</f>
        <v/>
      </c>
      <c r="G53">
        <f>U53*100&amp;"%"</f>
        <v/>
      </c>
      <c r="I53" s="212" t="n">
        <v>2024</v>
      </c>
      <c r="J53" s="213" t="n">
        <v>52</v>
      </c>
      <c r="K53" s="71" t="inlineStr">
        <is>
          <t>Ausgaben</t>
        </is>
      </c>
      <c r="L53" t="inlineStr">
        <is>
          <t>sonstige Betriebsausgaben</t>
        </is>
      </c>
      <c r="M53" s="1" t="n">
        <v>45385</v>
      </c>
      <c r="N53" t="inlineStr">
        <is>
          <t>Google Ireland Ltd, Gordon House, Barrow Street, Dublin 4, Ireland; VAT number: IE 6388047V</t>
        </is>
      </c>
      <c r="Q53" t="b">
        <v>0</v>
      </c>
      <c r="R53" s="214" t="n">
        <v>11.59</v>
      </c>
      <c r="S53" s="215" t="n">
        <v>11.59</v>
      </c>
      <c r="T53" s="159" t="n">
        <v>1</v>
      </c>
      <c r="U53" s="159" t="n">
        <v>0</v>
      </c>
      <c r="V53" s="215" t="n">
        <v>0</v>
      </c>
      <c r="W53" s="215" t="n">
        <v>0</v>
      </c>
      <c r="X53" s="215" t="n">
        <v>11.59</v>
      </c>
      <c r="Y53" s="215" t="n">
        <v>11.59</v>
      </c>
      <c r="Z53" s="192" t="n">
        <v>45519</v>
      </c>
      <c r="AA53" t="n">
        <v>20</v>
      </c>
      <c r="AB53" s="220" t="n">
        <v>11.59</v>
      </c>
      <c r="AC53" s="221" t="n">
        <v>2.318</v>
      </c>
      <c r="AD53" s="237" t="n">
        <v>0</v>
      </c>
      <c r="AE53" t="b">
        <v>0</v>
      </c>
      <c r="AF53" s="228" t="n">
        <v>6.71</v>
      </c>
    </row>
    <row r="54">
      <c r="A54">
        <f>I54&amp;"-"&amp;J54</f>
        <v/>
      </c>
      <c r="B54" s="1">
        <f>M54</f>
        <v/>
      </c>
      <c r="C54">
        <f>N54</f>
        <v/>
      </c>
      <c r="D54">
        <f>K54</f>
        <v/>
      </c>
      <c r="E54">
        <f>L54</f>
        <v/>
      </c>
      <c r="F54" s="236">
        <f>S54</f>
        <v/>
      </c>
      <c r="G54">
        <f>U54*100&amp;"%"</f>
        <v/>
      </c>
      <c r="I54" s="212" t="n">
        <v>2024</v>
      </c>
      <c r="J54" s="213" t="n">
        <v>53</v>
      </c>
      <c r="K54" s="71" t="inlineStr">
        <is>
          <t>Ausgaben</t>
        </is>
      </c>
      <c r="L54" t="inlineStr">
        <is>
          <t>Telefon/Internet</t>
        </is>
      </c>
      <c r="M54" s="1" t="n">
        <v>45386</v>
      </c>
      <c r="N54" t="inlineStr">
        <is>
          <t>Hutchison Drei Austria GmbH, Brünner Straße 52, 1210 Wien, Österreich</t>
        </is>
      </c>
      <c r="Q54" t="b">
        <v>0</v>
      </c>
      <c r="R54" s="214" t="n">
        <v>12.9</v>
      </c>
      <c r="S54" s="215" t="n">
        <v>12.9</v>
      </c>
      <c r="T54" s="159" t="n">
        <v>1</v>
      </c>
      <c r="U54" s="159" t="n">
        <v>0.2</v>
      </c>
      <c r="V54" s="215" t="n">
        <v>2.15</v>
      </c>
      <c r="W54" s="215" t="n">
        <v>2.15</v>
      </c>
      <c r="X54" s="215" t="n">
        <v>10.75</v>
      </c>
      <c r="Y54" s="215" t="n">
        <v>10.75</v>
      </c>
      <c r="Z54" s="192" t="n"/>
      <c r="AB54" s="220" t="n">
        <v>10.75</v>
      </c>
      <c r="AC54" s="221" t="n">
        <v>0</v>
      </c>
      <c r="AD54" s="237" t="n">
        <v>0</v>
      </c>
      <c r="AE54" t="b">
        <v>0</v>
      </c>
      <c r="AF54" s="228" t="n">
        <v>40.71</v>
      </c>
    </row>
    <row r="55">
      <c r="A55">
        <f>I55&amp;"-"&amp;J55</f>
        <v/>
      </c>
      <c r="B55" s="1">
        <f>M55</f>
        <v/>
      </c>
      <c r="C55">
        <f>N55</f>
        <v/>
      </c>
      <c r="D55">
        <f>K55</f>
        <v/>
      </c>
      <c r="E55">
        <f>L55</f>
        <v/>
      </c>
      <c r="F55" s="236">
        <f>S55</f>
        <v/>
      </c>
      <c r="G55">
        <f>U55*100&amp;"%"</f>
        <v/>
      </c>
      <c r="I55" s="212" t="n">
        <v>2024</v>
      </c>
      <c r="J55" s="213" t="n">
        <v>54</v>
      </c>
      <c r="K55" s="71" t="inlineStr">
        <is>
          <t>Ausgaben</t>
        </is>
      </c>
      <c r="L55" t="inlineStr">
        <is>
          <t>sonstige Betriebsausgaben</t>
        </is>
      </c>
      <c r="M55" s="1" t="n">
        <v>45390</v>
      </c>
      <c r="N55" t="inlineStr">
        <is>
          <t>Wiener Netze GmbH</t>
        </is>
      </c>
      <c r="Q55" t="b">
        <v>0</v>
      </c>
      <c r="R55" s="214" t="n">
        <v>24</v>
      </c>
      <c r="S55" s="215" t="n">
        <v>24</v>
      </c>
      <c r="T55" s="159" t="n">
        <v>1</v>
      </c>
      <c r="U55" s="159" t="n">
        <v>0.2</v>
      </c>
      <c r="V55" s="215" t="n">
        <v>4</v>
      </c>
      <c r="W55" s="215" t="n">
        <v>4</v>
      </c>
      <c r="X55" s="215" t="n">
        <v>20</v>
      </c>
      <c r="Y55" s="215" t="n">
        <v>20</v>
      </c>
      <c r="Z55" s="192" t="n"/>
      <c r="AB55" s="220" t="n">
        <v>20</v>
      </c>
      <c r="AC55" s="221" t="n">
        <v>0</v>
      </c>
      <c r="AD55" s="237" t="n">
        <v>0</v>
      </c>
      <c r="AE55" t="b">
        <v>0</v>
      </c>
      <c r="AF55" s="228" t="n">
        <v>-331.82</v>
      </c>
    </row>
    <row r="56">
      <c r="A56">
        <f>I56&amp;"-"&amp;J56</f>
        <v/>
      </c>
      <c r="B56" s="1">
        <f>M56</f>
        <v/>
      </c>
      <c r="C56">
        <f>N56</f>
        <v/>
      </c>
      <c r="D56">
        <f>K56</f>
        <v/>
      </c>
      <c r="E56">
        <f>L56</f>
        <v/>
      </c>
      <c r="F56" s="236">
        <f>S56</f>
        <v/>
      </c>
      <c r="G56">
        <f>U56*100&amp;"%"</f>
        <v/>
      </c>
      <c r="I56" s="212" t="n">
        <v>2024</v>
      </c>
      <c r="J56" s="213" t="n">
        <v>55</v>
      </c>
      <c r="K56" s="71" t="inlineStr">
        <is>
          <t>Ausgaben</t>
        </is>
      </c>
      <c r="L56" t="inlineStr">
        <is>
          <t>Telefon/Internet</t>
        </is>
      </c>
      <c r="M56" s="1" t="n">
        <v>45397</v>
      </c>
      <c r="N56" t="inlineStr">
        <is>
          <t>kabelplus GmbH, Südstadtzentrum 4, 2344 Maria Enzersdorf</t>
        </is>
      </c>
      <c r="Q56" t="b">
        <v>0</v>
      </c>
      <c r="R56" s="214" t="n">
        <v>1.9</v>
      </c>
      <c r="S56" s="215" t="n">
        <v>1.273</v>
      </c>
      <c r="T56" s="159" t="n">
        <v>0.67</v>
      </c>
      <c r="U56" s="159" t="n">
        <v>0.2</v>
      </c>
      <c r="V56" s="215" t="n">
        <v>0.3166666666666667</v>
      </c>
      <c r="W56" s="215" t="n">
        <v>0.2121666666666667</v>
      </c>
      <c r="X56" s="215" t="n">
        <v>1.583333333333333</v>
      </c>
      <c r="Y56" s="215" t="n">
        <v>1.060833333333333</v>
      </c>
      <c r="Z56" s="192" t="n">
        <v>45519</v>
      </c>
      <c r="AB56" s="220" t="n">
        <v>1.060833333333333</v>
      </c>
      <c r="AC56" s="221" t="n">
        <v>0</v>
      </c>
      <c r="AD56" s="237" t="n">
        <v>2.1</v>
      </c>
      <c r="AE56" t="b">
        <v>0</v>
      </c>
      <c r="AF56" s="228" t="n">
        <v>-10.5</v>
      </c>
    </row>
    <row r="57">
      <c r="A57">
        <f>I57&amp;"-"&amp;J57</f>
        <v/>
      </c>
      <c r="B57" s="1">
        <f>M57</f>
        <v/>
      </c>
      <c r="C57">
        <f>N57</f>
        <v/>
      </c>
      <c r="D57">
        <f>K57</f>
        <v/>
      </c>
      <c r="E57">
        <f>L57</f>
        <v/>
      </c>
      <c r="F57" s="236">
        <f>S57</f>
        <v/>
      </c>
      <c r="G57">
        <f>U57*100&amp;"%"</f>
        <v/>
      </c>
      <c r="I57" s="212" t="n">
        <v>2024</v>
      </c>
      <c r="J57" s="213" t="n">
        <v>56</v>
      </c>
      <c r="K57" s="71" t="inlineStr">
        <is>
          <t>Ausgaben</t>
        </is>
      </c>
      <c r="L57" t="inlineStr">
        <is>
          <t>sonstige Betriebsausgaben</t>
        </is>
      </c>
      <c r="M57" s="1" t="n">
        <v>45393</v>
      </c>
      <c r="N57" t="inlineStr">
        <is>
          <t>Hetzner Online GmbH, Industriestraße 25, 91710 Gunzenhausen</t>
        </is>
      </c>
      <c r="Q57" t="b">
        <v>0</v>
      </c>
      <c r="R57" s="214" t="n">
        <v>8.390000000000001</v>
      </c>
      <c r="S57" s="215" t="n">
        <v>8.390000000000001</v>
      </c>
      <c r="T57" s="159" t="n">
        <v>1</v>
      </c>
      <c r="U57" s="159" t="n">
        <v>0</v>
      </c>
      <c r="V57" s="215" t="n">
        <v>0</v>
      </c>
      <c r="W57" s="215" t="n">
        <v>0</v>
      </c>
      <c r="X57" s="215" t="n">
        <v>8.390000000000001</v>
      </c>
      <c r="Y57" s="215" t="n">
        <v>8.390000000000001</v>
      </c>
      <c r="Z57" s="192" t="n">
        <v>45519</v>
      </c>
      <c r="AA57" t="n">
        <v>20</v>
      </c>
      <c r="AB57" s="220" t="n">
        <v>8.390000000000001</v>
      </c>
      <c r="AC57" s="221" t="n">
        <v>1.678</v>
      </c>
      <c r="AD57" s="237" t="n">
        <v>0</v>
      </c>
      <c r="AE57" t="b">
        <v>0</v>
      </c>
      <c r="AF57" s="228" t="n">
        <v>-31.92</v>
      </c>
    </row>
    <row r="58">
      <c r="A58">
        <f>I58&amp;"-"&amp;J58</f>
        <v/>
      </c>
      <c r="B58" s="1">
        <f>M58</f>
        <v/>
      </c>
      <c r="C58">
        <f>N58</f>
        <v/>
      </c>
      <c r="D58">
        <f>K58</f>
        <v/>
      </c>
      <c r="E58">
        <f>L58</f>
        <v/>
      </c>
      <c r="F58" s="236">
        <f>S58</f>
        <v/>
      </c>
      <c r="G58">
        <f>U58*100&amp;"%"</f>
        <v/>
      </c>
      <c r="I58" s="212" t="n">
        <v>2024</v>
      </c>
      <c r="J58" s="213" t="n">
        <v>57</v>
      </c>
      <c r="K58" s="71" t="inlineStr">
        <is>
          <t>Einnahmen</t>
        </is>
      </c>
      <c r="L58" t="inlineStr">
        <is>
          <t>Waren-/Leistungserlöse</t>
        </is>
      </c>
      <c r="M58" s="1" t="n">
        <v>45393</v>
      </c>
      <c r="N58" t="inlineStr">
        <is>
          <t>Hays Österreich GmbH, Bahnhof City Wien West - Europaplatz 3/5, 1150 Wien</t>
        </is>
      </c>
      <c r="R58" s="214" t="n">
        <v>24409.92</v>
      </c>
      <c r="S58" s="215" t="n">
        <v>24409.92</v>
      </c>
      <c r="T58" s="159" t="n">
        <v>1</v>
      </c>
      <c r="U58" s="159" t="n">
        <v>0.2</v>
      </c>
      <c r="V58" s="215" t="n">
        <v>4068.32</v>
      </c>
      <c r="W58" s="215" t="n">
        <v>4068.32</v>
      </c>
      <c r="X58" s="215" t="n">
        <v>20341.6</v>
      </c>
      <c r="Y58" s="215" t="n">
        <v>20341.6</v>
      </c>
      <c r="Z58" s="192" t="n">
        <v>45519</v>
      </c>
      <c r="AB58" s="220" t="n">
        <v>20341.6</v>
      </c>
      <c r="AC58" s="221" t="n">
        <v>0</v>
      </c>
      <c r="AD58" s="237" t="n">
        <v>0</v>
      </c>
      <c r="AE58" t="b">
        <v>0</v>
      </c>
      <c r="AF58" s="228" t="n">
        <v>-15.75</v>
      </c>
    </row>
    <row r="59">
      <c r="A59">
        <f>I59&amp;"-"&amp;J59</f>
        <v/>
      </c>
      <c r="B59" s="1">
        <f>M59</f>
        <v/>
      </c>
      <c r="C59">
        <f>N59</f>
        <v/>
      </c>
      <c r="D59">
        <f>K59</f>
        <v/>
      </c>
      <c r="E59">
        <f>L59</f>
        <v/>
      </c>
      <c r="F59" s="236">
        <f>S59</f>
        <v/>
      </c>
      <c r="G59">
        <f>U59*100&amp;"%"</f>
        <v/>
      </c>
      <c r="I59" s="212" t="n">
        <v>2024</v>
      </c>
      <c r="J59" s="213" t="n">
        <v>58</v>
      </c>
      <c r="K59" s="71" t="inlineStr">
        <is>
          <t>Ausgaben</t>
        </is>
      </c>
      <c r="L59" t="inlineStr">
        <is>
          <t>Lizenzgebühren</t>
        </is>
      </c>
      <c r="M59" s="1" t="n">
        <v>45394</v>
      </c>
      <c r="N59" t="inlineStr">
        <is>
          <t>OnTheGoSystems Limited, 22/F 3 Lockhart Road, Wanchai, Hong Kong</t>
        </is>
      </c>
      <c r="P59" t="inlineStr">
        <is>
          <t>ja</t>
        </is>
      </c>
      <c r="Q59" t="b">
        <v>0</v>
      </c>
      <c r="R59" s="214" t="n">
        <v>46.8</v>
      </c>
      <c r="S59" s="215" t="n">
        <v>46.8</v>
      </c>
      <c r="T59" s="159" t="n">
        <v>1</v>
      </c>
      <c r="U59" s="159" t="n">
        <v>0.2</v>
      </c>
      <c r="V59" s="215" t="n">
        <v>7.800000000000001</v>
      </c>
      <c r="W59" s="215" t="n">
        <v>7.800000000000001</v>
      </c>
      <c r="X59" s="215" t="n">
        <v>39</v>
      </c>
      <c r="Y59" s="215" t="n">
        <v>39</v>
      </c>
      <c r="Z59" s="192" t="n"/>
      <c r="AB59" s="220" t="n">
        <v>39</v>
      </c>
      <c r="AC59" s="221" t="n">
        <v>0</v>
      </c>
      <c r="AD59" s="237" t="n">
        <v>0</v>
      </c>
      <c r="AE59" t="b">
        <v>0</v>
      </c>
      <c r="AF59" s="228" t="n">
        <v>-65</v>
      </c>
    </row>
    <row r="60">
      <c r="A60">
        <f>I60&amp;"-"&amp;J60</f>
        <v/>
      </c>
      <c r="B60" s="1">
        <f>M60</f>
        <v/>
      </c>
      <c r="C60">
        <f>N60</f>
        <v/>
      </c>
      <c r="D60">
        <f>K60</f>
        <v/>
      </c>
      <c r="E60">
        <f>L60</f>
        <v/>
      </c>
      <c r="F60" s="236">
        <f>S60</f>
        <v/>
      </c>
      <c r="G60">
        <f>U60*100&amp;"%"</f>
        <v/>
      </c>
      <c r="I60" s="212" t="n">
        <v>2024</v>
      </c>
      <c r="J60" s="213" t="n">
        <v>59</v>
      </c>
      <c r="K60" s="71" t="inlineStr">
        <is>
          <t>Ausgaben</t>
        </is>
      </c>
      <c r="L60" t="inlineStr">
        <is>
          <t>Personalaufwand</t>
        </is>
      </c>
      <c r="M60" s="1" t="n">
        <v>45397</v>
      </c>
      <c r="N60" t="inlineStr">
        <is>
          <t>Eva Jaros-Kolbitsch</t>
        </is>
      </c>
      <c r="Q60" t="b">
        <v>0</v>
      </c>
      <c r="R60" s="214" t="n">
        <v>365</v>
      </c>
      <c r="S60" s="215" t="n">
        <v>365</v>
      </c>
      <c r="T60" s="159" t="n">
        <v>1</v>
      </c>
      <c r="U60" s="159" t="n">
        <v>0</v>
      </c>
      <c r="V60" s="215" t="n">
        <v>0</v>
      </c>
      <c r="W60" s="215" t="n">
        <v>0</v>
      </c>
      <c r="X60" s="215" t="n">
        <v>365</v>
      </c>
      <c r="Y60" s="215" t="n">
        <v>365</v>
      </c>
      <c r="Z60" s="192" t="n">
        <v>45519</v>
      </c>
      <c r="AB60" s="220" t="n">
        <v>365</v>
      </c>
      <c r="AC60" s="221" t="n">
        <v>0</v>
      </c>
      <c r="AD60" s="237" t="n">
        <v>1.872</v>
      </c>
      <c r="AE60" t="b">
        <v>0</v>
      </c>
      <c r="AF60" s="228" t="n">
        <v>-9.359999999999999</v>
      </c>
    </row>
    <row r="61">
      <c r="A61">
        <f>I61&amp;"-"&amp;J61</f>
        <v/>
      </c>
      <c r="B61" s="1">
        <f>M61</f>
        <v/>
      </c>
      <c r="C61">
        <f>N61</f>
        <v/>
      </c>
      <c r="D61">
        <f>K61</f>
        <v/>
      </c>
      <c r="E61">
        <f>L61</f>
        <v/>
      </c>
      <c r="F61" s="236">
        <f>S61</f>
        <v/>
      </c>
      <c r="G61">
        <f>U61*100&amp;"%"</f>
        <v/>
      </c>
      <c r="I61" s="212" t="n">
        <v>2024</v>
      </c>
      <c r="J61" s="213" t="n">
        <v>60</v>
      </c>
      <c r="K61" s="71" t="inlineStr">
        <is>
          <t>Ausgaben</t>
        </is>
      </c>
      <c r="L61" t="inlineStr">
        <is>
          <t>sonstige Betriebsausgaben</t>
        </is>
      </c>
      <c r="M61" s="1" t="n">
        <v>45428</v>
      </c>
      <c r="N61" t="inlineStr">
        <is>
          <t>Hetzner Online GmbH, Industriestraße 25, 91710 Gunzenhausen</t>
        </is>
      </c>
      <c r="Q61" t="b">
        <v>0</v>
      </c>
      <c r="R61" s="214" t="n">
        <v>1.6</v>
      </c>
      <c r="S61" s="215" t="n">
        <v>1.6</v>
      </c>
      <c r="T61" s="159" t="n">
        <v>1</v>
      </c>
      <c r="U61" s="159" t="n">
        <v>0</v>
      </c>
      <c r="V61" s="215" t="n">
        <v>0</v>
      </c>
      <c r="W61" s="215" t="n">
        <v>0</v>
      </c>
      <c r="X61" s="215" t="n">
        <v>1.6</v>
      </c>
      <c r="Y61" s="215" t="n">
        <v>1.6</v>
      </c>
      <c r="Z61" s="192" t="n">
        <v>45519</v>
      </c>
      <c r="AA61" t="n">
        <v>20</v>
      </c>
      <c r="AB61" s="220" t="n">
        <v>1.6</v>
      </c>
      <c r="AC61" s="221" t="n">
        <v>0.3200000000000001</v>
      </c>
      <c r="AD61" s="237" t="n">
        <v>0</v>
      </c>
      <c r="AE61" t="b">
        <v>0</v>
      </c>
      <c r="AF61" s="228" t="n">
        <v>89</v>
      </c>
    </row>
    <row r="62">
      <c r="A62">
        <f>I62&amp;"-"&amp;J62</f>
        <v/>
      </c>
      <c r="B62" s="1">
        <f>M62</f>
        <v/>
      </c>
      <c r="C62">
        <f>N62</f>
        <v/>
      </c>
      <c r="D62">
        <f>K62</f>
        <v/>
      </c>
      <c r="E62">
        <f>L62</f>
        <v/>
      </c>
      <c r="F62" s="236">
        <f>S62</f>
        <v/>
      </c>
      <c r="G62">
        <f>U62*100&amp;"%"</f>
        <v/>
      </c>
      <c r="I62" s="212" t="n">
        <v>2024</v>
      </c>
      <c r="J62" s="213" t="n">
        <v>61</v>
      </c>
      <c r="K62" s="71" t="inlineStr">
        <is>
          <t>Ausgaben</t>
        </is>
      </c>
      <c r="L62" t="inlineStr">
        <is>
          <t>sonstige Betriebsausgaben</t>
        </is>
      </c>
      <c r="M62" s="1" t="n">
        <v>45404</v>
      </c>
      <c r="N62" t="inlineStr">
        <is>
          <t>Microsoft Ireland Operations Ltd. One Microsoft Place, South County, Business Park, Leopardstown, Dublin 18, D18 P521, Ireland</t>
        </is>
      </c>
      <c r="Q62" t="b">
        <v>0</v>
      </c>
      <c r="R62" s="214" t="n">
        <v>11.7</v>
      </c>
      <c r="S62" s="215" t="n">
        <v>11.7</v>
      </c>
      <c r="T62" s="159" t="n">
        <v>1</v>
      </c>
      <c r="U62" s="159" t="n">
        <v>0</v>
      </c>
      <c r="V62" s="215" t="n">
        <v>0</v>
      </c>
      <c r="W62" s="215" t="n">
        <v>0</v>
      </c>
      <c r="X62" s="215" t="n">
        <v>11.7</v>
      </c>
      <c r="Y62" s="215" t="n">
        <v>11.7</v>
      </c>
      <c r="Z62" s="192" t="n">
        <v>45519</v>
      </c>
      <c r="AA62" t="n">
        <v>20</v>
      </c>
      <c r="AB62" s="220" t="n">
        <v>11.7</v>
      </c>
      <c r="AC62" s="221" t="n">
        <v>2.34</v>
      </c>
      <c r="AD62" s="237" t="n">
        <v>0</v>
      </c>
      <c r="AE62" t="b">
        <v>0</v>
      </c>
      <c r="AF62" s="228" t="n">
        <v>2300</v>
      </c>
    </row>
    <row r="63">
      <c r="A63">
        <f>I63&amp;"-"&amp;J63</f>
        <v/>
      </c>
      <c r="B63" s="1">
        <f>M63</f>
        <v/>
      </c>
      <c r="C63">
        <f>N63</f>
        <v/>
      </c>
      <c r="D63">
        <f>K63</f>
        <v/>
      </c>
      <c r="E63">
        <f>L63</f>
        <v/>
      </c>
      <c r="F63" s="236">
        <f>S63</f>
        <v/>
      </c>
      <c r="G63">
        <f>U63*100&amp;"%"</f>
        <v/>
      </c>
      <c r="I63" s="212" t="n">
        <v>2024</v>
      </c>
      <c r="J63" s="213" t="n">
        <v>62</v>
      </c>
      <c r="K63" s="71" t="inlineStr">
        <is>
          <t>Ausgaben</t>
        </is>
      </c>
      <c r="L63" t="inlineStr">
        <is>
          <t>sonstige Betriebsausgaben</t>
        </is>
      </c>
      <c r="M63" s="1" t="n">
        <v>45407</v>
      </c>
      <c r="N63" t="inlineStr">
        <is>
          <t>OpenAI, LLC, 548 Market Street, PMB 97273, San Francisco, California 94104-5401, United States</t>
        </is>
      </c>
      <c r="Q63" t="b">
        <v>0</v>
      </c>
      <c r="R63" s="214" t="n">
        <v>22.93</v>
      </c>
      <c r="S63" s="215" t="n">
        <v>22.93</v>
      </c>
      <c r="T63" s="159" t="n">
        <v>1</v>
      </c>
      <c r="U63" s="159" t="n">
        <v>0.2</v>
      </c>
      <c r="V63" s="215" t="n">
        <v>3.768333333333334</v>
      </c>
      <c r="W63" s="215" t="n">
        <v>3.768333333333334</v>
      </c>
      <c r="X63" s="215" t="n">
        <v>18.84166666666667</v>
      </c>
      <c r="Y63" s="215" t="n">
        <v>18.84166666666667</v>
      </c>
      <c r="Z63" s="192" t="n">
        <v>45519</v>
      </c>
      <c r="AB63" s="220" t="n">
        <v>18.84166666666667</v>
      </c>
      <c r="AC63" s="221" t="n">
        <v>0</v>
      </c>
      <c r="AD63" s="237" t="n">
        <v>0</v>
      </c>
      <c r="AE63" t="b">
        <v>0</v>
      </c>
      <c r="AF63" s="228" t="n">
        <v>485</v>
      </c>
    </row>
    <row r="64">
      <c r="A64">
        <f>I64&amp;"-"&amp;J64</f>
        <v/>
      </c>
      <c r="B64" s="1">
        <f>M64</f>
        <v/>
      </c>
      <c r="C64">
        <f>N64</f>
        <v/>
      </c>
      <c r="D64">
        <f>K64</f>
        <v/>
      </c>
      <c r="E64">
        <f>L64</f>
        <v/>
      </c>
      <c r="F64" s="236">
        <f>S64</f>
        <v/>
      </c>
      <c r="G64">
        <f>U64*100&amp;"%"</f>
        <v/>
      </c>
      <c r="I64" s="212" t="n">
        <v>2024</v>
      </c>
      <c r="J64" s="213" t="n">
        <v>63</v>
      </c>
      <c r="K64" s="71" t="inlineStr">
        <is>
          <t>Ausgaben</t>
        </is>
      </c>
      <c r="L64" t="inlineStr">
        <is>
          <t>Telefon/Internet</t>
        </is>
      </c>
      <c r="M64" s="1" t="n">
        <v>45415</v>
      </c>
      <c r="N64" t="inlineStr">
        <is>
          <t>Hutchison Drei Austria GmbH, Brünner Straße 52, 1210 Wien, Österreich</t>
        </is>
      </c>
      <c r="Q64" t="b">
        <v>0</v>
      </c>
      <c r="R64" s="214" t="n">
        <v>13.91</v>
      </c>
      <c r="S64" s="215" t="n">
        <v>13.91</v>
      </c>
      <c r="T64" s="159" t="n">
        <v>1</v>
      </c>
      <c r="U64" s="159" t="n">
        <v>0.2</v>
      </c>
      <c r="V64" s="215" t="n">
        <v>2.318333333333333</v>
      </c>
      <c r="W64" s="215" t="n">
        <v>2.318333333333333</v>
      </c>
      <c r="X64" s="215" t="n">
        <v>11.59166666666667</v>
      </c>
      <c r="Y64" s="215" t="n">
        <v>11.59166666666667</v>
      </c>
      <c r="Z64" s="192" t="n"/>
      <c r="AB64" s="220" t="n">
        <v>11.59166666666667</v>
      </c>
      <c r="AC64" s="221" t="n">
        <v>0</v>
      </c>
      <c r="AD64" s="237" t="n">
        <v>0</v>
      </c>
      <c r="AE64" t="b">
        <v>0</v>
      </c>
      <c r="AF64" s="228" t="n">
        <v>-515.85</v>
      </c>
    </row>
    <row r="65">
      <c r="A65">
        <f>I65&amp;"-"&amp;J65</f>
        <v/>
      </c>
      <c r="B65" s="1">
        <f>M65</f>
        <v/>
      </c>
      <c r="C65">
        <f>N65</f>
        <v/>
      </c>
      <c r="D65">
        <f>K65</f>
        <v/>
      </c>
      <c r="E65">
        <f>L65</f>
        <v/>
      </c>
      <c r="F65" s="236">
        <f>S65</f>
        <v/>
      </c>
      <c r="G65">
        <f>U65*100&amp;"%"</f>
        <v/>
      </c>
      <c r="I65" s="212" t="n">
        <v>2024</v>
      </c>
      <c r="J65" s="213" t="n">
        <v>64</v>
      </c>
      <c r="K65" s="71" t="inlineStr">
        <is>
          <t>Ausgaben</t>
        </is>
      </c>
      <c r="L65" t="inlineStr">
        <is>
          <t>sonstige Betriebsausgaben</t>
        </is>
      </c>
      <c r="M65" s="1" t="n">
        <v>45415</v>
      </c>
      <c r="N65" t="inlineStr">
        <is>
          <t>Google Ireland Ltd, Gordon House, Barrow Street, Dublin 4, Ireland; VAT number: IE 6388047V</t>
        </is>
      </c>
      <c r="Q65" t="b">
        <v>0</v>
      </c>
      <c r="R65" s="214" t="n">
        <v>32.82</v>
      </c>
      <c r="S65" s="215" t="n">
        <v>32.82</v>
      </c>
      <c r="T65" s="159" t="n">
        <v>1</v>
      </c>
      <c r="U65" s="159" t="n">
        <v>0</v>
      </c>
      <c r="V65" s="215" t="n">
        <v>0</v>
      </c>
      <c r="W65" s="215" t="n">
        <v>0</v>
      </c>
      <c r="X65" s="215" t="n">
        <v>32.82</v>
      </c>
      <c r="Y65" s="215" t="n">
        <v>32.82</v>
      </c>
      <c r="Z65" s="192" t="n">
        <v>45519</v>
      </c>
      <c r="AA65" t="n">
        <v>20</v>
      </c>
      <c r="AB65" s="220" t="n">
        <v>32.82</v>
      </c>
      <c r="AC65" s="221" t="n">
        <v>6.564</v>
      </c>
      <c r="AD65" s="237" t="n">
        <v>0</v>
      </c>
      <c r="AE65" t="b">
        <v>0</v>
      </c>
      <c r="AF65" s="228" t="n">
        <v>-63.87</v>
      </c>
    </row>
    <row r="66">
      <c r="A66">
        <f>I66&amp;"-"&amp;J66</f>
        <v/>
      </c>
      <c r="B66" s="1">
        <f>M66</f>
        <v/>
      </c>
      <c r="C66">
        <f>N66</f>
        <v/>
      </c>
      <c r="D66">
        <f>K66</f>
        <v/>
      </c>
      <c r="E66">
        <f>L66</f>
        <v/>
      </c>
      <c r="F66" s="236">
        <f>S66</f>
        <v/>
      </c>
      <c r="G66">
        <f>U66*100&amp;"%"</f>
        <v/>
      </c>
      <c r="I66" s="212" t="n">
        <v>2024</v>
      </c>
      <c r="J66" s="213" t="n">
        <v>65</v>
      </c>
      <c r="K66" s="71" t="inlineStr">
        <is>
          <t>Ausgaben</t>
        </is>
      </c>
      <c r="L66" t="inlineStr">
        <is>
          <t>sonstige Betriebsausgaben</t>
        </is>
      </c>
      <c r="M66" s="1" t="n">
        <v>45426</v>
      </c>
      <c r="N66" t="inlineStr">
        <is>
          <t>Hetzner Online GmbH, Industriestraße 25, 91710 Gunzenhausen</t>
        </is>
      </c>
      <c r="Q66" t="b">
        <v>0</v>
      </c>
      <c r="R66" s="214" t="n">
        <v>52.21</v>
      </c>
      <c r="S66" s="215" t="n">
        <v>52.21</v>
      </c>
      <c r="T66" s="159" t="n">
        <v>1</v>
      </c>
      <c r="U66" s="159" t="n">
        <v>0</v>
      </c>
      <c r="V66" s="215" t="n">
        <v>0</v>
      </c>
      <c r="W66" s="215" t="n">
        <v>0</v>
      </c>
      <c r="X66" s="215" t="n">
        <v>52.21</v>
      </c>
      <c r="Y66" s="215" t="n">
        <v>52.21</v>
      </c>
      <c r="Z66" s="192" t="n">
        <v>45519</v>
      </c>
      <c r="AA66" t="n">
        <v>20</v>
      </c>
      <c r="AB66" s="220" t="n">
        <v>52.21</v>
      </c>
      <c r="AC66" s="221" t="n">
        <v>10.442</v>
      </c>
      <c r="AD66" s="237" t="n">
        <v>0</v>
      </c>
      <c r="AE66" t="b">
        <v>0</v>
      </c>
      <c r="AF66" s="228" t="n">
        <v>-50.82</v>
      </c>
    </row>
    <row r="67">
      <c r="A67">
        <f>I67&amp;"-"&amp;J67</f>
        <v/>
      </c>
      <c r="B67" s="1">
        <f>M67</f>
        <v/>
      </c>
      <c r="C67">
        <f>N67</f>
        <v/>
      </c>
      <c r="D67">
        <f>K67</f>
        <v/>
      </c>
      <c r="E67">
        <f>L67</f>
        <v/>
      </c>
      <c r="F67" s="236">
        <f>S67</f>
        <v/>
      </c>
      <c r="G67">
        <f>U67*100&amp;"%"</f>
        <v/>
      </c>
      <c r="I67" s="212" t="n">
        <v>2024</v>
      </c>
      <c r="J67" s="213" t="n">
        <v>66</v>
      </c>
      <c r="K67" s="71" t="inlineStr">
        <is>
          <t>Ausgaben</t>
        </is>
      </c>
      <c r="L67" t="inlineStr">
        <is>
          <t>sonstige Betriebsausgaben</t>
        </is>
      </c>
      <c r="M67" s="1" t="n">
        <v>45427</v>
      </c>
      <c r="N67" t="inlineStr">
        <is>
          <t>Marktgemeinde Bisamberg, Hauptstraße 2, 2102 Bisamberg</t>
        </is>
      </c>
      <c r="Q67" t="b">
        <v>0</v>
      </c>
      <c r="R67" s="214" t="n">
        <v>328.1</v>
      </c>
      <c r="S67" s="215" t="n">
        <v>30.23581392413053</v>
      </c>
      <c r="T67" s="159" t="n">
        <v>0.09215426371268068</v>
      </c>
      <c r="U67" s="223" t="n">
        <v>0.07220843672456576</v>
      </c>
      <c r="V67" s="215" t="n">
        <v>21.825</v>
      </c>
      <c r="W67" s="215" t="n">
        <v>2.011266805529256</v>
      </c>
      <c r="X67" s="215" t="n">
        <v>302.25</v>
      </c>
      <c r="Y67" s="215" t="n">
        <v>27.85362620715773</v>
      </c>
      <c r="Z67" s="192" t="n">
        <v>45519</v>
      </c>
      <c r="AB67" s="220" t="n">
        <v>27.85362620715773</v>
      </c>
      <c r="AC67" s="221" t="n">
        <v>0</v>
      </c>
      <c r="AD67" s="237" t="n">
        <v>0</v>
      </c>
      <c r="AE67" t="b">
        <v>0</v>
      </c>
      <c r="AF67" s="228" t="n">
        <v>-5</v>
      </c>
    </row>
    <row r="68">
      <c r="A68">
        <f>I68&amp;"-"&amp;J68</f>
        <v/>
      </c>
      <c r="B68" s="1">
        <f>M68</f>
        <v/>
      </c>
      <c r="C68">
        <f>N68</f>
        <v/>
      </c>
      <c r="D68">
        <f>K68</f>
        <v/>
      </c>
      <c r="E68">
        <f>L68</f>
        <v/>
      </c>
      <c r="F68" s="236">
        <f>S68</f>
        <v/>
      </c>
      <c r="G68">
        <f>U68*100&amp;"%"</f>
        <v/>
      </c>
      <c r="I68" s="212" t="n">
        <v>2024</v>
      </c>
      <c r="J68" s="213" t="n">
        <v>67</v>
      </c>
      <c r="K68" s="71" t="inlineStr">
        <is>
          <t>Ausgaben</t>
        </is>
      </c>
      <c r="L68" t="inlineStr">
        <is>
          <t>Personalaufwand</t>
        </is>
      </c>
      <c r="M68" s="1" t="n">
        <v>45427</v>
      </c>
      <c r="N68" t="inlineStr">
        <is>
          <t>Eva Jaros-Kolbitsch</t>
        </is>
      </c>
      <c r="Q68" t="b">
        <v>0</v>
      </c>
      <c r="R68" s="214" t="n">
        <v>365</v>
      </c>
      <c r="S68" s="215" t="n">
        <v>365</v>
      </c>
      <c r="T68" s="159" t="n">
        <v>1</v>
      </c>
      <c r="U68" s="159" t="n">
        <v>0</v>
      </c>
      <c r="V68" s="215" t="n">
        <v>0</v>
      </c>
      <c r="W68" s="215" t="n">
        <v>0</v>
      </c>
      <c r="X68" s="215" t="n">
        <v>365</v>
      </c>
      <c r="Y68" s="215" t="n">
        <v>365</v>
      </c>
      <c r="Z68" s="192" t="n">
        <v>45519</v>
      </c>
      <c r="AB68" s="220" t="n">
        <v>365</v>
      </c>
      <c r="AC68" s="221" t="n">
        <v>0</v>
      </c>
      <c r="AD68" s="237" t="n">
        <v>0</v>
      </c>
      <c r="AE68" t="b">
        <v>0</v>
      </c>
      <c r="AF68" s="228" t="n">
        <v>1064</v>
      </c>
    </row>
    <row r="69">
      <c r="A69">
        <f>I69&amp;"-"&amp;J69</f>
        <v/>
      </c>
      <c r="B69" s="1">
        <f>M69</f>
        <v/>
      </c>
      <c r="C69">
        <f>N69</f>
        <v/>
      </c>
      <c r="D69">
        <f>K69</f>
        <v/>
      </c>
      <c r="E69">
        <f>L69</f>
        <v/>
      </c>
      <c r="F69" s="236">
        <f>S69</f>
        <v/>
      </c>
      <c r="G69">
        <f>U69*100&amp;"%"</f>
        <v/>
      </c>
      <c r="I69" s="212" t="n">
        <v>2024</v>
      </c>
      <c r="J69" s="213" t="n">
        <v>68</v>
      </c>
      <c r="K69" s="71" t="inlineStr">
        <is>
          <t>Ausgaben</t>
        </is>
      </c>
      <c r="L69" t="inlineStr">
        <is>
          <t>Telefon/Internet</t>
        </is>
      </c>
      <c r="M69" s="1" t="n">
        <v>45428</v>
      </c>
      <c r="N69" t="inlineStr">
        <is>
          <t>kabelplus GmbH, Südstadtzentrum 4, 2344 Maria Enzersdorf</t>
        </is>
      </c>
      <c r="Q69" t="b">
        <v>0</v>
      </c>
      <c r="R69" s="214" t="n">
        <v>1.9</v>
      </c>
      <c r="S69" s="215" t="n">
        <v>1.273</v>
      </c>
      <c r="T69" s="159" t="n">
        <v>0.67</v>
      </c>
      <c r="U69" s="159" t="n">
        <v>0.2</v>
      </c>
      <c r="V69" s="215" t="n">
        <v>0.3166666666666667</v>
      </c>
      <c r="W69" s="215" t="n">
        <v>0.2121666666666667</v>
      </c>
      <c r="X69" s="215" t="n">
        <v>1.583333333333333</v>
      </c>
      <c r="Y69" s="215" t="n">
        <v>1.060833333333333</v>
      </c>
      <c r="Z69" s="192" t="n">
        <v>45519</v>
      </c>
      <c r="AB69" s="220" t="n">
        <v>1.060833333333333</v>
      </c>
      <c r="AC69" s="221" t="n">
        <v>0</v>
      </c>
      <c r="AD69" s="237" t="n">
        <v>0</v>
      </c>
      <c r="AE69" t="b">
        <v>0</v>
      </c>
      <c r="AF69" s="228" t="n">
        <v>-15</v>
      </c>
    </row>
    <row r="70">
      <c r="A70">
        <f>I70&amp;"-"&amp;J70</f>
        <v/>
      </c>
      <c r="B70" s="1">
        <f>M70</f>
        <v/>
      </c>
      <c r="C70">
        <f>N70</f>
        <v/>
      </c>
      <c r="D70">
        <f>K70</f>
        <v/>
      </c>
      <c r="E70">
        <f>L70</f>
        <v/>
      </c>
      <c r="F70" s="236">
        <f>S70</f>
        <v/>
      </c>
      <c r="G70">
        <f>U70*100&amp;"%"</f>
        <v/>
      </c>
      <c r="I70" s="212" t="n">
        <v>2024</v>
      </c>
      <c r="J70" s="213" t="n">
        <v>69</v>
      </c>
      <c r="K70" s="71" t="inlineStr">
        <is>
          <t>Ausgaben</t>
        </is>
      </c>
      <c r="L70" t="inlineStr">
        <is>
          <t>sonstige Betriebsausgaben</t>
        </is>
      </c>
      <c r="M70" s="1" t="n">
        <v>45428</v>
      </c>
      <c r="N70" t="inlineStr">
        <is>
          <t>Hetzner Online GmbH, Industriestraße 25, 91710 Gunzenhausen</t>
        </is>
      </c>
      <c r="Q70" t="b">
        <v>0</v>
      </c>
      <c r="R70" s="214" t="n">
        <v>52.21</v>
      </c>
      <c r="S70" s="215" t="n">
        <v>52.21</v>
      </c>
      <c r="T70" s="159" t="n">
        <v>1</v>
      </c>
      <c r="U70" s="159" t="n">
        <v>0</v>
      </c>
      <c r="V70" s="215" t="n">
        <v>0</v>
      </c>
      <c r="W70" s="215" t="n">
        <v>0</v>
      </c>
      <c r="X70" s="215" t="n">
        <v>52.21</v>
      </c>
      <c r="Y70" s="215" t="n">
        <v>52.21</v>
      </c>
      <c r="Z70" s="192" t="n">
        <v>45519</v>
      </c>
      <c r="AA70" t="n">
        <v>20</v>
      </c>
      <c r="AB70" s="220" t="n">
        <v>52.21</v>
      </c>
      <c r="AC70" s="221" t="n">
        <v>10.442</v>
      </c>
      <c r="AD70" s="237" t="n">
        <v>0</v>
      </c>
      <c r="AE70" t="b">
        <v>0</v>
      </c>
      <c r="AF70" s="228" t="n">
        <v>-122.6</v>
      </c>
    </row>
    <row r="71">
      <c r="A71">
        <f>I71&amp;"-"&amp;J71</f>
        <v/>
      </c>
      <c r="B71" s="1">
        <f>M71</f>
        <v/>
      </c>
      <c r="C71">
        <f>N71</f>
        <v/>
      </c>
      <c r="D71">
        <f>K71</f>
        <v/>
      </c>
      <c r="E71">
        <f>L71</f>
        <v/>
      </c>
      <c r="F71" s="236">
        <f>S71</f>
        <v/>
      </c>
      <c r="G71">
        <f>U71*100&amp;"%"</f>
        <v/>
      </c>
      <c r="I71" s="212" t="n">
        <v>2024</v>
      </c>
      <c r="J71" s="213" t="n">
        <v>70</v>
      </c>
      <c r="K71" s="71" t="inlineStr">
        <is>
          <t>Einnahmen</t>
        </is>
      </c>
      <c r="L71" t="inlineStr">
        <is>
          <t>Waren-/Leistungserlöse</t>
        </is>
      </c>
      <c r="M71" s="1" t="n">
        <v>45428</v>
      </c>
      <c r="N71" t="inlineStr">
        <is>
          <t>Hays Österreich GmbH, Bahnhof City Wien West - Europaplatz 3/5, 1150 Wien</t>
        </is>
      </c>
      <c r="R71" s="214" t="n">
        <v>17289.98</v>
      </c>
      <c r="S71" s="215" t="n">
        <v>17289.98</v>
      </c>
      <c r="T71" s="159" t="n">
        <v>1</v>
      </c>
      <c r="U71" s="159" t="n">
        <v>0.2</v>
      </c>
      <c r="V71" s="215" t="n">
        <v>2881.663333333334</v>
      </c>
      <c r="W71" s="215" t="n">
        <v>2881.663333333334</v>
      </c>
      <c r="X71" s="215" t="n">
        <v>14408.31666666667</v>
      </c>
      <c r="Y71" s="215" t="n">
        <v>14408.31666666667</v>
      </c>
      <c r="Z71" s="192" t="n">
        <v>45519</v>
      </c>
      <c r="AB71" s="220" t="n">
        <v>14408.31666666667</v>
      </c>
      <c r="AC71" s="221" t="n">
        <v>0</v>
      </c>
      <c r="AD71" s="237" t="n">
        <v>0</v>
      </c>
      <c r="AE71" t="b">
        <v>0</v>
      </c>
      <c r="AF71" s="228" t="n">
        <v>-12</v>
      </c>
    </row>
    <row r="72">
      <c r="A72">
        <f>I72&amp;"-"&amp;J72</f>
        <v/>
      </c>
      <c r="B72" s="1">
        <f>M72</f>
        <v/>
      </c>
      <c r="C72">
        <f>N72</f>
        <v/>
      </c>
      <c r="D72">
        <f>K72</f>
        <v/>
      </c>
      <c r="E72">
        <f>L72</f>
        <v/>
      </c>
      <c r="F72" s="236">
        <f>S72</f>
        <v/>
      </c>
      <c r="G72">
        <f>U72*100&amp;"%"</f>
        <v/>
      </c>
      <c r="I72" s="212" t="n">
        <v>2024</v>
      </c>
      <c r="J72" s="213" t="n">
        <v>71</v>
      </c>
      <c r="K72" s="71" t="inlineStr">
        <is>
          <t>Ausgaben</t>
        </is>
      </c>
      <c r="L72" t="inlineStr">
        <is>
          <t>sonstige Betriebsausgaben</t>
        </is>
      </c>
      <c r="M72" s="1" t="n">
        <v>45433</v>
      </c>
      <c r="N72" t="inlineStr">
        <is>
          <t>Microsoft Ireland Operations Ltd. One Microsoft Place, South County, Business Park, Leopardstown, Dublin 18, D18 P521, Ireland</t>
        </is>
      </c>
      <c r="Q72" t="b">
        <v>0</v>
      </c>
      <c r="R72" s="214" t="n">
        <v>11.7</v>
      </c>
      <c r="S72" s="215" t="n">
        <v>11.7</v>
      </c>
      <c r="T72" s="159" t="n">
        <v>1</v>
      </c>
      <c r="U72" s="159" t="n">
        <v>0</v>
      </c>
      <c r="V72" s="215" t="n">
        <v>0</v>
      </c>
      <c r="W72" s="215" t="n">
        <v>0</v>
      </c>
      <c r="X72" s="215" t="n">
        <v>11.7</v>
      </c>
      <c r="Y72" s="215" t="n">
        <v>11.7</v>
      </c>
      <c r="Z72" s="192" t="n">
        <v>45519</v>
      </c>
      <c r="AA72" t="n">
        <v>20</v>
      </c>
      <c r="AB72" s="220" t="n">
        <v>11.7</v>
      </c>
      <c r="AC72" s="221" t="n">
        <v>2.34</v>
      </c>
      <c r="AD72" s="237" t="n">
        <v>0</v>
      </c>
      <c r="AE72" t="b">
        <v>0</v>
      </c>
      <c r="AF72" s="228" t="n">
        <v>16638</v>
      </c>
    </row>
    <row r="73">
      <c r="A73">
        <f>I73&amp;"-"&amp;J73</f>
        <v/>
      </c>
      <c r="B73" s="1">
        <f>M73</f>
        <v/>
      </c>
      <c r="C73">
        <f>N73</f>
        <v/>
      </c>
      <c r="D73">
        <f>K73</f>
        <v/>
      </c>
      <c r="E73">
        <f>L73</f>
        <v/>
      </c>
      <c r="F73" s="236">
        <f>S73</f>
        <v/>
      </c>
      <c r="G73">
        <f>U73*100&amp;"%"</f>
        <v/>
      </c>
      <c r="I73" s="212" t="n">
        <v>2024</v>
      </c>
      <c r="J73" s="213" t="n">
        <v>72</v>
      </c>
      <c r="K73" s="71" t="inlineStr">
        <is>
          <t>Ausgaben</t>
        </is>
      </c>
      <c r="L73" t="inlineStr">
        <is>
          <t>Reise- und Fahrtspesen inkl. Kilometergeld und Diäten</t>
        </is>
      </c>
      <c r="M73" s="1" t="n">
        <v>45434</v>
      </c>
      <c r="N73" t="inlineStr">
        <is>
          <t>Wiener Linien GmbH &amp; Co KG</t>
        </is>
      </c>
      <c r="Q73" t="b">
        <v>0</v>
      </c>
      <c r="R73" s="214" t="n">
        <v>365</v>
      </c>
      <c r="S73" s="215" t="n">
        <v>365</v>
      </c>
      <c r="T73" s="159" t="n">
        <v>1</v>
      </c>
      <c r="U73" s="159" t="n">
        <v>0.1</v>
      </c>
      <c r="V73" s="215" t="n">
        <v>33.18181818181818</v>
      </c>
      <c r="W73" s="215" t="n">
        <v>33.18181818181818</v>
      </c>
      <c r="X73" s="215" t="n">
        <v>331.8181818181818</v>
      </c>
      <c r="Y73" s="215" t="n">
        <v>331.8181818181818</v>
      </c>
      <c r="Z73" s="192" t="n">
        <v>45519</v>
      </c>
      <c r="AB73" s="220" t="n">
        <v>331.8181818181818</v>
      </c>
      <c r="AC73" s="221" t="n">
        <v>0</v>
      </c>
      <c r="AD73" s="237" t="n">
        <v>78.96000000000001</v>
      </c>
      <c r="AE73" t="b">
        <v>0</v>
      </c>
      <c r="AF73" s="228" t="n">
        <v>-394.8</v>
      </c>
    </row>
    <row r="74">
      <c r="A74">
        <f>I74&amp;"-"&amp;J74</f>
        <v/>
      </c>
      <c r="B74" s="1">
        <f>M74</f>
        <v/>
      </c>
      <c r="C74">
        <f>N74</f>
        <v/>
      </c>
      <c r="D74">
        <f>K74</f>
        <v/>
      </c>
      <c r="E74">
        <f>L74</f>
        <v/>
      </c>
      <c r="F74" s="236">
        <f>S74</f>
        <v/>
      </c>
      <c r="G74">
        <f>U74*100&amp;"%"</f>
        <v/>
      </c>
      <c r="I74" s="212" t="n">
        <v>2024</v>
      </c>
      <c r="J74" s="213" t="n">
        <v>73</v>
      </c>
      <c r="K74" s="71" t="inlineStr">
        <is>
          <t>Ausgaben</t>
        </is>
      </c>
      <c r="L74" t="inlineStr">
        <is>
          <t>sonstige Betriebsausgaben</t>
        </is>
      </c>
      <c r="M74" s="1" t="n">
        <v>45439</v>
      </c>
      <c r="N74" t="inlineStr">
        <is>
          <t>OpenAI, LLC, 548 Market Street, PMB 97273, San Francisco, California 94104-5401, United States</t>
        </is>
      </c>
      <c r="Q74" t="b">
        <v>0</v>
      </c>
      <c r="R74" s="214" t="n">
        <v>22.52</v>
      </c>
      <c r="S74" s="215" t="n">
        <v>22.52</v>
      </c>
      <c r="T74" s="159" t="n">
        <v>1</v>
      </c>
      <c r="U74" s="159" t="n">
        <v>0.2</v>
      </c>
      <c r="V74" s="215" t="n">
        <v>3.7</v>
      </c>
      <c r="W74" s="215" t="n">
        <v>3.7</v>
      </c>
      <c r="X74" s="215" t="n">
        <v>18.5</v>
      </c>
      <c r="Y74" s="215" t="n">
        <v>18.5</v>
      </c>
      <c r="Z74" s="192" t="n">
        <v>45519</v>
      </c>
      <c r="AB74" s="220" t="n">
        <v>18.5</v>
      </c>
      <c r="AC74" s="221" t="n">
        <v>0</v>
      </c>
      <c r="AD74" s="237" t="n">
        <v>10.44282</v>
      </c>
      <c r="AE74" t="b">
        <v>0</v>
      </c>
      <c r="AF74" s="228" t="n">
        <v>-52.2141</v>
      </c>
    </row>
    <row r="75">
      <c r="A75">
        <f>I75&amp;"-"&amp;J75</f>
        <v/>
      </c>
      <c r="B75" s="1">
        <f>M75</f>
        <v/>
      </c>
      <c r="C75">
        <f>N75</f>
        <v/>
      </c>
      <c r="D75">
        <f>K75</f>
        <v/>
      </c>
      <c r="E75">
        <f>L75</f>
        <v/>
      </c>
      <c r="F75" s="236">
        <f>S75</f>
        <v/>
      </c>
      <c r="G75">
        <f>U75*100&amp;"%"</f>
        <v/>
      </c>
      <c r="I75" s="212" t="n">
        <v>2024</v>
      </c>
      <c r="J75" s="213" t="n">
        <v>74</v>
      </c>
      <c r="K75" s="71" t="inlineStr">
        <is>
          <t>Ausgaben</t>
        </is>
      </c>
      <c r="L75" t="inlineStr">
        <is>
          <t>Pflichversicherungsbeiträge</t>
        </is>
      </c>
      <c r="M75" s="1" t="n">
        <v>45443</v>
      </c>
      <c r="N75" t="inlineStr">
        <is>
          <t>SVS</t>
        </is>
      </c>
      <c r="Q75" t="b">
        <v>0</v>
      </c>
      <c r="R75" s="214" t="n">
        <v>4986.2</v>
      </c>
      <c r="S75" s="215" t="n">
        <v>4986.2</v>
      </c>
      <c r="T75" s="159" t="n">
        <v>1</v>
      </c>
      <c r="U75" s="159" t="n">
        <v>0</v>
      </c>
      <c r="V75" s="215" t="n">
        <v>0</v>
      </c>
      <c r="W75" s="215" t="n">
        <v>0</v>
      </c>
      <c r="X75" s="215" t="n">
        <v>4986.2</v>
      </c>
      <c r="Y75" s="215" t="n">
        <v>4986.2</v>
      </c>
      <c r="Z75" s="192" t="n">
        <v>45519</v>
      </c>
      <c r="AB75" s="220" t="n">
        <v>4986.2</v>
      </c>
      <c r="AC75" s="221" t="n">
        <v>0</v>
      </c>
      <c r="AD75" s="237" t="n">
        <v>0</v>
      </c>
      <c r="AE75" t="b">
        <v>0</v>
      </c>
      <c r="AF75" s="228" t="n">
        <v>-365</v>
      </c>
    </row>
    <row r="76">
      <c r="A76">
        <f>I76&amp;"-"&amp;J76</f>
        <v/>
      </c>
      <c r="B76" s="1">
        <f>M76</f>
        <v/>
      </c>
      <c r="C76">
        <f>N76</f>
        <v/>
      </c>
      <c r="D76">
        <f>K76</f>
        <v/>
      </c>
      <c r="E76">
        <f>L76</f>
        <v/>
      </c>
      <c r="F76" s="236">
        <f>S76</f>
        <v/>
      </c>
      <c r="G76">
        <f>U76*100&amp;"%"</f>
        <v/>
      </c>
      <c r="I76" s="212" t="n">
        <v>2024</v>
      </c>
      <c r="J76" s="213" t="n">
        <v>75</v>
      </c>
      <c r="K76" s="71" t="inlineStr">
        <is>
          <t>Ausgaben</t>
        </is>
      </c>
      <c r="L76" t="inlineStr">
        <is>
          <t>Telefon/Internet</t>
        </is>
      </c>
      <c r="M76" s="1" t="n">
        <v>45446</v>
      </c>
      <c r="N76" t="inlineStr">
        <is>
          <t>Hutchison Drei Austria GmbH, Brünner Straße 52, 1210 Wien, Österreich</t>
        </is>
      </c>
      <c r="Q76" t="b">
        <v>0</v>
      </c>
      <c r="R76" s="214" t="n">
        <v>40.91</v>
      </c>
      <c r="S76" s="215" t="n">
        <v>40.91</v>
      </c>
      <c r="T76" s="159" t="n">
        <v>1</v>
      </c>
      <c r="U76" s="159" t="n">
        <v>0.2</v>
      </c>
      <c r="V76" s="215" t="n">
        <v>6.818333333333334</v>
      </c>
      <c r="W76" s="215" t="n">
        <v>6.818333333333334</v>
      </c>
      <c r="X76" s="215" t="n">
        <v>34.09166666666667</v>
      </c>
      <c r="Y76" s="215" t="n">
        <v>34.09166666666667</v>
      </c>
      <c r="Z76" s="192" t="n"/>
      <c r="AB76" s="220" t="n">
        <v>34.09166666666667</v>
      </c>
      <c r="AC76" s="221" t="n">
        <v>0</v>
      </c>
      <c r="AD76" s="237" t="n">
        <v>2.1</v>
      </c>
      <c r="AE76" t="b">
        <v>0</v>
      </c>
      <c r="AF76" s="228" t="n">
        <v>-10.5</v>
      </c>
    </row>
    <row r="77">
      <c r="A77">
        <f>I77&amp;"-"&amp;J77</f>
        <v/>
      </c>
      <c r="B77" s="1">
        <f>M77</f>
        <v/>
      </c>
      <c r="C77">
        <f>N77</f>
        <v/>
      </c>
      <c r="D77">
        <f>K77</f>
        <v/>
      </c>
      <c r="E77">
        <f>L77</f>
        <v/>
      </c>
      <c r="F77" s="236">
        <f>S77</f>
        <v/>
      </c>
      <c r="G77">
        <f>U77*100&amp;"%"</f>
        <v/>
      </c>
      <c r="I77" s="212" t="n">
        <v>2024</v>
      </c>
      <c r="J77" s="213" t="n">
        <v>76</v>
      </c>
      <c r="K77" s="71" t="inlineStr">
        <is>
          <t>Ausgaben</t>
        </is>
      </c>
      <c r="L77" t="inlineStr">
        <is>
          <t>sonstige Betriebsausgaben</t>
        </is>
      </c>
      <c r="M77" s="1" t="n">
        <v>45446</v>
      </c>
      <c r="N77" t="inlineStr">
        <is>
          <t>Google Ireland Ltd, Gordon House, Barrow Street, Dublin 4, Ireland; VAT number: IE 6388047V</t>
        </is>
      </c>
      <c r="Q77" t="b">
        <v>0</v>
      </c>
      <c r="R77" s="214" t="n">
        <v>31.67</v>
      </c>
      <c r="S77" s="215" t="n">
        <v>31.67</v>
      </c>
      <c r="T77" s="159" t="n">
        <v>1</v>
      </c>
      <c r="U77" s="159" t="n">
        <v>0</v>
      </c>
      <c r="V77" s="215" t="n">
        <v>0</v>
      </c>
      <c r="W77" s="215" t="n">
        <v>0</v>
      </c>
      <c r="X77" s="215" t="n">
        <v>31.67</v>
      </c>
      <c r="Y77" s="215" t="n">
        <v>31.67</v>
      </c>
      <c r="Z77" s="192" t="n">
        <v>45519</v>
      </c>
      <c r="AA77" t="n">
        <v>20</v>
      </c>
      <c r="AB77" s="220" t="n">
        <v>31.67</v>
      </c>
      <c r="AC77" s="221" t="n">
        <v>6.334000000000001</v>
      </c>
      <c r="AD77" s="237" t="n">
        <v>0</v>
      </c>
      <c r="AE77" t="b">
        <v>0</v>
      </c>
      <c r="AF77" s="228" t="n">
        <v>-31.92</v>
      </c>
    </row>
    <row r="78">
      <c r="A78">
        <f>I78&amp;"-"&amp;J78</f>
        <v/>
      </c>
      <c r="B78" s="1">
        <f>M78</f>
        <v/>
      </c>
      <c r="C78">
        <f>N78</f>
        <v/>
      </c>
      <c r="D78">
        <f>K78</f>
        <v/>
      </c>
      <c r="E78">
        <f>L78</f>
        <v/>
      </c>
      <c r="F78" s="236">
        <f>S78</f>
        <v/>
      </c>
      <c r="G78">
        <f>U78*100&amp;"%"</f>
        <v/>
      </c>
      <c r="I78" s="212" t="n">
        <v>2024</v>
      </c>
      <c r="J78" s="213" t="n">
        <v>77</v>
      </c>
      <c r="K78" s="71" t="inlineStr">
        <is>
          <t>Ausgaben</t>
        </is>
      </c>
      <c r="L78" t="inlineStr">
        <is>
          <t>sonstige Betriebsausgaben</t>
        </is>
      </c>
      <c r="M78" s="1" t="n">
        <v>45446</v>
      </c>
      <c r="N78" t="inlineStr">
        <is>
          <t>Google Ireland Ltd, Gordon House, Barrow Street, Dublin 4, Ireland; VAT number: IE 6388047V</t>
        </is>
      </c>
      <c r="Q78" t="b">
        <v>0</v>
      </c>
      <c r="R78" s="214" t="n">
        <v>13.8</v>
      </c>
      <c r="S78" s="215" t="n">
        <v>13.8</v>
      </c>
      <c r="T78" s="159" t="n">
        <v>1</v>
      </c>
      <c r="U78" s="159" t="n">
        <v>0</v>
      </c>
      <c r="V78" s="215" t="n">
        <v>0</v>
      </c>
      <c r="W78" s="215" t="n">
        <v>0</v>
      </c>
      <c r="X78" s="215" t="n">
        <v>13.8</v>
      </c>
      <c r="Y78" s="215" t="n">
        <v>13.8</v>
      </c>
      <c r="Z78" s="192" t="n">
        <v>45519</v>
      </c>
      <c r="AA78" t="n">
        <v>20</v>
      </c>
      <c r="AB78" s="220" t="n">
        <v>13.8</v>
      </c>
      <c r="AC78" s="221" t="n">
        <v>2.76</v>
      </c>
      <c r="AD78" s="237" t="n">
        <v>0</v>
      </c>
      <c r="AE78" t="b">
        <v>0</v>
      </c>
      <c r="AF78" s="228" t="n">
        <v>192</v>
      </c>
    </row>
    <row r="79">
      <c r="A79">
        <f>I79&amp;"-"&amp;J79</f>
        <v/>
      </c>
      <c r="B79" s="1">
        <f>M79</f>
        <v/>
      </c>
      <c r="C79">
        <f>N79</f>
        <v/>
      </c>
      <c r="D79">
        <f>K79</f>
        <v/>
      </c>
      <c r="E79">
        <f>L79</f>
        <v/>
      </c>
      <c r="F79" s="236">
        <f>S79</f>
        <v/>
      </c>
      <c r="G79">
        <f>U79*100&amp;"%"</f>
        <v/>
      </c>
      <c r="I79" s="212" t="n">
        <v>2024</v>
      </c>
      <c r="J79" s="213" t="n">
        <v>78</v>
      </c>
      <c r="K79" s="71" t="inlineStr">
        <is>
          <t>Ausgaben</t>
        </is>
      </c>
      <c r="L79" t="inlineStr">
        <is>
          <t>Lizenzgebühren</t>
        </is>
      </c>
      <c r="M79" s="1" t="n">
        <v>45453</v>
      </c>
      <c r="N79" t="inlineStr">
        <is>
          <t>Woocommerce, kein Beleg</t>
        </is>
      </c>
      <c r="P79" t="inlineStr">
        <is>
          <t>ja</t>
        </is>
      </c>
      <c r="Q79" t="b">
        <v>0</v>
      </c>
      <c r="R79" s="224" t="n">
        <v>46.06</v>
      </c>
      <c r="S79" s="215" t="n">
        <v>46.06</v>
      </c>
      <c r="T79" s="159" t="n">
        <v>1</v>
      </c>
      <c r="U79" s="159" t="n">
        <v>0</v>
      </c>
      <c r="V79" s="215" t="n">
        <v>0</v>
      </c>
      <c r="W79" s="215" t="n">
        <v>0</v>
      </c>
      <c r="X79" s="215" t="n">
        <v>46.06</v>
      </c>
      <c r="Y79" s="215" t="n">
        <v>46.06</v>
      </c>
      <c r="Z79" s="192" t="n">
        <v>45519</v>
      </c>
      <c r="AB79" s="220" t="n">
        <v>46.06</v>
      </c>
      <c r="AC79" s="221" t="n">
        <v>0</v>
      </c>
      <c r="AD79" s="237" t="n">
        <v>0</v>
      </c>
      <c r="AE79" t="b">
        <v>0</v>
      </c>
      <c r="AF79" s="228" t="n">
        <v>-29.62</v>
      </c>
    </row>
    <row r="80">
      <c r="A80">
        <f>I80&amp;"-"&amp;J80</f>
        <v/>
      </c>
      <c r="B80" s="1">
        <f>M80</f>
        <v/>
      </c>
      <c r="C80">
        <f>N80</f>
        <v/>
      </c>
      <c r="D80">
        <f>K80</f>
        <v/>
      </c>
      <c r="E80">
        <f>L80</f>
        <v/>
      </c>
      <c r="F80" s="236">
        <f>S80</f>
        <v/>
      </c>
      <c r="G80">
        <f>U80*100&amp;"%"</f>
        <v/>
      </c>
      <c r="I80" s="212" t="n">
        <v>2024</v>
      </c>
      <c r="J80" s="213" t="n">
        <v>79</v>
      </c>
      <c r="K80" s="71" t="inlineStr">
        <is>
          <t>Ausgaben</t>
        </is>
      </c>
      <c r="L80" t="inlineStr">
        <is>
          <t>Reise- und Fahrtspesen inkl. Kilometergeld und Diäten</t>
        </is>
      </c>
      <c r="M80" s="1" t="n">
        <v>45455</v>
      </c>
      <c r="N80" t="inlineStr">
        <is>
          <t>Uber B.V. Burgenweeshuispad 301, 1076 HR Amsterdam</t>
        </is>
      </c>
      <c r="Q80" t="b">
        <v>0</v>
      </c>
      <c r="R80" s="214" t="n">
        <v>36.21</v>
      </c>
      <c r="S80" s="215" t="n">
        <v>36.21</v>
      </c>
      <c r="T80" s="159" t="n">
        <v>1</v>
      </c>
      <c r="U80" s="159" t="n">
        <v>0.1</v>
      </c>
      <c r="V80" s="215" t="n">
        <v>3.291818181818182</v>
      </c>
      <c r="W80" s="215" t="n">
        <v>3.291818181818182</v>
      </c>
      <c r="X80" s="215" t="n">
        <v>32.91818181818181</v>
      </c>
      <c r="Y80" s="215" t="n">
        <v>32.91818181818181</v>
      </c>
      <c r="Z80" s="192" t="n">
        <v>45519</v>
      </c>
      <c r="AB80" s="220" t="n">
        <v>32.91818181818181</v>
      </c>
      <c r="AC80" s="221" t="n">
        <v>0</v>
      </c>
      <c r="AD80" s="237" t="n">
        <v>0</v>
      </c>
      <c r="AE80" t="b">
        <v>0</v>
      </c>
      <c r="AF80" s="228" t="n">
        <v>-524.7666666666668</v>
      </c>
    </row>
    <row r="81">
      <c r="A81">
        <f>I81&amp;"-"&amp;J81</f>
        <v/>
      </c>
      <c r="B81" s="1">
        <f>M81</f>
        <v/>
      </c>
      <c r="C81">
        <f>N81</f>
        <v/>
      </c>
      <c r="D81">
        <f>K81</f>
        <v/>
      </c>
      <c r="E81">
        <f>L81</f>
        <v/>
      </c>
      <c r="F81" s="236">
        <f>S81</f>
        <v/>
      </c>
      <c r="G81">
        <f>U81*100&amp;"%"</f>
        <v/>
      </c>
      <c r="I81" s="212" t="n">
        <v>2024</v>
      </c>
      <c r="J81" s="213" t="n">
        <v>80</v>
      </c>
      <c r="K81" s="71" t="inlineStr">
        <is>
          <t>Ausgaben</t>
        </is>
      </c>
      <c r="L81" t="inlineStr">
        <is>
          <t>sonstige Betriebsausgaben</t>
        </is>
      </c>
      <c r="M81" s="1" t="n">
        <v>45456</v>
      </c>
      <c r="N81" t="inlineStr">
        <is>
          <t>Hetzner Online GmbH, Industriestraße 25, 91710 Gunzenhausen</t>
        </is>
      </c>
      <c r="Q81" t="b">
        <v>0</v>
      </c>
      <c r="R81" s="214" t="n">
        <v>52.21</v>
      </c>
      <c r="S81" s="215" t="n">
        <v>52.21</v>
      </c>
      <c r="T81" s="159" t="n">
        <v>1</v>
      </c>
      <c r="U81" s="159" t="n">
        <v>0</v>
      </c>
      <c r="V81" s="215" t="n">
        <v>0</v>
      </c>
      <c r="W81" s="215" t="n">
        <v>0</v>
      </c>
      <c r="X81" s="215" t="n">
        <v>52.21</v>
      </c>
      <c r="Y81" s="215" t="n">
        <v>52.21</v>
      </c>
      <c r="Z81" s="192" t="n">
        <v>45519</v>
      </c>
      <c r="AA81" t="n">
        <v>20</v>
      </c>
      <c r="AB81" s="220" t="n">
        <v>52.21</v>
      </c>
      <c r="AC81" s="221" t="n">
        <v>10.442</v>
      </c>
      <c r="AD81" s="237" t="n">
        <v>0</v>
      </c>
      <c r="AE81" t="b">
        <v>0</v>
      </c>
      <c r="AF81" s="228" t="n">
        <v>-16.8</v>
      </c>
    </row>
    <row r="82">
      <c r="A82">
        <f>I82&amp;"-"&amp;J82</f>
        <v/>
      </c>
      <c r="B82" s="1">
        <f>M82</f>
        <v/>
      </c>
      <c r="C82">
        <f>N82</f>
        <v/>
      </c>
      <c r="D82">
        <f>K82</f>
        <v/>
      </c>
      <c r="E82">
        <f>L82</f>
        <v/>
      </c>
      <c r="F82" s="236">
        <f>S82</f>
        <v/>
      </c>
      <c r="G82">
        <f>U82*100&amp;"%"</f>
        <v/>
      </c>
      <c r="I82" s="212" t="n">
        <v>2024</v>
      </c>
      <c r="J82" s="213" t="n">
        <v>81</v>
      </c>
      <c r="K82" s="71" t="inlineStr">
        <is>
          <t>Ausgaben</t>
        </is>
      </c>
      <c r="L82" t="inlineStr">
        <is>
          <t>Telefon/Internet</t>
        </is>
      </c>
      <c r="M82" s="1" t="n">
        <v>45457</v>
      </c>
      <c r="N82" t="inlineStr">
        <is>
          <t>kabelplus GmbH, Südstadtzentrum 4, 2344 Maria Enzersdorf</t>
        </is>
      </c>
      <c r="Q82" t="b">
        <v>0</v>
      </c>
      <c r="R82" s="214" t="n">
        <v>57.44</v>
      </c>
      <c r="S82" s="215" t="n">
        <v>38.4848</v>
      </c>
      <c r="T82" s="159" t="n">
        <v>0.67</v>
      </c>
      <c r="U82" s="159" t="n">
        <v>0.1720057131197715</v>
      </c>
      <c r="V82" s="215" t="n">
        <v>8.43</v>
      </c>
      <c r="W82" s="215" t="n">
        <v>5.6481</v>
      </c>
      <c r="X82" s="215" t="n">
        <v>49.01</v>
      </c>
      <c r="Y82" s="215" t="n">
        <v>32.8367</v>
      </c>
      <c r="Z82" s="192" t="n">
        <v>45519</v>
      </c>
      <c r="AB82" s="220" t="n">
        <v>32.8367</v>
      </c>
      <c r="AC82" s="221" t="n">
        <v>0</v>
      </c>
      <c r="AD82" s="237" t="n">
        <v>1.886</v>
      </c>
      <c r="AE82" t="b">
        <v>0</v>
      </c>
      <c r="AF82" s="228" t="n">
        <v>-9.43</v>
      </c>
    </row>
    <row r="83">
      <c r="A83">
        <f>I83&amp;"-"&amp;J83</f>
        <v/>
      </c>
      <c r="B83" s="1">
        <f>M83</f>
        <v/>
      </c>
      <c r="C83">
        <f>N83</f>
        <v/>
      </c>
      <c r="D83">
        <f>K83</f>
        <v/>
      </c>
      <c r="E83">
        <f>L83</f>
        <v/>
      </c>
      <c r="F83" s="236">
        <f>S83</f>
        <v/>
      </c>
      <c r="G83">
        <f>U83*100&amp;"%"</f>
        <v/>
      </c>
      <c r="I83" s="212" t="n">
        <v>2024</v>
      </c>
      <c r="J83" s="213" t="n">
        <v>82</v>
      </c>
      <c r="K83" s="71" t="inlineStr">
        <is>
          <t>Ausgaben</t>
        </is>
      </c>
      <c r="L83" t="inlineStr">
        <is>
          <t>sonstige Betriebsausgaben</t>
        </is>
      </c>
      <c r="M83" s="1" t="n">
        <v>45457</v>
      </c>
      <c r="N83" t="inlineStr">
        <is>
          <t>Hetzner Online GmbH, Industriestraße 25, 91710 Gunzenhausen</t>
        </is>
      </c>
      <c r="Q83" t="b">
        <v>0</v>
      </c>
      <c r="R83" s="214" t="n">
        <v>1.76</v>
      </c>
      <c r="S83" s="215" t="n">
        <v>1.76</v>
      </c>
      <c r="T83" s="159" t="n">
        <v>1</v>
      </c>
      <c r="U83" s="159" t="n">
        <v>0</v>
      </c>
      <c r="V83" s="215" t="n">
        <v>0</v>
      </c>
      <c r="W83" s="215" t="n">
        <v>0</v>
      </c>
      <c r="X83" s="215" t="n">
        <v>1.76</v>
      </c>
      <c r="Y83" s="215" t="n">
        <v>1.76</v>
      </c>
      <c r="Z83" s="192" t="n">
        <v>45519</v>
      </c>
      <c r="AA83" t="n">
        <v>20</v>
      </c>
      <c r="AB83" s="220" t="n">
        <v>1.76</v>
      </c>
      <c r="AC83" s="221" t="n">
        <v>0.352</v>
      </c>
      <c r="AD83" s="237" t="n">
        <v>0</v>
      </c>
      <c r="AE83" t="b">
        <v>0</v>
      </c>
      <c r="AF83" s="228" t="n">
        <v>-5</v>
      </c>
    </row>
    <row r="84">
      <c r="A84">
        <f>I84&amp;"-"&amp;J84</f>
        <v/>
      </c>
      <c r="B84" s="1">
        <f>M84</f>
        <v/>
      </c>
      <c r="C84">
        <f>N84</f>
        <v/>
      </c>
      <c r="D84">
        <f>K84</f>
        <v/>
      </c>
      <c r="E84">
        <f>L84</f>
        <v/>
      </c>
      <c r="F84" s="236">
        <f>S84</f>
        <v/>
      </c>
      <c r="G84">
        <f>U84*100&amp;"%"</f>
        <v/>
      </c>
      <c r="I84" s="212" t="n">
        <v>2024</v>
      </c>
      <c r="J84" s="213" t="n">
        <v>83</v>
      </c>
      <c r="K84" s="71" t="inlineStr">
        <is>
          <t>Ausgaben</t>
        </is>
      </c>
      <c r="L84" t="inlineStr">
        <is>
          <t>Büromaterial</t>
        </is>
      </c>
      <c r="M84" s="1" t="n">
        <v>45459</v>
      </c>
      <c r="N84" t="inlineStr">
        <is>
          <t>Amazon EU S. à r.l., 38 avenue John F. Kennedy, L-1855 Luxembourg</t>
        </is>
      </c>
      <c r="Q84" t="b">
        <v>0</v>
      </c>
      <c r="R84" s="214" t="n">
        <v>50.58</v>
      </c>
      <c r="S84" s="215" t="n">
        <v>50.58</v>
      </c>
      <c r="T84" s="159" t="n">
        <v>1</v>
      </c>
      <c r="U84" s="159" t="n">
        <v>0.2</v>
      </c>
      <c r="V84" s="215" t="n">
        <v>8.43</v>
      </c>
      <c r="W84" s="215" t="n">
        <v>8.43</v>
      </c>
      <c r="X84" s="215" t="n">
        <v>42.15</v>
      </c>
      <c r="Y84" s="215" t="n">
        <v>42.15</v>
      </c>
      <c r="Z84" s="192" t="n">
        <v>45519</v>
      </c>
      <c r="AB84" s="220" t="n">
        <v>42.15</v>
      </c>
      <c r="AC84" s="221" t="n">
        <v>0</v>
      </c>
      <c r="AD84" s="237" t="n">
        <v>0</v>
      </c>
      <c r="AE84" t="b">
        <v>0</v>
      </c>
      <c r="AF84" s="228" t="n">
        <v>-15</v>
      </c>
    </row>
    <row r="85">
      <c r="A85">
        <f>I85&amp;"-"&amp;J85</f>
        <v/>
      </c>
      <c r="B85" s="1">
        <f>M85</f>
        <v/>
      </c>
      <c r="C85">
        <f>N85</f>
        <v/>
      </c>
      <c r="D85">
        <f>K85</f>
        <v/>
      </c>
      <c r="E85">
        <f>L85</f>
        <v/>
      </c>
      <c r="F85" s="236">
        <f>S85</f>
        <v/>
      </c>
      <c r="G85">
        <f>U85*100&amp;"%"</f>
        <v/>
      </c>
      <c r="I85" s="212" t="n">
        <v>2024</v>
      </c>
      <c r="J85" s="213" t="n">
        <v>84</v>
      </c>
      <c r="K85" s="71" t="inlineStr">
        <is>
          <t>Ausgaben</t>
        </is>
      </c>
      <c r="L85" t="inlineStr">
        <is>
          <t>Personalaufwand</t>
        </is>
      </c>
      <c r="M85" s="1" t="n">
        <v>45460</v>
      </c>
      <c r="N85" t="inlineStr">
        <is>
          <t>Eva Jaros-Kolbitsch</t>
        </is>
      </c>
      <c r="Q85" t="b">
        <v>0</v>
      </c>
      <c r="R85" s="214" t="n">
        <v>365</v>
      </c>
      <c r="S85" s="215" t="n">
        <v>365</v>
      </c>
      <c r="T85" s="159" t="n">
        <v>1</v>
      </c>
      <c r="U85" s="159" t="n">
        <v>0</v>
      </c>
      <c r="V85" s="215" t="n">
        <v>0</v>
      </c>
      <c r="W85" s="215" t="n">
        <v>0</v>
      </c>
      <c r="X85" s="215" t="n">
        <v>365</v>
      </c>
      <c r="Y85" s="215" t="n">
        <v>365</v>
      </c>
      <c r="Z85" s="192" t="n">
        <v>45519</v>
      </c>
      <c r="AB85" s="220" t="n">
        <v>365</v>
      </c>
      <c r="AC85" s="221" t="n">
        <v>0</v>
      </c>
      <c r="AD85" s="237" t="n">
        <v>0</v>
      </c>
      <c r="AE85" t="b">
        <v>0</v>
      </c>
      <c r="AF85" s="228" t="n">
        <v>-108.36</v>
      </c>
    </row>
    <row r="86">
      <c r="A86">
        <f>I86&amp;"-"&amp;J86</f>
        <v/>
      </c>
      <c r="B86" s="1">
        <f>M86</f>
        <v/>
      </c>
      <c r="C86">
        <f>N86</f>
        <v/>
      </c>
      <c r="D86">
        <f>K86</f>
        <v/>
      </c>
      <c r="E86">
        <f>L86</f>
        <v/>
      </c>
      <c r="F86" s="236">
        <f>S86</f>
        <v/>
      </c>
      <c r="G86">
        <f>U86*100&amp;"%"</f>
        <v/>
      </c>
      <c r="I86" s="212" t="n">
        <v>2024</v>
      </c>
      <c r="J86" s="213" t="n">
        <v>85</v>
      </c>
      <c r="K86" s="71" t="inlineStr">
        <is>
          <t>Ausgaben</t>
        </is>
      </c>
      <c r="L86" t="inlineStr">
        <is>
          <t>Büromaterial</t>
        </is>
      </c>
      <c r="M86" s="1" t="n">
        <v>45461</v>
      </c>
      <c r="N86" t="inlineStr">
        <is>
          <t>Amazon EU S. à r.l., 38 avenue John F. Kennedy, L-1855 Luxembourg</t>
        </is>
      </c>
      <c r="Q86" t="b">
        <v>0</v>
      </c>
      <c r="R86" s="214" t="n">
        <v>31.38</v>
      </c>
      <c r="S86" s="215" t="n">
        <v>31.38</v>
      </c>
      <c r="T86" s="159" t="n">
        <v>1</v>
      </c>
      <c r="U86" s="159" t="n">
        <v>0.2</v>
      </c>
      <c r="V86" s="215" t="n">
        <v>5.23</v>
      </c>
      <c r="W86" s="215" t="n">
        <v>5.23</v>
      </c>
      <c r="X86" s="215" t="n">
        <v>26.15</v>
      </c>
      <c r="Y86" s="215" t="n">
        <v>26.15</v>
      </c>
      <c r="Z86" s="192" t="n">
        <v>45519</v>
      </c>
      <c r="AB86" s="220" t="n">
        <v>26.15</v>
      </c>
      <c r="AC86" s="221" t="n">
        <v>0</v>
      </c>
      <c r="AD86" s="237" t="n">
        <v>0</v>
      </c>
      <c r="AE86" t="b">
        <v>0</v>
      </c>
      <c r="AF86" s="228" t="n">
        <v>-12</v>
      </c>
    </row>
    <row r="87">
      <c r="A87">
        <f>I87&amp;"-"&amp;J87</f>
        <v/>
      </c>
      <c r="B87" s="1">
        <f>M87</f>
        <v/>
      </c>
      <c r="C87">
        <f>N87</f>
        <v/>
      </c>
      <c r="D87">
        <f>K87</f>
        <v/>
      </c>
      <c r="E87">
        <f>L87</f>
        <v/>
      </c>
      <c r="F87" s="236">
        <f>S87</f>
        <v/>
      </c>
      <c r="G87">
        <f>U87*100&amp;"%"</f>
        <v/>
      </c>
      <c r="I87" s="212" t="n">
        <v>2024</v>
      </c>
      <c r="J87" s="213" t="n">
        <v>86</v>
      </c>
      <c r="K87" s="71" t="inlineStr">
        <is>
          <t>Ausgaben</t>
        </is>
      </c>
      <c r="L87" t="inlineStr">
        <is>
          <t>sonstige Betriebsausgaben</t>
        </is>
      </c>
      <c r="M87" s="1" t="n">
        <v>45462</v>
      </c>
      <c r="N87" t="inlineStr">
        <is>
          <t>Microsoft Ireland Operations Ltd. One Microsoft Place, South County, Business Park, Leopardstown, Dublin 18, D18 P521, Ireland</t>
        </is>
      </c>
      <c r="Q87" t="b">
        <v>0</v>
      </c>
      <c r="R87" s="214" t="n">
        <v>11.7</v>
      </c>
      <c r="S87" s="215" t="n">
        <v>11.7</v>
      </c>
      <c r="T87" s="159" t="n">
        <v>1</v>
      </c>
      <c r="U87" s="159" t="n">
        <v>0</v>
      </c>
      <c r="V87" s="215" t="n">
        <v>0</v>
      </c>
      <c r="W87" s="215" t="n">
        <v>0</v>
      </c>
      <c r="X87" s="215" t="n">
        <v>11.7</v>
      </c>
      <c r="Y87" s="215" t="n">
        <v>11.7</v>
      </c>
      <c r="Z87" s="192" t="n">
        <v>45519</v>
      </c>
      <c r="AA87" t="n">
        <v>20</v>
      </c>
      <c r="AB87" s="220" t="n">
        <v>11.7</v>
      </c>
      <c r="AC87" s="221" t="n">
        <v>2.34</v>
      </c>
      <c r="AD87" s="237" t="n">
        <v>10.44282</v>
      </c>
      <c r="AE87" t="b">
        <v>0</v>
      </c>
      <c r="AF87" s="228" t="n">
        <v>-52.2141</v>
      </c>
    </row>
    <row r="88">
      <c r="A88">
        <f>I88&amp;"-"&amp;J88</f>
        <v/>
      </c>
      <c r="B88" s="1">
        <f>M88</f>
        <v/>
      </c>
      <c r="C88">
        <f>N88</f>
        <v/>
      </c>
      <c r="D88">
        <f>K88</f>
        <v/>
      </c>
      <c r="E88">
        <f>L88</f>
        <v/>
      </c>
      <c r="F88" s="236">
        <f>S88</f>
        <v/>
      </c>
      <c r="G88">
        <f>U88*100&amp;"%"</f>
        <v/>
      </c>
      <c r="I88" s="212" t="n">
        <v>2024</v>
      </c>
      <c r="J88" s="213" t="n">
        <v>87</v>
      </c>
      <c r="K88" s="71" t="inlineStr">
        <is>
          <t>Einnahmen</t>
        </is>
      </c>
      <c r="L88" t="inlineStr">
        <is>
          <t>Waren-/Leistungserlöse</t>
        </is>
      </c>
      <c r="M88" s="1" t="n">
        <v>45463</v>
      </c>
      <c r="N88" t="inlineStr">
        <is>
          <t>Hays Österreich GmbH, Bahnhof City Wien West - Europaplatz 3/5, 1150 Wien</t>
        </is>
      </c>
      <c r="R88" s="214" t="n">
        <v>23155.58</v>
      </c>
      <c r="S88" s="215" t="n">
        <v>23155.58</v>
      </c>
      <c r="T88" s="159" t="n">
        <v>1</v>
      </c>
      <c r="U88" s="159" t="n">
        <v>0.2</v>
      </c>
      <c r="V88" s="215" t="n">
        <v>3859.263333333334</v>
      </c>
      <c r="W88" s="215" t="n">
        <v>3859.263333333334</v>
      </c>
      <c r="X88" s="215" t="n">
        <v>19296.31666666667</v>
      </c>
      <c r="Y88" s="215" t="n">
        <v>19296.31666666667</v>
      </c>
      <c r="Z88" s="192" t="n">
        <v>45519</v>
      </c>
      <c r="AB88" s="220" t="n">
        <v>19296.31666666667</v>
      </c>
      <c r="AC88" s="221" t="n">
        <v>0</v>
      </c>
      <c r="AD88" s="237" t="n">
        <v>0</v>
      </c>
      <c r="AE88" t="b">
        <v>0</v>
      </c>
      <c r="AF88" s="228" t="n">
        <v>-365</v>
      </c>
    </row>
    <row r="89">
      <c r="A89">
        <f>I89&amp;"-"&amp;J89</f>
        <v/>
      </c>
      <c r="B89" s="1">
        <f>M89</f>
        <v/>
      </c>
      <c r="C89">
        <f>N89</f>
        <v/>
      </c>
      <c r="D89">
        <f>K89</f>
        <v/>
      </c>
      <c r="E89">
        <f>L89</f>
        <v/>
      </c>
      <c r="F89" s="236">
        <f>S89</f>
        <v/>
      </c>
      <c r="G89">
        <f>U89*100&amp;"%"</f>
        <v/>
      </c>
      <c r="I89" s="212" t="n">
        <v>2024</v>
      </c>
      <c r="J89" s="213" t="n">
        <v>88</v>
      </c>
      <c r="K89" s="71" t="inlineStr">
        <is>
          <t>Ausgaben</t>
        </is>
      </c>
      <c r="L89" t="inlineStr">
        <is>
          <t>sonstige Betriebsausgaben</t>
        </is>
      </c>
      <c r="M89" s="1" t="n">
        <v>45462</v>
      </c>
      <c r="N89" t="inlineStr">
        <is>
          <t>Microsoft Ireland Operations Ltd. One Microsoft Place, South County, Business Park, Leopardstown, Dublin 18, D18 P521, Ireland</t>
        </is>
      </c>
      <c r="Q89" t="b">
        <v>0</v>
      </c>
      <c r="R89" s="214" t="n">
        <v>69</v>
      </c>
      <c r="S89" s="215" t="n">
        <v>69</v>
      </c>
      <c r="T89" s="159" t="n">
        <v>1</v>
      </c>
      <c r="U89" s="159" t="n">
        <v>0.2</v>
      </c>
      <c r="V89" s="215" t="n">
        <v>11.5</v>
      </c>
      <c r="W89" s="215" t="n">
        <v>11.5</v>
      </c>
      <c r="X89" s="215" t="n">
        <v>57.5</v>
      </c>
      <c r="Y89" s="215" t="n">
        <v>57.5</v>
      </c>
      <c r="Z89" s="192" t="n">
        <v>45519</v>
      </c>
      <c r="AB89" s="220" t="n">
        <v>57.5</v>
      </c>
      <c r="AC89" s="221" t="n">
        <v>0</v>
      </c>
      <c r="AD89" s="237" t="n">
        <v>0</v>
      </c>
      <c r="AE89" t="b">
        <v>0</v>
      </c>
      <c r="AF89" s="228" t="n">
        <v>-122.6</v>
      </c>
    </row>
    <row r="90">
      <c r="A90">
        <f>I90&amp;"-"&amp;J90</f>
        <v/>
      </c>
      <c r="B90" s="1">
        <f>M90</f>
        <v/>
      </c>
      <c r="C90">
        <f>N90</f>
        <v/>
      </c>
      <c r="D90">
        <f>K90</f>
        <v/>
      </c>
      <c r="E90">
        <f>L90</f>
        <v/>
      </c>
      <c r="F90" s="236">
        <f>S90</f>
        <v/>
      </c>
      <c r="G90">
        <f>U90*100&amp;"%"</f>
        <v/>
      </c>
      <c r="I90" s="212" t="n">
        <v>2024</v>
      </c>
      <c r="J90" s="213" t="n">
        <v>89</v>
      </c>
      <c r="K90" s="71" t="inlineStr">
        <is>
          <t>Ausgaben</t>
        </is>
      </c>
      <c r="L90" t="inlineStr">
        <is>
          <t>sonstige Betriebsausgaben</t>
        </is>
      </c>
      <c r="M90" s="1" t="n">
        <v>45468</v>
      </c>
      <c r="N90" t="inlineStr">
        <is>
          <t>EVN Wasser GmbH</t>
        </is>
      </c>
      <c r="Q90" t="b">
        <v>0</v>
      </c>
      <c r="R90" s="214" t="n">
        <v>55</v>
      </c>
      <c r="S90" s="215" t="n">
        <v>5.068484504197437</v>
      </c>
      <c r="T90" s="159" t="n">
        <v>0.09215426371268068</v>
      </c>
      <c r="U90" s="159" t="n">
        <v>0.1</v>
      </c>
      <c r="V90" s="215" t="n">
        <v>5</v>
      </c>
      <c r="W90" s="215" t="n">
        <v>0.4607713185634034</v>
      </c>
      <c r="X90" s="215" t="n">
        <v>49.99999999999999</v>
      </c>
      <c r="Y90" s="215" t="n">
        <v>4.607713185634033</v>
      </c>
      <c r="Z90" s="192" t="n">
        <v>45519</v>
      </c>
      <c r="AB90" s="220" t="n">
        <v>4.607713185634033</v>
      </c>
      <c r="AC90" s="221" t="n">
        <v>0</v>
      </c>
      <c r="AD90" s="237" t="n">
        <v>0</v>
      </c>
      <c r="AE90" t="b">
        <v>0</v>
      </c>
      <c r="AF90" s="228" t="n">
        <v>17523</v>
      </c>
    </row>
    <row r="91">
      <c r="A91">
        <f>I91&amp;"-"&amp;J91</f>
        <v/>
      </c>
      <c r="B91" s="1">
        <f>M91</f>
        <v/>
      </c>
      <c r="C91">
        <f>N91</f>
        <v/>
      </c>
      <c r="D91">
        <f>K91</f>
        <v/>
      </c>
      <c r="E91">
        <f>L91</f>
        <v/>
      </c>
      <c r="F91" s="236">
        <f>S91</f>
        <v/>
      </c>
      <c r="G91">
        <f>U91*100&amp;"%"</f>
        <v/>
      </c>
      <c r="I91" s="212" t="n">
        <v>2024</v>
      </c>
      <c r="J91" s="213" t="n">
        <v>90</v>
      </c>
      <c r="K91" s="71" t="inlineStr">
        <is>
          <t>Ausgaben</t>
        </is>
      </c>
      <c r="L91" t="inlineStr">
        <is>
          <t>sonstige Betriebsausgaben</t>
        </is>
      </c>
      <c r="M91" s="1" t="n">
        <v>45468</v>
      </c>
      <c r="N91" t="inlineStr">
        <is>
          <t>OpenAI, LLC, 548 Market Street, PMB 97273, San Francisco, California 94104-5401, United States</t>
        </is>
      </c>
      <c r="Q91" t="b">
        <v>0</v>
      </c>
      <c r="R91" s="224" t="n">
        <v>55</v>
      </c>
      <c r="S91" s="215" t="n">
        <v>55</v>
      </c>
      <c r="T91" s="159" t="n">
        <v>1</v>
      </c>
      <c r="U91" s="159" t="n">
        <v>0.2</v>
      </c>
      <c r="V91" s="215" t="n">
        <v>9.113333333333335</v>
      </c>
      <c r="W91" s="215" t="n">
        <v>9.113333333333335</v>
      </c>
      <c r="X91" s="215" t="n">
        <v>45.56666666666667</v>
      </c>
      <c r="Y91" s="215" t="n">
        <v>45.56666666666667</v>
      </c>
      <c r="Z91" s="192" t="n">
        <v>45519</v>
      </c>
      <c r="AB91" s="220" t="n">
        <v>45.56666666666667</v>
      </c>
      <c r="AC91" s="221" t="n">
        <v>0</v>
      </c>
      <c r="AD91" s="237" t="n">
        <v>0</v>
      </c>
      <c r="AE91" t="b">
        <v>0</v>
      </c>
      <c r="AF91" s="228" t="n">
        <v>-31.92</v>
      </c>
    </row>
    <row r="92">
      <c r="A92">
        <f>I92&amp;"-"&amp;J92</f>
        <v/>
      </c>
      <c r="B92" s="1">
        <f>M92</f>
        <v/>
      </c>
      <c r="C92">
        <f>N92</f>
        <v/>
      </c>
      <c r="D92">
        <f>K92</f>
        <v/>
      </c>
      <c r="E92">
        <f>L92</f>
        <v/>
      </c>
      <c r="F92" s="236">
        <f>S92</f>
        <v/>
      </c>
      <c r="G92">
        <f>U92*100&amp;"%"</f>
        <v/>
      </c>
      <c r="I92" s="212" t="n">
        <v>2024</v>
      </c>
      <c r="J92" s="213" t="n">
        <v>91</v>
      </c>
      <c r="K92" s="71" t="inlineStr">
        <is>
          <t>Ausgaben</t>
        </is>
      </c>
      <c r="L92" t="inlineStr">
        <is>
          <t>Büromaterial</t>
        </is>
      </c>
      <c r="M92" s="1" t="n">
        <v>45470</v>
      </c>
      <c r="N92" t="inlineStr">
        <is>
          <t>Amazon EU S. à r.l., 38 avenue John F. Kennedy, L-1855 Luxembourg</t>
        </is>
      </c>
      <c r="Q92" t="b">
        <v>0</v>
      </c>
      <c r="R92" s="214" t="n">
        <v>557.88</v>
      </c>
      <c r="S92" s="215" t="n">
        <v>557.88</v>
      </c>
      <c r="T92" s="159" t="n">
        <v>1</v>
      </c>
      <c r="U92" s="159" t="n">
        <v>0.2</v>
      </c>
      <c r="V92" s="215" t="n">
        <v>92.98000000000002</v>
      </c>
      <c r="W92" s="215" t="n">
        <v>92.98000000000002</v>
      </c>
      <c r="X92" s="215" t="n">
        <v>464.9</v>
      </c>
      <c r="Y92" s="215" t="n">
        <v>464.9</v>
      </c>
      <c r="Z92" s="192" t="n">
        <v>45519</v>
      </c>
      <c r="AB92" s="220" t="n">
        <v>464.9</v>
      </c>
      <c r="AC92" s="221" t="n">
        <v>0</v>
      </c>
      <c r="AD92" s="237" t="n">
        <v>2.1</v>
      </c>
      <c r="AE92" t="b">
        <v>0</v>
      </c>
      <c r="AF92" s="228" t="n">
        <v>-10.5</v>
      </c>
    </row>
    <row r="93">
      <c r="A93">
        <f>I93&amp;"-"&amp;J93</f>
        <v/>
      </c>
      <c r="B93" s="1">
        <f>M93</f>
        <v/>
      </c>
      <c r="C93">
        <f>N93</f>
        <v/>
      </c>
      <c r="D93">
        <f>K93</f>
        <v/>
      </c>
      <c r="E93">
        <f>L93</f>
        <v/>
      </c>
      <c r="F93" s="236">
        <f>S93</f>
        <v/>
      </c>
      <c r="G93">
        <f>U93*100&amp;"%"</f>
        <v/>
      </c>
      <c r="I93" s="212" t="n">
        <v>2024</v>
      </c>
      <c r="J93" s="213" t="n">
        <v>92</v>
      </c>
      <c r="K93" s="71" t="inlineStr">
        <is>
          <t>Einnahmen</t>
        </is>
      </c>
      <c r="L93" t="inlineStr">
        <is>
          <t>Waren-/Leistungserlöse</t>
        </is>
      </c>
      <c r="M93" s="1" t="n">
        <v>45474</v>
      </c>
      <c r="N93" t="inlineStr">
        <is>
          <t>ZT DI Dr. Arno Kolbitsch, Gütleweg 1, 6822 Satteins</t>
        </is>
      </c>
      <c r="R93" s="214" t="n">
        <v>1409.76</v>
      </c>
      <c r="S93" s="215" t="n">
        <v>1409.76</v>
      </c>
      <c r="T93" s="159" t="n">
        <v>1</v>
      </c>
      <c r="U93" s="159" t="n">
        <v>0.2</v>
      </c>
      <c r="V93" s="215" t="n">
        <v>234.96</v>
      </c>
      <c r="W93" s="215" t="n">
        <v>234.96</v>
      </c>
      <c r="X93" s="215" t="n">
        <v>1174.8</v>
      </c>
      <c r="Y93" s="215" t="n">
        <v>1174.8</v>
      </c>
      <c r="Z93" s="192" t="n">
        <v>45611</v>
      </c>
      <c r="AB93" s="220" t="n">
        <v>1174.8</v>
      </c>
      <c r="AC93" s="221" t="n">
        <v>0</v>
      </c>
      <c r="AD93" s="237" t="n">
        <v>0</v>
      </c>
      <c r="AE93" t="b">
        <v>0</v>
      </c>
      <c r="AF93" s="228" t="n">
        <v>-12.08</v>
      </c>
    </row>
    <row r="94">
      <c r="A94">
        <f>I94&amp;"-"&amp;J94</f>
        <v/>
      </c>
      <c r="B94" s="1">
        <f>M94</f>
        <v/>
      </c>
      <c r="C94">
        <f>N94</f>
        <v/>
      </c>
      <c r="D94">
        <f>K94</f>
        <v/>
      </c>
      <c r="E94">
        <f>L94</f>
        <v/>
      </c>
      <c r="F94" s="236">
        <f>S94</f>
        <v/>
      </c>
      <c r="G94">
        <f>U94*100&amp;"%"</f>
        <v/>
      </c>
      <c r="I94" s="212" t="n">
        <v>2024</v>
      </c>
      <c r="J94" s="213" t="n">
        <v>93</v>
      </c>
      <c r="K94" s="71" t="inlineStr">
        <is>
          <t>Ausgaben</t>
        </is>
      </c>
      <c r="L94" t="inlineStr">
        <is>
          <t>Telefon/Internet</t>
        </is>
      </c>
      <c r="M94" s="1" t="n">
        <v>45475</v>
      </c>
      <c r="N94" t="inlineStr">
        <is>
          <t>Hutchison Drei Austria GmbH, Brünner Straße 52, 1210 Wien, Österreich</t>
        </is>
      </c>
      <c r="Q94" t="b">
        <v>0</v>
      </c>
      <c r="R94" s="214" t="n">
        <v>13.91</v>
      </c>
      <c r="S94" s="215" t="n">
        <v>13.91</v>
      </c>
      <c r="T94" s="159" t="n">
        <v>1</v>
      </c>
      <c r="U94" s="159" t="n">
        <v>0.2</v>
      </c>
      <c r="V94" s="215" t="n">
        <v>2.318333333333333</v>
      </c>
      <c r="W94" s="215" t="n">
        <v>2.318333333333333</v>
      </c>
      <c r="X94" s="215" t="n">
        <v>11.59166666666667</v>
      </c>
      <c r="Y94" s="215" t="n">
        <v>11.59166666666667</v>
      </c>
      <c r="Z94" s="192" t="n">
        <v>45611</v>
      </c>
      <c r="AB94" s="220" t="n">
        <v>11.59166666666667</v>
      </c>
      <c r="AC94" s="221" t="n">
        <v>0</v>
      </c>
      <c r="AD94" s="237" t="n">
        <v>0</v>
      </c>
      <c r="AE94" t="b">
        <v>0</v>
      </c>
      <c r="AF94" s="228" t="n">
        <v>-524.7666666666668</v>
      </c>
    </row>
    <row r="95">
      <c r="A95">
        <f>I95&amp;"-"&amp;J95</f>
        <v/>
      </c>
      <c r="B95" s="1">
        <f>M95</f>
        <v/>
      </c>
      <c r="C95">
        <f>N95</f>
        <v/>
      </c>
      <c r="D95">
        <f>K95</f>
        <v/>
      </c>
      <c r="E95">
        <f>L95</f>
        <v/>
      </c>
      <c r="F95" s="236">
        <f>S95</f>
        <v/>
      </c>
      <c r="G95">
        <f>U95*100&amp;"%"</f>
        <v/>
      </c>
      <c r="I95" s="212" t="n">
        <v>2024</v>
      </c>
      <c r="J95" s="213" t="n">
        <v>94</v>
      </c>
      <c r="K95" s="71" t="inlineStr">
        <is>
          <t>Einnahmen</t>
        </is>
      </c>
      <c r="L95" t="inlineStr">
        <is>
          <t>Waren-/Leistungserlöse</t>
        </is>
      </c>
      <c r="M95" s="1" t="n">
        <v>45476</v>
      </c>
      <c r="N95" t="inlineStr">
        <is>
          <t>JLW - Jugend und Lebenswelt, Bahnhofsplatz 2, 3100 St Pölten</t>
        </is>
      </c>
      <c r="R95" s="214" t="n">
        <v>155.46</v>
      </c>
      <c r="S95" s="215" t="n">
        <v>155.46</v>
      </c>
      <c r="T95" s="159" t="n">
        <v>1</v>
      </c>
      <c r="U95" s="159" t="n">
        <v>0.2</v>
      </c>
      <c r="V95" s="215" t="n">
        <v>25.91</v>
      </c>
      <c r="W95" s="215" t="n">
        <v>25.91</v>
      </c>
      <c r="X95" s="215" t="n">
        <v>129.55</v>
      </c>
      <c r="Y95" s="215" t="n">
        <v>129.55</v>
      </c>
      <c r="Z95" s="192" t="n">
        <v>45611</v>
      </c>
      <c r="AB95" s="220" t="n">
        <v>129.55</v>
      </c>
      <c r="AC95" s="221" t="n">
        <v>0</v>
      </c>
      <c r="AD95" s="237" t="n">
        <v>2.08</v>
      </c>
      <c r="AE95" t="b">
        <v>0</v>
      </c>
      <c r="AF95" s="228" t="n">
        <v>-10.4</v>
      </c>
    </row>
    <row r="96">
      <c r="A96">
        <f>I96&amp;"-"&amp;J96</f>
        <v/>
      </c>
      <c r="B96" s="1">
        <f>M96</f>
        <v/>
      </c>
      <c r="C96">
        <f>N96</f>
        <v/>
      </c>
      <c r="D96">
        <f>K96</f>
        <v/>
      </c>
      <c r="E96">
        <f>L96</f>
        <v/>
      </c>
      <c r="F96" s="236">
        <f>S96</f>
        <v/>
      </c>
      <c r="G96">
        <f>U96*100&amp;"%"</f>
        <v/>
      </c>
      <c r="I96" s="212" t="n">
        <v>2024</v>
      </c>
      <c r="J96" s="213" t="n">
        <v>95</v>
      </c>
      <c r="K96" s="71" t="inlineStr">
        <is>
          <t>Ausgaben</t>
        </is>
      </c>
      <c r="L96" t="inlineStr">
        <is>
          <t>sonstige Betriebsausgaben</t>
        </is>
      </c>
      <c r="M96" s="1" t="n">
        <v>45476</v>
      </c>
      <c r="N96" t="inlineStr">
        <is>
          <t>Google Ireland Ltd, Gordon House, Barrow Street, Dublin 4, Ireland; VAT number: IE 6388047V</t>
        </is>
      </c>
      <c r="Q96" t="b">
        <v>0</v>
      </c>
      <c r="R96" s="214" t="n">
        <v>13.8</v>
      </c>
      <c r="S96" s="215" t="n">
        <v>13.8</v>
      </c>
      <c r="T96" s="159" t="n">
        <v>1</v>
      </c>
      <c r="U96" s="159" t="n">
        <v>0</v>
      </c>
      <c r="V96" s="215" t="n">
        <v>0</v>
      </c>
      <c r="W96" s="215" t="n">
        <v>0</v>
      </c>
      <c r="X96" s="215" t="n">
        <v>13.8</v>
      </c>
      <c r="Y96" s="215" t="n">
        <v>13.8</v>
      </c>
      <c r="Z96" s="192" t="n">
        <v>45611</v>
      </c>
      <c r="AA96" t="n">
        <v>20</v>
      </c>
      <c r="AB96" s="220" t="n">
        <v>13.8</v>
      </c>
      <c r="AC96" s="221" t="n">
        <v>2.76</v>
      </c>
      <c r="AD96" s="237" t="n">
        <v>0</v>
      </c>
      <c r="AE96" t="b">
        <v>0</v>
      </c>
      <c r="AF96" s="228" t="n">
        <v>-31.71</v>
      </c>
    </row>
    <row r="97">
      <c r="A97">
        <f>I97&amp;"-"&amp;J97</f>
        <v/>
      </c>
      <c r="B97" s="1">
        <f>M97</f>
        <v/>
      </c>
      <c r="C97">
        <f>N97</f>
        <v/>
      </c>
      <c r="D97">
        <f>K97</f>
        <v/>
      </c>
      <c r="E97">
        <f>L97</f>
        <v/>
      </c>
      <c r="F97" s="236">
        <f>S97</f>
        <v/>
      </c>
      <c r="G97">
        <f>U97*100&amp;"%"</f>
        <v/>
      </c>
      <c r="I97" s="212" t="n">
        <v>2024</v>
      </c>
      <c r="J97" s="213" t="n">
        <v>96</v>
      </c>
      <c r="K97" s="71" t="inlineStr">
        <is>
          <t>Ausgaben</t>
        </is>
      </c>
      <c r="L97" t="inlineStr">
        <is>
          <t>sonstige Betriebsausgaben</t>
        </is>
      </c>
      <c r="M97" s="1" t="n">
        <v>45483</v>
      </c>
      <c r="N97" t="inlineStr">
        <is>
          <t>LG Korneuburg: 33 Fr 1261/24 i - 3</t>
        </is>
      </c>
      <c r="Q97" t="b">
        <v>0</v>
      </c>
      <c r="R97" s="214" t="n">
        <v>19</v>
      </c>
      <c r="S97" s="215" t="n">
        <v>19</v>
      </c>
      <c r="T97" s="159" t="n">
        <v>1</v>
      </c>
      <c r="U97" s="159" t="n">
        <v>0</v>
      </c>
      <c r="V97" s="215" t="n">
        <v>0</v>
      </c>
      <c r="W97" s="215" t="n">
        <v>0</v>
      </c>
      <c r="X97" s="215" t="n">
        <v>19</v>
      </c>
      <c r="Y97" s="215" t="n">
        <v>19</v>
      </c>
      <c r="Z97" s="192" t="n">
        <v>45611</v>
      </c>
      <c r="AB97" s="220" t="n">
        <v>19</v>
      </c>
      <c r="AC97" s="221" t="n">
        <v>0</v>
      </c>
      <c r="AD97" s="237" t="n">
        <v>0</v>
      </c>
      <c r="AE97" t="b">
        <v>0</v>
      </c>
      <c r="AF97" s="228" t="n">
        <v>-5</v>
      </c>
    </row>
    <row r="98">
      <c r="A98">
        <f>I98&amp;"-"&amp;J98</f>
        <v/>
      </c>
      <c r="B98" s="1">
        <f>M98</f>
        <v/>
      </c>
      <c r="C98">
        <f>N98</f>
        <v/>
      </c>
      <c r="D98">
        <f>K98</f>
        <v/>
      </c>
      <c r="E98">
        <f>L98</f>
        <v/>
      </c>
      <c r="F98" s="236">
        <f>S98</f>
        <v/>
      </c>
      <c r="G98">
        <f>U98*100&amp;"%"</f>
        <v/>
      </c>
      <c r="I98" s="212" t="n">
        <v>2024</v>
      </c>
      <c r="J98" s="213" t="n">
        <v>97</v>
      </c>
      <c r="K98" s="71" t="inlineStr">
        <is>
          <t>Ausgaben</t>
        </is>
      </c>
      <c r="L98" t="inlineStr">
        <is>
          <t>sonstige Betriebsausgaben</t>
        </is>
      </c>
      <c r="M98" s="1" t="n">
        <v>45484</v>
      </c>
      <c r="N98" t="inlineStr">
        <is>
          <t>Hetzner Online GmbH, Industriestraße 25, 91710 Gunzenhausen</t>
        </is>
      </c>
      <c r="Q98" t="b">
        <v>0</v>
      </c>
      <c r="R98" s="214" t="n">
        <v>52.21</v>
      </c>
      <c r="S98" s="215" t="n">
        <v>52.21</v>
      </c>
      <c r="T98" s="159" t="n">
        <v>1</v>
      </c>
      <c r="U98" s="159" t="n">
        <v>0</v>
      </c>
      <c r="V98" s="215" t="n">
        <v>0</v>
      </c>
      <c r="W98" s="215" t="n">
        <v>0</v>
      </c>
      <c r="X98" s="215" t="n">
        <v>52.21</v>
      </c>
      <c r="Y98" s="215" t="n">
        <v>52.21</v>
      </c>
      <c r="Z98" s="192" t="n">
        <v>45611</v>
      </c>
      <c r="AA98" t="n">
        <v>20</v>
      </c>
      <c r="AB98" s="220" t="n">
        <v>52.21</v>
      </c>
      <c r="AC98" s="221" t="n">
        <v>10.442</v>
      </c>
      <c r="AD98" s="237" t="n">
        <v>0</v>
      </c>
      <c r="AE98" t="b">
        <v>0</v>
      </c>
      <c r="AF98" s="228" t="n">
        <v>-38.81</v>
      </c>
    </row>
    <row r="99">
      <c r="A99">
        <f>I99&amp;"-"&amp;J99</f>
        <v/>
      </c>
      <c r="B99" s="1">
        <f>M99</f>
        <v/>
      </c>
      <c r="C99">
        <f>N99</f>
        <v/>
      </c>
      <c r="D99">
        <f>K99</f>
        <v/>
      </c>
      <c r="E99">
        <f>L99</f>
        <v/>
      </c>
      <c r="F99" s="236">
        <f>S99</f>
        <v/>
      </c>
      <c r="G99">
        <f>U99*100&amp;"%"</f>
        <v/>
      </c>
      <c r="I99" s="212" t="n">
        <v>2024</v>
      </c>
      <c r="J99" s="213" t="n">
        <v>98</v>
      </c>
      <c r="K99" s="71" t="inlineStr">
        <is>
          <t>Ausgaben</t>
        </is>
      </c>
      <c r="L99" t="inlineStr">
        <is>
          <t>Telefon/Internet</t>
        </is>
      </c>
      <c r="M99" s="1" t="n">
        <v>45488</v>
      </c>
      <c r="N99" t="inlineStr">
        <is>
          <t>kabelplus GmbH, Südstadtzentrum 4, 2344 Maria Enzersdorf</t>
        </is>
      </c>
      <c r="Q99" t="b">
        <v>0</v>
      </c>
      <c r="R99" s="214" t="n">
        <v>55.7</v>
      </c>
      <c r="S99" s="215" t="n">
        <v>37.319</v>
      </c>
      <c r="T99" s="159" t="n">
        <v>0.67</v>
      </c>
      <c r="U99" s="159" t="n">
        <v>0.1721380471380471</v>
      </c>
      <c r="V99" s="215" t="n">
        <v>8.18</v>
      </c>
      <c r="W99" s="215" t="n">
        <v>5.4806</v>
      </c>
      <c r="X99" s="215" t="n">
        <v>47.52</v>
      </c>
      <c r="Y99" s="215" t="n">
        <v>31.8384</v>
      </c>
      <c r="Z99" s="192" t="n">
        <v>45611</v>
      </c>
      <c r="AB99" s="220" t="n">
        <v>31.8384</v>
      </c>
      <c r="AC99" s="221" t="n">
        <v>0</v>
      </c>
      <c r="AD99" s="237" t="n">
        <v>0</v>
      </c>
      <c r="AE99" t="b">
        <v>0</v>
      </c>
      <c r="AF99" s="228" t="n">
        <v>-122.6</v>
      </c>
    </row>
    <row r="100">
      <c r="A100">
        <f>I100&amp;"-"&amp;J100</f>
        <v/>
      </c>
      <c r="B100" s="1">
        <f>M100</f>
        <v/>
      </c>
      <c r="C100">
        <f>N100</f>
        <v/>
      </c>
      <c r="D100">
        <f>K100</f>
        <v/>
      </c>
      <c r="E100">
        <f>L100</f>
        <v/>
      </c>
      <c r="F100" s="236">
        <f>S100</f>
        <v/>
      </c>
      <c r="G100">
        <f>U100*100&amp;"%"</f>
        <v/>
      </c>
      <c r="I100" s="212" t="n">
        <v>2024</v>
      </c>
      <c r="J100" s="213" t="n">
        <v>99</v>
      </c>
      <c r="K100" s="71" t="inlineStr">
        <is>
          <t>Ausgaben</t>
        </is>
      </c>
      <c r="L100" t="inlineStr">
        <is>
          <t>Personalaufwand</t>
        </is>
      </c>
      <c r="M100" s="1" t="n">
        <v>45488</v>
      </c>
      <c r="N100" t="inlineStr">
        <is>
          <t>Eva Jaros-Kolbitsch</t>
        </is>
      </c>
      <c r="Q100" t="b">
        <v>0</v>
      </c>
      <c r="R100" s="214" t="n">
        <v>365</v>
      </c>
      <c r="S100" s="215" t="n">
        <v>365</v>
      </c>
      <c r="T100" s="159" t="n">
        <v>1</v>
      </c>
      <c r="U100" s="159" t="n">
        <v>0</v>
      </c>
      <c r="V100" s="215" t="n">
        <v>0</v>
      </c>
      <c r="W100" s="215" t="n">
        <v>0</v>
      </c>
      <c r="X100" s="215" t="n">
        <v>365</v>
      </c>
      <c r="Y100" s="215" t="n">
        <v>365</v>
      </c>
      <c r="Z100" s="192" t="n">
        <v>45611</v>
      </c>
      <c r="AB100" s="220" t="n">
        <v>365</v>
      </c>
      <c r="AC100" s="221" t="n">
        <v>0</v>
      </c>
      <c r="AD100" s="237" t="n">
        <v>0</v>
      </c>
      <c r="AE100" t="b">
        <v>0</v>
      </c>
      <c r="AF100" s="228" t="n">
        <v>-48.98</v>
      </c>
    </row>
    <row r="101">
      <c r="A101">
        <f>I101&amp;"-"&amp;J101</f>
        <v/>
      </c>
      <c r="B101" s="1">
        <f>M101</f>
        <v/>
      </c>
      <c r="C101">
        <f>N101</f>
        <v/>
      </c>
      <c r="D101">
        <f>K101</f>
        <v/>
      </c>
      <c r="E101">
        <f>L101</f>
        <v/>
      </c>
      <c r="F101" s="236">
        <f>S101</f>
        <v/>
      </c>
      <c r="G101">
        <f>U101*100&amp;"%"</f>
        <v/>
      </c>
      <c r="I101" s="212" t="n">
        <v>2024</v>
      </c>
      <c r="J101" s="213" t="n">
        <v>100</v>
      </c>
      <c r="K101" s="71" t="inlineStr">
        <is>
          <t>Ausgaben</t>
        </is>
      </c>
      <c r="L101" t="inlineStr">
        <is>
          <t>sonstige Betriebsausgaben</t>
        </is>
      </c>
      <c r="M101" s="1" t="n">
        <v>45489</v>
      </c>
      <c r="N101" t="inlineStr">
        <is>
          <t>Hetzner Online GmbH, Industriestraße 25, 91710 Gunzenhausen</t>
        </is>
      </c>
      <c r="Q101" t="b">
        <v>0</v>
      </c>
      <c r="R101" s="214" t="n">
        <v>1.76</v>
      </c>
      <c r="S101" s="215" t="n">
        <v>1.76</v>
      </c>
      <c r="T101" s="159" t="n">
        <v>1</v>
      </c>
      <c r="U101" s="159" t="n">
        <v>0</v>
      </c>
      <c r="V101" s="215" t="n">
        <v>0</v>
      </c>
      <c r="W101" s="215" t="n">
        <v>0</v>
      </c>
      <c r="X101" s="215" t="n">
        <v>1.76</v>
      </c>
      <c r="Y101" s="215" t="n">
        <v>1.76</v>
      </c>
      <c r="Z101" s="192" t="n">
        <v>45611</v>
      </c>
      <c r="AA101" t="n">
        <v>20</v>
      </c>
      <c r="AB101" s="220" t="n">
        <v>1.76</v>
      </c>
      <c r="AC101" s="221" t="n">
        <v>0.352</v>
      </c>
      <c r="AD101" s="237" t="n">
        <v>5.482</v>
      </c>
      <c r="AE101" t="b">
        <v>0</v>
      </c>
      <c r="AF101" s="228" t="n">
        <v>-27.41</v>
      </c>
    </row>
    <row r="102">
      <c r="A102">
        <f>I102&amp;"-"&amp;J102</f>
        <v/>
      </c>
      <c r="B102" s="1">
        <f>M102</f>
        <v/>
      </c>
      <c r="C102">
        <f>N102</f>
        <v/>
      </c>
      <c r="D102">
        <f>K102</f>
        <v/>
      </c>
      <c r="E102">
        <f>L102</f>
        <v/>
      </c>
      <c r="F102" s="236">
        <f>S102</f>
        <v/>
      </c>
      <c r="G102">
        <f>U102*100&amp;"%"</f>
        <v/>
      </c>
      <c r="I102" s="212" t="n">
        <v>2024</v>
      </c>
      <c r="J102" s="213" t="n">
        <v>101</v>
      </c>
      <c r="K102" s="71" t="inlineStr">
        <is>
          <t>Einnahmen</t>
        </is>
      </c>
      <c r="L102" t="inlineStr">
        <is>
          <t>Waren-/Leistungserlöse</t>
        </is>
      </c>
      <c r="M102" s="1" t="n">
        <v>45489</v>
      </c>
      <c r="N102" t="inlineStr">
        <is>
          <t>Hays Österreich GmbH, Bahnhof City Wien West - Europaplatz 3/5, 1150 Wien</t>
        </is>
      </c>
      <c r="R102" s="214" t="n">
        <v>20610.82</v>
      </c>
      <c r="S102" s="215" t="n">
        <v>20610.82</v>
      </c>
      <c r="T102" s="159" t="n">
        <v>1</v>
      </c>
      <c r="U102" s="159" t="n">
        <v>0.2</v>
      </c>
      <c r="V102" s="215" t="n">
        <v>3435.136666666667</v>
      </c>
      <c r="W102" s="215" t="n">
        <v>3435.136666666667</v>
      </c>
      <c r="X102" s="215" t="n">
        <v>17175.68333333333</v>
      </c>
      <c r="Y102" s="215" t="n">
        <v>17175.68333333333</v>
      </c>
      <c r="Z102" s="192" t="n">
        <v>45611</v>
      </c>
      <c r="AB102" s="220" t="n">
        <v>17175.68333333333</v>
      </c>
      <c r="AC102" s="221" t="n">
        <v>0</v>
      </c>
      <c r="AD102" s="237" t="n">
        <v>0</v>
      </c>
      <c r="AE102" t="b">
        <v>0</v>
      </c>
      <c r="AF102" s="228" t="n">
        <v>-12</v>
      </c>
    </row>
    <row r="103">
      <c r="A103">
        <f>I103&amp;"-"&amp;J103</f>
        <v/>
      </c>
      <c r="B103" s="1">
        <f>M103</f>
        <v/>
      </c>
      <c r="C103">
        <f>N103</f>
        <v/>
      </c>
      <c r="D103">
        <f>K103</f>
        <v/>
      </c>
      <c r="E103">
        <f>L103</f>
        <v/>
      </c>
      <c r="F103" s="236">
        <f>S103</f>
        <v/>
      </c>
      <c r="G103">
        <f>U103*100&amp;"%"</f>
        <v/>
      </c>
      <c r="I103" s="212" t="n">
        <v>2024</v>
      </c>
      <c r="J103" s="213" t="n">
        <v>102</v>
      </c>
      <c r="K103" s="71" t="inlineStr">
        <is>
          <t>Ausgaben</t>
        </is>
      </c>
      <c r="L103" t="inlineStr">
        <is>
          <t>sonstige Betriebsausgaben</t>
        </is>
      </c>
      <c r="M103" s="1" t="n">
        <v>45490</v>
      </c>
      <c r="N103" t="inlineStr">
        <is>
          <t>ipc computer, Hauptstraße 37, 77960 Seelbach, Deutschland</t>
        </is>
      </c>
      <c r="P103" t="inlineStr">
        <is>
          <t>ja</t>
        </is>
      </c>
      <c r="Q103" t="b">
        <v>0</v>
      </c>
      <c r="R103" s="214" t="n">
        <v>84.51000000000001</v>
      </c>
      <c r="S103" s="215" t="n">
        <v>84.51000000000001</v>
      </c>
      <c r="T103" s="159" t="n">
        <v>1</v>
      </c>
      <c r="U103" s="159" t="n">
        <v>0</v>
      </c>
      <c r="V103" s="215" t="n">
        <v>0</v>
      </c>
      <c r="W103" s="215" t="n">
        <v>0</v>
      </c>
      <c r="X103" s="215" t="n">
        <v>84.51000000000001</v>
      </c>
      <c r="Y103" s="215" t="n">
        <v>84.51000000000001</v>
      </c>
      <c r="Z103" s="192" t="n">
        <v>45611</v>
      </c>
      <c r="AA103" t="n">
        <v>20</v>
      </c>
      <c r="AB103" s="220" t="n">
        <v>84.51000000000001</v>
      </c>
      <c r="AC103" s="221" t="n">
        <v>16.902</v>
      </c>
      <c r="AD103" s="237" t="n">
        <v>10.44282</v>
      </c>
      <c r="AE103" t="b">
        <v>0</v>
      </c>
      <c r="AF103" s="228" t="n">
        <v>-52.2141</v>
      </c>
    </row>
    <row r="104">
      <c r="A104">
        <f>I104&amp;"-"&amp;J104</f>
        <v/>
      </c>
      <c r="B104" s="1">
        <f>M104</f>
        <v/>
      </c>
      <c r="C104">
        <f>N104</f>
        <v/>
      </c>
      <c r="D104">
        <f>K104</f>
        <v/>
      </c>
      <c r="E104">
        <f>L104</f>
        <v/>
      </c>
      <c r="F104" s="236">
        <f>S104</f>
        <v/>
      </c>
      <c r="G104">
        <f>U104*100&amp;"%"</f>
        <v/>
      </c>
      <c r="I104" s="212" t="n">
        <v>2024</v>
      </c>
      <c r="J104" s="213" t="n">
        <v>103</v>
      </c>
      <c r="K104" s="71" t="inlineStr">
        <is>
          <t>Ausgaben</t>
        </is>
      </c>
      <c r="L104" t="inlineStr">
        <is>
          <t>sonstige Betriebsausgaben</t>
        </is>
      </c>
      <c r="M104" s="1" t="n">
        <v>45495</v>
      </c>
      <c r="N104" t="inlineStr">
        <is>
          <t>Microsoft Ireland Operations Ltd. One Microsoft Place, South County, Business Park, Leopardstown, Dublin 18, D18 P521, Ireland</t>
        </is>
      </c>
      <c r="Q104" t="b">
        <v>0</v>
      </c>
      <c r="R104" s="214" t="n">
        <v>11.7</v>
      </c>
      <c r="S104" s="215" t="n">
        <v>11.7</v>
      </c>
      <c r="T104" s="159" t="n">
        <v>1</v>
      </c>
      <c r="U104" s="159" t="n">
        <v>0</v>
      </c>
      <c r="V104" s="215" t="n">
        <v>0</v>
      </c>
      <c r="W104" s="215" t="n">
        <v>0</v>
      </c>
      <c r="X104" s="215" t="n">
        <v>11.7</v>
      </c>
      <c r="Y104" s="215" t="n">
        <v>11.7</v>
      </c>
      <c r="Z104" s="192" t="n">
        <v>45611</v>
      </c>
      <c r="AA104" t="n">
        <v>20</v>
      </c>
      <c r="AB104" s="220" t="n">
        <v>11.7</v>
      </c>
      <c r="AC104" s="221" t="n">
        <v>2.34</v>
      </c>
      <c r="AD104" s="237" t="n">
        <v>0</v>
      </c>
      <c r="AE104" t="b">
        <v>0</v>
      </c>
      <c r="AF104" s="228" t="n">
        <v>-16.65833333333333</v>
      </c>
    </row>
    <row r="105">
      <c r="A105">
        <f>I105&amp;"-"&amp;J105</f>
        <v/>
      </c>
      <c r="B105" s="1">
        <f>M105</f>
        <v/>
      </c>
      <c r="C105">
        <f>N105</f>
        <v/>
      </c>
      <c r="D105">
        <f>K105</f>
        <v/>
      </c>
      <c r="E105">
        <f>L105</f>
        <v/>
      </c>
      <c r="F105" s="236">
        <f>S105</f>
        <v/>
      </c>
      <c r="G105">
        <f>U105*100&amp;"%"</f>
        <v/>
      </c>
      <c r="I105" s="212" t="n">
        <v>2024</v>
      </c>
      <c r="J105" s="213" t="n">
        <v>104</v>
      </c>
      <c r="K105" s="71" t="inlineStr">
        <is>
          <t>Ausgaben</t>
        </is>
      </c>
      <c r="L105" t="inlineStr">
        <is>
          <t>sonstige Betriebsausgaben</t>
        </is>
      </c>
      <c r="M105" s="1" t="n">
        <v>45498</v>
      </c>
      <c r="N105" t="inlineStr">
        <is>
          <t>OpenAI, LLC, 548 Market Street, PMB 97273, San Francisco, California 94104-5401, United States</t>
        </is>
      </c>
      <c r="Q105" t="b">
        <v>0</v>
      </c>
      <c r="R105" s="224" t="n">
        <v>55</v>
      </c>
      <c r="S105" s="215" t="n">
        <v>55</v>
      </c>
      <c r="T105" s="159" t="n">
        <v>1</v>
      </c>
      <c r="U105" s="159" t="n">
        <v>0.2</v>
      </c>
      <c r="V105" s="215" t="n">
        <v>9.113333333333335</v>
      </c>
      <c r="W105" s="215" t="n">
        <v>9.113333333333335</v>
      </c>
      <c r="X105" s="215" t="n">
        <v>45.56666666666667</v>
      </c>
      <c r="Y105" s="215" t="n">
        <v>45.56666666666667</v>
      </c>
      <c r="Z105" s="192" t="n">
        <v>45611</v>
      </c>
      <c r="AB105" s="220" t="n">
        <v>45.56666666666667</v>
      </c>
      <c r="AC105" s="221" t="n">
        <v>0</v>
      </c>
      <c r="AD105" s="237" t="n">
        <v>2.1</v>
      </c>
      <c r="AE105" t="b">
        <v>0</v>
      </c>
      <c r="AF105" s="228" t="n">
        <v>-10.5</v>
      </c>
    </row>
    <row r="106">
      <c r="A106">
        <f>I106&amp;"-"&amp;J106</f>
        <v/>
      </c>
      <c r="B106" s="1">
        <f>M106</f>
        <v/>
      </c>
      <c r="C106">
        <f>N106</f>
        <v/>
      </c>
      <c r="D106">
        <f>K106</f>
        <v/>
      </c>
      <c r="E106">
        <f>L106</f>
        <v/>
      </c>
      <c r="F106" s="236">
        <f>S106</f>
        <v/>
      </c>
      <c r="G106">
        <f>U106*100&amp;"%"</f>
        <v/>
      </c>
      <c r="I106" s="212" t="n">
        <v>2024</v>
      </c>
      <c r="J106" s="213" t="n">
        <v>105</v>
      </c>
      <c r="K106" s="71" t="inlineStr">
        <is>
          <t>Ausgaben</t>
        </is>
      </c>
      <c r="L106" t="inlineStr">
        <is>
          <t>Büromaterial</t>
        </is>
      </c>
      <c r="M106" s="1" t="n">
        <v>45470</v>
      </c>
      <c r="N106" t="inlineStr">
        <is>
          <t>Amazon EU S. à r.l., 38 avenue John F. Kennedy, L-1855 Luxembourg</t>
        </is>
      </c>
      <c r="Q106" t="b">
        <v>0</v>
      </c>
      <c r="R106" s="214" t="n">
        <v>4.94</v>
      </c>
      <c r="S106" s="215" t="n">
        <v>4.94</v>
      </c>
      <c r="T106" s="159" t="n">
        <v>1</v>
      </c>
      <c r="U106" s="159" t="n">
        <v>0.2</v>
      </c>
      <c r="V106" s="215" t="n">
        <v>0.8233333333333335</v>
      </c>
      <c r="W106" s="215" t="n">
        <v>0.8233333333333335</v>
      </c>
      <c r="X106" s="215" t="n">
        <v>4.116666666666667</v>
      </c>
      <c r="Y106" s="215" t="n">
        <v>4.116666666666667</v>
      </c>
      <c r="Z106" s="192" t="n">
        <v>45519</v>
      </c>
      <c r="AB106" s="220" t="n">
        <v>4.116666666666667</v>
      </c>
      <c r="AC106" s="221" t="n">
        <v>0</v>
      </c>
      <c r="AD106" s="237" t="n">
        <v>0</v>
      </c>
      <c r="AE106" t="b">
        <v>0</v>
      </c>
      <c r="AF106" s="228" t="n">
        <v>-365</v>
      </c>
    </row>
    <row r="107">
      <c r="A107">
        <f>I107&amp;"-"&amp;J107</f>
        <v/>
      </c>
      <c r="B107" s="1">
        <f>M107</f>
        <v/>
      </c>
      <c r="C107">
        <f>N107</f>
        <v/>
      </c>
      <c r="D107">
        <f>K107</f>
        <v/>
      </c>
      <c r="E107">
        <f>L107</f>
        <v/>
      </c>
      <c r="F107" s="236">
        <f>S107</f>
        <v/>
      </c>
      <c r="G107">
        <f>U107*100&amp;"%"</f>
        <v/>
      </c>
      <c r="I107" s="212" t="n">
        <v>2024</v>
      </c>
      <c r="J107" s="213" t="n">
        <v>106</v>
      </c>
      <c r="K107" s="71" t="inlineStr">
        <is>
          <t>Ausgaben</t>
        </is>
      </c>
      <c r="L107" t="inlineStr">
        <is>
          <t>Telefon/Internet</t>
        </is>
      </c>
      <c r="M107" s="1" t="n">
        <v>45505</v>
      </c>
      <c r="N107" t="inlineStr">
        <is>
          <t>Hutchison Drei Austria GmbH, Brünner Straße 52, 1210 Wien, Österreich</t>
        </is>
      </c>
      <c r="Q107" t="b">
        <v>0</v>
      </c>
      <c r="R107" s="214" t="n">
        <v>13.91</v>
      </c>
      <c r="S107" s="215" t="n">
        <v>13.91</v>
      </c>
      <c r="T107" s="159" t="n">
        <v>1</v>
      </c>
      <c r="U107" s="159" t="n">
        <v>0.2</v>
      </c>
      <c r="V107" s="215" t="n">
        <v>2.318333333333333</v>
      </c>
      <c r="W107" s="215" t="n">
        <v>2.318333333333333</v>
      </c>
      <c r="X107" s="215" t="n">
        <v>11.59166666666667</v>
      </c>
      <c r="Y107" s="215" t="n">
        <v>11.59166666666667</v>
      </c>
      <c r="Z107" s="192" t="n">
        <v>45611</v>
      </c>
      <c r="AB107" s="220" t="n">
        <v>11.59166666666667</v>
      </c>
      <c r="AC107" s="221" t="n">
        <v>0</v>
      </c>
      <c r="AD107" s="237" t="n">
        <v>0</v>
      </c>
      <c r="AE107" t="b">
        <v>0</v>
      </c>
      <c r="AF107" s="228" t="n">
        <v>17058.38</v>
      </c>
    </row>
    <row r="108">
      <c r="A108">
        <f>I108&amp;"-"&amp;J108</f>
        <v/>
      </c>
      <c r="B108" s="1">
        <f>M108</f>
        <v/>
      </c>
      <c r="C108">
        <f>N108</f>
        <v/>
      </c>
      <c r="D108">
        <f>K108</f>
        <v/>
      </c>
      <c r="E108">
        <f>L108</f>
        <v/>
      </c>
      <c r="F108" s="236">
        <f>S108</f>
        <v/>
      </c>
      <c r="G108">
        <f>U108*100&amp;"%"</f>
        <v/>
      </c>
      <c r="I108" s="212" t="n">
        <v>2024</v>
      </c>
      <c r="J108" s="213" t="n">
        <v>107</v>
      </c>
      <c r="K108" s="71" t="inlineStr">
        <is>
          <t>Ausgaben</t>
        </is>
      </c>
      <c r="L108" t="inlineStr">
        <is>
          <t>sonstige Betriebsausgaben</t>
        </is>
      </c>
      <c r="M108" s="1" t="n">
        <v>45509</v>
      </c>
      <c r="N108" t="inlineStr">
        <is>
          <t>Google Ireland Ltd, Gordon House, Barrow Street, Dublin 4, Ireland; VAT number: IE 6388047V</t>
        </is>
      </c>
      <c r="Q108" t="b">
        <v>0</v>
      </c>
      <c r="R108" s="214" t="n">
        <v>13.8</v>
      </c>
      <c r="S108" s="215" t="n">
        <v>13.8</v>
      </c>
      <c r="T108" s="159" t="n">
        <v>1</v>
      </c>
      <c r="U108" s="159" t="n">
        <v>0</v>
      </c>
      <c r="V108" s="215" t="n">
        <v>0</v>
      </c>
      <c r="W108" s="215" t="n">
        <v>0</v>
      </c>
      <c r="X108" s="215" t="n">
        <v>13.8</v>
      </c>
      <c r="Y108" s="215" t="n">
        <v>13.8</v>
      </c>
      <c r="Z108" s="192" t="n">
        <v>45611</v>
      </c>
      <c r="AA108" t="n">
        <v>20</v>
      </c>
      <c r="AB108" s="220" t="n">
        <v>13.8</v>
      </c>
      <c r="AC108" s="221" t="n">
        <v>2.76</v>
      </c>
      <c r="AD108" s="237" t="n">
        <v>0</v>
      </c>
      <c r="AE108" t="b">
        <v>0</v>
      </c>
      <c r="AF108" s="228" t="n">
        <v>-31.92</v>
      </c>
    </row>
    <row r="109">
      <c r="A109">
        <f>I109&amp;"-"&amp;J109</f>
        <v/>
      </c>
      <c r="B109" s="1">
        <f>M109</f>
        <v/>
      </c>
      <c r="C109">
        <f>N109</f>
        <v/>
      </c>
      <c r="D109">
        <f>K109</f>
        <v/>
      </c>
      <c r="E109">
        <f>L109</f>
        <v/>
      </c>
      <c r="F109" s="236">
        <f>S109</f>
        <v/>
      </c>
      <c r="G109">
        <f>U109*100&amp;"%"</f>
        <v/>
      </c>
      <c r="I109" s="212" t="n">
        <v>2024</v>
      </c>
      <c r="J109" s="213" t="n">
        <v>108</v>
      </c>
      <c r="K109" s="71" t="inlineStr">
        <is>
          <t>Ausgaben</t>
        </is>
      </c>
      <c r="L109" t="inlineStr">
        <is>
          <t>sonstige Betriebsausgaben</t>
        </is>
      </c>
      <c r="M109" s="1" t="n">
        <v>45517</v>
      </c>
      <c r="N109" t="inlineStr">
        <is>
          <t>Hetzner Online GmbH, Industriestraße 25, 91710 Gunzenhausen</t>
        </is>
      </c>
      <c r="Q109" t="b">
        <v>0</v>
      </c>
      <c r="R109" s="214" t="n">
        <v>52.42</v>
      </c>
      <c r="S109" s="215" t="n">
        <v>52.42</v>
      </c>
      <c r="T109" s="159" t="n">
        <v>1</v>
      </c>
      <c r="U109" s="159" t="n">
        <v>0</v>
      </c>
      <c r="V109" s="215" t="n">
        <v>0</v>
      </c>
      <c r="W109" s="215" t="n">
        <v>0</v>
      </c>
      <c r="X109" s="215" t="n">
        <v>52.42</v>
      </c>
      <c r="Y109" s="215" t="n">
        <v>52.42</v>
      </c>
      <c r="Z109" s="192" t="n">
        <v>45611</v>
      </c>
      <c r="AA109" t="n">
        <v>20</v>
      </c>
      <c r="AB109" s="220" t="n">
        <v>52.42</v>
      </c>
      <c r="AC109" s="221" t="n">
        <v>10.484</v>
      </c>
      <c r="AD109" s="237" t="n">
        <v>0</v>
      </c>
      <c r="AE109" t="b">
        <v>0</v>
      </c>
      <c r="AF109" s="228" t="n">
        <v>-43.66</v>
      </c>
    </row>
    <row r="110">
      <c r="A110">
        <f>I110&amp;"-"&amp;J110</f>
        <v/>
      </c>
      <c r="B110" s="1">
        <f>M110</f>
        <v/>
      </c>
      <c r="C110">
        <f>N110</f>
        <v/>
      </c>
      <c r="D110">
        <f>K110</f>
        <v/>
      </c>
      <c r="E110">
        <f>L110</f>
        <v/>
      </c>
      <c r="F110" s="236">
        <f>S110</f>
        <v/>
      </c>
      <c r="G110">
        <f>U110*100&amp;"%"</f>
        <v/>
      </c>
      <c r="I110" s="212" t="n">
        <v>2024</v>
      </c>
      <c r="J110" s="213" t="n">
        <v>109</v>
      </c>
      <c r="K110" s="71" t="inlineStr">
        <is>
          <t>Einnahmen</t>
        </is>
      </c>
      <c r="L110" t="inlineStr">
        <is>
          <t>Waren-/Leistungserlöse</t>
        </is>
      </c>
      <c r="M110" s="1" t="n">
        <v>45517</v>
      </c>
      <c r="N110" t="inlineStr">
        <is>
          <t>Hays Österreich GmbH, Bahnhof City Wien West - Europaplatz 3/5, 1150 Wien</t>
        </is>
      </c>
      <c r="R110" s="214" t="n">
        <v>20610.82</v>
      </c>
      <c r="S110" s="215" t="n">
        <v>20610.82</v>
      </c>
      <c r="T110" s="159" t="n">
        <v>1</v>
      </c>
      <c r="U110" s="159" t="n">
        <v>0.2</v>
      </c>
      <c r="V110" s="215" t="n">
        <v>3435.136666666667</v>
      </c>
      <c r="W110" s="215" t="n">
        <v>3435.136666666667</v>
      </c>
      <c r="X110" s="215" t="n">
        <v>17175.68333333333</v>
      </c>
      <c r="Y110" s="215" t="n">
        <v>17175.68333333333</v>
      </c>
      <c r="Z110" s="192" t="n">
        <v>45611</v>
      </c>
      <c r="AB110" s="220" t="n">
        <v>17175.68333333333</v>
      </c>
      <c r="AC110" s="221" t="n">
        <v>0</v>
      </c>
      <c r="AD110" s="238" t="n">
        <v>0</v>
      </c>
      <c r="AE110" s="166" t="b">
        <v>0</v>
      </c>
      <c r="AF110" s="239" t="n">
        <v>-40.92</v>
      </c>
    </row>
    <row r="111">
      <c r="A111">
        <f>I111&amp;"-"&amp;J111</f>
        <v/>
      </c>
      <c r="B111" s="1">
        <f>M111</f>
        <v/>
      </c>
      <c r="C111">
        <f>N111</f>
        <v/>
      </c>
      <c r="D111">
        <f>K111</f>
        <v/>
      </c>
      <c r="E111">
        <f>L111</f>
        <v/>
      </c>
      <c r="F111" s="236">
        <f>S111</f>
        <v/>
      </c>
      <c r="G111">
        <f>U111*100&amp;"%"</f>
        <v/>
      </c>
      <c r="I111" s="212" t="n">
        <v>2024</v>
      </c>
      <c r="J111" s="213" t="n">
        <v>110</v>
      </c>
      <c r="K111" s="71" t="inlineStr">
        <is>
          <t>Ausgaben</t>
        </is>
      </c>
      <c r="L111" t="inlineStr">
        <is>
          <t>Telefon/Internet</t>
        </is>
      </c>
      <c r="M111" s="1" t="n">
        <v>45518</v>
      </c>
      <c r="N111" t="inlineStr">
        <is>
          <t>kabelplus GmbH, Südstadtzentrum 4, 2344 Maria Enzersdorf</t>
        </is>
      </c>
      <c r="Q111" t="b">
        <v>0</v>
      </c>
      <c r="R111" s="214" t="n">
        <v>55.7</v>
      </c>
      <c r="S111" s="215" t="n">
        <v>37.319</v>
      </c>
      <c r="T111" s="159" t="n">
        <v>0.67</v>
      </c>
      <c r="U111" s="159" t="n">
        <v>0.1721380471380471</v>
      </c>
      <c r="V111" s="215" t="n">
        <v>8.18</v>
      </c>
      <c r="W111" s="215" t="n">
        <v>5.4806</v>
      </c>
      <c r="X111" s="215" t="n">
        <v>47.52</v>
      </c>
      <c r="Y111" s="215" t="n">
        <v>31.8384</v>
      </c>
      <c r="Z111" s="192" t="n">
        <v>45611</v>
      </c>
      <c r="AB111" s="220" t="n">
        <v>31.8384</v>
      </c>
      <c r="AC111" s="221" t="n">
        <v>0</v>
      </c>
      <c r="AD111" s="237" t="n">
        <v>0</v>
      </c>
      <c r="AE111" t="b">
        <v>0</v>
      </c>
      <c r="AF111" s="228" t="n">
        <v>-6.175000000000001</v>
      </c>
    </row>
    <row r="112">
      <c r="A112">
        <f>I112&amp;"-"&amp;J112</f>
        <v/>
      </c>
      <c r="B112" s="1">
        <f>M112</f>
        <v/>
      </c>
      <c r="C112">
        <f>N112</f>
        <v/>
      </c>
      <c r="D112">
        <f>K112</f>
        <v/>
      </c>
      <c r="E112">
        <f>L112</f>
        <v/>
      </c>
      <c r="F112" s="236">
        <f>S112</f>
        <v/>
      </c>
      <c r="G112">
        <f>U112*100&amp;"%"</f>
        <v/>
      </c>
      <c r="I112" s="212" t="n">
        <v>2024</v>
      </c>
      <c r="J112" s="213" t="n">
        <v>111</v>
      </c>
      <c r="K112" s="71" t="inlineStr">
        <is>
          <t>Ausgaben</t>
        </is>
      </c>
      <c r="L112" t="inlineStr">
        <is>
          <t>sonstige Betriebsausgaben</t>
        </is>
      </c>
      <c r="M112" s="1" t="n">
        <v>45518</v>
      </c>
      <c r="N112" t="inlineStr">
        <is>
          <t>Marktgemeinde Bisamberg, Hauptstraße 2, 2102 Bisamberg</t>
        </is>
      </c>
      <c r="Q112" t="b">
        <v>0</v>
      </c>
      <c r="R112" s="214" t="n">
        <v>192.096</v>
      </c>
      <c r="S112" s="215" t="n">
        <v>17.70246544215111</v>
      </c>
      <c r="T112" s="159" t="n">
        <v>0.09215426371268068</v>
      </c>
      <c r="U112" s="159" t="n">
        <v>0.1206814071524415</v>
      </c>
      <c r="V112" s="215" t="n">
        <v>20.686</v>
      </c>
      <c r="W112" s="215" t="n">
        <v>1.906303099160513</v>
      </c>
      <c r="X112" s="215" t="n">
        <v>171.41</v>
      </c>
      <c r="Y112" s="215" t="n">
        <v>15.7961623429906</v>
      </c>
      <c r="Z112" s="192" t="n">
        <v>45611</v>
      </c>
      <c r="AB112" s="220" t="n">
        <v>15.7961623429906</v>
      </c>
      <c r="AC112" s="221" t="n">
        <v>0</v>
      </c>
      <c r="AD112" s="237" t="n">
        <v>2.08</v>
      </c>
      <c r="AE112" t="b">
        <v>0</v>
      </c>
      <c r="AF112" s="228" t="n">
        <v>-10.4</v>
      </c>
    </row>
    <row r="113">
      <c r="A113">
        <f>I113&amp;"-"&amp;J113</f>
        <v/>
      </c>
      <c r="B113" s="1">
        <f>M113</f>
        <v/>
      </c>
      <c r="C113">
        <f>N113</f>
        <v/>
      </c>
      <c r="D113">
        <f>K113</f>
        <v/>
      </c>
      <c r="E113">
        <f>L113</f>
        <v/>
      </c>
      <c r="F113" s="236">
        <f>S113</f>
        <v/>
      </c>
      <c r="G113">
        <f>U113*100&amp;"%"</f>
        <v/>
      </c>
      <c r="I113" s="212" t="n">
        <v>2024</v>
      </c>
      <c r="J113" s="213" t="n">
        <v>112</v>
      </c>
      <c r="K113" s="71" t="inlineStr">
        <is>
          <t>Ausgaben</t>
        </is>
      </c>
      <c r="L113" t="inlineStr">
        <is>
          <t>sonstige Betriebsausgaben</t>
        </is>
      </c>
      <c r="M113" s="1" t="n">
        <v>45519</v>
      </c>
      <c r="N113" t="inlineStr">
        <is>
          <t>Hetzner Online GmbH, Industriestraße 25, 91710 Gunzenhausen</t>
        </is>
      </c>
      <c r="Q113" t="b">
        <v>0</v>
      </c>
      <c r="R113" s="214" t="n">
        <v>1.76</v>
      </c>
      <c r="S113" s="215" t="n">
        <v>1.76</v>
      </c>
      <c r="T113" s="159" t="n">
        <v>1</v>
      </c>
      <c r="U113" s="159" t="n">
        <v>0</v>
      </c>
      <c r="V113" s="215" t="n">
        <v>0</v>
      </c>
      <c r="W113" s="215" t="n">
        <v>0</v>
      </c>
      <c r="X113" s="215" t="n">
        <v>1.76</v>
      </c>
      <c r="Y113" s="215" t="n">
        <v>1.76</v>
      </c>
      <c r="Z113" s="192" t="n">
        <v>45611</v>
      </c>
      <c r="AA113" t="n">
        <v>20</v>
      </c>
      <c r="AB113" s="220" t="n">
        <v>1.76</v>
      </c>
      <c r="AC113" s="221" t="n">
        <v>0.352</v>
      </c>
      <c r="AD113" s="237" t="n">
        <v>0</v>
      </c>
      <c r="AE113" t="b">
        <v>0</v>
      </c>
      <c r="AF113" s="228" t="n">
        <v>1352.6</v>
      </c>
    </row>
    <row r="114">
      <c r="A114">
        <f>I114&amp;"-"&amp;J114</f>
        <v/>
      </c>
      <c r="B114" s="1">
        <f>M114</f>
        <v/>
      </c>
      <c r="C114">
        <f>N114</f>
        <v/>
      </c>
      <c r="D114">
        <f>K114</f>
        <v/>
      </c>
      <c r="E114">
        <f>L114</f>
        <v/>
      </c>
      <c r="F114" s="236">
        <f>S114</f>
        <v/>
      </c>
      <c r="G114">
        <f>U114*100&amp;"%"</f>
        <v/>
      </c>
      <c r="I114" s="212" t="n">
        <v>2024</v>
      </c>
      <c r="J114" s="213" t="n">
        <v>113</v>
      </c>
      <c r="K114" s="71" t="inlineStr">
        <is>
          <t>Ausgaben</t>
        </is>
      </c>
      <c r="L114" t="inlineStr">
        <is>
          <t>Personalaufwand</t>
        </is>
      </c>
      <c r="M114" s="1" t="n">
        <v>45522</v>
      </c>
      <c r="N114" t="inlineStr">
        <is>
          <t>Eva Jaros-Kolbitsch</t>
        </is>
      </c>
      <c r="Q114" t="b">
        <v>0</v>
      </c>
      <c r="R114" s="214" t="n">
        <v>365</v>
      </c>
      <c r="S114" s="215" t="n">
        <v>365</v>
      </c>
      <c r="T114" s="159" t="n">
        <v>1</v>
      </c>
      <c r="U114" s="159" t="n">
        <v>0</v>
      </c>
      <c r="V114" s="215" t="n">
        <v>0</v>
      </c>
      <c r="W114" s="215" t="n">
        <v>0</v>
      </c>
      <c r="X114" s="215" t="n">
        <v>365</v>
      </c>
      <c r="Y114" s="215" t="n">
        <v>365</v>
      </c>
      <c r="Z114" s="192" t="n">
        <v>45611</v>
      </c>
      <c r="AB114" s="220" t="n">
        <v>365</v>
      </c>
      <c r="AC114" s="221" t="n">
        <v>0</v>
      </c>
      <c r="AD114" s="237" t="n">
        <v>0</v>
      </c>
      <c r="AE114" t="b">
        <v>0</v>
      </c>
      <c r="AF114" s="228" t="n">
        <v>-524.7666666666668</v>
      </c>
    </row>
    <row r="115">
      <c r="A115">
        <f>I115&amp;"-"&amp;J115</f>
        <v/>
      </c>
      <c r="B115" s="1">
        <f>M115</f>
        <v/>
      </c>
      <c r="C115">
        <f>N115</f>
        <v/>
      </c>
      <c r="D115">
        <f>K115</f>
        <v/>
      </c>
      <c r="E115">
        <f>L115</f>
        <v/>
      </c>
      <c r="F115" s="236">
        <f>S115</f>
        <v/>
      </c>
      <c r="G115">
        <f>U115*100&amp;"%"</f>
        <v/>
      </c>
      <c r="I115" s="212" t="n">
        <v>2024</v>
      </c>
      <c r="J115" s="213" t="n">
        <v>114</v>
      </c>
      <c r="K115" s="71" t="inlineStr">
        <is>
          <t>Einnahmen</t>
        </is>
      </c>
      <c r="L115" t="inlineStr">
        <is>
          <t>Waren-/Leistungserlöse</t>
        </is>
      </c>
      <c r="M115" s="1" t="n">
        <v>45524</v>
      </c>
      <c r="N115" t="inlineStr">
        <is>
          <t>Paperholic all ´bout paper e.U. - Birgit Horn, Koglgasse 15, 2111 Harmannsdorf</t>
        </is>
      </c>
      <c r="R115" s="214" t="n">
        <v>764.4</v>
      </c>
      <c r="S115" s="215" t="n">
        <v>764.4</v>
      </c>
      <c r="T115" s="159" t="n">
        <v>1</v>
      </c>
      <c r="U115" s="159" t="n">
        <v>0.2</v>
      </c>
      <c r="V115" s="215" t="n">
        <v>127.4</v>
      </c>
      <c r="W115" s="215" t="n">
        <v>127.4</v>
      </c>
      <c r="X115" s="215" t="n">
        <v>637</v>
      </c>
      <c r="Y115" s="215" t="n">
        <v>637</v>
      </c>
      <c r="Z115" s="192" t="n">
        <v>45611</v>
      </c>
      <c r="AB115" s="220" t="n">
        <v>637</v>
      </c>
      <c r="AC115" s="221" t="n">
        <v>0</v>
      </c>
      <c r="AD115" s="237" t="n">
        <v>0</v>
      </c>
      <c r="AE115" t="b">
        <v>0</v>
      </c>
      <c r="AF115" s="228" t="n">
        <v>-10.75</v>
      </c>
    </row>
    <row r="116">
      <c r="A116">
        <f>I116&amp;"-"&amp;J116</f>
        <v/>
      </c>
      <c r="B116" s="1">
        <f>M116</f>
        <v/>
      </c>
      <c r="C116">
        <f>N116</f>
        <v/>
      </c>
      <c r="D116">
        <f>K116</f>
        <v/>
      </c>
      <c r="E116">
        <f>L116</f>
        <v/>
      </c>
      <c r="F116" s="236">
        <f>S116</f>
        <v/>
      </c>
      <c r="G116">
        <f>U116*100&amp;"%"</f>
        <v/>
      </c>
      <c r="I116" s="212" t="n">
        <v>2024</v>
      </c>
      <c r="J116" s="213" t="n">
        <v>115</v>
      </c>
      <c r="K116" s="71" t="inlineStr">
        <is>
          <t>Ausgaben</t>
        </is>
      </c>
      <c r="L116" t="inlineStr">
        <is>
          <t>sonstige Betriebsausgaben</t>
        </is>
      </c>
      <c r="M116" s="1" t="n">
        <v>45525</v>
      </c>
      <c r="N116" t="inlineStr">
        <is>
          <t>Microsoft Ireland Operations Ltd. One Microsoft Place, South County, Business Park, Leopardstown, Dublin 18, D18 P521, Ireland</t>
        </is>
      </c>
      <c r="Q116" t="b">
        <v>0</v>
      </c>
      <c r="R116" s="214" t="n">
        <v>11.7</v>
      </c>
      <c r="S116" s="215" t="n">
        <v>11.7</v>
      </c>
      <c r="T116" s="159" t="n">
        <v>1</v>
      </c>
      <c r="U116" s="159" t="n">
        <v>0</v>
      </c>
      <c r="V116" s="215" t="n">
        <v>0</v>
      </c>
      <c r="W116" s="215" t="n">
        <v>0</v>
      </c>
      <c r="X116" s="215" t="n">
        <v>11.7</v>
      </c>
      <c r="Y116" s="215" t="n">
        <v>11.7</v>
      </c>
      <c r="Z116" s="192" t="n">
        <v>45611</v>
      </c>
      <c r="AA116" t="n">
        <v>20</v>
      </c>
      <c r="AB116" s="220" t="n">
        <v>11.7</v>
      </c>
      <c r="AC116" s="221" t="n">
        <v>2.34</v>
      </c>
      <c r="AD116" s="237" t="n">
        <v>0</v>
      </c>
      <c r="AE116" t="b">
        <v>0</v>
      </c>
      <c r="AF116" s="228" t="n">
        <v>-5</v>
      </c>
    </row>
    <row r="117">
      <c r="A117">
        <f>I117&amp;"-"&amp;J117</f>
        <v/>
      </c>
      <c r="B117" s="1">
        <f>M117</f>
        <v/>
      </c>
      <c r="C117">
        <f>N117</f>
        <v/>
      </c>
      <c r="D117">
        <f>K117</f>
        <v/>
      </c>
      <c r="E117">
        <f>L117</f>
        <v/>
      </c>
      <c r="F117" s="236">
        <f>S117</f>
        <v/>
      </c>
      <c r="G117">
        <f>U117*100&amp;"%"</f>
        <v/>
      </c>
      <c r="I117" s="212" t="n">
        <v>2024</v>
      </c>
      <c r="J117" s="213" t="n">
        <v>116</v>
      </c>
      <c r="K117" s="71" t="inlineStr">
        <is>
          <t>Ausgaben</t>
        </is>
      </c>
      <c r="L117" t="inlineStr">
        <is>
          <t>Reise- und Fahrtspesen inkl. Kilometergeld und Diäten</t>
        </is>
      </c>
      <c r="M117" s="1" t="n">
        <v>45526</v>
      </c>
      <c r="N117" t="inlineStr">
        <is>
          <t>Verkehrsbund Ost-Region (VOR) GesmbH</t>
        </is>
      </c>
      <c r="Q117" t="b">
        <v>0</v>
      </c>
      <c r="R117" s="214" t="n">
        <v>860</v>
      </c>
      <c r="S117" s="215" t="n">
        <v>860</v>
      </c>
      <c r="T117" s="159" t="n">
        <v>1</v>
      </c>
      <c r="U117" s="159" t="n">
        <v>0.1</v>
      </c>
      <c r="V117" s="215" t="n">
        <v>78.18181818181819</v>
      </c>
      <c r="W117" s="215" t="n">
        <v>78.18181818181819</v>
      </c>
      <c r="X117" s="215" t="n">
        <v>781.8181818181818</v>
      </c>
      <c r="Y117" s="215" t="n">
        <v>781.8181818181818</v>
      </c>
      <c r="Z117" s="192" t="n">
        <v>45611</v>
      </c>
      <c r="AB117" s="220" t="n">
        <v>781.8181818181818</v>
      </c>
      <c r="AC117" s="221" t="n">
        <v>0</v>
      </c>
      <c r="AD117" s="237" t="n">
        <v>0</v>
      </c>
      <c r="AE117" t="b">
        <v>0</v>
      </c>
      <c r="AF117" s="228" t="n">
        <v>388.0000000000001</v>
      </c>
    </row>
    <row r="118">
      <c r="A118">
        <f>I118&amp;"-"&amp;J118</f>
        <v/>
      </c>
      <c r="B118" s="1">
        <f>M118</f>
        <v/>
      </c>
      <c r="C118">
        <f>N118</f>
        <v/>
      </c>
      <c r="D118">
        <f>K118</f>
        <v/>
      </c>
      <c r="E118">
        <f>L118</f>
        <v/>
      </c>
      <c r="F118" s="236">
        <f>S118</f>
        <v/>
      </c>
      <c r="G118">
        <f>U118*100&amp;"%"</f>
        <v/>
      </c>
      <c r="I118" s="212" t="n">
        <v>2024</v>
      </c>
      <c r="J118" s="213" t="n">
        <v>117</v>
      </c>
      <c r="K118" s="71" t="inlineStr">
        <is>
          <t>Ausgaben</t>
        </is>
      </c>
      <c r="L118" t="inlineStr">
        <is>
          <t>sonstige Betriebsausgaben</t>
        </is>
      </c>
      <c r="M118" s="1" t="n">
        <v>45530</v>
      </c>
      <c r="N118" t="inlineStr">
        <is>
          <t>OpenAI, LLC, 548 Market Street, PMB 97273, San Francisco, California 94104-5401, United States</t>
        </is>
      </c>
      <c r="Q118" t="b">
        <v>0</v>
      </c>
      <c r="R118" s="214" t="n">
        <v>21.95</v>
      </c>
      <c r="S118" s="215" t="n">
        <v>21.95</v>
      </c>
      <c r="T118" s="159" t="n">
        <v>1</v>
      </c>
      <c r="U118" s="159" t="n">
        <v>0.2</v>
      </c>
      <c r="V118" s="215" t="n">
        <v>3.605</v>
      </c>
      <c r="W118" s="215" t="n">
        <v>3.605</v>
      </c>
      <c r="X118" s="215" t="n">
        <v>18.025</v>
      </c>
      <c r="Y118" s="215" t="n">
        <v>18.025</v>
      </c>
      <c r="Z118" s="192" t="n">
        <v>45611</v>
      </c>
      <c r="AB118" s="220" t="n">
        <v>18.025</v>
      </c>
      <c r="AC118" s="221" t="n">
        <v>0</v>
      </c>
      <c r="AD118" s="237" t="n">
        <v>0</v>
      </c>
      <c r="AE118" t="b">
        <v>0</v>
      </c>
      <c r="AF118" s="228" t="n">
        <v>-122.6</v>
      </c>
    </row>
    <row r="119">
      <c r="A119">
        <f>I119&amp;"-"&amp;J119</f>
        <v/>
      </c>
      <c r="B119" s="1">
        <f>M119</f>
        <v/>
      </c>
      <c r="C119">
        <f>N119</f>
        <v/>
      </c>
      <c r="D119">
        <f>K119</f>
        <v/>
      </c>
      <c r="E119">
        <f>L119</f>
        <v/>
      </c>
      <c r="F119" s="236">
        <f>S119</f>
        <v/>
      </c>
      <c r="G119">
        <f>U119*100&amp;"%"</f>
        <v/>
      </c>
      <c r="I119" s="212" t="n">
        <v>2024</v>
      </c>
      <c r="J119" s="213" t="n">
        <v>118</v>
      </c>
      <c r="K119" s="71" t="inlineStr">
        <is>
          <t>Ausgaben</t>
        </is>
      </c>
      <c r="L119" t="inlineStr">
        <is>
          <t>Pflichversicherungsbeiträge</t>
        </is>
      </c>
      <c r="M119" s="1" t="n">
        <v>45534</v>
      </c>
      <c r="N119" t="inlineStr">
        <is>
          <t>SVS</t>
        </is>
      </c>
      <c r="Q119" t="b">
        <v>0</v>
      </c>
      <c r="R119" s="214" t="n">
        <v>4993.46</v>
      </c>
      <c r="S119" s="215" t="n">
        <v>4993.46</v>
      </c>
      <c r="T119" s="159" t="n">
        <v>1</v>
      </c>
      <c r="U119" s="159" t="n">
        <v>0</v>
      </c>
      <c r="V119" s="215" t="n">
        <v>0</v>
      </c>
      <c r="W119" s="215" t="n">
        <v>0</v>
      </c>
      <c r="X119" s="215" t="n">
        <v>4993.46</v>
      </c>
      <c r="Y119" s="215" t="n">
        <v>4993.46</v>
      </c>
      <c r="Z119" s="192" t="n">
        <v>45611</v>
      </c>
      <c r="AB119" s="220" t="n">
        <v>4993.46</v>
      </c>
      <c r="AC119" s="221" t="n">
        <v>0</v>
      </c>
      <c r="AD119" s="237" t="n">
        <v>0</v>
      </c>
      <c r="AE119" t="b">
        <v>0</v>
      </c>
      <c r="AF119" s="228" t="n">
        <v>-12</v>
      </c>
    </row>
    <row r="120">
      <c r="A120">
        <f>I120&amp;"-"&amp;J120</f>
        <v/>
      </c>
      <c r="B120" s="1">
        <f>M120</f>
        <v/>
      </c>
      <c r="C120">
        <f>N120</f>
        <v/>
      </c>
      <c r="D120">
        <f>K120</f>
        <v/>
      </c>
      <c r="E120">
        <f>L120</f>
        <v/>
      </c>
      <c r="F120" s="236">
        <f>S120</f>
        <v/>
      </c>
      <c r="G120">
        <f>U120*100&amp;"%"</f>
        <v/>
      </c>
      <c r="I120" s="212" t="n">
        <v>2024</v>
      </c>
      <c r="J120" s="213" t="n">
        <v>119</v>
      </c>
      <c r="K120" s="71" t="inlineStr">
        <is>
          <t>Ausgaben</t>
        </is>
      </c>
      <c r="L120" t="inlineStr">
        <is>
          <t>sonstige Betriebsausgaben</t>
        </is>
      </c>
      <c r="M120" s="1" t="n">
        <v>45537</v>
      </c>
      <c r="N120" t="inlineStr">
        <is>
          <t>EVN Wasser GmbH</t>
        </is>
      </c>
      <c r="Q120" t="b">
        <v>0</v>
      </c>
      <c r="R120" s="214" t="n">
        <v>354.16</v>
      </c>
      <c r="S120" s="215" t="n">
        <v>32.63735403648299</v>
      </c>
      <c r="T120" s="159" t="n">
        <v>0.09215426371268068</v>
      </c>
      <c r="U120" s="159" t="n">
        <v>0.1</v>
      </c>
      <c r="V120" s="215" t="n">
        <v>32.19636363636364</v>
      </c>
      <c r="W120" s="215" t="n">
        <v>2.967032185134817</v>
      </c>
      <c r="X120" s="215" t="n">
        <v>321.9636363636363</v>
      </c>
      <c r="Y120" s="215" t="n">
        <v>29.67032185134817</v>
      </c>
      <c r="Z120" s="192" t="n">
        <v>45611</v>
      </c>
      <c r="AB120" s="220" t="n">
        <v>29.67032185134817</v>
      </c>
      <c r="AC120" s="221" t="n">
        <v>0</v>
      </c>
      <c r="AD120" s="237" t="n">
        <v>0</v>
      </c>
      <c r="AE120" t="b">
        <v>0</v>
      </c>
      <c r="AF120" s="228" t="n">
        <v>27.40833333333333</v>
      </c>
    </row>
    <row r="121">
      <c r="A121">
        <f>I121&amp;"-"&amp;J121</f>
        <v/>
      </c>
      <c r="B121" s="1">
        <f>M121</f>
        <v/>
      </c>
      <c r="C121">
        <f>N121</f>
        <v/>
      </c>
      <c r="D121">
        <f>K121</f>
        <v/>
      </c>
      <c r="E121">
        <f>L121</f>
        <v/>
      </c>
      <c r="F121" s="236">
        <f>S121</f>
        <v/>
      </c>
      <c r="G121">
        <f>U121*100&amp;"%"</f>
        <v/>
      </c>
      <c r="I121" s="212" t="n">
        <v>2024</v>
      </c>
      <c r="J121" s="213" t="n">
        <v>120</v>
      </c>
      <c r="K121" s="71" t="inlineStr">
        <is>
          <t>Ausgaben</t>
        </is>
      </c>
      <c r="L121" t="inlineStr">
        <is>
          <t>Telefon/Internet</t>
        </is>
      </c>
      <c r="M121" s="1" t="n">
        <v>45538</v>
      </c>
      <c r="N121" t="inlineStr">
        <is>
          <t>Hutchison Drei Austria GmbH, Brünner Straße 52, 1210 Wien, Österreich</t>
        </is>
      </c>
      <c r="Q121" t="b">
        <v>0</v>
      </c>
      <c r="R121" s="214" t="n">
        <v>13.91</v>
      </c>
      <c r="S121" s="215" t="n">
        <v>13.91</v>
      </c>
      <c r="T121" s="159" t="n">
        <v>1</v>
      </c>
      <c r="U121" s="159" t="n">
        <v>0.2</v>
      </c>
      <c r="V121" s="215" t="n">
        <v>2.318333333333333</v>
      </c>
      <c r="W121" s="215" t="n">
        <v>2.318333333333333</v>
      </c>
      <c r="X121" s="215" t="n">
        <v>11.59166666666667</v>
      </c>
      <c r="Y121" s="215" t="n">
        <v>11.59166666666667</v>
      </c>
      <c r="Z121" s="192" t="n">
        <v>45611</v>
      </c>
      <c r="AB121" s="220" t="n">
        <v>11.59166666666667</v>
      </c>
      <c r="AC121" s="221" t="n">
        <v>0</v>
      </c>
      <c r="AD121" s="237" t="n">
        <v>10.44282</v>
      </c>
      <c r="AE121" t="b">
        <v>0</v>
      </c>
      <c r="AF121" s="228" t="n">
        <v>-52.2141</v>
      </c>
    </row>
    <row r="122">
      <c r="A122">
        <f>I122&amp;"-"&amp;J122</f>
        <v/>
      </c>
      <c r="B122" s="1">
        <f>M122</f>
        <v/>
      </c>
      <c r="C122">
        <f>N122</f>
        <v/>
      </c>
      <c r="D122">
        <f>K122</f>
        <v/>
      </c>
      <c r="E122">
        <f>L122</f>
        <v/>
      </c>
      <c r="F122" s="236">
        <f>S122</f>
        <v/>
      </c>
      <c r="G122">
        <f>U122*100&amp;"%"</f>
        <v/>
      </c>
      <c r="I122" s="212" t="n">
        <v>2024</v>
      </c>
      <c r="J122" s="213" t="n">
        <v>121</v>
      </c>
      <c r="K122" s="71" t="inlineStr">
        <is>
          <t>Ausgaben</t>
        </is>
      </c>
      <c r="L122" t="inlineStr">
        <is>
          <t>sonstige Betriebsausgaben</t>
        </is>
      </c>
      <c r="M122" s="1" t="n">
        <v>45538</v>
      </c>
      <c r="N122" t="inlineStr">
        <is>
          <t>Wirtschaftskammer Niederösterreich Grundumlage</t>
        </is>
      </c>
      <c r="Q122" t="b">
        <v>0</v>
      </c>
      <c r="R122" s="214" t="n">
        <v>13.91</v>
      </c>
      <c r="S122" s="215" t="n">
        <v>13.91</v>
      </c>
      <c r="T122" s="159" t="n">
        <v>1</v>
      </c>
      <c r="U122" s="159" t="n">
        <v>0</v>
      </c>
      <c r="V122" s="215" t="n">
        <v>0</v>
      </c>
      <c r="W122" s="215" t="n">
        <v>0</v>
      </c>
      <c r="X122" s="215" t="n">
        <v>13.91</v>
      </c>
      <c r="Y122" s="215" t="n">
        <v>13.91</v>
      </c>
      <c r="Z122" s="192" t="n">
        <v>45611</v>
      </c>
      <c r="AB122" s="220" t="n">
        <v>13.91</v>
      </c>
      <c r="AC122" s="221" t="n">
        <v>0</v>
      </c>
      <c r="AD122" s="237" t="n">
        <v>0</v>
      </c>
      <c r="AE122" t="b">
        <v>0</v>
      </c>
      <c r="AF122" s="228" t="n">
        <v>15118.65</v>
      </c>
    </row>
    <row r="123">
      <c r="A123">
        <f>I123&amp;"-"&amp;J123</f>
        <v/>
      </c>
      <c r="B123" s="1">
        <f>M123</f>
        <v/>
      </c>
      <c r="C123">
        <f>N123</f>
        <v/>
      </c>
      <c r="D123">
        <f>K123</f>
        <v/>
      </c>
      <c r="E123">
        <f>L123</f>
        <v/>
      </c>
      <c r="F123" s="236">
        <f>S123</f>
        <v/>
      </c>
      <c r="G123">
        <f>U123*100&amp;"%"</f>
        <v/>
      </c>
      <c r="I123" s="212" t="n">
        <v>2024</v>
      </c>
      <c r="J123" s="213" t="n">
        <v>122</v>
      </c>
      <c r="K123" s="71" t="inlineStr">
        <is>
          <t>Ausgaben</t>
        </is>
      </c>
      <c r="L123" t="inlineStr">
        <is>
          <t>sonstige Betriebsausgaben</t>
        </is>
      </c>
      <c r="M123" s="1" t="n">
        <v>45538</v>
      </c>
      <c r="N123" t="inlineStr">
        <is>
          <t>Google Ireland Ltd, Gordon House, Barrow Street, Dublin 4, Ireland; VAT number: IE 6388047V</t>
        </is>
      </c>
      <c r="Q123" t="b">
        <v>0</v>
      </c>
      <c r="R123" s="214" t="n">
        <v>13.8</v>
      </c>
      <c r="S123" s="215" t="n">
        <v>13.8</v>
      </c>
      <c r="T123" s="159" t="n">
        <v>1</v>
      </c>
      <c r="U123" s="159" t="n">
        <v>0</v>
      </c>
      <c r="V123" s="215" t="n">
        <v>0</v>
      </c>
      <c r="W123" s="215" t="n">
        <v>0</v>
      </c>
      <c r="X123" s="215" t="n">
        <v>13.8</v>
      </c>
      <c r="Y123" s="215" t="n">
        <v>13.8</v>
      </c>
      <c r="Z123" s="192" t="n">
        <v>45611</v>
      </c>
      <c r="AA123" t="n">
        <v>20</v>
      </c>
      <c r="AB123" s="220" t="n">
        <v>13.8</v>
      </c>
      <c r="AC123" s="221" t="n">
        <v>2.76</v>
      </c>
      <c r="AD123" s="237" t="n">
        <v>0</v>
      </c>
      <c r="AE123" t="b">
        <v>0</v>
      </c>
      <c r="AF123" s="228" t="n">
        <v>-365</v>
      </c>
    </row>
    <row r="124">
      <c r="A124">
        <f>I124&amp;"-"&amp;J124</f>
        <v/>
      </c>
      <c r="B124" s="1">
        <f>M124</f>
        <v/>
      </c>
      <c r="C124">
        <f>N124</f>
        <v/>
      </c>
      <c r="D124">
        <f>K124</f>
        <v/>
      </c>
      <c r="E124">
        <f>L124</f>
        <v/>
      </c>
      <c r="F124" s="236">
        <f>S124</f>
        <v/>
      </c>
      <c r="G124">
        <f>U124*100&amp;"%"</f>
        <v/>
      </c>
      <c r="I124" s="212" t="n">
        <v>2024</v>
      </c>
      <c r="J124" s="213" t="n">
        <v>123</v>
      </c>
      <c r="K124" s="71" t="inlineStr">
        <is>
          <t>Einnahmen</t>
        </is>
      </c>
      <c r="L124" t="inlineStr">
        <is>
          <t>Waren-/Leistungserlöse</t>
        </is>
      </c>
      <c r="M124" s="1" t="n">
        <v>45540</v>
      </c>
      <c r="N124" t="inlineStr">
        <is>
          <t>Hays Österreich GmbH, Bahnhof City Wien West - Europaplatz 3/5, 1150 Wien</t>
        </is>
      </c>
      <c r="R124" s="214" t="n">
        <v>10377.6</v>
      </c>
      <c r="S124" s="215" t="n">
        <v>10377.6</v>
      </c>
      <c r="T124" s="159" t="n">
        <v>1</v>
      </c>
      <c r="U124" s="159" t="n">
        <v>0.2</v>
      </c>
      <c r="V124" s="215" t="n">
        <v>1729.6</v>
      </c>
      <c r="W124" s="215" t="n">
        <v>1729.6</v>
      </c>
      <c r="X124" s="215" t="n">
        <v>8648</v>
      </c>
      <c r="Y124" s="215" t="n">
        <v>8648</v>
      </c>
      <c r="Z124" s="192" t="n">
        <v>45611</v>
      </c>
      <c r="AB124" s="220" t="n">
        <v>8648</v>
      </c>
      <c r="AC124" s="221" t="n">
        <v>0</v>
      </c>
      <c r="AD124" s="237" t="n">
        <v>2.1</v>
      </c>
      <c r="AE124" t="b">
        <v>0</v>
      </c>
      <c r="AF124" s="228" t="n">
        <v>-10.5</v>
      </c>
    </row>
    <row r="125">
      <c r="A125">
        <f>I125&amp;"-"&amp;J125</f>
        <v/>
      </c>
      <c r="B125" s="1">
        <f>M125</f>
        <v/>
      </c>
      <c r="C125">
        <f>N125</f>
        <v/>
      </c>
      <c r="D125">
        <f>K125</f>
        <v/>
      </c>
      <c r="E125">
        <f>L125</f>
        <v/>
      </c>
      <c r="F125" s="236">
        <f>S125</f>
        <v/>
      </c>
      <c r="G125">
        <f>U125*100&amp;"%"</f>
        <v/>
      </c>
      <c r="I125" s="212" t="n">
        <v>2024</v>
      </c>
      <c r="J125" s="213" t="n">
        <v>124</v>
      </c>
      <c r="K125" t="inlineStr">
        <is>
          <t>Ausgaben</t>
        </is>
      </c>
      <c r="L125" t="inlineStr">
        <is>
          <t>Reise- und Fahrtspesen inkl. Kilometergeld und Diäten</t>
        </is>
      </c>
      <c r="M125" s="1" t="n">
        <v>45540</v>
      </c>
      <c r="N125" t="inlineStr">
        <is>
          <t>Wiener Linien GmbH &amp; Co KG</t>
        </is>
      </c>
      <c r="Q125" t="b">
        <v>0</v>
      </c>
      <c r="R125" s="214" t="n">
        <v>-273.75</v>
      </c>
      <c r="S125" s="215" t="n">
        <v>-273.75</v>
      </c>
      <c r="T125" s="159" t="n">
        <v>1</v>
      </c>
      <c r="U125" s="159" t="n">
        <v>0.1</v>
      </c>
      <c r="V125" s="215" t="n">
        <v>-24.88636363636364</v>
      </c>
      <c r="W125" s="215" t="n">
        <v>-24.88636363636364</v>
      </c>
      <c r="X125" s="215" t="n">
        <v>-248.8636363636363</v>
      </c>
      <c r="Y125" s="215" t="n">
        <v>-248.8636363636363</v>
      </c>
      <c r="Z125" s="192" t="n">
        <v>45611</v>
      </c>
      <c r="AB125" s="220" t="n">
        <v>-248.8636363636363</v>
      </c>
      <c r="AC125" s="221" t="n">
        <v>0</v>
      </c>
      <c r="AD125" s="237" t="n">
        <v>0</v>
      </c>
      <c r="AE125" t="b">
        <v>0</v>
      </c>
      <c r="AF125" s="228" t="n">
        <v>-31.92</v>
      </c>
    </row>
    <row r="126">
      <c r="A126">
        <f>I126&amp;"-"&amp;J126</f>
        <v/>
      </c>
      <c r="B126" s="1">
        <f>M126</f>
        <v/>
      </c>
      <c r="C126">
        <f>N126</f>
        <v/>
      </c>
      <c r="D126">
        <f>K126</f>
        <v/>
      </c>
      <c r="E126">
        <f>L126</f>
        <v/>
      </c>
      <c r="F126" s="236">
        <f>S126</f>
        <v/>
      </c>
      <c r="G126">
        <f>U126*100&amp;"%"</f>
        <v/>
      </c>
      <c r="I126" s="212" t="n">
        <v>2024</v>
      </c>
      <c r="J126" s="213" t="n">
        <v>125</v>
      </c>
      <c r="K126" s="71" t="inlineStr">
        <is>
          <t>Ausgaben</t>
        </is>
      </c>
      <c r="L126" t="inlineStr">
        <is>
          <t>sonstige Betriebsausgaben</t>
        </is>
      </c>
      <c r="M126" s="1" t="n">
        <v>45544</v>
      </c>
      <c r="N126" t="inlineStr">
        <is>
          <t>Wien Energie Vertrieb GmbH &amp; Co KG, 1030 Wien, Pf 520</t>
        </is>
      </c>
      <c r="Q126" t="b">
        <v>0</v>
      </c>
      <c r="R126" s="214" t="n">
        <v>341.35</v>
      </c>
      <c r="S126" s="215" t="n">
        <v>31.45685791832355</v>
      </c>
      <c r="T126" s="159" t="n">
        <v>0.09215426371268068</v>
      </c>
      <c r="U126" s="159" t="n">
        <v>0.2</v>
      </c>
      <c r="V126" s="215" t="n">
        <v>56.89166666666668</v>
      </c>
      <c r="W126" s="215" t="n">
        <v>5.242809653053926</v>
      </c>
      <c r="X126" s="215" t="n">
        <v>284.4583333333334</v>
      </c>
      <c r="Y126" s="215" t="n">
        <v>26.21404826526963</v>
      </c>
      <c r="Z126" s="192" t="n">
        <v>45611</v>
      </c>
      <c r="AB126" s="220" t="n">
        <v>26.21404826526963</v>
      </c>
      <c r="AC126" s="221" t="n">
        <v>0</v>
      </c>
      <c r="AD126" s="237" t="n">
        <v>0</v>
      </c>
      <c r="AE126" t="b">
        <v>0</v>
      </c>
      <c r="AF126" s="228" t="n">
        <v>-1848.55</v>
      </c>
    </row>
    <row r="127">
      <c r="A127">
        <f>I127&amp;"-"&amp;J127</f>
        <v/>
      </c>
      <c r="B127" s="1">
        <f>M127</f>
        <v/>
      </c>
      <c r="C127">
        <f>N127</f>
        <v/>
      </c>
      <c r="D127">
        <f>K127</f>
        <v/>
      </c>
      <c r="E127">
        <f>L127</f>
        <v/>
      </c>
      <c r="F127" s="236">
        <f>S127</f>
        <v/>
      </c>
      <c r="G127">
        <f>U127*100&amp;"%"</f>
        <v/>
      </c>
      <c r="I127" s="212" t="n">
        <v>2024</v>
      </c>
      <c r="J127" s="213" t="n">
        <v>126</v>
      </c>
      <c r="K127" s="71" t="inlineStr">
        <is>
          <t>Ausgaben</t>
        </is>
      </c>
      <c r="L127" t="inlineStr">
        <is>
          <t>Lizenzgebühren</t>
        </is>
      </c>
      <c r="M127" s="1" t="n">
        <v>45544</v>
      </c>
      <c r="N127" t="inlineStr">
        <is>
          <t>usoft GbmbH, A-1060 Wien, Liniengasse 2a/5, UID ATU71481256</t>
        </is>
      </c>
      <c r="P127" s="2" t="inlineStr">
        <is>
          <t>ja</t>
        </is>
      </c>
      <c r="Q127" t="b">
        <v>0</v>
      </c>
      <c r="R127" s="214" t="n">
        <v>45</v>
      </c>
      <c r="S127" s="215" t="n">
        <v>45</v>
      </c>
      <c r="T127" s="159" t="n">
        <v>1</v>
      </c>
      <c r="U127" s="159" t="n">
        <v>0.2</v>
      </c>
      <c r="V127" s="215" t="n">
        <v>7.5</v>
      </c>
      <c r="W127" s="215" t="n">
        <v>7.5</v>
      </c>
      <c r="X127" s="215" t="n">
        <v>37.5</v>
      </c>
      <c r="Y127" s="215" t="n">
        <v>37.5</v>
      </c>
      <c r="Z127" s="192" t="n">
        <v>45611</v>
      </c>
      <c r="AB127" s="220" t="n">
        <v>37.5</v>
      </c>
      <c r="AC127" s="221" t="n">
        <v>0</v>
      </c>
      <c r="AD127" s="237" t="n">
        <v>0</v>
      </c>
      <c r="AE127" t="b">
        <v>0</v>
      </c>
      <c r="AF127" s="228" t="n">
        <v>-533.1083333333333</v>
      </c>
    </row>
    <row r="128">
      <c r="A128">
        <f>I128&amp;"-"&amp;J128</f>
        <v/>
      </c>
      <c r="B128" s="1">
        <f>M128</f>
        <v/>
      </c>
      <c r="C128">
        <f>N128</f>
        <v/>
      </c>
      <c r="D128">
        <f>K128</f>
        <v/>
      </c>
      <c r="E128">
        <f>L128</f>
        <v/>
      </c>
      <c r="F128" s="236">
        <f>S128</f>
        <v/>
      </c>
      <c r="G128">
        <f>U128*100&amp;"%"</f>
        <v/>
      </c>
      <c r="I128" s="212" t="n">
        <v>2024</v>
      </c>
      <c r="J128" s="213" t="n">
        <v>127</v>
      </c>
      <c r="K128" s="71" t="inlineStr">
        <is>
          <t>Ausgaben</t>
        </is>
      </c>
      <c r="L128" t="inlineStr">
        <is>
          <t>sonstige Betriebsausgaben</t>
        </is>
      </c>
      <c r="M128" s="1" t="n">
        <v>45547</v>
      </c>
      <c r="N128" t="inlineStr">
        <is>
          <t>Hetzner Online GmbH, Industriestraße 25, 91710 Gunzenhausen</t>
        </is>
      </c>
      <c r="Q128" t="b">
        <v>0</v>
      </c>
      <c r="R128" s="214" t="n">
        <v>56</v>
      </c>
      <c r="S128" s="215" t="n">
        <v>56</v>
      </c>
      <c r="T128" s="159" t="n">
        <v>1</v>
      </c>
      <c r="U128" s="159" t="n">
        <v>0</v>
      </c>
      <c r="V128" s="215" t="n">
        <v>0</v>
      </c>
      <c r="W128" s="215" t="n">
        <v>0</v>
      </c>
      <c r="X128" s="215" t="n">
        <v>56</v>
      </c>
      <c r="Y128" s="215" t="n">
        <v>56</v>
      </c>
      <c r="Z128" s="192" t="n">
        <v>45611</v>
      </c>
      <c r="AA128" t="n">
        <v>20</v>
      </c>
      <c r="AB128" s="220" t="n">
        <v>56</v>
      </c>
      <c r="AC128" s="221" t="n">
        <v>11.2</v>
      </c>
      <c r="AD128" s="237" t="n">
        <v>2.08</v>
      </c>
      <c r="AE128" t="b">
        <v>0</v>
      </c>
      <c r="AF128" s="228" t="n">
        <v>-10.4</v>
      </c>
    </row>
    <row r="129">
      <c r="A129">
        <f>I129&amp;"-"&amp;J129</f>
        <v/>
      </c>
      <c r="B129" s="1">
        <f>M129</f>
        <v/>
      </c>
      <c r="C129">
        <f>N129</f>
        <v/>
      </c>
      <c r="D129">
        <f>K129</f>
        <v/>
      </c>
      <c r="E129">
        <f>L129</f>
        <v/>
      </c>
      <c r="F129" s="236">
        <f>S129</f>
        <v/>
      </c>
      <c r="G129">
        <f>U129*100&amp;"%"</f>
        <v/>
      </c>
      <c r="I129" s="212" t="n">
        <v>2024</v>
      </c>
      <c r="J129" s="213" t="n">
        <v>128</v>
      </c>
      <c r="K129" s="71" t="inlineStr">
        <is>
          <t>Ausgaben</t>
        </is>
      </c>
      <c r="L129" t="inlineStr">
        <is>
          <t>Telefon/Internet</t>
        </is>
      </c>
      <c r="M129" s="1" t="n">
        <v>45548</v>
      </c>
      <c r="N129" t="inlineStr">
        <is>
          <t>kabelplus GmbH, Südstadtzentrum 4, 2344 Maria Enzersdorf</t>
        </is>
      </c>
      <c r="Q129" t="b">
        <v>0</v>
      </c>
      <c r="R129" s="214" t="n">
        <v>55.7</v>
      </c>
      <c r="S129" s="215" t="n">
        <v>37.319</v>
      </c>
      <c r="T129" s="159" t="n">
        <v>0.67</v>
      </c>
      <c r="U129" s="159" t="n">
        <v>0.1721380471380471</v>
      </c>
      <c r="V129" s="215" t="n">
        <v>8.18</v>
      </c>
      <c r="W129" s="215" t="n">
        <v>5.4806</v>
      </c>
      <c r="X129" s="215" t="n">
        <v>47.52</v>
      </c>
      <c r="Y129" s="215" t="n">
        <v>31.8384</v>
      </c>
      <c r="Z129" s="192" t="n">
        <v>45611</v>
      </c>
      <c r="AB129" s="220" t="n">
        <v>31.8384</v>
      </c>
      <c r="AC129" s="221" t="n">
        <v>0</v>
      </c>
      <c r="AD129" s="237" t="n">
        <v>0</v>
      </c>
      <c r="AE129" t="b">
        <v>0</v>
      </c>
      <c r="AF129" s="228" t="n">
        <v>-5</v>
      </c>
    </row>
    <row r="130">
      <c r="A130">
        <f>I130&amp;"-"&amp;J130</f>
        <v/>
      </c>
      <c r="B130" s="1">
        <f>M130</f>
        <v/>
      </c>
      <c r="C130">
        <f>N130</f>
        <v/>
      </c>
      <c r="D130">
        <f>K130</f>
        <v/>
      </c>
      <c r="E130">
        <f>L130</f>
        <v/>
      </c>
      <c r="F130" s="236">
        <f>S130</f>
        <v/>
      </c>
      <c r="G130">
        <f>U130*100&amp;"%"</f>
        <v/>
      </c>
      <c r="I130" s="212" t="n">
        <v>2024</v>
      </c>
      <c r="J130" s="213" t="n">
        <v>129</v>
      </c>
      <c r="K130" s="71" t="inlineStr">
        <is>
          <t>Ausgaben</t>
        </is>
      </c>
      <c r="L130" t="inlineStr">
        <is>
          <t>Telefon/Internet</t>
        </is>
      </c>
      <c r="M130" s="1" t="n">
        <v>45551</v>
      </c>
      <c r="N130" t="inlineStr">
        <is>
          <t>Hoval GesmbH, A-4614 Marchtrenk, Hovalstraße 11</t>
        </is>
      </c>
      <c r="Q130" t="b">
        <v>0</v>
      </c>
      <c r="R130" s="214" t="n">
        <v>177.6</v>
      </c>
      <c r="S130" s="215" t="n">
        <v>16.36659723537209</v>
      </c>
      <c r="T130" s="159" t="n">
        <v>0.09215426371268068</v>
      </c>
      <c r="U130" s="159" t="n">
        <v>0.2</v>
      </c>
      <c r="V130" s="215" t="n">
        <v>29.6</v>
      </c>
      <c r="W130" s="215" t="n">
        <v>2.727766205895348</v>
      </c>
      <c r="X130" s="215" t="n">
        <v>148</v>
      </c>
      <c r="Y130" s="215" t="n">
        <v>13.63883102947674</v>
      </c>
      <c r="Z130" s="192" t="n">
        <v>45611</v>
      </c>
      <c r="AB130" s="220" t="n">
        <v>13.63883102947674</v>
      </c>
      <c r="AC130" s="221" t="n">
        <v>0</v>
      </c>
      <c r="AD130" s="237" t="n">
        <v>0</v>
      </c>
      <c r="AE130" t="b">
        <v>0</v>
      </c>
      <c r="AF130" s="228" t="n">
        <v>-10.75</v>
      </c>
    </row>
    <row r="131">
      <c r="A131">
        <f>I131&amp;"-"&amp;J131</f>
        <v/>
      </c>
      <c r="B131" s="1">
        <f>M131</f>
        <v/>
      </c>
      <c r="C131">
        <f>N131</f>
        <v/>
      </c>
      <c r="D131">
        <f>K131</f>
        <v/>
      </c>
      <c r="E131">
        <f>L131</f>
        <v/>
      </c>
      <c r="F131" s="236">
        <f>S131</f>
        <v/>
      </c>
      <c r="G131">
        <f>U131*100&amp;"%"</f>
        <v/>
      </c>
      <c r="I131" s="212" t="n">
        <v>2024</v>
      </c>
      <c r="J131" s="213" t="n">
        <v>130</v>
      </c>
      <c r="K131" s="71" t="inlineStr">
        <is>
          <t>Einnahmen</t>
        </is>
      </c>
      <c r="L131" t="inlineStr">
        <is>
          <t>Waren-/Leistungserlöse</t>
        </is>
      </c>
      <c r="M131" s="1" t="n">
        <v>45551</v>
      </c>
      <c r="N131" t="inlineStr">
        <is>
          <t>ACHTUNG: Jahresabrechnung  Betriebsausgabe, wegen Vorsteuer als Einnahme deklariert; Techem Messtechnik GmbH</t>
        </is>
      </c>
      <c r="R131" s="214" t="n">
        <v>1148.14</v>
      </c>
      <c r="S131" s="215" t="n">
        <v>1148.14</v>
      </c>
      <c r="T131" s="159" t="n">
        <v>1</v>
      </c>
      <c r="U131" s="159" t="n">
        <v>0.2</v>
      </c>
      <c r="V131" s="215" t="n">
        <v>191.3566666666667</v>
      </c>
      <c r="W131" s="215" t="n">
        <v>191.3566666666667</v>
      </c>
      <c r="X131" s="215" t="n">
        <v>956.7833333333334</v>
      </c>
      <c r="Y131" s="215" t="n">
        <v>956.7833333333334</v>
      </c>
      <c r="Z131" s="192" t="n">
        <v>45611</v>
      </c>
      <c r="AB131" s="220" t="n">
        <v>956.7833333333334</v>
      </c>
      <c r="AC131" s="221" t="n">
        <v>0</v>
      </c>
      <c r="AD131" s="237" t="n">
        <v>0</v>
      </c>
      <c r="AE131" t="b">
        <v>0</v>
      </c>
      <c r="AF131" s="228" t="n">
        <v>-108.5</v>
      </c>
    </row>
    <row r="132">
      <c r="A132">
        <f>I132&amp;"-"&amp;J132</f>
        <v/>
      </c>
      <c r="B132" s="1">
        <f>M132</f>
        <v/>
      </c>
      <c r="C132">
        <f>N132</f>
        <v/>
      </c>
      <c r="D132">
        <f>K132</f>
        <v/>
      </c>
      <c r="E132">
        <f>L132</f>
        <v/>
      </c>
      <c r="F132" s="236">
        <f>S132</f>
        <v/>
      </c>
      <c r="G132">
        <f>U132*100&amp;"%"</f>
        <v/>
      </c>
      <c r="I132" s="212" t="n">
        <v>2024</v>
      </c>
      <c r="J132" s="213" t="n">
        <v>131</v>
      </c>
      <c r="K132" s="71" t="inlineStr">
        <is>
          <t>Ausgaben</t>
        </is>
      </c>
      <c r="L132" t="inlineStr">
        <is>
          <t>sonstige Betriebsausgaben</t>
        </is>
      </c>
      <c r="M132" s="1" t="n">
        <v>45551</v>
      </c>
      <c r="N132" t="inlineStr">
        <is>
          <t>Hetzner Online GmbH, Industriestraße 25, 91710 Gunzenhausen</t>
        </is>
      </c>
      <c r="Q132" t="b">
        <v>0</v>
      </c>
      <c r="R132" s="214" t="n">
        <v>19.6936</v>
      </c>
      <c r="S132" s="215" t="n">
        <v>19.6936</v>
      </c>
      <c r="T132" s="159" t="n">
        <v>1</v>
      </c>
      <c r="U132" s="159" t="n">
        <v>0</v>
      </c>
      <c r="V132" s="215" t="n">
        <v>0</v>
      </c>
      <c r="W132" s="215" t="n">
        <v>0</v>
      </c>
      <c r="X132" s="215" t="n">
        <v>19.6936</v>
      </c>
      <c r="Y132" s="215" t="n">
        <v>19.6936</v>
      </c>
      <c r="Z132" s="192" t="n">
        <v>45611</v>
      </c>
      <c r="AA132" t="n">
        <v>20</v>
      </c>
      <c r="AB132" s="220" t="n">
        <v>19.6936</v>
      </c>
      <c r="AC132" s="221" t="n">
        <v>3.93872</v>
      </c>
      <c r="AD132" s="237" t="n">
        <v>0</v>
      </c>
      <c r="AE132" t="b">
        <v>0</v>
      </c>
      <c r="AF132" s="228" t="n">
        <v>-12</v>
      </c>
    </row>
    <row r="133">
      <c r="A133">
        <f>I133&amp;"-"&amp;J133</f>
        <v/>
      </c>
      <c r="B133" s="1">
        <f>M133</f>
        <v/>
      </c>
      <c r="C133">
        <f>N133</f>
        <v/>
      </c>
      <c r="D133">
        <f>K133</f>
        <v/>
      </c>
      <c r="E133">
        <f>L133</f>
        <v/>
      </c>
      <c r="F133" s="236">
        <f>S133</f>
        <v/>
      </c>
      <c r="G133">
        <f>U133*100&amp;"%"</f>
        <v/>
      </c>
      <c r="I133" s="212" t="n">
        <v>2024</v>
      </c>
      <c r="J133" s="213" t="n">
        <v>132</v>
      </c>
      <c r="K133" s="71" t="inlineStr">
        <is>
          <t>Ausgaben</t>
        </is>
      </c>
      <c r="L133" t="inlineStr">
        <is>
          <t>sonstige Betriebsausgaben</t>
        </is>
      </c>
      <c r="M133" s="1" t="n">
        <v>45555</v>
      </c>
      <c r="N133" t="inlineStr">
        <is>
          <t>Microsoft Ireland Operations Ltd. One Microsoft Place, South County, Business Park, Leopardstown, Dublin 18, D18 P521, Ireland</t>
        </is>
      </c>
      <c r="Q133" t="b">
        <v>0</v>
      </c>
      <c r="R133" s="214" t="n">
        <v>11.7</v>
      </c>
      <c r="S133" s="215" t="n">
        <v>11.7</v>
      </c>
      <c r="T133" s="159" t="n">
        <v>1</v>
      </c>
      <c r="U133" s="159" t="n">
        <v>0</v>
      </c>
      <c r="V133" s="215" t="n">
        <v>0</v>
      </c>
      <c r="W133" s="215" t="n">
        <v>0</v>
      </c>
      <c r="X133" s="215" t="n">
        <v>11.7</v>
      </c>
      <c r="Y133" s="215" t="n">
        <v>11.7</v>
      </c>
      <c r="Z133" s="192" t="n">
        <v>45611</v>
      </c>
      <c r="AA133" t="n">
        <v>20</v>
      </c>
      <c r="AB133" s="220" t="n">
        <v>11.7</v>
      </c>
      <c r="AC133" s="221" t="n">
        <v>2.34</v>
      </c>
      <c r="AD133" s="237" t="n">
        <v>10.44282</v>
      </c>
      <c r="AE133" t="b">
        <v>0</v>
      </c>
      <c r="AF133" s="228" t="n">
        <v>-52.2141</v>
      </c>
    </row>
    <row r="134">
      <c r="A134">
        <f>I134&amp;"-"&amp;J134</f>
        <v/>
      </c>
      <c r="B134" s="1">
        <f>M134</f>
        <v/>
      </c>
      <c r="C134">
        <f>N134</f>
        <v/>
      </c>
      <c r="D134">
        <f>K134</f>
        <v/>
      </c>
      <c r="E134">
        <f>L134</f>
        <v/>
      </c>
      <c r="F134" s="236">
        <f>S134</f>
        <v/>
      </c>
      <c r="G134">
        <f>U134*100&amp;"%"</f>
        <v/>
      </c>
      <c r="I134" s="212" t="n">
        <v>2024</v>
      </c>
      <c r="J134" s="213" t="n">
        <v>133</v>
      </c>
      <c r="K134" s="71" t="inlineStr">
        <is>
          <t>Ausgaben</t>
        </is>
      </c>
      <c r="L134" t="inlineStr">
        <is>
          <t>sonstige Betriebsausgaben</t>
        </is>
      </c>
      <c r="M134" s="1" t="n">
        <v>45560</v>
      </c>
      <c r="N134" t="inlineStr">
        <is>
          <t>OpenAI, LLC, 548 Market Street, PMB 97273, San Francisco, California 94104-5401, United States</t>
        </is>
      </c>
      <c r="Q134" t="b">
        <v>0</v>
      </c>
      <c r="R134" s="214" t="n">
        <v>21.87</v>
      </c>
      <c r="S134" s="215" t="n">
        <v>21.87</v>
      </c>
      <c r="T134" s="159" t="n">
        <v>1</v>
      </c>
      <c r="U134" s="159" t="n">
        <v>0.2</v>
      </c>
      <c r="V134" s="215" t="n">
        <v>3.591666666666667</v>
      </c>
      <c r="W134" s="215" t="n">
        <v>3.591666666666667</v>
      </c>
      <c r="X134" s="215" t="n">
        <v>17.95833333333334</v>
      </c>
      <c r="Y134" s="215" t="n">
        <v>17.95833333333334</v>
      </c>
      <c r="Z134" s="192" t="n">
        <v>45611</v>
      </c>
      <c r="AB134" s="220" t="n">
        <v>17.95833333333334</v>
      </c>
      <c r="AC134" s="221" t="n">
        <v>0</v>
      </c>
      <c r="AD134" s="237" t="n">
        <v>0</v>
      </c>
      <c r="AE134" t="b">
        <v>0</v>
      </c>
      <c r="AF134" s="228" t="n">
        <v>6593.25</v>
      </c>
    </row>
    <row r="135">
      <c r="A135">
        <f>I135&amp;"-"&amp;J135</f>
        <v/>
      </c>
      <c r="B135" s="1">
        <f>M135</f>
        <v/>
      </c>
      <c r="C135">
        <f>N135</f>
        <v/>
      </c>
      <c r="D135">
        <f>K135</f>
        <v/>
      </c>
      <c r="E135">
        <f>L135</f>
        <v/>
      </c>
      <c r="F135" s="236">
        <f>S135</f>
        <v/>
      </c>
      <c r="G135">
        <f>U135*100&amp;"%"</f>
        <v/>
      </c>
      <c r="I135" s="212" t="n">
        <v>2024</v>
      </c>
      <c r="J135" s="213" t="n">
        <v>134</v>
      </c>
      <c r="K135" s="71" t="inlineStr">
        <is>
          <t>Ausgaben</t>
        </is>
      </c>
      <c r="L135" t="inlineStr">
        <is>
          <t>Telefon/Internet</t>
        </is>
      </c>
      <c r="M135" s="1" t="n">
        <v>45567</v>
      </c>
      <c r="N135" t="inlineStr">
        <is>
          <t>Hutchison Drei Austria GmbH, Brünner Straße 52, 1210 Wien, Österreich</t>
        </is>
      </c>
      <c r="Q135" t="b">
        <v>0</v>
      </c>
      <c r="R135" s="214" t="n">
        <v>13.91</v>
      </c>
      <c r="S135" s="215" t="n">
        <v>13.91</v>
      </c>
      <c r="T135" s="159" t="n">
        <v>1</v>
      </c>
      <c r="U135" s="159" t="n">
        <v>0.2</v>
      </c>
      <c r="V135" s="215" t="n">
        <v>2.318333333333333</v>
      </c>
      <c r="W135" s="215" t="n">
        <v>2.318333333333333</v>
      </c>
      <c r="X135" s="215" t="n">
        <v>11.59166666666667</v>
      </c>
      <c r="Y135" s="215" t="n">
        <v>11.59166666666667</v>
      </c>
      <c r="Z135" s="192" t="n">
        <v>45703</v>
      </c>
      <c r="AB135" s="220" t="n">
        <v>11.59166666666667</v>
      </c>
      <c r="AC135" s="221" t="n">
        <v>0</v>
      </c>
      <c r="AD135" s="237" t="n">
        <v>0</v>
      </c>
      <c r="AE135" t="b">
        <v>0</v>
      </c>
      <c r="AF135" s="228" t="n">
        <v>-365</v>
      </c>
    </row>
    <row r="136">
      <c r="A136">
        <f>I136&amp;"-"&amp;J136</f>
        <v/>
      </c>
      <c r="B136" s="1">
        <f>M136</f>
        <v/>
      </c>
      <c r="C136">
        <f>N136</f>
        <v/>
      </c>
      <c r="D136">
        <f>K136</f>
        <v/>
      </c>
      <c r="E136">
        <f>L136</f>
        <v/>
      </c>
      <c r="F136" s="236">
        <f>S136</f>
        <v/>
      </c>
      <c r="G136">
        <f>U136*100&amp;"%"</f>
        <v/>
      </c>
      <c r="I136" s="212" t="n">
        <v>2024</v>
      </c>
      <c r="J136" s="213" t="n">
        <v>135</v>
      </c>
      <c r="K136" s="71" t="inlineStr">
        <is>
          <t>Ausgaben</t>
        </is>
      </c>
      <c r="L136" t="inlineStr">
        <is>
          <t>Lizenzgebühren</t>
        </is>
      </c>
      <c r="M136" s="1" t="n">
        <v>45567</v>
      </c>
      <c r="N136" t="inlineStr">
        <is>
          <t>Trimble Europe B.V., Industrieweg 187A, 5683 CC Best, Netherlands, VAT ID: NL.00.32.57.447.B01</t>
        </is>
      </c>
      <c r="Q136" t="b">
        <v>0</v>
      </c>
      <c r="R136" s="214" t="n">
        <v>337</v>
      </c>
      <c r="S136" s="215" t="n">
        <v>337</v>
      </c>
      <c r="T136" s="159" t="n">
        <v>1</v>
      </c>
      <c r="U136" s="159" t="n">
        <v>0</v>
      </c>
      <c r="V136" s="215" t="n">
        <v>0</v>
      </c>
      <c r="W136" s="215" t="n">
        <v>0</v>
      </c>
      <c r="X136" s="215" t="n">
        <v>337</v>
      </c>
      <c r="Y136" s="215" t="n">
        <v>337</v>
      </c>
      <c r="Z136" s="192" t="n">
        <v>45703</v>
      </c>
      <c r="AA136" t="n">
        <v>20</v>
      </c>
      <c r="AB136" s="220" t="n">
        <v>337</v>
      </c>
      <c r="AC136" s="221" t="n">
        <v>67.40000000000001</v>
      </c>
      <c r="AD136" s="237" t="n">
        <v>0</v>
      </c>
      <c r="AE136" t="b">
        <v>0</v>
      </c>
      <c r="AF136" s="228" t="n">
        <v>-31.92</v>
      </c>
    </row>
    <row r="137">
      <c r="A137">
        <f>I137&amp;"-"&amp;J137</f>
        <v/>
      </c>
      <c r="B137" s="1">
        <f>M137</f>
        <v/>
      </c>
      <c r="C137">
        <f>N137</f>
        <v/>
      </c>
      <c r="D137">
        <f>K137</f>
        <v/>
      </c>
      <c r="E137">
        <f>L137</f>
        <v/>
      </c>
      <c r="F137" s="236">
        <f>S137</f>
        <v/>
      </c>
      <c r="G137">
        <f>U137*100&amp;"%"</f>
        <v/>
      </c>
      <c r="I137" s="212" t="n">
        <v>2024</v>
      </c>
      <c r="J137" s="213" t="n">
        <v>136</v>
      </c>
      <c r="K137" s="71" t="inlineStr">
        <is>
          <t>Ausgaben</t>
        </is>
      </c>
      <c r="L137" t="inlineStr">
        <is>
          <t>sonstige Betriebsausgaben</t>
        </is>
      </c>
      <c r="M137" s="1" t="n">
        <v>45568</v>
      </c>
      <c r="N137" t="inlineStr">
        <is>
          <t>Google Ireland Ltd, Gordon House, Barrow Street, Dublin 4, Ireland; VAT number: IE 6388047V</t>
        </is>
      </c>
      <c r="Q137" t="b">
        <v>0</v>
      </c>
      <c r="R137" s="214" t="n">
        <v>13.8</v>
      </c>
      <c r="S137" s="215" t="n">
        <v>13.8</v>
      </c>
      <c r="T137" s="159" t="n">
        <v>1</v>
      </c>
      <c r="U137" s="159" t="n">
        <v>0</v>
      </c>
      <c r="V137" s="215" t="n">
        <v>0</v>
      </c>
      <c r="W137" s="215" t="n">
        <v>0</v>
      </c>
      <c r="X137" s="215" t="n">
        <v>13.8</v>
      </c>
      <c r="Y137" s="215" t="n">
        <v>13.8</v>
      </c>
      <c r="Z137" s="192" t="n">
        <v>45703</v>
      </c>
      <c r="AA137" t="n">
        <v>20</v>
      </c>
      <c r="AB137" s="220" t="n">
        <v>13.8</v>
      </c>
      <c r="AC137" s="221" t="n">
        <v>2.76</v>
      </c>
      <c r="AD137" s="237" t="n">
        <v>2.1</v>
      </c>
      <c r="AE137" t="b">
        <v>0</v>
      </c>
      <c r="AF137" s="228" t="n">
        <v>-10.5</v>
      </c>
    </row>
    <row r="138">
      <c r="A138">
        <f>I138&amp;"-"&amp;J138</f>
        <v/>
      </c>
      <c r="B138" s="1">
        <f>M138</f>
        <v/>
      </c>
      <c r="C138">
        <f>N138</f>
        <v/>
      </c>
      <c r="D138">
        <f>K138</f>
        <v/>
      </c>
      <c r="E138">
        <f>L138</f>
        <v/>
      </c>
      <c r="F138" s="236">
        <f>S138</f>
        <v/>
      </c>
      <c r="G138">
        <f>U138*100&amp;"%"</f>
        <v/>
      </c>
      <c r="I138" s="212" t="n">
        <v>2024</v>
      </c>
      <c r="J138" s="213" t="n">
        <v>137</v>
      </c>
      <c r="K138" s="71" t="inlineStr">
        <is>
          <t>Ausgaben</t>
        </is>
      </c>
      <c r="L138" t="inlineStr">
        <is>
          <t>sonstige Betriebsausgaben</t>
        </is>
      </c>
      <c r="M138" s="1" t="n">
        <v>45576</v>
      </c>
      <c r="N138" t="inlineStr">
        <is>
          <t>Hetzner Online GmbH, Industriestraße 25, 91710 Gunzenhausen</t>
        </is>
      </c>
      <c r="Q138" t="b">
        <v>0</v>
      </c>
      <c r="R138" s="214" t="n">
        <v>56</v>
      </c>
      <c r="S138" s="215" t="n">
        <v>56</v>
      </c>
      <c r="T138" s="159" t="n">
        <v>1</v>
      </c>
      <c r="U138" s="159" t="n">
        <v>0</v>
      </c>
      <c r="V138" s="215" t="n">
        <v>0</v>
      </c>
      <c r="W138" s="215" t="n">
        <v>0</v>
      </c>
      <c r="X138" s="215" t="n">
        <v>56</v>
      </c>
      <c r="Y138" s="215" t="n">
        <v>56</v>
      </c>
      <c r="Z138" s="192" t="n">
        <v>45703</v>
      </c>
      <c r="AA138" t="n">
        <v>20</v>
      </c>
      <c r="AB138" s="220" t="n">
        <v>56</v>
      </c>
      <c r="AC138" s="221" t="n">
        <v>11.2</v>
      </c>
      <c r="AD138" s="237" t="n">
        <v>0</v>
      </c>
      <c r="AE138" t="b">
        <v>0</v>
      </c>
      <c r="AF138" s="228" t="n">
        <v>-77.54545454545453</v>
      </c>
    </row>
    <row r="139">
      <c r="A139">
        <f>I139&amp;"-"&amp;J139</f>
        <v/>
      </c>
      <c r="B139" s="1">
        <f>M139</f>
        <v/>
      </c>
      <c r="C139">
        <f>N139</f>
        <v/>
      </c>
      <c r="D139">
        <f>K139</f>
        <v/>
      </c>
      <c r="E139">
        <f>L139</f>
        <v/>
      </c>
      <c r="F139" s="236">
        <f>S139</f>
        <v/>
      </c>
      <c r="G139">
        <f>U139*100&amp;"%"</f>
        <v/>
      </c>
      <c r="I139" s="212" t="n">
        <v>2024</v>
      </c>
      <c r="J139" s="213" t="n">
        <v>138</v>
      </c>
      <c r="K139" s="71" t="inlineStr">
        <is>
          <t>Einnahmen</t>
        </is>
      </c>
      <c r="L139" t="inlineStr">
        <is>
          <t>Waren-/Leistungserlöse</t>
        </is>
      </c>
      <c r="M139" s="1" t="n">
        <v>45576</v>
      </c>
      <c r="N139" t="inlineStr">
        <is>
          <t>Hays Österreich GmbH, Bahnhof City Wien West - Europaplatz 3/5, 1150 Wien</t>
        </is>
      </c>
      <c r="R139" s="214" t="n">
        <v>7841.86</v>
      </c>
      <c r="S139" s="215" t="n">
        <v>7841.86</v>
      </c>
      <c r="T139" s="159" t="n">
        <v>1</v>
      </c>
      <c r="U139" s="159" t="n">
        <v>0.2</v>
      </c>
      <c r="V139" s="215" t="n">
        <v>1306.976666666667</v>
      </c>
      <c r="W139" s="215" t="n">
        <v>1306.976666666667</v>
      </c>
      <c r="X139" s="215" t="n">
        <v>6534.883333333333</v>
      </c>
      <c r="Y139" s="215" t="n">
        <v>6534.883333333333</v>
      </c>
      <c r="Z139" s="192" t="n">
        <v>45703</v>
      </c>
      <c r="AB139" s="220" t="n">
        <v>6534.883333333333</v>
      </c>
      <c r="AC139" s="221" t="n">
        <v>0</v>
      </c>
      <c r="AD139" s="237" t="n">
        <v>0</v>
      </c>
      <c r="AE139" t="b">
        <v>0</v>
      </c>
      <c r="AF139" s="228" t="n">
        <v>754.78</v>
      </c>
    </row>
    <row r="140">
      <c r="A140">
        <f>I140&amp;"-"&amp;J140</f>
        <v/>
      </c>
      <c r="B140" s="1">
        <f>M140</f>
        <v/>
      </c>
      <c r="C140">
        <f>N140</f>
        <v/>
      </c>
      <c r="D140">
        <f>K140</f>
        <v/>
      </c>
      <c r="E140">
        <f>L140</f>
        <v/>
      </c>
      <c r="F140" s="236">
        <f>S140</f>
        <v/>
      </c>
      <c r="G140">
        <f>U140*100&amp;"%"</f>
        <v/>
      </c>
      <c r="I140" s="212" t="n">
        <v>2024</v>
      </c>
      <c r="J140" s="213" t="n">
        <v>139</v>
      </c>
      <c r="K140" s="71" t="inlineStr">
        <is>
          <t>Einnahmen</t>
        </is>
      </c>
      <c r="L140" t="inlineStr">
        <is>
          <t>Übrige Erträge</t>
        </is>
      </c>
      <c r="M140" s="1" t="n">
        <v>45551</v>
      </c>
      <c r="N140" t="inlineStr">
        <is>
          <t>Fachgruppenverwaltung Förderaktion KlimaTicket UBIT NÖ</t>
        </is>
      </c>
      <c r="R140" s="214" t="n">
        <v>450</v>
      </c>
      <c r="S140" s="215" t="n">
        <v>450</v>
      </c>
      <c r="T140" s="159" t="n">
        <v>1</v>
      </c>
      <c r="U140" s="159" t="n">
        <v>0</v>
      </c>
      <c r="V140" s="215" t="n">
        <v>0</v>
      </c>
      <c r="W140" s="215" t="n">
        <v>0</v>
      </c>
      <c r="X140" s="215" t="n">
        <v>450</v>
      </c>
      <c r="Y140" s="215" t="n">
        <v>450</v>
      </c>
      <c r="Z140" s="192" t="n">
        <v>45611</v>
      </c>
      <c r="AB140" s="220" t="n">
        <v>450</v>
      </c>
      <c r="AC140" s="221" t="n">
        <v>0</v>
      </c>
      <c r="AD140" s="237" t="n">
        <v>0</v>
      </c>
      <c r="AE140" t="b">
        <v>0</v>
      </c>
      <c r="AF140" s="228" t="n">
        <v>7.233333333333333</v>
      </c>
    </row>
    <row r="141">
      <c r="A141">
        <f>I141&amp;"-"&amp;J141</f>
        <v/>
      </c>
      <c r="B141" s="1">
        <f>M141</f>
        <v/>
      </c>
      <c r="C141">
        <f>N141</f>
        <v/>
      </c>
      <c r="D141">
        <f>K141</f>
        <v/>
      </c>
      <c r="E141">
        <f>L141</f>
        <v/>
      </c>
      <c r="F141" s="236">
        <f>S141</f>
        <v/>
      </c>
      <c r="G141">
        <f>U141*100&amp;"%"</f>
        <v/>
      </c>
      <c r="I141" s="212" t="n">
        <v>2024</v>
      </c>
      <c r="J141" s="213" t="n">
        <v>140</v>
      </c>
      <c r="K141" s="71" t="inlineStr">
        <is>
          <t>Ausgaben</t>
        </is>
      </c>
      <c r="L141" t="inlineStr">
        <is>
          <t>Telefon/Internet</t>
        </is>
      </c>
      <c r="M141" s="1" t="n">
        <v>45580</v>
      </c>
      <c r="N141" t="inlineStr">
        <is>
          <t>kabelplus GmbH, Südstadtzentrum 4, 2344 Maria Enzersdorf</t>
        </is>
      </c>
      <c r="Q141" t="b">
        <v>0</v>
      </c>
      <c r="R141" s="214" t="n">
        <v>55.7</v>
      </c>
      <c r="S141" s="215" t="n">
        <v>37.319</v>
      </c>
      <c r="T141" s="159" t="n">
        <v>0.67</v>
      </c>
      <c r="U141" s="159" t="n">
        <v>0.1721380471380471</v>
      </c>
      <c r="V141" s="215" t="n">
        <v>8.18</v>
      </c>
      <c r="W141" s="215" t="n">
        <v>5.4806</v>
      </c>
      <c r="X141" s="215" t="n">
        <v>47.52</v>
      </c>
      <c r="Y141" s="215" t="n">
        <v>31.8384</v>
      </c>
      <c r="Z141" s="192" t="n">
        <v>45703</v>
      </c>
      <c r="AB141" s="220" t="n">
        <v>31.8384</v>
      </c>
      <c r="AC141" s="221" t="n">
        <v>0</v>
      </c>
      <c r="AD141" s="237" t="n">
        <v>0</v>
      </c>
      <c r="AE141" t="b">
        <v>0</v>
      </c>
      <c r="AF141" s="228" t="n">
        <v>-5395.81</v>
      </c>
    </row>
    <row r="142">
      <c r="A142">
        <f>I142&amp;"-"&amp;J142</f>
        <v/>
      </c>
      <c r="B142" s="1">
        <f>M142</f>
        <v/>
      </c>
      <c r="C142">
        <f>N142</f>
        <v/>
      </c>
      <c r="D142">
        <f>K142</f>
        <v/>
      </c>
      <c r="E142">
        <f>L142</f>
        <v/>
      </c>
      <c r="F142" s="236">
        <f>S142</f>
        <v/>
      </c>
      <c r="G142">
        <f>U142*100&amp;"%"</f>
        <v/>
      </c>
      <c r="I142" s="212" t="n">
        <v>2024</v>
      </c>
      <c r="J142" s="213" t="n">
        <v>141</v>
      </c>
      <c r="K142" s="71" t="inlineStr">
        <is>
          <t>Ausgaben</t>
        </is>
      </c>
      <c r="L142" t="inlineStr">
        <is>
          <t>sonstige Betriebsausgaben</t>
        </is>
      </c>
      <c r="M142" s="1" t="n">
        <v>45581</v>
      </c>
      <c r="N142" t="inlineStr">
        <is>
          <t>Hetzner Online GmbH, Industriestraße 25, 91710 Gunzenhausen</t>
        </is>
      </c>
      <c r="Q142" t="b">
        <v>0</v>
      </c>
      <c r="R142" s="214" t="n">
        <v>9.16</v>
      </c>
      <c r="S142" s="215" t="n">
        <v>9.16</v>
      </c>
      <c r="T142" s="159" t="n">
        <v>1</v>
      </c>
      <c r="U142" s="159" t="n">
        <v>0</v>
      </c>
      <c r="V142" s="215" t="n">
        <v>0</v>
      </c>
      <c r="W142" s="215" t="n">
        <v>0</v>
      </c>
      <c r="X142" s="215" t="n">
        <v>9.16</v>
      </c>
      <c r="Y142" s="215" t="n">
        <v>9.16</v>
      </c>
      <c r="Z142" s="192" t="n">
        <v>45703</v>
      </c>
      <c r="AA142" t="n">
        <v>20</v>
      </c>
      <c r="AB142" s="220" t="n">
        <v>9.16</v>
      </c>
      <c r="AC142" s="221" t="n">
        <v>1.832</v>
      </c>
      <c r="AD142" s="237" t="n">
        <v>0</v>
      </c>
      <c r="AE142" t="b">
        <v>0</v>
      </c>
      <c r="AF142" s="228" t="n">
        <v>-533.1083333333333</v>
      </c>
    </row>
    <row r="143">
      <c r="A143">
        <f>I143&amp;"-"&amp;J143</f>
        <v/>
      </c>
      <c r="B143" s="1">
        <f>M143</f>
        <v/>
      </c>
      <c r="C143">
        <f>N143</f>
        <v/>
      </c>
      <c r="D143">
        <f>K143</f>
        <v/>
      </c>
      <c r="E143">
        <f>L143</f>
        <v/>
      </c>
      <c r="F143" s="236">
        <f>S143</f>
        <v/>
      </c>
      <c r="G143">
        <f>U143*100&amp;"%"</f>
        <v/>
      </c>
      <c r="I143" s="212" t="n">
        <v>2024</v>
      </c>
      <c r="J143" s="213" t="n">
        <v>142</v>
      </c>
      <c r="K143" s="71" t="inlineStr">
        <is>
          <t>Einnahmen</t>
        </is>
      </c>
      <c r="L143" t="inlineStr">
        <is>
          <t>Waren-/Leistungserlöse</t>
        </is>
      </c>
      <c r="M143" s="1" t="n">
        <v>45582</v>
      </c>
      <c r="N143" t="inlineStr">
        <is>
          <t>ZT DI Dr. Arno Kolbitsch, Gütleweg 1, 6822 Satteins</t>
        </is>
      </c>
      <c r="R143" s="214" t="n">
        <v>2405.41</v>
      </c>
      <c r="S143" s="215" t="n">
        <v>2405.41</v>
      </c>
      <c r="T143" s="159" t="n">
        <v>1</v>
      </c>
      <c r="U143" s="159" t="n">
        <v>0.2</v>
      </c>
      <c r="V143" s="215" t="n">
        <v>400.9016666666666</v>
      </c>
      <c r="W143" s="215" t="n">
        <v>400.9016666666666</v>
      </c>
      <c r="X143" s="215" t="n">
        <v>2004.508333333333</v>
      </c>
      <c r="Y143" s="215" t="n">
        <v>2004.508333333333</v>
      </c>
      <c r="Z143" s="192" t="n">
        <v>45703</v>
      </c>
      <c r="AB143" s="220" t="n">
        <v>2004.508333333333</v>
      </c>
      <c r="AC143" s="221" t="n">
        <v>0</v>
      </c>
      <c r="AD143" s="237" t="n">
        <v>0</v>
      </c>
      <c r="AE143" t="b">
        <v>0</v>
      </c>
      <c r="AF143" s="228" t="n">
        <v>-10.75</v>
      </c>
    </row>
    <row r="144">
      <c r="A144">
        <f>I144&amp;"-"&amp;J144</f>
        <v/>
      </c>
      <c r="B144" s="1">
        <f>M144</f>
        <v/>
      </c>
      <c r="C144">
        <f>N144</f>
        <v/>
      </c>
      <c r="D144">
        <f>K144</f>
        <v/>
      </c>
      <c r="E144">
        <f>L144</f>
        <v/>
      </c>
      <c r="F144" s="236">
        <f>S144</f>
        <v/>
      </c>
      <c r="G144">
        <f>U144*100&amp;"%"</f>
        <v/>
      </c>
      <c r="I144" s="212" t="n">
        <v>2024</v>
      </c>
      <c r="J144" s="213" t="n">
        <v>143</v>
      </c>
      <c r="K144" s="71" t="inlineStr">
        <is>
          <t>Ausgaben</t>
        </is>
      </c>
      <c r="L144" t="inlineStr">
        <is>
          <t>Büromaterial</t>
        </is>
      </c>
      <c r="M144" s="1" t="n">
        <v>45586</v>
      </c>
      <c r="N144" t="inlineStr">
        <is>
          <t>Lemon Technologies GmbH, Unterweißenbach 181, 8330 Feldbach: Dell Precision 3580 Laptop</t>
        </is>
      </c>
      <c r="P144" s="2" t="n"/>
      <c r="Q144" t="b">
        <v>0</v>
      </c>
      <c r="R144" s="214" t="n">
        <v>118.75</v>
      </c>
      <c r="S144" s="215" t="n">
        <v>118.75</v>
      </c>
      <c r="T144" s="159" t="n">
        <v>1</v>
      </c>
      <c r="U144" s="159" t="n">
        <v>0.2</v>
      </c>
      <c r="V144" s="215" t="n">
        <v>19.79166666666667</v>
      </c>
      <c r="W144" s="215" t="n">
        <v>19.79166666666667</v>
      </c>
      <c r="X144" s="215" t="n">
        <v>98.95833333333334</v>
      </c>
      <c r="Y144" s="215" t="n">
        <v>98.95833333333334</v>
      </c>
      <c r="Z144" s="192" t="n">
        <v>45703</v>
      </c>
      <c r="AB144" s="220" t="n">
        <v>98.95833333333334</v>
      </c>
      <c r="AC144" s="221" t="n">
        <v>0</v>
      </c>
      <c r="AD144" s="237" t="n">
        <v>2.08</v>
      </c>
      <c r="AE144" t="b">
        <v>0</v>
      </c>
      <c r="AF144" s="228" t="n">
        <v>-10.4</v>
      </c>
    </row>
    <row r="145">
      <c r="A145">
        <f>I145&amp;"-"&amp;J145</f>
        <v/>
      </c>
      <c r="B145" s="1">
        <f>M145</f>
        <v/>
      </c>
      <c r="C145">
        <f>N145</f>
        <v/>
      </c>
      <c r="D145">
        <f>K145</f>
        <v/>
      </c>
      <c r="E145">
        <f>L145</f>
        <v/>
      </c>
      <c r="F145" s="236">
        <f>S145</f>
        <v/>
      </c>
      <c r="G145">
        <f>U145*100&amp;"%"</f>
        <v/>
      </c>
      <c r="I145" s="212" t="n">
        <v>2024</v>
      </c>
      <c r="J145" s="213" t="n">
        <v>144</v>
      </c>
      <c r="K145" s="71" t="inlineStr">
        <is>
          <t>Ausgaben</t>
        </is>
      </c>
      <c r="L145" t="inlineStr">
        <is>
          <t>sonstige Betriebsausgaben</t>
        </is>
      </c>
      <c r="M145" s="1" t="n">
        <v>45586</v>
      </c>
      <c r="N145" t="inlineStr">
        <is>
          <t>Microsoft Ireland Operations Ltd. One Microsoft Place, South County, Business Park, Leopardstown, Dublin 18, D18 P521, Ireland</t>
        </is>
      </c>
      <c r="Q145" t="b">
        <v>0</v>
      </c>
      <c r="R145" s="214" t="n">
        <v>11.7</v>
      </c>
      <c r="S145" s="215" t="n">
        <v>11.7</v>
      </c>
      <c r="T145" s="159" t="n">
        <v>1</v>
      </c>
      <c r="U145" s="159" t="n">
        <v>0</v>
      </c>
      <c r="V145" s="215" t="n">
        <v>0</v>
      </c>
      <c r="W145" s="215" t="n">
        <v>0</v>
      </c>
      <c r="X145" s="215" t="n">
        <v>11.7</v>
      </c>
      <c r="Y145" s="215" t="n">
        <v>11.7</v>
      </c>
      <c r="Z145" s="192" t="n">
        <v>45703</v>
      </c>
      <c r="AA145" t="n">
        <v>20</v>
      </c>
      <c r="AB145" s="220" t="n">
        <v>11.7</v>
      </c>
      <c r="AC145" s="221" t="n">
        <v>2.34</v>
      </c>
      <c r="AD145" s="237" t="n">
        <v>0</v>
      </c>
      <c r="AE145" t="b">
        <v>0</v>
      </c>
      <c r="AF145" s="228" t="n">
        <v>-5</v>
      </c>
    </row>
    <row r="146">
      <c r="A146">
        <f>I146&amp;"-"&amp;J146</f>
        <v/>
      </c>
      <c r="B146" s="1">
        <f>M146</f>
        <v/>
      </c>
      <c r="C146">
        <f>N146</f>
        <v/>
      </c>
      <c r="D146">
        <f>K146</f>
        <v/>
      </c>
      <c r="E146">
        <f>L146</f>
        <v/>
      </c>
      <c r="F146" s="236">
        <f>S146</f>
        <v/>
      </c>
      <c r="G146">
        <f>U146*100&amp;"%"</f>
        <v/>
      </c>
      <c r="I146" s="212" t="n">
        <v>2024</v>
      </c>
      <c r="J146" s="213" t="n">
        <v>145</v>
      </c>
      <c r="K146" s="71" t="inlineStr">
        <is>
          <t>Einnahmen</t>
        </is>
      </c>
      <c r="L146" t="inlineStr">
        <is>
          <t>Waren-/Leistungserlöse</t>
        </is>
      </c>
      <c r="M146" s="1" t="n">
        <v>45587</v>
      </c>
      <c r="N146" t="inlineStr">
        <is>
          <t>H. Jaros e.U., Kohlmarkt 16/2/2/15a</t>
        </is>
      </c>
      <c r="R146" s="214" t="n">
        <v>198</v>
      </c>
      <c r="S146" s="215" t="n">
        <v>198</v>
      </c>
      <c r="T146" s="159" t="n">
        <v>1</v>
      </c>
      <c r="U146" s="159" t="n">
        <v>0.2</v>
      </c>
      <c r="V146" s="215" t="n">
        <v>33</v>
      </c>
      <c r="W146" s="215" t="n">
        <v>33</v>
      </c>
      <c r="X146" s="215" t="n">
        <v>165</v>
      </c>
      <c r="Y146" s="215" t="n">
        <v>165</v>
      </c>
      <c r="Z146" s="192" t="n">
        <v>45703</v>
      </c>
      <c r="AB146" s="220" t="n">
        <v>165</v>
      </c>
      <c r="AC146" s="221" t="n">
        <v>0</v>
      </c>
      <c r="AD146" s="237" t="n">
        <v>0</v>
      </c>
      <c r="AE146" t="b">
        <v>0</v>
      </c>
      <c r="AF146" s="228" t="n">
        <v>-108.5</v>
      </c>
    </row>
    <row r="147">
      <c r="A147">
        <f>I147&amp;"-"&amp;J147</f>
        <v/>
      </c>
      <c r="B147" s="1">
        <f>M147</f>
        <v/>
      </c>
      <c r="C147">
        <f>N147</f>
        <v/>
      </c>
      <c r="D147">
        <f>K147</f>
        <v/>
      </c>
      <c r="E147">
        <f>L147</f>
        <v/>
      </c>
      <c r="F147" s="236">
        <f>S147</f>
        <v/>
      </c>
      <c r="G147">
        <f>U147*100&amp;"%"</f>
        <v/>
      </c>
      <c r="I147" s="212" t="n">
        <v>2024</v>
      </c>
      <c r="J147" s="213" t="n">
        <v>146</v>
      </c>
      <c r="K147" s="71" t="inlineStr">
        <is>
          <t>Ausgaben</t>
        </is>
      </c>
      <c r="L147" t="inlineStr">
        <is>
          <t>sonstige Betriebsausgaben</t>
        </is>
      </c>
      <c r="M147" s="1" t="n">
        <v>45590</v>
      </c>
      <c r="N147" t="inlineStr">
        <is>
          <t>OpenAI, LLC, 548 Market Street, PMB 97273, San Francisco, California 94104-5401, United States</t>
        </is>
      </c>
      <c r="Q147" t="b">
        <v>0</v>
      </c>
      <c r="R147" s="214" t="n">
        <v>22.57</v>
      </c>
      <c r="S147" s="215" t="n">
        <v>22.57</v>
      </c>
      <c r="T147" s="159" t="n">
        <v>1</v>
      </c>
      <c r="U147" s="159" t="n">
        <v>0.2</v>
      </c>
      <c r="V147" s="215" t="n">
        <v>3.708333333333334</v>
      </c>
      <c r="W147" s="215" t="n">
        <v>3.708333333333334</v>
      </c>
      <c r="X147" s="215" t="n">
        <v>18.54166666666667</v>
      </c>
      <c r="Y147" s="215" t="n">
        <v>18.54166666666667</v>
      </c>
      <c r="Z147" s="192" t="n">
        <v>45703</v>
      </c>
      <c r="AB147" s="220" t="n">
        <v>18.54166666666667</v>
      </c>
      <c r="AC147" s="221" t="n">
        <v>0</v>
      </c>
      <c r="AD147" s="237" t="n">
        <v>0</v>
      </c>
      <c r="AE147" t="b">
        <v>0</v>
      </c>
      <c r="AF147" s="228" t="n">
        <v>-12</v>
      </c>
    </row>
    <row r="148">
      <c r="A148">
        <f>I148&amp;"-"&amp;J148</f>
        <v/>
      </c>
      <c r="B148" s="1">
        <f>M148</f>
        <v/>
      </c>
      <c r="C148">
        <f>N148</f>
        <v/>
      </c>
      <c r="D148">
        <f>K148</f>
        <v/>
      </c>
      <c r="E148">
        <f>L148</f>
        <v/>
      </c>
      <c r="F148" s="236">
        <f>S148</f>
        <v/>
      </c>
      <c r="G148">
        <f>U148*100&amp;"%"</f>
        <v/>
      </c>
      <c r="I148" s="212" t="n">
        <v>2024</v>
      </c>
      <c r="J148" s="213" t="n">
        <v>147</v>
      </c>
      <c r="K148" s="71" t="inlineStr">
        <is>
          <t>Ausgaben</t>
        </is>
      </c>
      <c r="L148" t="inlineStr">
        <is>
          <t>Lizenzgebühren</t>
        </is>
      </c>
      <c r="M148" s="1" t="n">
        <v>45593</v>
      </c>
      <c r="N148" t="inlineStr">
        <is>
          <t>Adobe Systems Software Ireland Ltd, 4-6 Riverwalk, Citywest Business Park, Dublin 24, Ireland, UID: IE6364992H</t>
        </is>
      </c>
      <c r="P148" s="2" t="inlineStr">
        <is>
          <t>ja</t>
        </is>
      </c>
      <c r="Q148" t="b">
        <v>0</v>
      </c>
      <c r="R148" s="214" t="n">
        <v>20.28</v>
      </c>
      <c r="S148" s="215" t="n">
        <v>20.28</v>
      </c>
      <c r="T148" s="159" t="n">
        <v>1</v>
      </c>
      <c r="U148" s="159" t="n">
        <v>0</v>
      </c>
      <c r="V148" s="215" t="n">
        <v>0</v>
      </c>
      <c r="W148" s="215" t="n">
        <v>0</v>
      </c>
      <c r="X148" s="215" t="n">
        <v>20.28</v>
      </c>
      <c r="Y148" s="215" t="n">
        <v>20.28</v>
      </c>
      <c r="Z148" s="192" t="n">
        <v>45703</v>
      </c>
      <c r="AA148" t="n">
        <v>20</v>
      </c>
      <c r="AB148" s="220" t="n">
        <v>20.28</v>
      </c>
      <c r="AC148" s="221" t="n">
        <v>4.056</v>
      </c>
      <c r="AD148" s="237" t="n">
        <v>0</v>
      </c>
      <c r="AE148" t="b">
        <v>0</v>
      </c>
      <c r="AF148" s="228" t="n">
        <v>15155.63</v>
      </c>
    </row>
    <row r="149">
      <c r="A149">
        <f>I149&amp;"-"&amp;J149</f>
        <v/>
      </c>
      <c r="B149" s="1">
        <f>M149</f>
        <v/>
      </c>
      <c r="C149">
        <f>N149</f>
        <v/>
      </c>
      <c r="D149">
        <f>K149</f>
        <v/>
      </c>
      <c r="E149">
        <f>L149</f>
        <v/>
      </c>
      <c r="F149" s="236">
        <f>S149</f>
        <v/>
      </c>
      <c r="G149">
        <f>U149*100&amp;"%"</f>
        <v/>
      </c>
      <c r="I149" s="212" t="n">
        <v>2024</v>
      </c>
      <c r="J149" s="213" t="n">
        <v>148</v>
      </c>
      <c r="K149" s="71" t="inlineStr">
        <is>
          <t>Ausgaben</t>
        </is>
      </c>
      <c r="L149" t="inlineStr">
        <is>
          <t>sonstige Betriebsausgaben</t>
        </is>
      </c>
      <c r="M149" s="1" t="n">
        <v>45596</v>
      </c>
      <c r="N149" t="inlineStr">
        <is>
          <t>tonershop.at Primus office products HandelsgesmbH &amp; Co KG, Goldschlagstra0e 172, 1140 Wien</t>
        </is>
      </c>
      <c r="Q149" t="b">
        <v>0</v>
      </c>
      <c r="R149" s="214" t="n">
        <v>380.9</v>
      </c>
      <c r="S149" s="215" t="n">
        <v>380.9</v>
      </c>
      <c r="T149" s="159" t="n">
        <v>1</v>
      </c>
      <c r="U149" s="159" t="n">
        <v>0.2</v>
      </c>
      <c r="V149" s="215" t="n">
        <v>63.48333333333334</v>
      </c>
      <c r="W149" s="215" t="n">
        <v>63.48333333333334</v>
      </c>
      <c r="X149" s="215" t="n">
        <v>317.4166666666667</v>
      </c>
      <c r="Y149" s="215" t="n">
        <v>317.4166666666667</v>
      </c>
      <c r="Z149" s="192" t="n">
        <v>45703</v>
      </c>
      <c r="AB149" s="220" t="n">
        <v>317.4166666666667</v>
      </c>
      <c r="AC149" s="221" t="n">
        <v>0</v>
      </c>
      <c r="AD149" s="237" t="n">
        <v>10.44282</v>
      </c>
      <c r="AE149" t="b">
        <v>0</v>
      </c>
      <c r="AF149" s="228" t="n">
        <v>-52.2141</v>
      </c>
    </row>
    <row r="150">
      <c r="A150">
        <f>I150&amp;"-"&amp;J150</f>
        <v/>
      </c>
      <c r="B150" s="1">
        <f>M150</f>
        <v/>
      </c>
      <c r="C150">
        <f>N150</f>
        <v/>
      </c>
      <c r="D150">
        <f>K150</f>
        <v/>
      </c>
      <c r="E150">
        <f>L150</f>
        <v/>
      </c>
      <c r="F150" s="236">
        <f>S150</f>
        <v/>
      </c>
      <c r="G150">
        <f>U150*100&amp;"%"</f>
        <v/>
      </c>
      <c r="I150" s="212" t="n">
        <v>2024</v>
      </c>
      <c r="J150" s="213" t="n">
        <v>149</v>
      </c>
      <c r="K150" s="71" t="inlineStr">
        <is>
          <t>Ausgaben</t>
        </is>
      </c>
      <c r="L150" t="inlineStr">
        <is>
          <t>sonstige Betriebsausgaben</t>
        </is>
      </c>
      <c r="M150" s="1" t="n">
        <v>45600</v>
      </c>
      <c r="N150" t="inlineStr">
        <is>
          <t>Marktgemeinde Bisamberg, Hauptstraße 2, 2102 Bisamberg</t>
        </is>
      </c>
      <c r="Q150" t="b">
        <v>0</v>
      </c>
      <c r="R150" s="214" t="n">
        <v>234.71</v>
      </c>
      <c r="S150" s="215" t="n">
        <v>21.62952723600328</v>
      </c>
      <c r="T150" s="159" t="n">
        <v>0.09215426371268068</v>
      </c>
      <c r="U150" s="159" t="n">
        <v>0.09821261463597229</v>
      </c>
      <c r="V150" s="215" t="n">
        <v>20.99</v>
      </c>
      <c r="W150" s="215" t="n">
        <v>1.934317995329167</v>
      </c>
      <c r="X150" s="215" t="n">
        <v>213.72</v>
      </c>
      <c r="Y150" s="215" t="n">
        <v>19.69520924067411</v>
      </c>
      <c r="Z150" s="192" t="n">
        <v>45703</v>
      </c>
      <c r="AB150" s="220" t="n">
        <v>19.69520924067411</v>
      </c>
      <c r="AC150" s="221" t="n">
        <v>0</v>
      </c>
      <c r="AD150" s="237" t="n">
        <v>0</v>
      </c>
      <c r="AE150" t="b">
        <v>0</v>
      </c>
      <c r="AF150" s="228" t="n">
        <v>-365</v>
      </c>
    </row>
    <row r="151">
      <c r="A151">
        <f>I151&amp;"-"&amp;J151</f>
        <v/>
      </c>
      <c r="B151" s="1">
        <f>M151</f>
        <v/>
      </c>
      <c r="C151">
        <f>N151</f>
        <v/>
      </c>
      <c r="D151">
        <f>K151</f>
        <v/>
      </c>
      <c r="E151">
        <f>L151</f>
        <v/>
      </c>
      <c r="F151" s="236">
        <f>S151</f>
        <v/>
      </c>
      <c r="G151">
        <f>U151*100&amp;"%"</f>
        <v/>
      </c>
      <c r="I151" s="212" t="n">
        <v>2024</v>
      </c>
      <c r="J151" s="213" t="n">
        <v>150</v>
      </c>
      <c r="K151" s="71" t="inlineStr">
        <is>
          <t>Ausgaben</t>
        </is>
      </c>
      <c r="L151" t="inlineStr">
        <is>
          <t>Telefon/Internet</t>
        </is>
      </c>
      <c r="M151" s="1" t="n">
        <v>45600</v>
      </c>
      <c r="N151" t="inlineStr">
        <is>
          <t>Hutchison Drei Austria GmbH, Brünner Straße 52, 1210 Wien, Österreich</t>
        </is>
      </c>
      <c r="Q151" t="b">
        <v>0</v>
      </c>
      <c r="R151" s="214" t="n">
        <v>15.28</v>
      </c>
      <c r="S151" s="215" t="n">
        <v>15.28</v>
      </c>
      <c r="T151" s="159" t="n">
        <v>1</v>
      </c>
      <c r="U151" s="159" t="n">
        <v>0.2</v>
      </c>
      <c r="V151" s="215" t="n">
        <v>2.546666666666667</v>
      </c>
      <c r="W151" s="215" t="n">
        <v>2.546666666666667</v>
      </c>
      <c r="X151" s="215" t="n">
        <v>12.73333333333333</v>
      </c>
      <c r="Y151" s="215" t="n">
        <v>12.73333333333333</v>
      </c>
      <c r="Z151" s="192" t="n">
        <v>45703</v>
      </c>
      <c r="AB151" s="220" t="n">
        <v>12.73333333333333</v>
      </c>
      <c r="AC151" s="221" t="n">
        <v>0</v>
      </c>
      <c r="AD151" s="237" t="n">
        <v>2.1</v>
      </c>
      <c r="AE151" t="b">
        <v>0</v>
      </c>
      <c r="AF151" s="228" t="n">
        <v>-10.5</v>
      </c>
    </row>
    <row r="152">
      <c r="A152">
        <f>I152&amp;"-"&amp;J152</f>
        <v/>
      </c>
      <c r="B152" s="1">
        <f>M152</f>
        <v/>
      </c>
      <c r="C152">
        <f>N152</f>
        <v/>
      </c>
      <c r="D152">
        <f>K152</f>
        <v/>
      </c>
      <c r="E152">
        <f>L152</f>
        <v/>
      </c>
      <c r="F152" s="236">
        <f>S152</f>
        <v/>
      </c>
      <c r="G152">
        <f>U152*100&amp;"%"</f>
        <v/>
      </c>
      <c r="I152" s="212" t="n">
        <v>2024</v>
      </c>
      <c r="J152" s="213" t="n">
        <v>151</v>
      </c>
      <c r="K152" s="71" t="inlineStr">
        <is>
          <t>Ausgaben</t>
        </is>
      </c>
      <c r="L152" t="inlineStr">
        <is>
          <t>sonstige Betriebsausgaben</t>
        </is>
      </c>
      <c r="M152" s="1" t="n">
        <v>45600</v>
      </c>
      <c r="N152" t="inlineStr">
        <is>
          <t>Google Ireland Ltd, Gordon House, Barrow Street, Dublin 4, Ireland; VAT number: IE 6388047V</t>
        </is>
      </c>
      <c r="Q152" t="b">
        <v>0</v>
      </c>
      <c r="R152" s="214" t="n">
        <v>13.8</v>
      </c>
      <c r="S152" s="215" t="n">
        <v>13.8</v>
      </c>
      <c r="T152" s="159" t="n">
        <v>1</v>
      </c>
      <c r="U152" s="159" t="n">
        <v>0</v>
      </c>
      <c r="V152" s="215" t="n">
        <v>0</v>
      </c>
      <c r="W152" s="215" t="n">
        <v>0</v>
      </c>
      <c r="X152" s="215" t="n">
        <v>13.8</v>
      </c>
      <c r="Y152" s="215" t="n">
        <v>13.8</v>
      </c>
      <c r="Z152" s="192" t="n">
        <v>45703</v>
      </c>
      <c r="AA152" t="n">
        <v>20</v>
      </c>
      <c r="AB152" s="220" t="n">
        <v>13.8</v>
      </c>
      <c r="AC152" s="221" t="n">
        <v>2.76</v>
      </c>
      <c r="AD152" s="237" t="n">
        <v>0</v>
      </c>
      <c r="AE152" t="b">
        <v>0</v>
      </c>
      <c r="AF152" s="228" t="n">
        <v>-31.92</v>
      </c>
    </row>
    <row r="153">
      <c r="A153">
        <f>I153&amp;"-"&amp;J153</f>
        <v/>
      </c>
      <c r="B153" s="1">
        <f>M153</f>
        <v/>
      </c>
      <c r="C153">
        <f>N153</f>
        <v/>
      </c>
      <c r="D153">
        <f>K153</f>
        <v/>
      </c>
      <c r="E153">
        <f>L153</f>
        <v/>
      </c>
      <c r="F153" s="236">
        <f>S153</f>
        <v/>
      </c>
      <c r="G153">
        <f>U153*100&amp;"%"</f>
        <v/>
      </c>
      <c r="I153" s="212" t="n">
        <v>2024</v>
      </c>
      <c r="J153" s="213" t="n">
        <v>152</v>
      </c>
      <c r="K153" s="71" t="inlineStr">
        <is>
          <t>Einnahmen</t>
        </is>
      </c>
      <c r="L153" t="inlineStr">
        <is>
          <t>Waren-/Leistungserlöse</t>
        </is>
      </c>
      <c r="M153" s="1" t="n">
        <v>45608</v>
      </c>
      <c r="N153" t="inlineStr">
        <is>
          <t>Hays Österreich GmbH, Bahnhof City Wien West - Europaplatz 3/5, 1150 Wien</t>
        </is>
      </c>
      <c r="R153" s="214" t="n">
        <v>23290.94</v>
      </c>
      <c r="S153" s="215" t="n">
        <v>23290.94</v>
      </c>
      <c r="T153" s="159" t="n">
        <v>1</v>
      </c>
      <c r="U153" s="159" t="n">
        <v>0.2</v>
      </c>
      <c r="V153" s="215" t="n">
        <v>3881.823333333333</v>
      </c>
      <c r="W153" s="215" t="n">
        <v>3881.823333333333</v>
      </c>
      <c r="X153" s="215" t="n">
        <v>19409.11666666666</v>
      </c>
      <c r="Y153" s="215" t="n">
        <v>19409.11666666666</v>
      </c>
      <c r="Z153" s="192" t="n">
        <v>45703</v>
      </c>
      <c r="AB153" s="220" t="n">
        <v>19409.11666666666</v>
      </c>
      <c r="AC153" s="221" t="n">
        <v>0</v>
      </c>
      <c r="AD153" s="237" t="n">
        <v>2.08</v>
      </c>
      <c r="AE153" t="b">
        <v>0</v>
      </c>
      <c r="AF153" s="228" t="n">
        <v>-10.4</v>
      </c>
    </row>
    <row r="154">
      <c r="A154">
        <f>I154&amp;"-"&amp;J154</f>
        <v/>
      </c>
      <c r="B154" s="1">
        <f>M154</f>
        <v/>
      </c>
      <c r="C154">
        <f>N154</f>
        <v/>
      </c>
      <c r="D154">
        <f>K154</f>
        <v/>
      </c>
      <c r="E154">
        <f>L154</f>
        <v/>
      </c>
      <c r="F154" s="236">
        <f>S154</f>
        <v/>
      </c>
      <c r="G154">
        <f>U154*100&amp;"%"</f>
        <v/>
      </c>
      <c r="I154" s="212" t="n">
        <v>2024</v>
      </c>
      <c r="J154" s="213" t="n">
        <v>153</v>
      </c>
      <c r="K154" s="71" t="inlineStr">
        <is>
          <t>Ausgaben</t>
        </is>
      </c>
      <c r="L154" t="inlineStr">
        <is>
          <t>sonstige Betriebsausgaben</t>
        </is>
      </c>
      <c r="M154" s="1" t="n">
        <v>45609</v>
      </c>
      <c r="N154" t="inlineStr">
        <is>
          <t>Hetzner Online GmbH, Industriestraße 25, 91710 Gunzenhausen</t>
        </is>
      </c>
      <c r="Q154" t="b">
        <v>0</v>
      </c>
      <c r="R154" s="214" t="n">
        <v>56</v>
      </c>
      <c r="S154" s="215" t="n">
        <v>56</v>
      </c>
      <c r="T154" s="159" t="n">
        <v>1</v>
      </c>
      <c r="U154" s="159" t="n">
        <v>0</v>
      </c>
      <c r="V154" s="215" t="n">
        <v>0</v>
      </c>
      <c r="W154" s="215" t="n">
        <v>0</v>
      </c>
      <c r="X154" s="215" t="n">
        <v>56</v>
      </c>
      <c r="Y154" s="215" t="n">
        <v>56</v>
      </c>
      <c r="Z154" s="192" t="n">
        <v>45703</v>
      </c>
      <c r="AA154" t="n">
        <v>20</v>
      </c>
      <c r="AB154" s="220" t="n">
        <v>56</v>
      </c>
      <c r="AC154" s="221" t="n">
        <v>11.2</v>
      </c>
      <c r="AD154" s="237" t="n">
        <v>0</v>
      </c>
      <c r="AE154" t="b">
        <v>0</v>
      </c>
      <c r="AF154" s="228" t="n">
        <v>-12.25</v>
      </c>
    </row>
    <row r="155">
      <c r="A155">
        <f>I155&amp;"-"&amp;J155</f>
        <v/>
      </c>
      <c r="B155" s="1">
        <f>M155</f>
        <v/>
      </c>
      <c r="C155">
        <f>N155</f>
        <v/>
      </c>
      <c r="D155">
        <f>K155</f>
        <v/>
      </c>
      <c r="E155">
        <f>L155</f>
        <v/>
      </c>
      <c r="F155" s="236">
        <f>S155</f>
        <v/>
      </c>
      <c r="G155">
        <f>U155*100&amp;"%"</f>
        <v/>
      </c>
      <c r="I155" s="212" t="n">
        <v>2024</v>
      </c>
      <c r="J155" s="213" t="n">
        <v>154</v>
      </c>
      <c r="K155" s="71" t="inlineStr">
        <is>
          <t>Ausgaben</t>
        </is>
      </c>
      <c r="L155" t="inlineStr">
        <is>
          <t>sonstige Betriebsausgaben</t>
        </is>
      </c>
      <c r="M155" s="1" t="n">
        <v>45610</v>
      </c>
      <c r="N155" t="inlineStr">
        <is>
          <t>Hetzner Online GmbH, Industriestraße 25, 91710 Gunzenhausen</t>
        </is>
      </c>
      <c r="Q155" t="b">
        <v>0</v>
      </c>
      <c r="R155" s="214" t="n">
        <v>9.16</v>
      </c>
      <c r="S155" s="215" t="n">
        <v>9.16</v>
      </c>
      <c r="T155" s="159" t="n">
        <v>1</v>
      </c>
      <c r="U155" s="159" t="n">
        <v>0</v>
      </c>
      <c r="V155" s="215" t="n">
        <v>0</v>
      </c>
      <c r="W155" s="215" t="n">
        <v>0</v>
      </c>
      <c r="X155" s="215" t="n">
        <v>9.16</v>
      </c>
      <c r="Y155" s="215" t="n">
        <v>9.16</v>
      </c>
      <c r="Z155" s="192" t="n">
        <v>45703</v>
      </c>
      <c r="AA155" t="n">
        <v>20</v>
      </c>
      <c r="AB155" s="220" t="n">
        <v>9.16</v>
      </c>
      <c r="AC155" s="221" t="n">
        <v>1.832</v>
      </c>
      <c r="AD155" s="237" t="n">
        <v>0</v>
      </c>
      <c r="AE155" t="b">
        <v>0</v>
      </c>
      <c r="AF155" s="228" t="n">
        <v>-177.9</v>
      </c>
    </row>
    <row r="156">
      <c r="A156">
        <f>I156&amp;"-"&amp;J156</f>
        <v/>
      </c>
      <c r="B156" s="1">
        <f>M156</f>
        <v/>
      </c>
      <c r="C156">
        <f>N156</f>
        <v/>
      </c>
      <c r="D156">
        <f>K156</f>
        <v/>
      </c>
      <c r="E156">
        <f>L156</f>
        <v/>
      </c>
      <c r="F156" s="236">
        <f>S156</f>
        <v/>
      </c>
      <c r="G156">
        <f>U156*100&amp;"%"</f>
        <v/>
      </c>
      <c r="I156" s="212" t="n">
        <v>2024</v>
      </c>
      <c r="J156" s="213" t="n">
        <v>155</v>
      </c>
      <c r="K156" s="71" t="inlineStr">
        <is>
          <t>Ausgaben</t>
        </is>
      </c>
      <c r="L156" t="inlineStr">
        <is>
          <t>Telefon/Internet</t>
        </is>
      </c>
      <c r="M156" s="1" t="n">
        <v>45611</v>
      </c>
      <c r="N156" t="inlineStr">
        <is>
          <t>kabelplus GmbH, Südstadtzentrum 4, 2344 Maria Enzersdorf</t>
        </is>
      </c>
      <c r="Q156" t="b">
        <v>0</v>
      </c>
      <c r="R156" s="214" t="n">
        <v>55.7</v>
      </c>
      <c r="S156" s="215" t="n">
        <v>37.319</v>
      </c>
      <c r="T156" s="159" t="n">
        <v>0.67</v>
      </c>
      <c r="U156" s="159" t="n">
        <v>0.1721380471380471</v>
      </c>
      <c r="V156" s="215" t="n">
        <v>8.18</v>
      </c>
      <c r="W156" s="215" t="n">
        <v>5.4806</v>
      </c>
      <c r="X156" s="215" t="n">
        <v>47.52</v>
      </c>
      <c r="Y156" s="215" t="n">
        <v>31.8384</v>
      </c>
      <c r="Z156" s="192" t="n">
        <v>45703</v>
      </c>
      <c r="AB156" s="220" t="n">
        <v>31.8384</v>
      </c>
      <c r="AC156" s="221" t="n">
        <v>0</v>
      </c>
      <c r="AD156" s="237" t="n">
        <v>0</v>
      </c>
      <c r="AE156" t="b">
        <v>0</v>
      </c>
      <c r="AF156" s="228" t="n">
        <v>-108.5</v>
      </c>
    </row>
    <row r="157">
      <c r="A157">
        <f>I157&amp;"-"&amp;J157</f>
        <v/>
      </c>
      <c r="B157" s="1">
        <f>M157</f>
        <v/>
      </c>
      <c r="C157">
        <f>N157</f>
        <v/>
      </c>
      <c r="D157">
        <f>K157</f>
        <v/>
      </c>
      <c r="E157">
        <f>L157</f>
        <v/>
      </c>
      <c r="F157" s="236">
        <f>S157</f>
        <v/>
      </c>
      <c r="G157">
        <f>U157*100&amp;"%"</f>
        <v/>
      </c>
      <c r="I157" s="212" t="n">
        <v>2024</v>
      </c>
      <c r="J157" s="213" t="n">
        <v>156</v>
      </c>
      <c r="K157" s="71" t="inlineStr">
        <is>
          <t>Ausgaben</t>
        </is>
      </c>
      <c r="L157" t="inlineStr">
        <is>
          <t>sonstige Betriebsausgaben</t>
        </is>
      </c>
      <c r="M157" s="1" t="n">
        <v>45615</v>
      </c>
      <c r="N157" t="inlineStr">
        <is>
          <t>Microsoft Ireland Operations Ltd. One Microsoft Place, South County, Business Park, Leopardstown, Dublin 18, D18 P521, Ireland</t>
        </is>
      </c>
      <c r="Q157" t="b">
        <v>0</v>
      </c>
      <c r="R157" s="214" t="n">
        <v>11.7</v>
      </c>
      <c r="S157" s="215" t="n">
        <v>11.7</v>
      </c>
      <c r="T157" s="159" t="n">
        <v>1</v>
      </c>
      <c r="U157" s="159" t="n">
        <v>0</v>
      </c>
      <c r="V157" s="215" t="n">
        <v>0</v>
      </c>
      <c r="W157" s="215" t="n">
        <v>0</v>
      </c>
      <c r="X157" s="215" t="n">
        <v>11.7</v>
      </c>
      <c r="Y157" s="215" t="n">
        <v>11.7</v>
      </c>
      <c r="Z157" s="192" t="n">
        <v>45703</v>
      </c>
      <c r="AA157" t="n">
        <v>20</v>
      </c>
      <c r="AB157" s="220" t="n">
        <v>11.7</v>
      </c>
      <c r="AC157" s="221" t="n">
        <v>2.34</v>
      </c>
      <c r="AD157" s="237" t="n">
        <v>0</v>
      </c>
      <c r="AE157" t="b">
        <v>0</v>
      </c>
      <c r="AF157" s="228" t="n">
        <v>-10.75</v>
      </c>
    </row>
    <row r="158">
      <c r="A158">
        <f>I158&amp;"-"&amp;J158</f>
        <v/>
      </c>
      <c r="B158" s="1">
        <f>M158</f>
        <v/>
      </c>
      <c r="C158">
        <f>N158</f>
        <v/>
      </c>
      <c r="D158">
        <f>K158</f>
        <v/>
      </c>
      <c r="E158">
        <f>L158</f>
        <v/>
      </c>
      <c r="F158" s="236">
        <f>S158</f>
        <v/>
      </c>
      <c r="G158">
        <f>U158*100&amp;"%"</f>
        <v/>
      </c>
      <c r="I158" s="212" t="n">
        <v>2024</v>
      </c>
      <c r="J158" s="213" t="n">
        <v>157</v>
      </c>
      <c r="K158" s="71" t="inlineStr">
        <is>
          <t>Ausgaben</t>
        </is>
      </c>
      <c r="L158" t="inlineStr">
        <is>
          <t>sonstige Betriebsausgaben</t>
        </is>
      </c>
      <c r="M158" s="1" t="n">
        <v>45621</v>
      </c>
      <c r="N158" t="inlineStr">
        <is>
          <t>OpenAI, LLC, 548 Market Street, PMB 97273, San Francisco, California 94104-5401, United States</t>
        </is>
      </c>
      <c r="Q158" t="b">
        <v>0</v>
      </c>
      <c r="R158" s="214" t="n">
        <v>23.58</v>
      </c>
      <c r="S158" s="215" t="n">
        <v>23.58</v>
      </c>
      <c r="T158" s="159" t="n">
        <v>1</v>
      </c>
      <c r="U158" s="159" t="n">
        <v>0.2</v>
      </c>
      <c r="V158" s="215" t="n">
        <v>3.876666666666667</v>
      </c>
      <c r="W158" s="215" t="n">
        <v>3.876666666666667</v>
      </c>
      <c r="X158" s="215" t="n">
        <v>19.38333333333333</v>
      </c>
      <c r="Y158" s="215" t="n">
        <v>19.38333333333333</v>
      </c>
      <c r="Z158" s="192" t="n">
        <v>45703</v>
      </c>
      <c r="AB158" s="220" t="n">
        <v>19.38333333333333</v>
      </c>
      <c r="AC158" s="221" t="n">
        <v>0</v>
      </c>
      <c r="AD158" s="237" t="n">
        <v>0</v>
      </c>
      <c r="AE158" t="b">
        <v>0</v>
      </c>
      <c r="AF158" s="228" t="n">
        <v>-5</v>
      </c>
    </row>
    <row r="159">
      <c r="A159">
        <f>I159&amp;"-"&amp;J159</f>
        <v/>
      </c>
      <c r="B159" s="1">
        <f>M159</f>
        <v/>
      </c>
      <c r="C159">
        <f>N159</f>
        <v/>
      </c>
      <c r="D159">
        <f>K159</f>
        <v/>
      </c>
      <c r="E159">
        <f>L159</f>
        <v/>
      </c>
      <c r="F159" s="236">
        <f>S159</f>
        <v/>
      </c>
      <c r="G159">
        <f>U159*100&amp;"%"</f>
        <v/>
      </c>
      <c r="I159" s="212" t="n">
        <v>2024</v>
      </c>
      <c r="J159" s="213" t="n">
        <v>158</v>
      </c>
      <c r="K159" s="71" t="inlineStr">
        <is>
          <t>Ausgaben</t>
        </is>
      </c>
      <c r="L159" t="inlineStr">
        <is>
          <t>Pflichversicherungsbeiträge</t>
        </is>
      </c>
      <c r="M159" s="1" t="n">
        <v>45625</v>
      </c>
      <c r="N159" t="inlineStr">
        <is>
          <t>SVS</t>
        </is>
      </c>
      <c r="Q159" t="b">
        <v>0</v>
      </c>
      <c r="R159" s="214" t="n">
        <v>5069.38</v>
      </c>
      <c r="S159" s="215" t="n">
        <v>5069.38</v>
      </c>
      <c r="T159" s="159" t="n">
        <v>1</v>
      </c>
      <c r="U159" s="159" t="n">
        <v>0</v>
      </c>
      <c r="V159" s="215" t="n">
        <v>0</v>
      </c>
      <c r="W159" s="215" t="n">
        <v>0</v>
      </c>
      <c r="X159" s="215" t="n">
        <v>5069.38</v>
      </c>
      <c r="Y159" s="215" t="n">
        <v>5069.38</v>
      </c>
      <c r="Z159" s="192" t="n">
        <v>45703</v>
      </c>
      <c r="AB159" s="220" t="n">
        <v>5069.38</v>
      </c>
      <c r="AC159" s="221" t="n">
        <v>0</v>
      </c>
      <c r="AD159" s="237" t="n">
        <v>0</v>
      </c>
      <c r="AE159" t="b">
        <v>0</v>
      </c>
      <c r="AF159" s="228" t="n">
        <v>-12</v>
      </c>
    </row>
    <row r="160">
      <c r="A160">
        <f>I160&amp;"-"&amp;J160</f>
        <v/>
      </c>
      <c r="B160" s="1">
        <f>M160</f>
        <v/>
      </c>
      <c r="C160">
        <f>N160</f>
        <v/>
      </c>
      <c r="D160">
        <f>K160</f>
        <v/>
      </c>
      <c r="E160">
        <f>L160</f>
        <v/>
      </c>
      <c r="F160" s="236">
        <f>S160</f>
        <v/>
      </c>
      <c r="G160">
        <f>U160*100&amp;"%"</f>
        <v/>
      </c>
      <c r="I160" s="212" t="n">
        <v>2024</v>
      </c>
      <c r="J160" s="213" t="n">
        <v>159</v>
      </c>
      <c r="K160" s="71" t="inlineStr">
        <is>
          <t>Ausgaben</t>
        </is>
      </c>
      <c r="L160" t="inlineStr">
        <is>
          <t>sonstige Betriebsausgaben</t>
        </is>
      </c>
      <c r="M160" s="1" t="n">
        <v>45629</v>
      </c>
      <c r="N160" t="inlineStr">
        <is>
          <t>muki POL 3000081716, ReNr 9002185373</t>
        </is>
      </c>
      <c r="Q160" t="b">
        <v>0</v>
      </c>
      <c r="R160" s="214" t="n">
        <v>436.5</v>
      </c>
      <c r="S160" s="215" t="n">
        <v>40.22533611058512</v>
      </c>
      <c r="T160" s="159" t="n">
        <v>0.09215426371268068</v>
      </c>
      <c r="U160" s="159" t="n">
        <v>0</v>
      </c>
      <c r="V160" s="215" t="n">
        <v>0</v>
      </c>
      <c r="W160" s="215" t="n">
        <v>0</v>
      </c>
      <c r="X160" s="215" t="n">
        <v>436.5</v>
      </c>
      <c r="Y160" s="215" t="n">
        <v>40.22533611058512</v>
      </c>
      <c r="Z160" s="192" t="n">
        <v>45703</v>
      </c>
      <c r="AB160" s="220" t="n">
        <v>40.22533611058512</v>
      </c>
      <c r="AC160" s="221" t="n">
        <v>0</v>
      </c>
      <c r="AD160" s="237" t="n">
        <v>10.44282</v>
      </c>
      <c r="AE160" t="b">
        <v>0</v>
      </c>
      <c r="AF160" s="228" t="n">
        <v>-52.2141</v>
      </c>
    </row>
    <row r="161">
      <c r="A161">
        <f>I161&amp;"-"&amp;J161</f>
        <v/>
      </c>
      <c r="B161" s="1">
        <f>M161</f>
        <v/>
      </c>
      <c r="C161">
        <f>N161</f>
        <v/>
      </c>
      <c r="D161">
        <f>K161</f>
        <v/>
      </c>
      <c r="E161">
        <f>L161</f>
        <v/>
      </c>
      <c r="F161" s="236">
        <f>S161</f>
        <v/>
      </c>
      <c r="G161">
        <f>U161*100&amp;"%"</f>
        <v/>
      </c>
      <c r="I161" s="212" t="n">
        <v>2024</v>
      </c>
      <c r="J161" s="213" t="n">
        <v>160</v>
      </c>
      <c r="K161" s="71" t="inlineStr">
        <is>
          <t>Ausgaben</t>
        </is>
      </c>
      <c r="L161" t="inlineStr">
        <is>
          <t>Telefon/Internet</t>
        </is>
      </c>
      <c r="M161" s="1" t="n">
        <v>45629</v>
      </c>
      <c r="N161" t="inlineStr">
        <is>
          <t>Hutchison Drei Austria GmbH, Brünner Straße 52, 1210 Wien, Österreich</t>
        </is>
      </c>
      <c r="Q161" t="b">
        <v>0</v>
      </c>
      <c r="R161" s="214" t="n">
        <v>13.91</v>
      </c>
      <c r="S161" s="215" t="n">
        <v>13.91</v>
      </c>
      <c r="T161" s="159" t="n">
        <v>1</v>
      </c>
      <c r="U161" s="159" t="n">
        <v>0.2</v>
      </c>
      <c r="V161" s="215" t="n">
        <v>2.318333333333333</v>
      </c>
      <c r="W161" s="215" t="n">
        <v>2.318333333333333</v>
      </c>
      <c r="X161" s="215" t="n">
        <v>11.59166666666667</v>
      </c>
      <c r="Y161" s="215" t="n">
        <v>11.59166666666667</v>
      </c>
      <c r="Z161" s="192" t="n">
        <v>45703</v>
      </c>
      <c r="AB161" s="220" t="n">
        <v>11.59166666666667</v>
      </c>
      <c r="AC161" s="221" t="n">
        <v>0</v>
      </c>
      <c r="AD161" s="237" t="n">
        <v>0</v>
      </c>
      <c r="AE161" t="b">
        <v>0</v>
      </c>
      <c r="AF161" s="228" t="n">
        <v>-365</v>
      </c>
    </row>
    <row r="162">
      <c r="A162">
        <f>I162&amp;"-"&amp;J162</f>
        <v/>
      </c>
      <c r="B162" s="1">
        <f>M162</f>
        <v/>
      </c>
      <c r="C162">
        <f>N162</f>
        <v/>
      </c>
      <c r="D162">
        <f>K162</f>
        <v/>
      </c>
      <c r="E162">
        <f>L162</f>
        <v/>
      </c>
      <c r="F162" s="236">
        <f>S162</f>
        <v/>
      </c>
      <c r="G162">
        <f>U162*100&amp;"%"</f>
        <v/>
      </c>
      <c r="I162" s="212" t="n">
        <v>2024</v>
      </c>
      <c r="J162" s="213" t="n">
        <v>161</v>
      </c>
      <c r="K162" s="71" t="inlineStr">
        <is>
          <t>Ausgaben</t>
        </is>
      </c>
      <c r="L162" t="inlineStr">
        <is>
          <t>sonstige Betriebsausgaben</t>
        </is>
      </c>
      <c r="M162" s="1" t="n">
        <v>45629</v>
      </c>
      <c r="N162" t="inlineStr">
        <is>
          <t>Google Ireland Ltd, Gordon House, Barrow Street, Dublin 4, Ireland; VAT number: IE 6388047V</t>
        </is>
      </c>
      <c r="Q162" t="b">
        <v>0</v>
      </c>
      <c r="R162" s="214" t="n">
        <v>13.8</v>
      </c>
      <c r="S162" s="215" t="n">
        <v>13.8</v>
      </c>
      <c r="T162" s="159" t="n">
        <v>1</v>
      </c>
      <c r="U162" s="159" t="n">
        <v>0</v>
      </c>
      <c r="V162" s="215" t="n">
        <v>0</v>
      </c>
      <c r="W162" s="215" t="n">
        <v>0</v>
      </c>
      <c r="X162" s="215" t="n">
        <v>13.8</v>
      </c>
      <c r="Y162" s="215" t="n">
        <v>13.8</v>
      </c>
      <c r="Z162" s="192" t="n">
        <v>45703</v>
      </c>
      <c r="AA162" t="n">
        <v>20</v>
      </c>
      <c r="AB162" s="220" t="n">
        <v>13.8</v>
      </c>
      <c r="AC162" s="221" t="n">
        <v>2.76</v>
      </c>
      <c r="AD162" s="237" t="n">
        <v>2.1</v>
      </c>
      <c r="AE162" t="b">
        <v>0</v>
      </c>
      <c r="AF162" s="228" t="n">
        <v>-10.5</v>
      </c>
    </row>
    <row r="163">
      <c r="A163">
        <f>I163&amp;"-"&amp;J163</f>
        <v/>
      </c>
      <c r="B163" s="1">
        <f>M163</f>
        <v/>
      </c>
      <c r="C163">
        <f>N163</f>
        <v/>
      </c>
      <c r="D163">
        <f>K163</f>
        <v/>
      </c>
      <c r="E163">
        <f>L163</f>
        <v/>
      </c>
      <c r="F163" s="236">
        <f>S163</f>
        <v/>
      </c>
      <c r="G163">
        <f>U163*100&amp;"%"</f>
        <v/>
      </c>
      <c r="I163" s="212" t="n">
        <v>2024</v>
      </c>
      <c r="J163" s="213" t="n">
        <v>162</v>
      </c>
      <c r="K163" s="71" t="inlineStr">
        <is>
          <t>Ausgaben</t>
        </is>
      </c>
      <c r="L163" t="inlineStr">
        <is>
          <t>sonstige Betriebsausgaben</t>
        </is>
      </c>
      <c r="M163" s="1" t="n">
        <v>45635</v>
      </c>
      <c r="N163" t="inlineStr">
        <is>
          <t>3W Die Steuerkanzlei, Roter Hof 1a, 1080 Wien</t>
        </is>
      </c>
      <c r="Q163" t="b">
        <v>0</v>
      </c>
      <c r="R163" s="214" t="n">
        <v>2160</v>
      </c>
      <c r="S163" s="215" t="n">
        <v>2160</v>
      </c>
      <c r="T163" s="159" t="n">
        <v>1</v>
      </c>
      <c r="U163" s="159" t="n">
        <v>0.2</v>
      </c>
      <c r="V163" s="215" t="n">
        <v>360</v>
      </c>
      <c r="W163" s="215" t="n">
        <v>360</v>
      </c>
      <c r="X163" s="215" t="n">
        <v>1800</v>
      </c>
      <c r="Y163" s="215" t="n">
        <v>1800</v>
      </c>
      <c r="Z163" s="192" t="n">
        <v>45703</v>
      </c>
      <c r="AB163" s="220" t="n">
        <v>1800</v>
      </c>
      <c r="AC163" s="221" t="n">
        <v>0</v>
      </c>
      <c r="AD163" s="237" t="n">
        <v>0</v>
      </c>
      <c r="AE163" t="b">
        <v>0</v>
      </c>
      <c r="AF163" s="228" t="n">
        <v>-31.92</v>
      </c>
    </row>
    <row r="164">
      <c r="A164">
        <f>I164&amp;"-"&amp;J164</f>
        <v/>
      </c>
      <c r="B164" s="1">
        <f>M164</f>
        <v/>
      </c>
      <c r="C164">
        <f>N164</f>
        <v/>
      </c>
      <c r="D164">
        <f>K164</f>
        <v/>
      </c>
      <c r="E164">
        <f>L164</f>
        <v/>
      </c>
      <c r="F164" s="236">
        <f>S164</f>
        <v/>
      </c>
      <c r="G164">
        <f>U164*100&amp;"%"</f>
        <v/>
      </c>
      <c r="I164" s="212" t="n">
        <v>2024</v>
      </c>
      <c r="J164" s="213" t="n">
        <v>163</v>
      </c>
      <c r="K164" s="71" t="inlineStr">
        <is>
          <t>Einnahmen</t>
        </is>
      </c>
      <c r="L164" t="inlineStr">
        <is>
          <t>Waren-/Leistungserlöse</t>
        </is>
      </c>
      <c r="M164" s="1" t="n">
        <v>45637</v>
      </c>
      <c r="N164" t="inlineStr">
        <is>
          <t>Hays Österreich GmbH, Bahnhof City Wien West - Europaplatz 3/5, 1150 Wien</t>
        </is>
      </c>
      <c r="R164" s="214" t="n">
        <v>22388.54</v>
      </c>
      <c r="S164" s="215" t="n">
        <v>22388.54</v>
      </c>
      <c r="T164" s="159" t="n">
        <v>1</v>
      </c>
      <c r="U164" s="159" t="n">
        <v>0.2</v>
      </c>
      <c r="V164" s="215" t="n">
        <v>3731.423333333334</v>
      </c>
      <c r="W164" s="215" t="n">
        <v>3731.423333333334</v>
      </c>
      <c r="X164" s="215" t="n">
        <v>18657.11666666667</v>
      </c>
      <c r="Y164" s="215" t="n">
        <v>18657.11666666667</v>
      </c>
      <c r="Z164" s="192" t="n">
        <v>45703</v>
      </c>
      <c r="AB164" s="220" t="n">
        <v>18657.11666666667</v>
      </c>
      <c r="AC164" s="221" t="n">
        <v>0</v>
      </c>
      <c r="AD164" s="237" t="n">
        <v>0</v>
      </c>
      <c r="AE164" t="b">
        <v>0</v>
      </c>
      <c r="AF164" s="228" t="n">
        <v>11969.63</v>
      </c>
    </row>
    <row r="165">
      <c r="A165">
        <f>I165&amp;"-"&amp;J165</f>
        <v/>
      </c>
      <c r="B165" s="1">
        <f>M165</f>
        <v/>
      </c>
      <c r="C165">
        <f>N165</f>
        <v/>
      </c>
      <c r="D165">
        <f>K165</f>
        <v/>
      </c>
      <c r="E165">
        <f>L165</f>
        <v/>
      </c>
      <c r="F165" s="236">
        <f>S165</f>
        <v/>
      </c>
      <c r="G165">
        <f>U165*100&amp;"%"</f>
        <v/>
      </c>
      <c r="I165" s="212" t="n">
        <v>2024</v>
      </c>
      <c r="J165" s="213" t="n">
        <v>164</v>
      </c>
      <c r="K165" s="71" t="inlineStr">
        <is>
          <t>Ausgaben</t>
        </is>
      </c>
      <c r="L165" t="inlineStr">
        <is>
          <t>sonstige Betriebsausgaben</t>
        </is>
      </c>
      <c r="M165" s="1" t="n">
        <v>45638</v>
      </c>
      <c r="N165" t="inlineStr">
        <is>
          <t>Hetzner Online GmbH, Industriestraße 25, 91710 Gunzenhausen</t>
        </is>
      </c>
      <c r="Q165" t="b">
        <v>0</v>
      </c>
      <c r="R165" s="214" t="n">
        <v>56</v>
      </c>
      <c r="S165" s="215" t="n">
        <v>56</v>
      </c>
      <c r="T165" s="159" t="n">
        <v>1</v>
      </c>
      <c r="U165" s="159" t="n">
        <v>0</v>
      </c>
      <c r="V165" s="215" t="n">
        <v>0</v>
      </c>
      <c r="W165" s="215" t="n">
        <v>0</v>
      </c>
      <c r="X165" s="215" t="n">
        <v>56</v>
      </c>
      <c r="Y165" s="215" t="n">
        <v>56</v>
      </c>
      <c r="Z165" s="192" t="n">
        <v>45703</v>
      </c>
      <c r="AA165" t="n">
        <v>20</v>
      </c>
      <c r="AB165" s="220" t="n">
        <v>56</v>
      </c>
      <c r="AC165" s="221" t="n">
        <v>11.2</v>
      </c>
      <c r="AD165" s="237" t="n">
        <v>4.056</v>
      </c>
      <c r="AE165" t="b">
        <v>0</v>
      </c>
      <c r="AF165" s="228" t="n">
        <v>-20.28</v>
      </c>
    </row>
    <row r="166">
      <c r="A166">
        <f>I166&amp;"-"&amp;J166</f>
        <v/>
      </c>
      <c r="B166" s="1">
        <f>M166</f>
        <v/>
      </c>
      <c r="C166">
        <f>N166</f>
        <v/>
      </c>
      <c r="D166">
        <f>K166</f>
        <v/>
      </c>
      <c r="E166">
        <f>L166</f>
        <v/>
      </c>
      <c r="F166" s="236">
        <f>S166</f>
        <v/>
      </c>
      <c r="G166">
        <f>U166*100&amp;"%"</f>
        <v/>
      </c>
      <c r="I166" s="212" t="n">
        <v>2024</v>
      </c>
      <c r="J166" s="213" t="n">
        <v>165</v>
      </c>
      <c r="K166" s="71" t="inlineStr">
        <is>
          <t>Ausgaben</t>
        </is>
      </c>
      <c r="L166" t="inlineStr">
        <is>
          <t>Telefon/Internet</t>
        </is>
      </c>
      <c r="M166" s="1" t="n">
        <v>45639</v>
      </c>
      <c r="N166" t="inlineStr">
        <is>
          <t>kabelplus GmbH, Südstadtzentrum 4, 2344 Maria Enzersdorf</t>
        </is>
      </c>
      <c r="Q166" t="b">
        <v>0</v>
      </c>
      <c r="R166" s="214" t="n">
        <v>55.7</v>
      </c>
      <c r="S166" s="215" t="n">
        <v>37.319</v>
      </c>
      <c r="T166" s="159" t="n">
        <v>0.67</v>
      </c>
      <c r="U166" s="159" t="n">
        <v>0.1721380471380471</v>
      </c>
      <c r="V166" s="215" t="n">
        <v>8.18</v>
      </c>
      <c r="W166" s="215" t="n">
        <v>5.4806</v>
      </c>
      <c r="X166" s="215" t="n">
        <v>47.52</v>
      </c>
      <c r="Y166" s="215" t="n">
        <v>31.8384</v>
      </c>
      <c r="Z166" s="192" t="n">
        <v>45703</v>
      </c>
      <c r="AB166" s="220" t="n">
        <v>31.8384</v>
      </c>
      <c r="AC166" s="221" t="n">
        <v>0</v>
      </c>
      <c r="AD166" s="237" t="n">
        <v>3.316</v>
      </c>
      <c r="AE166" t="b">
        <v>0</v>
      </c>
      <c r="AF166" s="228" t="n">
        <v>-16.58</v>
      </c>
    </row>
    <row r="167">
      <c r="A167">
        <f>I167&amp;"-"&amp;J167</f>
        <v/>
      </c>
      <c r="B167" s="1">
        <f>M167</f>
        <v/>
      </c>
      <c r="C167">
        <f>N167</f>
        <v/>
      </c>
      <c r="D167">
        <f>K167</f>
        <v/>
      </c>
      <c r="E167">
        <f>L167</f>
        <v/>
      </c>
      <c r="F167" s="236">
        <f>S167</f>
        <v/>
      </c>
      <c r="G167">
        <f>U167*100&amp;"%"</f>
        <v/>
      </c>
      <c r="I167" s="212" t="n">
        <v>2024</v>
      </c>
      <c r="J167" s="213" t="n">
        <v>166</v>
      </c>
      <c r="K167" s="71" t="inlineStr">
        <is>
          <t>Ausgaben</t>
        </is>
      </c>
      <c r="L167" t="inlineStr">
        <is>
          <t>sonstige Betriebsausgaben</t>
        </is>
      </c>
      <c r="M167" s="1" t="n">
        <v>45642</v>
      </c>
      <c r="N167" t="inlineStr">
        <is>
          <t>Hetzner Online GmbH, Industriestraße 25, 91710 Gunzenhausen</t>
        </is>
      </c>
      <c r="Q167" t="b">
        <v>0</v>
      </c>
      <c r="R167" s="214" t="n">
        <v>9.16</v>
      </c>
      <c r="S167" s="215" t="n">
        <v>9.16</v>
      </c>
      <c r="T167" s="159" t="n">
        <v>1</v>
      </c>
      <c r="U167" s="159" t="n">
        <v>0</v>
      </c>
      <c r="V167" s="215" t="n">
        <v>0</v>
      </c>
      <c r="W167" s="215" t="n">
        <v>0</v>
      </c>
      <c r="X167" s="215" t="n">
        <v>9.16</v>
      </c>
      <c r="Y167" s="215" t="n">
        <v>9.16</v>
      </c>
      <c r="Z167" s="192" t="n">
        <v>45703</v>
      </c>
      <c r="AA167" t="n">
        <v>20</v>
      </c>
      <c r="AB167" s="220" t="n">
        <v>9.16</v>
      </c>
      <c r="AC167" s="221" t="n">
        <v>1.832</v>
      </c>
      <c r="AD167" s="237" t="n">
        <v>0</v>
      </c>
      <c r="AE167" t="b">
        <v>0</v>
      </c>
      <c r="AF167" s="228" t="n">
        <v>-18.55</v>
      </c>
    </row>
    <row r="168">
      <c r="A168">
        <f>I168&amp;"-"&amp;J168</f>
        <v/>
      </c>
      <c r="B168" s="1">
        <f>M168</f>
        <v/>
      </c>
      <c r="C168">
        <f>N168</f>
        <v/>
      </c>
      <c r="D168">
        <f>K168</f>
        <v/>
      </c>
      <c r="E168">
        <f>L168</f>
        <v/>
      </c>
      <c r="F168" s="236">
        <f>S168</f>
        <v/>
      </c>
      <c r="G168">
        <f>U168*100&amp;"%"</f>
        <v/>
      </c>
      <c r="I168" s="212" t="n">
        <v>2024</v>
      </c>
      <c r="J168" s="213" t="n">
        <v>167</v>
      </c>
      <c r="K168" s="71" t="inlineStr">
        <is>
          <t>Einnahmen</t>
        </is>
      </c>
      <c r="L168" t="inlineStr">
        <is>
          <t>Waren-/Leistungserlöse</t>
        </is>
      </c>
      <c r="M168" s="1" t="n">
        <v>45645</v>
      </c>
      <c r="N168" t="inlineStr">
        <is>
          <t>Paperholic all ´bout paper e.U. - Birgit Horn, Koglgasse 15, 2111 Harmannsdorf</t>
        </is>
      </c>
      <c r="R168" s="214" t="n">
        <v>420</v>
      </c>
      <c r="S168" s="215" t="n">
        <v>420</v>
      </c>
      <c r="T168" s="159" t="n">
        <v>1</v>
      </c>
      <c r="U168" s="159" t="n">
        <v>0.2</v>
      </c>
      <c r="V168" s="215" t="n">
        <v>70</v>
      </c>
      <c r="W168" s="215" t="n">
        <v>70</v>
      </c>
      <c r="X168" s="215" t="n">
        <v>350</v>
      </c>
      <c r="Y168" s="215" t="n">
        <v>350</v>
      </c>
      <c r="Z168" s="192" t="n">
        <v>45703</v>
      </c>
      <c r="AB168" s="220" t="n">
        <v>350</v>
      </c>
      <c r="AC168" s="221" t="n">
        <v>0</v>
      </c>
      <c r="AD168" s="237" t="n">
        <v>0</v>
      </c>
      <c r="AE168" t="b">
        <v>0</v>
      </c>
      <c r="AF168" s="228" t="n">
        <v>-533.1083333333333</v>
      </c>
    </row>
    <row r="169">
      <c r="A169">
        <f>I169&amp;"-"&amp;J169</f>
        <v/>
      </c>
      <c r="B169" s="1">
        <f>M169</f>
        <v/>
      </c>
      <c r="C169">
        <f>N169</f>
        <v/>
      </c>
      <c r="D169">
        <f>K169</f>
        <v/>
      </c>
      <c r="E169">
        <f>L169</f>
        <v/>
      </c>
      <c r="F169" s="236">
        <f>S169</f>
        <v/>
      </c>
      <c r="G169">
        <f>U169*100&amp;"%"</f>
        <v/>
      </c>
      <c r="I169" s="212" t="n">
        <v>2024</v>
      </c>
      <c r="J169" s="213" t="n">
        <v>168</v>
      </c>
      <c r="K169" s="71" t="inlineStr">
        <is>
          <t>Ausgaben</t>
        </is>
      </c>
      <c r="L169" t="inlineStr">
        <is>
          <t>sonstige Betriebsausgaben</t>
        </is>
      </c>
      <c r="M169" s="1" t="n">
        <v>45646</v>
      </c>
      <c r="N169" t="inlineStr">
        <is>
          <t>EVN Wasser GmbH</t>
        </is>
      </c>
      <c r="Q169" t="b">
        <v>0</v>
      </c>
      <c r="R169" s="214" t="n">
        <v>110</v>
      </c>
      <c r="S169" s="215" t="n">
        <v>10.13696900839487</v>
      </c>
      <c r="T169" s="159" t="n">
        <v>0.09215426371268068</v>
      </c>
      <c r="U169" s="159" t="n">
        <v>0.1</v>
      </c>
      <c r="V169" s="215" t="n">
        <v>10</v>
      </c>
      <c r="W169" s="215" t="n">
        <v>0.9215426371268067</v>
      </c>
      <c r="X169" s="215" t="n">
        <v>99.99999999999999</v>
      </c>
      <c r="Y169" s="215" t="n">
        <v>9.215426371268066</v>
      </c>
      <c r="Z169" s="192" t="n">
        <v>45703</v>
      </c>
      <c r="AB169" s="220" t="n">
        <v>9.215426371268066</v>
      </c>
      <c r="AC169" s="221" t="n">
        <v>0</v>
      </c>
      <c r="AD169" s="237" t="n">
        <v>2.08</v>
      </c>
      <c r="AE169" t="b">
        <v>0</v>
      </c>
      <c r="AF169" s="228" t="n">
        <v>-10.4</v>
      </c>
    </row>
    <row r="170">
      <c r="A170">
        <f>I170&amp;"-"&amp;J170</f>
        <v/>
      </c>
      <c r="B170" s="1">
        <f>M170</f>
        <v/>
      </c>
      <c r="C170">
        <f>N170</f>
        <v/>
      </c>
      <c r="D170">
        <f>K170</f>
        <v/>
      </c>
      <c r="E170">
        <f>L170</f>
        <v/>
      </c>
      <c r="F170" s="236">
        <f>S170</f>
        <v/>
      </c>
      <c r="G170">
        <f>U170*100&amp;"%"</f>
        <v/>
      </c>
      <c r="I170" s="212" t="n">
        <v>2024</v>
      </c>
      <c r="J170" s="213" t="n">
        <v>169</v>
      </c>
      <c r="K170" s="71" t="inlineStr">
        <is>
          <t>Ausgaben</t>
        </is>
      </c>
      <c r="L170" t="inlineStr">
        <is>
          <t>sonstige Betriebsausgaben</t>
        </is>
      </c>
      <c r="M170" s="1" t="n">
        <v>45646</v>
      </c>
      <c r="N170" t="inlineStr">
        <is>
          <t>Microsoft Ireland Operations Ltd. One Microsoft Place, South County, Business Park, Leopardstown, Dublin 18, D18 P521, Ireland</t>
        </is>
      </c>
      <c r="Q170" t="b">
        <v>0</v>
      </c>
      <c r="R170" s="214" t="n">
        <v>11.7</v>
      </c>
      <c r="S170" s="215" t="n">
        <v>11.7</v>
      </c>
      <c r="T170" s="159" t="n">
        <v>1</v>
      </c>
      <c r="U170" s="159" t="n">
        <v>0</v>
      </c>
      <c r="V170" s="215" t="n">
        <v>0</v>
      </c>
      <c r="W170" s="215" t="n">
        <v>0</v>
      </c>
      <c r="X170" s="215" t="n">
        <v>11.7</v>
      </c>
      <c r="Y170" s="215" t="n">
        <v>11.7</v>
      </c>
      <c r="Z170" s="192" t="n">
        <v>45703</v>
      </c>
      <c r="AA170" t="n">
        <v>20</v>
      </c>
      <c r="AB170" s="220" t="n">
        <v>11.7</v>
      </c>
      <c r="AC170" s="221" t="n">
        <v>2.34</v>
      </c>
      <c r="AD170" s="237" t="n">
        <v>0</v>
      </c>
      <c r="AE170" t="b">
        <v>0</v>
      </c>
      <c r="AF170" s="228" t="n">
        <v>-10.75</v>
      </c>
    </row>
    <row r="171">
      <c r="A171">
        <f>I171&amp;"-"&amp;J171</f>
        <v/>
      </c>
      <c r="B171" s="1">
        <f>M171</f>
        <v/>
      </c>
      <c r="C171">
        <f>N171</f>
        <v/>
      </c>
      <c r="D171">
        <f>K171</f>
        <v/>
      </c>
      <c r="E171">
        <f>L171</f>
        <v/>
      </c>
      <c r="F171" s="236">
        <f>S171</f>
        <v/>
      </c>
      <c r="G171">
        <f>U171*100&amp;"%"</f>
        <v/>
      </c>
      <c r="I171" s="212" t="n">
        <v>2024</v>
      </c>
      <c r="J171" s="213" t="n">
        <v>170</v>
      </c>
      <c r="K171" s="71" t="inlineStr">
        <is>
          <t>Einnahmen</t>
        </is>
      </c>
      <c r="L171" t="inlineStr">
        <is>
          <t>Waren-/Leistungserlöse</t>
        </is>
      </c>
      <c r="M171" s="1" t="n">
        <v>45649</v>
      </c>
      <c r="N171" t="inlineStr">
        <is>
          <t>Musikschule Bad Vöslau, Hauptstraße 14, 2540 Bad Vöslau</t>
        </is>
      </c>
      <c r="R171" s="214" t="n">
        <v>1176</v>
      </c>
      <c r="S171" s="215" t="n">
        <v>1176</v>
      </c>
      <c r="T171" s="159" t="n">
        <v>1</v>
      </c>
      <c r="U171" s="159" t="n">
        <v>0.2</v>
      </c>
      <c r="V171" s="215" t="n">
        <v>196</v>
      </c>
      <c r="W171" s="215" t="n">
        <v>196</v>
      </c>
      <c r="X171" s="215" t="n">
        <v>980</v>
      </c>
      <c r="Y171" s="215" t="n">
        <v>980</v>
      </c>
      <c r="Z171" s="192" t="n">
        <v>45703</v>
      </c>
      <c r="AB171" s="220" t="n">
        <v>980</v>
      </c>
      <c r="AC171" s="221" t="n">
        <v>0</v>
      </c>
      <c r="AD171" s="237" t="n">
        <v>0</v>
      </c>
      <c r="AE171" t="b">
        <v>0</v>
      </c>
      <c r="AF171" s="228" t="n">
        <v>-108.5</v>
      </c>
    </row>
    <row r="172">
      <c r="A172">
        <f>I172&amp;"-"&amp;J172</f>
        <v/>
      </c>
      <c r="B172" s="1">
        <f>M172</f>
        <v/>
      </c>
      <c r="C172">
        <f>N172</f>
        <v/>
      </c>
      <c r="D172">
        <f>K172</f>
        <v/>
      </c>
      <c r="E172">
        <f>L172</f>
        <v/>
      </c>
      <c r="F172" s="236">
        <f>S172</f>
        <v/>
      </c>
      <c r="G172">
        <f>U172*100&amp;"%"</f>
        <v/>
      </c>
      <c r="I172" s="212" t="n">
        <v>2024</v>
      </c>
      <c r="J172" s="213" t="n">
        <v>171</v>
      </c>
      <c r="K172" s="71" t="inlineStr">
        <is>
          <t>Ausgaben</t>
        </is>
      </c>
      <c r="L172" t="inlineStr">
        <is>
          <t>Pflichversicherungsbeiträge</t>
        </is>
      </c>
      <c r="M172" s="1" t="n">
        <v>45653</v>
      </c>
      <c r="N172" t="inlineStr">
        <is>
          <t>SVS Vorauszahlung</t>
        </is>
      </c>
      <c r="Q172" t="b">
        <v>0</v>
      </c>
      <c r="R172" s="214" t="n">
        <v>30000</v>
      </c>
      <c r="S172" s="215" t="n">
        <v>30000</v>
      </c>
      <c r="T172" s="159" t="n">
        <v>1</v>
      </c>
      <c r="U172" s="159" t="n">
        <v>0</v>
      </c>
      <c r="V172" s="215" t="n">
        <v>0</v>
      </c>
      <c r="W172" s="215" t="n">
        <v>0</v>
      </c>
      <c r="X172" s="215" t="n">
        <v>30000</v>
      </c>
      <c r="Y172" s="215" t="n">
        <v>30000</v>
      </c>
      <c r="Z172" s="192" t="n">
        <v>45703</v>
      </c>
      <c r="AB172" s="220" t="n">
        <v>30000</v>
      </c>
      <c r="AC172" s="221" t="n">
        <v>0</v>
      </c>
      <c r="AD172" s="237" t="n">
        <v>0</v>
      </c>
      <c r="AE172" t="b">
        <v>0</v>
      </c>
      <c r="AF172" s="228" t="n">
        <v>-5</v>
      </c>
    </row>
    <row r="173">
      <c r="A173">
        <f>I173&amp;"-"&amp;J173</f>
        <v/>
      </c>
      <c r="B173" s="1">
        <f>M173</f>
        <v/>
      </c>
      <c r="C173">
        <f>N173</f>
        <v/>
      </c>
      <c r="D173">
        <f>K173</f>
        <v/>
      </c>
      <c r="E173">
        <f>L173</f>
        <v/>
      </c>
      <c r="F173" s="236">
        <f>S173</f>
        <v/>
      </c>
      <c r="G173">
        <f>U173*100&amp;"%"</f>
        <v/>
      </c>
      <c r="I173" s="212" t="n">
        <v>2024</v>
      </c>
      <c r="J173" s="213" t="n">
        <v>172</v>
      </c>
      <c r="K173" s="71" t="inlineStr">
        <is>
          <t>Ausgaben</t>
        </is>
      </c>
      <c r="L173" t="inlineStr">
        <is>
          <t>sonstige Betriebsausgaben</t>
        </is>
      </c>
      <c r="M173" s="1" t="n">
        <v>45653</v>
      </c>
      <c r="N173" t="inlineStr">
        <is>
          <t>OpenAI, LLC, 548 Market Street, PMB 97273, San Francisco, California 94104-5401, United States</t>
        </is>
      </c>
      <c r="Q173" t="b">
        <v>0</v>
      </c>
      <c r="R173" s="214" t="n">
        <v>23.56</v>
      </c>
      <c r="S173" s="215" t="n">
        <v>23.56</v>
      </c>
      <c r="T173" s="159" t="n">
        <v>1</v>
      </c>
      <c r="U173" s="159" t="n">
        <v>0.2</v>
      </c>
      <c r="V173" s="215" t="n">
        <v>3.873333333333334</v>
      </c>
      <c r="W173" s="215" t="n">
        <v>3.873333333333334</v>
      </c>
      <c r="X173" s="215" t="n">
        <v>19.36666666666667</v>
      </c>
      <c r="Y173" s="215" t="n">
        <v>19.36666666666667</v>
      </c>
      <c r="Z173" s="192" t="n">
        <v>45703</v>
      </c>
      <c r="AB173" s="220" t="n">
        <v>19.36666666666667</v>
      </c>
      <c r="AC173" s="221" t="n">
        <v>0</v>
      </c>
      <c r="AD173" s="237" t="n">
        <v>0</v>
      </c>
      <c r="AE173" t="b">
        <v>0</v>
      </c>
      <c r="AF173" s="228" t="n">
        <v>-16.91666666666667</v>
      </c>
    </row>
    <row r="174">
      <c r="A174">
        <f>I174&amp;"-"&amp;J174</f>
        <v/>
      </c>
      <c r="B174" s="1">
        <f>M174</f>
        <v/>
      </c>
      <c r="C174">
        <f>N174</f>
        <v/>
      </c>
      <c r="D174">
        <f>K174</f>
        <v/>
      </c>
      <c r="E174">
        <f>L174</f>
        <v/>
      </c>
      <c r="F174" s="236">
        <f>S174</f>
        <v/>
      </c>
      <c r="G174">
        <f>U174*100&amp;"%"</f>
        <v/>
      </c>
      <c r="I174" s="212" t="n">
        <v>2024</v>
      </c>
      <c r="J174" s="213" t="n">
        <v>173</v>
      </c>
      <c r="K174" s="71" t="inlineStr">
        <is>
          <t>Einnahmen</t>
        </is>
      </c>
      <c r="L174" t="inlineStr">
        <is>
          <t>Waren-/Leistungserlöse</t>
        </is>
      </c>
      <c r="M174" s="1" t="n">
        <v>45546</v>
      </c>
      <c r="N174" t="inlineStr">
        <is>
          <t>Wien Energie PV Ertrag</t>
        </is>
      </c>
      <c r="R174" s="214" t="n">
        <v>971.6799999999999</v>
      </c>
      <c r="S174" s="215" t="n">
        <v>971.6799999999999</v>
      </c>
      <c r="T174" s="159" t="n">
        <v>1</v>
      </c>
      <c r="U174" s="159" t="n">
        <v>0</v>
      </c>
      <c r="V174" s="215" t="n">
        <v>0</v>
      </c>
      <c r="W174" s="215" t="n">
        <v>0</v>
      </c>
      <c r="X174" s="215" t="n">
        <v>971.3599999999999</v>
      </c>
      <c r="Y174" s="215" t="n">
        <v>971.3599999999999</v>
      </c>
      <c r="Z174" s="192" t="n"/>
      <c r="AA174" t="n">
        <v>20</v>
      </c>
      <c r="AB174" s="220" t="n">
        <v>971.3599999999999</v>
      </c>
      <c r="AC174" s="221" t="n"/>
      <c r="AD174" s="237" t="n"/>
      <c r="AF174" s="228" t="n"/>
    </row>
    <row r="175">
      <c r="A175">
        <f>I175&amp;"-"&amp;J175</f>
        <v/>
      </c>
      <c r="B175" s="1">
        <f>M175</f>
        <v/>
      </c>
      <c r="C175">
        <f>N175</f>
        <v/>
      </c>
      <c r="D175">
        <f>K175</f>
        <v/>
      </c>
      <c r="E175">
        <f>L175</f>
        <v/>
      </c>
      <c r="F175" s="236">
        <f>S175</f>
        <v/>
      </c>
      <c r="G175">
        <f>U175*100&amp;"%"</f>
        <v/>
      </c>
      <c r="I175" s="212" t="n">
        <v>2024</v>
      </c>
      <c r="J175" s="213" t="n">
        <v>174</v>
      </c>
      <c r="K175" s="71" t="inlineStr">
        <is>
          <t>Ausgaben</t>
        </is>
      </c>
      <c r="L175" t="inlineStr">
        <is>
          <t>sonstige Betriebsausgaben</t>
        </is>
      </c>
      <c r="M175" s="1" t="n">
        <v>45643</v>
      </c>
      <c r="N175" t="inlineStr">
        <is>
          <t>Republik Österreich Bundesschatz 2030 1096 8725 - 4 J AUSZ</t>
        </is>
      </c>
      <c r="Q175" t="b">
        <v>0</v>
      </c>
      <c r="R175" s="214" t="n">
        <v>10550</v>
      </c>
      <c r="S175" s="215" t="n">
        <v>10550</v>
      </c>
      <c r="T175" s="159" t="n">
        <v>1</v>
      </c>
      <c r="U175" s="159" t="n">
        <v>0</v>
      </c>
      <c r="V175" s="215" t="n">
        <v>0</v>
      </c>
      <c r="W175" s="215" t="n">
        <v>0</v>
      </c>
      <c r="X175" s="215" t="n">
        <v>10549.68</v>
      </c>
      <c r="Y175" s="215" t="n">
        <v>10549.68</v>
      </c>
      <c r="Z175" s="192" t="n"/>
      <c r="AB175" s="220" t="n">
        <v>10549.68</v>
      </c>
      <c r="AC175" s="221" t="n"/>
      <c r="AD175" s="237" t="n"/>
      <c r="AF175" s="228" t="n"/>
    </row>
    <row r="176">
      <c r="A176">
        <f>I176&amp;"-"&amp;J176</f>
        <v/>
      </c>
      <c r="B176" s="1">
        <f>M176</f>
        <v/>
      </c>
      <c r="C176">
        <f>N176</f>
        <v/>
      </c>
      <c r="D176">
        <f>K176</f>
        <v/>
      </c>
      <c r="E176">
        <f>L176</f>
        <v/>
      </c>
      <c r="F176" s="236">
        <f>S176</f>
        <v/>
      </c>
      <c r="G176">
        <f>U176*100&amp;"%"</f>
        <v/>
      </c>
      <c r="I176" s="212" t="n">
        <v>2024</v>
      </c>
      <c r="J176" s="213" t="n">
        <v>175</v>
      </c>
      <c r="K176" s="71" t="inlineStr">
        <is>
          <t>Ausgaben</t>
        </is>
      </c>
      <c r="L176" t="inlineStr">
        <is>
          <t>Zinsen und ähnliche Aufwendungen</t>
        </is>
      </c>
      <c r="M176" s="1" t="n">
        <v>45657</v>
      </c>
      <c r="N176" t="inlineStr">
        <is>
          <t>WBF Zinsen, Hypo NOE Landesbank für Niederösterreich und Wien AG, Hypogasse 1, 3100 St Pölten</t>
        </is>
      </c>
      <c r="Q176" t="b">
        <v>0</v>
      </c>
      <c r="R176" s="214" t="n">
        <v>297</v>
      </c>
      <c r="S176" s="215" t="n">
        <v>27.36981632266616</v>
      </c>
      <c r="T176" s="159" t="n">
        <v>0.09215426371268068</v>
      </c>
      <c r="U176" s="159" t="n">
        <v>0</v>
      </c>
      <c r="V176" s="215" t="n">
        <v>0</v>
      </c>
      <c r="W176" s="215" t="n">
        <v>0</v>
      </c>
      <c r="X176" s="215" t="n">
        <v>296.68</v>
      </c>
      <c r="Y176" s="215" t="n">
        <v>27.3403269582781</v>
      </c>
      <c r="Z176" s="192" t="n"/>
      <c r="AB176" s="220" t="n">
        <v>27.3403269582781</v>
      </c>
      <c r="AC176" s="221" t="n"/>
      <c r="AD176" s="237" t="n"/>
      <c r="AF176" s="228" t="n"/>
    </row>
    <row r="177">
      <c r="A177">
        <f>I177&amp;"-"&amp;J177</f>
        <v/>
      </c>
      <c r="B177" s="1">
        <f>M177</f>
        <v/>
      </c>
      <c r="C177">
        <f>N177</f>
        <v/>
      </c>
      <c r="D177">
        <f>K177</f>
        <v/>
      </c>
      <c r="E177">
        <f>L177</f>
        <v/>
      </c>
      <c r="F177" s="236">
        <f>S177</f>
        <v/>
      </c>
      <c r="G177">
        <f>U177*100&amp;"%"</f>
        <v/>
      </c>
      <c r="I177" s="212" t="n">
        <v>2024</v>
      </c>
      <c r="J177" s="213" t="n">
        <v>176</v>
      </c>
      <c r="K177" s="71" t="inlineStr">
        <is>
          <t>Ausgaben</t>
        </is>
      </c>
      <c r="L177" t="inlineStr">
        <is>
          <t>Zinsen und ähnliche Aufwendungen</t>
        </is>
      </c>
      <c r="M177" s="1" t="n">
        <v>45657</v>
      </c>
      <c r="N177" t="inlineStr">
        <is>
          <t>Kreditzinsen, Erste Bank der österreichischen Sparkassen AG, Am Belvedere 1, 1100 Wien</t>
        </is>
      </c>
      <c r="Q177" t="b">
        <v>0</v>
      </c>
      <c r="R177" s="214" t="n">
        <v>7094.12</v>
      </c>
      <c r="S177" s="215" t="n">
        <v>653.7534052894023</v>
      </c>
      <c r="T177" s="159" t="n">
        <v>0.09215426371268068</v>
      </c>
      <c r="U177" s="159" t="n">
        <v>0</v>
      </c>
      <c r="V177" s="215" t="n">
        <v>0</v>
      </c>
      <c r="W177" s="215" t="n">
        <v>0</v>
      </c>
      <c r="X177" s="215" t="n">
        <v>7093.8</v>
      </c>
      <c r="Y177" s="215" t="n">
        <v>653.7239159250142</v>
      </c>
      <c r="Z177" s="192" t="n"/>
      <c r="AB177" s="220" t="n">
        <v>653.7239159250142</v>
      </c>
      <c r="AC177" s="221" t="n"/>
      <c r="AD177" s="237" t="n"/>
      <c r="AF177" s="228" t="n"/>
    </row>
    <row r="178">
      <c r="A178">
        <f>I178&amp;"-"&amp;J178</f>
        <v/>
      </c>
      <c r="B178" s="1">
        <f>M178</f>
        <v/>
      </c>
      <c r="C178">
        <f>N178</f>
        <v/>
      </c>
      <c r="D178">
        <f>K178</f>
        <v/>
      </c>
      <c r="E178">
        <f>L178</f>
        <v/>
      </c>
      <c r="F178" s="236">
        <f>S178</f>
        <v/>
      </c>
      <c r="G178">
        <f>U178*100&amp;"%"</f>
        <v/>
      </c>
      <c r="I178" s="212" t="n">
        <v>2024</v>
      </c>
      <c r="J178" s="213" t="n">
        <v>177</v>
      </c>
      <c r="K178" s="71" t="inlineStr">
        <is>
          <t>Einnahmen</t>
        </is>
      </c>
      <c r="L178" t="inlineStr">
        <is>
          <t>Zinsen und ähnliche Aufwendungen</t>
        </is>
      </c>
      <c r="M178" s="1" t="n">
        <v>45293</v>
      </c>
      <c r="N178" t="inlineStr">
        <is>
          <t>STORNO 2024-022</t>
        </is>
      </c>
      <c r="Q178" t="b">
        <v>0</v>
      </c>
      <c r="R178" s="214" t="n">
        <v>1701.85</v>
      </c>
      <c r="S178" s="215" t="n">
        <v>156.8327336994256</v>
      </c>
      <c r="T178" s="159" t="n">
        <v>0.09215426371268068</v>
      </c>
      <c r="U178" s="159" t="n">
        <v>0</v>
      </c>
      <c r="V178" s="215" t="n">
        <v>0</v>
      </c>
      <c r="W178" s="215" t="n">
        <v>0</v>
      </c>
      <c r="X178" s="215" t="n">
        <v>1701.85</v>
      </c>
      <c r="Y178" s="215" t="n">
        <v>156.8327336994256</v>
      </c>
      <c r="Z178" s="192" t="n">
        <v>45427</v>
      </c>
      <c r="AB178" s="220" t="n">
        <v>156.8327336994256</v>
      </c>
      <c r="AC178" s="221" t="n">
        <v>0</v>
      </c>
      <c r="AD178" s="237" t="n"/>
      <c r="AF178" s="228" t="n"/>
    </row>
    <row r="179">
      <c r="F179" s="236" t="n"/>
      <c r="I179" s="53" t="n"/>
      <c r="J179" s="53" t="n"/>
      <c r="K179" s="71" t="n"/>
      <c r="M179" s="1" t="n"/>
      <c r="P179" s="76" t="n"/>
      <c r="R179" s="214" t="n"/>
      <c r="S179" s="215" t="n"/>
      <c r="T179" s="159" t="n"/>
      <c r="U179" s="159" t="n"/>
      <c r="V179" s="215" t="n"/>
      <c r="W179" s="215" t="n"/>
      <c r="X179" s="215" t="n"/>
      <c r="Y179" s="215" t="n"/>
      <c r="Z179" s="192" t="n"/>
      <c r="AB179" s="220" t="n"/>
      <c r="AC179" s="221" t="n"/>
      <c r="AD179" s="237" t="n"/>
      <c r="AF179" s="228" t="n"/>
    </row>
    <row r="180">
      <c r="F180" s="236" t="n"/>
      <c r="I180" s="53" t="n"/>
      <c r="J180" s="53" t="n"/>
      <c r="K180" s="71" t="n"/>
      <c r="M180" s="1" t="n"/>
      <c r="P180" s="76" t="n"/>
      <c r="R180" s="214" t="n"/>
      <c r="S180" s="215" t="n"/>
      <c r="T180" s="159" t="n"/>
      <c r="U180" s="159" t="n"/>
      <c r="V180" s="215" t="n"/>
      <c r="W180" s="215" t="n"/>
      <c r="X180" s="215" t="n"/>
      <c r="Y180" s="215" t="n"/>
      <c r="Z180" s="192" t="n"/>
      <c r="AB180" s="220" t="n"/>
      <c r="AC180" s="221" t="n"/>
      <c r="AD180" s="237" t="n"/>
      <c r="AF180" s="228" t="n"/>
    </row>
    <row r="181">
      <c r="F181" s="236" t="n"/>
      <c r="I181" s="53" t="n"/>
      <c r="J181" s="53" t="n"/>
      <c r="K181" s="71" t="n"/>
      <c r="M181" s="1" t="n"/>
      <c r="P181" s="76" t="n"/>
      <c r="R181" s="214" t="n"/>
      <c r="S181" s="215" t="n"/>
      <c r="T181" s="159" t="n"/>
      <c r="U181" s="159" t="n"/>
      <c r="V181" s="215" t="n"/>
      <c r="W181" s="215" t="n"/>
      <c r="X181" s="215" t="n"/>
      <c r="Y181" s="215" t="n"/>
      <c r="Z181" s="192" t="n"/>
      <c r="AB181" s="220" t="n"/>
      <c r="AC181" s="221" t="n"/>
      <c r="AD181" s="237" t="n"/>
      <c r="AF181" s="228" t="n"/>
    </row>
    <row r="182">
      <c r="F182" s="236" t="n"/>
      <c r="I182" s="53" t="n"/>
      <c r="J182" s="53" t="n"/>
      <c r="K182" s="71" t="n"/>
      <c r="M182" s="1" t="n"/>
      <c r="P182" s="76" t="n"/>
      <c r="R182" s="214" t="n"/>
      <c r="S182" s="215" t="n"/>
      <c r="T182" s="159" t="n"/>
      <c r="U182" s="159" t="n"/>
      <c r="V182" s="215" t="n"/>
      <c r="W182" s="215" t="n"/>
      <c r="X182" s="215" t="n"/>
      <c r="Y182" s="215" t="n"/>
      <c r="Z182" s="192" t="n"/>
      <c r="AB182" s="220" t="n"/>
      <c r="AC182" s="221" t="n"/>
      <c r="AD182" s="237" t="n"/>
      <c r="AF182" s="228" t="n"/>
    </row>
    <row r="183">
      <c r="F183" s="236" t="n"/>
      <c r="I183" s="53" t="n"/>
      <c r="J183" s="53" t="n"/>
      <c r="K183" s="71" t="n"/>
      <c r="M183" s="1" t="n"/>
      <c r="P183" s="76" t="n"/>
      <c r="R183" s="214" t="n"/>
      <c r="S183" s="215" t="n"/>
      <c r="T183" s="159" t="n"/>
      <c r="U183" s="159" t="n"/>
      <c r="V183" s="215" t="n"/>
      <c r="W183" s="215" t="n"/>
      <c r="X183" s="215" t="n"/>
      <c r="Y183" s="215" t="n"/>
      <c r="Z183" s="192" t="n"/>
      <c r="AB183" s="220" t="n"/>
      <c r="AC183" s="221" t="n"/>
      <c r="AD183" s="237" t="n"/>
      <c r="AF183" s="228" t="n"/>
    </row>
    <row r="184">
      <c r="F184" s="236" t="n"/>
      <c r="I184" s="53" t="n"/>
      <c r="J184" s="53" t="n"/>
      <c r="K184" s="71" t="n"/>
      <c r="M184" s="1" t="n"/>
      <c r="P184" s="76" t="n"/>
      <c r="R184" s="214" t="n"/>
      <c r="S184" s="215" t="n"/>
      <c r="T184" s="159" t="n"/>
      <c r="U184" s="159" t="n"/>
      <c r="V184" s="215" t="n"/>
      <c r="W184" s="215" t="n"/>
      <c r="X184" s="215" t="n"/>
      <c r="Y184" s="215" t="n"/>
      <c r="Z184" s="192" t="n"/>
      <c r="AB184" s="220" t="n"/>
      <c r="AC184" s="221" t="n"/>
      <c r="AD184" s="237" t="n"/>
      <c r="AF184" s="228" t="n"/>
    </row>
    <row r="185">
      <c r="F185" s="236" t="n"/>
      <c r="I185" s="53" t="n"/>
      <c r="J185" s="53" t="n"/>
      <c r="K185" s="71" t="n"/>
      <c r="M185" s="1" t="n"/>
      <c r="P185" s="76" t="n"/>
      <c r="R185" s="214" t="n"/>
      <c r="S185" s="215" t="n"/>
      <c r="T185" s="159" t="n"/>
      <c r="U185" s="159" t="n"/>
      <c r="V185" s="215" t="n"/>
      <c r="W185" s="215" t="n"/>
      <c r="X185" s="215" t="n"/>
      <c r="Y185" s="215" t="n"/>
      <c r="Z185" s="192" t="n"/>
      <c r="AB185" s="220" t="n"/>
      <c r="AC185" s="221" t="n"/>
      <c r="AD185" s="237" t="n"/>
      <c r="AF185" s="228" t="n"/>
    </row>
    <row r="186">
      <c r="F186" s="236" t="n"/>
      <c r="I186" s="53" t="n"/>
      <c r="J186" s="53" t="n"/>
      <c r="K186" s="71" t="n"/>
      <c r="M186" s="1" t="n"/>
      <c r="P186" s="76" t="n"/>
      <c r="R186" s="214" t="n"/>
      <c r="S186" s="215" t="n"/>
      <c r="T186" s="159" t="n"/>
      <c r="U186" s="159" t="n"/>
      <c r="V186" s="215" t="n"/>
      <c r="W186" s="215" t="n"/>
      <c r="X186" s="215" t="n"/>
      <c r="Y186" s="215" t="n"/>
      <c r="Z186" s="192" t="n"/>
      <c r="AB186" s="220" t="n"/>
      <c r="AC186" s="221" t="n"/>
      <c r="AD186" s="237" t="n"/>
      <c r="AF186" s="228" t="n"/>
    </row>
    <row r="187">
      <c r="F187" s="236" t="n"/>
      <c r="I187" s="53" t="n"/>
      <c r="J187" s="53" t="n"/>
      <c r="K187" s="71" t="n"/>
      <c r="M187" s="1" t="n"/>
      <c r="P187" s="76" t="n"/>
      <c r="R187" s="214" t="n"/>
      <c r="S187" s="215" t="n"/>
      <c r="T187" s="159" t="n"/>
      <c r="U187" s="159" t="n"/>
      <c r="V187" s="215" t="n"/>
      <c r="W187" s="215" t="n"/>
      <c r="X187" s="215" t="n"/>
      <c r="Y187" s="215" t="n"/>
      <c r="Z187" s="192" t="n"/>
      <c r="AB187" s="220" t="n"/>
      <c r="AC187" s="221" t="n"/>
      <c r="AD187" s="237" t="n"/>
      <c r="AF187" s="228" t="n"/>
    </row>
    <row r="188">
      <c r="F188" s="236" t="n"/>
      <c r="I188" s="53" t="n"/>
      <c r="J188" s="53" t="n"/>
      <c r="K188" s="71" t="n"/>
      <c r="M188" s="1" t="n"/>
      <c r="P188" s="76" t="n"/>
      <c r="R188" s="214" t="n"/>
      <c r="S188" s="215" t="n"/>
      <c r="T188" s="159" t="n"/>
      <c r="U188" s="159" t="n"/>
      <c r="V188" s="215" t="n"/>
      <c r="W188" s="215" t="n"/>
      <c r="X188" s="215" t="n"/>
      <c r="Y188" s="215" t="n"/>
      <c r="Z188" s="192" t="n"/>
      <c r="AB188" s="220" t="n"/>
      <c r="AC188" s="221" t="n"/>
      <c r="AD188" s="237" t="n"/>
      <c r="AF188" s="228" t="n"/>
    </row>
    <row r="189">
      <c r="F189" s="236" t="n"/>
      <c r="I189" s="53" t="n"/>
      <c r="J189" s="53" t="n"/>
      <c r="K189" s="71" t="n"/>
      <c r="M189" s="1" t="n"/>
      <c r="P189" s="76" t="n"/>
      <c r="R189" s="214" t="n"/>
      <c r="S189" s="215" t="n"/>
      <c r="T189" s="159" t="n"/>
      <c r="U189" s="159" t="n"/>
      <c r="V189" s="215" t="n"/>
      <c r="W189" s="215" t="n"/>
      <c r="X189" s="215" t="n"/>
      <c r="Y189" s="215" t="n"/>
      <c r="Z189" s="192" t="n"/>
      <c r="AB189" s="220" t="n"/>
      <c r="AC189" s="221" t="n"/>
      <c r="AD189" s="237" t="n"/>
      <c r="AF189" s="228" t="n"/>
    </row>
    <row r="190">
      <c r="F190" s="236" t="n"/>
      <c r="I190" s="53" t="n"/>
      <c r="J190" s="53" t="n"/>
      <c r="K190" s="71" t="n"/>
      <c r="M190" s="1" t="n"/>
      <c r="P190" s="76" t="n"/>
      <c r="R190" s="214" t="n"/>
      <c r="S190" s="215" t="n"/>
      <c r="T190" s="159" t="n"/>
      <c r="U190" s="159" t="n"/>
      <c r="V190" s="215" t="n"/>
      <c r="W190" s="215" t="n"/>
      <c r="X190" s="215" t="n"/>
      <c r="Y190" s="215" t="n"/>
      <c r="Z190" s="192" t="n"/>
      <c r="AB190" s="220" t="n"/>
      <c r="AC190" s="221" t="n"/>
      <c r="AD190" s="237" t="n"/>
      <c r="AF190" s="228" t="n"/>
    </row>
    <row r="191">
      <c r="F191" s="236" t="n"/>
      <c r="I191" s="53" t="n"/>
      <c r="J191" s="53" t="n"/>
      <c r="K191" s="71" t="n"/>
      <c r="M191" s="1" t="n"/>
      <c r="P191" s="76" t="n"/>
      <c r="R191" s="214" t="n"/>
      <c r="S191" s="215" t="n"/>
      <c r="T191" s="159" t="n"/>
      <c r="U191" s="159" t="n"/>
      <c r="V191" s="215" t="n"/>
      <c r="W191" s="215" t="n"/>
      <c r="X191" s="215" t="n"/>
      <c r="Y191" s="215" t="n"/>
      <c r="Z191" s="192" t="n"/>
      <c r="AB191" s="220" t="n"/>
      <c r="AC191" s="221" t="n"/>
      <c r="AD191" s="237" t="n"/>
      <c r="AF191" s="228" t="n"/>
    </row>
    <row r="192">
      <c r="F192" s="236" t="n"/>
      <c r="I192" s="53" t="n"/>
      <c r="J192" s="53" t="n"/>
      <c r="K192" s="71" t="n"/>
      <c r="M192" s="1" t="n"/>
      <c r="P192" s="76" t="n"/>
      <c r="R192" s="214" t="n"/>
      <c r="S192" s="215" t="n"/>
      <c r="T192" s="159" t="n"/>
      <c r="U192" s="159" t="n"/>
      <c r="V192" s="215" t="n"/>
      <c r="W192" s="215" t="n"/>
      <c r="X192" s="215" t="n"/>
      <c r="Y192" s="215" t="n"/>
      <c r="Z192" s="192" t="n"/>
      <c r="AB192" s="220" t="n"/>
      <c r="AC192" s="221" t="n"/>
      <c r="AD192" s="237" t="n"/>
      <c r="AF192" s="228" t="n"/>
    </row>
    <row r="193">
      <c r="F193" s="236" t="n"/>
      <c r="I193" s="53" t="n"/>
      <c r="J193" s="53" t="n"/>
      <c r="K193" s="71" t="n"/>
      <c r="M193" s="1" t="n"/>
      <c r="P193" s="76" t="n"/>
      <c r="R193" s="214" t="n"/>
      <c r="S193" s="215" t="n"/>
      <c r="T193" s="159" t="n"/>
      <c r="U193" s="159" t="n"/>
      <c r="V193" s="215" t="n"/>
      <c r="W193" s="215" t="n"/>
      <c r="X193" s="215" t="n"/>
      <c r="Y193" s="215" t="n"/>
      <c r="Z193" s="192" t="n"/>
      <c r="AB193" s="220" t="n"/>
      <c r="AC193" s="221" t="n"/>
      <c r="AD193" s="237" t="n"/>
      <c r="AF193" s="228" t="n"/>
    </row>
    <row r="194">
      <c r="F194" s="236" t="n"/>
      <c r="I194" s="53" t="n"/>
      <c r="J194" s="53" t="n"/>
      <c r="K194" s="71" t="n"/>
      <c r="M194" s="1" t="n"/>
      <c r="P194" s="76" t="n"/>
      <c r="R194" s="214" t="n"/>
      <c r="S194" s="215" t="n"/>
      <c r="T194" s="159" t="n"/>
      <c r="U194" s="159" t="n"/>
      <c r="V194" s="215" t="n"/>
      <c r="W194" s="215" t="n"/>
      <c r="X194" s="215" t="n"/>
      <c r="Y194" s="215" t="n"/>
      <c r="Z194" s="192" t="n"/>
      <c r="AB194" s="220" t="n"/>
      <c r="AC194" s="221" t="n"/>
      <c r="AD194" s="237" t="n"/>
      <c r="AF194" s="228" t="n"/>
    </row>
    <row r="195">
      <c r="F195" s="236" t="n"/>
      <c r="I195" s="53" t="n"/>
      <c r="J195" s="53" t="n"/>
      <c r="K195" s="71" t="n"/>
      <c r="M195" s="1" t="n"/>
      <c r="P195" s="76" t="n"/>
      <c r="R195" s="214" t="n"/>
      <c r="S195" s="215" t="n"/>
      <c r="T195" s="159" t="n"/>
      <c r="U195" s="159" t="n"/>
      <c r="V195" s="215" t="n"/>
      <c r="W195" s="215" t="n"/>
      <c r="X195" s="215" t="n"/>
      <c r="Y195" s="215" t="n"/>
      <c r="Z195" s="192" t="n"/>
      <c r="AB195" s="220" t="n"/>
      <c r="AC195" s="221" t="n"/>
      <c r="AD195" s="237" t="n"/>
      <c r="AF195" s="228" t="n"/>
    </row>
    <row r="196">
      <c r="F196" s="236" t="n"/>
      <c r="I196" s="53" t="n"/>
      <c r="J196" s="53" t="n"/>
      <c r="K196" s="71" t="n"/>
      <c r="M196" s="1" t="n"/>
      <c r="P196" s="76" t="n"/>
      <c r="R196" s="214" t="n"/>
      <c r="S196" s="215" t="n"/>
      <c r="T196" s="159" t="n"/>
      <c r="U196" s="159" t="n"/>
      <c r="V196" s="215" t="n"/>
      <c r="W196" s="215" t="n"/>
      <c r="X196" s="215" t="n"/>
      <c r="Y196" s="215" t="n"/>
      <c r="Z196" s="192" t="n"/>
      <c r="AB196" s="220" t="n"/>
      <c r="AC196" s="221" t="n"/>
      <c r="AD196" s="237" t="n"/>
      <c r="AF196" s="228" t="n"/>
    </row>
    <row r="197">
      <c r="F197" s="236" t="n"/>
      <c r="I197" s="53" t="n"/>
      <c r="J197" s="53" t="n"/>
      <c r="K197" s="71" t="n"/>
      <c r="M197" s="1" t="n"/>
      <c r="P197" s="76" t="n"/>
      <c r="R197" s="214" t="n"/>
      <c r="S197" s="215" t="n"/>
      <c r="T197" s="159" t="n"/>
      <c r="U197" s="159" t="n"/>
      <c r="V197" s="215" t="n"/>
      <c r="W197" s="215" t="n"/>
      <c r="X197" s="215" t="n"/>
      <c r="Y197" s="215" t="n"/>
      <c r="Z197" s="192" t="n"/>
      <c r="AB197" s="220" t="n"/>
      <c r="AC197" s="221" t="n"/>
      <c r="AD197" s="237" t="n"/>
      <c r="AF197" s="228" t="n"/>
    </row>
    <row r="198">
      <c r="F198" s="236" t="n"/>
      <c r="I198" s="53" t="n"/>
      <c r="J198" s="53" t="n"/>
      <c r="K198" s="71" t="n"/>
      <c r="M198" s="1" t="n"/>
      <c r="P198" s="76" t="n"/>
      <c r="R198" s="214" t="n"/>
      <c r="S198" s="215" t="n"/>
      <c r="T198" s="159" t="n"/>
      <c r="U198" s="159" t="n"/>
      <c r="V198" s="215" t="n"/>
      <c r="W198" s="215" t="n"/>
      <c r="X198" s="215" t="n"/>
      <c r="Y198" s="215" t="n"/>
      <c r="Z198" s="192" t="n"/>
      <c r="AB198" s="220" t="n"/>
      <c r="AC198" s="221" t="n"/>
      <c r="AD198" s="237" t="n"/>
      <c r="AF198" s="228" t="n"/>
    </row>
    <row r="199">
      <c r="F199" s="236" t="n"/>
      <c r="I199" s="53" t="n"/>
      <c r="J199" s="53" t="n"/>
      <c r="K199" s="71" t="n"/>
      <c r="M199" s="1" t="n"/>
      <c r="P199" s="76" t="n"/>
      <c r="R199" s="214" t="n"/>
      <c r="S199" s="215" t="n"/>
      <c r="T199" s="159" t="n"/>
      <c r="U199" s="159" t="n"/>
      <c r="V199" s="215" t="n"/>
      <c r="W199" s="215" t="n"/>
      <c r="X199" s="215" t="n"/>
      <c r="Y199" s="215" t="n"/>
      <c r="Z199" s="192" t="n"/>
      <c r="AB199" s="220" t="n"/>
      <c r="AC199" s="221" t="n"/>
      <c r="AD199" s="237" t="n"/>
      <c r="AF199" s="228" t="n"/>
    </row>
    <row r="200">
      <c r="F200" s="236" t="n"/>
      <c r="I200" s="53" t="n"/>
      <c r="J200" s="53" t="n"/>
      <c r="K200" s="71" t="n"/>
      <c r="M200" s="1" t="n"/>
      <c r="P200" s="76" t="n"/>
      <c r="R200" s="214" t="n"/>
      <c r="S200" s="215" t="n"/>
      <c r="T200" s="159" t="n"/>
      <c r="U200" s="159" t="n"/>
      <c r="V200" s="215" t="n"/>
      <c r="W200" s="215" t="n"/>
      <c r="X200" s="215" t="n"/>
      <c r="Y200" s="215" t="n"/>
      <c r="Z200" s="192" t="n"/>
      <c r="AB200" s="220" t="n"/>
      <c r="AC200" s="221" t="n"/>
      <c r="AD200" s="237" t="n"/>
      <c r="AF200" s="228" t="n"/>
    </row>
    <row r="201">
      <c r="F201" s="236" t="n"/>
      <c r="I201" s="53" t="n"/>
      <c r="J201" s="53" t="n"/>
      <c r="K201" s="71" t="n"/>
      <c r="M201" s="1" t="n"/>
      <c r="P201" s="76" t="n"/>
      <c r="R201" s="214" t="n"/>
      <c r="S201" s="215" t="n"/>
      <c r="T201" s="159" t="n"/>
      <c r="U201" s="159" t="n"/>
      <c r="V201" s="215" t="n"/>
      <c r="W201" s="215" t="n"/>
      <c r="X201" s="215" t="n"/>
      <c r="Y201" s="215" t="n"/>
      <c r="Z201" s="192" t="n"/>
      <c r="AB201" s="220" t="n"/>
      <c r="AC201" s="221" t="n"/>
      <c r="AD201" s="237" t="n"/>
      <c r="AF201" s="228" t="n"/>
    </row>
    <row r="202">
      <c r="F202" s="236" t="n"/>
      <c r="I202" s="53" t="n"/>
      <c r="J202" s="53" t="n"/>
      <c r="K202" s="71" t="n"/>
      <c r="M202" s="1" t="n"/>
      <c r="P202" s="76" t="n"/>
      <c r="R202" s="214" t="n"/>
      <c r="S202" s="215" t="n"/>
      <c r="T202" s="159" t="n"/>
      <c r="U202" s="159" t="n"/>
      <c r="V202" s="215" t="n"/>
      <c r="W202" s="215" t="n"/>
      <c r="X202" s="215" t="n"/>
      <c r="Y202" s="215" t="n"/>
      <c r="Z202" s="192" t="n"/>
      <c r="AB202" s="220" t="n"/>
      <c r="AC202" s="221" t="n"/>
      <c r="AD202" s="237" t="n"/>
      <c r="AF202" s="228" t="n"/>
    </row>
    <row r="203">
      <c r="F203" s="236" t="n"/>
      <c r="I203" s="53" t="n"/>
      <c r="J203" s="53" t="n"/>
      <c r="K203" s="71" t="n"/>
      <c r="M203" s="1" t="n"/>
      <c r="P203" s="76" t="n"/>
      <c r="R203" s="214" t="n"/>
      <c r="S203" s="215" t="n"/>
      <c r="T203" s="159" t="n"/>
      <c r="U203" s="159" t="n"/>
      <c r="V203" s="215" t="n"/>
      <c r="W203" s="215" t="n"/>
      <c r="X203" s="215" t="n"/>
      <c r="Y203" s="215" t="n"/>
      <c r="Z203" s="192" t="n"/>
      <c r="AB203" s="220" t="n"/>
      <c r="AC203" s="221" t="n"/>
      <c r="AD203" s="237" t="n"/>
      <c r="AF203" s="228" t="n"/>
    </row>
    <row r="204">
      <c r="F204" s="236" t="n"/>
      <c r="I204" s="53" t="n"/>
      <c r="J204" s="53" t="n"/>
      <c r="K204" s="71" t="n"/>
      <c r="M204" s="1" t="n"/>
      <c r="N204" s="154" t="n"/>
      <c r="P204" s="76" t="n"/>
      <c r="R204" s="214" t="n"/>
      <c r="S204" s="215" t="n"/>
      <c r="T204" s="159" t="n"/>
      <c r="U204" s="159" t="n"/>
      <c r="V204" s="215" t="n"/>
      <c r="W204" s="215" t="n"/>
      <c r="X204" s="215" t="n"/>
      <c r="Y204" s="215" t="n"/>
      <c r="Z204" s="192" t="n"/>
      <c r="AB204" s="220" t="n"/>
      <c r="AC204" s="221" t="n"/>
      <c r="AD204" s="237" t="n"/>
      <c r="AF204" s="228" t="n"/>
    </row>
    <row r="205">
      <c r="F205" s="236" t="n"/>
      <c r="I205" s="53" t="n"/>
      <c r="J205" s="53" t="n"/>
      <c r="K205" s="71" t="n"/>
      <c r="M205" s="1" t="n"/>
      <c r="N205" s="154" t="n"/>
      <c r="P205" s="76" t="n"/>
      <c r="R205" s="214" t="n"/>
      <c r="S205" s="215" t="n"/>
      <c r="T205" s="159" t="n"/>
      <c r="U205" s="159" t="n"/>
      <c r="V205" s="215" t="n"/>
      <c r="W205" s="215" t="n"/>
      <c r="X205" s="215" t="n"/>
      <c r="Y205" s="215" t="n"/>
      <c r="Z205" s="192" t="n"/>
      <c r="AB205" s="220" t="n"/>
      <c r="AC205" s="221" t="n"/>
      <c r="AD205" s="237" t="n"/>
      <c r="AF205" s="228" t="n"/>
    </row>
    <row r="206">
      <c r="F206" s="236" t="n"/>
      <c r="I206" s="53" t="n"/>
      <c r="J206" s="53" t="n"/>
      <c r="K206" s="71" t="n"/>
      <c r="M206" s="1" t="n"/>
      <c r="N206" s="154" t="n"/>
      <c r="P206" s="76" t="n"/>
      <c r="R206" s="214" t="n"/>
      <c r="S206" s="215" t="n"/>
      <c r="T206" s="159" t="n"/>
      <c r="U206" s="159" t="n"/>
      <c r="V206" s="215" t="n"/>
      <c r="W206" s="215" t="n"/>
      <c r="X206" s="215" t="n"/>
      <c r="Y206" s="215" t="n"/>
      <c r="Z206" s="192" t="n"/>
      <c r="AB206" s="220" t="n"/>
      <c r="AC206" s="221" t="n"/>
      <c r="AD206" s="237" t="n"/>
      <c r="AF206" s="228" t="n"/>
    </row>
    <row r="207">
      <c r="F207" s="236" t="n"/>
      <c r="I207" s="53" t="n"/>
      <c r="J207" s="53" t="n"/>
      <c r="K207" s="71" t="n"/>
      <c r="M207" s="1" t="n"/>
      <c r="N207" s="154" t="n"/>
      <c r="P207" s="76" t="n"/>
      <c r="R207" s="214" t="n"/>
      <c r="S207" s="215" t="n"/>
      <c r="T207" s="159" t="n"/>
      <c r="U207" s="159" t="n"/>
      <c r="V207" s="215" t="n"/>
      <c r="W207" s="215" t="n"/>
      <c r="X207" s="215" t="n"/>
      <c r="Y207" s="215" t="n"/>
      <c r="Z207" s="192" t="n"/>
      <c r="AB207" s="220" t="n"/>
      <c r="AC207" s="221" t="n"/>
      <c r="AD207" s="237" t="n"/>
      <c r="AF207" s="228" t="n"/>
    </row>
    <row r="208">
      <c r="F208" s="236" t="n"/>
      <c r="I208" s="53" t="n"/>
      <c r="J208" s="53" t="n"/>
      <c r="K208" s="71" t="n"/>
      <c r="M208" s="1" t="n"/>
      <c r="N208" s="154" t="n"/>
      <c r="P208" s="76" t="n"/>
      <c r="R208" s="214" t="n"/>
      <c r="S208" s="215" t="n"/>
      <c r="T208" s="159" t="n"/>
      <c r="U208" s="159" t="n"/>
      <c r="V208" s="215" t="n"/>
      <c r="W208" s="215" t="n"/>
      <c r="X208" s="215" t="n"/>
      <c r="Y208" s="215" t="n"/>
      <c r="Z208" s="192" t="n"/>
      <c r="AB208" s="220" t="n"/>
      <c r="AC208" s="221" t="n"/>
      <c r="AD208" s="237" t="n"/>
      <c r="AF208" s="228" t="n"/>
    </row>
    <row r="209">
      <c r="F209" s="236" t="n"/>
      <c r="I209" s="53" t="n"/>
      <c r="J209" s="53" t="n"/>
      <c r="K209" s="71" t="n"/>
      <c r="M209" s="1" t="n"/>
      <c r="P209" s="76" t="n"/>
      <c r="R209" s="214" t="n"/>
      <c r="S209" s="215" t="n"/>
      <c r="T209" s="159" t="n"/>
      <c r="U209" s="159" t="n"/>
      <c r="V209" s="215" t="n"/>
      <c r="W209" s="215" t="n"/>
      <c r="X209" s="215" t="n"/>
      <c r="Y209" s="215" t="n"/>
      <c r="Z209" s="192" t="n"/>
      <c r="AB209" s="220" t="n"/>
      <c r="AC209" s="221" t="n"/>
      <c r="AD209" s="237" t="n"/>
      <c r="AF209" s="228" t="n"/>
    </row>
    <row r="210">
      <c r="F210" s="236" t="n"/>
    </row>
    <row r="211">
      <c r="F211" s="236" t="n"/>
    </row>
    <row r="212">
      <c r="F212" s="236" t="n"/>
    </row>
    <row r="213">
      <c r="F213" s="236" t="n"/>
    </row>
    <row r="214">
      <c r="F214" s="236" t="n"/>
    </row>
    <row r="215">
      <c r="F215" s="236" t="n"/>
    </row>
    <row r="216">
      <c r="F216" s="236" t="n"/>
    </row>
    <row r="217">
      <c r="F217" s="236" t="n"/>
    </row>
    <row r="218">
      <c r="F218" s="236" t="n"/>
    </row>
    <row r="219">
      <c r="F219" s="236" t="n"/>
    </row>
    <row r="220">
      <c r="F220" s="236" t="n"/>
    </row>
    <row r="221">
      <c r="F221" s="236" t="n"/>
    </row>
    <row r="224">
      <c r="Y224" s="229" t="n"/>
    </row>
  </sheetData>
  <autoFilter ref="A1:XEJ221"/>
  <conditionalFormatting sqref="D1">
    <cfRule type="containsText" priority="1739" operator="containsText" dxfId="1" text="Einnahmen">
      <formula>NOT(ISERROR(SEARCH("Einnahmen",D1)))</formula>
    </cfRule>
    <cfRule type="containsText" priority="1740" operator="containsText" dxfId="0" text="Ausgaben">
      <formula>NOT(ISERROR(SEARCH("Ausgaben",D1)))</formula>
    </cfRule>
  </conditionalFormatting>
  <conditionalFormatting sqref="B1">
    <cfRule type="expression" priority="1738" dxfId="2">
      <formula>ISBLANK(#REF!)</formula>
    </cfRule>
  </conditionalFormatting>
  <conditionalFormatting sqref="K206 K208">
    <cfRule type="containsText" priority="1736" operator="containsText" dxfId="1" text="Einnahmen">
      <formula>NOT(ISERROR(SEARCH("Einnahmen",K206)))</formula>
    </cfRule>
    <cfRule type="containsText" priority="1737" operator="containsText" dxfId="0" text="Ausgaben">
      <formula>NOT(ISERROR(SEARCH("Ausgaben",K206)))</formula>
    </cfRule>
  </conditionalFormatting>
  <conditionalFormatting sqref="K201 K205 K207">
    <cfRule type="containsText" priority="1734" operator="containsText" dxfId="1" text="Einnahmen">
      <formula>NOT(ISERROR(SEARCH("Einnahmen",K201)))</formula>
    </cfRule>
    <cfRule type="containsText" priority="1735" operator="containsText" dxfId="0" text="Ausgaben">
      <formula>NOT(ISERROR(SEARCH("Ausgaben",K201)))</formula>
    </cfRule>
  </conditionalFormatting>
  <conditionalFormatting sqref="K202">
    <cfRule type="containsText" priority="1732" operator="containsText" dxfId="1" text="Einnahmen">
      <formula>NOT(ISERROR(SEARCH("Einnahmen",K202)))</formula>
    </cfRule>
    <cfRule type="containsText" priority="1733" operator="containsText" dxfId="0" text="Ausgaben">
      <formula>NOT(ISERROR(SEARCH("Ausgaben",K202)))</formula>
    </cfRule>
  </conditionalFormatting>
  <conditionalFormatting sqref="K203:K204">
    <cfRule type="containsText" priority="1730" operator="containsText" dxfId="1" text="Einnahmen">
      <formula>NOT(ISERROR(SEARCH("Einnahmen",K203)))</formula>
    </cfRule>
    <cfRule type="containsText" priority="1731" operator="containsText" dxfId="0" text="Ausgaben">
      <formula>NOT(ISERROR(SEARCH("Ausgaben",K203)))</formula>
    </cfRule>
  </conditionalFormatting>
  <conditionalFormatting sqref="K209">
    <cfRule type="containsText" priority="1728" operator="containsText" dxfId="1" text="Einnahmen">
      <formula>NOT(ISERROR(SEARCH("Einnahmen",K209)))</formula>
    </cfRule>
    <cfRule type="containsText" priority="1729" operator="containsText" dxfId="0" text="Ausgaben">
      <formula>NOT(ISERROR(SEARCH("Ausgaben",K209)))</formula>
    </cfRule>
  </conditionalFormatting>
  <conditionalFormatting sqref="P179:P184 P205:P209">
    <cfRule type="cellIs" priority="1727" operator="equal" dxfId="2034">
      <formula>"ja"</formula>
    </cfRule>
  </conditionalFormatting>
  <conditionalFormatting sqref="P201">
    <cfRule type="cellIs" priority="1726" operator="equal" dxfId="2034">
      <formula>"ja"</formula>
    </cfRule>
    <cfRule type="cellIs" priority="1721" operator="equal" dxfId="2034">
      <formula>"ja"</formula>
    </cfRule>
  </conditionalFormatting>
  <conditionalFormatting sqref="AF201">
    <cfRule type="dataBar" priority="1724">
      <dataBar>
        <cfvo type="min"/>
        <cfvo type="max"/>
        <color rgb="FF63C384"/>
      </dataBar>
    </cfRule>
    <cfRule type="dataBar" priority="1723">
      <dataBar>
        <cfvo type="min"/>
        <cfvo type="max"/>
        <color rgb="FF63C384"/>
      </dataBar>
    </cfRule>
    <cfRule type="dataBar" priority="1720">
      <dataBar>
        <cfvo type="min"/>
        <cfvo type="max"/>
        <color rgb="FF63C384"/>
      </dataBar>
    </cfRule>
    <cfRule type="dataBar" priority="1719">
      <dataBar>
        <cfvo type="min"/>
        <cfvo type="max"/>
        <color rgb="FF63C384"/>
      </dataBar>
    </cfRule>
  </conditionalFormatting>
  <conditionalFormatting sqref="P202">
    <cfRule type="cellIs" priority="1718" operator="equal" dxfId="2034">
      <formula>"ja"</formula>
    </cfRule>
  </conditionalFormatting>
  <conditionalFormatting sqref="AF202">
    <cfRule type="dataBar" priority="1716">
      <dataBar>
        <cfvo type="min"/>
        <cfvo type="max"/>
        <color rgb="FF63C384"/>
      </dataBar>
    </cfRule>
    <cfRule type="dataBar" priority="1715">
      <dataBar>
        <cfvo type="min"/>
        <cfvo type="max"/>
        <color rgb="FF63C384"/>
      </dataBar>
    </cfRule>
  </conditionalFormatting>
  <conditionalFormatting sqref="P203">
    <cfRule type="cellIs" priority="1713" operator="equal" dxfId="2034">
      <formula>"ja"</formula>
    </cfRule>
  </conditionalFormatting>
  <conditionalFormatting sqref="AF203">
    <cfRule type="dataBar" priority="1712">
      <dataBar>
        <cfvo type="min"/>
        <cfvo type="max"/>
        <color rgb="FF63C384"/>
      </dataBar>
    </cfRule>
    <cfRule type="dataBar" priority="1711">
      <dataBar>
        <cfvo type="min"/>
        <cfvo type="max"/>
        <color rgb="FF63C384"/>
      </dataBar>
    </cfRule>
  </conditionalFormatting>
  <conditionalFormatting sqref="P204">
    <cfRule type="cellIs" priority="1710" operator="equal" dxfId="2034">
      <formula>"ja"</formula>
    </cfRule>
    <cfRule type="cellIs" priority="1709" operator="equal" dxfId="2034">
      <formula>"ja"</formula>
    </cfRule>
  </conditionalFormatting>
  <conditionalFormatting sqref="AF204:AF208">
    <cfRule type="dataBar" priority="1707">
      <dataBar>
        <cfvo type="min"/>
        <cfvo type="max"/>
        <color rgb="FF63C384"/>
      </dataBar>
    </cfRule>
    <cfRule type="dataBar" priority="1706">
      <dataBar>
        <cfvo type="min"/>
        <cfvo type="max"/>
        <color rgb="FF63C384"/>
      </dataBar>
    </cfRule>
  </conditionalFormatting>
  <conditionalFormatting sqref="AF209">
    <cfRule type="dataBar" priority="1705">
      <dataBar>
        <cfvo type="min"/>
        <cfvo type="max"/>
        <color rgb="FF63C384"/>
      </dataBar>
    </cfRule>
    <cfRule type="dataBar" priority="1704">
      <dataBar>
        <cfvo type="min"/>
        <cfvo type="max"/>
        <color rgb="FF63C384"/>
      </dataBar>
    </cfRule>
    <cfRule type="dataBar" priority="1703">
      <dataBar>
        <cfvo type="min"/>
        <cfvo type="max"/>
        <color rgb="FF63C384"/>
      </dataBar>
    </cfRule>
    <cfRule type="dataBar" priority="1702">
      <dataBar>
        <cfvo type="min"/>
        <cfvo type="max"/>
        <color rgb="FF63C384"/>
      </dataBar>
    </cfRule>
  </conditionalFormatting>
  <conditionalFormatting sqref="K182 K191">
    <cfRule type="containsText" priority="1700" operator="containsText" dxfId="1" text="Einnahmen">
      <formula>NOT(ISERROR(SEARCH("Einnahmen",K182)))</formula>
    </cfRule>
    <cfRule type="containsText" priority="1701" operator="containsText" dxfId="0" text="Ausgaben">
      <formula>NOT(ISERROR(SEARCH("Ausgaben",K182)))</formula>
    </cfRule>
  </conditionalFormatting>
  <conditionalFormatting sqref="K179">
    <cfRule type="containsText" priority="1266" operator="containsText" dxfId="1" text="Einnahmen">
      <formula>NOT(ISERROR(SEARCH("Einnahmen",K179)))</formula>
    </cfRule>
    <cfRule type="containsText" priority="1267" operator="containsText" dxfId="0" text="Ausgaben">
      <formula>NOT(ISERROR(SEARCH("Ausgaben",K179)))</formula>
    </cfRule>
  </conditionalFormatting>
  <conditionalFormatting sqref="K180:K181">
    <cfRule type="containsText" priority="1264" operator="containsText" dxfId="1" text="Einnahmen">
      <formula>NOT(ISERROR(SEARCH("Einnahmen",K180)))</formula>
    </cfRule>
    <cfRule type="containsText" priority="1265" operator="containsText" dxfId="0" text="Ausgaben">
      <formula>NOT(ISERROR(SEARCH("Ausgaben",K180)))</formula>
    </cfRule>
    <cfRule type="containsText" priority="1262" operator="containsText" dxfId="1" text="Einnahmen">
      <formula>NOT(ISERROR(SEARCH("Einnahmen",K180)))</formula>
    </cfRule>
    <cfRule type="containsText" priority="1263" operator="containsText" dxfId="0" text="Ausgaben">
      <formula>NOT(ISERROR(SEARCH("Ausgaben",K180)))</formula>
    </cfRule>
  </conditionalFormatting>
  <conditionalFormatting sqref="K183:K184">
    <cfRule type="containsText" priority="1260" operator="containsText" dxfId="1" text="Einnahmen">
      <formula>NOT(ISERROR(SEARCH("Einnahmen",K183)))</formula>
    </cfRule>
    <cfRule type="containsText" priority="1261" operator="containsText" dxfId="0" text="Ausgaben">
      <formula>NOT(ISERROR(SEARCH("Ausgaben",K183)))</formula>
    </cfRule>
  </conditionalFormatting>
  <conditionalFormatting sqref="K185">
    <cfRule type="containsText" priority="1258" operator="containsText" dxfId="1" text="Einnahmen">
      <formula>NOT(ISERROR(SEARCH("Einnahmen",K185)))</formula>
    </cfRule>
    <cfRule type="containsText" priority="1259" operator="containsText" dxfId="0" text="Ausgaben">
      <formula>NOT(ISERROR(SEARCH("Ausgaben",K185)))</formula>
    </cfRule>
  </conditionalFormatting>
  <conditionalFormatting sqref="K186">
    <cfRule type="containsText" priority="1256" operator="containsText" dxfId="1" text="Einnahmen">
      <formula>NOT(ISERROR(SEARCH("Einnahmen",K186)))</formula>
    </cfRule>
    <cfRule type="containsText" priority="1257" operator="containsText" dxfId="0" text="Ausgaben">
      <formula>NOT(ISERROR(SEARCH("Ausgaben",K186)))</formula>
    </cfRule>
  </conditionalFormatting>
  <conditionalFormatting sqref="K187:K188">
    <cfRule type="containsText" priority="1254" operator="containsText" dxfId="1" text="Einnahmen">
      <formula>NOT(ISERROR(SEARCH("Einnahmen",K187)))</formula>
    </cfRule>
    <cfRule type="containsText" priority="1255" operator="containsText" dxfId="0" text="Ausgaben">
      <formula>NOT(ISERROR(SEARCH("Ausgaben",K187)))</formula>
    </cfRule>
    <cfRule type="containsText" priority="1252" operator="containsText" dxfId="1" text="Einnahmen">
      <formula>NOT(ISERROR(SEARCH("Einnahmen",K187)))</formula>
    </cfRule>
    <cfRule type="containsText" priority="1253" operator="containsText" dxfId="0" text="Ausgaben">
      <formula>NOT(ISERROR(SEARCH("Ausgaben",K187)))</formula>
    </cfRule>
  </conditionalFormatting>
  <conditionalFormatting sqref="K189">
    <cfRule type="containsText" priority="1250" operator="containsText" dxfId="1" text="Einnahmen">
      <formula>NOT(ISERROR(SEARCH("Einnahmen",K189)))</formula>
    </cfRule>
    <cfRule type="containsText" priority="1251" operator="containsText" dxfId="0" text="Ausgaben">
      <formula>NOT(ISERROR(SEARCH("Ausgaben",K189)))</formula>
    </cfRule>
    <cfRule type="containsText" priority="1248" operator="containsText" dxfId="1" text="Einnahmen">
      <formula>NOT(ISERROR(SEARCH("Einnahmen",K189)))</formula>
    </cfRule>
    <cfRule type="containsText" priority="1249" operator="containsText" dxfId="0" text="Ausgaben">
      <formula>NOT(ISERROR(SEARCH("Ausgaben",K189)))</formula>
    </cfRule>
  </conditionalFormatting>
  <conditionalFormatting sqref="K190">
    <cfRule type="containsText" priority="1246" operator="containsText" dxfId="1" text="Einnahmen">
      <formula>NOT(ISERROR(SEARCH("Einnahmen",K190)))</formula>
    </cfRule>
    <cfRule type="containsText" priority="1247" operator="containsText" dxfId="0" text="Ausgaben">
      <formula>NOT(ISERROR(SEARCH("Ausgaben",K190)))</formula>
    </cfRule>
  </conditionalFormatting>
  <conditionalFormatting sqref="K191">
    <cfRule type="containsText" priority="1244" operator="containsText" dxfId="1" text="Einnahmen">
      <formula>NOT(ISERROR(SEARCH("Einnahmen",K191)))</formula>
    </cfRule>
    <cfRule type="containsText" priority="1245" operator="containsText" dxfId="0" text="Ausgaben">
      <formula>NOT(ISERROR(SEARCH("Ausgaben",K191)))</formula>
    </cfRule>
    <cfRule type="containsText" priority="1242" operator="containsText" dxfId="1" text="Einnahmen">
      <formula>NOT(ISERROR(SEARCH("Einnahmen",K191)))</formula>
    </cfRule>
    <cfRule type="containsText" priority="1243" operator="containsText" dxfId="0" text="Ausgaben">
      <formula>NOT(ISERROR(SEARCH("Ausgaben",K191)))</formula>
    </cfRule>
  </conditionalFormatting>
  <conditionalFormatting sqref="K192">
    <cfRule type="containsText" priority="1240" operator="containsText" dxfId="1" text="Einnahmen">
      <formula>NOT(ISERROR(SEARCH("Einnahmen",K192)))</formula>
    </cfRule>
    <cfRule type="containsText" priority="1241" operator="containsText" dxfId="0" text="Ausgaben">
      <formula>NOT(ISERROR(SEARCH("Ausgaben",K192)))</formula>
    </cfRule>
    <cfRule type="containsText" priority="1238" operator="containsText" dxfId="1" text="Einnahmen">
      <formula>NOT(ISERROR(SEARCH("Einnahmen",K192)))</formula>
    </cfRule>
    <cfRule type="containsText" priority="1239" operator="containsText" dxfId="0" text="Ausgaben">
      <formula>NOT(ISERROR(SEARCH("Ausgaben",K192)))</formula>
    </cfRule>
    <cfRule type="containsText" priority="1236" operator="containsText" dxfId="1" text="Einnahmen">
      <formula>NOT(ISERROR(SEARCH("Einnahmen",K192)))</formula>
    </cfRule>
    <cfRule type="containsText" priority="1237" operator="containsText" dxfId="0" text="Ausgaben">
      <formula>NOT(ISERROR(SEARCH("Ausgaben",K192)))</formula>
    </cfRule>
  </conditionalFormatting>
  <conditionalFormatting sqref="K193">
    <cfRule type="containsText" priority="1234" operator="containsText" dxfId="1" text="Einnahmen">
      <formula>NOT(ISERROR(SEARCH("Einnahmen",K193)))</formula>
    </cfRule>
    <cfRule type="containsText" priority="1235" operator="containsText" dxfId="0" text="Ausgaben">
      <formula>NOT(ISERROR(SEARCH("Ausgaben",K193)))</formula>
    </cfRule>
    <cfRule type="containsText" priority="1232" operator="containsText" dxfId="1" text="Einnahmen">
      <formula>NOT(ISERROR(SEARCH("Einnahmen",K193)))</formula>
    </cfRule>
    <cfRule type="containsText" priority="1233" operator="containsText" dxfId="0" text="Ausgaben">
      <formula>NOT(ISERROR(SEARCH("Ausgaben",K193)))</formula>
    </cfRule>
  </conditionalFormatting>
  <conditionalFormatting sqref="K194">
    <cfRule type="containsText" priority="1230" operator="containsText" dxfId="1" text="Einnahmen">
      <formula>NOT(ISERROR(SEARCH("Einnahmen",K194)))</formula>
    </cfRule>
    <cfRule type="containsText" priority="1231" operator="containsText" dxfId="0" text="Ausgaben">
      <formula>NOT(ISERROR(SEARCH("Ausgaben",K194)))</formula>
    </cfRule>
    <cfRule type="containsText" priority="1228" operator="containsText" dxfId="1" text="Einnahmen">
      <formula>NOT(ISERROR(SEARCH("Einnahmen",K194)))</formula>
    </cfRule>
    <cfRule type="containsText" priority="1229" operator="containsText" dxfId="0" text="Ausgaben">
      <formula>NOT(ISERROR(SEARCH("Ausgaben",K194)))</formula>
    </cfRule>
  </conditionalFormatting>
  <conditionalFormatting sqref="K195">
    <cfRule type="containsText" priority="1226" operator="containsText" dxfId="1" text="Einnahmen">
      <formula>NOT(ISERROR(SEARCH("Einnahmen",K195)))</formula>
    </cfRule>
    <cfRule type="containsText" priority="1227" operator="containsText" dxfId="0" text="Ausgaben">
      <formula>NOT(ISERROR(SEARCH("Ausgaben",K195)))</formula>
    </cfRule>
  </conditionalFormatting>
  <conditionalFormatting sqref="K196">
    <cfRule type="containsText" priority="1224" operator="containsText" dxfId="1" text="Einnahmen">
      <formula>NOT(ISERROR(SEARCH("Einnahmen",K196)))</formula>
    </cfRule>
    <cfRule type="containsText" priority="1225" operator="containsText" dxfId="0" text="Ausgaben">
      <formula>NOT(ISERROR(SEARCH("Ausgaben",K196)))</formula>
    </cfRule>
  </conditionalFormatting>
  <conditionalFormatting sqref="K197">
    <cfRule type="containsText" priority="1222" operator="containsText" dxfId="1" text="Einnahmen">
      <formula>NOT(ISERROR(SEARCH("Einnahmen",K197)))</formula>
    </cfRule>
    <cfRule type="containsText" priority="1223" operator="containsText" dxfId="0" text="Ausgaben">
      <formula>NOT(ISERROR(SEARCH("Ausgaben",K197)))</formula>
    </cfRule>
    <cfRule type="containsText" priority="1220" operator="containsText" dxfId="1" text="Einnahmen">
      <formula>NOT(ISERROR(SEARCH("Einnahmen",K197)))</formula>
    </cfRule>
    <cfRule type="containsText" priority="1221" operator="containsText" dxfId="0" text="Ausgaben">
      <formula>NOT(ISERROR(SEARCH("Ausgaben",K197)))</formula>
    </cfRule>
  </conditionalFormatting>
  <conditionalFormatting sqref="K198">
    <cfRule type="containsText" priority="1218" operator="containsText" dxfId="1" text="Einnahmen">
      <formula>NOT(ISERROR(SEARCH("Einnahmen",K198)))</formula>
    </cfRule>
    <cfRule type="containsText" priority="1219" operator="containsText" dxfId="0" text="Ausgaben">
      <formula>NOT(ISERROR(SEARCH("Ausgaben",K198)))</formula>
    </cfRule>
    <cfRule type="containsText" priority="1216" operator="containsText" dxfId="1" text="Einnahmen">
      <formula>NOT(ISERROR(SEARCH("Einnahmen",K198)))</formula>
    </cfRule>
    <cfRule type="containsText" priority="1217" operator="containsText" dxfId="0" text="Ausgaben">
      <formula>NOT(ISERROR(SEARCH("Ausgaben",K198)))</formula>
    </cfRule>
  </conditionalFormatting>
  <conditionalFormatting sqref="K199">
    <cfRule type="containsText" priority="1214" operator="containsText" dxfId="1" text="Einnahmen">
      <formula>NOT(ISERROR(SEARCH("Einnahmen",K199)))</formula>
    </cfRule>
    <cfRule type="containsText" priority="1215" operator="containsText" dxfId="0" text="Ausgaben">
      <formula>NOT(ISERROR(SEARCH("Ausgaben",K199)))</formula>
    </cfRule>
    <cfRule type="containsText" priority="1212" operator="containsText" dxfId="1" text="Einnahmen">
      <formula>NOT(ISERROR(SEARCH("Einnahmen",K199)))</formula>
    </cfRule>
    <cfRule type="containsText" priority="1213" operator="containsText" dxfId="0" text="Ausgaben">
      <formula>NOT(ISERROR(SEARCH("Ausgaben",K199)))</formula>
    </cfRule>
  </conditionalFormatting>
  <conditionalFormatting sqref="K200">
    <cfRule type="containsText" priority="1210" operator="containsText" dxfId="1" text="Einnahmen">
      <formula>NOT(ISERROR(SEARCH("Einnahmen",K200)))</formula>
    </cfRule>
    <cfRule type="containsText" priority="1211" operator="containsText" dxfId="0" text="Ausgaben">
      <formula>NOT(ISERROR(SEARCH("Ausgaben",K200)))</formula>
    </cfRule>
    <cfRule type="containsText" priority="1208" operator="containsText" dxfId="1" text="Einnahmen">
      <formula>NOT(ISERROR(SEARCH("Einnahmen",K200)))</formula>
    </cfRule>
    <cfRule type="containsText" priority="1209" operator="containsText" dxfId="0" text="Ausgaben">
      <formula>NOT(ISERROR(SEARCH("Ausgaben",K200)))</formula>
    </cfRule>
  </conditionalFormatting>
  <conditionalFormatting sqref="P188:P191 P193 P195:P197 P200">
    <cfRule type="cellIs" priority="1205" operator="equal" dxfId="2034">
      <formula>"ja"</formula>
    </cfRule>
  </conditionalFormatting>
  <conditionalFormatting sqref="AF17 AF55 AF59 AF126 AF138 AF141 AF171 AF182 AF190:AF191">
    <cfRule type="dataBar" priority="1204">
      <dataBar>
        <cfvo type="min"/>
        <cfvo type="max"/>
        <color rgb="FF63C384"/>
      </dataBar>
    </cfRule>
  </conditionalFormatting>
  <conditionalFormatting sqref="AF126">
    <cfRule type="dataBar" priority="1203">
      <dataBar>
        <cfvo type="min"/>
        <cfvo type="max"/>
        <color rgb="FF63C384"/>
      </dataBar>
    </cfRule>
  </conditionalFormatting>
  <conditionalFormatting sqref="AF2">
    <cfRule type="dataBar" priority="1200">
      <dataBar>
        <cfvo type="min"/>
        <cfvo type="max"/>
        <color rgb="FF63C384"/>
      </dataBar>
    </cfRule>
    <cfRule type="dataBar" priority="1199">
      <dataBar>
        <cfvo type="min"/>
        <cfvo type="max"/>
        <color rgb="FF63C384"/>
      </dataBar>
    </cfRule>
    <cfRule type="dataBar" priority="1197">
      <dataBar>
        <cfvo type="min"/>
        <cfvo type="max"/>
        <color rgb="FF63C384"/>
      </dataBar>
    </cfRule>
    <cfRule type="dataBar" priority="1196">
      <dataBar>
        <cfvo type="min"/>
        <cfvo type="max"/>
        <color rgb="FF63C384"/>
      </dataBar>
    </cfRule>
  </conditionalFormatting>
  <conditionalFormatting sqref="AF3">
    <cfRule type="dataBar" priority="1194">
      <dataBar>
        <cfvo type="min"/>
        <cfvo type="max"/>
        <color rgb="FF63C384"/>
      </dataBar>
    </cfRule>
    <cfRule type="dataBar" priority="1193">
      <dataBar>
        <cfvo type="min"/>
        <cfvo type="max"/>
        <color rgb="FF63C384"/>
      </dataBar>
    </cfRule>
  </conditionalFormatting>
  <conditionalFormatting sqref="AF4">
    <cfRule type="dataBar" priority="1191">
      <dataBar>
        <cfvo type="min"/>
        <cfvo type="max"/>
        <color rgb="FF63C384"/>
      </dataBar>
    </cfRule>
    <cfRule type="dataBar" priority="1190">
      <dataBar>
        <cfvo type="min"/>
        <cfvo type="max"/>
        <color rgb="FF63C384"/>
      </dataBar>
    </cfRule>
  </conditionalFormatting>
  <conditionalFormatting sqref="AF5">
    <cfRule type="dataBar" priority="1189">
      <dataBar>
        <cfvo type="min"/>
        <cfvo type="max"/>
        <color rgb="FF63C384"/>
      </dataBar>
    </cfRule>
    <cfRule type="dataBar" priority="1188">
      <dataBar>
        <cfvo type="min"/>
        <cfvo type="max"/>
        <color rgb="FF63C384"/>
      </dataBar>
    </cfRule>
  </conditionalFormatting>
  <conditionalFormatting sqref="AF6">
    <cfRule type="dataBar" priority="1185">
      <dataBar>
        <cfvo type="min"/>
        <cfvo type="max"/>
        <color rgb="FF63C384"/>
      </dataBar>
    </cfRule>
    <cfRule type="dataBar" priority="1184">
      <dataBar>
        <cfvo type="min"/>
        <cfvo type="max"/>
        <color rgb="FF63C384"/>
      </dataBar>
    </cfRule>
    <cfRule type="dataBar" priority="1182">
      <dataBar>
        <cfvo type="min"/>
        <cfvo type="max"/>
        <color rgb="FF63C384"/>
      </dataBar>
    </cfRule>
    <cfRule type="dataBar" priority="1181">
      <dataBar>
        <cfvo type="min"/>
        <cfvo type="max"/>
        <color rgb="FF63C384"/>
      </dataBar>
    </cfRule>
  </conditionalFormatting>
  <conditionalFormatting sqref="AF7">
    <cfRule type="dataBar" priority="1179">
      <dataBar>
        <cfvo type="min"/>
        <cfvo type="max"/>
        <color rgb="FF63C384"/>
      </dataBar>
    </cfRule>
    <cfRule type="dataBar" priority="1178">
      <dataBar>
        <cfvo type="min"/>
        <cfvo type="max"/>
        <color rgb="FF63C384"/>
      </dataBar>
    </cfRule>
    <cfRule type="dataBar" priority="1176">
      <dataBar>
        <cfvo type="min"/>
        <cfvo type="max"/>
        <color rgb="FF63C384"/>
      </dataBar>
    </cfRule>
    <cfRule type="dataBar" priority="1175">
      <dataBar>
        <cfvo type="min"/>
        <cfvo type="max"/>
        <color rgb="FF63C384"/>
      </dataBar>
    </cfRule>
    <cfRule type="dataBar" priority="1173">
      <dataBar>
        <cfvo type="min"/>
        <cfvo type="max"/>
        <color rgb="FF63C384"/>
      </dataBar>
    </cfRule>
    <cfRule type="dataBar" priority="1172">
      <dataBar>
        <cfvo type="min"/>
        <cfvo type="max"/>
        <color rgb="FF63C384"/>
      </dataBar>
    </cfRule>
    <cfRule type="dataBar" priority="1170">
      <dataBar>
        <cfvo type="min"/>
        <cfvo type="max"/>
        <color rgb="FF63C384"/>
      </dataBar>
    </cfRule>
    <cfRule type="dataBar" priority="1169">
      <dataBar>
        <cfvo type="min"/>
        <cfvo type="max"/>
        <color rgb="FF63C384"/>
      </dataBar>
    </cfRule>
  </conditionalFormatting>
  <conditionalFormatting sqref="AF8">
    <cfRule type="dataBar" priority="1167">
      <dataBar>
        <cfvo type="min"/>
        <cfvo type="max"/>
        <color rgb="FF63C384"/>
      </dataBar>
    </cfRule>
    <cfRule type="dataBar" priority="1166">
      <dataBar>
        <cfvo type="min"/>
        <cfvo type="max"/>
        <color rgb="FF63C384"/>
      </dataBar>
    </cfRule>
    <cfRule type="dataBar" priority="1165">
      <dataBar>
        <cfvo type="min"/>
        <cfvo type="max"/>
        <color rgb="FF63C384"/>
      </dataBar>
    </cfRule>
    <cfRule type="dataBar" priority="1164">
      <dataBar>
        <cfvo type="min"/>
        <cfvo type="max"/>
        <color rgb="FF63C384"/>
      </dataBar>
    </cfRule>
  </conditionalFormatting>
  <conditionalFormatting sqref="AF9">
    <cfRule type="dataBar" priority="1161">
      <dataBar>
        <cfvo type="min"/>
        <cfvo type="max"/>
        <color rgb="FF63C384"/>
      </dataBar>
    </cfRule>
    <cfRule type="dataBar" priority="1160">
      <dataBar>
        <cfvo type="min"/>
        <cfvo type="max"/>
        <color rgb="FF63C384"/>
      </dataBar>
    </cfRule>
    <cfRule type="dataBar" priority="1158">
      <dataBar>
        <cfvo type="min"/>
        <cfvo type="max"/>
        <color rgb="FF63C384"/>
      </dataBar>
    </cfRule>
    <cfRule type="dataBar" priority="1157">
      <dataBar>
        <cfvo type="min"/>
        <cfvo type="max"/>
        <color rgb="FF63C384"/>
      </dataBar>
    </cfRule>
    <cfRule type="dataBar" priority="1155">
      <dataBar>
        <cfvo type="min"/>
        <cfvo type="max"/>
        <color rgb="FF63C384"/>
      </dataBar>
    </cfRule>
    <cfRule type="dataBar" priority="1154">
      <dataBar>
        <cfvo type="min"/>
        <cfvo type="max"/>
        <color rgb="FF63C384"/>
      </dataBar>
    </cfRule>
    <cfRule type="dataBar" priority="1152">
      <dataBar>
        <cfvo type="min"/>
        <cfvo type="max"/>
        <color rgb="FF63C384"/>
      </dataBar>
    </cfRule>
    <cfRule type="dataBar" priority="1151">
      <dataBar>
        <cfvo type="min"/>
        <cfvo type="max"/>
        <color rgb="FF63C384"/>
      </dataBar>
    </cfRule>
  </conditionalFormatting>
  <conditionalFormatting sqref="AF10">
    <cfRule type="dataBar" priority="1150">
      <dataBar>
        <cfvo type="min"/>
        <cfvo type="max"/>
        <color rgb="FF63C384"/>
      </dataBar>
    </cfRule>
    <cfRule type="dataBar" priority="1149">
      <dataBar>
        <cfvo type="min"/>
        <cfvo type="max"/>
        <color rgb="FF63C384"/>
      </dataBar>
    </cfRule>
    <cfRule type="dataBar" priority="1147">
      <dataBar>
        <cfvo type="min"/>
        <cfvo type="max"/>
        <color rgb="FF63C384"/>
      </dataBar>
    </cfRule>
    <cfRule type="dataBar" priority="1146">
      <dataBar>
        <cfvo type="min"/>
        <cfvo type="max"/>
        <color rgb="FF63C384"/>
      </dataBar>
    </cfRule>
  </conditionalFormatting>
  <conditionalFormatting sqref="AF11">
    <cfRule type="dataBar" priority="1144">
      <dataBar>
        <cfvo type="min"/>
        <cfvo type="max"/>
        <color rgb="FF63C384"/>
      </dataBar>
    </cfRule>
    <cfRule type="dataBar" priority="1143">
      <dataBar>
        <cfvo type="min"/>
        <cfvo type="max"/>
        <color rgb="FF63C384"/>
      </dataBar>
    </cfRule>
    <cfRule type="dataBar" priority="1141">
      <dataBar>
        <cfvo type="min"/>
        <cfvo type="max"/>
        <color rgb="FF63C384"/>
      </dataBar>
    </cfRule>
    <cfRule type="dataBar" priority="1140">
      <dataBar>
        <cfvo type="min"/>
        <cfvo type="max"/>
        <color rgb="FF63C384"/>
      </dataBar>
    </cfRule>
  </conditionalFormatting>
  <conditionalFormatting sqref="AF12">
    <cfRule type="dataBar" priority="1138">
      <dataBar>
        <cfvo type="min"/>
        <cfvo type="max"/>
        <color rgb="FF63C384"/>
      </dataBar>
    </cfRule>
    <cfRule type="dataBar" priority="1137">
      <dataBar>
        <cfvo type="min"/>
        <cfvo type="max"/>
        <color rgb="FF63C384"/>
      </dataBar>
    </cfRule>
    <cfRule type="dataBar" priority="1135">
      <dataBar>
        <cfvo type="min"/>
        <cfvo type="max"/>
        <color rgb="FF63C384"/>
      </dataBar>
    </cfRule>
    <cfRule type="dataBar" priority="1134">
      <dataBar>
        <cfvo type="min"/>
        <cfvo type="max"/>
        <color rgb="FF63C384"/>
      </dataBar>
    </cfRule>
    <cfRule type="dataBar" priority="1132">
      <dataBar>
        <cfvo type="min"/>
        <cfvo type="max"/>
        <color rgb="FF63C384"/>
      </dataBar>
    </cfRule>
    <cfRule type="dataBar" priority="1131">
      <dataBar>
        <cfvo type="min"/>
        <cfvo type="max"/>
        <color rgb="FF63C384"/>
      </dataBar>
    </cfRule>
  </conditionalFormatting>
  <conditionalFormatting sqref="AF13">
    <cfRule type="dataBar" priority="1130">
      <dataBar>
        <cfvo type="min"/>
        <cfvo type="max"/>
        <color rgb="FF63C384"/>
      </dataBar>
    </cfRule>
    <cfRule type="dataBar" priority="1129">
      <dataBar>
        <cfvo type="min"/>
        <cfvo type="max"/>
        <color rgb="FF63C384"/>
      </dataBar>
    </cfRule>
    <cfRule type="dataBar" priority="1128">
      <dataBar>
        <cfvo type="min"/>
        <cfvo type="max"/>
        <color rgb="FF63C384"/>
      </dataBar>
    </cfRule>
    <cfRule type="dataBar" priority="1127">
      <dataBar>
        <cfvo type="min"/>
        <cfvo type="max"/>
        <color rgb="FF63C384"/>
      </dataBar>
    </cfRule>
  </conditionalFormatting>
  <conditionalFormatting sqref="AF14:AF15">
    <cfRule type="dataBar" priority="1125">
      <dataBar>
        <cfvo type="min"/>
        <cfvo type="max"/>
        <color rgb="FF63C384"/>
      </dataBar>
    </cfRule>
    <cfRule type="dataBar" priority="1124">
      <dataBar>
        <cfvo type="min"/>
        <cfvo type="max"/>
        <color rgb="FF63C384"/>
      </dataBar>
    </cfRule>
  </conditionalFormatting>
  <conditionalFormatting sqref="AF16">
    <cfRule type="dataBar" priority="1120">
      <dataBar>
        <cfvo type="min"/>
        <cfvo type="max"/>
        <color rgb="FF63C384"/>
      </dataBar>
    </cfRule>
    <cfRule type="dataBar" priority="1119">
      <dataBar>
        <cfvo type="min"/>
        <cfvo type="max"/>
        <color rgb="FF63C384"/>
      </dataBar>
    </cfRule>
    <cfRule type="dataBar" priority="1118">
      <dataBar>
        <cfvo type="min"/>
        <cfvo type="max"/>
        <color rgb="FF63C384"/>
      </dataBar>
    </cfRule>
    <cfRule type="dataBar" priority="1117">
      <dataBar>
        <cfvo type="min"/>
        <cfvo type="max"/>
        <color rgb="FF63C384"/>
      </dataBar>
    </cfRule>
  </conditionalFormatting>
  <conditionalFormatting sqref="AF18">
    <cfRule type="dataBar" priority="1114">
      <dataBar>
        <cfvo type="min"/>
        <cfvo type="max"/>
        <color rgb="FF63C384"/>
      </dataBar>
    </cfRule>
    <cfRule type="dataBar" priority="1113">
      <dataBar>
        <cfvo type="min"/>
        <cfvo type="max"/>
        <color rgb="FF63C384"/>
      </dataBar>
    </cfRule>
  </conditionalFormatting>
  <conditionalFormatting sqref="AF19">
    <cfRule type="dataBar" priority="1112">
      <dataBar>
        <cfvo type="min"/>
        <cfvo type="max"/>
        <color rgb="FF63C384"/>
      </dataBar>
    </cfRule>
    <cfRule type="dataBar" priority="1111">
      <dataBar>
        <cfvo type="min"/>
        <cfvo type="max"/>
        <color rgb="FF63C384"/>
      </dataBar>
    </cfRule>
  </conditionalFormatting>
  <conditionalFormatting sqref="AF20">
    <cfRule type="dataBar" priority="1110">
      <dataBar>
        <cfvo type="min"/>
        <cfvo type="max"/>
        <color rgb="FF63C384"/>
      </dataBar>
    </cfRule>
    <cfRule type="dataBar" priority="1109">
      <dataBar>
        <cfvo type="min"/>
        <cfvo type="max"/>
        <color rgb="FF63C384"/>
      </dataBar>
    </cfRule>
  </conditionalFormatting>
  <conditionalFormatting sqref="AF21">
    <cfRule type="dataBar" priority="1106">
      <dataBar>
        <cfvo type="min"/>
        <cfvo type="max"/>
        <color rgb="FF63C384"/>
      </dataBar>
    </cfRule>
    <cfRule type="dataBar" priority="1105">
      <dataBar>
        <cfvo type="min"/>
        <cfvo type="max"/>
        <color rgb="FF63C384"/>
      </dataBar>
    </cfRule>
  </conditionalFormatting>
  <conditionalFormatting sqref="AF22">
    <cfRule type="dataBar" priority="1103">
      <dataBar>
        <cfvo type="min"/>
        <cfvo type="max"/>
        <color rgb="FF63C384"/>
      </dataBar>
    </cfRule>
    <cfRule type="dataBar" priority="1102">
      <dataBar>
        <cfvo type="min"/>
        <cfvo type="max"/>
        <color rgb="FF63C384"/>
      </dataBar>
    </cfRule>
  </conditionalFormatting>
  <conditionalFormatting sqref="AF23">
    <cfRule type="dataBar" priority="1100">
      <dataBar>
        <cfvo type="min"/>
        <cfvo type="max"/>
        <color rgb="FF63C384"/>
      </dataBar>
    </cfRule>
    <cfRule type="dataBar" priority="1099">
      <dataBar>
        <cfvo type="min"/>
        <cfvo type="max"/>
        <color rgb="FF63C384"/>
      </dataBar>
    </cfRule>
    <cfRule type="dataBar" priority="1097">
      <dataBar>
        <cfvo type="min"/>
        <cfvo type="max"/>
        <color rgb="FF63C384"/>
      </dataBar>
    </cfRule>
    <cfRule type="dataBar" priority="1096">
      <dataBar>
        <cfvo type="min"/>
        <cfvo type="max"/>
        <color rgb="FF63C384"/>
      </dataBar>
    </cfRule>
  </conditionalFormatting>
  <conditionalFormatting sqref="AF24:AF25">
    <cfRule type="dataBar" priority="1094">
      <dataBar>
        <cfvo type="min"/>
        <cfvo type="max"/>
        <color rgb="FF63C384"/>
      </dataBar>
    </cfRule>
    <cfRule type="dataBar" priority="1093">
      <dataBar>
        <cfvo type="min"/>
        <cfvo type="max"/>
        <color rgb="FF63C384"/>
      </dataBar>
    </cfRule>
    <cfRule type="dataBar" priority="1091">
      <dataBar>
        <cfvo type="min"/>
        <cfvo type="max"/>
        <color rgb="FF63C384"/>
      </dataBar>
    </cfRule>
    <cfRule type="dataBar" priority="1090">
      <dataBar>
        <cfvo type="min"/>
        <cfvo type="max"/>
        <color rgb="FF63C384"/>
      </dataBar>
    </cfRule>
    <cfRule type="dataBar" priority="1088">
      <dataBar>
        <cfvo type="min"/>
        <cfvo type="max"/>
        <color rgb="FF63C384"/>
      </dataBar>
    </cfRule>
    <cfRule type="dataBar" priority="1087">
      <dataBar>
        <cfvo type="min"/>
        <cfvo type="max"/>
        <color rgb="FF63C384"/>
      </dataBar>
    </cfRule>
    <cfRule type="dataBar" priority="1085">
      <dataBar>
        <cfvo type="min"/>
        <cfvo type="max"/>
        <color rgb="FF63C384"/>
      </dataBar>
    </cfRule>
    <cfRule type="dataBar" priority="1084">
      <dataBar>
        <cfvo type="min"/>
        <cfvo type="max"/>
        <color rgb="FF63C384"/>
      </dataBar>
    </cfRule>
  </conditionalFormatting>
  <conditionalFormatting sqref="AF26">
    <cfRule type="dataBar" priority="1083">
      <dataBar>
        <cfvo type="min"/>
        <cfvo type="max"/>
        <color rgb="FF63C384"/>
      </dataBar>
    </cfRule>
    <cfRule type="dataBar" priority="1082">
      <dataBar>
        <cfvo type="min"/>
        <cfvo type="max"/>
        <color rgb="FF63C384"/>
      </dataBar>
    </cfRule>
    <cfRule type="dataBar" priority="1081">
      <dataBar>
        <cfvo type="min"/>
        <cfvo type="max"/>
        <color rgb="FF63C384"/>
      </dataBar>
    </cfRule>
    <cfRule type="dataBar" priority="1080">
      <dataBar>
        <cfvo type="min"/>
        <cfvo type="max"/>
        <color rgb="FF63C384"/>
      </dataBar>
    </cfRule>
  </conditionalFormatting>
  <conditionalFormatting sqref="AF27:AF28">
    <cfRule type="dataBar" priority="1079">
      <dataBar>
        <cfvo type="min"/>
        <cfvo type="max"/>
        <color rgb="FF63C384"/>
      </dataBar>
    </cfRule>
    <cfRule type="dataBar" priority="1078">
      <dataBar>
        <cfvo type="min"/>
        <cfvo type="max"/>
        <color rgb="FF63C384"/>
      </dataBar>
    </cfRule>
  </conditionalFormatting>
  <conditionalFormatting sqref="AF29">
    <cfRule type="dataBar" priority="1076">
      <dataBar>
        <cfvo type="min"/>
        <cfvo type="max"/>
        <color rgb="FF63C384"/>
      </dataBar>
    </cfRule>
    <cfRule type="dataBar" priority="1075">
      <dataBar>
        <cfvo type="min"/>
        <cfvo type="max"/>
        <color rgb="FF63C384"/>
      </dataBar>
    </cfRule>
    <cfRule type="dataBar" priority="1074">
      <dataBar>
        <cfvo type="min"/>
        <cfvo type="max"/>
        <color rgb="FF63C384"/>
      </dataBar>
    </cfRule>
    <cfRule type="dataBar" priority="1073">
      <dataBar>
        <cfvo type="min"/>
        <cfvo type="max"/>
        <color rgb="FF63C384"/>
      </dataBar>
    </cfRule>
  </conditionalFormatting>
  <conditionalFormatting sqref="AF30">
    <cfRule type="dataBar" priority="1070">
      <dataBar>
        <cfvo type="min"/>
        <cfvo type="max"/>
        <color rgb="FF63C384"/>
      </dataBar>
    </cfRule>
    <cfRule type="dataBar" priority="1069">
      <dataBar>
        <cfvo type="min"/>
        <cfvo type="max"/>
        <color rgb="FF63C384"/>
      </dataBar>
    </cfRule>
  </conditionalFormatting>
  <conditionalFormatting sqref="AF31">
    <cfRule type="dataBar" priority="1067">
      <dataBar>
        <cfvo type="min"/>
        <cfvo type="max"/>
        <color rgb="FF63C384"/>
      </dataBar>
    </cfRule>
  </conditionalFormatting>
  <conditionalFormatting sqref="AF33">
    <cfRule type="dataBar" priority="1063">
      <dataBar>
        <cfvo type="min"/>
        <cfvo type="max"/>
        <color rgb="FF63C384"/>
      </dataBar>
    </cfRule>
    <cfRule type="dataBar" priority="1062">
      <dataBar>
        <cfvo type="min"/>
        <cfvo type="max"/>
        <color rgb="FF63C384"/>
      </dataBar>
    </cfRule>
  </conditionalFormatting>
  <conditionalFormatting sqref="AF32">
    <cfRule type="dataBar" priority="1060">
      <dataBar>
        <cfvo type="min"/>
        <cfvo type="max"/>
        <color rgb="FF63C384"/>
      </dataBar>
    </cfRule>
    <cfRule type="dataBar" priority="1059">
      <dataBar>
        <cfvo type="min"/>
        <cfvo type="max"/>
        <color rgb="FF63C384"/>
      </dataBar>
    </cfRule>
    <cfRule type="dataBar" priority="1057">
      <dataBar>
        <cfvo type="min"/>
        <cfvo type="max"/>
        <color rgb="FF63C384"/>
      </dataBar>
    </cfRule>
    <cfRule type="dataBar" priority="1056">
      <dataBar>
        <cfvo type="min"/>
        <cfvo type="max"/>
        <color rgb="FF63C384"/>
      </dataBar>
    </cfRule>
  </conditionalFormatting>
  <conditionalFormatting sqref="AF34">
    <cfRule type="dataBar" priority="1055">
      <dataBar>
        <cfvo type="min"/>
        <cfvo type="max"/>
        <color rgb="FF63C384"/>
      </dataBar>
    </cfRule>
    <cfRule type="dataBar" priority="1054">
      <dataBar>
        <cfvo type="min"/>
        <cfvo type="max"/>
        <color rgb="FF63C384"/>
      </dataBar>
    </cfRule>
  </conditionalFormatting>
  <conditionalFormatting sqref="AF35">
    <cfRule type="dataBar" priority="1053">
      <dataBar>
        <cfvo type="min"/>
        <cfvo type="max"/>
        <color rgb="FF63C384"/>
      </dataBar>
    </cfRule>
    <cfRule type="dataBar" priority="1052">
      <dataBar>
        <cfvo type="min"/>
        <cfvo type="max"/>
        <color rgb="FF63C384"/>
      </dataBar>
    </cfRule>
    <cfRule type="dataBar" priority="1051">
      <dataBar>
        <cfvo type="min"/>
        <cfvo type="max"/>
        <color rgb="FF63C384"/>
      </dataBar>
    </cfRule>
    <cfRule type="dataBar" priority="1050">
      <dataBar>
        <cfvo type="min"/>
        <cfvo type="max"/>
        <color rgb="FF63C384"/>
      </dataBar>
    </cfRule>
  </conditionalFormatting>
  <conditionalFormatting sqref="AF36">
    <cfRule type="dataBar" priority="1048">
      <dataBar>
        <cfvo type="min"/>
        <cfvo type="max"/>
        <color rgb="FF63C384"/>
      </dataBar>
    </cfRule>
    <cfRule type="dataBar" priority="1047">
      <dataBar>
        <cfvo type="min"/>
        <cfvo type="max"/>
        <color rgb="FF63C384"/>
      </dataBar>
    </cfRule>
  </conditionalFormatting>
  <conditionalFormatting sqref="AF37">
    <cfRule type="dataBar" priority="1046">
      <dataBar>
        <cfvo type="min"/>
        <cfvo type="max"/>
        <color rgb="FF63C384"/>
      </dataBar>
    </cfRule>
    <cfRule type="dataBar" priority="1045">
      <dataBar>
        <cfvo type="min"/>
        <cfvo type="max"/>
        <color rgb="FF63C384"/>
      </dataBar>
    </cfRule>
  </conditionalFormatting>
  <conditionalFormatting sqref="AF38:AF39">
    <cfRule type="dataBar" priority="1042">
      <dataBar>
        <cfvo type="min"/>
        <cfvo type="max"/>
        <color rgb="FF63C384"/>
      </dataBar>
    </cfRule>
    <cfRule type="dataBar" priority="1041">
      <dataBar>
        <cfvo type="min"/>
        <cfvo type="max"/>
        <color rgb="FF63C384"/>
      </dataBar>
    </cfRule>
  </conditionalFormatting>
  <conditionalFormatting sqref="AF40">
    <cfRule type="dataBar" priority="1039">
      <dataBar>
        <cfvo type="min"/>
        <cfvo type="max"/>
        <color rgb="FF63C384"/>
      </dataBar>
    </cfRule>
    <cfRule type="dataBar" priority="1038">
      <dataBar>
        <cfvo type="min"/>
        <cfvo type="max"/>
        <color rgb="FF63C384"/>
      </dataBar>
    </cfRule>
    <cfRule type="dataBar" priority="1037">
      <dataBar>
        <cfvo type="min"/>
        <cfvo type="max"/>
        <color rgb="FF63C384"/>
      </dataBar>
    </cfRule>
    <cfRule type="dataBar" priority="1036">
      <dataBar>
        <cfvo type="min"/>
        <cfvo type="max"/>
        <color rgb="FF63C384"/>
      </dataBar>
    </cfRule>
  </conditionalFormatting>
  <conditionalFormatting sqref="AF41">
    <cfRule type="dataBar" priority="1034">
      <dataBar>
        <cfvo type="min"/>
        <cfvo type="max"/>
        <color rgb="FF63C384"/>
      </dataBar>
    </cfRule>
    <cfRule type="dataBar" priority="1033">
      <dataBar>
        <cfvo type="min"/>
        <cfvo type="max"/>
        <color rgb="FF63C384"/>
      </dataBar>
    </cfRule>
  </conditionalFormatting>
  <conditionalFormatting sqref="AF42">
    <cfRule type="dataBar" priority="1030">
      <dataBar>
        <cfvo type="min"/>
        <cfvo type="max"/>
        <color rgb="FF63C384"/>
      </dataBar>
    </cfRule>
    <cfRule type="dataBar" priority="1029">
      <dataBar>
        <cfvo type="min"/>
        <cfvo type="max"/>
        <color rgb="FF63C384"/>
      </dataBar>
    </cfRule>
  </conditionalFormatting>
  <conditionalFormatting sqref="AF43">
    <cfRule type="dataBar" priority="1027">
      <dataBar>
        <cfvo type="min"/>
        <cfvo type="max"/>
        <color rgb="FF63C384"/>
      </dataBar>
    </cfRule>
    <cfRule type="dataBar" priority="1026">
      <dataBar>
        <cfvo type="min"/>
        <cfvo type="max"/>
        <color rgb="FF63C384"/>
      </dataBar>
    </cfRule>
  </conditionalFormatting>
  <conditionalFormatting sqref="AF45">
    <cfRule type="dataBar" priority="1024">
      <dataBar>
        <cfvo type="min"/>
        <cfvo type="max"/>
        <color rgb="FF63C384"/>
      </dataBar>
    </cfRule>
    <cfRule type="dataBar" priority="1023">
      <dataBar>
        <cfvo type="min"/>
        <cfvo type="max"/>
        <color rgb="FF63C384"/>
      </dataBar>
    </cfRule>
    <cfRule type="dataBar" priority="1021">
      <dataBar>
        <cfvo type="min"/>
        <cfvo type="max"/>
        <color rgb="FF63C384"/>
      </dataBar>
    </cfRule>
    <cfRule type="dataBar" priority="1020">
      <dataBar>
        <cfvo type="min"/>
        <cfvo type="max"/>
        <color rgb="FF63C384"/>
      </dataBar>
    </cfRule>
    <cfRule type="dataBar" priority="1018">
      <dataBar>
        <cfvo type="min"/>
        <cfvo type="max"/>
        <color rgb="FF63C384"/>
      </dataBar>
    </cfRule>
    <cfRule type="dataBar" priority="1017">
      <dataBar>
        <cfvo type="min"/>
        <cfvo type="max"/>
        <color rgb="FF63C384"/>
      </dataBar>
    </cfRule>
    <cfRule type="dataBar" priority="1015">
      <dataBar>
        <cfvo type="min"/>
        <cfvo type="max"/>
        <color rgb="FF63C384"/>
      </dataBar>
    </cfRule>
    <cfRule type="dataBar" priority="1014">
      <dataBar>
        <cfvo type="min"/>
        <cfvo type="max"/>
        <color rgb="FF63C384"/>
      </dataBar>
    </cfRule>
  </conditionalFormatting>
  <conditionalFormatting sqref="AF44">
    <cfRule type="dataBar" priority="1012">
      <dataBar>
        <cfvo type="min"/>
        <cfvo type="max"/>
        <color rgb="FF63C384"/>
      </dataBar>
    </cfRule>
  </conditionalFormatting>
  <conditionalFormatting sqref="AF46">
    <cfRule type="dataBar" priority="1009">
      <dataBar>
        <cfvo type="min"/>
        <cfvo type="max"/>
        <color rgb="FF63C384"/>
      </dataBar>
    </cfRule>
  </conditionalFormatting>
  <conditionalFormatting sqref="AF48">
    <cfRule type="dataBar" priority="1006">
      <dataBar>
        <cfvo type="min"/>
        <cfvo type="max"/>
        <color rgb="FF63C384"/>
      </dataBar>
    </cfRule>
    <cfRule type="dataBar" priority="1005">
      <dataBar>
        <cfvo type="min"/>
        <cfvo type="max"/>
        <color rgb="FF63C384"/>
      </dataBar>
    </cfRule>
  </conditionalFormatting>
  <conditionalFormatting sqref="AF47">
    <cfRule type="dataBar" priority="1003">
      <dataBar>
        <cfvo type="min"/>
        <cfvo type="max"/>
        <color rgb="FF63C384"/>
      </dataBar>
    </cfRule>
    <cfRule type="dataBar" priority="1002">
      <dataBar>
        <cfvo type="min"/>
        <cfvo type="max"/>
        <color rgb="FF63C384"/>
      </dataBar>
    </cfRule>
    <cfRule type="dataBar" priority="1000">
      <dataBar>
        <cfvo type="min"/>
        <cfvo type="max"/>
        <color rgb="FF63C384"/>
      </dataBar>
    </cfRule>
    <cfRule type="dataBar" priority="999">
      <dataBar>
        <cfvo type="min"/>
        <cfvo type="max"/>
        <color rgb="FF63C384"/>
      </dataBar>
    </cfRule>
  </conditionalFormatting>
  <conditionalFormatting sqref="AF49">
    <cfRule type="dataBar" priority="998">
      <dataBar>
        <cfvo type="min"/>
        <cfvo type="max"/>
        <color rgb="FF63C384"/>
      </dataBar>
    </cfRule>
    <cfRule type="dataBar" priority="997">
      <dataBar>
        <cfvo type="min"/>
        <cfvo type="max"/>
        <color rgb="FF63C384"/>
      </dataBar>
    </cfRule>
    <cfRule type="dataBar" priority="996">
      <dataBar>
        <cfvo type="min"/>
        <cfvo type="max"/>
        <color rgb="FF63C384"/>
      </dataBar>
    </cfRule>
    <cfRule type="dataBar" priority="995">
      <dataBar>
        <cfvo type="min"/>
        <cfvo type="max"/>
        <color rgb="FF63C384"/>
      </dataBar>
    </cfRule>
  </conditionalFormatting>
  <conditionalFormatting sqref="AF52:AF54">
    <cfRule type="dataBar" priority="994">
      <dataBar>
        <cfvo type="min"/>
        <cfvo type="max"/>
        <color rgb="FF63C384"/>
      </dataBar>
    </cfRule>
    <cfRule type="dataBar" priority="993">
      <dataBar>
        <cfvo type="min"/>
        <cfvo type="max"/>
        <color rgb="FF63C384"/>
      </dataBar>
    </cfRule>
  </conditionalFormatting>
  <conditionalFormatting sqref="AF50:AF51">
    <cfRule type="dataBar" priority="991">
      <dataBar>
        <cfvo type="min"/>
        <cfvo type="max"/>
        <color rgb="FF63C384"/>
      </dataBar>
    </cfRule>
  </conditionalFormatting>
  <conditionalFormatting sqref="AF56">
    <cfRule type="dataBar" priority="988">
      <dataBar>
        <cfvo type="min"/>
        <cfvo type="max"/>
        <color rgb="FF63C384"/>
      </dataBar>
    </cfRule>
    <cfRule type="dataBar" priority="987">
      <dataBar>
        <cfvo type="min"/>
        <cfvo type="max"/>
        <color rgb="FF63C384"/>
      </dataBar>
    </cfRule>
  </conditionalFormatting>
  <conditionalFormatting sqref="AF57">
    <cfRule type="dataBar" priority="983">
      <dataBar>
        <cfvo type="min"/>
        <cfvo type="max"/>
        <color rgb="FF63C384"/>
      </dataBar>
    </cfRule>
    <cfRule type="dataBar" priority="982">
      <dataBar>
        <cfvo type="min"/>
        <cfvo type="max"/>
        <color rgb="FF63C384"/>
      </dataBar>
    </cfRule>
    <cfRule type="dataBar" priority="981">
      <dataBar>
        <cfvo type="min"/>
        <cfvo type="max"/>
        <color rgb="FF63C384"/>
      </dataBar>
    </cfRule>
    <cfRule type="dataBar" priority="980">
      <dataBar>
        <cfvo type="min"/>
        <cfvo type="max"/>
        <color rgb="FF63C384"/>
      </dataBar>
    </cfRule>
  </conditionalFormatting>
  <conditionalFormatting sqref="AF58">
    <cfRule type="dataBar" priority="976">
      <dataBar>
        <cfvo type="min"/>
        <cfvo type="max"/>
        <color rgb="FF63C384"/>
      </dataBar>
    </cfRule>
    <cfRule type="dataBar" priority="975">
      <dataBar>
        <cfvo type="min"/>
        <cfvo type="max"/>
        <color rgb="FF63C384"/>
      </dataBar>
    </cfRule>
  </conditionalFormatting>
  <conditionalFormatting sqref="AF59">
    <cfRule type="dataBar" priority="972">
      <dataBar>
        <cfvo type="min"/>
        <cfvo type="max"/>
        <color rgb="FF63C384"/>
      </dataBar>
    </cfRule>
    <cfRule type="dataBar" priority="971">
      <dataBar>
        <cfvo type="min"/>
        <cfvo type="max"/>
        <color rgb="FF63C384"/>
      </dataBar>
    </cfRule>
  </conditionalFormatting>
  <conditionalFormatting sqref="AF60">
    <cfRule type="dataBar" priority="968">
      <dataBar>
        <cfvo type="min"/>
        <cfvo type="max"/>
        <color rgb="FF63C384"/>
      </dataBar>
    </cfRule>
    <cfRule type="dataBar" priority="967">
      <dataBar>
        <cfvo type="min"/>
        <cfvo type="max"/>
        <color rgb="FF63C384"/>
      </dataBar>
    </cfRule>
  </conditionalFormatting>
  <conditionalFormatting sqref="AF61">
    <cfRule type="dataBar" priority="965">
      <dataBar>
        <cfvo type="min"/>
        <cfvo type="max"/>
        <color rgb="FF63C384"/>
      </dataBar>
    </cfRule>
    <cfRule type="dataBar" priority="964">
      <dataBar>
        <cfvo type="min"/>
        <cfvo type="max"/>
        <color rgb="FF63C384"/>
      </dataBar>
    </cfRule>
    <cfRule type="dataBar" priority="962">
      <dataBar>
        <cfvo type="min"/>
        <cfvo type="max"/>
        <color rgb="FF63C384"/>
      </dataBar>
    </cfRule>
    <cfRule type="dataBar" priority="961">
      <dataBar>
        <cfvo type="min"/>
        <cfvo type="max"/>
        <color rgb="FF63C384"/>
      </dataBar>
    </cfRule>
  </conditionalFormatting>
  <conditionalFormatting sqref="AF62">
    <cfRule type="dataBar" priority="958">
      <dataBar>
        <cfvo type="min"/>
        <cfvo type="max"/>
        <color rgb="FF63C384"/>
      </dataBar>
    </cfRule>
    <cfRule type="dataBar" priority="957">
      <dataBar>
        <cfvo type="min"/>
        <cfvo type="max"/>
        <color rgb="FF63C384"/>
      </dataBar>
    </cfRule>
    <cfRule type="dataBar" priority="954">
      <dataBar>
        <cfvo type="min"/>
        <cfvo type="max"/>
        <color rgb="FF63C384"/>
      </dataBar>
    </cfRule>
    <cfRule type="dataBar" priority="953">
      <dataBar>
        <cfvo type="min"/>
        <cfvo type="max"/>
        <color rgb="FF63C384"/>
      </dataBar>
    </cfRule>
  </conditionalFormatting>
  <conditionalFormatting sqref="AF63">
    <cfRule type="dataBar" priority="950">
      <dataBar>
        <cfvo type="min"/>
        <cfvo type="max"/>
        <color rgb="FF63C384"/>
      </dataBar>
    </cfRule>
    <cfRule type="dataBar" priority="949">
      <dataBar>
        <cfvo type="min"/>
        <cfvo type="max"/>
        <color rgb="FF63C384"/>
      </dataBar>
    </cfRule>
  </conditionalFormatting>
  <conditionalFormatting sqref="AF64">
    <cfRule type="dataBar" priority="947">
      <dataBar>
        <cfvo type="min"/>
        <cfvo type="max"/>
        <color rgb="FF63C384"/>
      </dataBar>
    </cfRule>
    <cfRule type="dataBar" priority="946">
      <dataBar>
        <cfvo type="min"/>
        <cfvo type="max"/>
        <color rgb="FF63C384"/>
      </dataBar>
    </cfRule>
  </conditionalFormatting>
  <conditionalFormatting sqref="AF65:AF66">
    <cfRule type="dataBar" priority="942">
      <dataBar>
        <cfvo type="min"/>
        <cfvo type="max"/>
        <color rgb="FF63C384"/>
      </dataBar>
    </cfRule>
    <cfRule type="dataBar" priority="941">
      <dataBar>
        <cfvo type="min"/>
        <cfvo type="max"/>
        <color rgb="FF63C384"/>
      </dataBar>
    </cfRule>
  </conditionalFormatting>
  <conditionalFormatting sqref="AF67">
    <cfRule type="dataBar" priority="938">
      <dataBar>
        <cfvo type="min"/>
        <cfvo type="max"/>
        <color rgb="FF63C384"/>
      </dataBar>
    </cfRule>
    <cfRule type="dataBar" priority="937">
      <dataBar>
        <cfvo type="min"/>
        <cfvo type="max"/>
        <color rgb="FF63C384"/>
      </dataBar>
    </cfRule>
    <cfRule type="dataBar" priority="935">
      <dataBar>
        <cfvo type="min"/>
        <cfvo type="max"/>
        <color rgb="FF63C384"/>
      </dataBar>
    </cfRule>
    <cfRule type="dataBar" priority="934">
      <dataBar>
        <cfvo type="min"/>
        <cfvo type="max"/>
        <color rgb="FF63C384"/>
      </dataBar>
    </cfRule>
    <cfRule type="dataBar" priority="932">
      <dataBar>
        <cfvo type="min"/>
        <cfvo type="max"/>
        <color rgb="FF63C384"/>
      </dataBar>
    </cfRule>
    <cfRule type="dataBar" priority="931">
      <dataBar>
        <cfvo type="min"/>
        <cfvo type="max"/>
        <color rgb="FF63C384"/>
      </dataBar>
    </cfRule>
    <cfRule type="dataBar" priority="929">
      <dataBar>
        <cfvo type="min"/>
        <cfvo type="max"/>
        <color rgb="FF63C384"/>
      </dataBar>
    </cfRule>
    <cfRule type="dataBar" priority="928">
      <dataBar>
        <cfvo type="min"/>
        <cfvo type="max"/>
        <color rgb="FF63C384"/>
      </dataBar>
    </cfRule>
  </conditionalFormatting>
  <conditionalFormatting sqref="AF68">
    <cfRule type="dataBar" priority="923">
      <dataBar>
        <cfvo type="min"/>
        <cfvo type="max"/>
        <color rgb="FF63C384"/>
      </dataBar>
    </cfRule>
    <cfRule type="dataBar" priority="922">
      <dataBar>
        <cfvo type="min"/>
        <cfvo type="max"/>
        <color rgb="FF63C384"/>
      </dataBar>
    </cfRule>
  </conditionalFormatting>
  <conditionalFormatting sqref="AF69">
    <cfRule type="dataBar" priority="919">
      <dataBar>
        <cfvo type="min"/>
        <cfvo type="max"/>
        <color rgb="FF63C384"/>
      </dataBar>
    </cfRule>
  </conditionalFormatting>
  <conditionalFormatting sqref="AF70">
    <cfRule type="dataBar" priority="915">
      <dataBar>
        <cfvo type="min"/>
        <cfvo type="max"/>
        <color rgb="FF63C384"/>
      </dataBar>
    </cfRule>
  </conditionalFormatting>
  <conditionalFormatting sqref="AF71">
    <cfRule type="dataBar" priority="911">
      <dataBar>
        <cfvo type="min"/>
        <cfvo type="max"/>
        <color rgb="FF63C384"/>
      </dataBar>
    </cfRule>
    <cfRule type="dataBar" priority="910">
      <dataBar>
        <cfvo type="min"/>
        <cfvo type="max"/>
        <color rgb="FF63C384"/>
      </dataBar>
    </cfRule>
  </conditionalFormatting>
  <conditionalFormatting sqref="AF72">
    <cfRule type="dataBar" priority="907">
      <dataBar>
        <cfvo type="min"/>
        <cfvo type="max"/>
        <color rgb="FF63C384"/>
      </dataBar>
    </cfRule>
  </conditionalFormatting>
  <conditionalFormatting sqref="AF73">
    <cfRule type="dataBar" priority="903">
      <dataBar>
        <cfvo type="min"/>
        <cfvo type="max"/>
        <color rgb="FF63C384"/>
      </dataBar>
    </cfRule>
    <cfRule type="dataBar" priority="902">
      <dataBar>
        <cfvo type="min"/>
        <cfvo type="max"/>
        <color rgb="FF63C384"/>
      </dataBar>
    </cfRule>
  </conditionalFormatting>
  <conditionalFormatting sqref="AF74">
    <cfRule type="dataBar" priority="897">
      <dataBar>
        <cfvo type="min"/>
        <cfvo type="max"/>
        <color rgb="FF63C384"/>
      </dataBar>
    </cfRule>
    <cfRule type="dataBar" priority="896">
      <dataBar>
        <cfvo type="min"/>
        <cfvo type="max"/>
        <color rgb="FF63C384"/>
      </dataBar>
    </cfRule>
    <cfRule type="dataBar" priority="894">
      <dataBar>
        <cfvo type="min"/>
        <cfvo type="max"/>
        <color rgb="FF63C384"/>
      </dataBar>
    </cfRule>
    <cfRule type="dataBar" priority="893">
      <dataBar>
        <cfvo type="min"/>
        <cfvo type="max"/>
        <color rgb="FF63C384"/>
      </dataBar>
    </cfRule>
  </conditionalFormatting>
  <conditionalFormatting sqref="AF75">
    <cfRule type="dataBar" priority="891">
      <dataBar>
        <cfvo type="min"/>
        <cfvo type="max"/>
        <color rgb="FF63C384"/>
      </dataBar>
    </cfRule>
    <cfRule type="dataBar" priority="890">
      <dataBar>
        <cfvo type="min"/>
        <cfvo type="max"/>
        <color rgb="FF63C384"/>
      </dataBar>
    </cfRule>
    <cfRule type="dataBar" priority="889">
      <dataBar>
        <cfvo type="min"/>
        <cfvo type="max"/>
        <color rgb="FF63C384"/>
      </dataBar>
    </cfRule>
    <cfRule type="dataBar" priority="888">
      <dataBar>
        <cfvo type="min"/>
        <cfvo type="max"/>
        <color rgb="FF63C384"/>
      </dataBar>
    </cfRule>
  </conditionalFormatting>
  <conditionalFormatting sqref="AF76">
    <cfRule type="dataBar" priority="886">
      <dataBar>
        <cfvo type="min"/>
        <cfvo type="max"/>
        <color rgb="FF63C384"/>
      </dataBar>
    </cfRule>
    <cfRule type="dataBar" priority="885">
      <dataBar>
        <cfvo type="min"/>
        <cfvo type="max"/>
        <color rgb="FF63C384"/>
      </dataBar>
    </cfRule>
  </conditionalFormatting>
  <conditionalFormatting sqref="AF77">
    <cfRule type="dataBar" priority="880">
      <dataBar>
        <cfvo type="min"/>
        <cfvo type="max"/>
        <color rgb="FF63C384"/>
      </dataBar>
    </cfRule>
    <cfRule type="dataBar" priority="879">
      <dataBar>
        <cfvo type="min"/>
        <cfvo type="max"/>
        <color rgb="FF63C384"/>
      </dataBar>
    </cfRule>
    <cfRule type="dataBar" priority="878">
      <dataBar>
        <cfvo type="min"/>
        <cfvo type="max"/>
        <color rgb="FF63C384"/>
      </dataBar>
    </cfRule>
    <cfRule type="dataBar" priority="877">
      <dataBar>
        <cfvo type="min"/>
        <cfvo type="max"/>
        <color rgb="FF63C384"/>
      </dataBar>
    </cfRule>
  </conditionalFormatting>
  <conditionalFormatting sqref="AF78">
    <cfRule type="dataBar" priority="873">
      <dataBar>
        <cfvo type="min"/>
        <cfvo type="max"/>
        <color rgb="FF63C384"/>
      </dataBar>
    </cfRule>
    <cfRule type="dataBar" priority="872">
      <dataBar>
        <cfvo type="min"/>
        <cfvo type="max"/>
        <color rgb="FF63C384"/>
      </dataBar>
    </cfRule>
  </conditionalFormatting>
  <conditionalFormatting sqref="AF79">
    <cfRule type="dataBar" priority="869">
      <dataBar>
        <cfvo type="min"/>
        <cfvo type="max"/>
        <color rgb="FF63C384"/>
      </dataBar>
    </cfRule>
    <cfRule type="dataBar" priority="868">
      <dataBar>
        <cfvo type="min"/>
        <cfvo type="max"/>
        <color rgb="FF63C384"/>
      </dataBar>
    </cfRule>
  </conditionalFormatting>
  <conditionalFormatting sqref="AF80">
    <cfRule type="dataBar" priority="866">
      <dataBar>
        <cfvo type="min"/>
        <cfvo type="max"/>
        <color rgb="FF63C384"/>
      </dataBar>
    </cfRule>
    <cfRule type="dataBar" priority="865">
      <dataBar>
        <cfvo type="min"/>
        <cfvo type="max"/>
        <color rgb="FF63C384"/>
      </dataBar>
    </cfRule>
  </conditionalFormatting>
  <conditionalFormatting sqref="AF81">
    <cfRule type="dataBar" priority="862">
      <dataBar>
        <cfvo type="min"/>
        <cfvo type="max"/>
        <color rgb="FF63C384"/>
      </dataBar>
    </cfRule>
    <cfRule type="dataBar" priority="861">
      <dataBar>
        <cfvo type="min"/>
        <cfvo type="max"/>
        <color rgb="FF63C384"/>
      </dataBar>
    </cfRule>
  </conditionalFormatting>
  <conditionalFormatting sqref="AF82">
    <cfRule type="dataBar" priority="858">
      <dataBar>
        <cfvo type="min"/>
        <cfvo type="max"/>
        <color rgb="FF63C384"/>
      </dataBar>
    </cfRule>
    <cfRule type="dataBar" priority="857">
      <dataBar>
        <cfvo type="min"/>
        <cfvo type="max"/>
        <color rgb="FF63C384"/>
      </dataBar>
    </cfRule>
  </conditionalFormatting>
  <conditionalFormatting sqref="AF83">
    <cfRule type="dataBar" priority="854">
      <dataBar>
        <cfvo type="min"/>
        <cfvo type="max"/>
        <color rgb="FF63C384"/>
      </dataBar>
    </cfRule>
    <cfRule type="dataBar" priority="853">
      <dataBar>
        <cfvo type="min"/>
        <cfvo type="max"/>
        <color rgb="FF63C384"/>
      </dataBar>
    </cfRule>
    <cfRule type="dataBar" priority="851">
      <dataBar>
        <cfvo type="min"/>
        <cfvo type="max"/>
        <color rgb="FF63C384"/>
      </dataBar>
    </cfRule>
    <cfRule type="dataBar" priority="850">
      <dataBar>
        <cfvo type="min"/>
        <cfvo type="max"/>
        <color rgb="FF63C384"/>
      </dataBar>
    </cfRule>
    <cfRule type="dataBar" priority="848">
      <dataBar>
        <cfvo type="min"/>
        <cfvo type="max"/>
        <color rgb="FF63C384"/>
      </dataBar>
    </cfRule>
    <cfRule type="dataBar" priority="847">
      <dataBar>
        <cfvo type="min"/>
        <cfvo type="max"/>
        <color rgb="FF63C384"/>
      </dataBar>
    </cfRule>
    <cfRule type="dataBar" priority="845">
      <dataBar>
        <cfvo type="min"/>
        <cfvo type="max"/>
        <color rgb="FF63C384"/>
      </dataBar>
    </cfRule>
    <cfRule type="dataBar" priority="844">
      <dataBar>
        <cfvo type="min"/>
        <cfvo type="max"/>
        <color rgb="FF63C384"/>
      </dataBar>
    </cfRule>
  </conditionalFormatting>
  <conditionalFormatting sqref="AF84:AF85">
    <cfRule type="dataBar" priority="839">
      <dataBar>
        <cfvo type="min"/>
        <cfvo type="max"/>
        <color rgb="FF63C384"/>
      </dataBar>
    </cfRule>
  </conditionalFormatting>
  <conditionalFormatting sqref="AF86">
    <cfRule type="dataBar" priority="835">
      <dataBar>
        <cfvo type="min"/>
        <cfvo type="max"/>
        <color rgb="FF63C384"/>
      </dataBar>
    </cfRule>
    <cfRule type="dataBar" priority="834">
      <dataBar>
        <cfvo type="min"/>
        <cfvo type="max"/>
        <color rgb="FF63C384"/>
      </dataBar>
    </cfRule>
  </conditionalFormatting>
  <conditionalFormatting sqref="AF87">
    <cfRule type="dataBar" priority="829">
      <dataBar>
        <cfvo type="min"/>
        <cfvo type="max"/>
        <color rgb="FF63C384"/>
      </dataBar>
    </cfRule>
    <cfRule type="dataBar" priority="828">
      <dataBar>
        <cfvo type="min"/>
        <cfvo type="max"/>
        <color rgb="FF63C384"/>
      </dataBar>
    </cfRule>
    <cfRule type="dataBar" priority="826">
      <dataBar>
        <cfvo type="min"/>
        <cfvo type="max"/>
        <color rgb="FF63C384"/>
      </dataBar>
    </cfRule>
    <cfRule type="dataBar" priority="825">
      <dataBar>
        <cfvo type="min"/>
        <cfvo type="max"/>
        <color rgb="FF63C384"/>
      </dataBar>
    </cfRule>
  </conditionalFormatting>
  <conditionalFormatting sqref="AF88">
    <cfRule type="dataBar" priority="823">
      <dataBar>
        <cfvo type="min"/>
        <cfvo type="max"/>
        <color rgb="FF63C384"/>
      </dataBar>
    </cfRule>
    <cfRule type="dataBar" priority="822">
      <dataBar>
        <cfvo type="min"/>
        <cfvo type="max"/>
        <color rgb="FF63C384"/>
      </dataBar>
    </cfRule>
    <cfRule type="dataBar" priority="821">
      <dataBar>
        <cfvo type="min"/>
        <cfvo type="max"/>
        <color rgb="FF63C384"/>
      </dataBar>
    </cfRule>
    <cfRule type="dataBar" priority="820">
      <dataBar>
        <cfvo type="min"/>
        <cfvo type="max"/>
        <color rgb="FF63C384"/>
      </dataBar>
    </cfRule>
  </conditionalFormatting>
  <conditionalFormatting sqref="AF89">
    <cfRule type="dataBar" priority="817">
      <dataBar>
        <cfvo type="min"/>
        <cfvo type="max"/>
        <color rgb="FF63C384"/>
      </dataBar>
    </cfRule>
  </conditionalFormatting>
  <conditionalFormatting sqref="AF90">
    <cfRule type="dataBar" priority="813">
      <dataBar>
        <cfvo type="min"/>
        <cfvo type="max"/>
        <color rgb="FF63C384"/>
      </dataBar>
    </cfRule>
  </conditionalFormatting>
  <conditionalFormatting sqref="AF91">
    <cfRule type="dataBar" priority="808">
      <dataBar>
        <cfvo type="min"/>
        <cfvo type="max"/>
        <color rgb="FF63C384"/>
      </dataBar>
    </cfRule>
    <cfRule type="dataBar" priority="807">
      <dataBar>
        <cfvo type="min"/>
        <cfvo type="max"/>
        <color rgb="FF63C384"/>
      </dataBar>
    </cfRule>
    <cfRule type="dataBar" priority="806">
      <dataBar>
        <cfvo type="min"/>
        <cfvo type="max"/>
        <color rgb="FF63C384"/>
      </dataBar>
    </cfRule>
    <cfRule type="dataBar" priority="805">
      <dataBar>
        <cfvo type="min"/>
        <cfvo type="max"/>
        <color rgb="FF63C384"/>
      </dataBar>
    </cfRule>
  </conditionalFormatting>
  <conditionalFormatting sqref="AF92">
    <cfRule type="dataBar" priority="802">
      <dataBar>
        <cfvo type="min"/>
        <cfvo type="max"/>
        <color rgb="FF63C384"/>
      </dataBar>
    </cfRule>
    <cfRule type="dataBar" priority="801">
      <dataBar>
        <cfvo type="min"/>
        <cfvo type="max"/>
        <color rgb="FF63C384"/>
      </dataBar>
    </cfRule>
  </conditionalFormatting>
  <conditionalFormatting sqref="AF93">
    <cfRule type="dataBar" priority="796">
      <dataBar>
        <cfvo type="min"/>
        <cfvo type="max"/>
        <color rgb="FF63C384"/>
      </dataBar>
    </cfRule>
    <cfRule type="dataBar" priority="795">
      <dataBar>
        <cfvo type="min"/>
        <cfvo type="max"/>
        <color rgb="FF63C384"/>
      </dataBar>
    </cfRule>
  </conditionalFormatting>
  <conditionalFormatting sqref="AF94">
    <cfRule type="dataBar" priority="793">
      <dataBar>
        <cfvo type="min"/>
        <cfvo type="max"/>
        <color rgb="FF63C384"/>
      </dataBar>
    </cfRule>
    <cfRule type="dataBar" priority="792">
      <dataBar>
        <cfvo type="min"/>
        <cfvo type="max"/>
        <color rgb="FF63C384"/>
      </dataBar>
    </cfRule>
  </conditionalFormatting>
  <conditionalFormatting sqref="AF95">
    <cfRule type="dataBar" priority="788">
      <dataBar>
        <cfvo type="min"/>
        <cfvo type="max"/>
        <color rgb="FF63C384"/>
      </dataBar>
    </cfRule>
    <cfRule type="dataBar" priority="787">
      <dataBar>
        <cfvo type="min"/>
        <cfvo type="max"/>
        <color rgb="FF63C384"/>
      </dataBar>
    </cfRule>
  </conditionalFormatting>
  <conditionalFormatting sqref="AF96">
    <cfRule type="dataBar" priority="784">
      <dataBar>
        <cfvo type="min"/>
        <cfvo type="max"/>
        <color rgb="FF63C384"/>
      </dataBar>
    </cfRule>
  </conditionalFormatting>
  <conditionalFormatting sqref="AF97">
    <cfRule type="dataBar" priority="780">
      <dataBar>
        <cfvo type="min"/>
        <cfvo type="max"/>
        <color rgb="FF63C384"/>
      </dataBar>
    </cfRule>
    <cfRule type="dataBar" priority="779">
      <dataBar>
        <cfvo type="min"/>
        <cfvo type="max"/>
        <color rgb="FF63C384"/>
      </dataBar>
    </cfRule>
    <cfRule type="dataBar" priority="777">
      <dataBar>
        <cfvo type="min"/>
        <cfvo type="max"/>
        <color rgb="FF63C384"/>
      </dataBar>
    </cfRule>
    <cfRule type="dataBar" priority="776">
      <dataBar>
        <cfvo type="min"/>
        <cfvo type="max"/>
        <color rgb="FF63C384"/>
      </dataBar>
    </cfRule>
    <cfRule type="dataBar" priority="774">
      <dataBar>
        <cfvo type="min"/>
        <cfvo type="max"/>
        <color rgb="FF63C384"/>
      </dataBar>
    </cfRule>
    <cfRule type="dataBar" priority="773">
      <dataBar>
        <cfvo type="min"/>
        <cfvo type="max"/>
        <color rgb="FF63C384"/>
      </dataBar>
    </cfRule>
    <cfRule type="dataBar" priority="771">
      <dataBar>
        <cfvo type="min"/>
        <cfvo type="max"/>
        <color rgb="FF63C384"/>
      </dataBar>
    </cfRule>
    <cfRule type="dataBar" priority="770">
      <dataBar>
        <cfvo type="min"/>
        <cfvo type="max"/>
        <color rgb="FF63C384"/>
      </dataBar>
    </cfRule>
  </conditionalFormatting>
  <conditionalFormatting sqref="AF98">
    <cfRule type="dataBar" priority="766">
      <dataBar>
        <cfvo type="min"/>
        <cfvo type="max"/>
        <color rgb="FF63C384"/>
      </dataBar>
    </cfRule>
    <cfRule type="dataBar" priority="765">
      <dataBar>
        <cfvo type="min"/>
        <cfvo type="max"/>
        <color rgb="FF63C384"/>
      </dataBar>
    </cfRule>
  </conditionalFormatting>
  <conditionalFormatting sqref="AF99">
    <cfRule type="dataBar" priority="762">
      <dataBar>
        <cfvo type="min"/>
        <cfvo type="max"/>
        <color rgb="FF63C384"/>
      </dataBar>
    </cfRule>
  </conditionalFormatting>
  <conditionalFormatting sqref="AF100">
    <cfRule type="dataBar" priority="759">
      <dataBar>
        <cfvo type="min"/>
        <cfvo type="max"/>
        <color rgb="FF63C384"/>
      </dataBar>
    </cfRule>
    <cfRule type="dataBar" priority="758">
      <dataBar>
        <cfvo type="min"/>
        <cfvo type="max"/>
        <color rgb="FF63C384"/>
      </dataBar>
    </cfRule>
  </conditionalFormatting>
  <conditionalFormatting sqref="AF101">
    <cfRule type="dataBar" priority="756">
      <dataBar>
        <cfvo type="min"/>
        <cfvo type="max"/>
        <color rgb="FF63C384"/>
      </dataBar>
    </cfRule>
    <cfRule type="dataBar" priority="755">
      <dataBar>
        <cfvo type="min"/>
        <cfvo type="max"/>
        <color rgb="FF63C384"/>
      </dataBar>
    </cfRule>
  </conditionalFormatting>
  <conditionalFormatting sqref="AF102">
    <cfRule type="dataBar" priority="752">
      <dataBar>
        <cfvo type="min"/>
        <cfvo type="max"/>
        <color rgb="FF63C384"/>
      </dataBar>
    </cfRule>
    <cfRule type="dataBar" priority="751">
      <dataBar>
        <cfvo type="min"/>
        <cfvo type="max"/>
        <color rgb="FF63C384"/>
      </dataBar>
    </cfRule>
  </conditionalFormatting>
  <conditionalFormatting sqref="AF103">
    <cfRule type="dataBar" priority="746">
      <dataBar>
        <cfvo type="min"/>
        <cfvo type="max"/>
        <color rgb="FF63C384"/>
      </dataBar>
    </cfRule>
    <cfRule type="dataBar" priority="745">
      <dataBar>
        <cfvo type="min"/>
        <cfvo type="max"/>
        <color rgb="FF63C384"/>
      </dataBar>
    </cfRule>
    <cfRule type="dataBar" priority="743">
      <dataBar>
        <cfvo type="min"/>
        <cfvo type="max"/>
        <color rgb="FF63C384"/>
      </dataBar>
    </cfRule>
    <cfRule type="dataBar" priority="742">
      <dataBar>
        <cfvo type="min"/>
        <cfvo type="max"/>
        <color rgb="FF63C384"/>
      </dataBar>
    </cfRule>
  </conditionalFormatting>
  <conditionalFormatting sqref="AF104">
    <cfRule type="dataBar" priority="739">
      <dataBar>
        <cfvo type="min"/>
        <cfvo type="max"/>
        <color rgb="FF63C384"/>
      </dataBar>
    </cfRule>
    <cfRule type="dataBar" priority="738">
      <dataBar>
        <cfvo type="min"/>
        <cfvo type="max"/>
        <color rgb="FF63C384"/>
      </dataBar>
    </cfRule>
  </conditionalFormatting>
  <conditionalFormatting sqref="AF105">
    <cfRule type="dataBar" priority="736">
      <dataBar>
        <cfvo type="min"/>
        <cfvo type="max"/>
        <color rgb="FF63C384"/>
      </dataBar>
    </cfRule>
    <cfRule type="dataBar" priority="735">
      <dataBar>
        <cfvo type="min"/>
        <cfvo type="max"/>
        <color rgb="FF63C384"/>
      </dataBar>
    </cfRule>
  </conditionalFormatting>
  <conditionalFormatting sqref="AF106">
    <cfRule type="dataBar" priority="731">
      <dataBar>
        <cfvo type="min"/>
        <cfvo type="max"/>
        <color rgb="FF63C384"/>
      </dataBar>
    </cfRule>
    <cfRule type="dataBar" priority="730">
      <dataBar>
        <cfvo type="min"/>
        <cfvo type="max"/>
        <color rgb="FF63C384"/>
      </dataBar>
    </cfRule>
    <cfRule type="dataBar" priority="729">
      <dataBar>
        <cfvo type="min"/>
        <cfvo type="max"/>
        <color rgb="FF63C384"/>
      </dataBar>
    </cfRule>
    <cfRule type="dataBar" priority="728">
      <dataBar>
        <cfvo type="min"/>
        <cfvo type="max"/>
        <color rgb="FF63C384"/>
      </dataBar>
    </cfRule>
  </conditionalFormatting>
  <conditionalFormatting sqref="AF107">
    <cfRule type="dataBar" priority="725">
      <dataBar>
        <cfvo type="min"/>
        <cfvo type="max"/>
        <color rgb="FF63C384"/>
      </dataBar>
    </cfRule>
  </conditionalFormatting>
  <conditionalFormatting sqref="AF108">
    <cfRule type="dataBar" priority="720">
      <dataBar>
        <cfvo type="min"/>
        <cfvo type="max"/>
        <color rgb="FF63C384"/>
      </dataBar>
    </cfRule>
    <cfRule type="dataBar" priority="719">
      <dataBar>
        <cfvo type="min"/>
        <cfvo type="max"/>
        <color rgb="FF63C384"/>
      </dataBar>
    </cfRule>
    <cfRule type="dataBar" priority="718">
      <dataBar>
        <cfvo type="min"/>
        <cfvo type="max"/>
        <color rgb="FF63C384"/>
      </dataBar>
    </cfRule>
    <cfRule type="dataBar" priority="717">
      <dataBar>
        <cfvo type="min"/>
        <cfvo type="max"/>
        <color rgb="FF63C384"/>
      </dataBar>
    </cfRule>
  </conditionalFormatting>
  <conditionalFormatting sqref="AF111">
    <cfRule type="dataBar" priority="713">
      <dataBar>
        <cfvo type="min"/>
        <cfvo type="max"/>
        <color rgb="FF63C384"/>
      </dataBar>
    </cfRule>
    <cfRule type="dataBar" priority="712">
      <dataBar>
        <cfvo type="min"/>
        <cfvo type="max"/>
        <color rgb="FF63C384"/>
      </dataBar>
    </cfRule>
  </conditionalFormatting>
  <conditionalFormatting sqref="AF112">
    <cfRule type="dataBar" priority="709">
      <dataBar>
        <cfvo type="min"/>
        <cfvo type="max"/>
        <color rgb="FF63C384"/>
      </dataBar>
    </cfRule>
    <cfRule type="dataBar" priority="708">
      <dataBar>
        <cfvo type="min"/>
        <cfvo type="max"/>
        <color rgb="FF63C384"/>
      </dataBar>
    </cfRule>
  </conditionalFormatting>
  <conditionalFormatting sqref="AF113">
    <cfRule type="dataBar" priority="705">
      <dataBar>
        <cfvo type="min"/>
        <cfvo type="max"/>
        <color rgb="FF63C384"/>
      </dataBar>
    </cfRule>
    <cfRule type="dataBar" priority="704">
      <dataBar>
        <cfvo type="min"/>
        <cfvo type="max"/>
        <color rgb="FF63C384"/>
      </dataBar>
    </cfRule>
    <cfRule type="dataBar" priority="701">
      <dataBar>
        <cfvo type="min"/>
        <cfvo type="max"/>
        <color rgb="FF63C384"/>
      </dataBar>
    </cfRule>
    <cfRule type="dataBar" priority="700">
      <dataBar>
        <cfvo type="min"/>
        <cfvo type="max"/>
        <color rgb="FF63C384"/>
      </dataBar>
    </cfRule>
  </conditionalFormatting>
  <conditionalFormatting sqref="AF114">
    <cfRule type="dataBar" priority="698">
      <dataBar>
        <cfvo type="min"/>
        <cfvo type="max"/>
        <color rgb="FF63C384"/>
      </dataBar>
    </cfRule>
    <cfRule type="dataBar" priority="697">
      <dataBar>
        <cfvo type="min"/>
        <cfvo type="max"/>
        <color rgb="FF63C384"/>
      </dataBar>
    </cfRule>
  </conditionalFormatting>
  <conditionalFormatting sqref="AF115">
    <cfRule type="dataBar" priority="693">
      <dataBar>
        <cfvo type="min"/>
        <cfvo type="max"/>
        <color rgb="FF63C384"/>
      </dataBar>
    </cfRule>
  </conditionalFormatting>
  <conditionalFormatting sqref="AF116">
    <cfRule type="dataBar" priority="689">
      <dataBar>
        <cfvo type="min"/>
        <cfvo type="max"/>
        <color rgb="FF63C384"/>
      </dataBar>
    </cfRule>
    <cfRule type="dataBar" priority="688">
      <dataBar>
        <cfvo type="min"/>
        <cfvo type="max"/>
        <color rgb="FF63C384"/>
      </dataBar>
    </cfRule>
    <cfRule type="dataBar" priority="686">
      <dataBar>
        <cfvo type="min"/>
        <cfvo type="max"/>
        <color rgb="FF63C384"/>
      </dataBar>
    </cfRule>
    <cfRule type="dataBar" priority="685">
      <dataBar>
        <cfvo type="min"/>
        <cfvo type="max"/>
        <color rgb="FF63C384"/>
      </dataBar>
    </cfRule>
    <cfRule type="dataBar" priority="683">
      <dataBar>
        <cfvo type="min"/>
        <cfvo type="max"/>
        <color rgb="FF63C384"/>
      </dataBar>
    </cfRule>
    <cfRule type="dataBar" priority="682">
      <dataBar>
        <cfvo type="min"/>
        <cfvo type="max"/>
        <color rgb="FF63C384"/>
      </dataBar>
    </cfRule>
    <cfRule type="dataBar" priority="680">
      <dataBar>
        <cfvo type="min"/>
        <cfvo type="max"/>
        <color rgb="FF63C384"/>
      </dataBar>
    </cfRule>
    <cfRule type="dataBar" priority="679">
      <dataBar>
        <cfvo type="min"/>
        <cfvo type="max"/>
        <color rgb="FF63C384"/>
      </dataBar>
    </cfRule>
  </conditionalFormatting>
  <conditionalFormatting sqref="AF117">
    <cfRule type="dataBar" priority="674">
      <dataBar>
        <cfvo type="min"/>
        <cfvo type="max"/>
        <color rgb="FF63C384"/>
      </dataBar>
    </cfRule>
    <cfRule type="dataBar" priority="673">
      <dataBar>
        <cfvo type="min"/>
        <cfvo type="max"/>
        <color rgb="FF63C384"/>
      </dataBar>
    </cfRule>
  </conditionalFormatting>
  <conditionalFormatting sqref="AF118">
    <cfRule type="dataBar" priority="670">
      <dataBar>
        <cfvo type="min"/>
        <cfvo type="max"/>
        <color rgb="FF63C384"/>
      </dataBar>
    </cfRule>
  </conditionalFormatting>
  <conditionalFormatting sqref="AF119">
    <cfRule type="dataBar" priority="666">
      <dataBar>
        <cfvo type="min"/>
        <cfvo type="max"/>
        <color rgb="FF63C384"/>
      </dataBar>
    </cfRule>
    <cfRule type="dataBar" priority="665">
      <dataBar>
        <cfvo type="min"/>
        <cfvo type="max"/>
        <color rgb="FF63C384"/>
      </dataBar>
    </cfRule>
  </conditionalFormatting>
  <conditionalFormatting sqref="AF120">
    <cfRule type="dataBar" priority="662">
      <dataBar>
        <cfvo type="min"/>
        <cfvo type="max"/>
        <color rgb="FF63C384"/>
      </dataBar>
    </cfRule>
    <cfRule type="dataBar" priority="661">
      <dataBar>
        <cfvo type="min"/>
        <cfvo type="max"/>
        <color rgb="FF63C384"/>
      </dataBar>
    </cfRule>
  </conditionalFormatting>
  <conditionalFormatting sqref="AF121">
    <cfRule type="dataBar" priority="656">
      <dataBar>
        <cfvo type="min"/>
        <cfvo type="max"/>
        <color rgb="FF63C384"/>
      </dataBar>
    </cfRule>
    <cfRule type="dataBar" priority="655">
      <dataBar>
        <cfvo type="min"/>
        <cfvo type="max"/>
        <color rgb="FF63C384"/>
      </dataBar>
    </cfRule>
    <cfRule type="dataBar" priority="653">
      <dataBar>
        <cfvo type="min"/>
        <cfvo type="max"/>
        <color rgb="FF63C384"/>
      </dataBar>
    </cfRule>
    <cfRule type="dataBar" priority="652">
      <dataBar>
        <cfvo type="min"/>
        <cfvo type="max"/>
        <color rgb="FF63C384"/>
      </dataBar>
    </cfRule>
  </conditionalFormatting>
  <conditionalFormatting sqref="AF122">
    <cfRule type="dataBar" priority="649">
      <dataBar>
        <cfvo type="min"/>
        <cfvo type="max"/>
        <color rgb="FF63C384"/>
      </dataBar>
    </cfRule>
  </conditionalFormatting>
  <conditionalFormatting sqref="AF123">
    <cfRule type="dataBar" priority="645">
      <dataBar>
        <cfvo type="min"/>
        <cfvo type="max"/>
        <color rgb="FF63C384"/>
      </dataBar>
    </cfRule>
    <cfRule type="dataBar" priority="644">
      <dataBar>
        <cfvo type="min"/>
        <cfvo type="max"/>
        <color rgb="FF63C384"/>
      </dataBar>
    </cfRule>
    <cfRule type="dataBar" priority="643">
      <dataBar>
        <cfvo type="min"/>
        <cfvo type="max"/>
        <color rgb="FF63C384"/>
      </dataBar>
    </cfRule>
    <cfRule type="dataBar" priority="642">
      <dataBar>
        <cfvo type="min"/>
        <cfvo type="max"/>
        <color rgb="FF63C384"/>
      </dataBar>
    </cfRule>
  </conditionalFormatting>
  <conditionalFormatting sqref="AF124">
    <cfRule type="dataBar" priority="640">
      <dataBar>
        <cfvo type="min"/>
        <cfvo type="max"/>
        <color rgb="FF63C384"/>
      </dataBar>
    </cfRule>
    <cfRule type="dataBar" priority="639">
      <dataBar>
        <cfvo type="min"/>
        <cfvo type="max"/>
        <color rgb="FF63C384"/>
      </dataBar>
    </cfRule>
  </conditionalFormatting>
  <conditionalFormatting sqref="AF125">
    <cfRule type="dataBar" priority="634">
      <dataBar>
        <cfvo type="min"/>
        <cfvo type="max"/>
        <color rgb="FF63C384"/>
      </dataBar>
    </cfRule>
    <cfRule type="dataBar" priority="633">
      <dataBar>
        <cfvo type="min"/>
        <cfvo type="max"/>
        <color rgb="FF63C384"/>
      </dataBar>
    </cfRule>
    <cfRule type="dataBar" priority="632">
      <dataBar>
        <cfvo type="min"/>
        <cfvo type="max"/>
        <color rgb="FF63C384"/>
      </dataBar>
    </cfRule>
    <cfRule type="dataBar" priority="631">
      <dataBar>
        <cfvo type="min"/>
        <cfvo type="max"/>
        <color rgb="FF63C384"/>
      </dataBar>
    </cfRule>
  </conditionalFormatting>
  <conditionalFormatting sqref="AF127">
    <cfRule type="dataBar" priority="627">
      <dataBar>
        <cfvo type="min"/>
        <cfvo type="max"/>
        <color rgb="FF63C384"/>
      </dataBar>
    </cfRule>
    <cfRule type="dataBar" priority="626">
      <dataBar>
        <cfvo type="min"/>
        <cfvo type="max"/>
        <color rgb="FF63C384"/>
      </dataBar>
    </cfRule>
  </conditionalFormatting>
  <conditionalFormatting sqref="AF128">
    <cfRule type="dataBar" priority="622">
      <dataBar>
        <cfvo type="min"/>
        <cfvo type="max"/>
        <color rgb="FF63C384"/>
      </dataBar>
    </cfRule>
    <cfRule type="dataBar" priority="621">
      <dataBar>
        <cfvo type="min"/>
        <cfvo type="max"/>
        <color rgb="FF63C384"/>
      </dataBar>
    </cfRule>
  </conditionalFormatting>
  <conditionalFormatting sqref="AF129">
    <cfRule type="dataBar" priority="618">
      <dataBar>
        <cfvo type="min"/>
        <cfvo type="max"/>
        <color rgb="FF63C384"/>
      </dataBar>
    </cfRule>
    <cfRule type="dataBar" priority="617">
      <dataBar>
        <cfvo type="min"/>
        <cfvo type="max"/>
        <color rgb="FF63C384"/>
      </dataBar>
    </cfRule>
    <cfRule type="dataBar" priority="615">
      <dataBar>
        <cfvo type="min"/>
        <cfvo type="max"/>
        <color rgb="FF63C384"/>
      </dataBar>
    </cfRule>
    <cfRule type="dataBar" priority="614">
      <dataBar>
        <cfvo type="min"/>
        <cfvo type="max"/>
        <color rgb="FF63C384"/>
      </dataBar>
    </cfRule>
    <cfRule type="dataBar" priority="612">
      <dataBar>
        <cfvo type="min"/>
        <cfvo type="max"/>
        <color rgb="FF63C384"/>
      </dataBar>
    </cfRule>
    <cfRule type="dataBar" priority="611">
      <dataBar>
        <cfvo type="min"/>
        <cfvo type="max"/>
        <color rgb="FF63C384"/>
      </dataBar>
    </cfRule>
    <cfRule type="dataBar" priority="609">
      <dataBar>
        <cfvo type="min"/>
        <cfvo type="max"/>
        <color rgb="FF63C384"/>
      </dataBar>
    </cfRule>
    <cfRule type="dataBar" priority="608">
      <dataBar>
        <cfvo type="min"/>
        <cfvo type="max"/>
        <color rgb="FF63C384"/>
      </dataBar>
    </cfRule>
  </conditionalFormatting>
  <conditionalFormatting sqref="AF130">
    <cfRule type="dataBar" priority="603">
      <dataBar>
        <cfvo type="min"/>
        <cfvo type="max"/>
        <color rgb="FF63C384"/>
      </dataBar>
    </cfRule>
  </conditionalFormatting>
  <conditionalFormatting sqref="AF131">
    <cfRule type="dataBar" priority="599">
      <dataBar>
        <cfvo type="min"/>
        <cfvo type="max"/>
        <color rgb="FF63C384"/>
      </dataBar>
    </cfRule>
  </conditionalFormatting>
  <conditionalFormatting sqref="AF132">
    <cfRule type="dataBar" priority="595">
      <dataBar>
        <cfvo type="min"/>
        <cfvo type="max"/>
        <color rgb="FF63C384"/>
      </dataBar>
    </cfRule>
    <cfRule type="dataBar" priority="594">
      <dataBar>
        <cfvo type="min"/>
        <cfvo type="max"/>
        <color rgb="FF63C384"/>
      </dataBar>
    </cfRule>
  </conditionalFormatting>
  <conditionalFormatting sqref="AF133">
    <cfRule type="dataBar" priority="589">
      <dataBar>
        <cfvo type="min"/>
        <cfvo type="max"/>
        <color rgb="FF63C384"/>
      </dataBar>
    </cfRule>
    <cfRule type="dataBar" priority="588">
      <dataBar>
        <cfvo type="min"/>
        <cfvo type="max"/>
        <color rgb="FF63C384"/>
      </dataBar>
    </cfRule>
    <cfRule type="dataBar" priority="586">
      <dataBar>
        <cfvo type="min"/>
        <cfvo type="max"/>
        <color rgb="FF63C384"/>
      </dataBar>
    </cfRule>
    <cfRule type="dataBar" priority="585">
      <dataBar>
        <cfvo type="min"/>
        <cfvo type="max"/>
        <color rgb="FF63C384"/>
      </dataBar>
    </cfRule>
  </conditionalFormatting>
  <conditionalFormatting sqref="AF134">
    <cfRule type="dataBar" priority="582">
      <dataBar>
        <cfvo type="min"/>
        <cfvo type="max"/>
        <color rgb="FF63C384"/>
      </dataBar>
    </cfRule>
  </conditionalFormatting>
  <conditionalFormatting sqref="AF135">
    <cfRule type="dataBar" priority="578">
      <dataBar>
        <cfvo type="min"/>
        <cfvo type="max"/>
        <color rgb="FF63C384"/>
      </dataBar>
    </cfRule>
    <cfRule type="dataBar" priority="577">
      <dataBar>
        <cfvo type="min"/>
        <cfvo type="max"/>
        <color rgb="FF63C384"/>
      </dataBar>
    </cfRule>
    <cfRule type="dataBar" priority="576">
      <dataBar>
        <cfvo type="min"/>
        <cfvo type="max"/>
        <color rgb="FF63C384"/>
      </dataBar>
    </cfRule>
    <cfRule type="dataBar" priority="575">
      <dataBar>
        <cfvo type="min"/>
        <cfvo type="max"/>
        <color rgb="FF63C384"/>
      </dataBar>
    </cfRule>
  </conditionalFormatting>
  <conditionalFormatting sqref="AF136">
    <cfRule type="dataBar" priority="572">
      <dataBar>
        <cfvo type="min"/>
        <cfvo type="max"/>
        <color rgb="FF63C384"/>
      </dataBar>
    </cfRule>
    <cfRule type="dataBar" priority="571">
      <dataBar>
        <cfvo type="min"/>
        <cfvo type="max"/>
        <color rgb="FF63C384"/>
      </dataBar>
    </cfRule>
    <cfRule type="dataBar" priority="570">
      <dataBar>
        <cfvo type="min"/>
        <cfvo type="max"/>
        <color rgb="FF63C384"/>
      </dataBar>
    </cfRule>
    <cfRule type="dataBar" priority="569">
      <dataBar>
        <cfvo type="min"/>
        <cfvo type="max"/>
        <color rgb="FF63C384"/>
      </dataBar>
    </cfRule>
  </conditionalFormatting>
  <conditionalFormatting sqref="AF137">
    <cfRule type="dataBar" priority="566">
      <dataBar>
        <cfvo type="min"/>
        <cfvo type="max"/>
        <color rgb="FF63C384"/>
      </dataBar>
    </cfRule>
    <cfRule type="dataBar" priority="565">
      <dataBar>
        <cfvo type="min"/>
        <cfvo type="max"/>
        <color rgb="FF63C384"/>
      </dataBar>
    </cfRule>
  </conditionalFormatting>
  <conditionalFormatting sqref="AF139">
    <cfRule type="dataBar" priority="559">
      <dataBar>
        <cfvo type="min"/>
        <cfvo type="max"/>
        <color rgb="FF63C384"/>
      </dataBar>
    </cfRule>
  </conditionalFormatting>
  <conditionalFormatting sqref="AF109:AF110">
    <cfRule type="dataBar" priority="1207">
      <dataBar>
        <cfvo type="min"/>
        <cfvo type="max"/>
        <color rgb="FF63C384"/>
      </dataBar>
    </cfRule>
  </conditionalFormatting>
  <conditionalFormatting sqref="AF140">
    <cfRule type="dataBar" priority="556">
      <dataBar>
        <cfvo type="min"/>
        <cfvo type="max"/>
        <color rgb="FF63C384"/>
      </dataBar>
    </cfRule>
    <cfRule type="dataBar" priority="555">
      <dataBar>
        <cfvo type="min"/>
        <cfvo type="max"/>
        <color rgb="FF63C384"/>
      </dataBar>
    </cfRule>
    <cfRule type="dataBar" priority="554">
      <dataBar>
        <cfvo type="min"/>
        <cfvo type="max"/>
        <color rgb="FF63C384"/>
      </dataBar>
    </cfRule>
    <cfRule type="dataBar" priority="553">
      <dataBar>
        <cfvo type="min"/>
        <cfvo type="max"/>
        <color rgb="FF63C384"/>
      </dataBar>
    </cfRule>
  </conditionalFormatting>
  <conditionalFormatting sqref="AF142">
    <cfRule type="dataBar" priority="550">
      <dataBar>
        <cfvo type="min"/>
        <cfvo type="max"/>
        <color rgb="FF63C384"/>
      </dataBar>
    </cfRule>
    <cfRule type="dataBar" priority="549">
      <dataBar>
        <cfvo type="min"/>
        <cfvo type="max"/>
        <color rgb="FF63C384"/>
      </dataBar>
    </cfRule>
  </conditionalFormatting>
  <conditionalFormatting sqref="AF143">
    <cfRule type="dataBar" priority="545">
      <dataBar>
        <cfvo type="min"/>
        <cfvo type="max"/>
        <color rgb="FF63C384"/>
      </dataBar>
    </cfRule>
  </conditionalFormatting>
  <conditionalFormatting sqref="AF144">
    <cfRule type="dataBar" priority="541">
      <dataBar>
        <cfvo type="min"/>
        <cfvo type="max"/>
        <color rgb="FF63C384"/>
      </dataBar>
    </cfRule>
    <cfRule type="dataBar" priority="540">
      <dataBar>
        <cfvo type="min"/>
        <cfvo type="max"/>
        <color rgb="FF63C384"/>
      </dataBar>
    </cfRule>
  </conditionalFormatting>
  <conditionalFormatting sqref="AF145">
    <cfRule type="dataBar" priority="537">
      <dataBar>
        <cfvo type="min"/>
        <cfvo type="max"/>
        <color rgb="FF63C384"/>
      </dataBar>
    </cfRule>
    <cfRule type="dataBar" priority="536">
      <dataBar>
        <cfvo type="min"/>
        <cfvo type="max"/>
        <color rgb="FF63C384"/>
      </dataBar>
    </cfRule>
    <cfRule type="dataBar" priority="534">
      <dataBar>
        <cfvo type="min"/>
        <cfvo type="max"/>
        <color rgb="FF63C384"/>
      </dataBar>
    </cfRule>
    <cfRule type="dataBar" priority="533">
      <dataBar>
        <cfvo type="min"/>
        <cfvo type="max"/>
        <color rgb="FF63C384"/>
      </dataBar>
    </cfRule>
    <cfRule type="dataBar" priority="531">
      <dataBar>
        <cfvo type="min"/>
        <cfvo type="max"/>
        <color rgb="FF63C384"/>
      </dataBar>
    </cfRule>
    <cfRule type="dataBar" priority="530">
      <dataBar>
        <cfvo type="min"/>
        <cfvo type="max"/>
        <color rgb="FF63C384"/>
      </dataBar>
    </cfRule>
    <cfRule type="dataBar" priority="528">
      <dataBar>
        <cfvo type="min"/>
        <cfvo type="max"/>
        <color rgb="FF63C384"/>
      </dataBar>
    </cfRule>
    <cfRule type="dataBar" priority="527">
      <dataBar>
        <cfvo type="min"/>
        <cfvo type="max"/>
        <color rgb="FF63C384"/>
      </dataBar>
    </cfRule>
  </conditionalFormatting>
  <conditionalFormatting sqref="AF146">
    <cfRule type="dataBar" priority="522">
      <dataBar>
        <cfvo type="min"/>
        <cfvo type="max"/>
        <color rgb="FF63C384"/>
      </dataBar>
    </cfRule>
  </conditionalFormatting>
  <conditionalFormatting sqref="AF147">
    <cfRule type="dataBar" priority="518">
      <dataBar>
        <cfvo type="min"/>
        <cfvo type="max"/>
        <color rgb="FF63C384"/>
      </dataBar>
    </cfRule>
    <cfRule type="dataBar" priority="517">
      <dataBar>
        <cfvo type="min"/>
        <cfvo type="max"/>
        <color rgb="FF63C384"/>
      </dataBar>
    </cfRule>
  </conditionalFormatting>
  <conditionalFormatting sqref="AF148">
    <cfRule type="dataBar" priority="514">
      <dataBar>
        <cfvo type="min"/>
        <cfvo type="max"/>
        <color rgb="FF63C384"/>
      </dataBar>
    </cfRule>
  </conditionalFormatting>
  <conditionalFormatting sqref="AF149">
    <cfRule type="dataBar" priority="507">
      <dataBar>
        <cfvo type="min"/>
        <cfvo type="max"/>
        <color rgb="FF63C384"/>
      </dataBar>
    </cfRule>
    <cfRule type="dataBar" priority="506">
      <dataBar>
        <cfvo type="min"/>
        <cfvo type="max"/>
        <color rgb="FF63C384"/>
      </dataBar>
    </cfRule>
    <cfRule type="dataBar" priority="504">
      <dataBar>
        <cfvo type="min"/>
        <cfvo type="max"/>
        <color rgb="FF63C384"/>
      </dataBar>
    </cfRule>
    <cfRule type="dataBar" priority="503">
      <dataBar>
        <cfvo type="min"/>
        <cfvo type="max"/>
        <color rgb="FF63C384"/>
      </dataBar>
    </cfRule>
  </conditionalFormatting>
  <conditionalFormatting sqref="AF150">
    <cfRule type="dataBar" priority="501">
      <dataBar>
        <cfvo type="min"/>
        <cfvo type="max"/>
        <color rgb="FF63C384"/>
      </dataBar>
    </cfRule>
    <cfRule type="dataBar" priority="500">
      <dataBar>
        <cfvo type="min"/>
        <cfvo type="max"/>
        <color rgb="FF63C384"/>
      </dataBar>
    </cfRule>
    <cfRule type="dataBar" priority="499">
      <dataBar>
        <cfvo type="min"/>
        <cfvo type="max"/>
        <color rgb="FF63C384"/>
      </dataBar>
    </cfRule>
    <cfRule type="dataBar" priority="498">
      <dataBar>
        <cfvo type="min"/>
        <cfvo type="max"/>
        <color rgb="FF63C384"/>
      </dataBar>
    </cfRule>
  </conditionalFormatting>
  <conditionalFormatting sqref="AF151">
    <cfRule type="dataBar" priority="496">
      <dataBar>
        <cfvo type="min"/>
        <cfvo type="max"/>
        <color rgb="FF63C384"/>
      </dataBar>
    </cfRule>
    <cfRule type="dataBar" priority="495">
      <dataBar>
        <cfvo type="min"/>
        <cfvo type="max"/>
        <color rgb="FF63C384"/>
      </dataBar>
    </cfRule>
  </conditionalFormatting>
  <conditionalFormatting sqref="AF152">
    <cfRule type="dataBar" priority="490">
      <dataBar>
        <cfvo type="min"/>
        <cfvo type="max"/>
        <color rgb="FF63C384"/>
      </dataBar>
    </cfRule>
    <cfRule type="dataBar" priority="489">
      <dataBar>
        <cfvo type="min"/>
        <cfvo type="max"/>
        <color rgb="FF63C384"/>
      </dataBar>
    </cfRule>
    <cfRule type="dataBar" priority="488">
      <dataBar>
        <cfvo type="min"/>
        <cfvo type="max"/>
        <color rgb="FF63C384"/>
      </dataBar>
    </cfRule>
    <cfRule type="dataBar" priority="487">
      <dataBar>
        <cfvo type="min"/>
        <cfvo type="max"/>
        <color rgb="FF63C384"/>
      </dataBar>
    </cfRule>
  </conditionalFormatting>
  <conditionalFormatting sqref="AF153">
    <cfRule type="dataBar" priority="483">
      <dataBar>
        <cfvo type="min"/>
        <cfvo type="max"/>
        <color rgb="FF63C384"/>
      </dataBar>
    </cfRule>
    <cfRule type="dataBar" priority="482">
      <dataBar>
        <cfvo type="min"/>
        <cfvo type="max"/>
        <color rgb="FF63C384"/>
      </dataBar>
    </cfRule>
  </conditionalFormatting>
  <conditionalFormatting sqref="AF154">
    <cfRule type="dataBar" priority="479">
      <dataBar>
        <cfvo type="min"/>
        <cfvo type="max"/>
        <color rgb="FF63C384"/>
      </dataBar>
    </cfRule>
    <cfRule type="dataBar" priority="478">
      <dataBar>
        <cfvo type="min"/>
        <cfvo type="max"/>
        <color rgb="FF63C384"/>
      </dataBar>
    </cfRule>
  </conditionalFormatting>
  <conditionalFormatting sqref="AF155">
    <cfRule type="dataBar" priority="476">
      <dataBar>
        <cfvo type="min"/>
        <cfvo type="max"/>
        <color rgb="FF63C384"/>
      </dataBar>
    </cfRule>
    <cfRule type="dataBar" priority="475">
      <dataBar>
        <cfvo type="min"/>
        <cfvo type="max"/>
        <color rgb="FF63C384"/>
      </dataBar>
    </cfRule>
  </conditionalFormatting>
  <conditionalFormatting sqref="AF156">
    <cfRule type="dataBar" priority="471">
      <dataBar>
        <cfvo type="min"/>
        <cfvo type="max"/>
        <color rgb="FF63C384"/>
      </dataBar>
    </cfRule>
  </conditionalFormatting>
  <conditionalFormatting sqref="AF157">
    <cfRule type="dataBar" priority="467">
      <dataBar>
        <cfvo type="min"/>
        <cfvo type="max"/>
        <color rgb="FF63C384"/>
      </dataBar>
    </cfRule>
  </conditionalFormatting>
  <conditionalFormatting sqref="AF158">
    <cfRule type="dataBar" priority="463">
      <dataBar>
        <cfvo type="min"/>
        <cfvo type="max"/>
        <color rgb="FF63C384"/>
      </dataBar>
    </cfRule>
    <cfRule type="dataBar" priority="462">
      <dataBar>
        <cfvo type="min"/>
        <cfvo type="max"/>
        <color rgb="FF63C384"/>
      </dataBar>
    </cfRule>
    <cfRule type="dataBar" priority="460">
      <dataBar>
        <cfvo type="min"/>
        <cfvo type="max"/>
        <color rgb="FF63C384"/>
      </dataBar>
    </cfRule>
    <cfRule type="dataBar" priority="459">
      <dataBar>
        <cfvo type="min"/>
        <cfvo type="max"/>
        <color rgb="FF63C384"/>
      </dataBar>
    </cfRule>
    <cfRule type="dataBar" priority="457">
      <dataBar>
        <cfvo type="min"/>
        <cfvo type="max"/>
        <color rgb="FF63C384"/>
      </dataBar>
    </cfRule>
    <cfRule type="dataBar" priority="456">
      <dataBar>
        <cfvo type="min"/>
        <cfvo type="max"/>
        <color rgb="FF63C384"/>
      </dataBar>
    </cfRule>
    <cfRule type="dataBar" priority="454">
      <dataBar>
        <cfvo type="min"/>
        <cfvo type="max"/>
        <color rgb="FF63C384"/>
      </dataBar>
    </cfRule>
    <cfRule type="dataBar" priority="453">
      <dataBar>
        <cfvo type="min"/>
        <cfvo type="max"/>
        <color rgb="FF63C384"/>
      </dataBar>
    </cfRule>
  </conditionalFormatting>
  <conditionalFormatting sqref="AF159">
    <cfRule type="dataBar" priority="448">
      <dataBar>
        <cfvo type="min"/>
        <cfvo type="max"/>
        <color rgb="FF63C384"/>
      </dataBar>
    </cfRule>
    <cfRule type="dataBar" priority="447">
      <dataBar>
        <cfvo type="min"/>
        <cfvo type="max"/>
        <color rgb="FF63C384"/>
      </dataBar>
    </cfRule>
  </conditionalFormatting>
  <conditionalFormatting sqref="AF160">
    <cfRule type="dataBar" priority="442">
      <dataBar>
        <cfvo type="min"/>
        <cfvo type="max"/>
        <color rgb="FF63C384"/>
      </dataBar>
    </cfRule>
    <cfRule type="dataBar" priority="441">
      <dataBar>
        <cfvo type="min"/>
        <cfvo type="max"/>
        <color rgb="FF63C384"/>
      </dataBar>
    </cfRule>
    <cfRule type="dataBar" priority="439">
      <dataBar>
        <cfvo type="min"/>
        <cfvo type="max"/>
        <color rgb="FF63C384"/>
      </dataBar>
    </cfRule>
    <cfRule type="dataBar" priority="438">
      <dataBar>
        <cfvo type="min"/>
        <cfvo type="max"/>
        <color rgb="FF63C384"/>
      </dataBar>
    </cfRule>
  </conditionalFormatting>
  <conditionalFormatting sqref="AF161">
    <cfRule type="dataBar" priority="436">
      <dataBar>
        <cfvo type="min"/>
        <cfvo type="max"/>
        <color rgb="FF63C384"/>
      </dataBar>
    </cfRule>
    <cfRule type="dataBar" priority="435">
      <dataBar>
        <cfvo type="min"/>
        <cfvo type="max"/>
        <color rgb="FF63C384"/>
      </dataBar>
    </cfRule>
    <cfRule type="dataBar" priority="434">
      <dataBar>
        <cfvo type="min"/>
        <cfvo type="max"/>
        <color rgb="FF63C384"/>
      </dataBar>
    </cfRule>
    <cfRule type="dataBar" priority="433">
      <dataBar>
        <cfvo type="min"/>
        <cfvo type="max"/>
        <color rgb="FF63C384"/>
      </dataBar>
    </cfRule>
  </conditionalFormatting>
  <conditionalFormatting sqref="AF162">
    <cfRule type="dataBar" priority="431">
      <dataBar>
        <cfvo type="min"/>
        <cfvo type="max"/>
        <color rgb="FF63C384"/>
      </dataBar>
    </cfRule>
    <cfRule type="dataBar" priority="430">
      <dataBar>
        <cfvo type="min"/>
        <cfvo type="max"/>
        <color rgb="FF63C384"/>
      </dataBar>
    </cfRule>
  </conditionalFormatting>
  <conditionalFormatting sqref="AF163">
    <cfRule type="dataBar" priority="425">
      <dataBar>
        <cfvo type="min"/>
        <cfvo type="max"/>
        <color rgb="FF63C384"/>
      </dataBar>
    </cfRule>
    <cfRule type="dataBar" priority="424">
      <dataBar>
        <cfvo type="min"/>
        <cfvo type="max"/>
        <color rgb="FF63C384"/>
      </dataBar>
    </cfRule>
    <cfRule type="dataBar" priority="423">
      <dataBar>
        <cfvo type="min"/>
        <cfvo type="max"/>
        <color rgb="FF63C384"/>
      </dataBar>
    </cfRule>
    <cfRule type="dataBar" priority="422">
      <dataBar>
        <cfvo type="min"/>
        <cfvo type="max"/>
        <color rgb="FF63C384"/>
      </dataBar>
    </cfRule>
  </conditionalFormatting>
  <conditionalFormatting sqref="AF164">
    <cfRule type="dataBar" priority="418">
      <dataBar>
        <cfvo type="min"/>
        <cfvo type="max"/>
        <color rgb="FF63C384"/>
      </dataBar>
    </cfRule>
  </conditionalFormatting>
  <conditionalFormatting sqref="AF165:AF166">
    <cfRule type="dataBar" priority="414">
      <dataBar>
        <cfvo type="min"/>
        <cfvo type="max"/>
        <color rgb="FF63C384"/>
      </dataBar>
    </cfRule>
    <cfRule type="dataBar" priority="413">
      <dataBar>
        <cfvo type="min"/>
        <cfvo type="max"/>
        <color rgb="FF63C384"/>
      </dataBar>
    </cfRule>
  </conditionalFormatting>
  <conditionalFormatting sqref="AF167">
    <cfRule type="dataBar" priority="410">
      <dataBar>
        <cfvo type="min"/>
        <cfvo type="max"/>
        <color rgb="FF63C384"/>
      </dataBar>
    </cfRule>
    <cfRule type="dataBar" priority="409">
      <dataBar>
        <cfvo type="min"/>
        <cfvo type="max"/>
        <color rgb="FF63C384"/>
      </dataBar>
    </cfRule>
  </conditionalFormatting>
  <conditionalFormatting sqref="AF169">
    <cfRule type="dataBar" priority="406">
      <dataBar>
        <cfvo type="min"/>
        <cfvo type="max"/>
        <color rgb="FF63C384"/>
      </dataBar>
    </cfRule>
    <cfRule type="dataBar" priority="405">
      <dataBar>
        <cfvo type="min"/>
        <cfvo type="max"/>
        <color rgb="FF63C384"/>
      </dataBar>
    </cfRule>
  </conditionalFormatting>
  <conditionalFormatting sqref="AF169:AF170">
    <cfRule type="dataBar" priority="402">
      <dataBar>
        <cfvo type="min"/>
        <cfvo type="max"/>
        <color rgb="FF63C384"/>
      </dataBar>
    </cfRule>
  </conditionalFormatting>
  <conditionalFormatting sqref="AF170:AF171">
    <cfRule type="dataBar" priority="398">
      <dataBar>
        <cfvo type="min"/>
        <cfvo type="max"/>
        <color rgb="FF63C384"/>
      </dataBar>
    </cfRule>
  </conditionalFormatting>
  <conditionalFormatting sqref="AF168">
    <cfRule type="dataBar" priority="395">
      <dataBar>
        <cfvo type="min"/>
        <cfvo type="max"/>
        <color rgb="FF63C384"/>
      </dataBar>
    </cfRule>
    <cfRule type="dataBar" priority="394">
      <dataBar>
        <cfvo type="min"/>
        <cfvo type="max"/>
        <color rgb="FF63C384"/>
      </dataBar>
    </cfRule>
  </conditionalFormatting>
  <conditionalFormatting sqref="AF172">
    <cfRule type="dataBar" priority="390">
      <dataBar>
        <cfvo type="min"/>
        <cfvo type="max"/>
        <color rgb="FF63C384"/>
      </dataBar>
    </cfRule>
    <cfRule type="dataBar" priority="389">
      <dataBar>
        <cfvo type="min"/>
        <cfvo type="max"/>
        <color rgb="FF63C384"/>
      </dataBar>
    </cfRule>
    <cfRule type="dataBar" priority="387">
      <dataBar>
        <cfvo type="min"/>
        <cfvo type="max"/>
        <color rgb="FF63C384"/>
      </dataBar>
    </cfRule>
    <cfRule type="dataBar" priority="386">
      <dataBar>
        <cfvo type="min"/>
        <cfvo type="max"/>
        <color rgb="FF63C384"/>
      </dataBar>
    </cfRule>
    <cfRule type="dataBar" priority="384">
      <dataBar>
        <cfvo type="min"/>
        <cfvo type="max"/>
        <color rgb="FF63C384"/>
      </dataBar>
    </cfRule>
    <cfRule type="dataBar" priority="383">
      <dataBar>
        <cfvo type="min"/>
        <cfvo type="max"/>
        <color rgb="FF63C384"/>
      </dataBar>
    </cfRule>
    <cfRule type="dataBar" priority="381">
      <dataBar>
        <cfvo type="min"/>
        <cfvo type="max"/>
        <color rgb="FF63C384"/>
      </dataBar>
    </cfRule>
    <cfRule type="dataBar" priority="380">
      <dataBar>
        <cfvo type="min"/>
        <cfvo type="max"/>
        <color rgb="FF63C384"/>
      </dataBar>
    </cfRule>
  </conditionalFormatting>
  <conditionalFormatting sqref="AF173:AF175">
    <cfRule type="dataBar" priority="377">
      <dataBar>
        <cfvo type="min"/>
        <cfvo type="max"/>
        <color rgb="FF63C384"/>
      </dataBar>
    </cfRule>
  </conditionalFormatting>
  <conditionalFormatting sqref="AF176">
    <cfRule type="dataBar" priority="371">
      <dataBar>
        <cfvo type="min"/>
        <cfvo type="max"/>
        <color rgb="FF63C384"/>
      </dataBar>
    </cfRule>
    <cfRule type="dataBar" priority="370">
      <dataBar>
        <cfvo type="min"/>
        <cfvo type="max"/>
        <color rgb="FF63C384"/>
      </dataBar>
    </cfRule>
    <cfRule type="dataBar" priority="368">
      <dataBar>
        <cfvo type="min"/>
        <cfvo type="max"/>
        <color rgb="FF63C384"/>
      </dataBar>
    </cfRule>
    <cfRule type="dataBar" priority="367">
      <dataBar>
        <cfvo type="min"/>
        <cfvo type="max"/>
        <color rgb="FF63C384"/>
      </dataBar>
    </cfRule>
  </conditionalFormatting>
  <conditionalFormatting sqref="AF177:AF178">
    <cfRule type="dataBar" priority="364">
      <dataBar>
        <cfvo type="min"/>
        <cfvo type="max"/>
        <color rgb="FF63C384"/>
      </dataBar>
    </cfRule>
  </conditionalFormatting>
  <conditionalFormatting sqref="AF179">
    <cfRule type="dataBar" priority="355">
      <dataBar>
        <cfvo type="min"/>
        <cfvo type="max"/>
        <color rgb="FF63C384"/>
      </dataBar>
    </cfRule>
    <cfRule type="dataBar" priority="354">
      <dataBar>
        <cfvo type="min"/>
        <cfvo type="max"/>
        <color rgb="FF63C384"/>
      </dataBar>
    </cfRule>
  </conditionalFormatting>
  <conditionalFormatting sqref="P179">
    <cfRule type="cellIs" priority="353" operator="equal" dxfId="2034">
      <formula>"ja"</formula>
    </cfRule>
    <cfRule type="cellIs" priority="352" operator="equal" dxfId="2034">
      <formula>"ja"</formula>
    </cfRule>
  </conditionalFormatting>
  <conditionalFormatting sqref="AF180:AF181">
    <cfRule type="dataBar" priority="351">
      <dataBar>
        <cfvo type="min"/>
        <cfvo type="max"/>
        <color rgb="FF63C384"/>
      </dataBar>
    </cfRule>
  </conditionalFormatting>
  <conditionalFormatting sqref="AF183:AF184">
    <cfRule type="dataBar" priority="347">
      <dataBar>
        <cfvo type="min"/>
        <cfvo type="max"/>
        <color rgb="FF63C384"/>
      </dataBar>
    </cfRule>
    <cfRule type="dataBar" priority="346">
      <dataBar>
        <cfvo type="min"/>
        <cfvo type="max"/>
        <color rgb="FF63C384"/>
      </dataBar>
    </cfRule>
  </conditionalFormatting>
  <conditionalFormatting sqref="AF185">
    <cfRule type="dataBar" priority="344">
      <dataBar>
        <cfvo type="min"/>
        <cfvo type="max"/>
        <color rgb="FF63C384"/>
      </dataBar>
    </cfRule>
    <cfRule type="dataBar" priority="343">
      <dataBar>
        <cfvo type="min"/>
        <cfvo type="max"/>
        <color rgb="FF63C384"/>
      </dataBar>
    </cfRule>
  </conditionalFormatting>
  <conditionalFormatting sqref="P185">
    <cfRule type="cellIs" priority="342" operator="equal" dxfId="2034">
      <formula>"ja"</formula>
    </cfRule>
  </conditionalFormatting>
  <conditionalFormatting sqref="AF186">
    <cfRule type="dataBar" priority="340">
      <dataBar>
        <cfvo type="min"/>
        <cfvo type="max"/>
        <color rgb="FF63C384"/>
      </dataBar>
    </cfRule>
    <cfRule type="dataBar" priority="339">
      <dataBar>
        <cfvo type="min"/>
        <cfvo type="max"/>
        <color rgb="FF63C384"/>
      </dataBar>
    </cfRule>
  </conditionalFormatting>
  <conditionalFormatting sqref="P186">
    <cfRule type="cellIs" priority="338" operator="equal" dxfId="2034">
      <formula>"ja"</formula>
    </cfRule>
  </conditionalFormatting>
  <conditionalFormatting sqref="P187">
    <cfRule type="cellIs" priority="336" operator="equal" dxfId="2034">
      <formula>"ja"</formula>
    </cfRule>
    <cfRule type="cellIs" priority="332" operator="equal" dxfId="2034">
      <formula>"ja"</formula>
    </cfRule>
    <cfRule type="cellIs" priority="330" operator="equal" dxfId="2034">
      <formula>"ja"</formula>
    </cfRule>
  </conditionalFormatting>
  <conditionalFormatting sqref="AF187:AF188">
    <cfRule type="dataBar" priority="335">
      <dataBar>
        <cfvo type="min"/>
        <cfvo type="max"/>
        <color rgb="FF63C384"/>
      </dataBar>
    </cfRule>
    <cfRule type="dataBar" priority="334">
      <dataBar>
        <cfvo type="min"/>
        <cfvo type="max"/>
        <color rgb="FF63C384"/>
      </dataBar>
    </cfRule>
    <cfRule type="dataBar" priority="331">
      <dataBar>
        <cfvo type="min"/>
        <cfvo type="max"/>
        <color rgb="FF63C384"/>
      </dataBar>
    </cfRule>
  </conditionalFormatting>
  <conditionalFormatting sqref="AF189">
    <cfRule type="dataBar" priority="329">
      <dataBar>
        <cfvo type="min"/>
        <cfvo type="max"/>
        <color rgb="FF63C384"/>
      </dataBar>
    </cfRule>
  </conditionalFormatting>
  <conditionalFormatting sqref="P191">
    <cfRule type="cellIs" priority="325" operator="equal" dxfId="2034">
      <formula>"ja"</formula>
    </cfRule>
    <cfRule type="cellIs" priority="323" operator="equal" dxfId="2034">
      <formula>"ja"</formula>
    </cfRule>
  </conditionalFormatting>
  <conditionalFormatting sqref="AF191">
    <cfRule type="dataBar" priority="324">
      <dataBar>
        <cfvo type="min"/>
        <cfvo type="max"/>
        <color rgb="FF63C384"/>
      </dataBar>
    </cfRule>
  </conditionalFormatting>
  <conditionalFormatting sqref="P192">
    <cfRule type="cellIs" priority="321" operator="equal" dxfId="2034">
      <formula>"ja"</formula>
    </cfRule>
    <cfRule type="cellIs" priority="319" operator="equal" dxfId="2034">
      <formula>"ja"</formula>
    </cfRule>
    <cfRule type="cellIs" priority="317" operator="equal" dxfId="2034">
      <formula>"ja"</formula>
    </cfRule>
    <cfRule type="cellIs" priority="315" operator="equal" dxfId="2034">
      <formula>"ja"</formula>
    </cfRule>
  </conditionalFormatting>
  <conditionalFormatting sqref="AF192">
    <cfRule type="dataBar" priority="320">
      <dataBar>
        <cfvo type="min"/>
        <cfvo type="max"/>
        <color rgb="FF63C384"/>
      </dataBar>
    </cfRule>
    <cfRule type="dataBar" priority="316">
      <dataBar>
        <cfvo type="min"/>
        <cfvo type="max"/>
        <color rgb="FF63C384"/>
      </dataBar>
    </cfRule>
  </conditionalFormatting>
  <conditionalFormatting sqref="AF193">
    <cfRule type="dataBar" priority="314">
      <dataBar>
        <cfvo type="min"/>
        <cfvo type="max"/>
        <color rgb="FF63C384"/>
      </dataBar>
    </cfRule>
  </conditionalFormatting>
  <conditionalFormatting sqref="P194">
    <cfRule type="cellIs" priority="311" operator="equal" dxfId="2034">
      <formula>"ja"</formula>
    </cfRule>
    <cfRule type="cellIs" priority="310" operator="equal" dxfId="2034">
      <formula>"ja"</formula>
    </cfRule>
    <cfRule type="cellIs" priority="309" operator="equal" dxfId="2034">
      <formula>"ja"</formula>
    </cfRule>
    <cfRule type="cellIs" priority="306" operator="equal" dxfId="2034">
      <formula>"ja"</formula>
    </cfRule>
  </conditionalFormatting>
  <conditionalFormatting sqref="AF194">
    <cfRule type="dataBar" priority="308">
      <dataBar>
        <cfvo type="min"/>
        <cfvo type="max"/>
        <color rgb="FF63C384"/>
      </dataBar>
    </cfRule>
    <cfRule type="dataBar" priority="307">
      <dataBar>
        <cfvo type="min"/>
        <cfvo type="max"/>
        <color rgb="FF63C384"/>
      </dataBar>
    </cfRule>
    <cfRule type="dataBar" priority="305">
      <dataBar>
        <cfvo type="min"/>
        <cfvo type="max"/>
        <color rgb="FF63C384"/>
      </dataBar>
    </cfRule>
    <cfRule type="dataBar" priority="304">
      <dataBar>
        <cfvo type="min"/>
        <cfvo type="max"/>
        <color rgb="FF63C384"/>
      </dataBar>
    </cfRule>
  </conditionalFormatting>
  <conditionalFormatting sqref="AF195">
    <cfRule type="dataBar" priority="302">
      <dataBar>
        <cfvo type="min"/>
        <cfvo type="max"/>
        <color rgb="FF63C384"/>
      </dataBar>
    </cfRule>
    <cfRule type="dataBar" priority="301">
      <dataBar>
        <cfvo type="min"/>
        <cfvo type="max"/>
        <color rgb="FF63C384"/>
      </dataBar>
    </cfRule>
    <cfRule type="dataBar" priority="300">
      <dataBar>
        <cfvo type="min"/>
        <cfvo type="max"/>
        <color rgb="FF63C384"/>
      </dataBar>
    </cfRule>
    <cfRule type="dataBar" priority="299">
      <dataBar>
        <cfvo type="min"/>
        <cfvo type="max"/>
        <color rgb="FF63C384"/>
      </dataBar>
    </cfRule>
  </conditionalFormatting>
  <conditionalFormatting sqref="AF196">
    <cfRule type="dataBar" priority="297">
      <dataBar>
        <cfvo type="min"/>
        <cfvo type="max"/>
        <color rgb="FF63C384"/>
      </dataBar>
    </cfRule>
    <cfRule type="dataBar" priority="296">
      <dataBar>
        <cfvo type="min"/>
        <cfvo type="max"/>
        <color rgb="FF63C384"/>
      </dataBar>
    </cfRule>
  </conditionalFormatting>
  <conditionalFormatting sqref="P196">
    <cfRule type="cellIs" priority="295" operator="equal" dxfId="2034">
      <formula>"ja"</formula>
    </cfRule>
    <cfRule type="cellIs" priority="294" operator="equal" dxfId="2034">
      <formula>"ja"</formula>
    </cfRule>
  </conditionalFormatting>
  <conditionalFormatting sqref="AF197">
    <cfRule type="dataBar" priority="293">
      <dataBar>
        <cfvo type="min"/>
        <cfvo type="max"/>
        <color rgb="FF63C384"/>
      </dataBar>
    </cfRule>
  </conditionalFormatting>
  <conditionalFormatting sqref="P198">
    <cfRule type="cellIs" priority="290" operator="equal" dxfId="2034">
      <formula>"ja"</formula>
    </cfRule>
    <cfRule type="cellIs" priority="288" operator="equal" dxfId="2034">
      <formula>"ja"</formula>
    </cfRule>
    <cfRule type="cellIs" priority="287" operator="equal" dxfId="2034">
      <formula>"ja"</formula>
    </cfRule>
  </conditionalFormatting>
  <conditionalFormatting sqref="AF198">
    <cfRule type="dataBar" priority="289">
      <dataBar>
        <cfvo type="min"/>
        <cfvo type="max"/>
        <color rgb="FF63C384"/>
      </dataBar>
    </cfRule>
  </conditionalFormatting>
  <conditionalFormatting sqref="P199">
    <cfRule type="cellIs" priority="285" operator="equal" dxfId="2034">
      <formula>"ja"</formula>
    </cfRule>
    <cfRule type="cellIs" priority="284" operator="equal" dxfId="2034">
      <formula>"ja"</formula>
    </cfRule>
    <cfRule type="cellIs" priority="283" operator="equal" dxfId="2034">
      <formula>"ja"</formula>
    </cfRule>
    <cfRule type="cellIs" priority="280" operator="equal" dxfId="2034">
      <formula>"ja"</formula>
    </cfRule>
  </conditionalFormatting>
  <conditionalFormatting sqref="AF199">
    <cfRule type="dataBar" priority="282">
      <dataBar>
        <cfvo type="min"/>
        <cfvo type="max"/>
        <color rgb="FF63C384"/>
      </dataBar>
    </cfRule>
    <cfRule type="dataBar" priority="281">
      <dataBar>
        <cfvo type="min"/>
        <cfvo type="max"/>
        <color rgb="FF63C384"/>
      </dataBar>
    </cfRule>
    <cfRule type="dataBar" priority="279">
      <dataBar>
        <cfvo type="min"/>
        <cfvo type="max"/>
        <color rgb="FF63C384"/>
      </dataBar>
    </cfRule>
    <cfRule type="dataBar" priority="278">
      <dataBar>
        <cfvo type="min"/>
        <cfvo type="max"/>
        <color rgb="FF63C384"/>
      </dataBar>
    </cfRule>
  </conditionalFormatting>
  <conditionalFormatting sqref="AF200">
    <cfRule type="dataBar" priority="277">
      <dataBar>
        <cfvo type="min"/>
        <cfvo type="max"/>
        <color rgb="FF63C384"/>
      </dataBar>
    </cfRule>
  </conditionalFormatting>
  <conditionalFormatting sqref="X1">
    <cfRule type="expression" priority="141" dxfId="420">
      <formula>"$G$G&gt;400"</formula>
    </cfRule>
  </conditionalFormatting>
  <conditionalFormatting sqref="K1">
    <cfRule type="containsText" priority="139" operator="containsText" dxfId="1" text="Einnahmen">
      <formula>NOT(ISERROR(SEARCH("Einnahmen",K1)))</formula>
    </cfRule>
    <cfRule type="containsText" priority="140" operator="containsText" dxfId="0" text="Ausgaben">
      <formula>NOT(ISERROR(SEARCH("Ausgaben",K1)))</formula>
    </cfRule>
  </conditionalFormatting>
  <conditionalFormatting sqref="K3">
    <cfRule type="containsText" priority="137" operator="containsText" dxfId="1" text="Einnahmen">
      <formula>NOT(ISERROR(SEARCH("Einnahmen",K3)))</formula>
    </cfRule>
    <cfRule type="containsText" priority="138" operator="containsText" dxfId="0" text="Ausgaben">
      <formula>NOT(ISERROR(SEARCH("Ausgaben",K3)))</formula>
    </cfRule>
  </conditionalFormatting>
  <conditionalFormatting sqref="K4:K8 K10:K20 K22:K43 K45:K57 K59:K70">
    <cfRule type="containsText" priority="135" operator="containsText" dxfId="1" text="Einnahmen">
      <formula>NOT(ISERROR(SEARCH("Einnahmen",K4)))</formula>
    </cfRule>
    <cfRule type="containsText" priority="136" operator="containsText" dxfId="0" text="Ausgaben">
      <formula>NOT(ISERROR(SEARCH("Ausgaben",K4)))</formula>
    </cfRule>
  </conditionalFormatting>
  <conditionalFormatting sqref="K9">
    <cfRule type="containsText" priority="133" operator="containsText" dxfId="1" text="Einnahmen">
      <formula>NOT(ISERROR(SEARCH("Einnahmen",K9)))</formula>
    </cfRule>
    <cfRule type="containsText" priority="134" operator="containsText" dxfId="0" text="Ausgaben">
      <formula>NOT(ISERROR(SEARCH("Ausgaben",K9)))</formula>
    </cfRule>
  </conditionalFormatting>
  <conditionalFormatting sqref="K21">
    <cfRule type="containsText" priority="131" operator="containsText" dxfId="1" text="Einnahmen">
      <formula>NOT(ISERROR(SEARCH("Einnahmen",K21)))</formula>
    </cfRule>
    <cfRule type="containsText" priority="132" operator="containsText" dxfId="0" text="Ausgaben">
      <formula>NOT(ISERROR(SEARCH("Ausgaben",K21)))</formula>
    </cfRule>
  </conditionalFormatting>
  <conditionalFormatting sqref="K44">
    <cfRule type="containsText" priority="129" operator="containsText" dxfId="1" text="Einnahmen">
      <formula>NOT(ISERROR(SEARCH("Einnahmen",K44)))</formula>
    </cfRule>
    <cfRule type="containsText" priority="130" operator="containsText" dxfId="0" text="Ausgaben">
      <formula>NOT(ISERROR(SEARCH("Ausgaben",K44)))</formula>
    </cfRule>
  </conditionalFormatting>
  <conditionalFormatting sqref="K58">
    <cfRule type="containsText" priority="127" operator="containsText" dxfId="1" text="Einnahmen">
      <formula>NOT(ISERROR(SEARCH("Einnahmen",K58)))</formula>
    </cfRule>
    <cfRule type="containsText" priority="128" operator="containsText" dxfId="0" text="Ausgaben">
      <formula>NOT(ISERROR(SEARCH("Ausgaben",K58)))</formula>
    </cfRule>
  </conditionalFormatting>
  <conditionalFormatting sqref="K71">
    <cfRule type="containsText" priority="125" operator="containsText" dxfId="1" text="Einnahmen">
      <formula>NOT(ISERROR(SEARCH("Einnahmen",K71)))</formula>
    </cfRule>
    <cfRule type="containsText" priority="126" operator="containsText" dxfId="0" text="Ausgaben">
      <formula>NOT(ISERROR(SEARCH("Ausgaben",K71)))</formula>
    </cfRule>
  </conditionalFormatting>
  <conditionalFormatting sqref="K72:K73 K79:K80 K87 K89 K91:K92 K94 K96:K98 K101 K103:K109 K113 K116:K118 K121:K123 K127:K128 K132:K138 K142">
    <cfRule type="containsText" priority="123" operator="containsText" dxfId="1" text="Einnahmen">
      <formula>NOT(ISERROR(SEARCH("Einnahmen",K72)))</formula>
    </cfRule>
    <cfRule type="containsText" priority="124" operator="containsText" dxfId="0" text="Ausgaben">
      <formula>NOT(ISERROR(SEARCH("Ausgaben",K72)))</formula>
    </cfRule>
  </conditionalFormatting>
  <conditionalFormatting sqref="K74">
    <cfRule type="containsText" priority="121" operator="containsText" dxfId="1" text="Einnahmen">
      <formula>NOT(ISERROR(SEARCH("Einnahmen",K74)))</formula>
    </cfRule>
    <cfRule type="containsText" priority="122" operator="containsText" dxfId="0" text="Ausgaben">
      <formula>NOT(ISERROR(SEARCH("Ausgaben",K74)))</formula>
    </cfRule>
  </conditionalFormatting>
  <conditionalFormatting sqref="K75">
    <cfRule type="containsText" priority="119" operator="containsText" dxfId="1" text="Einnahmen">
      <formula>NOT(ISERROR(SEARCH("Einnahmen",K75)))</formula>
    </cfRule>
    <cfRule type="containsText" priority="120" operator="containsText" dxfId="0" text="Ausgaben">
      <formula>NOT(ISERROR(SEARCH("Ausgaben",K75)))</formula>
    </cfRule>
  </conditionalFormatting>
  <conditionalFormatting sqref="K76">
    <cfRule type="containsText" priority="117" operator="containsText" dxfId="1" text="Einnahmen">
      <formula>NOT(ISERROR(SEARCH("Einnahmen",K76)))</formula>
    </cfRule>
    <cfRule type="containsText" priority="118" operator="containsText" dxfId="0" text="Ausgaben">
      <formula>NOT(ISERROR(SEARCH("Ausgaben",K76)))</formula>
    </cfRule>
  </conditionalFormatting>
  <conditionalFormatting sqref="K77:K78">
    <cfRule type="containsText" priority="115" operator="containsText" dxfId="1" text="Einnahmen">
      <formula>NOT(ISERROR(SEARCH("Einnahmen",K77)))</formula>
    </cfRule>
    <cfRule type="containsText" priority="116" operator="containsText" dxfId="0" text="Ausgaben">
      <formula>NOT(ISERROR(SEARCH("Ausgaben",K77)))</formula>
    </cfRule>
  </conditionalFormatting>
  <conditionalFormatting sqref="K81">
    <cfRule type="containsText" priority="113" operator="containsText" dxfId="1" text="Einnahmen">
      <formula>NOT(ISERROR(SEARCH("Einnahmen",K81)))</formula>
    </cfRule>
    <cfRule type="containsText" priority="114" operator="containsText" dxfId="0" text="Ausgaben">
      <formula>NOT(ISERROR(SEARCH("Ausgaben",K81)))</formula>
    </cfRule>
  </conditionalFormatting>
  <conditionalFormatting sqref="K82">
    <cfRule type="containsText" priority="111" operator="containsText" dxfId="1" text="Einnahmen">
      <formula>NOT(ISERROR(SEARCH("Einnahmen",K82)))</formula>
    </cfRule>
    <cfRule type="containsText" priority="112" operator="containsText" dxfId="0" text="Ausgaben">
      <formula>NOT(ISERROR(SEARCH("Ausgaben",K82)))</formula>
    </cfRule>
  </conditionalFormatting>
  <conditionalFormatting sqref="K83">
    <cfRule type="containsText" priority="109" operator="containsText" dxfId="1" text="Einnahmen">
      <formula>NOT(ISERROR(SEARCH("Einnahmen",K83)))</formula>
    </cfRule>
    <cfRule type="containsText" priority="110" operator="containsText" dxfId="0" text="Ausgaben">
      <formula>NOT(ISERROR(SEARCH("Ausgaben",K83)))</formula>
    </cfRule>
  </conditionalFormatting>
  <conditionalFormatting sqref="K84">
    <cfRule type="containsText" priority="107" operator="containsText" dxfId="1" text="Einnahmen">
      <formula>NOT(ISERROR(SEARCH("Einnahmen",K84)))</formula>
    </cfRule>
    <cfRule type="containsText" priority="108" operator="containsText" dxfId="0" text="Ausgaben">
      <formula>NOT(ISERROR(SEARCH("Ausgaben",K84)))</formula>
    </cfRule>
  </conditionalFormatting>
  <conditionalFormatting sqref="K85">
    <cfRule type="containsText" priority="105" operator="containsText" dxfId="1" text="Einnahmen">
      <formula>NOT(ISERROR(SEARCH("Einnahmen",K85)))</formula>
    </cfRule>
    <cfRule type="containsText" priority="106" operator="containsText" dxfId="0" text="Ausgaben">
      <formula>NOT(ISERROR(SEARCH("Ausgaben",K85)))</formula>
    </cfRule>
  </conditionalFormatting>
  <conditionalFormatting sqref="K86">
    <cfRule type="containsText" priority="103" operator="containsText" dxfId="1" text="Einnahmen">
      <formula>NOT(ISERROR(SEARCH("Einnahmen",K86)))</formula>
    </cfRule>
    <cfRule type="containsText" priority="104" operator="containsText" dxfId="0" text="Ausgaben">
      <formula>NOT(ISERROR(SEARCH("Ausgaben",K86)))</formula>
    </cfRule>
  </conditionalFormatting>
  <conditionalFormatting sqref="K88">
    <cfRule type="containsText" priority="101" operator="containsText" dxfId="1" text="Einnahmen">
      <formula>NOT(ISERROR(SEARCH("Einnahmen",K88)))</formula>
    </cfRule>
    <cfRule type="containsText" priority="102" operator="containsText" dxfId="0" text="Ausgaben">
      <formula>NOT(ISERROR(SEARCH("Ausgaben",K88)))</formula>
    </cfRule>
  </conditionalFormatting>
  <conditionalFormatting sqref="K90">
    <cfRule type="containsText" priority="99" operator="containsText" dxfId="1" text="Einnahmen">
      <formula>NOT(ISERROR(SEARCH("Einnahmen",K90)))</formula>
    </cfRule>
    <cfRule type="containsText" priority="100" operator="containsText" dxfId="0" text="Ausgaben">
      <formula>NOT(ISERROR(SEARCH("Ausgaben",K90)))</formula>
    </cfRule>
  </conditionalFormatting>
  <conditionalFormatting sqref="K93">
    <cfRule type="containsText" priority="97" operator="containsText" dxfId="1" text="Einnahmen">
      <formula>NOT(ISERROR(SEARCH("Einnahmen",K93)))</formula>
    </cfRule>
    <cfRule type="containsText" priority="98" operator="containsText" dxfId="0" text="Ausgaben">
      <formula>NOT(ISERROR(SEARCH("Ausgaben",K93)))</formula>
    </cfRule>
  </conditionalFormatting>
  <conditionalFormatting sqref="K95">
    <cfRule type="containsText" priority="95" operator="containsText" dxfId="1" text="Einnahmen">
      <formula>NOT(ISERROR(SEARCH("Einnahmen",K95)))</formula>
    </cfRule>
    <cfRule type="containsText" priority="96" operator="containsText" dxfId="0" text="Ausgaben">
      <formula>NOT(ISERROR(SEARCH("Ausgaben",K95)))</formula>
    </cfRule>
  </conditionalFormatting>
  <conditionalFormatting sqref="K99">
    <cfRule type="containsText" priority="93" operator="containsText" dxfId="1" text="Einnahmen">
      <formula>NOT(ISERROR(SEARCH("Einnahmen",K99)))</formula>
    </cfRule>
    <cfRule type="containsText" priority="94" operator="containsText" dxfId="0" text="Ausgaben">
      <formula>NOT(ISERROR(SEARCH("Ausgaben",K99)))</formula>
    </cfRule>
  </conditionalFormatting>
  <conditionalFormatting sqref="K100">
    <cfRule type="containsText" priority="91" operator="containsText" dxfId="1" text="Einnahmen">
      <formula>NOT(ISERROR(SEARCH("Einnahmen",K100)))</formula>
    </cfRule>
    <cfRule type="containsText" priority="92" operator="containsText" dxfId="0" text="Ausgaben">
      <formula>NOT(ISERROR(SEARCH("Ausgaben",K100)))</formula>
    </cfRule>
  </conditionalFormatting>
  <conditionalFormatting sqref="K102">
    <cfRule type="containsText" priority="89" operator="containsText" dxfId="1" text="Einnahmen">
      <formula>NOT(ISERROR(SEARCH("Einnahmen",K102)))</formula>
    </cfRule>
    <cfRule type="containsText" priority="90" operator="containsText" dxfId="0" text="Ausgaben">
      <formula>NOT(ISERROR(SEARCH("Ausgaben",K102)))</formula>
    </cfRule>
  </conditionalFormatting>
  <conditionalFormatting sqref="K110">
    <cfRule type="containsText" priority="87" operator="containsText" dxfId="1" text="Einnahmen">
      <formula>NOT(ISERROR(SEARCH("Einnahmen",K110)))</formula>
    </cfRule>
    <cfRule type="containsText" priority="88" operator="containsText" dxfId="0" text="Ausgaben">
      <formula>NOT(ISERROR(SEARCH("Ausgaben",K110)))</formula>
    </cfRule>
  </conditionalFormatting>
  <conditionalFormatting sqref="K111">
    <cfRule type="containsText" priority="85" operator="containsText" dxfId="1" text="Einnahmen">
      <formula>NOT(ISERROR(SEARCH("Einnahmen",K111)))</formula>
    </cfRule>
    <cfRule type="containsText" priority="86" operator="containsText" dxfId="0" text="Ausgaben">
      <formula>NOT(ISERROR(SEARCH("Ausgaben",K111)))</formula>
    </cfRule>
  </conditionalFormatting>
  <conditionalFormatting sqref="K112">
    <cfRule type="containsText" priority="83" operator="containsText" dxfId="1" text="Einnahmen">
      <formula>NOT(ISERROR(SEARCH("Einnahmen",K112)))</formula>
    </cfRule>
    <cfRule type="containsText" priority="84" operator="containsText" dxfId="0" text="Ausgaben">
      <formula>NOT(ISERROR(SEARCH("Ausgaben",K112)))</formula>
    </cfRule>
  </conditionalFormatting>
  <conditionalFormatting sqref="K114">
    <cfRule type="containsText" priority="81" operator="containsText" dxfId="1" text="Einnahmen">
      <formula>NOT(ISERROR(SEARCH("Einnahmen",K114)))</formula>
    </cfRule>
    <cfRule type="containsText" priority="82" operator="containsText" dxfId="0" text="Ausgaben">
      <formula>NOT(ISERROR(SEARCH("Ausgaben",K114)))</formula>
    </cfRule>
  </conditionalFormatting>
  <conditionalFormatting sqref="K115">
    <cfRule type="containsText" priority="79" operator="containsText" dxfId="1" text="Einnahmen">
      <formula>NOT(ISERROR(SEARCH("Einnahmen",K115)))</formula>
    </cfRule>
    <cfRule type="containsText" priority="80" operator="containsText" dxfId="0" text="Ausgaben">
      <formula>NOT(ISERROR(SEARCH("Ausgaben",K115)))</formula>
    </cfRule>
  </conditionalFormatting>
  <conditionalFormatting sqref="K119">
    <cfRule type="containsText" priority="77" operator="containsText" dxfId="1" text="Einnahmen">
      <formula>NOT(ISERROR(SEARCH("Einnahmen",K119)))</formula>
    </cfRule>
    <cfRule type="containsText" priority="78" operator="containsText" dxfId="0" text="Ausgaben">
      <formula>NOT(ISERROR(SEARCH("Ausgaben",K119)))</formula>
    </cfRule>
  </conditionalFormatting>
  <conditionalFormatting sqref="K120">
    <cfRule type="containsText" priority="75" operator="containsText" dxfId="1" text="Einnahmen">
      <formula>NOT(ISERROR(SEARCH("Einnahmen",K120)))</formula>
    </cfRule>
    <cfRule type="containsText" priority="76" operator="containsText" dxfId="0" text="Ausgaben">
      <formula>NOT(ISERROR(SEARCH("Ausgaben",K120)))</formula>
    </cfRule>
  </conditionalFormatting>
  <conditionalFormatting sqref="K124">
    <cfRule type="containsText" priority="73" operator="containsText" dxfId="1" text="Einnahmen">
      <formula>NOT(ISERROR(SEARCH("Einnahmen",K124)))</formula>
    </cfRule>
    <cfRule type="containsText" priority="74" operator="containsText" dxfId="0" text="Ausgaben">
      <formula>NOT(ISERROR(SEARCH("Ausgaben",K124)))</formula>
    </cfRule>
  </conditionalFormatting>
  <conditionalFormatting sqref="K126">
    <cfRule type="containsText" priority="71" operator="containsText" dxfId="1" text="Einnahmen">
      <formula>NOT(ISERROR(SEARCH("Einnahmen",K126)))</formula>
    </cfRule>
    <cfRule type="containsText" priority="72" operator="containsText" dxfId="0" text="Ausgaben">
      <formula>NOT(ISERROR(SEARCH("Ausgaben",K126)))</formula>
    </cfRule>
  </conditionalFormatting>
  <conditionalFormatting sqref="K129:K130">
    <cfRule type="containsText" priority="69" operator="containsText" dxfId="1" text="Einnahmen">
      <formula>NOT(ISERROR(SEARCH("Einnahmen",K129)))</formula>
    </cfRule>
    <cfRule type="containsText" priority="70" operator="containsText" dxfId="0" text="Ausgaben">
      <formula>NOT(ISERROR(SEARCH("Ausgaben",K129)))</formula>
    </cfRule>
  </conditionalFormatting>
  <conditionalFormatting sqref="K139:K140">
    <cfRule type="containsText" priority="67" operator="containsText" dxfId="1" text="Einnahmen">
      <formula>NOT(ISERROR(SEARCH("Einnahmen",K139)))</formula>
    </cfRule>
    <cfRule type="containsText" priority="68" operator="containsText" dxfId="0" text="Ausgaben">
      <formula>NOT(ISERROR(SEARCH("Ausgaben",K139)))</formula>
    </cfRule>
  </conditionalFormatting>
  <conditionalFormatting sqref="K131">
    <cfRule type="containsText" priority="65" operator="containsText" dxfId="1" text="Einnahmen">
      <formula>NOT(ISERROR(SEARCH("Einnahmen",K131)))</formula>
    </cfRule>
    <cfRule type="containsText" priority="66" operator="containsText" dxfId="0" text="Ausgaben">
      <formula>NOT(ISERROR(SEARCH("Ausgaben",K131)))</formula>
    </cfRule>
  </conditionalFormatting>
  <conditionalFormatting sqref="K141">
    <cfRule type="containsText" priority="63" operator="containsText" dxfId="1" text="Einnahmen">
      <formula>NOT(ISERROR(SEARCH("Einnahmen",K141)))</formula>
    </cfRule>
    <cfRule type="containsText" priority="64" operator="containsText" dxfId="0" text="Ausgaben">
      <formula>NOT(ISERROR(SEARCH("Ausgaben",K141)))</formula>
    </cfRule>
  </conditionalFormatting>
  <conditionalFormatting sqref="K143">
    <cfRule type="containsText" priority="61" operator="containsText" dxfId="1" text="Einnahmen">
      <formula>NOT(ISERROR(SEARCH("Einnahmen",K143)))</formula>
    </cfRule>
    <cfRule type="containsText" priority="62" operator="containsText" dxfId="0" text="Ausgaben">
      <formula>NOT(ISERROR(SEARCH("Ausgaben",K143)))</formula>
    </cfRule>
  </conditionalFormatting>
  <conditionalFormatting sqref="K144">
    <cfRule type="containsText" priority="59" operator="containsText" dxfId="1" text="Einnahmen">
      <formula>NOT(ISERROR(SEARCH("Einnahmen",K144)))</formula>
    </cfRule>
    <cfRule type="containsText" priority="60" operator="containsText" dxfId="0" text="Ausgaben">
      <formula>NOT(ISERROR(SEARCH("Ausgaben",K144)))</formula>
    </cfRule>
  </conditionalFormatting>
  <conditionalFormatting sqref="K145">
    <cfRule type="containsText" priority="57" operator="containsText" dxfId="1" text="Einnahmen">
      <formula>NOT(ISERROR(SEARCH("Einnahmen",K145)))</formula>
    </cfRule>
    <cfRule type="containsText" priority="58" operator="containsText" dxfId="0" text="Ausgaben">
      <formula>NOT(ISERROR(SEARCH("Ausgaben",K145)))</formula>
    </cfRule>
  </conditionalFormatting>
  <conditionalFormatting sqref="K146">
    <cfRule type="containsText" priority="55" operator="containsText" dxfId="1" text="Einnahmen">
      <formula>NOT(ISERROR(SEARCH("Einnahmen",K146)))</formula>
    </cfRule>
    <cfRule type="containsText" priority="56" operator="containsText" dxfId="0" text="Ausgaben">
      <formula>NOT(ISERROR(SEARCH("Ausgaben",K146)))</formula>
    </cfRule>
  </conditionalFormatting>
  <conditionalFormatting sqref="K147:K149">
    <cfRule type="containsText" priority="53" operator="containsText" dxfId="1" text="Einnahmen">
      <formula>NOT(ISERROR(SEARCH("Einnahmen",K147)))</formula>
    </cfRule>
    <cfRule type="containsText" priority="54" operator="containsText" dxfId="0" text="Ausgaben">
      <formula>NOT(ISERROR(SEARCH("Ausgaben",K147)))</formula>
    </cfRule>
  </conditionalFormatting>
  <conditionalFormatting sqref="K150">
    <cfRule type="containsText" priority="51" operator="containsText" dxfId="1" text="Einnahmen">
      <formula>NOT(ISERROR(SEARCH("Einnahmen",K150)))</formula>
    </cfRule>
    <cfRule type="containsText" priority="52" operator="containsText" dxfId="0" text="Ausgaben">
      <formula>NOT(ISERROR(SEARCH("Ausgaben",K150)))</formula>
    </cfRule>
  </conditionalFormatting>
  <conditionalFormatting sqref="K151">
    <cfRule type="containsText" priority="49" operator="containsText" dxfId="1" text="Einnahmen">
      <formula>NOT(ISERROR(SEARCH("Einnahmen",K151)))</formula>
    </cfRule>
    <cfRule type="containsText" priority="50" operator="containsText" dxfId="0" text="Ausgaben">
      <formula>NOT(ISERROR(SEARCH("Ausgaben",K151)))</formula>
    </cfRule>
  </conditionalFormatting>
  <conditionalFormatting sqref="K153">
    <cfRule type="containsText" priority="47" operator="containsText" dxfId="1" text="Einnahmen">
      <formula>NOT(ISERROR(SEARCH("Einnahmen",K153)))</formula>
    </cfRule>
    <cfRule type="containsText" priority="48" operator="containsText" dxfId="0" text="Ausgaben">
      <formula>NOT(ISERROR(SEARCH("Ausgaben",K153)))</formula>
    </cfRule>
  </conditionalFormatting>
  <conditionalFormatting sqref="K154:K155">
    <cfRule type="containsText" priority="45" operator="containsText" dxfId="1" text="Einnahmen">
      <formula>NOT(ISERROR(SEARCH("Einnahmen",K154)))</formula>
    </cfRule>
    <cfRule type="containsText" priority="46" operator="containsText" dxfId="0" text="Ausgaben">
      <formula>NOT(ISERROR(SEARCH("Ausgaben",K154)))</formula>
    </cfRule>
  </conditionalFormatting>
  <conditionalFormatting sqref="K155:K156">
    <cfRule type="containsText" priority="43" operator="containsText" dxfId="1" text="Einnahmen">
      <formula>NOT(ISERROR(SEARCH("Einnahmen",K155)))</formula>
    </cfRule>
    <cfRule type="containsText" priority="44" operator="containsText" dxfId="0" text="Ausgaben">
      <formula>NOT(ISERROR(SEARCH("Ausgaben",K155)))</formula>
    </cfRule>
  </conditionalFormatting>
  <conditionalFormatting sqref="K157">
    <cfRule type="containsText" priority="41" operator="containsText" dxfId="1" text="Einnahmen">
      <formula>NOT(ISERROR(SEARCH("Einnahmen",K157)))</formula>
    </cfRule>
    <cfRule type="containsText" priority="42" operator="containsText" dxfId="0" text="Ausgaben">
      <formula>NOT(ISERROR(SEARCH("Ausgaben",K157)))</formula>
    </cfRule>
  </conditionalFormatting>
  <conditionalFormatting sqref="K158">
    <cfRule type="containsText" priority="39" operator="containsText" dxfId="1" text="Einnahmen">
      <formula>NOT(ISERROR(SEARCH("Einnahmen",K158)))</formula>
    </cfRule>
    <cfRule type="containsText" priority="40" operator="containsText" dxfId="0" text="Ausgaben">
      <formula>NOT(ISERROR(SEARCH("Ausgaben",K158)))</formula>
    </cfRule>
  </conditionalFormatting>
  <conditionalFormatting sqref="K159:K160">
    <cfRule type="containsText" priority="37" operator="containsText" dxfId="1" text="Einnahmen">
      <formula>NOT(ISERROR(SEARCH("Einnahmen",K159)))</formula>
    </cfRule>
    <cfRule type="containsText" priority="38" operator="containsText" dxfId="0" text="Ausgaben">
      <formula>NOT(ISERROR(SEARCH("Ausgaben",K159)))</formula>
    </cfRule>
  </conditionalFormatting>
  <conditionalFormatting sqref="K152">
    <cfRule type="containsText" priority="35" operator="containsText" dxfId="1" text="Einnahmen">
      <formula>NOT(ISERROR(SEARCH("Einnahmen",K152)))</formula>
    </cfRule>
    <cfRule type="containsText" priority="36" operator="containsText" dxfId="0" text="Ausgaben">
      <formula>NOT(ISERROR(SEARCH("Ausgaben",K152)))</formula>
    </cfRule>
  </conditionalFormatting>
  <conditionalFormatting sqref="K161">
    <cfRule type="containsText" priority="33" operator="containsText" dxfId="1" text="Einnahmen">
      <formula>NOT(ISERROR(SEARCH("Einnahmen",K161)))</formula>
    </cfRule>
    <cfRule type="containsText" priority="34" operator="containsText" dxfId="0" text="Ausgaben">
      <formula>NOT(ISERROR(SEARCH("Ausgaben",K161)))</formula>
    </cfRule>
  </conditionalFormatting>
  <conditionalFormatting sqref="K162:K163">
    <cfRule type="containsText" priority="31" operator="containsText" dxfId="1" text="Einnahmen">
      <formula>NOT(ISERROR(SEARCH("Einnahmen",K162)))</formula>
    </cfRule>
    <cfRule type="containsText" priority="32" operator="containsText" dxfId="0" text="Ausgaben">
      <formula>NOT(ISERROR(SEARCH("Ausgaben",K162)))</formula>
    </cfRule>
  </conditionalFormatting>
  <conditionalFormatting sqref="K164">
    <cfRule type="containsText" priority="29" operator="containsText" dxfId="1" text="Einnahmen">
      <formula>NOT(ISERROR(SEARCH("Einnahmen",K164)))</formula>
    </cfRule>
    <cfRule type="containsText" priority="30" operator="containsText" dxfId="0" text="Ausgaben">
      <formula>NOT(ISERROR(SEARCH("Ausgaben",K164)))</formula>
    </cfRule>
  </conditionalFormatting>
  <conditionalFormatting sqref="K165">
    <cfRule type="containsText" priority="27" operator="containsText" dxfId="1" text="Einnahmen">
      <formula>NOT(ISERROR(SEARCH("Einnahmen",K165)))</formula>
    </cfRule>
    <cfRule type="containsText" priority="28" operator="containsText" dxfId="0" text="Ausgaben">
      <formula>NOT(ISERROR(SEARCH("Ausgaben",K165)))</formula>
    </cfRule>
    <cfRule type="containsText" priority="25" operator="containsText" dxfId="1" text="Einnahmen">
      <formula>NOT(ISERROR(SEARCH("Einnahmen",K165)))</formula>
    </cfRule>
    <cfRule type="containsText" priority="26" operator="containsText" dxfId="0" text="Ausgaben">
      <formula>NOT(ISERROR(SEARCH("Ausgaben",K165)))</formula>
    </cfRule>
  </conditionalFormatting>
  <conditionalFormatting sqref="K166">
    <cfRule type="containsText" priority="23" operator="containsText" dxfId="1" text="Einnahmen">
      <formula>NOT(ISERROR(SEARCH("Einnahmen",K166)))</formula>
    </cfRule>
    <cfRule type="containsText" priority="24" operator="containsText" dxfId="0" text="Ausgaben">
      <formula>NOT(ISERROR(SEARCH("Ausgaben",K166)))</formula>
    </cfRule>
  </conditionalFormatting>
  <conditionalFormatting sqref="K167">
    <cfRule type="containsText" priority="21" operator="containsText" dxfId="1" text="Einnahmen">
      <formula>NOT(ISERROR(SEARCH("Einnahmen",K167)))</formula>
    </cfRule>
    <cfRule type="containsText" priority="22" operator="containsText" dxfId="0" text="Ausgaben">
      <formula>NOT(ISERROR(SEARCH("Ausgaben",K167)))</formula>
    </cfRule>
    <cfRule type="containsText" priority="19" operator="containsText" dxfId="1" text="Einnahmen">
      <formula>NOT(ISERROR(SEARCH("Einnahmen",K167)))</formula>
    </cfRule>
    <cfRule type="containsText" priority="20" operator="containsText" dxfId="0" text="Ausgaben">
      <formula>NOT(ISERROR(SEARCH("Ausgaben",K167)))</formula>
    </cfRule>
  </conditionalFormatting>
  <conditionalFormatting sqref="K168">
    <cfRule type="containsText" priority="17" operator="containsText" dxfId="1" text="Einnahmen">
      <formula>NOT(ISERROR(SEARCH("Einnahmen",K168)))</formula>
    </cfRule>
    <cfRule type="containsText" priority="18" operator="containsText" dxfId="0" text="Ausgaben">
      <formula>NOT(ISERROR(SEARCH("Ausgaben",K168)))</formula>
    </cfRule>
  </conditionalFormatting>
  <conditionalFormatting sqref="K169">
    <cfRule type="containsText" priority="15" operator="containsText" dxfId="1" text="Einnahmen">
      <formula>NOT(ISERROR(SEARCH("Einnahmen",K169)))</formula>
    </cfRule>
    <cfRule type="containsText" priority="16" operator="containsText" dxfId="0" text="Ausgaben">
      <formula>NOT(ISERROR(SEARCH("Ausgaben",K169)))</formula>
    </cfRule>
  </conditionalFormatting>
  <conditionalFormatting sqref="K170">
    <cfRule type="containsText" priority="13" operator="containsText" dxfId="1" text="Einnahmen">
      <formula>NOT(ISERROR(SEARCH("Einnahmen",K170)))</formula>
    </cfRule>
    <cfRule type="containsText" priority="14" operator="containsText" dxfId="0" text="Ausgaben">
      <formula>NOT(ISERROR(SEARCH("Ausgaben",K170)))</formula>
    </cfRule>
  </conditionalFormatting>
  <conditionalFormatting sqref="K171">
    <cfRule type="containsText" priority="11" operator="containsText" dxfId="1" text="Einnahmen">
      <formula>NOT(ISERROR(SEARCH("Einnahmen",K171)))</formula>
    </cfRule>
    <cfRule type="containsText" priority="12" operator="containsText" dxfId="0" text="Ausgaben">
      <formula>NOT(ISERROR(SEARCH("Ausgaben",K171)))</formula>
    </cfRule>
  </conditionalFormatting>
  <conditionalFormatting sqref="K172">
    <cfRule type="containsText" priority="9" operator="containsText" dxfId="1" text="Einnahmen">
      <formula>NOT(ISERROR(SEARCH("Einnahmen",K172)))</formula>
    </cfRule>
    <cfRule type="containsText" priority="10" operator="containsText" dxfId="0" text="Ausgaben">
      <formula>NOT(ISERROR(SEARCH("Ausgaben",K172)))</formula>
    </cfRule>
  </conditionalFormatting>
  <conditionalFormatting sqref="K173">
    <cfRule type="containsText" priority="7" operator="containsText" dxfId="1" text="Einnahmen">
      <formula>NOT(ISERROR(SEARCH("Einnahmen",K173)))</formula>
    </cfRule>
    <cfRule type="containsText" priority="8" operator="containsText" dxfId="0" text="Ausgaben">
      <formula>NOT(ISERROR(SEARCH("Ausgaben",K173)))</formula>
    </cfRule>
  </conditionalFormatting>
  <conditionalFormatting sqref="K2">
    <cfRule type="containsText" priority="5" operator="containsText" dxfId="1" text="Einnahmen">
      <formula>NOT(ISERROR(SEARCH("Einnahmen",K2)))</formula>
    </cfRule>
    <cfRule type="containsText" priority="6" operator="containsText" dxfId="0" text="Ausgaben">
      <formula>NOT(ISERROR(SEARCH("Ausgaben",K2)))</formula>
    </cfRule>
  </conditionalFormatting>
  <conditionalFormatting sqref="K175:K178">
    <cfRule type="containsText" priority="3" operator="containsText" dxfId="1" text="Einnahmen">
      <formula>NOT(ISERROR(SEARCH("Einnahmen",K175)))</formula>
    </cfRule>
    <cfRule type="containsText" priority="4" operator="containsText" dxfId="0" text="Ausgaben">
      <formula>NOT(ISERROR(SEARCH("Ausgaben",K175)))</formula>
    </cfRule>
  </conditionalFormatting>
  <conditionalFormatting sqref="K174">
    <cfRule type="containsText" priority="1" operator="containsText" dxfId="1" text="Einnahmen">
      <formula>NOT(ISERROR(SEARCH("Einnahmen",K174)))</formula>
    </cfRule>
    <cfRule type="containsText" priority="2" operator="containsText" dxfId="0" text="Ausgaben">
      <formula>NOT(ISERROR(SEARCH("Ausgaben",K174)))</formula>
    </cfRule>
  </conditionalFormatting>
  <dataValidations count="3">
    <dataValidation sqref="K2:L2 K4:K8 K10:K20 K22:K32 K33:L43 K45:L57 K59:L70 K72:K73 K74:L78 K79:K80 K81:L86 K87 K89 K90:L90 K91:K92 K94 K96:L101 K103:K107 K108:L109 K111:L114 K116:K118 K119:L123 K126:L126 K127:K130 K132:K136 K137:L138 K141:K142 K144:K145 K147:K149 K150:L152 K154:L163 K165:L167 K169:L170 K172 K173:L173 K175:K178 L3:L32 L44 L58 L71:L73 L87:L89 L91:L94 L102:L107 L110 L115:L116 L118 L124:L125 L128:L135 L139:L149 L153 L164 L168 L171:L172 L174:L209" showDropDown="0" showInputMessage="1" showErrorMessage="1" allowBlank="1" type="list">
      <formula1>Spesenart</formula1>
    </dataValidation>
    <dataValidation sqref="K2:K124 K126:K178 K182 K190 K194:K195 K198:K199 K201 K203:K205 K207" showDropDown="0" showInputMessage="1" showErrorMessage="1" allowBlank="1" type="list">
      <formula1>"Einnahmen,Ausgaben"</formula1>
    </dataValidation>
    <dataValidation sqref="P190 P192 P194 P199" showDropDown="0" showInputMessage="1" showErrorMessage="1" allowBlank="1" type="list">
      <formula1>"Weiterverkauf,"</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9.xml><?xml version="1.0" encoding="utf-8"?>
<worksheet xmlns="http://schemas.openxmlformats.org/spreadsheetml/2006/main">
  <sheetPr codeName="Tabelle5">
    <outlinePr summaryBelow="1" summaryRight="1"/>
    <pageSetUpPr/>
  </sheetPr>
  <dimension ref="A1:L9"/>
  <sheetViews>
    <sheetView workbookViewId="0">
      <selection activeCell="E8" sqref="E8"/>
    </sheetView>
  </sheetViews>
  <sheetFormatPr baseColWidth="10" defaultRowHeight="15"/>
  <sheetData>
    <row r="1">
      <c r="A1" s="2" t="inlineStr">
        <is>
          <t>Anlagen-Nr.</t>
        </is>
      </c>
      <c r="B1" s="2" t="inlineStr">
        <is>
          <t>Beleg-Nr.</t>
        </is>
      </c>
      <c r="C1" s="2" t="inlineStr">
        <is>
          <t>Bezeichnung</t>
        </is>
      </c>
      <c r="D1" s="2" t="inlineStr">
        <is>
          <t>Anschaffungsdatum</t>
        </is>
      </c>
      <c r="E1" s="240" t="inlineStr">
        <is>
          <t>Anschaffungskosten/Herstellungskosten</t>
        </is>
      </c>
      <c r="F1" s="2" t="inlineStr">
        <is>
          <t>Lieferant</t>
        </is>
      </c>
      <c r="G1" s="17" t="inlineStr">
        <is>
          <t>voraussichtliche Nutzungsdauer</t>
        </is>
      </c>
      <c r="H1" s="241" t="inlineStr">
        <is>
          <t>Bezeichnung</t>
        </is>
      </c>
      <c r="I1" s="241" t="inlineStr">
        <is>
          <t>Restbuchwert 31.12.</t>
        </is>
      </c>
      <c r="J1" s="2" t="inlineStr">
        <is>
          <t>Abschreibedatum</t>
        </is>
      </c>
      <c r="K1" s="2" t="inlineStr">
        <is>
          <t>abgeschrieben</t>
        </is>
      </c>
      <c r="L1" s="2" t="inlineStr">
        <is>
          <t>Abschreibung im ersten/letzten Jahr</t>
        </is>
      </c>
    </row>
    <row r="2">
      <c r="A2" t="n">
        <v>1</v>
      </c>
      <c r="B2" t="n">
        <v>1</v>
      </c>
      <c r="C2" s="6">
        <f>VLOOKUP($B2,Ausgaben_bis_2018!$A:$AA,7)</f>
        <v/>
      </c>
      <c r="D2" s="1" t="n">
        <v>42144</v>
      </c>
      <c r="E2" s="242">
        <f>VLOOKUP($B2,Ausgaben_bis_2018!$A:$AA,15)</f>
        <v/>
      </c>
      <c r="F2" s="6">
        <f>VLOOKUP($B2,Ausgaben_bis_2018!$A:$AA,5)</f>
        <v/>
      </c>
      <c r="G2" s="18" t="n">
        <v>5</v>
      </c>
      <c r="H2" s="243">
        <f>E2/G2</f>
        <v/>
      </c>
      <c r="I2" s="243">
        <f>IF(MONTH(D2)&lt;6,E2-H2,E2-H2/2)</f>
        <v/>
      </c>
      <c r="J2" s="1">
        <f>DATE(YEAR(D2)+G2,MONTH(D2),DAY(D2))</f>
        <v/>
      </c>
      <c r="K2">
        <f>YEAR(J2)&lt;YEAR(NOW())</f>
        <v/>
      </c>
      <c r="L2" s="243">
        <f>IF(MONTH(D2)&lt;6,H2,H2/2)</f>
        <v/>
      </c>
    </row>
    <row r="3">
      <c r="A3" t="n">
        <v>2</v>
      </c>
      <c r="B3" t="n">
        <v>80</v>
      </c>
      <c r="C3" s="6">
        <f>VLOOKUP($B3,Ausgaben_bis_2018!$A:$AA,7)</f>
        <v/>
      </c>
      <c r="D3" s="1" t="n">
        <v>42411</v>
      </c>
      <c r="E3" s="242">
        <f>VLOOKUP($B3,Ausgaben_bis_2018!$A:$AA,15)</f>
        <v/>
      </c>
      <c r="F3" s="6">
        <f>VLOOKUP($B3,Ausgaben_bis_2018!$A:$AA,5)</f>
        <v/>
      </c>
      <c r="G3" s="18" t="n">
        <v>5</v>
      </c>
      <c r="H3" s="243">
        <f>E3/G3</f>
        <v/>
      </c>
      <c r="I3" s="243">
        <f>IF(MONTH(D3)&lt;6,E3-H3,E3-H3/2)</f>
        <v/>
      </c>
      <c r="J3" s="1">
        <f>DATE(YEAR(D3)+G3,MONTH(D3),DAY(D3))</f>
        <v/>
      </c>
      <c r="K3">
        <f>YEAR(J3)&lt;YEAR(NOW())</f>
        <v/>
      </c>
      <c r="L3" s="243">
        <f>IF(MONTH(D3)&lt;6,H3,H3/2)</f>
        <v/>
      </c>
    </row>
    <row r="4">
      <c r="A4" t="n">
        <v>3</v>
      </c>
      <c r="C4" t="inlineStr">
        <is>
          <t>Einlage: Laptop Lenovo Thinkpad von foxcraft</t>
        </is>
      </c>
      <c r="D4" s="1" t="n">
        <v>43466</v>
      </c>
      <c r="E4" s="242" t="n">
        <v>1442.65</v>
      </c>
      <c r="G4" s="18" t="n">
        <v>3</v>
      </c>
      <c r="H4" s="243">
        <f>E4/G4</f>
        <v/>
      </c>
      <c r="I4" s="243">
        <f>IF(MONTH(D4)&lt;6,E4-H4,E4-H4/2)</f>
        <v/>
      </c>
      <c r="J4" s="1">
        <f>DATE(YEAR(D4)+G4,MONTH(D4),DAY(D4))</f>
        <v/>
      </c>
      <c r="K4">
        <f>YEAR(J4)&lt;YEAR(NOW())</f>
        <v/>
      </c>
      <c r="L4" s="243">
        <f>IF(MONTH(D4)&lt;6,H4,H4/2)</f>
        <v/>
      </c>
    </row>
    <row r="5">
      <c r="A5" t="n">
        <v>4</v>
      </c>
      <c r="B5" t="inlineStr">
        <is>
          <t>2019-2</t>
        </is>
      </c>
      <c r="C5" t="inlineStr">
        <is>
          <t>Lemon Technologies GmbH, Unterweißenbach 181, 7330 Feldbach: Google Pixel 2 Smartphone</t>
        </is>
      </c>
      <c r="D5" s="1" t="n">
        <v>43472</v>
      </c>
      <c r="E5" s="244" t="n">
        <v>523.6900000000001</v>
      </c>
      <c r="G5" s="18" t="n">
        <v>3</v>
      </c>
      <c r="H5" s="243">
        <f>E5/G5</f>
        <v/>
      </c>
      <c r="I5" s="243">
        <f>IF(MONTH(D5)&lt;6,E5-H5,E5-H5/2)</f>
        <v/>
      </c>
      <c r="J5" s="1">
        <f>DATE(YEAR(D5)+G5,MONTH(D5),DAY(D5))</f>
        <v/>
      </c>
      <c r="K5">
        <f>YEAR(J5)&lt;YEAR(NOW())</f>
        <v/>
      </c>
      <c r="L5" s="243">
        <f>IF(MONTH(D5)&lt;6,H5,H5/2)</f>
        <v/>
      </c>
    </row>
    <row r="6">
      <c r="A6" t="n">
        <v>5</v>
      </c>
      <c r="B6" t="inlineStr">
        <is>
          <t>2020-231</t>
        </is>
      </c>
      <c r="C6" t="inlineStr">
        <is>
          <t>Digital River Ireland, Ltd., Dromore House, East Park, Shannon, County Clare, V14 AN23, Ireland; UID ATU66641618</t>
        </is>
      </c>
      <c r="D6" s="1" t="n">
        <v>44196</v>
      </c>
      <c r="E6" s="245" t="n">
        <v>2455.656</v>
      </c>
      <c r="G6" s="18" t="n">
        <v>3</v>
      </c>
      <c r="H6" s="243">
        <f>E6/G6</f>
        <v/>
      </c>
      <c r="I6" s="243">
        <f>IF(MONTH(D6)&lt;6,E6-H6,E6-H6/2)</f>
        <v/>
      </c>
      <c r="J6" s="1">
        <f>DATE(YEAR(D6)+G6,MONTH(D6),DAY(D6))</f>
        <v/>
      </c>
      <c r="K6">
        <f>YEAR(J6)&lt;YEAR(NOW())</f>
        <v/>
      </c>
      <c r="L6" s="243">
        <f>IF(MONTH(D6)&lt;6,H6,H6/2)</f>
        <v/>
      </c>
    </row>
    <row r="7">
      <c r="C7" t="inlineStr">
        <is>
          <t>2023 Hausbau Abschreibungen</t>
        </is>
      </c>
      <c r="D7" s="1" t="n">
        <v>44927</v>
      </c>
      <c r="E7" s="245" t="n"/>
      <c r="G7" s="18" t="n"/>
      <c r="H7" s="243" t="n"/>
      <c r="I7" s="243" t="n"/>
      <c r="J7" s="1" t="n"/>
      <c r="L7" s="243" t="n">
        <v>1233.5</v>
      </c>
    </row>
    <row r="8">
      <c r="C8" t="inlineStr">
        <is>
          <t>2024 Hausbau aap + elektriker</t>
        </is>
      </c>
      <c r="D8" s="1" t="n">
        <v>45292</v>
      </c>
      <c r="E8" s="3" t="n">
        <v>6300</v>
      </c>
      <c r="G8" s="18" t="n">
        <v>67</v>
      </c>
      <c r="H8" s="243">
        <f>E8/G8</f>
        <v/>
      </c>
      <c r="I8" s="243">
        <f>IF(MONTH(D8)&lt;6,E8-H8,E8-H8/2)</f>
        <v/>
      </c>
      <c r="J8" s="1">
        <f>DATE(YEAR(D8)+G8,MONTH(D8),DAY(D8))</f>
        <v/>
      </c>
      <c r="K8">
        <f>YEAR(J8)&lt;YEAR(NOW())</f>
        <v/>
      </c>
      <c r="L8" s="243">
        <f>IF(MONTH(D8)&lt;6,H8,H8/2)</f>
        <v/>
      </c>
    </row>
    <row r="9">
      <c r="L9" s="243" t="n"/>
    </row>
  </sheetData>
  <pageMargins left="0.7" right="0.7" top="0.787401575" bottom="0.787401575" header="0.3" footer="0.3"/>
  <pageSetup orientation="portrait" paperSize="9" horizontalDpi="1200" verticalDpi="1200"/>
</worksheet>
</file>

<file path=xl/worksheets/sheet10.xml><?xml version="1.0" encoding="utf-8"?>
<worksheet xmlns="http://schemas.openxmlformats.org/spreadsheetml/2006/main">
  <sheetPr codeName="Tabelle19">
    <outlinePr summaryBelow="1" summaryRight="1"/>
    <pageSetUpPr/>
  </sheetPr>
  <dimension ref="A1:D9"/>
  <sheetViews>
    <sheetView workbookViewId="0">
      <selection activeCell="A1" sqref="A1"/>
    </sheetView>
  </sheetViews>
  <sheetFormatPr baseColWidth="10" defaultRowHeight="15"/>
  <cols>
    <col width="23.7109375" customWidth="1" min="2" max="3"/>
  </cols>
  <sheetData>
    <row r="1">
      <c r="A1" s="2" t="inlineStr">
        <is>
          <t>Datum</t>
        </is>
      </c>
      <c r="B1" s="2" t="inlineStr">
        <is>
          <t>Von</t>
        </is>
      </c>
      <c r="C1" s="2" t="inlineStr">
        <is>
          <t>Nach</t>
        </is>
      </c>
      <c r="D1" s="2" t="inlineStr">
        <is>
          <t>Entfernung</t>
        </is>
      </c>
    </row>
    <row r="2">
      <c r="A2" s="1" t="n">
        <v>43521</v>
      </c>
      <c r="B2" t="inlineStr">
        <is>
          <t>Laudong. 58, 1080</t>
        </is>
      </c>
      <c r="C2" t="inlineStr">
        <is>
          <t>Küche &amp; Co Wien Penzing, Linzer straße 247, 1140</t>
        </is>
      </c>
      <c r="D2" s="246" t="n">
        <v>6.2</v>
      </c>
    </row>
    <row r="3">
      <c r="A3" s="1" t="n">
        <v>43521</v>
      </c>
      <c r="B3" t="inlineStr">
        <is>
          <t>Küche &amp; Co Wien Penzing, Linzer straße 247, 1140</t>
        </is>
      </c>
      <c r="C3" t="inlineStr">
        <is>
          <t>Laudong. 58, 1080</t>
        </is>
      </c>
      <c r="D3" s="246" t="n">
        <v>6.2</v>
      </c>
    </row>
    <row r="4">
      <c r="A4" s="1" t="n">
        <v>43532</v>
      </c>
      <c r="B4" t="inlineStr">
        <is>
          <t>Laudong. 58, 1080</t>
        </is>
      </c>
      <c r="C4" t="inlineStr">
        <is>
          <t>Küche &amp; Co Wien Penzing, Linzer straße 247, 1140</t>
        </is>
      </c>
      <c r="D4" s="246" t="n">
        <v>6.2</v>
      </c>
    </row>
    <row r="5">
      <c r="A5" s="1" t="n">
        <v>43532</v>
      </c>
      <c r="B5" t="inlineStr">
        <is>
          <t>Küche &amp; Co Wien Penzing, Linzer straße 247, 1140</t>
        </is>
      </c>
      <c r="C5" t="inlineStr">
        <is>
          <t>Laudong. 58, 1080</t>
        </is>
      </c>
      <c r="D5" s="246" t="n">
        <v>6.2</v>
      </c>
    </row>
    <row r="6">
      <c r="A6" s="1" t="n">
        <v>43591</v>
      </c>
      <c r="B6" t="inlineStr">
        <is>
          <t>Laudong. 58, 1080</t>
        </is>
      </c>
      <c r="C6" t="inlineStr">
        <is>
          <t>Fa. Hauer, Statzendorf, 3125</t>
        </is>
      </c>
      <c r="D6" s="246" t="n">
        <v>78.09999999999999</v>
      </c>
    </row>
    <row r="7">
      <c r="A7" s="1" t="n">
        <v>43591</v>
      </c>
      <c r="B7" t="inlineStr">
        <is>
          <t>Fa. Hauer, Statzendorf, 3125</t>
        </is>
      </c>
      <c r="C7" t="inlineStr">
        <is>
          <t>Laudong. 58, 1080</t>
        </is>
      </c>
      <c r="D7" s="246" t="n">
        <v>78.09999999999999</v>
      </c>
    </row>
    <row r="8">
      <c r="A8" s="1" t="n">
        <v>43607</v>
      </c>
      <c r="B8" t="inlineStr">
        <is>
          <t>Laudong. 58, 1080</t>
        </is>
      </c>
      <c r="C8" t="inlineStr">
        <is>
          <t>ibis acam, Geiselbergstr. 15, 1100</t>
        </is>
      </c>
      <c r="D8" s="246" t="n">
        <v>7.9</v>
      </c>
    </row>
    <row r="9">
      <c r="A9" s="1" t="n">
        <v>43607</v>
      </c>
      <c r="B9" t="inlineStr">
        <is>
          <t>ibis acam, Geiselbergstr. 15, 1100</t>
        </is>
      </c>
      <c r="C9" t="inlineStr">
        <is>
          <t>Laudong. 58, 1080</t>
        </is>
      </c>
      <c r="D9" s="246" t="n">
        <v>7.9</v>
      </c>
    </row>
  </sheetData>
  <pageMargins left="0.7" right="0.7" top="0.787401575" bottom="0.787401575" header="0.3" footer="0.3"/>
</worksheet>
</file>

<file path=xl/worksheets/sheet11.xml><?xml version="1.0" encoding="utf-8"?>
<worksheet xmlns="http://schemas.openxmlformats.org/spreadsheetml/2006/main">
  <sheetPr codeName="Tabelle7">
    <outlinePr summaryBelow="1" summaryRight="1"/>
    <pageSetUpPr/>
  </sheetPr>
  <dimension ref="A1:O33"/>
  <sheetViews>
    <sheetView workbookViewId="0">
      <pane ySplit="1" topLeftCell="A8" activePane="bottomLeft" state="frozen"/>
      <selection pane="bottomLeft" activeCell="H33" sqref="H33"/>
    </sheetView>
  </sheetViews>
  <sheetFormatPr baseColWidth="10" defaultRowHeight="15"/>
  <cols>
    <col width="7" customWidth="1" min="2" max="2"/>
    <col width="11.5703125" customWidth="1" style="1" min="3" max="4"/>
    <col width="11.5703125" customWidth="1" style="227" min="6" max="6"/>
    <col width="11" customWidth="1" style="227" min="7" max="7"/>
    <col width="10.5703125" customWidth="1" style="227" min="8" max="8"/>
    <col width="15.5703125" customWidth="1" min="9" max="9"/>
    <col width="19.28515625" customWidth="1" min="10" max="10"/>
    <col width="20.28515625" customWidth="1" min="11" max="11"/>
    <col width="17" customWidth="1" min="12" max="12"/>
    <col width="18.28515625" customWidth="1" min="13" max="13"/>
    <col width="18" bestFit="1" customWidth="1" min="14" max="14"/>
  </cols>
  <sheetData>
    <row r="1" customFormat="1" s="2">
      <c r="A1" s="2" t="inlineStr">
        <is>
          <t>Jahr</t>
        </is>
      </c>
      <c r="B1" s="2" t="inlineStr">
        <is>
          <t>Quartal</t>
        </is>
      </c>
      <c r="C1" s="5" t="inlineStr">
        <is>
          <t>Startdatum</t>
        </is>
      </c>
      <c r="D1" s="5" t="inlineStr">
        <is>
          <t>Enddatum</t>
        </is>
      </c>
      <c r="E1" s="2" t="inlineStr">
        <is>
          <t>Frist</t>
        </is>
      </c>
      <c r="F1" s="226" t="inlineStr">
        <is>
          <t>USt. Einnahmen</t>
        </is>
      </c>
      <c r="G1" s="226" t="inlineStr">
        <is>
          <t>USt. Ausgaben</t>
        </is>
      </c>
      <c r="H1" s="226" t="inlineStr">
        <is>
          <t>USt. geschuldet (Negativ = Gutschrift)</t>
        </is>
      </c>
      <c r="I1" s="2" t="inlineStr">
        <is>
          <t>Bem.grundlage USt.</t>
        </is>
      </c>
      <c r="J1" s="11" t="inlineStr">
        <is>
          <t>GesBetr U netto (000)</t>
        </is>
      </c>
      <c r="K1" s="11" t="inlineStr">
        <is>
          <t>davon z.v.m. 20% (022)</t>
        </is>
      </c>
      <c r="L1" s="12" t="inlineStr">
        <is>
          <t>Ausg. Vorst. I (060)</t>
        </is>
      </c>
      <c r="M1" s="12" t="inlineStr">
        <is>
          <t>Ausg. Vorst. IG (065)</t>
        </is>
      </c>
      <c r="N1" s="12" t="inlineStr">
        <is>
          <t>GesBtr BmG IG (070)</t>
        </is>
      </c>
      <c r="O1" s="12" t="inlineStr">
        <is>
          <t>(072) davon zu verst. mit 20%</t>
        </is>
      </c>
    </row>
    <row r="2">
      <c r="A2" t="n">
        <v>2015</v>
      </c>
      <c r="B2" t="n">
        <v>1</v>
      </c>
      <c r="C2" s="1" t="n">
        <v>42005</v>
      </c>
      <c r="D2" s="1">
        <f>EDATE(C2,3)-1</f>
        <v/>
      </c>
      <c r="E2" s="1">
        <f>voranmeldefrist_vierteljaehrlich(C2+1)</f>
        <v/>
      </c>
      <c r="F2" s="227">
        <f>SUMIFS(Rechnung_Ausgang!J:J,Rechnung_Ausgang!D:D,"&lt;=" &amp; UVA!D2,Rechnung_Ausgang!D:D,"&gt;=" &amp;UVA!C2)</f>
        <v/>
      </c>
      <c r="G2" s="227">
        <f>SUMIFS(Ausgaben_bis_2018!S:S,Ausgaben_bis_2018!F:F,"&lt;=" &amp; UVA!D2,Ausgaben_bis_2018!F:F,"&gt;=" &amp;UVA!C2)</f>
        <v/>
      </c>
      <c r="H2" s="227">
        <f>F2-G2</f>
        <v/>
      </c>
      <c r="I2" s="227">
        <f>SUMIFS(Rechnung_Ausgang!$H:$H,Rechnung_Ausgang!$D:$D,"&lt;=" &amp; UVA!$D2,Rechnung_Ausgang!$D:$D,"&gt;=" &amp;UVA!$C2)</f>
        <v/>
      </c>
      <c r="J2" s="227">
        <f>SUMIFS(Rechnung_Ausgang!$H:$H,Rechnung_Ausgang!$D:$D,"&lt;=" &amp; UVA!$D2,Rechnung_Ausgang!$D:$D,"&gt;=" &amp;UVA!$C2)</f>
        <v/>
      </c>
      <c r="K2" s="227">
        <f>SUMIFS(Rechnung_Ausgang!$H:$H,Rechnung_Ausgang!$D:$D,"&lt;=" &amp; UVA!$D2,Rechnung_Ausgang!$D:$D,"&gt;=" &amp;UVA!$C2,Rechnung_Ausgang!$I:$I,"=20")</f>
        <v/>
      </c>
      <c r="L2" s="227">
        <f>SUMIFS(Ausgaben_bis_2018!$S:$S,Ausgaben_bis_2018!$F:$F,"&lt;=" &amp; UVA!$D2,Ausgaben_bis_2018!$F:$F,"&gt;=" &amp;UVA!$C2,Ausgaben_bis_2018!$Y:$Y,"&lt;&gt;ja")</f>
        <v/>
      </c>
      <c r="M2" s="227">
        <f>SUMIFS(Ausgaben_bis_2018!$AA:$AA,Ausgaben_bis_2018!$F:$F,"&lt;=" &amp; UVA!$D2,Ausgaben_bis_2018!$F:$F,"&gt;=" &amp;UVA!$C2,Ausgaben_bis_2018!$Y:$Y,"&gt;0")</f>
        <v/>
      </c>
      <c r="N2" s="227">
        <f>SUMIFS(Ausgaben_bis_2018!$T:$T,Ausgaben_bis_2018!$F:$F,"&lt;=" &amp; UVA!$D2,Ausgaben_bis_2018!$F:$F,"&gt;=" &amp;UVA!$C2,Ausgaben_bis_2018!$Y:$Y,"&gt;0")</f>
        <v/>
      </c>
      <c r="O2" s="227">
        <f>SUMIFS(Ausgaben_bis_2018!$T:$T,Ausgaben_bis_2018!$F:$F,"&lt;=" &amp; UVA!$D2,Ausgaben_bis_2018!$F:$F,"&gt;=" &amp;UVA!$C2,Ausgaben_bis_2018!$Y:$Y,"=20")</f>
        <v/>
      </c>
    </row>
    <row r="3">
      <c r="A3" t="n">
        <v>2015</v>
      </c>
      <c r="B3">
        <f>MOD(B2,4)+1</f>
        <v/>
      </c>
      <c r="C3" s="1">
        <f>EDATE(C2,3)</f>
        <v/>
      </c>
      <c r="D3" s="1">
        <f>EDATE(C3,3)-1</f>
        <v/>
      </c>
      <c r="E3" s="1">
        <f>voranmeldefrist_vierteljaehrlich(C3+1)</f>
        <v/>
      </c>
      <c r="F3" s="227">
        <f>SUMIFS(Rechnung_Ausgang!J:J,Rechnung_Ausgang!D:D,"&lt;=" &amp; UVA!D3,Rechnung_Ausgang!D:D,"&gt;=" &amp;UVA!C3)</f>
        <v/>
      </c>
      <c r="G3" s="227">
        <f>SUMIFS(Ausgaben_bis_2018!S:S,Ausgaben_bis_2018!F:F,"&lt;=" &amp; UVA!D3,Ausgaben_bis_2018!F:F,"&gt;=" &amp;UVA!C3)</f>
        <v/>
      </c>
      <c r="H3" s="227">
        <f>F3-G3</f>
        <v/>
      </c>
      <c r="I3" s="227">
        <f>SUMIFS(Rechnung_Ausgang!$H:$H,Rechnung_Ausgang!$D:$D,"&lt;=" &amp; UVA!$D3,Rechnung_Ausgang!$D:$D,"&gt;=" &amp;UVA!$C3)</f>
        <v/>
      </c>
      <c r="J3" s="227">
        <f>SUMIFS(Rechnung_Ausgang!$H:$H,Rechnung_Ausgang!$D:$D,"&lt;=" &amp; UVA!$D3,Rechnung_Ausgang!$D:$D,"&gt;=" &amp;UVA!$C3)</f>
        <v/>
      </c>
      <c r="K3" s="227">
        <f>SUMIFS(Rechnung_Ausgang!$H:$H,Rechnung_Ausgang!$D:$D,"&lt;=" &amp; UVA!$D3,Rechnung_Ausgang!$D:$D,"&gt;=" &amp;UVA!$C3,Rechnung_Ausgang!$I:$I,"=20")</f>
        <v/>
      </c>
      <c r="L3" s="227">
        <f>SUMIFS(Ausgaben_bis_2018!$S:$S,Ausgaben_bis_2018!$F:$F,"&lt;=" &amp; UVA!$D3,Ausgaben_bis_2018!$F:$F,"&gt;=" &amp;UVA!$C3,Ausgaben_bis_2018!$Y:$Y,"&lt;&gt;ja")</f>
        <v/>
      </c>
      <c r="M3" s="227">
        <f>SUMIFS(Ausgaben_bis_2018!$AA:$AA,Ausgaben_bis_2018!$F:$F,"&lt;=" &amp; UVA!$D3,Ausgaben_bis_2018!$F:$F,"&gt;=" &amp;UVA!$C3,Ausgaben_bis_2018!$Y:$Y,"&gt;0")</f>
        <v/>
      </c>
      <c r="N3" s="227">
        <f>SUMIFS(Ausgaben_bis_2018!$T:$T,Ausgaben_bis_2018!$F:$F,"&lt;=" &amp; UVA!$D3,Ausgaben_bis_2018!$F:$F,"&gt;=" &amp;UVA!$C3,Ausgaben_bis_2018!$Y:$Y,"&gt;0")</f>
        <v/>
      </c>
      <c r="O3" s="227">
        <f>SUMIFS(Ausgaben_bis_2018!$T:$T,Ausgaben_bis_2018!$F:$F,"&lt;=" &amp; UVA!$D3,Ausgaben_bis_2018!$F:$F,"&gt;=" &amp;UVA!$C3,Ausgaben_bis_2018!$Y:$Y,"=20")</f>
        <v/>
      </c>
    </row>
    <row r="4">
      <c r="A4" t="n">
        <v>2015</v>
      </c>
      <c r="B4">
        <f>MOD(B3,4)+1</f>
        <v/>
      </c>
      <c r="C4" s="1">
        <f>EDATE(C3,3)</f>
        <v/>
      </c>
      <c r="D4" s="1">
        <f>EDATE(C4,3)-1</f>
        <v/>
      </c>
      <c r="E4" s="1">
        <f>voranmeldefrist_vierteljaehrlich(C4+1)</f>
        <v/>
      </c>
      <c r="F4" s="227">
        <f>SUMIFS(Rechnung_Ausgang!J:J,Rechnung_Ausgang!D:D,"&lt;=" &amp; UVA!D4,Rechnung_Ausgang!D:D,"&gt;=" &amp;UVA!C4)</f>
        <v/>
      </c>
      <c r="G4" s="227">
        <f>SUMIFS(Ausgaben_bis_2018!S:S,Ausgaben_bis_2018!F:F,"&lt;=" &amp; UVA!D4,Ausgaben_bis_2018!F:F,"&gt;=" &amp;UVA!C4)</f>
        <v/>
      </c>
      <c r="H4" s="227">
        <f>F4-G4</f>
        <v/>
      </c>
      <c r="I4" s="227">
        <f>SUMIFS(Rechnung_Ausgang!$H:$H,Rechnung_Ausgang!$D:$D,"&lt;=" &amp; UVA!$D4,Rechnung_Ausgang!$D:$D,"&gt;=" &amp;UVA!$C4)</f>
        <v/>
      </c>
      <c r="J4" s="227">
        <f>SUMIFS(Rechnung_Ausgang!$H:$H,Rechnung_Ausgang!$D:$D,"&lt;=" &amp; UVA!$D4,Rechnung_Ausgang!$D:$D,"&gt;=" &amp;UVA!$C4)</f>
        <v/>
      </c>
      <c r="K4" s="227">
        <f>SUMIFS(Rechnung_Ausgang!$H:$H,Rechnung_Ausgang!$D:$D,"&lt;=" &amp; UVA!$D4,Rechnung_Ausgang!$D:$D,"&gt;=" &amp;UVA!$C4,Rechnung_Ausgang!$I:$I,"=20")</f>
        <v/>
      </c>
      <c r="L4" s="227">
        <f>SUMIFS(Ausgaben_bis_2018!$S:$S,Ausgaben_bis_2018!$F:$F,"&lt;=" &amp; UVA!$D4,Ausgaben_bis_2018!$F:$F,"&gt;=" &amp;UVA!$C4,Ausgaben_bis_2018!$Y:$Y,"&lt;&gt;ja")</f>
        <v/>
      </c>
      <c r="M4" s="227">
        <f>SUMIFS(Ausgaben_bis_2018!$AA:$AA,Ausgaben_bis_2018!$F:$F,"&lt;=" &amp; UVA!$D4,Ausgaben_bis_2018!$F:$F,"&gt;=" &amp;UVA!$C4,Ausgaben_bis_2018!$Y:$Y,"&gt;0")</f>
        <v/>
      </c>
      <c r="N4" s="227">
        <f>SUMIFS(Ausgaben_bis_2018!$T:$T,Ausgaben_bis_2018!$F:$F,"&lt;=" &amp; UVA!$D4,Ausgaben_bis_2018!$F:$F,"&gt;=" &amp;UVA!$C4,Ausgaben_bis_2018!$Y:$Y,"&gt;0")</f>
        <v/>
      </c>
      <c r="O4" s="227">
        <f>SUMIFS(Ausgaben_bis_2018!$T:$T,Ausgaben_bis_2018!$F:$F,"&lt;=" &amp; UVA!$D4,Ausgaben_bis_2018!$F:$F,"&gt;=" &amp;UVA!$C4,Ausgaben_bis_2018!$Y:$Y,"=20")</f>
        <v/>
      </c>
    </row>
    <row r="5">
      <c r="A5" t="n">
        <v>2015</v>
      </c>
      <c r="B5">
        <f>MOD(B4,4)+1</f>
        <v/>
      </c>
      <c r="C5" s="1">
        <f>EDATE(C4,3)</f>
        <v/>
      </c>
      <c r="D5" s="1">
        <f>EDATE(C5,3)-1</f>
        <v/>
      </c>
      <c r="E5" s="1">
        <f>voranmeldefrist_vierteljaehrlich(C5+1)</f>
        <v/>
      </c>
      <c r="F5" s="227">
        <f>SUMIFS(Rechnung_Ausgang!J:J,Rechnung_Ausgang!D:D,"&lt;=" &amp; UVA!D5,Rechnung_Ausgang!D:D,"&gt;=" &amp;UVA!C5)</f>
        <v/>
      </c>
      <c r="G5" s="227">
        <f>SUMIFS(Ausgaben_bis_2018!S:S,Ausgaben_bis_2018!F:F,"&lt;=" &amp; UVA!D5,Ausgaben_bis_2018!F:F,"&gt;=" &amp;UVA!C5)</f>
        <v/>
      </c>
      <c r="H5" s="227">
        <f>F5-G5</f>
        <v/>
      </c>
      <c r="I5" s="227">
        <f>SUMIFS(Rechnung_Ausgang!$H:$H,Rechnung_Ausgang!$D:$D,"&lt;=" &amp; UVA!$D5,Rechnung_Ausgang!$D:$D,"&gt;=" &amp;UVA!$C5)</f>
        <v/>
      </c>
      <c r="J5" s="227">
        <f>SUMIFS(Rechnung_Ausgang!$H:$H,Rechnung_Ausgang!$D:$D,"&lt;=" &amp; UVA!$D5,Rechnung_Ausgang!$D:$D,"&gt;=" &amp;UVA!$C5)</f>
        <v/>
      </c>
      <c r="K5" s="227">
        <f>SUMIFS(Rechnung_Ausgang!$H:$H,Rechnung_Ausgang!$D:$D,"&lt;=" &amp; UVA!$D5,Rechnung_Ausgang!$D:$D,"&gt;=" &amp;UVA!$C5,Rechnung_Ausgang!$I:$I,"=20")</f>
        <v/>
      </c>
      <c r="L5" s="227">
        <f>SUMIFS(Ausgaben_bis_2018!$S:$S,Ausgaben_bis_2018!$F:$F,"&lt;=" &amp; UVA!$D5,Ausgaben_bis_2018!$F:$F,"&gt;=" &amp;UVA!$C5,Ausgaben_bis_2018!$Y:$Y,"&lt;&gt;ja")</f>
        <v/>
      </c>
      <c r="M5" s="227">
        <f>SUMIFS(Ausgaben_bis_2018!$AA:$AA,Ausgaben_bis_2018!$F:$F,"&lt;=" &amp; UVA!$D5,Ausgaben_bis_2018!$F:$F,"&gt;=" &amp;UVA!$C5,Ausgaben_bis_2018!$Y:$Y,"&gt;0")</f>
        <v/>
      </c>
      <c r="N5" s="227">
        <f>SUMIFS(Ausgaben_bis_2018!$T:$T,Ausgaben_bis_2018!$F:$F,"&lt;=" &amp; UVA!$D5,Ausgaben_bis_2018!$F:$F,"&gt;=" &amp;UVA!$C5,Ausgaben_bis_2018!$Y:$Y,"&gt;0")</f>
        <v/>
      </c>
      <c r="O5" s="227">
        <f>SUMIFS(Ausgaben_bis_2018!$T:$T,Ausgaben_bis_2018!$F:$F,"&lt;=" &amp; UVA!$D5,Ausgaben_bis_2018!$F:$F,"&gt;=" &amp;UVA!$C5,Ausgaben_bis_2018!$Y:$Y,"=20")</f>
        <v/>
      </c>
    </row>
    <row r="6">
      <c r="A6" t="n">
        <v>2016</v>
      </c>
      <c r="B6">
        <f>MOD(B5,4)+1</f>
        <v/>
      </c>
      <c r="C6" s="1">
        <f>EDATE(C5,3)</f>
        <v/>
      </c>
      <c r="D6" s="1">
        <f>EDATE(C6,3)-1</f>
        <v/>
      </c>
      <c r="E6" s="1">
        <f>voranmeldefrist_vierteljaehrlich(C6+1)</f>
        <v/>
      </c>
      <c r="F6" s="227">
        <f>SUMIFS(Rechnung_Ausgang!J:J,Rechnung_Ausgang!D:D,"&lt;=" &amp; UVA!D6,Rechnung_Ausgang!D:D,"&gt;=" &amp;UVA!C6)</f>
        <v/>
      </c>
      <c r="G6" s="227">
        <f>SUMIFS(Ausgaben_bis_2018!S:S,Ausgaben_bis_2018!F:F,"&lt;=" &amp; UVA!D6,Ausgaben_bis_2018!F:F,"&gt;=" &amp;UVA!C6)</f>
        <v/>
      </c>
      <c r="H6" s="227">
        <f>F6-G6</f>
        <v/>
      </c>
      <c r="I6" s="227">
        <f>SUMIFS(Rechnung_Ausgang!$H:$H,Rechnung_Ausgang!$D:$D,"&lt;=" &amp; UVA!$D6,Rechnung_Ausgang!$D:$D,"&gt;=" &amp;UVA!$C6)</f>
        <v/>
      </c>
      <c r="J6" s="227">
        <f>SUMIFS(Rechnung_Ausgang!$H:$H,Rechnung_Ausgang!$D:$D,"&lt;=" &amp; UVA!$D6,Rechnung_Ausgang!$D:$D,"&gt;=" &amp;UVA!$C6)</f>
        <v/>
      </c>
      <c r="K6" s="227">
        <f>SUMIFS(Rechnung_Ausgang!$H:$H,Rechnung_Ausgang!$D:$D,"&lt;=" &amp; UVA!$D6,Rechnung_Ausgang!$D:$D,"&gt;=" &amp;UVA!$C6,Rechnung_Ausgang!$I:$I,"=20")</f>
        <v/>
      </c>
      <c r="L6" s="227">
        <f>SUMIFS(Ausgaben_bis_2018!$S:$S,Ausgaben_bis_2018!$F:$F,"&lt;=" &amp; UVA!$D6,Ausgaben_bis_2018!$F:$F,"&gt;=" &amp;UVA!$C6,Ausgaben_bis_2018!$Y:$Y,"&lt;&gt;ja")</f>
        <v/>
      </c>
      <c r="M6" s="227">
        <f>SUMIFS(Ausgaben_bis_2018!$AA:$AA,Ausgaben_bis_2018!$F:$F,"&lt;=" &amp; UVA!$D6,Ausgaben_bis_2018!$F:$F,"&gt;=" &amp;UVA!$C6,Ausgaben_bis_2018!$Y:$Y,"&gt;0")</f>
        <v/>
      </c>
      <c r="N6" s="227">
        <f>SUMIFS(Ausgaben_bis_2018!$T:$T,Ausgaben_bis_2018!$F:$F,"&lt;=" &amp; UVA!$D6,Ausgaben_bis_2018!$F:$F,"&gt;=" &amp;UVA!$C6,Ausgaben_bis_2018!$Y:$Y,"&gt;0")</f>
        <v/>
      </c>
      <c r="O6" s="227">
        <f>SUMIFS(Ausgaben_bis_2018!$T:$T,Ausgaben_bis_2018!$F:$F,"&lt;=" &amp; UVA!$D6,Ausgaben_bis_2018!$F:$F,"&gt;=" &amp;UVA!$C6,Ausgaben_bis_2018!$Y:$Y,"=20")</f>
        <v/>
      </c>
    </row>
    <row r="7">
      <c r="A7" t="n">
        <v>2016</v>
      </c>
      <c r="B7">
        <f>MOD(B6,4)+1</f>
        <v/>
      </c>
      <c r="C7" s="1">
        <f>EDATE(C6,3)</f>
        <v/>
      </c>
      <c r="D7" s="1">
        <f>EDATE(C7,3)-1</f>
        <v/>
      </c>
      <c r="E7" s="1">
        <f>voranmeldefrist_vierteljaehrlich(C7+1)</f>
        <v/>
      </c>
      <c r="F7" s="227">
        <f>SUMIFS(Rechnung_Ausgang!J:J,Rechnung_Ausgang!D:D,"&lt;=" &amp; UVA!D7,Rechnung_Ausgang!D:D,"&gt;=" &amp;UVA!C7)</f>
        <v/>
      </c>
      <c r="G7" s="227">
        <f>SUMIFS(Ausgaben_bis_2018!S:S,Ausgaben_bis_2018!F:F,"&lt;=" &amp; UVA!D7,Ausgaben_bis_2018!F:F,"&gt;=" &amp;UVA!C7)</f>
        <v/>
      </c>
      <c r="H7" s="227">
        <f>F7-G7</f>
        <v/>
      </c>
      <c r="I7" s="227">
        <f>SUMIFS(Rechnung_Ausgang!$H:$H,Rechnung_Ausgang!$D:$D,"&lt;=" &amp; UVA!$D7,Rechnung_Ausgang!$D:$D,"&gt;=" &amp;UVA!$C7)</f>
        <v/>
      </c>
      <c r="J7" s="227">
        <f>SUMIFS(Rechnung_Ausgang!$H:$H,Rechnung_Ausgang!$D:$D,"&lt;=" &amp; UVA!$D7,Rechnung_Ausgang!$D:$D,"&gt;=" &amp;UVA!$C7)</f>
        <v/>
      </c>
      <c r="K7" s="227">
        <f>SUMIFS(Rechnung_Ausgang!$H:$H,Rechnung_Ausgang!$D:$D,"&lt;=" &amp; UVA!$D7,Rechnung_Ausgang!$D:$D,"&gt;=" &amp;UVA!$C7,Rechnung_Ausgang!$I:$I,"=20")</f>
        <v/>
      </c>
      <c r="L7" s="227">
        <f>SUMIFS(Ausgaben_bis_2018!$S:$S,Ausgaben_bis_2018!$F:$F,"&lt;=" &amp; UVA!$D7,Ausgaben_bis_2018!$F:$F,"&gt;=" &amp;UVA!$C7,Ausgaben_bis_2018!$Y:$Y,"&lt;&gt;ja")</f>
        <v/>
      </c>
      <c r="M7" s="227">
        <f>SUMIFS(Ausgaben_bis_2018!$AA:$AA,Ausgaben_bis_2018!$F:$F,"&lt;=" &amp; UVA!$D7,Ausgaben_bis_2018!$F:$F,"&gt;=" &amp;UVA!$C7,Ausgaben_bis_2018!$Y:$Y,"&gt;0")</f>
        <v/>
      </c>
      <c r="N7" s="227">
        <f>SUMIFS(Ausgaben_bis_2018!$T:$T,Ausgaben_bis_2018!$F:$F,"&lt;=" &amp; UVA!$D7,Ausgaben_bis_2018!$F:$F,"&gt;=" &amp;UVA!$C7,Ausgaben_bis_2018!$Y:$Y,"&gt;0")</f>
        <v/>
      </c>
      <c r="O7" s="227">
        <f>SUMIFS(Ausgaben_bis_2018!$T:$T,Ausgaben_bis_2018!$F:$F,"&lt;=" &amp; UVA!$D7,Ausgaben_bis_2018!$F:$F,"&gt;=" &amp;UVA!$C7,Ausgaben_bis_2018!$Y:$Y,"=20")</f>
        <v/>
      </c>
    </row>
    <row r="8">
      <c r="A8" t="n">
        <v>2016</v>
      </c>
      <c r="B8">
        <f>MOD(B7,4)+1</f>
        <v/>
      </c>
      <c r="C8" s="1">
        <f>EDATE(C7,3)</f>
        <v/>
      </c>
      <c r="D8" s="1">
        <f>EDATE(C8,3)-1</f>
        <v/>
      </c>
      <c r="E8" s="1">
        <f>voranmeldefrist_vierteljaehrlich(C8+1)</f>
        <v/>
      </c>
      <c r="F8" s="227">
        <f>SUMIFS(Rechnung_Ausgang!J:J,Rechnung_Ausgang!D:D,"&lt;=" &amp; UVA!D8,Rechnung_Ausgang!D:D,"&gt;=" &amp;UVA!C8)</f>
        <v/>
      </c>
      <c r="G8" s="227">
        <f>SUMIFS(Ausgaben_bis_2018!S:S,Ausgaben_bis_2018!F:F,"&lt;=" &amp; UVA!D8,Ausgaben_bis_2018!F:F,"&gt;=" &amp;UVA!C8)</f>
        <v/>
      </c>
      <c r="H8" s="227">
        <f>F8-G8</f>
        <v/>
      </c>
      <c r="I8" s="227">
        <f>SUMIFS(Rechnung_Ausgang!$H:$H,Rechnung_Ausgang!$D:$D,"&lt;=" &amp; UVA!$D8,Rechnung_Ausgang!$D:$D,"&gt;=" &amp;UVA!$C8)</f>
        <v/>
      </c>
      <c r="J8" s="227">
        <f>SUMIFS(Rechnung_Ausgang!$H:$H,Rechnung_Ausgang!$D:$D,"&lt;=" &amp; UVA!$D8,Rechnung_Ausgang!$D:$D,"&gt;=" &amp;UVA!$C8)</f>
        <v/>
      </c>
      <c r="K8" s="227">
        <f>SUMIFS(Rechnung_Ausgang!$H:$H,Rechnung_Ausgang!$D:$D,"&lt;=" &amp; UVA!$D8,Rechnung_Ausgang!$D:$D,"&gt;=" &amp;UVA!$C8,Rechnung_Ausgang!$I:$I,"=20")</f>
        <v/>
      </c>
      <c r="L8" s="227">
        <f>SUMIFS(Ausgaben_bis_2018!$S:$S,Ausgaben_bis_2018!$F:$F,"&lt;=" &amp; UVA!$D8,Ausgaben_bis_2018!$F:$F,"&gt;=" &amp;UVA!$C8,Ausgaben_bis_2018!$Y:$Y,"&lt;&gt;ja")</f>
        <v/>
      </c>
      <c r="M8" s="227">
        <f>SUMIFS(Ausgaben_bis_2018!$AA:$AA,Ausgaben_bis_2018!$F:$F,"&lt;=" &amp; UVA!$D8,Ausgaben_bis_2018!$F:$F,"&gt;=" &amp;UVA!$C8,Ausgaben_bis_2018!$Y:$Y,"&gt;0")</f>
        <v/>
      </c>
      <c r="N8" s="227">
        <f>SUMIFS(Ausgaben_bis_2018!$T:$T,Ausgaben_bis_2018!$F:$F,"&lt;=" &amp; UVA!$D8,Ausgaben_bis_2018!$F:$F,"&gt;=" &amp;UVA!$C8,Ausgaben_bis_2018!$Y:$Y,"&gt;0")</f>
        <v/>
      </c>
      <c r="O8" s="227">
        <f>SUMIFS(Ausgaben_bis_2018!$T:$T,Ausgaben_bis_2018!$F:$F,"&lt;=" &amp; UVA!$D8,Ausgaben_bis_2018!$F:$F,"&gt;=" &amp;UVA!$C8,Ausgaben_bis_2018!$Y:$Y,"=20")</f>
        <v/>
      </c>
    </row>
    <row r="9">
      <c r="A9" t="n">
        <v>2016</v>
      </c>
      <c r="B9">
        <f>MOD(B8,4)+1</f>
        <v/>
      </c>
      <c r="C9" s="1">
        <f>EDATE(C8,3)</f>
        <v/>
      </c>
      <c r="D9" s="1">
        <f>EDATE(C9,3)-1</f>
        <v/>
      </c>
      <c r="E9" s="1">
        <f>voranmeldefrist_vierteljaehrlich(C9+1)</f>
        <v/>
      </c>
      <c r="F9" s="227">
        <f>SUMIFS(Rechnung_Ausgang!J:J,Rechnung_Ausgang!D:D,"&lt;=" &amp; UVA!D9,Rechnung_Ausgang!D:D,"&gt;=" &amp;UVA!C9)</f>
        <v/>
      </c>
      <c r="G9" s="227">
        <f>SUMIFS(Ausgaben_bis_2018!S:S,Ausgaben_bis_2018!F:F,"&lt;=" &amp; UVA!D9,Ausgaben_bis_2018!F:F,"&gt;=" &amp;UVA!C9)</f>
        <v/>
      </c>
      <c r="H9" s="227">
        <f>F9-G9</f>
        <v/>
      </c>
      <c r="I9" s="227">
        <f>SUMIFS(Rechnung_Ausgang!$H:$H,Rechnung_Ausgang!$D:$D,"&lt;=" &amp; UVA!$D9,Rechnung_Ausgang!$D:$D,"&gt;=" &amp;UVA!$C9)</f>
        <v/>
      </c>
      <c r="J9" s="227">
        <f>SUMIFS(Rechnung_Ausgang!$H:$H,Rechnung_Ausgang!$D:$D,"&lt;=" &amp; UVA!$D9,Rechnung_Ausgang!$D:$D,"&gt;=" &amp;UVA!$C9)</f>
        <v/>
      </c>
      <c r="K9" s="227">
        <f>SUMIFS(Rechnung_Ausgang!$H:$H,Rechnung_Ausgang!$D:$D,"&lt;=" &amp; UVA!$D9,Rechnung_Ausgang!$D:$D,"&gt;=" &amp;UVA!$C9,Rechnung_Ausgang!$I:$I,"=20")</f>
        <v/>
      </c>
      <c r="L9" s="227">
        <f>SUMIFS(Ausgaben_bis_2018!$S:$S,Ausgaben_bis_2018!$F:$F,"&lt;=" &amp; UVA!$D9,Ausgaben_bis_2018!$F:$F,"&gt;=" &amp;UVA!$C9,Ausgaben_bis_2018!$Y:$Y,"&lt;&gt;ja")</f>
        <v/>
      </c>
      <c r="M9" s="227">
        <f>SUMIFS(Ausgaben_bis_2018!$AA:$AA,Ausgaben_bis_2018!$F:$F,"&lt;=" &amp; UVA!$D9,Ausgaben_bis_2018!$F:$F,"&gt;=" &amp;UVA!$C9,Ausgaben_bis_2018!$Y:$Y,"&gt;0")</f>
        <v/>
      </c>
      <c r="N9" s="227">
        <f>SUMIFS(Ausgaben_bis_2018!$T:$T,Ausgaben_bis_2018!$F:$F,"&lt;=" &amp; UVA!$D9,Ausgaben_bis_2018!$F:$F,"&gt;=" &amp;UVA!$C9,Ausgaben_bis_2018!$Y:$Y,"&gt;0")</f>
        <v/>
      </c>
      <c r="O9" s="227">
        <f>SUMIFS(Ausgaben_bis_2018!$T:$T,Ausgaben_bis_2018!$F:$F,"&lt;=" &amp; UVA!$D9,Ausgaben_bis_2018!$F:$F,"&gt;=" &amp;UVA!$C9,Ausgaben_bis_2018!$Y:$Y,"=20")</f>
        <v/>
      </c>
    </row>
    <row r="10">
      <c r="A10" t="n">
        <v>2017</v>
      </c>
      <c r="B10">
        <f>MOD(B9,4)+1</f>
        <v/>
      </c>
      <c r="C10" s="1">
        <f>EDATE(C9,3)</f>
        <v/>
      </c>
      <c r="D10" s="1">
        <f>EDATE(C10,3)-1</f>
        <v/>
      </c>
      <c r="E10" s="1">
        <f>voranmeldefrist_vierteljaehrlich(C10+1)</f>
        <v/>
      </c>
      <c r="F10" s="227">
        <f>SUMIFS(Rechnung_Ausgang!J:J,Rechnung_Ausgang!D:D,"&lt;=" &amp; UVA!D10,Rechnung_Ausgang!D:D,"&gt;=" &amp;UVA!C10)</f>
        <v/>
      </c>
      <c r="G10" s="227">
        <f>SUMIFS(Ausgaben_bis_2018!S:S,Ausgaben_bis_2018!F:F,"&lt;=" &amp; UVA!D10,Ausgaben_bis_2018!F:F,"&gt;=" &amp;UVA!C10)</f>
        <v/>
      </c>
      <c r="H10" s="227">
        <f>F10-G10</f>
        <v/>
      </c>
      <c r="I10" s="227">
        <f>SUMIFS(Rechnung_Ausgang!$H:$H,Rechnung_Ausgang!$D:$D,"&lt;=" &amp; UVA!$D10,Rechnung_Ausgang!$D:$D,"&gt;=" &amp;UVA!$C10)</f>
        <v/>
      </c>
      <c r="J10" s="227">
        <f>SUMIFS(Rechnung_Ausgang!$H:$H,Rechnung_Ausgang!$D:$D,"&lt;=" &amp; UVA!$D10,Rechnung_Ausgang!$D:$D,"&gt;=" &amp;UVA!$C10)</f>
        <v/>
      </c>
      <c r="K10" s="227">
        <f>SUMIFS(Rechnung_Ausgang!$H:$H,Rechnung_Ausgang!$D:$D,"&lt;=" &amp; UVA!$D10,Rechnung_Ausgang!$D:$D,"&gt;=" &amp;UVA!$C10,Rechnung_Ausgang!$I:$I,"=20")</f>
        <v/>
      </c>
      <c r="L10" s="227">
        <f>SUMIFS(Ausgaben_bis_2018!$S:$S,Ausgaben_bis_2018!$F:$F,"&lt;=" &amp; UVA!$D10,Ausgaben_bis_2018!$F:$F,"&gt;=" &amp;UVA!$C10,Ausgaben_bis_2018!$Y:$Y,"&lt;&gt;ja")</f>
        <v/>
      </c>
      <c r="M10" s="227">
        <f>SUMIFS(Ausgaben_bis_2018!$AA:$AA,Ausgaben_bis_2018!$F:$F,"&lt;=" &amp; UVA!$D10,Ausgaben_bis_2018!$F:$F,"&gt;=" &amp;UVA!$C10,Ausgaben_bis_2018!$Y:$Y,"&gt;0")</f>
        <v/>
      </c>
      <c r="N10" s="227">
        <f>SUMIFS(Ausgaben_bis_2018!$T:$T,Ausgaben_bis_2018!$F:$F,"&lt;=" &amp; UVA!$D10,Ausgaben_bis_2018!$F:$F,"&gt;=" &amp;UVA!$C10,Ausgaben_bis_2018!$Y:$Y,"&gt;0")</f>
        <v/>
      </c>
      <c r="O10" s="227">
        <f>SUMIFS(Ausgaben_bis_2018!$T:$T,Ausgaben_bis_2018!$F:$F,"&lt;=" &amp; UVA!$D10,Ausgaben_bis_2018!$F:$F,"&gt;=" &amp;UVA!$C10,Ausgaben_bis_2018!$Y:$Y,"=20")</f>
        <v/>
      </c>
    </row>
    <row r="11">
      <c r="A11" t="n">
        <v>2017</v>
      </c>
      <c r="B11">
        <f>MOD(B10,4)+1</f>
        <v/>
      </c>
      <c r="C11" s="1">
        <f>EDATE(C10,3)</f>
        <v/>
      </c>
      <c r="D11" s="1">
        <f>EDATE(C11,3)-1</f>
        <v/>
      </c>
      <c r="E11" s="1">
        <f>voranmeldefrist_vierteljaehrlich(C11+1)</f>
        <v/>
      </c>
      <c r="F11" s="227">
        <f>SUMIFS(Rechnung_Ausgang!J:J,Rechnung_Ausgang!D:D,"&lt;=" &amp; UVA!D11,Rechnung_Ausgang!D:D,"&gt;=" &amp;UVA!C11)</f>
        <v/>
      </c>
      <c r="G11" s="227">
        <f>SUMIFS(Ausgaben_bis_2018!S:S,Ausgaben_bis_2018!F:F,"&lt;=" &amp; UVA!D11,Ausgaben_bis_2018!F:F,"&gt;=" &amp;UVA!C11)</f>
        <v/>
      </c>
      <c r="H11" s="227">
        <f>F11-G11</f>
        <v/>
      </c>
      <c r="I11" s="227">
        <f>SUMIFS(Rechnung_Ausgang!$H:$H,Rechnung_Ausgang!$D:$D,"&lt;=" &amp; UVA!$D11,Rechnung_Ausgang!$D:$D,"&gt;=" &amp;UVA!$C11)</f>
        <v/>
      </c>
      <c r="J11" s="227">
        <f>SUMIFS(Rechnung_Ausgang!$H:$H,Rechnung_Ausgang!$D:$D,"&lt;=" &amp; UVA!$D11,Rechnung_Ausgang!$D:$D,"&gt;=" &amp;UVA!$C11)</f>
        <v/>
      </c>
      <c r="K11" s="227">
        <f>SUMIFS(Rechnung_Ausgang!$H:$H,Rechnung_Ausgang!$D:$D,"&lt;=" &amp; UVA!$D11,Rechnung_Ausgang!$D:$D,"&gt;=" &amp;UVA!$C11,Rechnung_Ausgang!$I:$I,"=20")</f>
        <v/>
      </c>
      <c r="L11" s="227">
        <f>SUMIFS(Ausgaben_bis_2018!$S:$S,Ausgaben_bis_2018!$F:$F,"&lt;=" &amp; UVA!$D11,Ausgaben_bis_2018!$F:$F,"&gt;=" &amp;UVA!$C11,Ausgaben_bis_2018!$Y:$Y,"&lt;&gt;ja")</f>
        <v/>
      </c>
      <c r="M11" s="227">
        <f>SUMIFS(Ausgaben_bis_2018!$AA:$AA,Ausgaben_bis_2018!$F:$F,"&lt;=" &amp; UVA!$D11,Ausgaben_bis_2018!$F:$F,"&gt;=" &amp;UVA!$C11,Ausgaben_bis_2018!$Y:$Y,"&gt;0")</f>
        <v/>
      </c>
      <c r="N11" s="227">
        <f>SUMIFS(Ausgaben_bis_2018!$T:$T,Ausgaben_bis_2018!$F:$F,"&lt;=" &amp; UVA!$D11,Ausgaben_bis_2018!$F:$F,"&gt;=" &amp;UVA!$C11,Ausgaben_bis_2018!$Y:$Y,"&gt;0")</f>
        <v/>
      </c>
      <c r="O11" s="227">
        <f>SUMIFS(Ausgaben_bis_2018!$T:$T,Ausgaben_bis_2018!$F:$F,"&lt;=" &amp; UVA!$D11,Ausgaben_bis_2018!$F:$F,"&gt;=" &amp;UVA!$C11,Ausgaben_bis_2018!$Y:$Y,"=20")</f>
        <v/>
      </c>
    </row>
    <row r="12">
      <c r="A12" t="n">
        <v>2017</v>
      </c>
      <c r="B12">
        <f>MOD(B11,4)+1</f>
        <v/>
      </c>
      <c r="C12" s="1">
        <f>EDATE(C11,3)</f>
        <v/>
      </c>
      <c r="D12" s="1">
        <f>EDATE(C12,3)-1</f>
        <v/>
      </c>
      <c r="E12" s="1">
        <f>voranmeldefrist_vierteljaehrlich(C12+1)</f>
        <v/>
      </c>
      <c r="F12" s="227">
        <f>SUMIFS(Rechnung_Ausgang!J:J,Rechnung_Ausgang!D:D,"&lt;=" &amp; UVA!D12,Rechnung_Ausgang!D:D,"&gt;=" &amp;UVA!C12)</f>
        <v/>
      </c>
      <c r="G12" s="227">
        <f>SUMIFS(Ausgaben_bis_2018!S:S,Ausgaben_bis_2018!F:F,"&lt;=" &amp; UVA!D12,Ausgaben_bis_2018!F:F,"&gt;=" &amp;UVA!C12)</f>
        <v/>
      </c>
      <c r="H12" s="227">
        <f>F12-G12</f>
        <v/>
      </c>
      <c r="I12" s="227">
        <f>SUMIFS(Rechnung_Ausgang!$H:$H,Rechnung_Ausgang!$D:$D,"&lt;=" &amp; UVA!$D12,Rechnung_Ausgang!$D:$D,"&gt;=" &amp;UVA!$C12)</f>
        <v/>
      </c>
      <c r="J12" s="227">
        <f>SUMIFS(Rechnung_Ausgang!$H:$H,Rechnung_Ausgang!$D:$D,"&lt;=" &amp; UVA!$D12,Rechnung_Ausgang!$D:$D,"&gt;=" &amp;UVA!$C12)</f>
        <v/>
      </c>
      <c r="K12" s="227">
        <f>SUMIFS(Rechnung_Ausgang!$H:$H,Rechnung_Ausgang!$D:$D,"&lt;=" &amp; UVA!$D12,Rechnung_Ausgang!$D:$D,"&gt;=" &amp;UVA!$C12,Rechnung_Ausgang!$I:$I,"=20")</f>
        <v/>
      </c>
      <c r="L12" s="227">
        <f>SUMIFS(Ausgaben_bis_2018!$S:$S,Ausgaben_bis_2018!$F:$F,"&lt;=" &amp; UVA!$D12,Ausgaben_bis_2018!$F:$F,"&gt;=" &amp;UVA!$C12,Ausgaben_bis_2018!$Y:$Y,"&lt;&gt;ja")</f>
        <v/>
      </c>
      <c r="M12" s="227">
        <f>SUMIFS(Ausgaben_bis_2018!$AA:$AA,Ausgaben_bis_2018!$F:$F,"&lt;=" &amp; UVA!$D12,Ausgaben_bis_2018!$F:$F,"&gt;=" &amp;UVA!$C12,Ausgaben_bis_2018!$Y:$Y,"&gt;0")</f>
        <v/>
      </c>
      <c r="N12" s="227">
        <f>SUMIFS(Ausgaben_bis_2018!$T:$T,Ausgaben_bis_2018!$F:$F,"&lt;=" &amp; UVA!$D12,Ausgaben_bis_2018!$F:$F,"&gt;=" &amp;UVA!$C12,Ausgaben_bis_2018!$Y:$Y,"&gt;0")</f>
        <v/>
      </c>
      <c r="O12" s="227">
        <f>SUMIFS(Ausgaben_bis_2018!$T:$T,Ausgaben_bis_2018!$F:$F,"&lt;=" &amp; UVA!$D12,Ausgaben_bis_2018!$F:$F,"&gt;=" &amp;UVA!$C12,Ausgaben_bis_2018!$Y:$Y,"=20")</f>
        <v/>
      </c>
    </row>
    <row r="13">
      <c r="A13" t="n">
        <v>2017</v>
      </c>
      <c r="B13">
        <f>MOD(B12,4)+1</f>
        <v/>
      </c>
      <c r="C13" s="1">
        <f>EDATE(C12,3)</f>
        <v/>
      </c>
      <c r="D13" s="1">
        <f>EDATE(C13,3)-1</f>
        <v/>
      </c>
      <c r="E13" s="1">
        <f>voranmeldefrist_vierteljaehrlich(C13+1)</f>
        <v/>
      </c>
      <c r="F13" s="227">
        <f>SUMIFS(Rechnung_Ausgang!J:J,Rechnung_Ausgang!D:D,"&lt;=" &amp; UVA!D13,Rechnung_Ausgang!D:D,"&gt;=" &amp;UVA!C13)</f>
        <v/>
      </c>
      <c r="G13" s="227">
        <f>SUMIFS(Ausgaben_bis_2018!S:S,Ausgaben_bis_2018!F:F,"&lt;=" &amp; UVA!D13,Ausgaben_bis_2018!F:F,"&gt;=" &amp;UVA!C13)</f>
        <v/>
      </c>
      <c r="H13" s="227">
        <f>F13-G13</f>
        <v/>
      </c>
      <c r="I13" s="227">
        <f>SUMIFS(Rechnung_Ausgang!$H:$H,Rechnung_Ausgang!$D:$D,"&lt;=" &amp; UVA!$D13,Rechnung_Ausgang!$D:$D,"&gt;=" &amp;UVA!$C13)</f>
        <v/>
      </c>
      <c r="J13" s="227">
        <f>SUMIFS(Rechnung_Ausgang!$H:$H,Rechnung_Ausgang!$D:$D,"&lt;=" &amp; UVA!$D13,Rechnung_Ausgang!$D:$D,"&gt;=" &amp;UVA!$C13)</f>
        <v/>
      </c>
      <c r="K13" s="227">
        <f>SUMIFS(Rechnung_Ausgang!$H:$H,Rechnung_Ausgang!$D:$D,"&lt;=" &amp; UVA!$D13,Rechnung_Ausgang!$D:$D,"&gt;=" &amp;UVA!$C13,Rechnung_Ausgang!$I:$I,"=20")</f>
        <v/>
      </c>
      <c r="L13" s="227">
        <f>SUMIFS(Ausgaben_bis_2018!$S:$S,Ausgaben_bis_2018!$F:$F,"&lt;=" &amp; UVA!$D13,Ausgaben_bis_2018!$F:$F,"&gt;=" &amp;UVA!$C13,Ausgaben_bis_2018!$Y:$Y,"&lt;&gt;ja")</f>
        <v/>
      </c>
      <c r="M13" s="227">
        <f>SUMIFS(Ausgaben_bis_2018!$AA:$AA,Ausgaben_bis_2018!$F:$F,"&lt;=" &amp; UVA!$D13,Ausgaben_bis_2018!$F:$F,"&gt;=" &amp;UVA!$C13,Ausgaben_bis_2018!$Y:$Y,"&gt;0")</f>
        <v/>
      </c>
      <c r="N13" s="227">
        <f>SUMIFS(Ausgaben_bis_2018!$T:$T,Ausgaben_bis_2018!$F:$F,"&lt;=" &amp; UVA!$D13,Ausgaben_bis_2018!$F:$F,"&gt;=" &amp;UVA!$C13,Ausgaben_bis_2018!$Y:$Y,"&gt;0")</f>
        <v/>
      </c>
      <c r="O13" s="227">
        <f>SUMIFS(Ausgaben_bis_2018!$T:$T,Ausgaben_bis_2018!$F:$F,"&lt;=" &amp; UVA!$D13,Ausgaben_bis_2018!$F:$F,"&gt;=" &amp;UVA!$C13,Ausgaben_bis_2018!$Y:$Y,"=20")</f>
        <v/>
      </c>
    </row>
    <row r="14">
      <c r="A14" t="n">
        <v>2018</v>
      </c>
      <c r="B14">
        <f>MOD(B13,4)+1</f>
        <v/>
      </c>
      <c r="C14" s="1">
        <f>EDATE(C13,3)</f>
        <v/>
      </c>
      <c r="D14" s="1">
        <f>EDATE(C14,3)-1</f>
        <v/>
      </c>
      <c r="E14" s="1">
        <f>voranmeldefrist_vierteljaehrlich(C14+1)</f>
        <v/>
      </c>
      <c r="F14" s="227">
        <f>SUMIFS(Rechnung_Ausgang!J:J,Rechnung_Ausgang!D:D,"&lt;=" &amp; UVA!D14,Rechnung_Ausgang!D:D,"&gt;=" &amp;UVA!C14)</f>
        <v/>
      </c>
      <c r="G14" s="227">
        <f>SUMIFS(Ausgaben_bis_2018!S:S,Ausgaben_bis_2018!F:F,"&lt;=" &amp; UVA!D14,Ausgaben_bis_2018!F:F,"&gt;=" &amp;UVA!C14)</f>
        <v/>
      </c>
      <c r="H14" s="227">
        <f>F14-G14</f>
        <v/>
      </c>
      <c r="I14" s="227">
        <f>SUMIFS(Rechnung_Ausgang!$H:$H,Rechnung_Ausgang!$D:$D,"&lt;=" &amp; UVA!$D14,Rechnung_Ausgang!$D:$D,"&gt;=" &amp;UVA!$C14)</f>
        <v/>
      </c>
      <c r="J14" s="227">
        <f>SUMIFS(Rechnung_Ausgang!$H:$H,Rechnung_Ausgang!$D:$D,"&lt;=" &amp; UVA!$D14,Rechnung_Ausgang!$D:$D,"&gt;=" &amp;UVA!$C14)</f>
        <v/>
      </c>
      <c r="K14" s="227">
        <f>SUMIFS(Rechnung_Ausgang!$H:$H,Rechnung_Ausgang!$D:$D,"&lt;=" &amp; UVA!$D14,Rechnung_Ausgang!$D:$D,"&gt;=" &amp;UVA!$C14,Rechnung_Ausgang!$I:$I,"=20")</f>
        <v/>
      </c>
      <c r="L14" s="227">
        <f>SUMIFS(Ausgaben_bis_2018!$S:$S,Ausgaben_bis_2018!$F:$F,"&lt;=" &amp; UVA!$D14,Ausgaben_bis_2018!$F:$F,"&gt;=" &amp;UVA!$C14,Ausgaben_bis_2018!$Y:$Y,"&lt;&gt;ja")</f>
        <v/>
      </c>
      <c r="M14" s="227">
        <f>SUMIFS(Ausgaben_bis_2018!$AA:$AA,Ausgaben_bis_2018!$F:$F,"&lt;=" &amp; UVA!$D14,Ausgaben_bis_2018!$F:$F,"&gt;=" &amp;UVA!$C14,Ausgaben_bis_2018!$Y:$Y,"&gt;0")</f>
        <v/>
      </c>
      <c r="N14" s="227">
        <f>SUMIFS(Ausgaben_bis_2018!$T:$T,Ausgaben_bis_2018!$F:$F,"&lt;=" &amp; UVA!$D14,Ausgaben_bis_2018!$F:$F,"&gt;=" &amp;UVA!$C14,Ausgaben_bis_2018!$Y:$Y,"&gt;0")</f>
        <v/>
      </c>
      <c r="O14" s="227">
        <f>SUMIFS(Ausgaben_bis_2018!$T:$T,Ausgaben_bis_2018!$F:$F,"&lt;=" &amp; UVA!$D14,Ausgaben_bis_2018!$F:$F,"&gt;=" &amp;UVA!$C14,Ausgaben_bis_2018!$Y:$Y,"=20")</f>
        <v/>
      </c>
    </row>
    <row r="15">
      <c r="A15" t="n">
        <v>2018</v>
      </c>
      <c r="B15">
        <f>MOD(B14,4)+1</f>
        <v/>
      </c>
      <c r="C15" s="1">
        <f>EDATE(C14,3)</f>
        <v/>
      </c>
      <c r="D15" s="1">
        <f>EDATE(C15,3)-1</f>
        <v/>
      </c>
      <c r="E15" s="1">
        <f>voranmeldefrist_vierteljaehrlich(C15+1)</f>
        <v/>
      </c>
      <c r="F15" s="227">
        <f>SUMIFS(Rechnung_Ausgang!J:J,Rechnung_Ausgang!D:D,"&lt;=" &amp; UVA!D15,Rechnung_Ausgang!D:D,"&gt;=" &amp;UVA!C15)</f>
        <v/>
      </c>
      <c r="G15" s="227">
        <f>SUMIFS(Ausgaben_bis_2018!S:S,Ausgaben_bis_2018!F:F,"&lt;=" &amp; UVA!D15,Ausgaben_bis_2018!F:F,"&gt;=" &amp;UVA!C15)</f>
        <v/>
      </c>
      <c r="H15" s="227">
        <f>F15-G15</f>
        <v/>
      </c>
      <c r="I15" s="227">
        <f>SUMIFS(Rechnung_Ausgang!$H:$H,Rechnung_Ausgang!$D:$D,"&lt;=" &amp; UVA!$D15,Rechnung_Ausgang!$D:$D,"&gt;=" &amp;UVA!$C15)</f>
        <v/>
      </c>
      <c r="J15" s="227">
        <f>SUMIFS(Rechnung_Ausgang!$H:$H,Rechnung_Ausgang!$D:$D,"&lt;=" &amp; UVA!$D15,Rechnung_Ausgang!$D:$D,"&gt;=" &amp;UVA!$C15)</f>
        <v/>
      </c>
      <c r="K15" s="227">
        <f>SUMIFS(Rechnung_Ausgang!$H:$H,Rechnung_Ausgang!$D:$D,"&lt;=" &amp; UVA!$D15,Rechnung_Ausgang!$D:$D,"&gt;=" &amp;UVA!$C15,Rechnung_Ausgang!$I:$I,"=20")</f>
        <v/>
      </c>
      <c r="L15" s="227">
        <f>SUMIFS(Ausgaben_bis_2018!$S:$S,Ausgaben_bis_2018!$F:$F,"&lt;=" &amp; UVA!$D15,Ausgaben_bis_2018!$F:$F,"&gt;=" &amp;UVA!$C15,Ausgaben_bis_2018!$Y:$Y,"&lt;&gt;ja")</f>
        <v/>
      </c>
      <c r="M15" s="227">
        <f>SUMIFS(Ausgaben_bis_2018!$AA:$AA,Ausgaben_bis_2018!$F:$F,"&lt;=" &amp; UVA!$D15,Ausgaben_bis_2018!$F:$F,"&gt;=" &amp;UVA!$C15,Ausgaben_bis_2018!$Y:$Y,"&gt;0")</f>
        <v/>
      </c>
      <c r="N15" s="227">
        <f>SUMIFS(Ausgaben_bis_2018!$T:$T,Ausgaben_bis_2018!$F:$F,"&lt;=" &amp; UVA!$D15,Ausgaben_bis_2018!$F:$F,"&gt;=" &amp;UVA!$C15,Ausgaben_bis_2018!$Y:$Y,"&gt;0")</f>
        <v/>
      </c>
      <c r="O15" s="227">
        <f>SUMIFS(Ausgaben_bis_2018!$T:$T,Ausgaben_bis_2018!$F:$F,"&lt;=" &amp; UVA!$D15,Ausgaben_bis_2018!$F:$F,"&gt;=" &amp;UVA!$C15,Ausgaben_bis_2018!$Y:$Y,"=20")</f>
        <v/>
      </c>
    </row>
    <row r="16">
      <c r="A16" t="n">
        <v>2018</v>
      </c>
      <c r="B16">
        <f>MOD(B15,4)+1</f>
        <v/>
      </c>
      <c r="C16" s="1">
        <f>EDATE(C15,3)</f>
        <v/>
      </c>
      <c r="D16" s="1">
        <f>EDATE(C16,3)-1</f>
        <v/>
      </c>
      <c r="E16" s="1">
        <f>voranmeldefrist_vierteljaehrlich(C16+1)</f>
        <v/>
      </c>
      <c r="F16" s="227">
        <f>SUMIFS(Rechnung_Ausgang!J:J,Rechnung_Ausgang!D:D,"&lt;=" &amp; UVA!D16,Rechnung_Ausgang!D:D,"&gt;=" &amp;UVA!C16)</f>
        <v/>
      </c>
      <c r="G16" s="227">
        <f>SUMIFS(Ausgaben_bis_2018!S:S,Ausgaben_bis_2018!F:F,"&lt;=" &amp; UVA!D16,Ausgaben_bis_2018!F:F,"&gt;=" &amp;UVA!C16)</f>
        <v/>
      </c>
      <c r="H16" s="227">
        <f>F16-G16</f>
        <v/>
      </c>
      <c r="I16" s="227">
        <f>SUMIFS(Rechnung_Ausgang!$H:$H,Rechnung_Ausgang!$D:$D,"&lt;=" &amp; UVA!$D16,Rechnung_Ausgang!$D:$D,"&gt;=" &amp;UVA!$C16)</f>
        <v/>
      </c>
      <c r="J16" s="227">
        <f>SUMIFS(Rechnung_Ausgang!$H:$H,Rechnung_Ausgang!$D:$D,"&lt;=" &amp; UVA!$D16,Rechnung_Ausgang!$D:$D,"&gt;=" &amp;UVA!$C16)</f>
        <v/>
      </c>
      <c r="K16" s="227">
        <f>SUMIFS(Rechnung_Ausgang!$H:$H,Rechnung_Ausgang!$D:$D,"&lt;=" &amp; UVA!$D16,Rechnung_Ausgang!$D:$D,"&gt;=" &amp;UVA!$C16,Rechnung_Ausgang!$I:$I,"=20")</f>
        <v/>
      </c>
      <c r="L16" s="227">
        <f>SUMIFS(Ausgaben_bis_2018!$S:$S,Ausgaben_bis_2018!$F:$F,"&lt;=" &amp; UVA!$D16,Ausgaben_bis_2018!$F:$F,"&gt;=" &amp;UVA!$C16,Ausgaben_bis_2018!$Y:$Y,"&lt;&gt;ja")</f>
        <v/>
      </c>
      <c r="M16" s="227">
        <f>SUMIFS(Ausgaben_bis_2018!$AA:$AA,Ausgaben_bis_2018!$F:$F,"&lt;=" &amp; UVA!$D16,Ausgaben_bis_2018!$F:$F,"&gt;=" &amp;UVA!$C16,Ausgaben_bis_2018!$Y:$Y,"&gt;0")</f>
        <v/>
      </c>
      <c r="N16" s="227">
        <f>SUMIFS(Ausgaben_bis_2018!$T:$T,Ausgaben_bis_2018!$F:$F,"&lt;=" &amp; UVA!$D16,Ausgaben_bis_2018!$F:$F,"&gt;=" &amp;UVA!$C16,Ausgaben_bis_2018!$Y:$Y,"&gt;0")</f>
        <v/>
      </c>
      <c r="O16" s="227">
        <f>SUMIFS(Ausgaben_bis_2018!$T:$T,Ausgaben_bis_2018!$F:$F,"&lt;=" &amp; UVA!$D16,Ausgaben_bis_2018!$F:$F,"&gt;=" &amp;UVA!$C16,Ausgaben_bis_2018!$Y:$Y,"=20")</f>
        <v/>
      </c>
    </row>
    <row r="17">
      <c r="A17" t="n">
        <v>2018</v>
      </c>
      <c r="B17">
        <f>MOD(B16,4)+1</f>
        <v/>
      </c>
      <c r="C17" s="1">
        <f>EDATE(C16,3)</f>
        <v/>
      </c>
      <c r="D17" s="1">
        <f>EDATE(C17,3)-1</f>
        <v/>
      </c>
      <c r="E17" s="1">
        <f>voranmeldefrist_vierteljaehrlich(C17+1)</f>
        <v/>
      </c>
      <c r="F17" s="227">
        <f>SUMIFS(Rechnung_Ausgang!J:J,Rechnung_Ausgang!D:D,"&lt;=" &amp; UVA!D17,Rechnung_Ausgang!D:D,"&gt;=" &amp;UVA!C17)</f>
        <v/>
      </c>
      <c r="G17" s="227">
        <f>SUMIFS(Ausgaben_bis_2018!S:S,Ausgaben_bis_2018!F:F,"&lt;=" &amp; UVA!D17,Ausgaben_bis_2018!F:F,"&gt;=" &amp;UVA!C17)</f>
        <v/>
      </c>
      <c r="H17" s="227">
        <f>F17-G17</f>
        <v/>
      </c>
      <c r="I17" s="227">
        <f>SUMIFS(Rechnung_Ausgang!$H:$H,Rechnung_Ausgang!$D:$D,"&lt;=" &amp; UVA!$D17,Rechnung_Ausgang!$D:$D,"&gt;=" &amp;UVA!$C17)</f>
        <v/>
      </c>
      <c r="J17" s="16">
        <f>SUMIFS(Rechnung_Ausgang!$H:$H,Rechnung_Ausgang!$D:$D,"&lt;=" &amp; UVA!$D17,Rechnung_Ausgang!$D:$D,"&gt;=" &amp;UVA!$C17)</f>
        <v/>
      </c>
      <c r="K17" s="16">
        <f>SUMIFS(Rechnung_Ausgang!$H:$H,Rechnung_Ausgang!$D:$D,"&lt;=" &amp; UVA!$D17,Rechnung_Ausgang!$D:$D,"&gt;=" &amp;UVA!$C17,Rechnung_Ausgang!$I:$I,"=20")</f>
        <v/>
      </c>
      <c r="L17" s="16">
        <f>SUMIFS(Ausgaben_bis_2018!$S:$S,Ausgaben_bis_2018!$F:$F,"&lt;=" &amp; UVA!$D17,Ausgaben_bis_2018!$F:$F,"&gt;=" &amp;UVA!$C17,Ausgaben_bis_2018!$Y:$Y,"&lt;&gt;ja")</f>
        <v/>
      </c>
      <c r="M17" s="16">
        <f>SUMIFS(Ausgaben_bis_2018!$AA:$AA,Ausgaben_bis_2018!$F:$F,"&lt;=" &amp; UVA!$D17,Ausgaben_bis_2018!$F:$F,"&gt;=" &amp;UVA!$C17,Ausgaben_bis_2018!$Y:$Y,"&gt;0")</f>
        <v/>
      </c>
      <c r="N17" s="16">
        <f>SUMIFS(Ausgaben_bis_2018!$T:$T,Ausgaben_bis_2018!$F:$F,"&lt;=" &amp; UVA!$D17,Ausgaben_bis_2018!$F:$F,"&gt;=" &amp;UVA!$C17,Ausgaben_bis_2018!$Y:$Y,"&gt;0")</f>
        <v/>
      </c>
      <c r="O17" s="16">
        <f>SUMIFS(Ausgaben_bis_2018!$T:$T,Ausgaben_bis_2018!$F:$F,"&lt;=" &amp; UVA!$D17,Ausgaben_bis_2018!$F:$F,"&gt;=" &amp;UVA!$C17,Ausgaben_bis_2018!$Y:$Y,"=20")</f>
        <v/>
      </c>
    </row>
    <row r="18">
      <c r="A18" t="n">
        <v>2019</v>
      </c>
      <c r="B18" t="n">
        <v>1</v>
      </c>
      <c r="C18" s="1">
        <f>EDATE(C17,3)</f>
        <v/>
      </c>
      <c r="D18" s="1">
        <f>EDATE(C18,3)-1</f>
        <v/>
      </c>
      <c r="E18" s="1">
        <f>voranmeldefrist_vierteljaehrlich(C18+1)</f>
        <v/>
      </c>
      <c r="F18" s="227">
        <f>SUMIFS(Journal_ab_2019!P:P,Journal_ab_2019!G:G,"&lt;=" &amp; UVA!D18,Journal_ab_2019!G:G,"&gt;=" &amp;UVA!C18,Journal_ab_2019!C:C,"="&amp;"Einnahmen")</f>
        <v/>
      </c>
      <c r="G18" s="227">
        <f>SUMIFS(Journal_ab_2019!P:P,Journal_ab_2019!G:G,"&lt;=" &amp; UVA!D18,Journal_ab_2019!G:G,"&gt;=" &amp;UVA!C18,Journal_ab_2019!C:C,"="&amp;"Ausgaben")</f>
        <v/>
      </c>
      <c r="H18" s="227">
        <f>F18-G18</f>
        <v/>
      </c>
      <c r="I18" s="227">
        <f>SUMIFS(Journal_ab_2019!$Q:$Q,Journal_ab_2019!$G:$G,"&lt;=" &amp; UVA!$D18,Journal_ab_2019!$G:$G,"&gt;=" &amp;UVA!$C18,Journal_ab_2019!C:C,"="&amp;"Einnahmen")</f>
        <v/>
      </c>
      <c r="J18" s="16">
        <f>SUMIFS(Journal_ab_2019!$Q:$Q,Journal_ab_2019!$G:$G,"&lt;=" &amp; UVA!$D18,Journal_ab_2019!$G:$G,"&gt;=" &amp;UVA!$C18,Journal_ab_2019!C:C,"="&amp;"Einnahmen")</f>
        <v/>
      </c>
      <c r="K18" s="16">
        <f>SUMIFS(Journal_ab_2019!$Q:$Q,Journal_ab_2019!$G:$G,"&lt;=" &amp; UVA!$D18,Journal_ab_2019!$G:$G,"&gt;=" &amp;UVA!$C18,Journal_ab_2019!$N:$N,"=20",Journal_ab_2019!C:C,"="&amp;"Einnahmen")</f>
        <v/>
      </c>
      <c r="L18" s="16">
        <f>SUMIFS(Journal_ab_2019!$P:$P,Journal_ab_2019!$G:$G,"&lt;=" &amp; UVA!$D18,Journal_ab_2019!$G:$G,"&gt;=" &amp;UVA!$C18,Journal_ab_2019!$V:$V,"&lt;&gt;ja",Journal_ab_2019!C:C,"="&amp;"Ausgaben")</f>
        <v/>
      </c>
      <c r="M18" s="16">
        <f>SUMIFS(Journal_ab_2019!$X:$X,Journal_ab_2019!$G:$G,"&lt;=" &amp; UVA!$D18,Journal_ab_2019!$G:$G,"&gt;=" &amp;UVA!$C18,Journal_ab_2019!$V:$V,"&gt;0",Journal_ab_2019!C:C,"="&amp;"Ausgaben")</f>
        <v/>
      </c>
      <c r="N18" s="16">
        <f>SUMIFS(Journal_ab_2019!$Q:$Q,Journal_ab_2019!$G:$G,"&lt;=" &amp; UVA!$D18,Journal_ab_2019!$G:$G,"&gt;=" &amp;UVA!$C18,Journal_ab_2019!$V:$V,"&gt;0",Journal_ab_2019!C:C,"="&amp;"Ausgaben")</f>
        <v/>
      </c>
      <c r="O18" s="16">
        <f>SUMIFS(Journal_ab_2019!$Q:$Q,Journal_ab_2019!$G:$G,"&lt;=" &amp; UVA!$D18,Journal_ab_2019!$G:$G,"&gt;=" &amp;UVA!$C18,Journal_ab_2019!$V:$V,"=20",Journal_ab_2019!C:C,"="&amp;"Ausgaben")</f>
        <v/>
      </c>
    </row>
    <row r="19">
      <c r="A19" t="n">
        <v>2019</v>
      </c>
      <c r="B19" t="n">
        <v>2</v>
      </c>
      <c r="C19" s="1">
        <f>EDATE(C18,3)</f>
        <v/>
      </c>
      <c r="D19" s="1">
        <f>EDATE(C19,3)-1</f>
        <v/>
      </c>
      <c r="E19" s="1">
        <f>voranmeldefrist_vierteljaehrlich(C19+1)</f>
        <v/>
      </c>
      <c r="F19" s="227">
        <f>SUMIFS(Journal_ab_2019!P:P,Journal_ab_2019!G:G,"&lt;=" &amp; UVA!D19,Journal_ab_2019!G:G,"&gt;=" &amp;UVA!C19,Journal_ab_2019!C:C,"="&amp;"Einnahmen")</f>
        <v/>
      </c>
      <c r="G19" s="227">
        <f>SUMIFS(Journal_ab_2019!P:P,Journal_ab_2019!G:G,"&lt;=" &amp; UVA!D19,Journal_ab_2019!G:G,"&gt;=" &amp;UVA!C19,Journal_ab_2019!C:C,"="&amp;"Ausgaben")</f>
        <v/>
      </c>
      <c r="H19" s="227">
        <f>F19-G19</f>
        <v/>
      </c>
      <c r="I19" s="227">
        <f>SUMIFS(Journal_ab_2019!$Q:$Q,Journal_ab_2019!$G:$G,"&lt;=" &amp; UVA!$D19,Journal_ab_2019!$G:$G,"&gt;=" &amp;UVA!$C19,Journal_ab_2019!C:C,"="&amp;"Einnahmen")</f>
        <v/>
      </c>
      <c r="J19" s="16">
        <f>SUMIFS(Journal_ab_2019!$Q:$Q,Journal_ab_2019!$G:$G,"&lt;=" &amp; UVA!$D19,Journal_ab_2019!$G:$G,"&gt;=" &amp;UVA!$C19,Journal_ab_2019!C:C,"="&amp;"Einnahmen")</f>
        <v/>
      </c>
      <c r="K19" s="16">
        <f>SUMIFS(Journal_ab_2019!$Q:$Q,Journal_ab_2019!$G:$G,"&lt;=" &amp; UVA!$D19,Journal_ab_2019!$G:$G,"&gt;=" &amp;UVA!$C19,Journal_ab_2019!$N:$N,"=20",Journal_ab_2019!$C:$C,"="&amp;"Einnahmen")</f>
        <v/>
      </c>
      <c r="L19" s="16">
        <f>SUMIFS(Journal_ab_2019!$P:$P,Journal_ab_2019!$G:$G,"&lt;=" &amp; UVA!$D19,Journal_ab_2019!$G:$G,"&gt;=" &amp;UVA!$C19,Journal_ab_2019!$V:$V,"&lt;&gt;ja",Journal_ab_2019!C:C,"="&amp;"Ausgaben")</f>
        <v/>
      </c>
      <c r="M19" s="16">
        <f>SUMIFS(Journal_ab_2019!$X:$X,Journal_ab_2019!$G:$G,"&lt;=" &amp; UVA!$D19,Journal_ab_2019!$G:$G,"&gt;=" &amp;UVA!$C19,Journal_ab_2019!$V:$V,"&gt;0",Journal_ab_2019!C:C,"="&amp;"Ausgaben")</f>
        <v/>
      </c>
      <c r="N19" s="16">
        <f>SUMIFS(Journal_ab_2019!$Q:$Q,Journal_ab_2019!$G:$G,"&lt;=" &amp; UVA!$D19,Journal_ab_2019!$G:$G,"&gt;=" &amp;UVA!$C19,Journal_ab_2019!$V:$V,"&gt;0",Journal_ab_2019!C:C,"="&amp;"Ausgaben")</f>
        <v/>
      </c>
      <c r="O19" s="16">
        <f>SUMIFS(Journal_ab_2019!$Q:$Q,Journal_ab_2019!$G:$G,"&lt;=" &amp; UVA!$D19,Journal_ab_2019!$G:$G,"&gt;=" &amp;UVA!$C19,Journal_ab_2019!$V:$V,"=20",Journal_ab_2019!C:C,"="&amp;"Ausgaben")</f>
        <v/>
      </c>
    </row>
    <row r="20">
      <c r="A20" t="n">
        <v>2019</v>
      </c>
      <c r="B20" t="n">
        <v>3</v>
      </c>
      <c r="C20" s="1">
        <f>EDATE(C19,3)</f>
        <v/>
      </c>
      <c r="D20" s="1">
        <f>EDATE(C20,3)-1</f>
        <v/>
      </c>
      <c r="E20" s="1">
        <f>voranmeldefrist_vierteljaehrlich(C20+1)</f>
        <v/>
      </c>
      <c r="F20" s="227">
        <f>SUMIFS(Journal_ab_2019!P:P,Journal_ab_2019!G:G,"&lt;=" &amp; UVA!D20,Journal_ab_2019!G:G,"&gt;=" &amp;UVA!C20,Journal_ab_2019!C:C,"="&amp;"Einnahmen")</f>
        <v/>
      </c>
      <c r="G20" s="227">
        <f>SUMIFS(Journal_ab_2019!P:P,Journal_ab_2019!G:G,"&lt;=" &amp; UVA!D20,Journal_ab_2019!G:G,"&gt;=" &amp;UVA!C20,Journal_ab_2019!C:C,"="&amp;"Ausgaben")</f>
        <v/>
      </c>
      <c r="H20" s="227">
        <f>F20-G20</f>
        <v/>
      </c>
      <c r="I20" s="227">
        <f>SUMIFS(Journal_ab_2019!$Q:$Q,Journal_ab_2019!$G:$G,"&lt;=" &amp; UVA!$D20,Journal_ab_2019!$G:$G,"&gt;=" &amp;UVA!$C20,Journal_ab_2019!C:C,"="&amp;"Einnahmen")</f>
        <v/>
      </c>
      <c r="J20" s="16">
        <f>SUMIFS(Journal_ab_2019!$Q:$Q,Journal_ab_2019!$G:$G,"&lt;=" &amp; UVA!$D20,Journal_ab_2019!$G:$G,"&gt;=" &amp;UVA!$C20,Journal_ab_2019!C:C,"="&amp;"Einnahmen")</f>
        <v/>
      </c>
      <c r="K20" s="16">
        <f>SUMIFS(Journal_ab_2019!$Q:$Q,Journal_ab_2019!$G:$G,"&lt;=" &amp; UVA!$D20,Journal_ab_2019!$G:$G,"&gt;=" &amp;UVA!$C20,Journal_ab_2019!$N:$N,"=20",Journal_ab_2019!C:C,"="&amp;"Einnahmen")</f>
        <v/>
      </c>
      <c r="L20" s="16">
        <f>SUMIFS(Journal_ab_2019!$P:$P,Journal_ab_2019!$G:$G,"&lt;=" &amp; UVA!$D20,Journal_ab_2019!$G:$G,"&gt;=" &amp;UVA!$C20,Journal_ab_2019!$V:$V,"&lt;&gt;ja",Journal_ab_2019!C:C,"="&amp;"Ausgaben")</f>
        <v/>
      </c>
      <c r="M20" s="16">
        <f>SUMIFS(Journal_ab_2019!$X:$X,Journal_ab_2019!$G:$G,"&lt;=" &amp; UVA!$D20,Journal_ab_2019!$G:$G,"&gt;=" &amp;UVA!$C20,Journal_ab_2019!$V:$V,"&gt;0",Journal_ab_2019!C:C,"="&amp;"Ausgaben")</f>
        <v/>
      </c>
      <c r="N20" s="16">
        <f>SUMIFS(Journal_ab_2019!$Q:$Q,Journal_ab_2019!$G:$G,"&lt;=" &amp; UVA!$D20,Journal_ab_2019!$G:$G,"&gt;=" &amp;UVA!$C20,Journal_ab_2019!$V:$V,"&gt;0",Journal_ab_2019!C:C,"="&amp;"Ausgaben")</f>
        <v/>
      </c>
      <c r="O20" s="16">
        <f>SUMIFS(Journal_ab_2019!$Q:$Q,Journal_ab_2019!$G:$G,"&lt;=" &amp; UVA!$D20,Journal_ab_2019!$G:$G,"&gt;=" &amp;UVA!$C20,Journal_ab_2019!$V:$V,"=20",Journal_ab_2019!C:C,"="&amp;"Ausgaben")</f>
        <v/>
      </c>
    </row>
    <row r="21">
      <c r="A21" t="n">
        <v>2019</v>
      </c>
      <c r="B21" t="n">
        <v>4</v>
      </c>
      <c r="C21" s="1">
        <f>EDATE(C20,3)</f>
        <v/>
      </c>
      <c r="D21" s="1">
        <f>EDATE(C21,3)-1</f>
        <v/>
      </c>
      <c r="E21" s="1">
        <f>voranmeldefrist_vierteljaehrlich(C21+1)</f>
        <v/>
      </c>
      <c r="F21" s="227">
        <f>SUMIFS(Journal_ab_2019!P:P,Journal_ab_2019!G:G,"&lt;=" &amp; UVA!D21,Journal_ab_2019!G:G,"&gt;=" &amp;UVA!C21,Journal_ab_2019!C:C,"="&amp;"Einnahmen")</f>
        <v/>
      </c>
      <c r="G21" s="227">
        <f>SUMIFS(Journal_ab_2019!P:P,Journal_ab_2019!G:G,"&lt;=" &amp; UVA!D21,Journal_ab_2019!G:G,"&gt;=" &amp;UVA!C21,Journal_ab_2019!C:C,"="&amp;"Ausgaben")</f>
        <v/>
      </c>
      <c r="H21" s="227">
        <f>F21-G21</f>
        <v/>
      </c>
      <c r="I21" s="227">
        <f>SUMIFS(Journal_ab_2019!$Q:$Q,Journal_ab_2019!$G:$G,"&lt;=" &amp; UVA!$D21,Journal_ab_2019!$G:$G,"&gt;=" &amp;UVA!$C21,Journal_ab_2019!C:C,"="&amp;"Einnahmen")</f>
        <v/>
      </c>
      <c r="J21" s="16">
        <f>SUMIFS(Journal_ab_2019!$Q:$Q,Journal_ab_2019!$G:$G,"&lt;=" &amp; UVA!$D21,Journal_ab_2019!$G:$G,"&gt;=" &amp;UVA!$C21,Journal_ab_2019!C:C,"="&amp;"Einnahmen")</f>
        <v/>
      </c>
      <c r="K21" s="16">
        <f>SUMIFS(Journal_ab_2019!$Q:$Q,Journal_ab_2019!$G:$G,"&lt;=" &amp; UVA!$D21,Journal_ab_2019!$G:$G,"&gt;=" &amp;UVA!$C21,Journal_ab_2019!$N:$N,"=20",Journal_ab_2019!$C:$C,"="&amp;"Einnahmen")</f>
        <v/>
      </c>
      <c r="L21" s="16">
        <f>SUMIFS(Journal_ab_2019!$P:$P,Journal_ab_2019!$G:$G,"&lt;=" &amp; UVA!$D21,Journal_ab_2019!$G:$G,"&gt;=" &amp;UVA!$C21,Journal_ab_2019!$V:$V,"&lt;&gt;ja",Journal_ab_2019!C:C,"="&amp;"Ausgaben")</f>
        <v/>
      </c>
      <c r="M21" s="16">
        <f>SUMIFS(Journal_ab_2019!$X:$X,Journal_ab_2019!$G:$G,"&lt;=" &amp; UVA!$D21,Journal_ab_2019!$G:$G,"&gt;=" &amp;UVA!$C21,Journal_ab_2019!$V:$V,"&gt;0",Journal_ab_2019!C:C,"="&amp;"Ausgaben")</f>
        <v/>
      </c>
      <c r="N21" s="16">
        <f>SUMIFS(Journal_ab_2019!$Q:$Q,Journal_ab_2019!$G:$G,"&lt;=" &amp; UVA!$D21,Journal_ab_2019!$G:$G,"&gt;=" &amp;UVA!$C21,Journal_ab_2019!$V:$V,"&gt;0",Journal_ab_2019!C:C,"="&amp;"Ausgaben")</f>
        <v/>
      </c>
      <c r="O21" s="16">
        <f>SUMIFS(Journal_ab_2019!$Q:$Q,Journal_ab_2019!$G:$G,"&lt;=" &amp; UVA!$D21,Journal_ab_2019!$G:$G,"&gt;=" &amp;UVA!$C21,Journal_ab_2019!$V:$V,"=20",Journal_ab_2019!C:C,"="&amp;"Ausgaben")</f>
        <v/>
      </c>
    </row>
    <row r="22">
      <c r="A22" t="n">
        <v>2020</v>
      </c>
      <c r="B22" t="n">
        <v>1</v>
      </c>
      <c r="C22" s="1">
        <f>EDATE(C21,3)</f>
        <v/>
      </c>
      <c r="D22" s="1">
        <f>EDATE(C22,3)-1</f>
        <v/>
      </c>
      <c r="E22" s="1">
        <f>voranmeldefrist_vierteljaehrlich(C22+1)</f>
        <v/>
      </c>
      <c r="F22" s="227">
        <f>SUMIFS(Journal_ab_2019!P:P,Journal_ab_2019!G:G,"&lt;=" &amp; UVA!D22,Journal_ab_2019!G:G,"&gt;=" &amp;UVA!C22,Journal_ab_2019!C:C,"="&amp;"Einnahmen")</f>
        <v/>
      </c>
      <c r="G22" s="227">
        <f>SUMIFS(Journal_ab_2019!P:P,Journal_ab_2019!G:G,"&lt;=" &amp; UVA!D22,Journal_ab_2019!G:G,"&gt;=" &amp;UVA!C22,Journal_ab_2019!C:C,"="&amp;"Ausgaben")</f>
        <v/>
      </c>
      <c r="H22" s="227">
        <f>F22-G22</f>
        <v/>
      </c>
      <c r="I22" s="227">
        <f>SUMIFS(Journal_ab_2019!$Q:$Q,Journal_ab_2019!$G:$G,"&lt;=" &amp; UVA!$D22,Journal_ab_2019!$G:$G,"&gt;=" &amp;UVA!$C22,Journal_ab_2019!C:C,"="&amp;"Einnahmen")</f>
        <v/>
      </c>
      <c r="J22" s="16">
        <f>SUMIFS(Journal_ab_2019!$Q:$Q,Journal_ab_2019!$G:$G,"&lt;=" &amp; UVA!$D22,Journal_ab_2019!$G:$G,"&gt;=" &amp;UVA!$C22,Journal_ab_2019!C:C,"="&amp;"Einnahmen")</f>
        <v/>
      </c>
      <c r="K22" s="16">
        <f>SUMIFS(Journal_ab_2019!$Q:$Q,Journal_ab_2019!$G:$G,"&lt;=" &amp; UVA!$D22,Journal_ab_2019!$G:$G,"&gt;=" &amp;UVA!$C22,Journal_ab_2019!$N:$N,"=20",Journal_ab_2019!$C:$C,"="&amp;"Einnahmen")</f>
        <v/>
      </c>
      <c r="L22" s="16">
        <f>SUMIFS(Journal_ab_2019!$P:$P,Journal_ab_2019!$G:$G,"&lt;=" &amp; UVA!$D22,Journal_ab_2019!$G:$G,"&gt;=" &amp;UVA!$C22,Journal_ab_2019!$V:$V,"&lt;&gt;ja",Journal_ab_2019!C:C,"="&amp;"Ausgaben")</f>
        <v/>
      </c>
      <c r="M22" s="16">
        <f>SUMIFS(Journal_ab_2019!$X:$X,Journal_ab_2019!$G:$G,"&lt;=" &amp; UVA!$D22,Journal_ab_2019!$G:$G,"&gt;=" &amp;UVA!$C22,Journal_ab_2019!$V:$V,"&gt;0",Journal_ab_2019!C:C,"="&amp;"Ausgaben")</f>
        <v/>
      </c>
      <c r="N22" s="16">
        <f>SUMIFS(Journal_ab_2019!$Q:$Q,Journal_ab_2019!$G:$G,"&lt;=" &amp; UVA!$D22,Journal_ab_2019!$G:$G,"&gt;=" &amp;UVA!$C22,Journal_ab_2019!$V:$V,"&gt;0",Journal_ab_2019!C:C,"="&amp;"Ausgaben")</f>
        <v/>
      </c>
      <c r="O22" s="16">
        <f>SUMIFS(Journal_ab_2019!$Q:$Q,Journal_ab_2019!$G:$G,"&lt;=" &amp; UVA!$D22,Journal_ab_2019!$G:$G,"&gt;=" &amp;UVA!$C22,Journal_ab_2019!$V:$V,"=20",Journal_ab_2019!C:C,"="&amp;"Ausgaben")</f>
        <v/>
      </c>
    </row>
    <row r="23">
      <c r="A23" t="n">
        <v>2020</v>
      </c>
      <c r="B23" t="n">
        <v>2</v>
      </c>
      <c r="C23" s="1">
        <f>EDATE(C22,3)</f>
        <v/>
      </c>
      <c r="D23" s="1">
        <f>EDATE(C23,3)-1</f>
        <v/>
      </c>
      <c r="E23" s="1">
        <f>voranmeldefrist_vierteljaehrlich(C23+1)</f>
        <v/>
      </c>
      <c r="F23" s="227">
        <f>SUMIFS(Journal_ab_2019!P:P,Journal_ab_2019!G:G,"&lt;=" &amp; UVA!D23,Journal_ab_2019!G:G,"&gt;=" &amp;UVA!C23,Journal_ab_2019!C:C,"="&amp;"Einnahmen")</f>
        <v/>
      </c>
      <c r="G23" s="227">
        <f>SUMIFS(Journal_ab_2019!P:P,Journal_ab_2019!G:G,"&lt;=" &amp; UVA!D23,Journal_ab_2019!G:G,"&gt;=" &amp;UVA!C23,Journal_ab_2019!C:C,"="&amp;"Ausgaben")</f>
        <v/>
      </c>
      <c r="H23" s="227">
        <f>F23-G23</f>
        <v/>
      </c>
      <c r="I23" s="227">
        <f>SUMIFS(Journal_ab_2019!$Q:$Q,Journal_ab_2019!$G:$G,"&lt;=" &amp; UVA!$D23,Journal_ab_2019!$G:$G,"&gt;=" &amp;UVA!$C23,Journal_ab_2019!C:C,"="&amp;"Einnahmen")</f>
        <v/>
      </c>
      <c r="J23" s="16">
        <f>SUMIFS(Journal_ab_2019!$Q:$Q,Journal_ab_2019!$G:$G,"&lt;=" &amp; UVA!$D23,Journal_ab_2019!$G:$G,"&gt;=" &amp;UVA!$C23,Journal_ab_2019!C:C,"="&amp;"Einnahmen")</f>
        <v/>
      </c>
      <c r="K23" s="16">
        <f>SUMIFS(Journal_ab_2019!$Q:$Q,Journal_ab_2019!$G:$G,"&lt;=" &amp; UVA!$D23,Journal_ab_2019!$G:$G,"&gt;=" &amp;UVA!$C23,Journal_ab_2019!$N:$N,"=20",Journal_ab_2019!$C:$C,"="&amp;"Einnahmen")</f>
        <v/>
      </c>
      <c r="L23" s="16">
        <f>SUMIFS(Journal_ab_2019!$P:$P,Journal_ab_2019!$G:$G,"&lt;=" &amp; UVA!$D23,Journal_ab_2019!$G:$G,"&gt;=" &amp;UVA!$C23,Journal_ab_2019!$V:$V,"&lt;&gt;ja",Journal_ab_2019!C:C,"="&amp;"Ausgaben")</f>
        <v/>
      </c>
      <c r="M23" s="16">
        <f>SUMIFS(Journal_ab_2019!$X:$X,Journal_ab_2019!$G:$G,"&lt;=" &amp; UVA!$D23,Journal_ab_2019!$G:$G,"&gt;=" &amp;UVA!$C23,Journal_ab_2019!$V:$V,"&gt;0",Journal_ab_2019!C:C,"="&amp;"Ausgaben")</f>
        <v/>
      </c>
      <c r="N23" s="16">
        <f>SUMIFS(Journal_ab_2019!$Q:$Q,Journal_ab_2019!$G:$G,"&lt;=" &amp; UVA!$D23,Journal_ab_2019!$G:$G,"&gt;=" &amp;UVA!$C23,Journal_ab_2019!$V:$V,"&gt;0",Journal_ab_2019!C:C,"="&amp;"Ausgaben")</f>
        <v/>
      </c>
      <c r="O23" s="16">
        <f>SUMIFS(Journal_ab_2019!$Q:$Q,Journal_ab_2019!$G:$G,"&lt;=" &amp; UVA!$D23,Journal_ab_2019!$G:$G,"&gt;=" &amp;UVA!$C23,Journal_ab_2019!$V:$V,"=20",Journal_ab_2019!C:C,"="&amp;"Ausgaben")</f>
        <v/>
      </c>
    </row>
    <row r="24">
      <c r="A24" t="n">
        <v>2020</v>
      </c>
      <c r="B24" t="n">
        <v>3</v>
      </c>
      <c r="C24" s="1">
        <f>EDATE(C23,3)</f>
        <v/>
      </c>
      <c r="D24" s="1">
        <f>EDATE(C24,3)-1</f>
        <v/>
      </c>
      <c r="E24" s="1">
        <f>voranmeldefrist_vierteljaehrlich(C24+1)</f>
        <v/>
      </c>
      <c r="F24" s="227">
        <f>SUMIFS(Journal_ab_2019!P:P,Journal_ab_2019!G:G,"&lt;=" &amp; UVA!D24,Journal_ab_2019!G:G,"&gt;=" &amp;UVA!C24,Journal_ab_2019!C:C,"="&amp;"Einnahmen")</f>
        <v/>
      </c>
      <c r="G24" s="227">
        <f>SUMIFS(Journal_ab_2019!P:P,Journal_ab_2019!G:G,"&lt;=" &amp; UVA!D24,Journal_ab_2019!G:G,"&gt;=" &amp;UVA!C24,Journal_ab_2019!C:C,"="&amp;"Ausgaben")</f>
        <v/>
      </c>
      <c r="H24" s="227">
        <f>F24-G24</f>
        <v/>
      </c>
      <c r="I24" s="227">
        <f>SUMIFS(Journal_ab_2019!$Q:$Q,Journal_ab_2019!$G:$G,"&lt;=" &amp; UVA!$D24,Journal_ab_2019!$G:$G,"&gt;=" &amp;UVA!$C24,Journal_ab_2019!C:C,"="&amp;"Einnahmen")</f>
        <v/>
      </c>
      <c r="J24" s="16">
        <f>SUMIFS(Journal_ab_2019!$Q:$Q,Journal_ab_2019!$G:$G,"&lt;=" &amp; UVA!$D24,Journal_ab_2019!$G:$G,"&gt;=" &amp;UVA!$C24,Journal_ab_2019!C:C,"="&amp;"Einnahmen")</f>
        <v/>
      </c>
      <c r="K24" s="16">
        <f>SUMIFS(Journal_ab_2019!$Q:$Q,Journal_ab_2019!$G:$G,"&lt;=" &amp; UVA!$D24,Journal_ab_2019!$G:$G,"&gt;=" &amp;UVA!$C24,Journal_ab_2019!$N:$N,"=20",Journal_ab_2019!$C:$C,"="&amp;"Einnahmen")</f>
        <v/>
      </c>
      <c r="L24" s="16">
        <f>SUMIFS(Journal_ab_2019!$P:$P,Journal_ab_2019!$G:$G,"&lt;=" &amp; UVA!$D24,Journal_ab_2019!$G:$G,"&gt;=" &amp;UVA!$C24,Journal_ab_2019!$V:$V,"&lt;&gt;ja",Journal_ab_2019!C:C,"="&amp;"Ausgaben")</f>
        <v/>
      </c>
      <c r="M24" s="16">
        <f>SUMIFS(Journal_ab_2019!$X:$X,Journal_ab_2019!$G:$G,"&lt;=" &amp; UVA!$D24,Journal_ab_2019!$G:$G,"&gt;=" &amp;UVA!$C24,Journal_ab_2019!$V:$V,"&gt;0",Journal_ab_2019!C:C,"="&amp;"Ausgaben")</f>
        <v/>
      </c>
      <c r="N24" s="16">
        <f>SUMIFS(Journal_ab_2019!$Q:$Q,Journal_ab_2019!$G:$G,"&lt;=" &amp; UVA!$D24,Journal_ab_2019!$G:$G,"&gt;=" &amp;UVA!$C24,Journal_ab_2019!$V:$V,"&gt;0",Journal_ab_2019!C:C,"="&amp;"Ausgaben")</f>
        <v/>
      </c>
      <c r="O24" s="16">
        <f>SUMIFS(Journal_ab_2019!$Q:$Q,Journal_ab_2019!$G:$G,"&lt;=" &amp; UVA!$D24,Journal_ab_2019!$G:$G,"&gt;=" &amp;UVA!$C24,Journal_ab_2019!$V:$V,"=20",Journal_ab_2019!C:C,"="&amp;"Ausgaben")</f>
        <v/>
      </c>
    </row>
    <row r="25">
      <c r="A25" t="n">
        <v>2020</v>
      </c>
      <c r="B25" t="n">
        <v>4</v>
      </c>
      <c r="C25" s="1">
        <f>EDATE(C24,3)</f>
        <v/>
      </c>
      <c r="D25" s="1">
        <f>EDATE(C25,3)-1</f>
        <v/>
      </c>
      <c r="E25" s="1">
        <f>voranmeldefrist_vierteljaehrlich(C25+1)</f>
        <v/>
      </c>
      <c r="F25" s="227">
        <f>SUMIFS(Journal_ab_2019!P:P,Journal_ab_2019!G:G,"&lt;=" &amp; UVA!D25,Journal_ab_2019!G:G,"&gt;=" &amp;UVA!C25,Journal_ab_2019!C:C,"="&amp;"Einnahmen")</f>
        <v/>
      </c>
      <c r="G25" s="227">
        <f>SUMIFS(Journal_ab_2019!P:P,Journal_ab_2019!G:G,"&lt;=" &amp; UVA!D25,Journal_ab_2019!G:G,"&gt;=" &amp;UVA!C25,Journal_ab_2019!C:C,"="&amp;"Ausgaben")</f>
        <v/>
      </c>
      <c r="H25" s="227">
        <f>F25-G25</f>
        <v/>
      </c>
      <c r="I25" s="227">
        <f>SUMIFS(Journal_ab_2019!$Q:$Q,Journal_ab_2019!$G:$G,"&lt;=" &amp; UVA!$D25,Journal_ab_2019!$G:$G,"&gt;=" &amp;UVA!$C25,Journal_ab_2019!C:C,"="&amp;"Einnahmen")</f>
        <v/>
      </c>
      <c r="J25" s="16">
        <f>SUMIFS(Journal_ab_2019!$Q:$Q,Journal_ab_2019!$G:$G,"&lt;=" &amp; UVA!$D25,Journal_ab_2019!$G:$G,"&gt;=" &amp;UVA!$C25,Journal_ab_2019!C:C,"="&amp;"Einnahmen")</f>
        <v/>
      </c>
      <c r="K25" s="16">
        <f>SUMIFS(Journal_ab_2019!$Q:$Q,Journal_ab_2019!$G:$G,"&lt;=" &amp; UVA!$D25,Journal_ab_2019!$G:$G,"&gt;=" &amp;UVA!$C25,Journal_ab_2019!$N:$N,"=20",Journal_ab_2019!$C:$C,"="&amp;"Einnahmen")</f>
        <v/>
      </c>
      <c r="L25" s="16">
        <f>SUMIFS(Journal_ab_2019!$P:$P,Journal_ab_2019!$G:$G,"&lt;=" &amp; UVA!$D25,Journal_ab_2019!$G:$G,"&gt;=" &amp;UVA!$C25,Journal_ab_2019!$V:$V,"&lt;&gt;ja",Journal_ab_2019!C:C,"="&amp;"Ausgaben")</f>
        <v/>
      </c>
      <c r="M25" s="16">
        <f>SUMIFS(Journal_ab_2019!$X:$X,Journal_ab_2019!$G:$G,"&lt;=" &amp; UVA!$D25,Journal_ab_2019!$G:$G,"&gt;=" &amp;UVA!$C25,Journal_ab_2019!$V:$V,"&gt;0",Journal_ab_2019!C:C,"="&amp;"Ausgaben")</f>
        <v/>
      </c>
      <c r="N25" s="16">
        <f>SUMIFS(Journal_ab_2019!$Q:$Q,Journal_ab_2019!$G:$G,"&lt;=" &amp; UVA!$D25,Journal_ab_2019!$G:$G,"&gt;=" &amp;UVA!$C25,Journal_ab_2019!$V:$V,"&gt;0",Journal_ab_2019!C:C,"="&amp;"Ausgaben")</f>
        <v/>
      </c>
      <c r="O25" s="16">
        <f>SUMIFS(Journal_ab_2019!$Q:$Q,Journal_ab_2019!$G:$G,"&lt;=" &amp; UVA!$D25,Journal_ab_2019!$G:$G,"&gt;=" &amp;UVA!$C25,Journal_ab_2019!$V:$V,"=20",Journal_ab_2019!C:C,"="&amp;"Ausgaben")</f>
        <v/>
      </c>
    </row>
    <row r="26">
      <c r="A26" t="n">
        <v>2021</v>
      </c>
      <c r="B26" t="n">
        <v>1</v>
      </c>
      <c r="C26" s="1">
        <f>EDATE(C25,3)</f>
        <v/>
      </c>
      <c r="D26" s="1">
        <f>EDATE(C26,3)-1</f>
        <v/>
      </c>
      <c r="E26" s="1">
        <f>voranmeldefrist_vierteljaehrlich(C26+1)</f>
        <v/>
      </c>
      <c r="F26" s="227">
        <f>SUMIFS(Journal_ab_2019!P:P,Journal_ab_2019!G:G,"&lt;=" &amp; UVA!D26,Journal_ab_2019!G:G,"&gt;=" &amp;UVA!C26,Journal_ab_2019!C:C,"="&amp;"Einnahmen")</f>
        <v/>
      </c>
      <c r="G26" s="227">
        <f>SUMIFS(Journal_ab_2019!P:P,Journal_ab_2019!G:G,"&lt;=" &amp; UVA!D26,Journal_ab_2019!G:G,"&gt;=" &amp;UVA!C26,Journal_ab_2019!C:C,"="&amp;"Ausgaben")</f>
        <v/>
      </c>
      <c r="H26" s="227">
        <f>F26-G26</f>
        <v/>
      </c>
      <c r="I26" s="227">
        <f>SUMIFS(Journal_ab_2019!$Q:$Q,Journal_ab_2019!$G:$G,"&lt;=" &amp; UVA!$D26,Journal_ab_2019!$G:$G,"&gt;=" &amp;UVA!$C26,Journal_ab_2019!C:C,"="&amp;"Einnahmen")</f>
        <v/>
      </c>
      <c r="J26" s="16">
        <f>SUMIFS(Journal_ab_2019!$Q:$Q,Journal_ab_2019!$G:$G,"&lt;=" &amp; UVA!$D26,Journal_ab_2019!$G:$G,"&gt;=" &amp;UVA!$C26,Journal_ab_2019!C:C,"="&amp;"Einnahmen")</f>
        <v/>
      </c>
      <c r="K26" s="16">
        <f>SUMIFS(Journal_ab_2019!$Q:$Q,Journal_ab_2019!$G:$G,"&lt;=" &amp; UVA!$D26,Journal_ab_2019!$G:$G,"&gt;=" &amp;UVA!$C26,Journal_ab_2019!$N:$N,"=20",Journal_ab_2019!$C:$C,"="&amp;"Einnahmen")</f>
        <v/>
      </c>
      <c r="L26" s="16">
        <f>SUMIFS(Journal_ab_2019!$P:$P,Journal_ab_2019!$G:$G,"&lt;=" &amp; UVA!$D26,Journal_ab_2019!$G:$G,"&gt;=" &amp;UVA!$C26,Journal_ab_2019!$V:$V,"&lt;&gt;ja",Journal_ab_2019!C:C,"="&amp;"Ausgaben")</f>
        <v/>
      </c>
      <c r="M26" s="16">
        <f>SUMIFS(Journal_ab_2019!$X:$X,Journal_ab_2019!$G:$G,"&lt;=" &amp; UVA!$D26,Journal_ab_2019!$G:$G,"&gt;=" &amp;UVA!$C26,Journal_ab_2019!$V:$V,"&gt;0",Journal_ab_2019!C:C,"="&amp;"Ausgaben")</f>
        <v/>
      </c>
      <c r="N26" s="16">
        <f>SUMIFS(Journal_ab_2019!$Q:$Q,Journal_ab_2019!$G:$G,"&lt;=" &amp; UVA!$D26,Journal_ab_2019!$G:$G,"&gt;=" &amp;UVA!$C26,Journal_ab_2019!$V:$V,"&gt;0",Journal_ab_2019!C:C,"="&amp;"Ausgaben")</f>
        <v/>
      </c>
      <c r="O26" s="16">
        <f>SUMIFS(Journal_ab_2019!$Q:$Q,Journal_ab_2019!$G:$G,"&lt;=" &amp; UVA!$D26,Journal_ab_2019!$G:$G,"&gt;=" &amp;UVA!$C26,Journal_ab_2019!$V:$V,"=20",Journal_ab_2019!C:C,"="&amp;"Ausgaben")</f>
        <v/>
      </c>
    </row>
    <row r="27">
      <c r="A27" t="n">
        <v>2021</v>
      </c>
      <c r="B27" t="n">
        <v>2</v>
      </c>
      <c r="C27" s="1">
        <f>EDATE(C26,3)</f>
        <v/>
      </c>
      <c r="D27" s="1">
        <f>EDATE(C27,3)-1</f>
        <v/>
      </c>
      <c r="E27" s="1">
        <f>voranmeldefrist_vierteljaehrlich(C27+1)</f>
        <v/>
      </c>
      <c r="F27" s="227">
        <f>SUMIFS(Journal_ab_2019!P:P,Journal_ab_2019!G:G,"&lt;=" &amp; UVA!D27,Journal_ab_2019!G:G,"&gt;=" &amp;UVA!C27,Journal_ab_2019!C:C,"="&amp;"Einnahmen")</f>
        <v/>
      </c>
      <c r="G27" s="227">
        <f>SUMIFS(Journal_ab_2019!P:P,Journal_ab_2019!G:G,"&lt;=" &amp; UVA!D27,Journal_ab_2019!G:G,"&gt;=" &amp;UVA!C27,Journal_ab_2019!C:C,"="&amp;"Ausgaben")</f>
        <v/>
      </c>
      <c r="H27" s="227">
        <f>F27-G27</f>
        <v/>
      </c>
      <c r="I27" s="227">
        <f>SUMIFS(Journal_ab_2019!$Q:$Q,Journal_ab_2019!$G:$G,"&lt;=" &amp; UVA!$D27,Journal_ab_2019!$G:$G,"&gt;=" &amp;UVA!$C27,Journal_ab_2019!C:C,"="&amp;"Einnahmen")</f>
        <v/>
      </c>
      <c r="J27" s="16">
        <f>SUMIFS(Journal_ab_2019!$Q:$Q,Journal_ab_2019!$G:$G,"&lt;=" &amp; UVA!$D27,Journal_ab_2019!$G:$G,"&gt;=" &amp;UVA!$C27,Journal_ab_2019!C:C,"="&amp;"Einnahmen")</f>
        <v/>
      </c>
      <c r="K27" s="16">
        <f>SUMIFS(Journal_ab_2019!$Q:$Q,Journal_ab_2019!$G:$G,"&lt;=" &amp; UVA!$D27,Journal_ab_2019!$G:$G,"&gt;=" &amp;UVA!$C27,Journal_ab_2019!$N:$N,"=20",Journal_ab_2019!$C:$C,"="&amp;"Einnahmen")</f>
        <v/>
      </c>
      <c r="L27" s="16">
        <f>SUMIFS(Journal_ab_2019!$P:$P,Journal_ab_2019!$G:$G,"&lt;=" &amp; UVA!$D27,Journal_ab_2019!$G:$G,"&gt;=" &amp;UVA!$C27,Journal_ab_2019!$V:$V,"&lt;&gt;ja",Journal_ab_2019!C:C,"="&amp;"Ausgaben")</f>
        <v/>
      </c>
      <c r="M27" s="16">
        <f>SUMIFS(Journal_ab_2019!$X:$X,Journal_ab_2019!$G:$G,"&lt;=" &amp; UVA!$D27,Journal_ab_2019!$G:$G,"&gt;=" &amp;UVA!$C27,Journal_ab_2019!$V:$V,"&gt;0",Journal_ab_2019!C:C,"="&amp;"Ausgaben")</f>
        <v/>
      </c>
      <c r="N27" s="16">
        <f>SUMIFS(Journal_ab_2019!$Q:$Q,Journal_ab_2019!$G:$G,"&lt;=" &amp; UVA!$D27,Journal_ab_2019!$G:$G,"&gt;=" &amp;UVA!$C27,Journal_ab_2019!$V:$V,"&gt;0",Journal_ab_2019!C:C,"="&amp;"Ausgaben")</f>
        <v/>
      </c>
      <c r="O27" s="16">
        <f>SUMIFS(Journal_ab_2019!$Q:$Q,Journal_ab_2019!$G:$G,"&lt;=" &amp; UVA!$D27,Journal_ab_2019!$G:$G,"&gt;=" &amp;UVA!$C27,Journal_ab_2019!$V:$V,"=20",Journal_ab_2019!C:C,"="&amp;"Ausgaben")</f>
        <v/>
      </c>
    </row>
    <row r="28">
      <c r="A28" t="n">
        <v>2021</v>
      </c>
      <c r="B28" t="n">
        <v>3</v>
      </c>
      <c r="C28" s="1">
        <f>EDATE(C27,3)</f>
        <v/>
      </c>
      <c r="D28" s="1">
        <f>EDATE(C28,3)-1</f>
        <v/>
      </c>
      <c r="E28" s="1">
        <f>voranmeldefrist_vierteljaehrlich(C28+1)</f>
        <v/>
      </c>
      <c r="F28" s="227">
        <f>SUMIFS(Journal_ab_2019!P:P,Journal_ab_2019!G:G,"&lt;=" &amp; UVA!D28,Journal_ab_2019!G:G,"&gt;=" &amp;UVA!C28,Journal_ab_2019!C:C,"="&amp;"Einnahmen")</f>
        <v/>
      </c>
      <c r="G28" s="227">
        <f>SUMIFS(Journal_ab_2019!P:P,Journal_ab_2019!G:G,"&lt;=" &amp; UVA!D28,Journal_ab_2019!G:G,"&gt;=" &amp;UVA!C28,Journal_ab_2019!C:C,"="&amp;"Ausgaben")</f>
        <v/>
      </c>
      <c r="H28" s="227">
        <f>F28-G28</f>
        <v/>
      </c>
      <c r="I28" s="227">
        <f>SUMIFS(Journal_ab_2019!$Q:$Q,Journal_ab_2019!$G:$G,"&lt;=" &amp; UVA!$D28,Journal_ab_2019!$G:$G,"&gt;=" &amp;UVA!$C28,Journal_ab_2019!C:C,"="&amp;"Einnahmen")</f>
        <v/>
      </c>
      <c r="J28" s="16">
        <f>SUMIFS(Journal_ab_2019!$Q:$Q,Journal_ab_2019!$G:$G,"&lt;=" &amp; UVA!$D28,Journal_ab_2019!$G:$G,"&gt;=" &amp;UVA!$C28,Journal_ab_2019!C:C,"="&amp;"Einnahmen")</f>
        <v/>
      </c>
      <c r="K28" s="16">
        <f>SUMIFS(Journal_ab_2019!$Q:$Q,Journal_ab_2019!$G:$G,"&lt;=" &amp; UVA!$D28,Journal_ab_2019!$G:$G,"&gt;=" &amp;UVA!$C28,Journal_ab_2019!$N:$N,"=20",Journal_ab_2019!$C:$C,"="&amp;"Einnahmen")</f>
        <v/>
      </c>
      <c r="L28" s="16">
        <f>SUMIFS(Journal_ab_2019!$P:$P,Journal_ab_2019!$G:$G,"&lt;=" &amp; UVA!$D28,Journal_ab_2019!$G:$G,"&gt;=" &amp;UVA!$C28,Journal_ab_2019!$V:$V,"&lt;&gt;ja",Journal_ab_2019!C:C,"="&amp;"Ausgaben")</f>
        <v/>
      </c>
      <c r="M28" s="16">
        <f>SUMIFS(Journal_ab_2019!$X:$X,Journal_ab_2019!$G:$G,"&lt;=" &amp; UVA!$D28,Journal_ab_2019!$G:$G,"&gt;=" &amp;UVA!$C28,Journal_ab_2019!$V:$V,"&gt;0",Journal_ab_2019!C:C,"="&amp;"Ausgaben")</f>
        <v/>
      </c>
      <c r="N28" s="16">
        <f>SUMIFS(Journal_ab_2019!$Q:$Q,Journal_ab_2019!$G:$G,"&lt;=" &amp; UVA!$D28,Journal_ab_2019!$G:$G,"&gt;=" &amp;UVA!$C28,Journal_ab_2019!$V:$V,"&gt;0",Journal_ab_2019!C:C,"="&amp;"Ausgaben")</f>
        <v/>
      </c>
      <c r="O28" s="16">
        <f>SUMIFS(Journal_ab_2019!$Q:$Q,Journal_ab_2019!$G:$G,"&lt;=" &amp; UVA!$D28,Journal_ab_2019!$G:$G,"&gt;=" &amp;UVA!$C28,Journal_ab_2019!$V:$V,"=20",Journal_ab_2019!C:C,"="&amp;"Ausgaben")</f>
        <v/>
      </c>
    </row>
    <row r="29">
      <c r="A29" t="n">
        <v>2021</v>
      </c>
      <c r="B29" t="n">
        <v>4</v>
      </c>
      <c r="C29" s="1">
        <f>EDATE(C28,3)</f>
        <v/>
      </c>
      <c r="D29" s="1">
        <f>EDATE(C29,3)-1</f>
        <v/>
      </c>
      <c r="E29" s="1">
        <f>voranmeldefrist_vierteljaehrlich(C29+1)</f>
        <v/>
      </c>
      <c r="F29" s="227">
        <f>SUMIFS(Journal_ab_2019!P:P,Journal_ab_2019!G:G,"&lt;=" &amp; UVA!D29,Journal_ab_2019!G:G,"&gt;=" &amp;UVA!C29,Journal_ab_2019!C:C,"="&amp;"Einnahmen")</f>
        <v/>
      </c>
      <c r="G29" s="227">
        <f>SUMIFS(Journal_ab_2019!P:P,Journal_ab_2019!G:G,"&lt;=" &amp; UVA!D29,Journal_ab_2019!G:G,"&gt;=" &amp;UVA!C29,Journal_ab_2019!C:C,"="&amp;"Ausgaben")</f>
        <v/>
      </c>
      <c r="H29" s="227">
        <f>F29-G29</f>
        <v/>
      </c>
      <c r="I29" s="227">
        <f>SUMIFS(Journal_ab_2019!$Q:$Q,Journal_ab_2019!$G:$G,"&lt;=" &amp; UVA!$D29,Journal_ab_2019!$G:$G,"&gt;=" &amp;UVA!$C29,Journal_ab_2019!C:C,"="&amp;"Einnahmen")</f>
        <v/>
      </c>
      <c r="J29" s="16">
        <f>SUMIFS(Journal_ab_2019!$Q:$Q,Journal_ab_2019!$G:$G,"&lt;=" &amp; UVA!$D29,Journal_ab_2019!$G:$G,"&gt;=" &amp;UVA!$C29,Journal_ab_2019!C:C,"="&amp;"Einnahmen")</f>
        <v/>
      </c>
      <c r="K29" s="16">
        <f>SUMIFS(Journal_ab_2019!$Q:$Q,Journal_ab_2019!$G:$G,"&lt;=" &amp; UVA!$D29,Journal_ab_2019!$G:$G,"&gt;=" &amp;UVA!$C29,Journal_ab_2019!$N:$N,"=20",Journal_ab_2019!$C:$C,"="&amp;"Einnahmen")</f>
        <v/>
      </c>
      <c r="L29" s="16">
        <f>SUMIFS(Journal_ab_2019!$P:$P,Journal_ab_2019!$G:$G,"&lt;=" &amp; UVA!$D29,Journal_ab_2019!$G:$G,"&gt;=" &amp;UVA!$C29,Journal_ab_2019!$V:$V,"&lt;&gt;ja",Journal_ab_2019!C:C,"="&amp;"Ausgaben")</f>
        <v/>
      </c>
      <c r="M29" s="16">
        <f>SUMIFS(Journal_ab_2019!$X:$X,Journal_ab_2019!$G:$G,"&lt;=" &amp; UVA!$D29,Journal_ab_2019!$G:$G,"&gt;=" &amp;UVA!$C29,Journal_ab_2019!$V:$V,"&gt;0",Journal_ab_2019!C:C,"="&amp;"Ausgaben")</f>
        <v/>
      </c>
      <c r="N29" s="16">
        <f>SUMIFS(Journal_ab_2019!$Q:$Q,Journal_ab_2019!$G:$G,"&lt;=" &amp; UVA!$D29,Journal_ab_2019!$G:$G,"&gt;=" &amp;UVA!$C29,Journal_ab_2019!$V:$V,"&gt;0",Journal_ab_2019!C:C,"="&amp;"Ausgaben")</f>
        <v/>
      </c>
      <c r="O29" s="16">
        <f>SUMIFS(Journal_ab_2019!$Q:$Q,Journal_ab_2019!$G:$G,"&lt;=" &amp; UVA!$D29,Journal_ab_2019!$G:$G,"&gt;=" &amp;UVA!$C29,Journal_ab_2019!$V:$V,"=20",Journal_ab_2019!C:C,"="&amp;"Ausgaben")</f>
        <v/>
      </c>
    </row>
    <row r="30">
      <c r="A30" t="n">
        <v>2022</v>
      </c>
      <c r="B30" t="n">
        <v>1</v>
      </c>
      <c r="C30" s="1">
        <f>EDATE(C29,3)</f>
        <v/>
      </c>
      <c r="D30" s="1">
        <f>EDATE(C30,3)-1</f>
        <v/>
      </c>
      <c r="E30" s="1">
        <f>voranmeldefrist_vierteljaehrlich(C30+1)</f>
        <v/>
      </c>
      <c r="F30" s="227">
        <f>SUMIFS(Journal_ab_2019!P:P,Journal_ab_2019!G:G,"&lt;=" &amp; UVA!D30,Journal_ab_2019!G:G,"&gt;=" &amp;UVA!C30,Journal_ab_2019!C:C,"="&amp;"Einnahmen")</f>
        <v/>
      </c>
      <c r="G30" s="227">
        <f>SUMIFS(Journal_ab_2019!P:P,Journal_ab_2019!G:G,"&lt;=" &amp; UVA!D30,Journal_ab_2019!G:G,"&gt;=" &amp;UVA!C30,Journal_ab_2019!C:C,"="&amp;"Ausgaben")</f>
        <v/>
      </c>
      <c r="H30" s="227">
        <f>F30-G30</f>
        <v/>
      </c>
      <c r="I30" s="227">
        <f>SUMIFS(Journal_ab_2019!$Q:$Q,Journal_ab_2019!$G:$G,"&lt;=" &amp; UVA!$D30,Journal_ab_2019!$G:$G,"&gt;=" &amp;UVA!$C30,Journal_ab_2019!C:C,"="&amp;"Einnahmen")</f>
        <v/>
      </c>
      <c r="J30" s="16">
        <f>SUMIFS(Journal_ab_2019!$Q:$Q,Journal_ab_2019!$G:$G,"&lt;=" &amp; UVA!$D30,Journal_ab_2019!$G:$G,"&gt;=" &amp;UVA!$C30,Journal_ab_2019!C:C,"="&amp;"Einnahmen")</f>
        <v/>
      </c>
      <c r="K30" s="16">
        <f>SUMIFS(Journal_ab_2019!$Q:$Q,Journal_ab_2019!$G:$G,"&lt;=" &amp; UVA!$D30,Journal_ab_2019!$G:$G,"&gt;=" &amp;UVA!$C30,Journal_ab_2019!$N:$N,"=20",Journal_ab_2019!$C:$C,"="&amp;"Einnahmen")</f>
        <v/>
      </c>
      <c r="L30" s="16">
        <f>SUMIFS(Journal_ab_2019!$P:$P,Journal_ab_2019!$G:$G,"&lt;=" &amp; UVA!$D30,Journal_ab_2019!$G:$G,"&gt;=" &amp;UVA!$C30,Journal_ab_2019!$V:$V,"&lt;&gt;ja",Journal_ab_2019!C:C,"="&amp;"Ausgaben")</f>
        <v/>
      </c>
      <c r="M30" s="16">
        <f>SUMIFS(Journal_ab_2019!$X:$X,Journal_ab_2019!$G:$G,"&lt;=" &amp; UVA!$D30,Journal_ab_2019!$G:$G,"&gt;=" &amp;UVA!$C30,Journal_ab_2019!$V:$V,"&gt;0",Journal_ab_2019!C:C,"="&amp;"Ausgaben")</f>
        <v/>
      </c>
      <c r="N30" s="16">
        <f>SUMIFS(Journal_ab_2019!$Q:$Q,Journal_ab_2019!$G:$G,"&lt;=" &amp; UVA!$D30,Journal_ab_2019!$G:$G,"&gt;=" &amp;UVA!$C30,Journal_ab_2019!$V:$V,"&gt;0",Journal_ab_2019!C:C,"="&amp;"Ausgaben")</f>
        <v/>
      </c>
      <c r="O30" s="16">
        <f>SUMIFS(Journal_ab_2019!$Q:$Q,Journal_ab_2019!$G:$G,"&lt;=" &amp; UVA!$D30,Journal_ab_2019!$G:$G,"&gt;=" &amp;UVA!$C30,Journal_ab_2019!$V:$V,"=20",Journal_ab_2019!C:C,"="&amp;"Ausgaben")</f>
        <v/>
      </c>
    </row>
    <row r="31">
      <c r="A31" t="n">
        <v>2022</v>
      </c>
      <c r="B31" t="n">
        <v>2</v>
      </c>
      <c r="C31" s="1">
        <f>EDATE(C30,3)</f>
        <v/>
      </c>
      <c r="D31" s="1">
        <f>EDATE(C31,3)-1</f>
        <v/>
      </c>
      <c r="E31" s="1">
        <f>voranmeldefrist_vierteljaehrlich(C31+1)</f>
        <v/>
      </c>
      <c r="F31" s="227">
        <f>SUMIFS(Journal_ab_2019!P:P,Journal_ab_2019!G:G,"&lt;=" &amp; UVA!D31,Journal_ab_2019!G:G,"&gt;=" &amp;UVA!C31,Journal_ab_2019!C:C,"="&amp;"Einnahmen")</f>
        <v/>
      </c>
      <c r="G31" s="227">
        <f>SUMIFS(Journal_ab_2019!P:P,Journal_ab_2019!G:G,"&lt;=" &amp; UVA!D31,Journal_ab_2019!G:G,"&gt;=" &amp;UVA!C31,Journal_ab_2019!C:C,"="&amp;"Ausgaben")</f>
        <v/>
      </c>
      <c r="H31" s="227">
        <f>F31-G31</f>
        <v/>
      </c>
      <c r="I31" s="227">
        <f>SUMIFS(Journal_ab_2019!$Q:$Q,Journal_ab_2019!$G:$G,"&lt;=" &amp; UVA!$D31,Journal_ab_2019!$G:$G,"&gt;=" &amp;UVA!$C31,Journal_ab_2019!C:C,"="&amp;"Einnahmen")</f>
        <v/>
      </c>
      <c r="J31" s="16">
        <f>SUMIFS(Journal_ab_2019!$Q:$Q,Journal_ab_2019!$G:$G,"&lt;=" &amp; UVA!$D31,Journal_ab_2019!$G:$G,"&gt;=" &amp;UVA!$C31,Journal_ab_2019!C:C,"="&amp;"Einnahmen")</f>
        <v/>
      </c>
      <c r="K31" s="16">
        <f>SUMIFS(Journal_ab_2019!$Q:$Q,Journal_ab_2019!$G:$G,"&lt;=" &amp; UVA!$D31,Journal_ab_2019!$G:$G,"&gt;=" &amp;UVA!$C31,Journal_ab_2019!$N:$N,"=20",Journal_ab_2019!$C:$C,"="&amp;"Einnahmen")</f>
        <v/>
      </c>
      <c r="L31" s="16">
        <f>SUMIFS(Journal_ab_2019!$P:$P,Journal_ab_2019!$G:$G,"&lt;=" &amp; UVA!$D31,Journal_ab_2019!$G:$G,"&gt;=" &amp;UVA!$C31,Journal_ab_2019!$V:$V,"&lt;&gt;ja",Journal_ab_2019!C:C,"="&amp;"Ausgaben")</f>
        <v/>
      </c>
      <c r="M31" s="16">
        <f>SUMIFS(Journal_ab_2019!$X:$X,Journal_ab_2019!$G:$G,"&lt;=" &amp; UVA!$D31,Journal_ab_2019!$G:$G,"&gt;=" &amp;UVA!$C31,Journal_ab_2019!$V:$V,"&gt;0",Journal_ab_2019!C:C,"="&amp;"Ausgaben")</f>
        <v/>
      </c>
      <c r="N31" s="16">
        <f>SUMIFS(Journal_ab_2019!$Q:$Q,Journal_ab_2019!$G:$G,"&lt;=" &amp; UVA!$D31,Journal_ab_2019!$G:$G,"&gt;=" &amp;UVA!$C31,Journal_ab_2019!$V:$V,"&gt;0",Journal_ab_2019!C:C,"="&amp;"Ausgaben")</f>
        <v/>
      </c>
      <c r="O31" s="16">
        <f>SUMIFS(Journal_ab_2019!$Q:$Q,Journal_ab_2019!$G:$G,"&lt;=" &amp; UVA!$D31,Journal_ab_2019!$G:$G,"&gt;=" &amp;UVA!$C31,Journal_ab_2019!$V:$V,"=20",Journal_ab_2019!C:C,"="&amp;"Ausgaben")</f>
        <v/>
      </c>
    </row>
    <row r="32">
      <c r="A32" t="n">
        <v>2022</v>
      </c>
      <c r="B32" t="n">
        <v>3</v>
      </c>
      <c r="C32" s="1">
        <f>EDATE(C31,3)</f>
        <v/>
      </c>
      <c r="D32" s="1">
        <f>EDATE(C32,3)-1</f>
        <v/>
      </c>
      <c r="E32" s="1">
        <f>voranmeldefrist_vierteljaehrlich(C32+1)</f>
        <v/>
      </c>
      <c r="F32" s="227">
        <f>SUMIFS(Journal_ab_2019!P:P,Journal_ab_2019!G:G,"&lt;=" &amp; UVA!D32,Journal_ab_2019!G:G,"&gt;=" &amp;UVA!C32,Journal_ab_2019!C:C,"="&amp;"Einnahmen")</f>
        <v/>
      </c>
      <c r="G32" s="227">
        <f>SUMIFS(Journal_ab_2019!P:P,Journal_ab_2019!G:G,"&lt;=" &amp; UVA!D32,Journal_ab_2019!G:G,"&gt;=" &amp;UVA!C32,Journal_ab_2019!C:C,"="&amp;"Ausgaben")</f>
        <v/>
      </c>
      <c r="H32" s="227">
        <f>F32-G32</f>
        <v/>
      </c>
      <c r="I32" s="227">
        <f>SUMIFS(Journal_ab_2019!$Q:$Q,Journal_ab_2019!$G:$G,"&lt;=" &amp; UVA!$D32,Journal_ab_2019!$G:$G,"&gt;=" &amp;UVA!$C32,Journal_ab_2019!C:C,"="&amp;"Einnahmen")</f>
        <v/>
      </c>
      <c r="J32" s="16">
        <f>SUMIFS(Journal_ab_2019!$Q:$Q,Journal_ab_2019!$G:$G,"&lt;=" &amp; UVA!$D32,Journal_ab_2019!$G:$G,"&gt;=" &amp;UVA!$C32,Journal_ab_2019!C:C,"="&amp;"Einnahmen")</f>
        <v/>
      </c>
      <c r="K32" s="16">
        <f>SUMIFS(Journal_ab_2019!$Q:$Q,Journal_ab_2019!$G:$G,"&lt;=" &amp; UVA!$D32,Journal_ab_2019!$G:$G,"&gt;=" &amp;UVA!$C32,Journal_ab_2019!$N:$N,"=20",Journal_ab_2019!$C:$C,"="&amp;"Einnahmen")</f>
        <v/>
      </c>
      <c r="L32" s="16">
        <f>SUMIFS(Journal_ab_2019!$P:$P,Journal_ab_2019!$G:$G,"&lt;=" &amp; UVA!$D32,Journal_ab_2019!$G:$G,"&gt;=" &amp;UVA!$C32,Journal_ab_2019!$V:$V,"&lt;&gt;ja",Journal_ab_2019!C:C,"="&amp;"Ausgaben")</f>
        <v/>
      </c>
      <c r="M32" s="16">
        <f>SUMIFS(Journal_ab_2019!$X:$X,Journal_ab_2019!$G:$G,"&lt;=" &amp; UVA!$D32,Journal_ab_2019!$G:$G,"&gt;=" &amp;UVA!$C32,Journal_ab_2019!$V:$V,"&gt;0",Journal_ab_2019!C:C,"="&amp;"Ausgaben")</f>
        <v/>
      </c>
      <c r="N32" s="16">
        <f>SUMIFS(Journal_ab_2019!$Q:$Q,Journal_ab_2019!$G:$G,"&lt;=" &amp; UVA!$D32,Journal_ab_2019!$G:$G,"&gt;=" &amp;UVA!$C32,Journal_ab_2019!$V:$V,"&gt;0",Journal_ab_2019!C:C,"="&amp;"Ausgaben")</f>
        <v/>
      </c>
      <c r="O32" s="16">
        <f>SUMIFS(Journal_ab_2019!$Q:$Q,Journal_ab_2019!$G:$G,"&lt;=" &amp; UVA!$D32,Journal_ab_2019!$G:$G,"&gt;=" &amp;UVA!$C32,Journal_ab_2019!$V:$V,"=20",Journal_ab_2019!C:C,"="&amp;"Ausgaben")</f>
        <v/>
      </c>
    </row>
    <row r="33">
      <c r="A33" t="n">
        <v>2022</v>
      </c>
      <c r="B33" t="n">
        <v>4</v>
      </c>
      <c r="C33" s="1">
        <f>EDATE(C32,3)</f>
        <v/>
      </c>
      <c r="D33" s="1">
        <f>EDATE(C33,3)-1</f>
        <v/>
      </c>
      <c r="E33" s="1">
        <f>voranmeldefrist_vierteljaehrlich(C33+1)</f>
        <v/>
      </c>
      <c r="F33" s="227">
        <f>SUMIFS(Journal_ab_2019!P:P,Journal_ab_2019!G:G,"&lt;=" &amp; UVA!D33,Journal_ab_2019!G:G,"&gt;=" &amp;UVA!C33,Journal_ab_2019!C:C,"="&amp;"Einnahmen")</f>
        <v/>
      </c>
      <c r="G33" s="227">
        <f>SUMIFS(Journal_ab_2019!P:P,Journal_ab_2019!G:G,"&lt;=" &amp; UVA!D33,Journal_ab_2019!G:G,"&gt;=" &amp;UVA!C33,Journal_ab_2019!C:C,"="&amp;"Ausgaben")</f>
        <v/>
      </c>
      <c r="H33" s="227">
        <f>F33-G33</f>
        <v/>
      </c>
      <c r="I33" s="227">
        <f>SUMIFS(Journal_ab_2019!$Q:$Q,Journal_ab_2019!$G:$G,"&lt;=" &amp; UVA!$D33,Journal_ab_2019!$G:$G,"&gt;=" &amp;UVA!$C33,Journal_ab_2019!C:C,"="&amp;"Einnahmen")</f>
        <v/>
      </c>
      <c r="J33" s="16">
        <f>SUMIFS(Journal_ab_2019!$Q:$Q,Journal_ab_2019!$G:$G,"&lt;=" &amp; UVA!$D33,Journal_ab_2019!$G:$G,"&gt;=" &amp;UVA!$C33,Journal_ab_2019!C:C,"="&amp;"Einnahmen")</f>
        <v/>
      </c>
      <c r="K33" s="16">
        <f>SUMIFS(Journal_ab_2019!$Q:$Q,Journal_ab_2019!$G:$G,"&lt;=" &amp; UVA!$D33,Journal_ab_2019!$G:$G,"&gt;=" &amp;UVA!$C33,Journal_ab_2019!$N:$N,"=20",Journal_ab_2019!$C:$C,"="&amp;"Einnahmen")</f>
        <v/>
      </c>
      <c r="L33" s="16">
        <f>SUMIFS(Journal_ab_2019!$P:$P,Journal_ab_2019!$G:$G,"&lt;=" &amp; UVA!$D33,Journal_ab_2019!$G:$G,"&gt;=" &amp;UVA!$C33,Journal_ab_2019!$V:$V,"&lt;&gt;ja",Journal_ab_2019!C:C,"="&amp;"Ausgaben")</f>
        <v/>
      </c>
      <c r="M33" s="16">
        <f>SUMIFS(Journal_ab_2019!$X:$X,Journal_ab_2019!$G:$G,"&lt;=" &amp; UVA!$D33,Journal_ab_2019!$G:$G,"&gt;=" &amp;UVA!$C33,Journal_ab_2019!$V:$V,"&gt;0",Journal_ab_2019!C:C,"="&amp;"Ausgaben")</f>
        <v/>
      </c>
      <c r="N33" s="16">
        <f>SUMIFS(Journal_ab_2019!$Q:$Q,Journal_ab_2019!$G:$G,"&lt;=" &amp; UVA!$D33,Journal_ab_2019!$G:$G,"&gt;=" &amp;UVA!$C33,Journal_ab_2019!$V:$V,"&gt;0",Journal_ab_2019!C:C,"="&amp;"Ausgaben")</f>
        <v/>
      </c>
      <c r="O33" s="16">
        <f>SUMIFS(Journal_ab_2019!$Q:$Q,Journal_ab_2019!$G:$G,"&lt;=" &amp; UVA!$D33,Journal_ab_2019!$G:$G,"&gt;=" &amp;UVA!$C33,Journal_ab_2019!$V:$V,"=20",Journal_ab_2019!C:C,"="&amp;"Ausgaben")</f>
        <v/>
      </c>
    </row>
  </sheetData>
  <conditionalFormatting sqref="E2">
    <cfRule type="expression" priority="8" dxfId="2">
      <formula>AND(AND($P2&lt;TODAY(),$P2&lt;&gt;""),$Q2="")</formula>
    </cfRule>
  </conditionalFormatting>
  <conditionalFormatting sqref="H1:H21 H34 H36:H1048576">
    <cfRule type="dataBar" priority="7">
      <dataBar>
        <cfvo type="min"/>
        <cfvo type="max"/>
        <color rgb="FFFF555A"/>
      </dataBar>
    </cfRule>
  </conditionalFormatting>
  <conditionalFormatting sqref="H22">
    <cfRule type="dataBar" priority="5">
      <dataBar>
        <cfvo type="min"/>
        <cfvo type="max"/>
        <color rgb="FFFF555A"/>
      </dataBar>
    </cfRule>
  </conditionalFormatting>
  <conditionalFormatting sqref="H23">
    <cfRule type="dataBar" priority="4">
      <dataBar>
        <cfvo type="min"/>
        <cfvo type="max"/>
        <color rgb="FFFF555A"/>
      </dataBar>
    </cfRule>
  </conditionalFormatting>
  <conditionalFormatting sqref="H24">
    <cfRule type="dataBar" priority="3">
      <dataBar>
        <cfvo type="min"/>
        <cfvo type="max"/>
        <color rgb="FFFF555A"/>
      </dataBar>
    </cfRule>
  </conditionalFormatting>
  <conditionalFormatting sqref="H25">
    <cfRule type="dataBar" priority="2">
      <dataBar>
        <cfvo type="min"/>
        <cfvo type="max"/>
        <color rgb="FFFF555A"/>
      </dataBar>
    </cfRule>
  </conditionalFormatting>
  <conditionalFormatting sqref="H26:H33">
    <cfRule type="dataBar" priority="1">
      <dataBar>
        <cfvo type="min"/>
        <cfvo type="max"/>
        <color rgb="FFFF555A"/>
      </dataBar>
    </cfRule>
  </conditionalFormatting>
  <pageMargins left="0.7" right="0.7" top="0.787401575" bottom="0.787401575" header="0.3" footer="0.3"/>
  <pageSetup orientation="portrait" paperSize="9" horizontalDpi="1200" verticalDpi="1200"/>
  <legacyDrawing xmlns:r="http://schemas.openxmlformats.org/officeDocument/2006/relationships" r:id="anysvml"/>
</worksheet>
</file>

<file path=xl/worksheets/sheet12.xml><?xml version="1.0" encoding="utf-8"?>
<worksheet xmlns="http://schemas.openxmlformats.org/spreadsheetml/2006/main">
  <sheetPr codeName="Tabelle9">
    <outlinePr summaryBelow="1" summaryRight="1"/>
    <pageSetUpPr/>
  </sheetPr>
  <dimension ref="A1:E12"/>
  <sheetViews>
    <sheetView workbookViewId="0">
      <selection activeCell="A12" sqref="A12"/>
    </sheetView>
  </sheetViews>
  <sheetFormatPr baseColWidth="10" defaultRowHeight="15"/>
  <sheetData>
    <row r="1">
      <c r="A1" s="180" t="inlineStr">
        <is>
          <t>Jahr</t>
        </is>
      </c>
      <c r="B1" s="180" t="inlineStr">
        <is>
          <t>Bezeichnung</t>
        </is>
      </c>
      <c r="C1" s="180" t="inlineStr">
        <is>
          <t>AfA</t>
        </is>
      </c>
      <c r="D1" s="181" t="n"/>
      <c r="E1" s="181" t="n"/>
    </row>
    <row r="2">
      <c r="A2" s="181" t="n">
        <v>2015</v>
      </c>
      <c r="B2" s="181">
        <f>"AfA " &amp;A2</f>
        <v/>
      </c>
      <c r="C2" s="181">
        <f>SUMPRODUCT((Ausgaben_bis_2018!$Z$2:$Z$100000)*(Ausgaben_bis_2018!$N$2:$N$100000=TRUE)*(YEAR(Ausgaben_bis_2018!$F$2:$F$100000)&lt;AfA!$A2)*(YEAR(Ausgaben_bis_2018!$F$2:$F$100000)+Ausgaben_bis_2018!$K$2:$K$100000&gt;=AfA!$A2))</f>
        <v/>
      </c>
      <c r="D2" s="181" t="n"/>
      <c r="E2" s="182" t="inlineStr">
        <is>
          <t>Falsche Tabelle</t>
        </is>
      </c>
    </row>
    <row r="3">
      <c r="A3" s="181" t="n">
        <v>2016</v>
      </c>
      <c r="B3" s="181">
        <f>"AfA " &amp;A3</f>
        <v/>
      </c>
      <c r="C3" s="181">
        <f>SUMPRODUCT((Ausgaben_bis_2018!$Z$2:$Z$100000)*(Ausgaben_bis_2018!$N$2:$N$100000=TRUE)*(YEAR(Ausgaben_bis_2018!$F$2:$F$100000)&lt;AfA!$A3)*(YEAR(Ausgaben_bis_2018!$F$2:$F$100000)+Ausgaben_bis_2018!$K$2:$K$100000&gt;=AfA!$A3))</f>
        <v/>
      </c>
      <c r="D3" s="181" t="n"/>
      <c r="E3" s="181" t="n"/>
    </row>
    <row r="4">
      <c r="A4" s="181" t="n">
        <v>2017</v>
      </c>
      <c r="B4" s="181">
        <f>"AfA " &amp;A4</f>
        <v/>
      </c>
      <c r="C4" s="181">
        <f>SUMPRODUCT((Ausgaben_bis_2018!$Z$2:$Z$100000)*(Ausgaben_bis_2018!$N$2:$N$100000=TRUE)*(YEAR(Ausgaben_bis_2018!$F$2:$F$100000)&lt;AfA!$A4)*(YEAR(Ausgaben_bis_2018!$F$2:$F$100000)+Ausgaben_bis_2018!$K$2:$K$100000&gt;=AfA!$A4))</f>
        <v/>
      </c>
      <c r="D4" s="181" t="n"/>
      <c r="E4" s="181" t="n"/>
    </row>
    <row r="5">
      <c r="A5" s="181" t="n">
        <v>2018</v>
      </c>
      <c r="B5" s="181">
        <f>"AfA " &amp;A5</f>
        <v/>
      </c>
      <c r="C5" s="181">
        <f>SUMPRODUCT((Ausgaben_bis_2018!$Z$2:$Z$100000)*(Ausgaben_bis_2018!$N$2:$N$100000=TRUE)*(YEAR(Ausgaben_bis_2018!$F$2:$F$100000)&lt;AfA!$A5)*(YEAR(Ausgaben_bis_2018!$F$2:$F$100000)+Ausgaben_bis_2018!$K$2:$K$100000&gt;=AfA!$A5))</f>
        <v/>
      </c>
      <c r="D5" s="181" t="n"/>
      <c r="E5" s="181" t="n"/>
    </row>
    <row r="6">
      <c r="A6" s="181" t="n">
        <v>2019</v>
      </c>
      <c r="B6" s="181">
        <f>"AfA " &amp;A6</f>
        <v/>
      </c>
      <c r="C6" s="181">
        <f>SUMPRODUCT((Ausgaben_bis_2018!$Z$2:$Z$100000)*(Ausgaben_bis_2018!$N$2:$N$100000=TRUE)*(YEAR(Ausgaben_bis_2018!$F$2:$F$100000)&lt;AfA!$A6)*(YEAR(Ausgaben_bis_2018!$F$2:$F$100000)+Ausgaben_bis_2018!$K$2:$K$100000&gt;=AfA!$A6))</f>
        <v/>
      </c>
      <c r="D6" s="181" t="n"/>
      <c r="E6" s="181" t="n"/>
    </row>
    <row r="7">
      <c r="A7" s="181" t="n">
        <v>2020</v>
      </c>
      <c r="B7" s="181">
        <f>"AfA " &amp;A7</f>
        <v/>
      </c>
      <c r="C7" s="181">
        <f>SUMPRODUCT((Ausgaben_bis_2018!$Z$2:$Z$100000)*(Ausgaben_bis_2018!$N$2:$N$100000=TRUE)*(YEAR(Ausgaben_bis_2018!$F$2:$F$100000)&lt;AfA!$A7)*(YEAR(Ausgaben_bis_2018!$F$2:$F$100000)+Ausgaben_bis_2018!$K$2:$K$100000&gt;=AfA!$A7))</f>
        <v/>
      </c>
      <c r="D7" s="181" t="n"/>
      <c r="E7" s="181" t="n"/>
    </row>
    <row r="8">
      <c r="A8" s="181" t="n">
        <v>2021</v>
      </c>
      <c r="B8" s="181">
        <f>"AfA " &amp;A8</f>
        <v/>
      </c>
      <c r="C8" s="181">
        <f>SUMPRODUCT((Ausgaben_bis_2018!$Z$2:$Z$100000)*(Ausgaben_bis_2018!$N$2:$N$100000=TRUE)*(YEAR(Ausgaben_bis_2018!$F$2:$F$100000)&lt;AfA!$A8)*(YEAR(Ausgaben_bis_2018!$F$2:$F$100000)+Ausgaben_bis_2018!$K$2:$K$100000&gt;=AfA!$A8))</f>
        <v/>
      </c>
      <c r="D8" s="181" t="n"/>
      <c r="E8" s="181" t="n"/>
    </row>
    <row r="12">
      <c r="C12" t="inlineStr">
        <is>
          <t>Bitte Spalte AfA im Journal und Tabellenblatt Anlagenverzeichnis im jährlichen StB Excel für Abschreibung heranziehen</t>
        </is>
      </c>
    </row>
  </sheetData>
  <pageMargins left="0.7" right="0.7" top="0.787401575" bottom="0.787401575" header="0.3" footer="0.3"/>
  <pageSetup orientation="portrait" paperSize="9"/>
</worksheet>
</file>

<file path=xl/worksheets/sheet13.xml><?xml version="1.0" encoding="utf-8"?>
<worksheet xmlns="http://schemas.openxmlformats.org/spreadsheetml/2006/main">
  <sheetPr codeName="Tabelle26">
    <outlinePr summaryBelow="1" summaryRight="1"/>
    <pageSetUpPr/>
  </sheetPr>
  <dimension ref="A1:W19"/>
  <sheetViews>
    <sheetView workbookViewId="0">
      <pane xSplit="1" ySplit="1" topLeftCell="E2" activePane="bottomRight" state="frozen"/>
      <selection pane="topRight" activeCell="B1" sqref="B1"/>
      <selection pane="bottomLeft" activeCell="A2" sqref="A2"/>
      <selection pane="bottomRight" activeCell="I9" sqref="I9"/>
    </sheetView>
  </sheetViews>
  <sheetFormatPr baseColWidth="10" defaultRowHeight="15"/>
  <cols>
    <col width="5" bestFit="1" customWidth="1" style="141" min="1" max="1"/>
    <col width="8.28515625" customWidth="1" min="2" max="2"/>
    <col width="11.85546875" bestFit="1" customWidth="1" style="214" min="3" max="3"/>
    <col width="11.85546875" customWidth="1" style="214" min="4" max="7"/>
    <col width="11.85546875" bestFit="1" customWidth="1" style="214" min="8" max="8"/>
    <col width="11.85546875" customWidth="1" style="214" min="9" max="10"/>
    <col width="11.85546875" bestFit="1" customWidth="1" min="12" max="12"/>
    <col width="11.85546875" customWidth="1" min="13" max="13"/>
    <col width="11.85546875" bestFit="1" customWidth="1" min="14" max="14"/>
    <col width="14.140625" bestFit="1" customWidth="1" min="16" max="16"/>
  </cols>
  <sheetData>
    <row r="1" customFormat="1" s="2">
      <c r="A1" s="141" t="inlineStr">
        <is>
          <t>Jahr</t>
        </is>
      </c>
      <c r="B1" s="2" t="inlineStr">
        <is>
          <t>Monate</t>
        </is>
      </c>
      <c r="C1" s="247" t="inlineStr">
        <is>
          <t>VE lt EStB</t>
        </is>
      </c>
      <c r="D1" s="247" t="inlineStr">
        <is>
          <t>V Q1</t>
        </is>
      </c>
      <c r="E1" s="247" t="inlineStr">
        <is>
          <t>V Q2</t>
        </is>
      </c>
      <c r="F1" s="247" t="inlineStr">
        <is>
          <t>V Q3</t>
        </is>
      </c>
      <c r="G1" s="247" t="inlineStr">
        <is>
          <t>V Q4</t>
        </is>
      </c>
      <c r="H1" s="248" t="inlineStr">
        <is>
          <t>vorgeschrieben</t>
        </is>
      </c>
      <c r="I1" s="249" t="inlineStr">
        <is>
          <t>Nachbemessung</t>
        </is>
      </c>
      <c r="J1" s="249" t="inlineStr">
        <is>
          <t>endgültiger Beitrag (v+N)</t>
        </is>
      </c>
      <c r="K1" s="2" t="inlineStr">
        <is>
          <t>EMBG</t>
        </is>
      </c>
      <c r="L1" s="2" t="inlineStr">
        <is>
          <t>tats.bezahlt</t>
        </is>
      </c>
      <c r="N1" s="64" t="inlineStr">
        <is>
          <t>PV %</t>
        </is>
      </c>
      <c r="O1" s="247" t="inlineStr">
        <is>
          <t>PV min</t>
        </is>
      </c>
      <c r="P1" s="247" t="inlineStr">
        <is>
          <t>PV</t>
        </is>
      </c>
      <c r="Q1" s="64" t="inlineStr">
        <is>
          <t>KV %</t>
        </is>
      </c>
      <c r="R1" s="247" t="inlineStr">
        <is>
          <t>KV min</t>
        </is>
      </c>
      <c r="S1" s="247" t="inlineStr">
        <is>
          <t>KV</t>
        </is>
      </c>
      <c r="T1" s="247" t="inlineStr">
        <is>
          <t>UV</t>
        </is>
      </c>
      <c r="U1" s="247" t="inlineStr">
        <is>
          <t>SVS %</t>
        </is>
      </c>
      <c r="V1" s="247" t="inlineStr">
        <is>
          <t>SVS min</t>
        </is>
      </c>
      <c r="W1" s="247" t="inlineStr">
        <is>
          <t>SVo</t>
        </is>
      </c>
    </row>
    <row r="2" customFormat="1" s="2">
      <c r="A2" s="141" t="n">
        <v>2014</v>
      </c>
      <c r="C2" s="247" t="n"/>
      <c r="D2" s="247" t="n"/>
      <c r="E2" s="247" t="n"/>
      <c r="F2" s="247" t="n"/>
      <c r="G2" s="247" t="n"/>
      <c r="H2" s="249" t="n"/>
      <c r="I2" s="249" t="n"/>
      <c r="J2" s="249" t="n"/>
      <c r="O2" s="214" t="n"/>
      <c r="P2" s="214" t="n"/>
      <c r="R2" s="214" t="n"/>
      <c r="S2" s="214" t="n"/>
      <c r="T2" s="214" t="n"/>
      <c r="U2" s="214" t="n"/>
      <c r="V2" s="214" t="n"/>
      <c r="W2" s="214" t="n"/>
    </row>
    <row r="3">
      <c r="A3" s="141" t="n">
        <v>2015</v>
      </c>
      <c r="B3" t="n">
        <v>6</v>
      </c>
      <c r="C3" s="214" t="n">
        <v>11077.72</v>
      </c>
      <c r="H3" s="233" t="n">
        <v>984.41</v>
      </c>
      <c r="I3" s="233" t="n"/>
      <c r="J3" s="233">
        <f>H3+I3</f>
        <v/>
      </c>
      <c r="K3" s="229">
        <f>(C3+H3)/B3</f>
        <v/>
      </c>
      <c r="L3" s="214">
        <f>SUMIFS(Ausgaben_bis_2018!$T:$T,Ausgaben_bis_2018!$F:$F,"&gt;=01.01."&amp;$A3,Ausgaben_bis_2018!$F:$F,"&lt;=31.12."&amp;$A3, Ausgaben_bis_2018!$H:$H,"=Sozialversicherungsanstalt der gewerblichen Wirtschaft, Landesstelle Wien, Wiedner Hauptstraße 84-86, A-1051 Wien")</f>
        <v/>
      </c>
      <c r="M3" s="214">
        <f>L3-I3-H3</f>
        <v/>
      </c>
      <c r="N3" s="98" t="n">
        <v>0.185</v>
      </c>
      <c r="O3" s="233" t="n">
        <v>106.26</v>
      </c>
      <c r="P3" s="214">
        <f>MAX(106.26,N3*L3)</f>
        <v/>
      </c>
      <c r="Q3" s="98" t="n">
        <v>0</v>
      </c>
      <c r="R3" s="233" t="n">
        <v>31.32</v>
      </c>
      <c r="S3" s="214">
        <f>MAX(31.32,Q3*L3)</f>
        <v/>
      </c>
      <c r="T3" s="233" t="n">
        <v>10.09</v>
      </c>
      <c r="U3" s="98" t="n">
        <v>0.0153</v>
      </c>
      <c r="V3" s="233" t="n">
        <v>7.05</v>
      </c>
      <c r="W3" s="214">
        <f>U3*L3</f>
        <v/>
      </c>
    </row>
    <row r="4">
      <c r="A4" s="141" t="n">
        <v>2016</v>
      </c>
      <c r="B4" t="n">
        <v>12</v>
      </c>
      <c r="C4" s="214" t="n">
        <v>46312.91</v>
      </c>
      <c r="H4" s="233" t="n">
        <v>1987.8</v>
      </c>
      <c r="I4" s="233" t="n"/>
      <c r="J4" s="233">
        <f>H4+I4</f>
        <v/>
      </c>
      <c r="K4" s="229">
        <f>(C4+H4)/B4</f>
        <v/>
      </c>
      <c r="L4" s="214">
        <f>SUMIFS(Ausgaben_bis_2018!$T:$T,Ausgaben_bis_2018!$F:$F,"&gt;=01.01."&amp;$A4,Ausgaben_bis_2018!$F:$F,"&lt;=31.12."&amp;$A4, Ausgaben_bis_2018!$H:$H,"=Sozialversicherungsanstalt der gewerblichen Wirtschaft, Landesstelle Wien, Wiedner Hauptstraße 84-86, A-1051 Wien")</f>
        <v/>
      </c>
      <c r="M4" s="214">
        <f>M3+L4-I4-H4</f>
        <v/>
      </c>
      <c r="N4" s="98" t="n">
        <v>0.185</v>
      </c>
      <c r="O4" s="233" t="n">
        <v>106.26</v>
      </c>
      <c r="P4" s="214">
        <f>MAX(106.26,N4*L4)</f>
        <v/>
      </c>
      <c r="Q4" s="98" t="n">
        <v>0</v>
      </c>
      <c r="R4" s="233" t="n">
        <v>31.32</v>
      </c>
      <c r="S4" s="214">
        <f>MAX(31.32,Q4*L4)</f>
        <v/>
      </c>
      <c r="T4" s="233" t="n">
        <v>10.09</v>
      </c>
      <c r="U4" s="98" t="n">
        <v>0.0153</v>
      </c>
      <c r="V4" s="233" t="n">
        <v>7.05</v>
      </c>
      <c r="W4" s="214">
        <f>U4*L4</f>
        <v/>
      </c>
    </row>
    <row r="5">
      <c r="A5" s="141" t="n">
        <v>2017</v>
      </c>
      <c r="B5" t="n">
        <v>12</v>
      </c>
      <c r="C5" s="214" t="n">
        <v>10334.34</v>
      </c>
      <c r="H5" s="233" t="n">
        <v>1997.04</v>
      </c>
      <c r="I5" s="214" t="n">
        <v>1227.6</v>
      </c>
      <c r="J5" s="233">
        <f>H5+I5</f>
        <v/>
      </c>
      <c r="K5" s="229">
        <f>(C5+H5)/B5</f>
        <v/>
      </c>
      <c r="L5" s="214">
        <f>SUMIFS(Ausgaben_bis_2018!$T:$T,Ausgaben_bis_2018!$F:$F,"&gt;=01.01."&amp;$A5,Ausgaben_bis_2018!$F:$F,"&lt;=31.12."&amp;$A5, Ausgaben_bis_2018!$H:$H,"=Sozialversicherungsanstalt der gewerblichen Wirtschaft, Landesstelle Wien, Wiedner Hauptstraße 84-86, A-1051 Wien")</f>
        <v/>
      </c>
      <c r="M5" s="214">
        <f>M4+L5-I5-H5</f>
        <v/>
      </c>
      <c r="N5" s="98" t="n">
        <v>0.185</v>
      </c>
      <c r="O5" s="233" t="n">
        <v>106.26</v>
      </c>
      <c r="P5" s="214">
        <f>MAX(106.26,N5*L5)</f>
        <v/>
      </c>
      <c r="Q5" s="98" t="n">
        <v>0.0765</v>
      </c>
      <c r="R5" s="233" t="n">
        <v>31.32</v>
      </c>
      <c r="S5" s="214">
        <f>MAX(31.32,Q5*L5)</f>
        <v/>
      </c>
      <c r="T5" s="233" t="n">
        <v>10.09</v>
      </c>
      <c r="U5" s="98" t="n">
        <v>0.0153</v>
      </c>
      <c r="V5" s="233" t="n">
        <v>7.05</v>
      </c>
      <c r="W5" s="214">
        <f>U5*L5</f>
        <v/>
      </c>
    </row>
    <row r="6">
      <c r="A6" s="141" t="n">
        <v>2018</v>
      </c>
      <c r="B6" t="n">
        <v>12</v>
      </c>
      <c r="C6" s="214" t="n">
        <v>21674</v>
      </c>
      <c r="H6" s="233" t="n">
        <v>7369.55</v>
      </c>
      <c r="I6" s="214" t="n">
        <v>1760.4</v>
      </c>
      <c r="J6" s="233">
        <f>H6+I6</f>
        <v/>
      </c>
      <c r="K6" s="229">
        <f>(C6+H6)/B6</f>
        <v/>
      </c>
      <c r="L6" s="214">
        <f>SUMIFS(Ausgaben_bis_2018!$T:$T,Ausgaben_bis_2018!$F:$F,"&gt;=01.01."&amp;$A6,Ausgaben_bis_2018!$F:$F,"&lt;=31.12."&amp;$A6, Ausgaben_bis_2018!$H:$H,"=Sozialversicherungsanstalt der gewerblichen Wirtschaft, Landesstelle Wien, Wiedner Hauptstraße 84-86, A-1051 Wien")</f>
        <v/>
      </c>
      <c r="M6" s="214">
        <f>M5+L6-I6-H6</f>
        <v/>
      </c>
      <c r="N6" s="98" t="n">
        <v>0.185</v>
      </c>
      <c r="O6" s="233" t="n">
        <v>106.26</v>
      </c>
      <c r="P6" s="214">
        <f>MAX(106.26,N6*L6)</f>
        <v/>
      </c>
      <c r="Q6" s="98" t="n">
        <v>0.0765</v>
      </c>
      <c r="R6" s="233" t="n">
        <v>31.32</v>
      </c>
      <c r="S6" s="214">
        <f>MAX(31.32,Q6*L6)</f>
        <v/>
      </c>
      <c r="T6" s="233" t="n">
        <v>10.09</v>
      </c>
      <c r="U6" s="98" t="n">
        <v>0.0153</v>
      </c>
      <c r="V6" s="233" t="n">
        <v>7.05</v>
      </c>
      <c r="W6" s="214">
        <f>U6*L6</f>
        <v/>
      </c>
    </row>
    <row r="7">
      <c r="A7" s="141" t="n">
        <v>2019</v>
      </c>
      <c r="B7" t="n">
        <v>12</v>
      </c>
      <c r="C7" s="214" t="n">
        <v>19046.14</v>
      </c>
      <c r="D7" s="214" t="n">
        <v>3622.44</v>
      </c>
      <c r="E7" s="214" t="n">
        <v>3622.44</v>
      </c>
      <c r="F7" s="214" t="n">
        <v>2451.36</v>
      </c>
      <c r="G7" s="214" t="n">
        <v>2451.36</v>
      </c>
      <c r="H7" s="214">
        <f>SUM(D7:G7)</f>
        <v/>
      </c>
      <c r="I7" s="214" t="n">
        <v>138.12</v>
      </c>
      <c r="J7" s="233">
        <f>H7+I7</f>
        <v/>
      </c>
      <c r="K7" s="229">
        <f>(C7+H7)/B7</f>
        <v/>
      </c>
      <c r="L7" s="214">
        <f>SUMIFS(Journal_ab_2019!$Q:$Q,Journal_ab_2019!$G:$G,"&gt;=01.01."&amp;$A7,Journal_ab_2019!$G:$G,"&lt;=31.12."&amp;$A7, Journal_ab_2019!$H:$H,"=Sozialversicherung der gewerblichen Wirtshaft")</f>
        <v/>
      </c>
      <c r="M7" s="214">
        <f>M6+L7-I7-H7</f>
        <v/>
      </c>
      <c r="N7" s="98" t="n">
        <v>0.185</v>
      </c>
      <c r="O7" s="233" t="n">
        <v>106.26</v>
      </c>
      <c r="P7" s="214">
        <f>MAX(106.26,N7*L7)</f>
        <v/>
      </c>
      <c r="Q7" s="98" t="n">
        <v>0.0765</v>
      </c>
      <c r="R7" s="233" t="n">
        <v>31.32</v>
      </c>
      <c r="S7" s="214">
        <f>MAX(31.32,Q7*L7)</f>
        <v/>
      </c>
      <c r="T7" s="233" t="n">
        <v>10.09</v>
      </c>
      <c r="U7" s="98" t="n">
        <v>0.0153</v>
      </c>
      <c r="V7" s="233" t="n">
        <v>7.05</v>
      </c>
      <c r="W7" s="214">
        <f>U7*L7</f>
        <v/>
      </c>
    </row>
    <row r="8">
      <c r="A8" s="141" t="n">
        <v>2020</v>
      </c>
      <c r="B8" t="n">
        <v>12</v>
      </c>
      <c r="C8" s="214" t="n">
        <v>54845.94</v>
      </c>
      <c r="D8" s="214" t="n">
        <v>925.23</v>
      </c>
      <c r="E8" s="214" t="n">
        <v>925.23</v>
      </c>
      <c r="F8" s="214" t="n">
        <v>925.23</v>
      </c>
      <c r="G8" s="214" t="n">
        <v>925.23</v>
      </c>
      <c r="H8" s="214">
        <f>SUM(D8:G8)</f>
        <v/>
      </c>
      <c r="I8" s="214" t="n">
        <v>12110.28</v>
      </c>
      <c r="J8" s="233">
        <f>H8+I8</f>
        <v/>
      </c>
      <c r="K8" s="229">
        <f>(C8+H8)/B8</f>
        <v/>
      </c>
      <c r="L8" s="214">
        <f>SUMIFS(Journal_ab_2019!$Q:$Q,Journal_ab_2019!$G:$G,"&gt;=01.01."&amp;$A8,Journal_ab_2019!$G:$G,"&lt;=31.12."&amp;$A8, Journal_ab_2019!$H:$H,"=Sozialversicherung der gewerblichen Wirtshaft")</f>
        <v/>
      </c>
      <c r="M8" s="214">
        <f>M7+L8-I8-H8</f>
        <v/>
      </c>
      <c r="N8" s="98" t="n">
        <v>0.185</v>
      </c>
      <c r="O8" s="214" t="n">
        <v>106.26</v>
      </c>
      <c r="P8" s="214">
        <f>MAX(106.26,N8*L8)</f>
        <v/>
      </c>
      <c r="Q8" s="98" t="n">
        <v>0.0765</v>
      </c>
      <c r="R8" s="214" t="n">
        <v>31.32</v>
      </c>
      <c r="S8" s="214">
        <f>MAX(31.32,Q8*L8)</f>
        <v/>
      </c>
      <c r="T8" s="214" t="n">
        <v>10.09</v>
      </c>
      <c r="U8" s="98" t="n">
        <v>0.0153</v>
      </c>
      <c r="V8" s="214" t="n">
        <v>7.05</v>
      </c>
      <c r="W8" s="214">
        <f>U8*L8</f>
        <v/>
      </c>
    </row>
    <row r="9">
      <c r="A9" s="141" t="n">
        <v>2021</v>
      </c>
      <c r="B9" t="n">
        <v>12</v>
      </c>
      <c r="D9" s="214" t="n">
        <v>2146.89</v>
      </c>
      <c r="E9" s="214" t="n">
        <v>2146.89</v>
      </c>
      <c r="F9" s="214" t="n">
        <v>2146.89</v>
      </c>
      <c r="G9" s="214" t="n">
        <v>2146.89</v>
      </c>
      <c r="H9" s="214">
        <f>SUM(D9:G9)</f>
        <v/>
      </c>
      <c r="I9" s="233" t="n">
        <v>7230</v>
      </c>
      <c r="J9" s="233">
        <f>H9+I9</f>
        <v/>
      </c>
      <c r="K9" s="229">
        <f>(C9+H9)/B9</f>
        <v/>
      </c>
      <c r="L9" s="214">
        <f>SUMIFS(Journal_ab_2019!$Q:$Q,Journal_ab_2019!$G:$G,"&gt;=01.01."&amp;$A9,Journal_ab_2019!$G:$G,"&lt;=31.12."&amp;$A9, Journal_ab_2019!$H:$H,"=Sozialversicherung der gewerblichen Wirtshaft")</f>
        <v/>
      </c>
      <c r="M9" s="214">
        <f>M8+L9-I9-H9</f>
        <v/>
      </c>
      <c r="N9" s="98" t="n">
        <v>0.185</v>
      </c>
      <c r="O9" s="214" t="n">
        <v>106.26</v>
      </c>
      <c r="P9" s="214">
        <f>MAX(106.26,N9*L9)</f>
        <v/>
      </c>
      <c r="Q9" s="98" t="n">
        <v>0.0765</v>
      </c>
      <c r="R9" s="214" t="n">
        <v>31.32</v>
      </c>
      <c r="S9" s="214">
        <f>MAX(31.32,Q9*L9)</f>
        <v/>
      </c>
      <c r="T9" s="214" t="n">
        <v>10.09</v>
      </c>
      <c r="U9" s="98" t="n">
        <v>0.0153</v>
      </c>
      <c r="V9" s="214" t="n">
        <v>7.05</v>
      </c>
      <c r="W9" s="214">
        <f>U9*L9</f>
        <v/>
      </c>
    </row>
    <row r="10">
      <c r="A10" s="141" t="n">
        <v>2022</v>
      </c>
      <c r="B10" t="n">
        <v>12</v>
      </c>
      <c r="K10" s="229">
        <f>(C10+H10)/B10</f>
        <v/>
      </c>
      <c r="L10" s="214">
        <f>SUMIFS(Journal_ab_2019!$Q:$Q,Journal_ab_2019!$G:$G,"&gt;=01.01."&amp;$A10,Journal_ab_2019!$G:$G,"&lt;=31.12."&amp;$A10, Journal_ab_2019!$H:$H,"=Sozialversicherung der gewerblichen Wirtshaft")</f>
        <v/>
      </c>
      <c r="M10" s="214">
        <f>M9+L10-I10-H10</f>
        <v/>
      </c>
    </row>
    <row r="14">
      <c r="H14" s="214">
        <f>2451.36*2+3622.44*2</f>
        <v/>
      </c>
    </row>
    <row r="19">
      <c r="A19" s="141" t="inlineStr">
        <is>
          <t>Summe</t>
        </is>
      </c>
      <c r="H19">
        <f>SUM(H2:H18)</f>
        <v/>
      </c>
      <c r="I19">
        <f>SUM(I2:I18)</f>
        <v/>
      </c>
      <c r="J19">
        <f>SUM(J2:J18)</f>
        <v/>
      </c>
      <c r="L19">
        <f>SUM(L2:L18)</f>
        <v/>
      </c>
      <c r="M19">
        <f>L19-J19</f>
        <v/>
      </c>
    </row>
  </sheetData>
  <pageMargins left="0.7" right="0.7" top="0.787401575" bottom="0.787401575" header="0.3" footer="0.3"/>
  <pageSetup orientation="portrait" paperSize="9"/>
  <legacyDrawing xmlns:r="http://schemas.openxmlformats.org/officeDocument/2006/relationships" r:id="anysvml"/>
</worksheet>
</file>

<file path=xl/worksheets/sheet14.xml><?xml version="1.0" encoding="utf-8"?>
<worksheet xmlns="http://schemas.openxmlformats.org/spreadsheetml/2006/main">
  <sheetPr codeName="Tabelle20">
    <outlinePr summaryBelow="1" summaryRight="1"/>
    <pageSetUpPr/>
  </sheetPr>
  <dimension ref="A1:T9"/>
  <sheetViews>
    <sheetView workbookViewId="0">
      <pane xSplit="1" ySplit="1" topLeftCell="B2" activePane="bottomRight" state="frozen"/>
      <selection pane="topRight" activeCell="B1" sqref="B1"/>
      <selection pane="bottomLeft" activeCell="A2" sqref="A2"/>
      <selection pane="bottomRight" activeCell="B9" sqref="B9"/>
    </sheetView>
  </sheetViews>
  <sheetFormatPr baseColWidth="10" defaultRowHeight="15"/>
  <cols>
    <col width="11.85546875" bestFit="1" customWidth="1" style="214" min="2" max="3"/>
    <col width="16.28515625" bestFit="1" customWidth="1" style="214" min="5" max="5"/>
    <col width="11.85546875" customWidth="1" style="214" min="6" max="6"/>
    <col width="11.85546875" bestFit="1" customWidth="1" style="214" min="7" max="7"/>
    <col width="11.5703125" bestFit="1" customWidth="1" style="214" min="8" max="8"/>
    <col width="11.85546875" bestFit="1" customWidth="1" min="9" max="9"/>
    <col width="11.85546875" bestFit="1" customWidth="1" min="11" max="11"/>
    <col width="11.85546875" customWidth="1" style="214" min="12" max="12"/>
    <col width="11.42578125" customWidth="1" style="214" min="13" max="13"/>
    <col width="11.42578125" customWidth="1" style="214" min="15" max="20"/>
  </cols>
  <sheetData>
    <row r="1" customFormat="1" s="64">
      <c r="A1" s="64" t="inlineStr">
        <is>
          <t>Jahr</t>
        </is>
      </c>
      <c r="B1" s="247" t="inlineStr">
        <is>
          <t>VE lt EStB</t>
        </is>
      </c>
      <c r="C1" s="247" t="inlineStr">
        <is>
          <t>ESt lt. EStB</t>
        </is>
      </c>
      <c r="D1" s="64" t="inlineStr">
        <is>
          <t>Monate</t>
        </is>
      </c>
      <c r="E1" s="247" t="inlineStr">
        <is>
          <t>vorgeschrieben</t>
        </is>
      </c>
      <c r="F1" s="247" t="inlineStr">
        <is>
          <t>bezahlt</t>
        </is>
      </c>
      <c r="G1" s="247" t="inlineStr">
        <is>
          <t>endgültig</t>
        </is>
      </c>
      <c r="H1" s="247" t="inlineStr">
        <is>
          <t>Saldo</t>
        </is>
      </c>
      <c r="I1" s="64" t="inlineStr">
        <is>
          <t>SV Ges ber</t>
        </is>
      </c>
      <c r="J1" s="64" t="inlineStr">
        <is>
          <t>EMBG</t>
        </is>
      </c>
      <c r="K1" s="64" t="inlineStr">
        <is>
          <t>PV %</t>
        </is>
      </c>
      <c r="L1" s="247" t="inlineStr">
        <is>
          <t>PV min</t>
        </is>
      </c>
      <c r="M1" s="247" t="inlineStr">
        <is>
          <t>PV</t>
        </is>
      </c>
      <c r="N1" s="64" t="inlineStr">
        <is>
          <t>KV %</t>
        </is>
      </c>
      <c r="O1" s="247" t="inlineStr">
        <is>
          <t>KV min</t>
        </is>
      </c>
      <c r="P1" s="247" t="inlineStr">
        <is>
          <t>KV</t>
        </is>
      </c>
      <c r="Q1" s="247" t="inlineStr">
        <is>
          <t>UV</t>
        </is>
      </c>
      <c r="R1" s="247" t="inlineStr">
        <is>
          <t>SVS %</t>
        </is>
      </c>
      <c r="S1" s="247" t="inlineStr">
        <is>
          <t>SVS min</t>
        </is>
      </c>
      <c r="T1" s="247" t="inlineStr">
        <is>
          <t>SVo</t>
        </is>
      </c>
    </row>
    <row r="2">
      <c r="A2" t="n">
        <v>2014</v>
      </c>
      <c r="B2" s="214" t="n">
        <v>27503</v>
      </c>
      <c r="C2" s="214" t="n">
        <v>-99</v>
      </c>
      <c r="D2" t="n">
        <v>0</v>
      </c>
    </row>
    <row r="3">
      <c r="A3" t="n">
        <v>2015</v>
      </c>
      <c r="B3" s="214" t="n">
        <v>11017.72</v>
      </c>
      <c r="C3" s="214" t="n">
        <v>1828</v>
      </c>
      <c r="D3" t="n">
        <v>7</v>
      </c>
      <c r="E3" s="214" t="n">
        <v>984.41</v>
      </c>
      <c r="F3" s="214">
        <f>SUMIFS(Ausgaben_bis_2018!$T:$T,Ausgaben_bis_2018!$F:$F,"&gt;=01.01."&amp;$A3,Ausgaben_bis_2018!$F:$F,"&lt;=31.12."&amp;$A3, Ausgaben_bis_2018!$H:$H,"=Sozialversicherungsanstalt der gewerblichen Wirtschaft, Landesstelle Wien, Wiedner Hauptstraße 84-86, A-1051 Wien")</f>
        <v/>
      </c>
      <c r="G3" s="214" t="n">
        <v>2231.46</v>
      </c>
      <c r="H3" s="214">
        <f>F3-G3</f>
        <v/>
      </c>
      <c r="I3" s="229">
        <f>D3*(M3+P3+Q3+T3)</f>
        <v/>
      </c>
      <c r="J3" s="229">
        <f>B3/D3</f>
        <v/>
      </c>
      <c r="K3" s="98" t="n">
        <v>0.185</v>
      </c>
      <c r="L3" s="233" t="n">
        <v>106.26</v>
      </c>
      <c r="M3" s="214">
        <f>MAX(106.26,K3*J3)</f>
        <v/>
      </c>
      <c r="N3" s="98" t="n">
        <v>0</v>
      </c>
      <c r="O3" s="233" t="n">
        <v>31.32</v>
      </c>
      <c r="P3" s="214">
        <f>MAX(31.32,N3*J3)</f>
        <v/>
      </c>
      <c r="Q3" s="233" t="n">
        <v>10.09</v>
      </c>
      <c r="R3" s="98" t="n">
        <v>0.0153</v>
      </c>
      <c r="S3" s="233" t="n">
        <v>7.05</v>
      </c>
      <c r="T3" s="214">
        <f>R3*J3</f>
        <v/>
      </c>
    </row>
    <row r="4">
      <c r="A4" t="n">
        <v>2016</v>
      </c>
      <c r="B4" s="214" t="n">
        <v>46252.91</v>
      </c>
      <c r="C4" s="214" t="n">
        <v>12748</v>
      </c>
      <c r="D4" t="n">
        <v>12</v>
      </c>
      <c r="E4" s="214" t="n">
        <v>1987.8</v>
      </c>
      <c r="F4" s="214">
        <f>SUMIFS(Ausgaben_bis_2018!$T:$T,Ausgaben_bis_2018!$F:$F,"&gt;=01.01."&amp;$A4,Ausgaben_bis_2018!$F:$F,"&lt;=31.12."&amp;$A4, Ausgaben_bis_2018!$H:$H,"=Sozialversicherungsanstalt der gewerblichen Wirtschaft, Landesstelle Wien, Wiedner Hauptstraße 84-86, A-1051 Wien")</f>
        <v/>
      </c>
      <c r="G4" s="214" t="n">
        <v>9502.92</v>
      </c>
      <c r="H4" s="214">
        <f>F4-G4+H3</f>
        <v/>
      </c>
      <c r="I4" s="229">
        <f>D4*(M4+P4+Q4+T4)</f>
        <v/>
      </c>
      <c r="J4" s="229">
        <f>B4/D4</f>
        <v/>
      </c>
      <c r="K4" s="98" t="n">
        <v>0.185</v>
      </c>
      <c r="L4" s="233" t="n">
        <v>106.26</v>
      </c>
      <c r="M4" s="214">
        <f>MAX(106.26,K4*J4)</f>
        <v/>
      </c>
      <c r="N4" s="98" t="n">
        <v>0</v>
      </c>
      <c r="O4" s="233" t="n">
        <v>31.32</v>
      </c>
      <c r="P4" s="214">
        <f>MAX(31.32,N4*J4)</f>
        <v/>
      </c>
      <c r="Q4" s="233" t="n">
        <v>10.09</v>
      </c>
      <c r="R4" s="98" t="n">
        <v>0.0153</v>
      </c>
      <c r="S4" s="233" t="n">
        <v>7.05</v>
      </c>
      <c r="T4" s="214">
        <f>R4*J4</f>
        <v/>
      </c>
    </row>
    <row r="5">
      <c r="A5" t="n">
        <v>2017</v>
      </c>
      <c r="B5" s="214" t="n">
        <v>10334.34</v>
      </c>
      <c r="C5" s="214" t="n">
        <v>0</v>
      </c>
      <c r="D5" t="n">
        <v>12</v>
      </c>
      <c r="E5" s="214">
        <f>586.96+556.5+603.64+620.99</f>
        <v/>
      </c>
      <c r="F5" s="214">
        <f>SUMIFS(Ausgaben_bis_2018!$T:$T,Ausgaben_bis_2018!$F:$F,"&gt;=01.01."&amp;$A5,Ausgaben_bis_2018!$F:$F,"&lt;=31.12."&amp;$A5, Ausgaben_bis_2018!$H:$H,"=Sozialversicherungsanstalt der gewerblichen Wirtschaft, Landesstelle Wien, Wiedner Hauptstraße 84-86, A-1051 Wien")</f>
        <v/>
      </c>
      <c r="G5" s="214" t="n">
        <v>3414.72</v>
      </c>
      <c r="H5" s="214">
        <f>F5-G5+H4</f>
        <v/>
      </c>
      <c r="I5" s="229">
        <f>D5*(M5+P5+Q5+T5)</f>
        <v/>
      </c>
      <c r="J5" s="229">
        <f>B5/D5</f>
        <v/>
      </c>
      <c r="K5" s="98" t="n">
        <v>0.185</v>
      </c>
      <c r="L5" s="233" t="n">
        <v>106.26</v>
      </c>
      <c r="M5" s="214">
        <f>MAX(106.26,K5*J5)</f>
        <v/>
      </c>
      <c r="N5" s="98" t="n">
        <v>0.0765</v>
      </c>
      <c r="O5" s="233" t="n">
        <v>31.32</v>
      </c>
      <c r="P5" s="214">
        <f>MAX(31.32,N5*J5)</f>
        <v/>
      </c>
      <c r="Q5" s="233" t="n">
        <v>10.09</v>
      </c>
      <c r="R5" s="98" t="n">
        <v>0.0153</v>
      </c>
      <c r="S5" s="233" t="n">
        <v>7.05</v>
      </c>
      <c r="T5" s="214">
        <f>R5*J5</f>
        <v/>
      </c>
    </row>
    <row r="6">
      <c r="A6" t="n">
        <v>2018</v>
      </c>
      <c r="B6" s="214" t="n">
        <v>21674</v>
      </c>
      <c r="C6" s="214" t="n">
        <v>3131</v>
      </c>
      <c r="D6" t="n">
        <v>12</v>
      </c>
      <c r="E6" s="214">
        <f>1956.52+1959.02+2000.6+1986.5</f>
        <v/>
      </c>
      <c r="F6" s="214">
        <f>SUMIFS(Ausgaben_bis_2018!$T:$T,Ausgaben_bis_2018!$F:$F,"&gt;=01.01."&amp;$A6,Ausgaben_bis_2018!$F:$F,"&lt;=31.12."&amp;$A6, Ausgaben_bis_2018!$H:$H,"=Sozialversicherungsanstalt der gewerblichen Wirtschaft, Landesstelle Wien, Wiedner Hauptstraße 84-86, A-1051 Wien")</f>
        <v/>
      </c>
      <c r="G6" s="214" t="n">
        <v>2420.3</v>
      </c>
      <c r="H6" s="214">
        <f>F6-G6+H5</f>
        <v/>
      </c>
      <c r="I6" s="229">
        <f>D6*(M6+P6+Q6+T6)</f>
        <v/>
      </c>
      <c r="J6" s="229">
        <f>B6/D6</f>
        <v/>
      </c>
      <c r="K6" s="98" t="n">
        <v>0.185</v>
      </c>
      <c r="L6" s="233" t="n">
        <v>106.26</v>
      </c>
      <c r="M6" s="214">
        <f>MAX(106.26,K6*J6)</f>
        <v/>
      </c>
      <c r="N6" s="98" t="n">
        <v>0.0765</v>
      </c>
      <c r="O6" s="233" t="n">
        <v>31.32</v>
      </c>
      <c r="P6" s="214">
        <f>MAX(31.32,N6*J6)</f>
        <v/>
      </c>
      <c r="Q6" s="233" t="n">
        <v>10.09</v>
      </c>
      <c r="R6" s="98" t="n">
        <v>0.0153</v>
      </c>
      <c r="S6" s="233" t="n">
        <v>7.05</v>
      </c>
      <c r="T6" s="214">
        <f>R6*J6</f>
        <v/>
      </c>
    </row>
    <row r="7">
      <c r="A7" t="n">
        <v>2019</v>
      </c>
      <c r="B7" s="214" t="n">
        <v>18986.14</v>
      </c>
      <c r="C7" s="214" t="n">
        <v>1618</v>
      </c>
      <c r="D7" t="n">
        <v>12</v>
      </c>
      <c r="E7" s="214">
        <f>4752.06+5458.62+4286.3+4296.6</f>
        <v/>
      </c>
      <c r="F7" s="214">
        <f>SUMIFS(Journal_ab_2019!$Q:$Q,Journal_ab_2019!$G:$G,"&gt;=01.01."&amp;$A7,Journal_ab_2019!$G:$G,"&lt;=31.12."&amp;$A7, Journal_ab_2019!$H:$H,"=Sozialversicherung der gewerblichen Wirtshaft")</f>
        <v/>
      </c>
      <c r="G7" s="214" t="n">
        <v>2960.67</v>
      </c>
      <c r="H7" s="214">
        <f>F7-G7+H6</f>
        <v/>
      </c>
      <c r="I7" s="229">
        <f>D7*(M7+P7+Q7+T7)</f>
        <v/>
      </c>
      <c r="J7" s="229">
        <f>B7/D7</f>
        <v/>
      </c>
      <c r="K7" s="98" t="n">
        <v>0.185</v>
      </c>
      <c r="L7" s="233" t="n">
        <v>106.26</v>
      </c>
      <c r="M7" s="214">
        <f>MAX(106.26,K7*J7)</f>
        <v/>
      </c>
      <c r="N7" s="98" t="n">
        <v>0.0765</v>
      </c>
      <c r="O7" s="233" t="n">
        <v>31.32</v>
      </c>
      <c r="P7" s="214">
        <f>MAX(31.32,N7*J7)</f>
        <v/>
      </c>
      <c r="Q7" s="233" t="n">
        <v>10.09</v>
      </c>
      <c r="R7" s="98" t="n">
        <v>0.0153</v>
      </c>
      <c r="S7" s="233" t="n">
        <v>7.05</v>
      </c>
      <c r="T7" s="214">
        <f>R7*J7</f>
        <v/>
      </c>
    </row>
    <row r="8">
      <c r="A8" t="n">
        <v>2020</v>
      </c>
      <c r="B8" s="214" t="n">
        <v>59743.02</v>
      </c>
      <c r="C8" s="214" t="n">
        <v>16522</v>
      </c>
      <c r="D8" t="n">
        <v>12</v>
      </c>
      <c r="E8" s="233">
        <f>1676.19+1678.77</f>
        <v/>
      </c>
      <c r="F8" s="214">
        <f>SUMIFS(Journal_ab_2019!$Q:$Q,Journal_ab_2019!$G:$G,"&gt;=01.01."&amp;$A8,Journal_ab_2019!$G:$G,"&lt;=31.12."&amp;$A8, Journal_ab_2019!$H:$H,"=Sozialversicherung der gewerblichen Wirtshaft")</f>
        <v/>
      </c>
      <c r="G8" s="214" t="n">
        <v>5100.81</v>
      </c>
      <c r="H8" s="214">
        <f>F8-G8+H7</f>
        <v/>
      </c>
      <c r="I8" s="229">
        <f>D8*(M8+P8+Q8+T8)</f>
        <v/>
      </c>
      <c r="J8" s="229">
        <f>B8/D8</f>
        <v/>
      </c>
      <c r="K8" s="98" t="n">
        <v>0.185</v>
      </c>
      <c r="L8" s="214" t="n">
        <v>106.26</v>
      </c>
      <c r="M8" s="214">
        <f>MAX(106.26,K8*J8)</f>
        <v/>
      </c>
      <c r="N8" s="98" t="n">
        <v>0.0765</v>
      </c>
      <c r="O8" s="214" t="n">
        <v>31.32</v>
      </c>
      <c r="P8" s="214">
        <f>MAX(31.32,N8*J8)</f>
        <v/>
      </c>
      <c r="Q8" s="214" t="n">
        <v>10.09</v>
      </c>
      <c r="R8" s="98" t="n">
        <v>0.0153</v>
      </c>
      <c r="S8" s="214" t="n">
        <v>7.05</v>
      </c>
      <c r="T8" s="214">
        <f>R8*J8</f>
        <v/>
      </c>
    </row>
    <row r="9">
      <c r="A9" t="n">
        <v>2021</v>
      </c>
      <c r="D9" t="n">
        <v>12</v>
      </c>
      <c r="E9" s="233">
        <f>1676.19+1678.77</f>
        <v/>
      </c>
      <c r="F9" s="214">
        <f>SUMIFS(Journal_ab_2019!$Q:$Q,Journal_ab_2019!$G:$G,"&gt;=01.01."&amp;$A9,Journal_ab_2019!$G:$G,"&lt;=31.12."&amp;$A9, Journal_ab_2019!$H:$H,"=Sozialversicherung der gewerblichen Wirtshaft")</f>
        <v/>
      </c>
      <c r="H9" s="214">
        <f>F9-G9+H8</f>
        <v/>
      </c>
      <c r="I9" s="229">
        <f>D9*(M9+P9+Q9+T9)</f>
        <v/>
      </c>
      <c r="J9" s="229">
        <f>B9/D9</f>
        <v/>
      </c>
      <c r="K9" s="98" t="n">
        <v>0.185</v>
      </c>
      <c r="L9" s="214" t="n">
        <v>106.26</v>
      </c>
      <c r="M9" s="214">
        <f>MAX(106.26,K9*J9)</f>
        <v/>
      </c>
      <c r="N9" s="98" t="n">
        <v>0.0765</v>
      </c>
      <c r="O9" s="214" t="n">
        <v>31.32</v>
      </c>
      <c r="P9" s="214">
        <f>MAX(31.32,N9*J9)</f>
        <v/>
      </c>
      <c r="Q9" s="214" t="n">
        <v>10.09</v>
      </c>
      <c r="R9" s="98" t="n">
        <v>0.0153</v>
      </c>
      <c r="S9" s="214" t="n">
        <v>7.05</v>
      </c>
      <c r="T9" s="214">
        <f>R9*J9</f>
        <v/>
      </c>
    </row>
  </sheetData>
  <conditionalFormatting sqref="B2:B8 B10:B1048576">
    <cfRule type="cellIs" priority="4" operator="greaterThan" dxfId="1">
      <formula>0</formula>
    </cfRule>
  </conditionalFormatting>
  <conditionalFormatting sqref="G2:G8 G10:G1048576">
    <cfRule type="cellIs" priority="3" operator="greaterThan" dxfId="1">
      <formula>0</formula>
    </cfRule>
  </conditionalFormatting>
  <conditionalFormatting sqref="B9">
    <cfRule type="cellIs" priority="2" operator="greaterThan" dxfId="1">
      <formula>0</formula>
    </cfRule>
  </conditionalFormatting>
  <conditionalFormatting sqref="G9">
    <cfRule type="cellIs" priority="1" operator="greaterThan" dxfId="1">
      <formula>0</formula>
    </cfRule>
  </conditionalFormatting>
  <pageMargins left="0.7" right="0.7" top="0.787401575" bottom="0.787401575" header="0.3" footer="0.3"/>
  <pageSetup orientation="portrait" paperSize="9"/>
</worksheet>
</file>

<file path=xl/worksheets/sheet15.xml><?xml version="1.0" encoding="utf-8"?>
<worksheet xmlns="http://schemas.openxmlformats.org/spreadsheetml/2006/main">
  <sheetPr codeName="Tabelle15">
    <outlinePr summaryBelow="1" summaryRight="1"/>
    <pageSetUpPr/>
  </sheetPr>
  <dimension ref="A1:AS1225"/>
  <sheetViews>
    <sheetView zoomScale="115" zoomScaleNormal="115" workbookViewId="0">
      <pane xSplit="7" ySplit="1" topLeftCell="AF960" activePane="bottomRight" state="frozen"/>
      <selection activeCell="C2" sqref="C2"/>
      <selection pane="topRight" activeCell="C2" sqref="C2"/>
      <selection pane="bottomLeft" activeCell="C2" sqref="C2"/>
      <selection pane="bottomRight" activeCell="AS997" sqref="AS997"/>
    </sheetView>
  </sheetViews>
  <sheetFormatPr baseColWidth="10" defaultRowHeight="15"/>
  <cols>
    <col width="7.140625" bestFit="1" customWidth="1" min="1" max="1"/>
    <col width="4.5703125" customWidth="1" min="2" max="2"/>
    <col width="9.85546875" customWidth="1" min="3" max="3"/>
    <col width="18.7109375" customWidth="1" min="4" max="4"/>
    <col width="17.5703125" customWidth="1" style="9" min="5" max="5"/>
    <col hidden="1" width="15.140625" customWidth="1" min="6" max="6"/>
    <col width="17.85546875" customWidth="1" min="8" max="8"/>
    <col width="5" customWidth="1" min="9" max="9"/>
    <col width="11.42578125" customWidth="1" style="76" min="10" max="10"/>
    <col width="14.5703125" bestFit="1" customWidth="1" style="214" min="12" max="12"/>
    <col width="6.42578125" customWidth="1" style="159" min="13" max="13"/>
    <col width="4.28515625" customWidth="1" min="14" max="14"/>
    <col width="10.7109375" customWidth="1" min="20" max="20"/>
    <col width="7.28515625" customWidth="1" min="21" max="21"/>
    <col width="8.7109375" customWidth="1" min="22" max="22"/>
    <col width="14.5703125" customWidth="1" min="23" max="23"/>
    <col width="11.42578125" customWidth="1" min="24" max="24"/>
    <col width="9" customWidth="1" min="25" max="25"/>
    <col width="12.140625" customWidth="1" style="228" min="26" max="26"/>
  </cols>
  <sheetData>
    <row r="1" customFormat="1" s="87">
      <c r="A1" s="79" t="inlineStr">
        <is>
          <t>Jahr</t>
        </is>
      </c>
      <c r="B1" s="79" t="inlineStr">
        <is>
          <t>Belegnr.</t>
        </is>
      </c>
      <c r="C1" s="79" t="inlineStr">
        <is>
          <t>Kategorie</t>
        </is>
      </c>
      <c r="D1" s="80" t="inlineStr">
        <is>
          <t>Spesenart</t>
        </is>
      </c>
      <c r="E1" s="81" t="inlineStr">
        <is>
          <t>Rechnungsnummer</t>
        </is>
      </c>
      <c r="F1" s="79" t="inlineStr">
        <is>
          <t>Rechungsdatum</t>
        </is>
      </c>
      <c r="G1" s="79" t="inlineStr">
        <is>
          <t>Zahlungsdatum</t>
        </is>
      </c>
      <c r="H1" s="79" t="inlineStr">
        <is>
          <t>Bezeichnung</t>
        </is>
      </c>
      <c r="I1" s="80" t="inlineStr">
        <is>
          <t>Nutzungsdauer</t>
        </is>
      </c>
      <c r="J1" s="82" t="inlineStr">
        <is>
          <t>Weiterverkauf</t>
        </is>
      </c>
      <c r="K1" s="79" t="inlineStr">
        <is>
          <t>AfA</t>
        </is>
      </c>
      <c r="L1" s="218" t="inlineStr">
        <is>
          <t>Netto Einzelpreis</t>
        </is>
      </c>
      <c r="M1" s="83" t="inlineStr">
        <is>
          <t>Anteil</t>
        </is>
      </c>
      <c r="N1" s="79" t="inlineStr">
        <is>
          <t>USt.(%)</t>
        </is>
      </c>
      <c r="O1" s="250" t="inlineStr">
        <is>
          <t>Vorsteuer gesamt</t>
        </is>
      </c>
      <c r="P1" s="250" t="inlineStr">
        <is>
          <t>Vorsteuer (antlg.)</t>
        </is>
      </c>
      <c r="Q1" s="250" t="inlineStr">
        <is>
          <t>Nettobetrag (antlg.)</t>
        </is>
      </c>
      <c r="R1" s="250" t="inlineStr">
        <is>
          <t>Brutto (100%)</t>
        </is>
      </c>
      <c r="S1" s="250" t="inlineStr">
        <is>
          <t>Bruttobetrag (antlg.)</t>
        </is>
      </c>
      <c r="T1" s="85" t="inlineStr">
        <is>
          <t xml:space="preserve"> USt Fälligkeit</t>
        </is>
      </c>
      <c r="U1" s="79" t="inlineStr">
        <is>
          <t>USt abgerechnet</t>
        </is>
      </c>
      <c r="V1" s="79" t="inlineStr">
        <is>
          <t>IG / in Ö steuerbar</t>
        </is>
      </c>
      <c r="W1" s="218" t="inlineStr">
        <is>
          <t>ESt: Betrag abzugsfähig</t>
        </is>
      </c>
      <c r="X1" t="inlineStr">
        <is>
          <t>Lizenzgebühren</t>
        </is>
      </c>
      <c r="Y1" s="9" t="inlineStr">
        <is>
          <t>22542072</t>
        </is>
      </c>
      <c r="Z1" s="1" t="n">
        <v>44886</v>
      </c>
      <c r="AA1" t="inlineStr">
        <is>
          <t>Sketchup 1Y</t>
        </is>
      </c>
      <c r="AC1" s="76" t="n"/>
      <c r="AD1" t="b">
        <v>0</v>
      </c>
      <c r="AE1" s="214" t="n">
        <v>285</v>
      </c>
      <c r="AF1" s="159" t="n">
        <v>1</v>
      </c>
      <c r="AG1" t="n">
        <v>0</v>
      </c>
      <c r="AH1" s="237" t="n">
        <v>0</v>
      </c>
      <c r="AI1" s="237" t="n">
        <v>0</v>
      </c>
      <c r="AJ1" s="208" t="n">
        <v>285</v>
      </c>
      <c r="AK1" s="251" t="n">
        <v>285</v>
      </c>
      <c r="AL1" s="251" t="n">
        <v>285</v>
      </c>
      <c r="AM1" s="35" t="n">
        <v>44972</v>
      </c>
      <c r="AN1" s="27" t="n"/>
      <c r="AO1" s="27" t="n">
        <v>20</v>
      </c>
      <c r="AP1" s="210" t="n">
        <v>285</v>
      </c>
      <c r="AQ1" s="237" t="n">
        <v>0</v>
      </c>
      <c r="AR1" t="b">
        <v>0</v>
      </c>
      <c r="AS1" s="228" t="n">
        <v>-285</v>
      </c>
    </row>
    <row r="2">
      <c r="A2" s="53" t="n">
        <v>2019</v>
      </c>
      <c r="B2" s="53" t="n">
        <v>1</v>
      </c>
      <c r="C2" s="71" t="inlineStr">
        <is>
          <t>Ausgaben</t>
        </is>
      </c>
      <c r="D2" t="inlineStr">
        <is>
          <t>Telefon/Internet</t>
        </is>
      </c>
      <c r="E2" s="9" t="n">
        <v>6169844854</v>
      </c>
      <c r="G2" s="1" t="n">
        <v>43472</v>
      </c>
      <c r="H2" t="inlineStr">
        <is>
          <t>Hutchison Drei Austria GmbH, Brünner Straße 52, 1210 Wien, Österreich</t>
        </is>
      </c>
      <c r="K2">
        <f>(IF(AND(I2&lt;&gt;"",AND(J2="",ABS(Q2)&gt;400)),TRUE,FALSE))</f>
        <v/>
      </c>
      <c r="L2" s="214">
        <f>18.35/1.2</f>
        <v/>
      </c>
      <c r="M2" s="159" t="n">
        <v>1</v>
      </c>
      <c r="N2" t="n">
        <v>20</v>
      </c>
      <c r="O2" s="237">
        <f>L2*N2/100</f>
        <v/>
      </c>
      <c r="P2" s="237">
        <f>M2*O2</f>
        <v/>
      </c>
      <c r="Q2" s="208">
        <f>L2*M2</f>
        <v/>
      </c>
      <c r="R2" s="251">
        <f>L2+O2</f>
        <v/>
      </c>
      <c r="S2" s="251">
        <f>Q2+P2</f>
        <v/>
      </c>
      <c r="T2" s="35">
        <f>voranmeldefrist_vierteljaehrlich(G2)</f>
        <v/>
      </c>
      <c r="U2" s="27" t="n"/>
      <c r="V2" s="27" t="n"/>
      <c r="W2" s="210">
        <f>IF(K2=TRUE,Q2/I2,Q2)</f>
        <v/>
      </c>
      <c r="X2" s="237">
        <f>V2/100*S2</f>
        <v/>
      </c>
      <c r="Y2">
        <f>IF(AND(V2&gt;0,N2=V2),TRUE,FALSE)</f>
        <v/>
      </c>
      <c r="Z2" s="228">
        <f>IF(D2="Einnahmen",Q2,-Q2)</f>
        <v/>
      </c>
    </row>
    <row r="3">
      <c r="A3" s="53" t="n">
        <v>2019</v>
      </c>
      <c r="B3" s="53" t="n">
        <v>2</v>
      </c>
      <c r="C3" s="71" t="inlineStr">
        <is>
          <t>Ausgaben</t>
        </is>
      </c>
      <c r="D3" t="inlineStr">
        <is>
          <t>sonstige Betriebsausgaben</t>
        </is>
      </c>
      <c r="E3" s="9" t="n">
        <v>712410</v>
      </c>
      <c r="G3" s="1" t="n">
        <v>43472</v>
      </c>
      <c r="H3" t="inlineStr">
        <is>
          <t>Lemon Technologies GmbH, Unterweißenbach 181, 7330 Feldbach: Google Pixel 2 Smartphone</t>
        </is>
      </c>
      <c r="I3" t="n">
        <v>3</v>
      </c>
      <c r="K3">
        <f>(IF(AND(I3&lt;&gt;"",AND(J3="",ABS(Q3)&gt;400)),TRUE,FALSE))</f>
        <v/>
      </c>
      <c r="L3" s="214" t="n">
        <v>523.6900000000001</v>
      </c>
      <c r="M3" s="159" t="n">
        <v>1</v>
      </c>
      <c r="N3" t="n">
        <v>20</v>
      </c>
      <c r="O3" s="237">
        <f>L3*N3/100</f>
        <v/>
      </c>
      <c r="P3" s="237">
        <f>M3*O3</f>
        <v/>
      </c>
      <c r="Q3" s="208">
        <f>L3*M3</f>
        <v/>
      </c>
      <c r="R3" s="251">
        <f>L3+O3</f>
        <v/>
      </c>
      <c r="S3" s="251">
        <f>Q3+P3</f>
        <v/>
      </c>
      <c r="T3" s="35">
        <f>voranmeldefrist_vierteljaehrlich(G3)</f>
        <v/>
      </c>
      <c r="U3" s="27" t="n"/>
      <c r="V3" s="27" t="n"/>
      <c r="W3" s="210">
        <f>IF(K3=TRUE,Q3/I3,Q3)</f>
        <v/>
      </c>
      <c r="X3" s="237">
        <f>V3/100*S3</f>
        <v/>
      </c>
      <c r="Y3">
        <f>IF(AND(V3&gt;0,N3=V3),TRUE,FALSE)</f>
        <v/>
      </c>
      <c r="Z3" s="228">
        <f>IF(C3="Einnahmen",Q3,-Q3)</f>
        <v/>
      </c>
    </row>
    <row r="4">
      <c r="A4" s="53" t="n">
        <v>2019</v>
      </c>
      <c r="B4" s="53" t="n">
        <v>3</v>
      </c>
      <c r="C4" s="71" t="inlineStr">
        <is>
          <t>Einnahmen</t>
        </is>
      </c>
      <c r="D4" t="inlineStr">
        <is>
          <t>Waren-/Leistungserlöse</t>
        </is>
      </c>
      <c r="E4" s="9" t="n">
        <v>12018015</v>
      </c>
      <c r="G4" s="1" t="n">
        <v>43474</v>
      </c>
      <c r="H4" t="inlineStr">
        <is>
          <t>H. Jaros e.U., Kohlmarkt 16/2/2/15a, 1010 Wien</t>
        </is>
      </c>
      <c r="K4">
        <f>(IF(AND(I4&lt;&gt;"",AND(J4="",ABS(Q4)&gt;400)),TRUE,FALSE))</f>
        <v/>
      </c>
      <c r="L4" s="214" t="n">
        <v>561.84</v>
      </c>
      <c r="M4" s="159" t="n">
        <v>1</v>
      </c>
      <c r="N4" t="n">
        <v>20</v>
      </c>
      <c r="O4" s="237">
        <f>L4*N4/100</f>
        <v/>
      </c>
      <c r="P4" s="237">
        <f>M4*O4</f>
        <v/>
      </c>
      <c r="Q4" s="208">
        <f>L4*M4</f>
        <v/>
      </c>
      <c r="R4" s="251">
        <f>L4+O4</f>
        <v/>
      </c>
      <c r="S4" s="251">
        <f>Q4+P4</f>
        <v/>
      </c>
      <c r="T4" s="35">
        <f>voranmeldefrist_vierteljaehrlich(G4)</f>
        <v/>
      </c>
      <c r="U4" s="27" t="n"/>
      <c r="V4" s="27" t="n"/>
      <c r="W4" s="210">
        <f>IF(K4=TRUE,Q4/J4,Q4)</f>
        <v/>
      </c>
      <c r="X4" s="237">
        <f>V4/100*S4</f>
        <v/>
      </c>
      <c r="Y4">
        <f>IF(AND(V4&gt;0,N4=V4),TRUE,FALSE)</f>
        <v/>
      </c>
      <c r="Z4" s="228">
        <f>IF(C4="Einnahmen",Q4,-Q4)</f>
        <v/>
      </c>
    </row>
    <row r="5">
      <c r="A5" s="53" t="n">
        <v>2019</v>
      </c>
      <c r="B5" s="53" t="n">
        <v>4</v>
      </c>
      <c r="C5" s="71" t="inlineStr">
        <is>
          <t>Ausgaben</t>
        </is>
      </c>
      <c r="D5" t="inlineStr">
        <is>
          <t>Büromaterial</t>
        </is>
      </c>
      <c r="E5" s="9" t="inlineStr">
        <is>
          <t>0968-20190109-02-4758</t>
        </is>
      </c>
      <c r="G5" s="1" t="n">
        <v>43474</v>
      </c>
      <c r="H5" t="inlineStr">
        <is>
          <t>Libro 1090</t>
        </is>
      </c>
      <c r="K5">
        <f>(IF(AND(I5&lt;&gt;"",AND(J5="",ABS(Q5)&gt;400)),TRUE,FALSE))</f>
        <v/>
      </c>
      <c r="L5" s="214">
        <f>14.14/1.2</f>
        <v/>
      </c>
      <c r="M5" s="159" t="n">
        <v>1</v>
      </c>
      <c r="N5" t="n">
        <v>20</v>
      </c>
      <c r="O5" s="237">
        <f>L5*N5/100</f>
        <v/>
      </c>
      <c r="P5" s="237">
        <f>M5*O5</f>
        <v/>
      </c>
      <c r="Q5" s="208">
        <f>L5*M5</f>
        <v/>
      </c>
      <c r="R5" s="251">
        <f>L5+O5</f>
        <v/>
      </c>
      <c r="S5" s="251">
        <f>Q5+P5</f>
        <v/>
      </c>
      <c r="T5" s="35">
        <f>voranmeldefrist_vierteljaehrlich(G5)</f>
        <v/>
      </c>
      <c r="U5" s="27" t="n"/>
      <c r="V5" s="27" t="n"/>
      <c r="W5" s="210">
        <f>IF(K5=TRUE,Q5/J5,Q5)</f>
        <v/>
      </c>
      <c r="X5" s="237">
        <f>V5/100*S5</f>
        <v/>
      </c>
      <c r="Y5">
        <f>IF(AND(V5&gt;0,N5=V5),TRUE,FALSE)</f>
        <v/>
      </c>
      <c r="Z5" s="228">
        <f>IF(C5="Einnahmen",Q5,-Q5)</f>
        <v/>
      </c>
    </row>
    <row r="6">
      <c r="A6" s="53" t="n">
        <v>2019</v>
      </c>
      <c r="B6" s="53" t="n">
        <v>5</v>
      </c>
      <c r="C6" s="71" t="inlineStr">
        <is>
          <t>Ausgaben</t>
        </is>
      </c>
      <c r="D6" t="inlineStr">
        <is>
          <t>Telefon/Internet</t>
        </is>
      </c>
      <c r="E6" s="9" t="n">
        <v>172835870</v>
      </c>
      <c r="G6" s="1" t="n">
        <v>43475</v>
      </c>
      <c r="H6" t="inlineStr">
        <is>
          <t>UPC Telekabel Wien GmbH</t>
        </is>
      </c>
      <c r="K6">
        <f>(IF(AND(I6&lt;&gt;"",AND(J6="",ABS(Q6)&gt;400)),TRUE,FALSE))</f>
        <v/>
      </c>
      <c r="L6" s="214">
        <f>27.82+1.04</f>
        <v/>
      </c>
      <c r="M6" s="159">
        <f>2/3</f>
        <v/>
      </c>
      <c r="N6" t="n">
        <v>20</v>
      </c>
      <c r="O6" s="237">
        <f>L6*N6/100</f>
        <v/>
      </c>
      <c r="P6" s="237">
        <f>M6*O6</f>
        <v/>
      </c>
      <c r="Q6" s="208">
        <f>L6*M6</f>
        <v/>
      </c>
      <c r="R6" s="251">
        <f>L6+O6</f>
        <v/>
      </c>
      <c r="S6" s="251">
        <f>Q6+P6</f>
        <v/>
      </c>
      <c r="T6" s="35">
        <f>voranmeldefrist_vierteljaehrlich(G6)</f>
        <v/>
      </c>
      <c r="U6" s="27" t="n"/>
      <c r="V6" s="27" t="n"/>
      <c r="W6" s="210">
        <f>IF(K6=TRUE,Q6/J6,Q6)</f>
        <v/>
      </c>
      <c r="X6" s="237">
        <f>V6/100*S6</f>
        <v/>
      </c>
      <c r="Y6">
        <f>IF(AND(V6&gt;0,N6=V6),TRUE,FALSE)</f>
        <v/>
      </c>
      <c r="Z6" s="228">
        <f>IF(C6="Einnahmen",Q6,-Q6)</f>
        <v/>
      </c>
    </row>
    <row r="7">
      <c r="A7" s="53" t="n">
        <v>2019</v>
      </c>
      <c r="B7" s="53" t="n">
        <v>6</v>
      </c>
      <c r="C7" s="71" t="inlineStr">
        <is>
          <t>Einnahmen</t>
        </is>
      </c>
      <c r="D7" t="inlineStr">
        <is>
          <t>Waren-/Leistungserlöse</t>
        </is>
      </c>
      <c r="E7" s="9" t="n">
        <v>12018012</v>
      </c>
      <c r="G7" s="1" t="n">
        <v>43476</v>
      </c>
      <c r="H7" t="inlineStr">
        <is>
          <t>Stokol GmbH</t>
        </is>
      </c>
      <c r="K7">
        <f>(IF(AND(I7&lt;&gt;"",AND(J7="",ABS(Q7)&gt;400)),TRUE,FALSE))</f>
        <v/>
      </c>
      <c r="L7" s="214" t="n">
        <v>1704.88</v>
      </c>
      <c r="M7" s="159" t="n">
        <v>1</v>
      </c>
      <c r="N7" t="n">
        <v>20</v>
      </c>
      <c r="O7" s="237">
        <f>L7*N7/100</f>
        <v/>
      </c>
      <c r="P7" s="237">
        <f>M7*O7</f>
        <v/>
      </c>
      <c r="Q7" s="208">
        <f>L7*M7</f>
        <v/>
      </c>
      <c r="R7" s="251">
        <f>L7+O7</f>
        <v/>
      </c>
      <c r="S7" s="251">
        <f>Q7+P7</f>
        <v/>
      </c>
      <c r="T7" s="35">
        <f>voranmeldefrist_vierteljaehrlich(G7)</f>
        <v/>
      </c>
      <c r="U7" s="27" t="n"/>
      <c r="V7" s="27" t="n"/>
      <c r="W7" s="210">
        <f>IF(K7=TRUE,Q7/J7,Q7)</f>
        <v/>
      </c>
      <c r="X7" s="237">
        <f>V7/100*S7</f>
        <v/>
      </c>
      <c r="Y7">
        <f>IF(AND(V7&gt;0,N7=V7),TRUE,FALSE)</f>
        <v/>
      </c>
      <c r="Z7" s="228">
        <f>IF(C7="Einnahmen",Q7,-Q7)</f>
        <v/>
      </c>
    </row>
    <row r="8">
      <c r="A8" s="53" t="n">
        <v>2019</v>
      </c>
      <c r="B8" s="53" t="n">
        <v>7</v>
      </c>
      <c r="C8" s="71" t="inlineStr">
        <is>
          <t>Ausgaben</t>
        </is>
      </c>
      <c r="D8" t="inlineStr">
        <is>
          <t>sonstige Betriebsausgaben</t>
        </is>
      </c>
      <c r="E8" s="9" t="inlineStr">
        <is>
          <t>R0009040148</t>
        </is>
      </c>
      <c r="G8" s="1" t="n">
        <v>43476</v>
      </c>
      <c r="H8" t="inlineStr">
        <is>
          <t>Hetzner Online GmbH</t>
        </is>
      </c>
      <c r="K8">
        <f>(IF(AND(I8&lt;&gt;"",AND(J8="",ABS(Q8)&gt;400)),TRUE,FALSE))</f>
        <v/>
      </c>
      <c r="L8" s="214" t="n">
        <v>46.92</v>
      </c>
      <c r="M8" s="159" t="n">
        <v>1</v>
      </c>
      <c r="N8" t="n">
        <v>0</v>
      </c>
      <c r="O8" s="237">
        <f>L8*N8/100</f>
        <v/>
      </c>
      <c r="P8" s="237">
        <f>M8*O8</f>
        <v/>
      </c>
      <c r="Q8" s="208">
        <f>L8*M8</f>
        <v/>
      </c>
      <c r="R8" s="251">
        <f>L8+O8</f>
        <v/>
      </c>
      <c r="S8" s="251">
        <f>Q8+P8</f>
        <v/>
      </c>
      <c r="T8" s="35">
        <f>voranmeldefrist_vierteljaehrlich(G8)</f>
        <v/>
      </c>
      <c r="U8" s="27" t="n"/>
      <c r="V8" s="27" t="n">
        <v>20</v>
      </c>
      <c r="W8" s="210">
        <f>IF(K8=TRUE,Q8/J8,Q8)</f>
        <v/>
      </c>
      <c r="X8" s="237">
        <f>V8/100*S8</f>
        <v/>
      </c>
      <c r="Y8">
        <f>IF(AND(V8&gt;0,N8=V8),TRUE,FALSE)</f>
        <v/>
      </c>
      <c r="Z8" s="228">
        <f>IF(C8="Einnahmen",Q8,-Q8)</f>
        <v/>
      </c>
    </row>
    <row r="9">
      <c r="A9" s="53" t="n">
        <v>2019</v>
      </c>
      <c r="B9" s="53" t="n">
        <v>8</v>
      </c>
      <c r="C9" s="71" t="inlineStr">
        <is>
          <t>Ausgaben</t>
        </is>
      </c>
      <c r="D9" t="inlineStr">
        <is>
          <t>sonstige Betriebsausgaben</t>
        </is>
      </c>
      <c r="E9" s="9" t="inlineStr">
        <is>
          <t>14004053224/40/2019</t>
        </is>
      </c>
      <c r="G9" s="1" t="n">
        <v>43480</v>
      </c>
      <c r="H9" t="inlineStr">
        <is>
          <t>Montana Energie Handel AT GmbH</t>
        </is>
      </c>
      <c r="K9">
        <f>(IF(AND(I9&lt;&gt;"",AND(J9="",ABS(Q9)&gt;400)),TRUE,FALSE))</f>
        <v/>
      </c>
      <c r="L9" s="214" t="n">
        <v>78.33</v>
      </c>
      <c r="M9" s="159">
        <f>Arbeitszimmer!$B$3</f>
        <v/>
      </c>
      <c r="N9" t="n">
        <v>20</v>
      </c>
      <c r="O9" s="237">
        <f>L9*N9/100</f>
        <v/>
      </c>
      <c r="P9" s="237">
        <f>M9*O9</f>
        <v/>
      </c>
      <c r="Q9" s="208">
        <f>L9*M9</f>
        <v/>
      </c>
      <c r="R9" s="251">
        <f>L9+O9</f>
        <v/>
      </c>
      <c r="S9" s="251">
        <f>Q9+P9</f>
        <v/>
      </c>
      <c r="T9" s="35">
        <f>voranmeldefrist_vierteljaehrlich(G9)</f>
        <v/>
      </c>
      <c r="U9" s="27" t="n"/>
      <c r="V9" s="27" t="n"/>
      <c r="W9" s="210">
        <f>IF(K9=TRUE,Q9/J9,Q9)</f>
        <v/>
      </c>
      <c r="X9" s="237">
        <f>V9/100*S9</f>
        <v/>
      </c>
      <c r="Y9">
        <f>IF(AND(V9&gt;0,N9=V9),TRUE,FALSE)</f>
        <v/>
      </c>
      <c r="Z9" s="228">
        <f>IF(C9="Einnahmen",Q9,-Q9)</f>
        <v/>
      </c>
    </row>
    <row r="10">
      <c r="A10" s="53" t="n">
        <v>2019</v>
      </c>
      <c r="B10" s="53" t="n">
        <v>9</v>
      </c>
      <c r="C10" s="71" t="inlineStr">
        <is>
          <t>Einnahmen</t>
        </is>
      </c>
      <c r="D10" t="inlineStr">
        <is>
          <t>Waren-/Leistungserlöse</t>
        </is>
      </c>
      <c r="E10" s="9" t="inlineStr">
        <is>
          <t>/GSV/168025016/80C20017801/20181</t>
        </is>
      </c>
      <c r="G10" s="1" t="n">
        <v>43481</v>
      </c>
      <c r="H10" t="inlineStr">
        <is>
          <t>Hays Österreich GmbH</t>
        </is>
      </c>
      <c r="K10">
        <f>(IF(AND(I10&lt;&gt;"",AND(J10="",ABS(Q10)&gt;400)),TRUE,FALSE))</f>
        <v/>
      </c>
      <c r="L10" s="214">
        <f>1805.4/1.2</f>
        <v/>
      </c>
      <c r="M10" s="159" t="n">
        <v>1</v>
      </c>
      <c r="N10" t="n">
        <v>20</v>
      </c>
      <c r="O10" s="237">
        <f>L10*N10/100</f>
        <v/>
      </c>
      <c r="P10" s="237">
        <f>M10*O10</f>
        <v/>
      </c>
      <c r="Q10" s="208">
        <f>L10*M10</f>
        <v/>
      </c>
      <c r="R10" s="251">
        <f>L10+O10</f>
        <v/>
      </c>
      <c r="S10" s="251">
        <f>Q10+P10</f>
        <v/>
      </c>
      <c r="T10" s="35">
        <f>voranmeldefrist_vierteljaehrlich(G10)</f>
        <v/>
      </c>
      <c r="U10" s="27" t="n"/>
      <c r="V10" s="27" t="n"/>
      <c r="W10" s="210">
        <f>IF(K10=TRUE,Q10/J10,Q10)</f>
        <v/>
      </c>
      <c r="X10" s="237">
        <f>V10/100*S10</f>
        <v/>
      </c>
      <c r="Y10">
        <f>IF(AND(V10&gt;0,N10=V10),TRUE,FALSE)</f>
        <v/>
      </c>
      <c r="Z10" s="228">
        <f>IF(C10="Einnahmen",Q10,-Q10)</f>
        <v/>
      </c>
    </row>
    <row r="11">
      <c r="A11" s="53" t="n">
        <v>2019</v>
      </c>
      <c r="B11" s="53" t="n">
        <v>10</v>
      </c>
      <c r="C11" s="71" t="inlineStr">
        <is>
          <t>Einnahmen</t>
        </is>
      </c>
      <c r="D11" t="inlineStr">
        <is>
          <t>Waren-/Leistungserlöse</t>
        </is>
      </c>
      <c r="E11" s="9" t="n">
        <v>12018011</v>
      </c>
      <c r="G11" s="1" t="n">
        <v>43482</v>
      </c>
      <c r="H11" t="inlineStr">
        <is>
          <t>Franz Hauer GmbH + Co KG</t>
        </is>
      </c>
      <c r="K11">
        <f>(IF(AND(I11&lt;&gt;"",AND(J11="",ABS(Q11)&gt;400)),TRUE,FALSE))</f>
        <v/>
      </c>
      <c r="L11" s="214">
        <f>2035.92/1.2</f>
        <v/>
      </c>
      <c r="M11" s="159" t="n">
        <v>1</v>
      </c>
      <c r="N11" t="n">
        <v>20</v>
      </c>
      <c r="O11" s="237">
        <f>L11*N11/100</f>
        <v/>
      </c>
      <c r="P11" s="237">
        <f>M11*O11</f>
        <v/>
      </c>
      <c r="Q11" s="208">
        <f>L11*M11</f>
        <v/>
      </c>
      <c r="R11" s="251">
        <f>L11+O11</f>
        <v/>
      </c>
      <c r="S11" s="251">
        <f>Q11+P11</f>
        <v/>
      </c>
      <c r="T11" s="35">
        <f>voranmeldefrist_vierteljaehrlich(G11)</f>
        <v/>
      </c>
      <c r="U11" s="27" t="n"/>
      <c r="V11" s="27" t="n"/>
      <c r="W11" s="210">
        <f>IF(K11=TRUE,Q11/J11,Q11)</f>
        <v/>
      </c>
      <c r="X11" s="237">
        <f>V11/100*S11</f>
        <v/>
      </c>
      <c r="Y11">
        <f>IF(AND(V11&gt;0,N11=V11),TRUE,FALSE)</f>
        <v/>
      </c>
      <c r="Z11" s="228">
        <f>IF(C11="Einnahmen",Q11,-Q11)</f>
        <v/>
      </c>
    </row>
    <row r="12">
      <c r="A12" s="53" t="n">
        <v>2019</v>
      </c>
      <c r="B12" s="53" t="n">
        <v>11</v>
      </c>
      <c r="C12" s="71" t="inlineStr">
        <is>
          <t>Ausgaben</t>
        </is>
      </c>
      <c r="D12" t="inlineStr">
        <is>
          <t>sonstige Betriebsausgaben</t>
        </is>
      </c>
      <c r="E12" s="9" t="inlineStr">
        <is>
          <t>2/81/82354875 13113 0 1384</t>
        </is>
      </c>
      <c r="G12" s="1" t="n">
        <v>43482</v>
      </c>
      <c r="H12" t="inlineStr">
        <is>
          <t>Aon Austria GmbH</t>
        </is>
      </c>
      <c r="K12">
        <f>(IF(AND(I12&lt;&gt;"",AND(J12="",ABS(Q12)&gt;400)),TRUE,FALSE))</f>
        <v/>
      </c>
      <c r="L12" s="214" t="n">
        <v>235.6</v>
      </c>
      <c r="M12" s="159" t="n">
        <v>1</v>
      </c>
      <c r="N12" t="n">
        <v>20</v>
      </c>
      <c r="O12" s="237">
        <f>L12*N12/100</f>
        <v/>
      </c>
      <c r="P12" s="237">
        <f>M12*O12</f>
        <v/>
      </c>
      <c r="Q12" s="208">
        <f>L12*M12</f>
        <v/>
      </c>
      <c r="R12" s="251">
        <f>L12+O12</f>
        <v/>
      </c>
      <c r="S12" s="251">
        <f>Q12+P12</f>
        <v/>
      </c>
      <c r="T12" s="35">
        <f>voranmeldefrist_vierteljaehrlich(G12)</f>
        <v/>
      </c>
      <c r="U12" s="27" t="n"/>
      <c r="V12" s="27" t="n"/>
      <c r="W12" s="210">
        <f>IF(K12=TRUE,Q12/J12,Q12)</f>
        <v/>
      </c>
      <c r="X12" s="237">
        <f>V12/100*S12</f>
        <v/>
      </c>
      <c r="Y12">
        <f>IF(AND(V12&gt;0,N12=V12),TRUE,FALSE)</f>
        <v/>
      </c>
      <c r="Z12" s="228">
        <f>IF(C12="Einnahmen",Q12,-Q12)</f>
        <v/>
      </c>
    </row>
    <row r="13">
      <c r="A13" s="53" t="n">
        <v>2019</v>
      </c>
      <c r="B13" s="53" t="n">
        <v>12</v>
      </c>
      <c r="C13" s="71" t="inlineStr">
        <is>
          <t>Einnahmen</t>
        </is>
      </c>
      <c r="D13" t="inlineStr">
        <is>
          <t>Waren-/Leistungserlöse</t>
        </is>
      </c>
      <c r="E13" s="9" t="inlineStr">
        <is>
          <t>/GSV/168025007/80C20017801/20181</t>
        </is>
      </c>
      <c r="G13" s="1" t="n">
        <v>43490</v>
      </c>
      <c r="H13" t="inlineStr">
        <is>
          <t>Hays Österreich GmbH</t>
        </is>
      </c>
      <c r="K13">
        <f>(IF(AND(I13&lt;&gt;"",AND(J13="",ABS(Q13)&gt;400)),TRUE,FALSE))</f>
        <v/>
      </c>
      <c r="L13" s="214">
        <f>3858.6/1.2</f>
        <v/>
      </c>
      <c r="M13" s="159" t="n">
        <v>1</v>
      </c>
      <c r="N13" t="n">
        <v>20</v>
      </c>
      <c r="O13" s="237">
        <f>L13*N13/100</f>
        <v/>
      </c>
      <c r="P13" s="237">
        <f>M13*O13</f>
        <v/>
      </c>
      <c r="Q13" s="208">
        <f>L13*M13</f>
        <v/>
      </c>
      <c r="R13" s="251">
        <f>L13+O13</f>
        <v/>
      </c>
      <c r="S13" s="251">
        <f>Q13+P13</f>
        <v/>
      </c>
      <c r="T13" s="35">
        <f>voranmeldefrist_vierteljaehrlich(G13)</f>
        <v/>
      </c>
      <c r="U13" s="27" t="n"/>
      <c r="V13" s="27" t="n"/>
      <c r="W13" s="210">
        <f>IF(K13=TRUE,Q13/J13,Q13)</f>
        <v/>
      </c>
      <c r="X13" s="237">
        <f>V13/100*S13</f>
        <v/>
      </c>
      <c r="Y13">
        <f>IF(AND(V13&gt;0,N13=V13),TRUE,FALSE)</f>
        <v/>
      </c>
      <c r="Z13" s="228">
        <f>IF(C13="Einnahmen",Q13,-Q13)</f>
        <v/>
      </c>
    </row>
    <row r="14">
      <c r="A14" s="53" t="n">
        <v>2019</v>
      </c>
      <c r="B14" s="53" t="n">
        <v>13</v>
      </c>
      <c r="C14" s="71" t="inlineStr">
        <is>
          <t>Ausgaben</t>
        </is>
      </c>
      <c r="D14" t="inlineStr">
        <is>
          <t>Telefon/Internet</t>
        </is>
      </c>
      <c r="E14" s="9" t="n">
        <v>6171691720</v>
      </c>
      <c r="G14" s="1" t="n">
        <v>43497</v>
      </c>
      <c r="H14" t="inlineStr">
        <is>
          <t>Hutchison Drei Austria GmbH, Brünner Straße 52, 1210 Wien, Österreich</t>
        </is>
      </c>
      <c r="K14">
        <f>(IF(AND(I14&lt;&gt;"",AND(J14="",ABS(Q14)&gt;400)),TRUE,FALSE))</f>
        <v/>
      </c>
      <c r="L14" s="214">
        <f>18/1.2</f>
        <v/>
      </c>
      <c r="M14" s="159" t="n">
        <v>1</v>
      </c>
      <c r="N14" t="n">
        <v>20</v>
      </c>
      <c r="O14" s="237">
        <f>L14*N14/100</f>
        <v/>
      </c>
      <c r="P14" s="237">
        <f>M14*O14</f>
        <v/>
      </c>
      <c r="Q14" s="208">
        <f>L14*M14</f>
        <v/>
      </c>
      <c r="R14" s="251">
        <f>L14+O14</f>
        <v/>
      </c>
      <c r="S14" s="251">
        <f>Q14+P14</f>
        <v/>
      </c>
      <c r="T14" s="35">
        <f>voranmeldefrist_vierteljaehrlich(G14)</f>
        <v/>
      </c>
      <c r="U14" s="27" t="n"/>
      <c r="V14" s="27" t="n"/>
      <c r="W14" s="210">
        <f>IF(K14=TRUE,Q14/I14,Q14)</f>
        <v/>
      </c>
      <c r="X14" s="237">
        <f>V14/100*S14</f>
        <v/>
      </c>
      <c r="Y14">
        <f>IF(AND(V14&gt;0,N14=V14),TRUE,FALSE)</f>
        <v/>
      </c>
      <c r="Z14" s="228">
        <f>IF(C14="Einnahmen",Q14,-Q14)</f>
        <v/>
      </c>
    </row>
    <row r="15">
      <c r="A15" s="53" t="n">
        <v>2019</v>
      </c>
      <c r="B15" s="53" t="n">
        <v>14</v>
      </c>
      <c r="C15" s="71" t="inlineStr">
        <is>
          <t>Ausgaben</t>
        </is>
      </c>
      <c r="D15" t="inlineStr">
        <is>
          <t>Telefon/Internet</t>
        </is>
      </c>
      <c r="E15" s="9" t="inlineStr">
        <is>
          <t>173308653-00</t>
        </is>
      </c>
      <c r="G15" s="1" t="n">
        <v>43502</v>
      </c>
      <c r="H15" t="inlineStr">
        <is>
          <t>UPC Telekabel Wien GmbH</t>
        </is>
      </c>
      <c r="K15">
        <f>(IF(AND(I15&lt;&gt;"",AND(J15="",ABS(Q15)&gt;400)),TRUE,FALSE))</f>
        <v/>
      </c>
      <c r="L15" s="214">
        <f>27.82+1.04</f>
        <v/>
      </c>
      <c r="M15" s="159">
        <f>2/3</f>
        <v/>
      </c>
      <c r="N15" t="n">
        <v>20</v>
      </c>
      <c r="O15" s="237">
        <f>L15*N15/100</f>
        <v/>
      </c>
      <c r="P15" s="237">
        <f>M15*O15</f>
        <v/>
      </c>
      <c r="Q15" s="208">
        <f>L15*M15</f>
        <v/>
      </c>
      <c r="R15" s="251">
        <f>L15+O15</f>
        <v/>
      </c>
      <c r="S15" s="251">
        <f>Q15+P15</f>
        <v/>
      </c>
      <c r="T15" s="35">
        <f>voranmeldefrist_vierteljaehrlich(G15)</f>
        <v/>
      </c>
      <c r="U15" s="27" t="n"/>
      <c r="V15" s="27" t="n"/>
      <c r="W15" s="210">
        <f>IF(K15=TRUE,Q15/J15,Q15)</f>
        <v/>
      </c>
      <c r="X15" s="237">
        <f>V15/100*S15</f>
        <v/>
      </c>
      <c r="Y15">
        <f>IF(AND(V15&gt;0,N15=V15),TRUE,FALSE)</f>
        <v/>
      </c>
      <c r="Z15" s="228">
        <f>IF(C15="Einnahmen",Q15,-Q15)</f>
        <v/>
      </c>
    </row>
    <row r="16">
      <c r="A16" s="53" t="n">
        <v>2019</v>
      </c>
      <c r="B16" s="53" t="n">
        <v>15</v>
      </c>
      <c r="C16" s="71" t="inlineStr">
        <is>
          <t>Ausgaben</t>
        </is>
      </c>
      <c r="D16" t="inlineStr">
        <is>
          <t>sonstige Betriebsausgaben</t>
        </is>
      </c>
      <c r="E16" s="9" t="inlineStr">
        <is>
          <t>RE0680616</t>
        </is>
      </c>
      <c r="G16" s="1" t="n">
        <v>43490</v>
      </c>
      <c r="H16" t="inlineStr">
        <is>
          <t>easyname GmbH, Fernkorngasse 10/3/501, A-1100 Wien</t>
        </is>
      </c>
      <c r="K16">
        <f>(IF(AND(I16&lt;&gt;"",AND(J16="",ABS(Q16)&gt;400)),TRUE,FALSE))</f>
        <v/>
      </c>
      <c r="L16" s="214" t="n">
        <v>12.42</v>
      </c>
      <c r="M16" s="159" t="n">
        <v>1</v>
      </c>
      <c r="N16" t="n">
        <v>20</v>
      </c>
      <c r="O16" s="237">
        <f>L16*N16/100</f>
        <v/>
      </c>
      <c r="P16" s="237">
        <f>M16*O16</f>
        <v/>
      </c>
      <c r="Q16" s="208">
        <f>L16*M16</f>
        <v/>
      </c>
      <c r="R16" s="251">
        <f>L16+O16</f>
        <v/>
      </c>
      <c r="S16" s="251">
        <f>Q16+P16</f>
        <v/>
      </c>
      <c r="T16" s="35">
        <f>voranmeldefrist_vierteljaehrlich(G16)</f>
        <v/>
      </c>
      <c r="U16" s="27" t="n"/>
      <c r="V16" s="27" t="n"/>
      <c r="W16" s="210">
        <f>IF(K16=TRUE,Q16/J16,Q16)</f>
        <v/>
      </c>
      <c r="X16" s="237">
        <f>V16/100*S16</f>
        <v/>
      </c>
      <c r="Y16">
        <f>IF(AND(V16&gt;0,N16=V16),TRUE,FALSE)</f>
        <v/>
      </c>
      <c r="Z16" s="228">
        <f>IF(C16="Einnahmen",Q16,-Q16)</f>
        <v/>
      </c>
    </row>
    <row r="17">
      <c r="A17" s="53" t="n">
        <v>2019</v>
      </c>
      <c r="B17" s="53" t="n">
        <v>16</v>
      </c>
      <c r="C17" s="71" t="inlineStr">
        <is>
          <t>Ausgaben</t>
        </is>
      </c>
      <c r="D17" t="inlineStr">
        <is>
          <t>sonstige Betriebsausgaben</t>
        </is>
      </c>
      <c r="E17" s="9" t="inlineStr">
        <is>
          <t>A17849</t>
        </is>
      </c>
      <c r="G17" s="1" t="n">
        <v>43497</v>
      </c>
      <c r="H17" t="inlineStr">
        <is>
          <t>Fotostudio Nelson, Maria Nelson, Lederergasse 6, 1080 Wien</t>
        </is>
      </c>
      <c r="K17">
        <f>(IF(AND(I17&lt;&gt;"",AND(J17="",ABS(Q17)&gt;400)),TRUE,FALSE))</f>
        <v/>
      </c>
      <c r="L17" s="214">
        <f>(68+48)/1.2</f>
        <v/>
      </c>
      <c r="M17" s="159" t="n">
        <v>1</v>
      </c>
      <c r="N17" t="n">
        <v>20</v>
      </c>
      <c r="O17" s="237">
        <f>L17*N17/100</f>
        <v/>
      </c>
      <c r="P17" s="237">
        <f>M17*O17</f>
        <v/>
      </c>
      <c r="Q17" s="208">
        <f>L17*M17</f>
        <v/>
      </c>
      <c r="R17" s="251">
        <f>L17+O17</f>
        <v/>
      </c>
      <c r="S17" s="251">
        <f>Q17+P17</f>
        <v/>
      </c>
      <c r="T17" s="35">
        <f>voranmeldefrist_vierteljaehrlich(G17)</f>
        <v/>
      </c>
      <c r="U17" s="27" t="n"/>
      <c r="V17" s="27" t="n"/>
      <c r="W17" s="210">
        <f>IF(K17=TRUE,Q17/J17,Q17)</f>
        <v/>
      </c>
      <c r="X17" s="237">
        <f>V17/100*S17</f>
        <v/>
      </c>
      <c r="Y17">
        <f>IF(AND(V17&gt;0,N17=V17),TRUE,FALSE)</f>
        <v/>
      </c>
      <c r="Z17" s="228">
        <f>IF(C17="Einnahmen",Q17,-Q17)</f>
        <v/>
      </c>
    </row>
    <row r="18">
      <c r="A18" s="53" t="n">
        <v>2019</v>
      </c>
      <c r="B18" s="53" t="n">
        <v>17</v>
      </c>
      <c r="C18" s="71" t="inlineStr">
        <is>
          <t>Einnahmen</t>
        </is>
      </c>
      <c r="D18" t="inlineStr">
        <is>
          <t>Waren-/Leistungserlöse</t>
        </is>
      </c>
      <c r="E18" s="9" t="n">
        <v>12018013</v>
      </c>
      <c r="G18" s="1" t="n">
        <v>43509</v>
      </c>
      <c r="H18" t="inlineStr">
        <is>
          <t>Koltschik GmbH</t>
        </is>
      </c>
      <c r="K18">
        <f>(IF(AND(I18&lt;&gt;"",AND(J18="",ABS(Q18)&gt;400)),TRUE,FALSE))</f>
        <v/>
      </c>
      <c r="L18" s="214" t="n">
        <v>93.75</v>
      </c>
      <c r="M18" s="159" t="n">
        <v>1</v>
      </c>
      <c r="N18" t="n">
        <v>20</v>
      </c>
      <c r="O18" s="237">
        <f>L18*N18/100</f>
        <v/>
      </c>
      <c r="P18" s="237">
        <f>M18*O18</f>
        <v/>
      </c>
      <c r="Q18" s="208">
        <f>L18*M18</f>
        <v/>
      </c>
      <c r="R18" s="251">
        <f>L18+O18</f>
        <v/>
      </c>
      <c r="S18" s="251">
        <f>Q18+P18</f>
        <v/>
      </c>
      <c r="T18" s="35">
        <f>voranmeldefrist_vierteljaehrlich(G18)</f>
        <v/>
      </c>
      <c r="U18" s="27" t="n"/>
      <c r="V18" s="27" t="n"/>
      <c r="W18" s="210">
        <f>IF(K18=TRUE,Q18/J18,Q18)</f>
        <v/>
      </c>
      <c r="X18" s="237">
        <f>V18/100*S18</f>
        <v/>
      </c>
      <c r="Y18">
        <f>IF(AND(V18&gt;0,N18=V18),TRUE,FALSE)</f>
        <v/>
      </c>
      <c r="Z18" s="228">
        <f>IF(C18="Einnahmen",Q18,-Q18)</f>
        <v/>
      </c>
      <c r="AA18" t="n">
        <v>0</v>
      </c>
    </row>
    <row r="19">
      <c r="A19" s="53" t="n">
        <v>2019</v>
      </c>
      <c r="B19" s="53" t="n">
        <v>18</v>
      </c>
      <c r="C19" s="71" t="inlineStr">
        <is>
          <t>Ausgaben</t>
        </is>
      </c>
      <c r="D19" t="inlineStr">
        <is>
          <t>sonstige Betriebsausgaben</t>
        </is>
      </c>
      <c r="E19" s="9" t="inlineStr">
        <is>
          <t>R0009164503</t>
        </is>
      </c>
      <c r="G19" s="1" t="n">
        <v>43509</v>
      </c>
      <c r="H19" t="inlineStr">
        <is>
          <t>Hetzner Online GmbH</t>
        </is>
      </c>
      <c r="K19">
        <f>(IF(AND(I19&lt;&gt;"",AND(J19="",ABS(Q19)&gt;400)),TRUE,FALSE))</f>
        <v/>
      </c>
      <c r="L19" s="214" t="n">
        <v>46.92</v>
      </c>
      <c r="M19" s="159" t="n">
        <v>1</v>
      </c>
      <c r="N19" t="n">
        <v>0</v>
      </c>
      <c r="O19" s="237">
        <f>L19*N19/100</f>
        <v/>
      </c>
      <c r="P19" s="237">
        <f>M19*O19</f>
        <v/>
      </c>
      <c r="Q19" s="208">
        <f>L19*M19</f>
        <v/>
      </c>
      <c r="R19" s="251">
        <f>L19+O19</f>
        <v/>
      </c>
      <c r="S19" s="251">
        <f>Q19+P19</f>
        <v/>
      </c>
      <c r="T19" s="35">
        <f>voranmeldefrist_vierteljaehrlich(G19)</f>
        <v/>
      </c>
      <c r="U19" s="27" t="n"/>
      <c r="V19" s="27" t="n">
        <v>20</v>
      </c>
      <c r="W19" s="210">
        <f>IF(K19=TRUE,Q19/J19,Q19)</f>
        <v/>
      </c>
      <c r="X19" s="237">
        <f>V19/100*S19</f>
        <v/>
      </c>
      <c r="Y19">
        <f>IF(AND(V19&gt;0,N19=V19),TRUE,FALSE)</f>
        <v/>
      </c>
      <c r="Z19" s="228">
        <f>IF(C19="Einnahmen",Q19,-Q19)</f>
        <v/>
      </c>
    </row>
    <row r="20">
      <c r="A20" s="53" t="n">
        <v>2019</v>
      </c>
      <c r="B20" s="53" t="n">
        <v>19</v>
      </c>
      <c r="C20" s="71" t="inlineStr">
        <is>
          <t>Ausgaben</t>
        </is>
      </c>
      <c r="D20" t="inlineStr">
        <is>
          <t>sonstige Betriebsausgaben</t>
        </is>
      </c>
      <c r="E20" s="9" t="inlineStr">
        <is>
          <t>14004165330/40/2019</t>
        </is>
      </c>
      <c r="G20" s="1" t="n">
        <v>43511</v>
      </c>
      <c r="H20" t="inlineStr">
        <is>
          <t>Montana Energie Handel AT GmbH</t>
        </is>
      </c>
      <c r="K20">
        <f>(IF(AND(I20&lt;&gt;"",AND(J20="",ABS(Q20)&gt;400)),TRUE,FALSE))</f>
        <v/>
      </c>
      <c r="L20" s="214" t="n">
        <v>78.33</v>
      </c>
      <c r="M20" s="159">
        <f>Arbeitszimmer!$B$3</f>
        <v/>
      </c>
      <c r="N20" t="n">
        <v>20</v>
      </c>
      <c r="O20" s="237">
        <f>L20*N20/100</f>
        <v/>
      </c>
      <c r="P20" s="237">
        <f>M20*O20</f>
        <v/>
      </c>
      <c r="Q20" s="208">
        <f>L20*M20</f>
        <v/>
      </c>
      <c r="R20" s="251">
        <f>L20+O20</f>
        <v/>
      </c>
      <c r="S20" s="251">
        <f>Q20+P20</f>
        <v/>
      </c>
      <c r="T20" s="35">
        <f>voranmeldefrist_vierteljaehrlich(G20)</f>
        <v/>
      </c>
      <c r="U20" s="27" t="n"/>
      <c r="V20" s="27" t="n"/>
      <c r="W20" s="210">
        <f>IF(K20=TRUE,Q20/J20,Q20)</f>
        <v/>
      </c>
      <c r="X20" s="237">
        <f>V20/100*S20</f>
        <v/>
      </c>
      <c r="Y20">
        <f>IF(AND(V20&gt;0,N20=V20),TRUE,FALSE)</f>
        <v/>
      </c>
      <c r="Z20" s="228">
        <f>IF(C20="Einnahmen",Q20,-Q20)</f>
        <v/>
      </c>
    </row>
    <row r="21">
      <c r="A21" s="53" t="n">
        <v>2019</v>
      </c>
      <c r="B21" s="53" t="n">
        <v>20</v>
      </c>
      <c r="C21" s="71" t="inlineStr">
        <is>
          <t>Ausgaben</t>
        </is>
      </c>
      <c r="D21" t="inlineStr">
        <is>
          <t>Porto/Gebühren</t>
        </is>
      </c>
      <c r="E21" s="131" t="inlineStr">
        <is>
          <t>10800590223829</t>
        </is>
      </c>
      <c r="G21" s="1" t="n">
        <v>43518</v>
      </c>
      <c r="H21" t="inlineStr">
        <is>
          <t>Österreichische Post AG</t>
        </is>
      </c>
      <c r="K21">
        <f>(IF(AND(I21&lt;&gt;"",AND(J21="",ABS(Q21)&gt;400)),TRUE,FALSE))</f>
        <v/>
      </c>
      <c r="L21" s="214" t="n">
        <v>16.2</v>
      </c>
      <c r="M21" s="159" t="n">
        <v>1</v>
      </c>
      <c r="N21" t="n">
        <v>0</v>
      </c>
      <c r="O21" s="237">
        <f>L21*N21/100</f>
        <v/>
      </c>
      <c r="P21" s="237">
        <f>M21*O21</f>
        <v/>
      </c>
      <c r="Q21" s="208">
        <f>L21*M21</f>
        <v/>
      </c>
      <c r="R21" s="251">
        <f>L21+O21</f>
        <v/>
      </c>
      <c r="S21" s="251">
        <f>Q21+P21</f>
        <v/>
      </c>
      <c r="T21" s="35">
        <f>voranmeldefrist_vierteljaehrlich(G21)</f>
        <v/>
      </c>
      <c r="U21" s="27" t="n"/>
      <c r="V21" s="27" t="n"/>
      <c r="W21" s="210">
        <f>IF(K21=TRUE,Q21/J21,Q21)</f>
        <v/>
      </c>
      <c r="X21" s="237">
        <f>V21/100*S21</f>
        <v/>
      </c>
      <c r="Y21">
        <f>IF(AND(V21&gt;0,N21=V21),TRUE,FALSE)</f>
        <v/>
      </c>
      <c r="Z21" s="228">
        <f>IF(C21="Einnahmen",Q21,-Q21)</f>
        <v/>
      </c>
    </row>
    <row r="22">
      <c r="A22" s="53" t="n">
        <v>2019</v>
      </c>
      <c r="B22" s="53" t="n">
        <v>21</v>
      </c>
      <c r="C22" s="71" t="inlineStr">
        <is>
          <t>Ausgaben</t>
        </is>
      </c>
      <c r="D22" t="inlineStr">
        <is>
          <t>Miet- und Pachtaufwand, Leasing</t>
        </is>
      </c>
      <c r="E22" s="9" t="inlineStr">
        <is>
          <t>2019/8058/14</t>
        </is>
      </c>
      <c r="G22" s="1" t="n">
        <v>43490</v>
      </c>
      <c r="H22" t="inlineStr">
        <is>
          <t>Premium Laudongasse 58 GmbH &amp; Co KG</t>
        </is>
      </c>
      <c r="K22">
        <f>(IF(AND(I22&lt;&gt;"",AND(J22="",ABS(Q22)&gt;400)),TRUE,FALSE))</f>
        <v/>
      </c>
      <c r="L22" s="214" t="n">
        <v>763.4400000000001</v>
      </c>
      <c r="M22" s="159">
        <f>Arbeitszimmer!$B$3</f>
        <v/>
      </c>
      <c r="N22" t="n">
        <v>10</v>
      </c>
      <c r="O22" s="237">
        <f>L22*N22/100</f>
        <v/>
      </c>
      <c r="P22" s="237">
        <f>M22*O22</f>
        <v/>
      </c>
      <c r="Q22" s="208">
        <f>L22*M22</f>
        <v/>
      </c>
      <c r="R22" s="251">
        <f>L22+O22</f>
        <v/>
      </c>
      <c r="S22" s="251">
        <f>Q22+P22</f>
        <v/>
      </c>
      <c r="T22" s="35">
        <f>voranmeldefrist_vierteljaehrlich(G22)</f>
        <v/>
      </c>
      <c r="U22" s="27" t="n"/>
      <c r="V22" s="27" t="n"/>
      <c r="W22" s="210">
        <f>IF(K22=TRUE,Q22/J22,Q22)</f>
        <v/>
      </c>
      <c r="X22" s="237">
        <f>V22/100*S22</f>
        <v/>
      </c>
      <c r="Y22">
        <f>IF(AND(V22&gt;0,N22=V22),TRUE,FALSE)</f>
        <v/>
      </c>
      <c r="Z22" s="228">
        <f>IF(C22="Einnahmen",Q22,-Q22)</f>
        <v/>
      </c>
    </row>
    <row r="23">
      <c r="A23" s="53" t="n">
        <v>2019</v>
      </c>
      <c r="B23" s="53" t="n">
        <v>22</v>
      </c>
      <c r="C23" s="71" t="inlineStr">
        <is>
          <t>Ausgaben</t>
        </is>
      </c>
      <c r="D23" t="inlineStr">
        <is>
          <t>Miet- und Pachtaufwand, Leasing</t>
        </is>
      </c>
      <c r="E23" s="9" t="inlineStr">
        <is>
          <t>2019/8058/14</t>
        </is>
      </c>
      <c r="G23" s="1" t="n">
        <v>43521</v>
      </c>
      <c r="H23" t="inlineStr">
        <is>
          <t>Premium Laudongasse 58 GmbH &amp; Co KG</t>
        </is>
      </c>
      <c r="K23">
        <f>(IF(AND(I23&lt;&gt;"",AND(J23="",ABS(Q23)&gt;400)),TRUE,FALSE))</f>
        <v/>
      </c>
      <c r="L23" s="214" t="n">
        <v>763.4400000000001</v>
      </c>
      <c r="M23" s="159">
        <f>Arbeitszimmer!$B$3</f>
        <v/>
      </c>
      <c r="N23" t="n">
        <v>10</v>
      </c>
      <c r="O23" s="237">
        <f>L23*N23/100</f>
        <v/>
      </c>
      <c r="P23" s="237">
        <f>M23*O23</f>
        <v/>
      </c>
      <c r="Q23" s="208">
        <f>L23*M23</f>
        <v/>
      </c>
      <c r="R23" s="251">
        <f>L23+O23</f>
        <v/>
      </c>
      <c r="S23" s="251">
        <f>Q23+P23</f>
        <v/>
      </c>
      <c r="T23" s="35">
        <f>voranmeldefrist_vierteljaehrlich(G23)</f>
        <v/>
      </c>
      <c r="U23" s="27" t="n"/>
      <c r="V23" s="27" t="n"/>
      <c r="W23" s="210">
        <f>IF(K23=TRUE,Q23/J23,Q23)</f>
        <v/>
      </c>
      <c r="X23" s="237">
        <f>V23/100*S23</f>
        <v/>
      </c>
      <c r="Y23">
        <f>IF(AND(V23&gt;0,N23=V23),TRUE,FALSE)</f>
        <v/>
      </c>
      <c r="Z23" s="228">
        <f>IF(C23="Einnahmen",Q23,-Q23)</f>
        <v/>
      </c>
    </row>
    <row r="24">
      <c r="A24" s="53" t="n">
        <v>2019</v>
      </c>
      <c r="B24" s="53" t="n">
        <v>23</v>
      </c>
      <c r="C24" s="71" t="inlineStr">
        <is>
          <t>Ausgaben</t>
        </is>
      </c>
      <c r="D24" t="inlineStr">
        <is>
          <t>Pflichversicherungsbeiträge</t>
        </is>
      </c>
      <c r="E24" s="9" t="n">
        <v>11561270283</v>
      </c>
      <c r="G24" s="1" t="n">
        <v>43522</v>
      </c>
      <c r="H24" t="inlineStr">
        <is>
          <t>Sozialversicherung der gewerblichen Wirtshaft</t>
        </is>
      </c>
      <c r="K24">
        <f>(IF(AND(I24&lt;&gt;"",AND(J24="",ABS(Q24)&gt;400)),TRUE,FALSE))</f>
        <v/>
      </c>
      <c r="L24" s="214" t="n">
        <v>4752.06</v>
      </c>
      <c r="M24" s="159" t="n">
        <v>1</v>
      </c>
      <c r="N24" t="n">
        <v>0</v>
      </c>
      <c r="O24" s="237">
        <f>L24*N24/100</f>
        <v/>
      </c>
      <c r="P24" s="237">
        <f>M24*O24</f>
        <v/>
      </c>
      <c r="Q24" s="208">
        <f>L24*M24</f>
        <v/>
      </c>
      <c r="R24" s="251">
        <f>L24+O24</f>
        <v/>
      </c>
      <c r="S24" s="251">
        <f>Q24+P24</f>
        <v/>
      </c>
      <c r="T24" s="35">
        <f>voranmeldefrist_vierteljaehrlich(G24)</f>
        <v/>
      </c>
      <c r="U24" s="27" t="n"/>
      <c r="V24" s="27" t="n"/>
      <c r="W24" s="210">
        <f>IF(K24=TRUE,Q24/J24,Q24)</f>
        <v/>
      </c>
      <c r="X24" s="237">
        <f>V24/100*S24</f>
        <v/>
      </c>
      <c r="Y24">
        <f>IF(AND(V24&gt;0,N24=V24),TRUE,FALSE)</f>
        <v/>
      </c>
      <c r="Z24" s="228">
        <f>IF(C24="Einnahmen",Q24,-Q24)</f>
        <v/>
      </c>
    </row>
    <row r="25">
      <c r="A25" s="53" t="n">
        <v>2019</v>
      </c>
      <c r="B25" s="53" t="n">
        <v>24</v>
      </c>
      <c r="C25" s="71" t="inlineStr">
        <is>
          <t>Ausgaben</t>
        </is>
      </c>
      <c r="D25" t="inlineStr">
        <is>
          <t>sonstige Betriebsausgaben</t>
        </is>
      </c>
      <c r="E25" s="9" t="inlineStr">
        <is>
          <t>34025353530/40/2019</t>
        </is>
      </c>
      <c r="G25" s="1" t="n">
        <v>43528</v>
      </c>
      <c r="H25" t="inlineStr">
        <is>
          <t>Verbund AG, Postfach 8400, 1011 Wien, Österreich</t>
        </is>
      </c>
      <c r="K25">
        <f>(IF(AND(I25&lt;&gt;"",AND(J25="",ABS(Q25)&gt;400)),TRUE,FALSE))</f>
        <v/>
      </c>
      <c r="L25" s="214" t="n">
        <v>149.17</v>
      </c>
      <c r="M25" s="159">
        <f>Arbeitszimmer!$B$3</f>
        <v/>
      </c>
      <c r="N25" t="n">
        <v>20</v>
      </c>
      <c r="O25" s="237">
        <f>L25*N25/100</f>
        <v/>
      </c>
      <c r="P25" s="237">
        <f>M25*O25</f>
        <v/>
      </c>
      <c r="Q25" s="208">
        <f>L25*M25</f>
        <v/>
      </c>
      <c r="R25" s="251">
        <f>L25+O25</f>
        <v/>
      </c>
      <c r="S25" s="251">
        <f>Q25+P25</f>
        <v/>
      </c>
      <c r="T25" s="35">
        <f>voranmeldefrist_vierteljaehrlich(G25)</f>
        <v/>
      </c>
      <c r="U25" s="27" t="n"/>
      <c r="V25" s="27" t="n"/>
      <c r="W25" s="210">
        <f>IF(K25=TRUE,Q25/J25,Q25)</f>
        <v/>
      </c>
      <c r="X25" s="237">
        <f>V25/100*S25</f>
        <v/>
      </c>
      <c r="Y25">
        <f>IF(AND(V25&gt;0,N25=V25),TRUE,FALSE)</f>
        <v/>
      </c>
      <c r="Z25" s="228">
        <f>IF(C25="Einnahmen",Q25,-Q25)</f>
        <v/>
      </c>
    </row>
    <row r="26">
      <c r="A26" s="53" t="n">
        <v>2019</v>
      </c>
      <c r="B26" s="53" t="n">
        <v>25</v>
      </c>
      <c r="C26" s="71" t="inlineStr">
        <is>
          <t>Ausgaben</t>
        </is>
      </c>
      <c r="D26" t="inlineStr">
        <is>
          <t>Reise- und Fahrtspesen inkl. Kilometergeld und Diäten</t>
        </is>
      </c>
      <c r="E26" s="131" t="inlineStr">
        <is>
          <t>100000171597</t>
        </is>
      </c>
      <c r="G26" s="1" t="n">
        <v>43523</v>
      </c>
      <c r="H26" t="inlineStr">
        <is>
          <t>paybox Bank AG (Parkscheine)</t>
        </is>
      </c>
      <c r="K26">
        <f>(IF(AND(I26&lt;&gt;"",AND(J26="",ABS(Q26)&gt;400)),TRUE,FALSE))</f>
        <v/>
      </c>
      <c r="L26" s="214" t="n">
        <v>21</v>
      </c>
      <c r="M26" s="159" t="n">
        <v>1</v>
      </c>
      <c r="N26" t="n">
        <v>0</v>
      </c>
      <c r="O26" s="237">
        <f>L26*N26/100</f>
        <v/>
      </c>
      <c r="P26" s="237">
        <f>M26*O26</f>
        <v/>
      </c>
      <c r="Q26" s="208">
        <f>L26*M26</f>
        <v/>
      </c>
      <c r="R26" s="251">
        <f>L26+O26</f>
        <v/>
      </c>
      <c r="S26" s="251">
        <f>Q26+P26</f>
        <v/>
      </c>
      <c r="T26" s="35">
        <f>voranmeldefrist_vierteljaehrlich(G26)</f>
        <v/>
      </c>
      <c r="U26" s="27" t="n"/>
      <c r="V26" s="27" t="n"/>
      <c r="W26" s="210">
        <f>IF(K26=TRUE,Q26/J26,Q26)</f>
        <v/>
      </c>
      <c r="X26" s="237">
        <f>V26/100*S26</f>
        <v/>
      </c>
      <c r="Y26">
        <f>IF(AND(V26&gt;0,N26=V26),TRUE,FALSE)</f>
        <v/>
      </c>
      <c r="Z26" s="228">
        <f>IF(C26="Einnahmen",Q26,-Q26)</f>
        <v/>
      </c>
    </row>
    <row r="27">
      <c r="A27" s="53" t="n">
        <v>2019</v>
      </c>
      <c r="B27" s="53" t="n">
        <v>26</v>
      </c>
      <c r="C27" s="71" t="inlineStr">
        <is>
          <t>Ausgaben</t>
        </is>
      </c>
      <c r="D27" t="inlineStr">
        <is>
          <t>Waren, Rohstoffe, Hilfsstoffe</t>
        </is>
      </c>
      <c r="E27" s="9" t="inlineStr">
        <is>
          <t>AEU-INV-AT-2019-5285480</t>
        </is>
      </c>
      <c r="G27" s="1" t="n">
        <v>43528</v>
      </c>
      <c r="H27" t="inlineStr">
        <is>
          <t>Amazon EU S. à r.l., 38 avenue John F. Kennedy, L-1855 Luxembourg</t>
        </is>
      </c>
      <c r="J27" s="76" t="inlineStr">
        <is>
          <t>ja</t>
        </is>
      </c>
      <c r="K27">
        <f>(IF(AND(I27&lt;&gt;"",AND(J27="",ABS(Q27)&gt;400)),TRUE,FALSE))</f>
        <v/>
      </c>
      <c r="L27" s="214" t="n">
        <v>50.34</v>
      </c>
      <c r="M27" s="159" t="n">
        <v>1</v>
      </c>
      <c r="N27" t="n">
        <v>20</v>
      </c>
      <c r="O27" s="237">
        <f>L27*N27/100</f>
        <v/>
      </c>
      <c r="P27" s="237">
        <f>M27*O27</f>
        <v/>
      </c>
      <c r="Q27" s="208">
        <f>L27*M27</f>
        <v/>
      </c>
      <c r="R27" s="251">
        <f>L27+O27</f>
        <v/>
      </c>
      <c r="S27" s="251">
        <f>Q27+P27</f>
        <v/>
      </c>
      <c r="T27" s="35">
        <f>voranmeldefrist_vierteljaehrlich(G27)</f>
        <v/>
      </c>
      <c r="U27" s="27" t="n"/>
      <c r="V27" s="27" t="n"/>
      <c r="W27" s="210">
        <f>IF(K27=TRUE,Q27/J27,Q27)</f>
        <v/>
      </c>
      <c r="X27" s="237">
        <f>V27/100*S27</f>
        <v/>
      </c>
      <c r="Y27">
        <f>IF(AND(V27&gt;0,N27=V27),TRUE,FALSE)</f>
        <v/>
      </c>
      <c r="Z27" s="228">
        <f>IF(C27="Einnahmen",Q27,-Q27)</f>
        <v/>
      </c>
    </row>
    <row r="28">
      <c r="A28" s="53" t="n">
        <v>2019</v>
      </c>
      <c r="B28" s="53" t="n">
        <v>27</v>
      </c>
      <c r="C28" s="71" t="inlineStr">
        <is>
          <t>Ausgaben</t>
        </is>
      </c>
      <c r="D28" t="inlineStr">
        <is>
          <t>Telefon/Internet</t>
        </is>
      </c>
      <c r="E28" s="9" t="inlineStr">
        <is>
          <t>6173537012</t>
        </is>
      </c>
      <c r="G28" s="1" t="n">
        <v>43529</v>
      </c>
      <c r="H28" t="inlineStr">
        <is>
          <t>Hutchison Drei Austria GmbH, Brünner Straße 52, 1210 Wien, Österreich</t>
        </is>
      </c>
      <c r="K28">
        <f>(IF(AND(I28&lt;&gt;"",AND(J28="",ABS(Q28)&gt;400)),TRUE,FALSE))</f>
        <v/>
      </c>
      <c r="L28" s="214">
        <f>18/1.2</f>
        <v/>
      </c>
      <c r="M28" s="159" t="n">
        <v>1</v>
      </c>
      <c r="N28" t="n">
        <v>20</v>
      </c>
      <c r="O28" s="237">
        <f>L28*N28/100</f>
        <v/>
      </c>
      <c r="P28" s="237">
        <f>M28*O28</f>
        <v/>
      </c>
      <c r="Q28" s="208">
        <f>L28*M28</f>
        <v/>
      </c>
      <c r="R28" s="251">
        <f>L28+O28</f>
        <v/>
      </c>
      <c r="S28" s="251">
        <f>Q28+P28</f>
        <v/>
      </c>
      <c r="T28" s="35">
        <f>voranmeldefrist_vierteljaehrlich(G28)</f>
        <v/>
      </c>
      <c r="U28" s="27" t="n"/>
      <c r="V28" s="27" t="n"/>
      <c r="W28" s="210">
        <f>IF(K28=TRUE,Q28/I28,Q28)</f>
        <v/>
      </c>
      <c r="X28" s="237">
        <f>V28/100*S28</f>
        <v/>
      </c>
      <c r="Y28">
        <f>IF(AND(V28&gt;0,N28=V28),TRUE,FALSE)</f>
        <v/>
      </c>
      <c r="Z28" s="228">
        <f>IF(C28="Einnahmen",Q28,-Q28)</f>
        <v/>
      </c>
    </row>
    <row r="29">
      <c r="A29" s="53" t="n">
        <v>2019</v>
      </c>
      <c r="B29" s="53" t="n">
        <v>28</v>
      </c>
      <c r="C29" s="71" t="inlineStr">
        <is>
          <t>Ausgaben</t>
        </is>
      </c>
      <c r="D29" t="inlineStr">
        <is>
          <t>sonstige Betriebsausgaben</t>
        </is>
      </c>
      <c r="E29" s="9" t="inlineStr">
        <is>
          <t>PRM319020005682</t>
        </is>
      </c>
      <c r="G29" s="1" t="n">
        <v>43525</v>
      </c>
      <c r="H29" t="inlineStr">
        <is>
          <t>Xing SE, Dammtorstraße 30, 20354 Hamburg</t>
        </is>
      </c>
      <c r="K29">
        <f>(IF(AND(I29&lt;&gt;"",AND(J29="",ABS(Q29)&gt;400)),TRUE,FALSE))</f>
        <v/>
      </c>
      <c r="L29" s="214" t="n">
        <v>24.88</v>
      </c>
      <c r="M29" s="159" t="n">
        <v>1</v>
      </c>
      <c r="N29" t="n">
        <v>0</v>
      </c>
      <c r="O29" s="237">
        <f>L29*N29/100</f>
        <v/>
      </c>
      <c r="P29" s="237">
        <f>M29*O29</f>
        <v/>
      </c>
      <c r="Q29" s="208">
        <f>L29*M29</f>
        <v/>
      </c>
      <c r="R29" s="251">
        <f>L29+O29</f>
        <v/>
      </c>
      <c r="S29" s="251">
        <f>Q29+P29</f>
        <v/>
      </c>
      <c r="T29" s="35">
        <f>voranmeldefrist_vierteljaehrlich(G29)</f>
        <v/>
      </c>
      <c r="U29" s="27" t="n"/>
      <c r="V29" s="27" t="n">
        <v>20</v>
      </c>
      <c r="W29" s="210">
        <f>IF(K29=TRUE,Q29/I29,Q29)</f>
        <v/>
      </c>
      <c r="X29" s="237">
        <f>V29/100*S29</f>
        <v/>
      </c>
      <c r="Y29">
        <f>IF(AND(V29&gt;0,N29=V29),TRUE,FALSE)</f>
        <v/>
      </c>
      <c r="Z29" s="228">
        <f>IF(C29="Einnahmen",Q29,-Q29)</f>
        <v/>
      </c>
    </row>
    <row r="30">
      <c r="A30" s="53" t="n">
        <v>2019</v>
      </c>
      <c r="B30" s="53" t="n">
        <v>29</v>
      </c>
      <c r="C30" s="71" t="inlineStr">
        <is>
          <t>Ausgaben</t>
        </is>
      </c>
      <c r="D30" t="inlineStr">
        <is>
          <t>Reise- und Fahrtspesen inkl. Kilometergeld und Diäten</t>
        </is>
      </c>
      <c r="E30" s="9" t="inlineStr">
        <is>
          <t>(keine RNr)</t>
        </is>
      </c>
      <c r="G30" s="1" t="n">
        <v>43530</v>
      </c>
      <c r="H30" t="inlineStr">
        <is>
          <t>Wiener Linien GmbH &amp; Co KG</t>
        </is>
      </c>
      <c r="K30">
        <f>(IF(AND(I30&lt;&gt;"",AND(J30="",ABS(Q30)&gt;400)),TRUE,FALSE))</f>
        <v/>
      </c>
      <c r="L30" s="214">
        <f>365-33.18</f>
        <v/>
      </c>
      <c r="M30" s="159" t="n">
        <v>1</v>
      </c>
      <c r="N30" t="n">
        <v>10</v>
      </c>
      <c r="O30" s="237">
        <f>L30*N30/100</f>
        <v/>
      </c>
      <c r="P30" s="237">
        <f>M30*O30</f>
        <v/>
      </c>
      <c r="Q30" s="208">
        <f>L30*M30</f>
        <v/>
      </c>
      <c r="R30" s="251">
        <f>L30+O30</f>
        <v/>
      </c>
      <c r="S30" s="251">
        <f>Q30+P30</f>
        <v/>
      </c>
      <c r="T30" s="35">
        <f>voranmeldefrist_vierteljaehrlich(G30)</f>
        <v/>
      </c>
      <c r="U30" s="27" t="n"/>
      <c r="V30" s="27" t="n"/>
      <c r="W30" s="210">
        <f>IF(K30=TRUE,Q30/I30,Q30)</f>
        <v/>
      </c>
      <c r="X30" s="237">
        <f>V30/100*S30</f>
        <v/>
      </c>
      <c r="Y30">
        <f>IF(AND(V30&gt;0,N30=V30),TRUE,FALSE)</f>
        <v/>
      </c>
      <c r="Z30" s="228">
        <f>IF(C30="Einnahmen",Q30,-Q30)</f>
        <v/>
      </c>
    </row>
    <row r="31">
      <c r="A31" s="53" t="n">
        <v>2019</v>
      </c>
      <c r="B31" s="53" t="n">
        <v>30</v>
      </c>
      <c r="C31" s="71" t="inlineStr">
        <is>
          <t>Ausgaben</t>
        </is>
      </c>
      <c r="D31" t="inlineStr">
        <is>
          <t>Telefon/Internet</t>
        </is>
      </c>
      <c r="E31" s="9" t="inlineStr">
        <is>
          <t>173771178-00</t>
        </is>
      </c>
      <c r="G31" s="1" t="n">
        <v>43531</v>
      </c>
      <c r="H31" t="inlineStr">
        <is>
          <t>UPC Telekabel Wien GmbH</t>
        </is>
      </c>
      <c r="K31">
        <f>(IF(AND(I31&lt;&gt;"",AND(J31="",ABS(Q31)&gt;400)),TRUE,FALSE))</f>
        <v/>
      </c>
      <c r="L31" s="214">
        <f>27.82+1.04</f>
        <v/>
      </c>
      <c r="M31" s="159">
        <f>2/3</f>
        <v/>
      </c>
      <c r="N31" t="n">
        <v>20</v>
      </c>
      <c r="O31" s="237">
        <f>L31*N31/100</f>
        <v/>
      </c>
      <c r="P31" s="237">
        <f>M31*O31</f>
        <v/>
      </c>
      <c r="Q31" s="208">
        <f>L31*M31</f>
        <v/>
      </c>
      <c r="R31" s="251">
        <f>L31+O31</f>
        <v/>
      </c>
      <c r="S31" s="251">
        <f>Q31+P31</f>
        <v/>
      </c>
      <c r="T31" s="35">
        <f>voranmeldefrist_vierteljaehrlich(G31)</f>
        <v/>
      </c>
      <c r="U31" s="27" t="n"/>
      <c r="V31" s="27" t="n"/>
      <c r="W31" s="210">
        <f>IF(K31=TRUE,Q31/J31,Q31)</f>
        <v/>
      </c>
      <c r="X31" s="237">
        <f>V31/100*S31</f>
        <v/>
      </c>
      <c r="Y31">
        <f>IF(AND(V31&gt;0,N31=V31),TRUE,FALSE)</f>
        <v/>
      </c>
      <c r="Z31" s="228">
        <f>IF(C31="Einnahmen",Q31,-Q31)</f>
        <v/>
      </c>
    </row>
    <row r="32">
      <c r="A32" s="53" t="n">
        <v>2019</v>
      </c>
      <c r="B32" s="53" t="n">
        <v>31</v>
      </c>
      <c r="C32" s="71" t="inlineStr">
        <is>
          <t>Ausgaben</t>
        </is>
      </c>
      <c r="D32" t="inlineStr">
        <is>
          <t>Waren, Rohstoffe, Hilfsstoffe</t>
        </is>
      </c>
      <c r="E32" s="9" t="inlineStr">
        <is>
          <t>AEU-INV-AT-2019-5947804</t>
        </is>
      </c>
      <c r="G32" s="1" t="n">
        <v>43535</v>
      </c>
      <c r="H32" t="inlineStr">
        <is>
          <t>Amazon EU S. à r.l., 38 avenue John F. Kennedy, L-1855 Luxembourg: HJEU: Xperia XZ2 Compact</t>
        </is>
      </c>
      <c r="J32" s="76" t="inlineStr">
        <is>
          <t>ja</t>
        </is>
      </c>
      <c r="K32">
        <f>(IF(AND(I32&lt;&gt;"",AND(J32="",ABS(Q32)&gt;400)),TRUE,FALSE))</f>
        <v/>
      </c>
      <c r="L32" s="214" t="n">
        <v>373.24</v>
      </c>
      <c r="M32" s="159" t="n">
        <v>1</v>
      </c>
      <c r="N32" t="n">
        <v>20</v>
      </c>
      <c r="O32" s="237">
        <f>L32*N32/100</f>
        <v/>
      </c>
      <c r="P32" s="237">
        <f>M32*O32</f>
        <v/>
      </c>
      <c r="Q32" s="208">
        <f>L32*M32</f>
        <v/>
      </c>
      <c r="R32" s="251">
        <f>L32+O32</f>
        <v/>
      </c>
      <c r="S32" s="251">
        <f>Q32+P32</f>
        <v/>
      </c>
      <c r="T32" s="35">
        <f>voranmeldefrist_vierteljaehrlich(G32)</f>
        <v/>
      </c>
      <c r="U32" s="27" t="n"/>
      <c r="V32" s="27" t="n"/>
      <c r="W32" s="210">
        <f>IF(K32=TRUE,Q32/J32,Q32)</f>
        <v/>
      </c>
      <c r="X32" s="237">
        <f>V32/100*S32</f>
        <v/>
      </c>
      <c r="Y32">
        <f>IF(AND(V32&gt;0,N32=V32),TRUE,FALSE)</f>
        <v/>
      </c>
      <c r="Z32" s="228">
        <f>IF(C32="Einnahmen",Q32,-Q32)</f>
        <v/>
      </c>
    </row>
    <row r="33">
      <c r="A33" s="53" t="n">
        <v>2019</v>
      </c>
      <c r="B33" s="53" t="n">
        <v>32</v>
      </c>
      <c r="C33" s="71" t="inlineStr">
        <is>
          <t>Ausgaben</t>
        </is>
      </c>
      <c r="D33" t="inlineStr">
        <is>
          <t>sonstige Betriebsausgaben</t>
        </is>
      </c>
      <c r="E33" s="9" t="inlineStr">
        <is>
          <t>R0009290830</t>
        </is>
      </c>
      <c r="G33" s="1" t="n">
        <v>43535</v>
      </c>
      <c r="H33" t="inlineStr">
        <is>
          <t>Hetzner Online GmbH</t>
        </is>
      </c>
      <c r="K33">
        <f>(IF(AND(I33&lt;&gt;"",AND(J33="",ABS(Q33)&gt;400)),TRUE,FALSE))</f>
        <v/>
      </c>
      <c r="L33" s="214" t="n">
        <v>46.92</v>
      </c>
      <c r="M33" s="159" t="n">
        <v>1</v>
      </c>
      <c r="N33" t="n">
        <v>0</v>
      </c>
      <c r="O33" s="237">
        <f>L33*N33/100</f>
        <v/>
      </c>
      <c r="P33" s="237">
        <f>M33*O33</f>
        <v/>
      </c>
      <c r="Q33" s="208">
        <f>L33*M33</f>
        <v/>
      </c>
      <c r="R33" s="251">
        <f>L33+O33</f>
        <v/>
      </c>
      <c r="S33" s="251">
        <f>Q33+P33</f>
        <v/>
      </c>
      <c r="T33" s="35">
        <f>voranmeldefrist_vierteljaehrlich(G33)</f>
        <v/>
      </c>
      <c r="U33" s="27" t="n"/>
      <c r="V33" s="27" t="n">
        <v>20</v>
      </c>
      <c r="W33" s="210">
        <f>IF(K33=TRUE,Q33/J33,Q33)</f>
        <v/>
      </c>
      <c r="X33" s="237">
        <f>V33/100*S33</f>
        <v/>
      </c>
      <c r="Y33">
        <f>IF(AND(V33&gt;0,N33=V33),TRUE,FALSE)</f>
        <v/>
      </c>
      <c r="Z33" s="228">
        <f>IF(C33="Einnahmen",Q33,-Q33)</f>
        <v/>
      </c>
    </row>
    <row r="34">
      <c r="A34" s="53" t="n">
        <v>2019</v>
      </c>
      <c r="B34" s="53" t="n">
        <v>33</v>
      </c>
      <c r="C34" s="71" t="inlineStr">
        <is>
          <t>Ausgaben</t>
        </is>
      </c>
      <c r="D34" t="inlineStr">
        <is>
          <t>Waren, Rohstoffe, Hilfsstoffe</t>
        </is>
      </c>
      <c r="E34" s="9" t="inlineStr">
        <is>
          <t>AEU-INV-AT-2019-6418956</t>
        </is>
      </c>
      <c r="G34" s="1" t="n">
        <v>43539</v>
      </c>
      <c r="H34" t="inlineStr">
        <is>
          <t>Amazon EU S. à r.l., 38 avenue John F. Kennedy, L-1855 Luxembourg: HJEU: Sony 1312-4414</t>
        </is>
      </c>
      <c r="J34" s="76" t="inlineStr">
        <is>
          <t>ja</t>
        </is>
      </c>
      <c r="K34">
        <f>(IF(AND(I34&lt;&gt;"",AND(J34="",ABS(Q34)&gt;400)),TRUE,FALSE))</f>
        <v/>
      </c>
      <c r="L34" s="214" t="n">
        <v>24.99</v>
      </c>
      <c r="M34" s="159" t="n">
        <v>1</v>
      </c>
      <c r="N34" t="n">
        <v>20</v>
      </c>
      <c r="O34" s="237">
        <f>L34*N34/100</f>
        <v/>
      </c>
      <c r="P34" s="237">
        <f>M34*O34</f>
        <v/>
      </c>
      <c r="Q34" s="208">
        <f>L34*M34</f>
        <v/>
      </c>
      <c r="R34" s="251">
        <f>L34+O34</f>
        <v/>
      </c>
      <c r="S34" s="251">
        <f>Q34+P34</f>
        <v/>
      </c>
      <c r="T34" s="35">
        <f>voranmeldefrist_vierteljaehrlich(G34)</f>
        <v/>
      </c>
      <c r="U34" s="27" t="n"/>
      <c r="V34" s="27" t="n"/>
      <c r="W34" s="210">
        <f>IF(K34=TRUE,Q34/I34,Q34)</f>
        <v/>
      </c>
      <c r="X34" s="237">
        <f>V34/100*S34</f>
        <v/>
      </c>
      <c r="Y34">
        <f>IF(AND(V34&gt;0,N34=V34),TRUE,FALSE)</f>
        <v/>
      </c>
      <c r="Z34" s="228">
        <f>IF(C34="Einnahmen",Q34,-Q34)</f>
        <v/>
      </c>
    </row>
    <row r="35">
      <c r="A35" s="53" t="n">
        <v>2019</v>
      </c>
      <c r="B35" s="53" t="n">
        <v>34</v>
      </c>
      <c r="C35" s="71" t="inlineStr">
        <is>
          <t>Ausgaben</t>
        </is>
      </c>
      <c r="D35" t="inlineStr">
        <is>
          <t>sonstige Betriebsausgaben</t>
        </is>
      </c>
      <c r="E35" s="9" t="inlineStr">
        <is>
          <t>14004275516/40/2019</t>
        </is>
      </c>
      <c r="G35" s="1" t="n">
        <v>43539</v>
      </c>
      <c r="H35" t="inlineStr">
        <is>
          <t>Montana Energie Handel AT GmbH</t>
        </is>
      </c>
      <c r="K35">
        <f>(IF(AND(I35&lt;&gt;"",AND(J35="",ABS(Q35)&gt;400)),TRUE,FALSE))</f>
        <v/>
      </c>
      <c r="L35" s="214" t="n">
        <v>78.33</v>
      </c>
      <c r="M35" s="159">
        <f>Arbeitszimmer!$B$3</f>
        <v/>
      </c>
      <c r="N35" t="n">
        <v>20</v>
      </c>
      <c r="O35" s="237">
        <f>L35*N35/100</f>
        <v/>
      </c>
      <c r="P35" s="237">
        <f>M35*O35</f>
        <v/>
      </c>
      <c r="Q35" s="208">
        <f>L35*M35</f>
        <v/>
      </c>
      <c r="R35" s="251">
        <f>L35+O35</f>
        <v/>
      </c>
      <c r="S35" s="251">
        <f>Q35+P35</f>
        <v/>
      </c>
      <c r="T35" s="35">
        <f>voranmeldefrist_vierteljaehrlich(G35)</f>
        <v/>
      </c>
      <c r="U35" s="27" t="n"/>
      <c r="V35" s="27" t="n"/>
      <c r="W35" s="210">
        <f>IF(K35=TRUE,Q35/J35,Q35)</f>
        <v/>
      </c>
      <c r="X35" s="237">
        <f>V35/100*S35</f>
        <v/>
      </c>
      <c r="Y35">
        <f>IF(AND(V35&gt;0,N35=V35),TRUE,FALSE)</f>
        <v/>
      </c>
      <c r="Z35" s="228">
        <f>IF(C35="Einnahmen",Q35,-Q35)</f>
        <v/>
      </c>
    </row>
    <row r="36">
      <c r="A36" s="53" t="n">
        <v>2019</v>
      </c>
      <c r="B36" s="53" t="n">
        <v>35</v>
      </c>
      <c r="C36" s="71" t="inlineStr">
        <is>
          <t>Ausgaben</t>
        </is>
      </c>
      <c r="D36" t="inlineStr">
        <is>
          <t>sonstige Betriebsausgaben</t>
        </is>
      </c>
      <c r="E36" s="9" t="inlineStr">
        <is>
          <t>RE0702580</t>
        </is>
      </c>
      <c r="G36" s="1" t="n">
        <v>43549</v>
      </c>
      <c r="H36" t="inlineStr">
        <is>
          <t>easyname GmbH, Fernkorngasse 10/3/501, A-1100 Wien</t>
        </is>
      </c>
      <c r="K36">
        <f>(IF(AND(I36&lt;&gt;"",AND(J36="",ABS(Q36)&gt;400)),TRUE,FALSE))</f>
        <v/>
      </c>
      <c r="L36" s="214" t="n">
        <v>12.42</v>
      </c>
      <c r="M36" s="159" t="n">
        <v>1</v>
      </c>
      <c r="N36" t="n">
        <v>20</v>
      </c>
      <c r="O36" s="237">
        <f>L36*N36/100</f>
        <v/>
      </c>
      <c r="P36" s="237">
        <f>M36*O36</f>
        <v/>
      </c>
      <c r="Q36" s="208">
        <f>L36*M36</f>
        <v/>
      </c>
      <c r="R36" s="251">
        <f>L36+O36</f>
        <v/>
      </c>
      <c r="S36" s="251">
        <f>Q36+P36</f>
        <v/>
      </c>
      <c r="T36" s="35">
        <f>voranmeldefrist_vierteljaehrlich(G36)</f>
        <v/>
      </c>
      <c r="U36" s="27" t="n"/>
      <c r="V36" s="27" t="n"/>
      <c r="W36" s="210">
        <f>IF(K36=TRUE,Q36/J36,Q36)</f>
        <v/>
      </c>
      <c r="X36" s="237">
        <f>V36/100*S36</f>
        <v/>
      </c>
      <c r="Y36">
        <f>IF(AND(V36&gt;0,N36=V36),TRUE,FALSE)</f>
        <v/>
      </c>
      <c r="Z36" s="228">
        <f>IF(C36="Einnahmen",Q36,-Q36)</f>
        <v/>
      </c>
    </row>
    <row r="37">
      <c r="A37" s="53" t="n">
        <v>2019</v>
      </c>
      <c r="B37" s="53" t="n">
        <v>36</v>
      </c>
      <c r="C37" s="71" t="inlineStr">
        <is>
          <t>Ausgaben</t>
        </is>
      </c>
      <c r="D37" t="inlineStr">
        <is>
          <t>Waren, Rohstoffe, Hilfsstoffe</t>
        </is>
      </c>
      <c r="E37" s="9" t="inlineStr">
        <is>
          <t>725500</t>
        </is>
      </c>
      <c r="G37" s="1" t="n">
        <v>43549</v>
      </c>
      <c r="H37" t="inlineStr">
        <is>
          <t>Lemon Technologies GmbH, Unterweißenbach 181, 7330 Feldbach: Lenovo T580, Lenovo X1 Carbon etc.</t>
        </is>
      </c>
      <c r="J37" s="76" t="inlineStr">
        <is>
          <t>ja</t>
        </is>
      </c>
      <c r="K37">
        <f>(IF(AND(I37&lt;&gt;"",AND(J37="",ABS(Q37)&gt;400)),TRUE,FALSE))</f>
        <v/>
      </c>
      <c r="L37" s="214">
        <f>3511.66/1.2</f>
        <v/>
      </c>
      <c r="M37" s="159" t="n">
        <v>1</v>
      </c>
      <c r="N37" t="n">
        <v>20</v>
      </c>
      <c r="O37" s="237">
        <f>L37*N37/100</f>
        <v/>
      </c>
      <c r="P37" s="237">
        <f>M37*O37</f>
        <v/>
      </c>
      <c r="Q37" s="208">
        <f>L37*M37</f>
        <v/>
      </c>
      <c r="R37" s="251">
        <f>L37+O37</f>
        <v/>
      </c>
      <c r="S37" s="251">
        <f>Q37+P37</f>
        <v/>
      </c>
      <c r="T37" s="35">
        <f>voranmeldefrist_vierteljaehrlich(G37)</f>
        <v/>
      </c>
      <c r="U37" s="27" t="n"/>
      <c r="V37" s="27" t="n"/>
      <c r="W37" s="210">
        <f>IF(K37=TRUE,Q37/I37,Q37)</f>
        <v/>
      </c>
      <c r="X37" s="237">
        <f>V37/100*S37</f>
        <v/>
      </c>
      <c r="Y37">
        <f>IF(AND(V37&gt;0,N37=V37),TRUE,FALSE)</f>
        <v/>
      </c>
      <c r="Z37" s="228">
        <f>IF(C37="Einnahmen",Q37,-Q37)</f>
        <v/>
      </c>
    </row>
    <row r="38">
      <c r="A38" s="53" t="n">
        <v>2019</v>
      </c>
      <c r="B38" s="53" t="n">
        <v>37</v>
      </c>
      <c r="C38" s="71" t="inlineStr">
        <is>
          <t>Ausgaben</t>
        </is>
      </c>
      <c r="D38" t="inlineStr">
        <is>
          <t>Miet- und Pachtaufwand, Leasing</t>
        </is>
      </c>
      <c r="E38" s="9" t="inlineStr">
        <is>
          <t>2019/8058/14</t>
        </is>
      </c>
      <c r="G38" s="1" t="n">
        <v>43549</v>
      </c>
      <c r="H38" t="inlineStr">
        <is>
          <t>Premium Laudongasse 58 GmbH &amp; Co KG</t>
        </is>
      </c>
      <c r="K38">
        <f>(IF(AND(I38&lt;&gt;"",AND(J38="",ABS(Q38)&gt;400)),TRUE,FALSE))</f>
        <v/>
      </c>
      <c r="L38" s="214" t="n">
        <v>763.4400000000001</v>
      </c>
      <c r="M38" s="159">
        <f>Arbeitszimmer!$B$3</f>
        <v/>
      </c>
      <c r="N38" t="n">
        <v>10</v>
      </c>
      <c r="O38" s="237">
        <f>L38*N38/100</f>
        <v/>
      </c>
      <c r="P38" s="237">
        <f>M38*O38</f>
        <v/>
      </c>
      <c r="Q38" s="208">
        <f>L38*M38</f>
        <v/>
      </c>
      <c r="R38" s="251">
        <f>L38+O38</f>
        <v/>
      </c>
      <c r="S38" s="251">
        <f>Q38+P38</f>
        <v/>
      </c>
      <c r="T38" s="35">
        <f>voranmeldefrist_vierteljaehrlich(G38)</f>
        <v/>
      </c>
      <c r="U38" s="27" t="n"/>
      <c r="V38" s="27" t="n"/>
      <c r="W38" s="210">
        <f>IF(K38=TRUE,Q38/J38,Q38)</f>
        <v/>
      </c>
      <c r="X38" s="237">
        <f>V38/100*S38</f>
        <v/>
      </c>
      <c r="Y38">
        <f>IF(AND(V38&gt;0,N38=V38),TRUE,FALSE)</f>
        <v/>
      </c>
      <c r="Z38" s="228">
        <f>IF(C38="Einnahmen",Q38,-Q38)</f>
        <v/>
      </c>
    </row>
    <row r="39">
      <c r="A39" s="53" t="n">
        <v>2019</v>
      </c>
      <c r="B39" s="53" t="n">
        <v>38</v>
      </c>
      <c r="C39" s="71" t="inlineStr">
        <is>
          <t>Ausgaben</t>
        </is>
      </c>
      <c r="D39" t="inlineStr">
        <is>
          <t>Telefon/Internet</t>
        </is>
      </c>
      <c r="E39" s="9" t="inlineStr">
        <is>
          <t>6175379895</t>
        </is>
      </c>
      <c r="G39" s="1" t="n">
        <v>43556</v>
      </c>
      <c r="H39" t="inlineStr">
        <is>
          <t>Hutchison Drei Austria GmbH, Brünner Straße 52, 1210 Wien, Österreich</t>
        </is>
      </c>
      <c r="K39">
        <f>(IF(AND(I39&lt;&gt;"",AND(J39="",ABS(Q39)&gt;400)),TRUE,FALSE))</f>
        <v/>
      </c>
      <c r="L39" s="214" t="n">
        <v>17.03</v>
      </c>
      <c r="M39" s="159" t="n">
        <v>1</v>
      </c>
      <c r="N39" t="n">
        <v>20</v>
      </c>
      <c r="O39" s="237">
        <f>L39*N39/100</f>
        <v/>
      </c>
      <c r="P39" s="237">
        <f>M39*O39</f>
        <v/>
      </c>
      <c r="Q39" s="208">
        <f>L39*M39</f>
        <v/>
      </c>
      <c r="R39" s="251">
        <f>L39+O39</f>
        <v/>
      </c>
      <c r="S39" s="251">
        <f>Q39+P39</f>
        <v/>
      </c>
      <c r="T39" s="35">
        <f>voranmeldefrist_vierteljaehrlich(G39)</f>
        <v/>
      </c>
      <c r="U39" s="27" t="n"/>
      <c r="V39" s="27" t="n"/>
      <c r="W39" s="210">
        <f>IF(K39=TRUE,Q39/I39,Q39)</f>
        <v/>
      </c>
      <c r="X39" s="237">
        <f>V39/100*S39</f>
        <v/>
      </c>
      <c r="Y39">
        <f>IF(AND(V39&gt;0,N39=V39),TRUE,FALSE)</f>
        <v/>
      </c>
      <c r="Z39" s="228">
        <f>IF(C39="Einnahmen",Q39,-Q39)</f>
        <v/>
      </c>
    </row>
    <row r="40">
      <c r="A40" s="53" t="n">
        <v>2019</v>
      </c>
      <c r="B40" s="53" t="n">
        <v>39</v>
      </c>
      <c r="C40" s="71" t="inlineStr">
        <is>
          <t>Ausgaben</t>
        </is>
      </c>
      <c r="D40" t="inlineStr">
        <is>
          <t>Reise- und Fahrtspesen inkl. Kilometergeld und Diäten</t>
        </is>
      </c>
      <c r="E40" s="9" t="inlineStr">
        <is>
          <t>3293000007360286</t>
        </is>
      </c>
      <c r="G40" s="1" t="n">
        <v>43553</v>
      </c>
      <c r="H40" t="inlineStr">
        <is>
          <t>car2go Österreich GmbH, Hintere Zollamtstraße 9, 1030 Wien</t>
        </is>
      </c>
      <c r="K40">
        <f>(IF(AND(I40&lt;&gt;"",AND(J40="",ABS(Q40)&gt;400)),TRUE,FALSE))</f>
        <v/>
      </c>
      <c r="L40" s="214" t="n">
        <v>4.39</v>
      </c>
      <c r="M40" s="159" t="n">
        <v>1</v>
      </c>
      <c r="N40" t="n">
        <v>20</v>
      </c>
      <c r="O40" s="237">
        <f>L40*N40/100</f>
        <v/>
      </c>
      <c r="P40" s="237">
        <f>M40*O40</f>
        <v/>
      </c>
      <c r="Q40" s="208">
        <f>L40*M40</f>
        <v/>
      </c>
      <c r="R40" s="251">
        <f>L40+O40</f>
        <v/>
      </c>
      <c r="S40" s="251">
        <f>Q40+P40</f>
        <v/>
      </c>
      <c r="T40" s="35">
        <f>voranmeldefrist_vierteljaehrlich(G40)</f>
        <v/>
      </c>
      <c r="U40" s="27" t="n"/>
      <c r="V40" s="27" t="n"/>
      <c r="W40" s="210">
        <f>IF(K40=TRUE,Q40/I40,Q40)</f>
        <v/>
      </c>
      <c r="X40" s="237">
        <f>V40/100*S40</f>
        <v/>
      </c>
      <c r="Y40">
        <f>IF(AND(V40&gt;0,N40=V40),TRUE,FALSE)</f>
        <v/>
      </c>
      <c r="Z40" s="228">
        <f>IF(C40="Einnahmen",Q40,-Q40)</f>
        <v/>
      </c>
    </row>
    <row r="41">
      <c r="A41" s="53" t="n">
        <v>2019</v>
      </c>
      <c r="B41" s="53" t="n">
        <v>40</v>
      </c>
      <c r="C41" s="71" t="inlineStr">
        <is>
          <t>Ausgaben</t>
        </is>
      </c>
      <c r="D41" t="inlineStr">
        <is>
          <t>Büromaterial</t>
        </is>
      </c>
      <c r="E41" s="9" t="inlineStr">
        <is>
          <t>01/00003810/00899151</t>
        </is>
      </c>
      <c r="G41" s="1" t="n">
        <v>43553</v>
      </c>
      <c r="H41" t="inlineStr">
        <is>
          <t>Büroprofi Koch Papier GmbH, 1080 Wien, Josefstädter Str  87</t>
        </is>
      </c>
      <c r="K41">
        <f>(IF(AND(I41&lt;&gt;"",AND(J41="",ABS(Q41)&gt;400)),TRUE,FALSE))</f>
        <v/>
      </c>
      <c r="L41" s="214">
        <f>23.18/1.2</f>
        <v/>
      </c>
      <c r="M41" s="159" t="n">
        <v>1</v>
      </c>
      <c r="N41" t="n">
        <v>20</v>
      </c>
      <c r="O41" s="237">
        <f>L41*N41/100</f>
        <v/>
      </c>
      <c r="P41" s="237">
        <f>M41*O41</f>
        <v/>
      </c>
      <c r="Q41" s="208">
        <f>L41*M41</f>
        <v/>
      </c>
      <c r="R41" s="251">
        <f>L41+O41</f>
        <v/>
      </c>
      <c r="S41" s="251">
        <f>Q41+P41</f>
        <v/>
      </c>
      <c r="T41" s="35">
        <f>voranmeldefrist_vierteljaehrlich(G41)</f>
        <v/>
      </c>
      <c r="U41" s="27" t="n"/>
      <c r="V41" s="27" t="n"/>
      <c r="W41" s="210">
        <f>IF(K41=TRUE,Q41/I41,Q41)</f>
        <v/>
      </c>
      <c r="X41" s="237">
        <f>V41/100*S41</f>
        <v/>
      </c>
      <c r="Y41">
        <f>IF(AND(V41&gt;0,N41=V41),TRUE,FALSE)</f>
        <v/>
      </c>
      <c r="Z41" s="228">
        <f>IF(C41="Einnahmen",Q41,-Q41)</f>
        <v/>
      </c>
    </row>
    <row r="42">
      <c r="A42" s="53" t="n">
        <v>2019</v>
      </c>
      <c r="B42" s="53" t="n">
        <v>41</v>
      </c>
      <c r="C42" s="71" t="inlineStr">
        <is>
          <t>Ausgaben</t>
        </is>
      </c>
      <c r="D42" t="inlineStr">
        <is>
          <t>Waren, Rohstoffe, Hilfsstoffe</t>
        </is>
      </c>
      <c r="E42" s="9" t="inlineStr">
        <is>
          <t>AEU-INV-AT-2019-8185106</t>
        </is>
      </c>
      <c r="G42" s="1" t="n">
        <v>43558</v>
      </c>
      <c r="H42" t="inlineStr">
        <is>
          <t>Amazon EU S. à r.l., 38 avenue John F. Kennedy, L-1855 Luxembourg: HJEU: DVI-HDMI, Logitech Maus</t>
        </is>
      </c>
      <c r="J42" s="76" t="inlineStr">
        <is>
          <t>ja</t>
        </is>
      </c>
      <c r="K42">
        <f>(IF(AND(I42&lt;&gt;"",AND(J42="",ABS(Q42)&gt;400)),TRUE,FALSE))</f>
        <v/>
      </c>
      <c r="L42" s="214" t="n">
        <v>13.42</v>
      </c>
      <c r="M42" s="159" t="n">
        <v>1</v>
      </c>
      <c r="N42" t="n">
        <v>20</v>
      </c>
      <c r="O42" s="237">
        <f>L42*N42/100</f>
        <v/>
      </c>
      <c r="P42" s="237">
        <f>M42*O42</f>
        <v/>
      </c>
      <c r="Q42" s="208">
        <f>L42*M42</f>
        <v/>
      </c>
      <c r="R42" s="251">
        <f>L42+O42</f>
        <v/>
      </c>
      <c r="S42" s="251">
        <f>Q42+P42</f>
        <v/>
      </c>
      <c r="T42" s="35">
        <f>voranmeldefrist_vierteljaehrlich(G42)</f>
        <v/>
      </c>
      <c r="U42" s="27" t="n"/>
      <c r="V42" s="27" t="n"/>
      <c r="W42" s="210">
        <f>IF(K42=TRUE,Q42/I42,Q42)</f>
        <v/>
      </c>
      <c r="X42" s="237">
        <f>V42/100*S42</f>
        <v/>
      </c>
      <c r="Y42">
        <f>IF(AND(V42&gt;0,N42=V42),TRUE,FALSE)</f>
        <v/>
      </c>
      <c r="Z42" s="228">
        <f>IF(C42="Einnahmen",Q42,-Q42)</f>
        <v/>
      </c>
    </row>
    <row r="43">
      <c r="A43" s="53" t="n">
        <v>2019</v>
      </c>
      <c r="B43" s="53" t="n">
        <v>42</v>
      </c>
      <c r="C43" s="71" t="inlineStr">
        <is>
          <t>Ausgaben</t>
        </is>
      </c>
      <c r="D43" t="inlineStr">
        <is>
          <t>Büromaterial</t>
        </is>
      </c>
      <c r="E43" s="9" t="inlineStr">
        <is>
          <t>(keine RNr)</t>
        </is>
      </c>
      <c r="G43" s="1" t="n">
        <v>43558</v>
      </c>
      <c r="H43" t="inlineStr">
        <is>
          <t>Shenzhen Link Dream Electronics Co., Ltd., Rm 510,5/F, Huafa Bld, Huafa North Rd, Futian Dist, Shenzhen, China</t>
        </is>
      </c>
      <c r="K43">
        <f>(IF(AND(I43&lt;&gt;"",AND(J43="",ABS(Q43)&gt;400)),TRUE,FALSE))</f>
        <v/>
      </c>
      <c r="L43" s="214" t="n">
        <v>18.99</v>
      </c>
      <c r="M43" s="159" t="n">
        <v>1</v>
      </c>
      <c r="N43" t="n">
        <v>0</v>
      </c>
      <c r="O43" s="237">
        <f>L43*N43/100</f>
        <v/>
      </c>
      <c r="P43" s="237">
        <f>M43*O43</f>
        <v/>
      </c>
      <c r="Q43" s="208">
        <f>L43*M43</f>
        <v/>
      </c>
      <c r="R43" s="251">
        <f>L43+O43</f>
        <v/>
      </c>
      <c r="S43" s="251">
        <f>Q43+P43</f>
        <v/>
      </c>
      <c r="T43" s="35">
        <f>voranmeldefrist_vierteljaehrlich(G43)</f>
        <v/>
      </c>
      <c r="U43" s="27" t="n"/>
      <c r="V43" s="27" t="n"/>
      <c r="W43" s="210">
        <f>IF(K43=TRUE,Q43/I43,Q43)</f>
        <v/>
      </c>
      <c r="X43" s="237">
        <f>V43/100*S43</f>
        <v/>
      </c>
      <c r="Y43">
        <f>IF(AND(V43&gt;0,N43=V43),TRUE,FALSE)</f>
        <v/>
      </c>
      <c r="Z43" s="228">
        <f>IF(C43="Einnahmen",Q43,-Q43)</f>
        <v/>
      </c>
    </row>
    <row r="44">
      <c r="A44" s="53" t="n">
        <v>2019</v>
      </c>
      <c r="B44" s="53" t="n">
        <v>43</v>
      </c>
      <c r="C44" s="71" t="inlineStr">
        <is>
          <t>Einnahmen</t>
        </is>
      </c>
      <c r="D44" t="inlineStr">
        <is>
          <t>Waren-/Leistungserlöse</t>
        </is>
      </c>
      <c r="E44" s="9" t="n">
        <v>12019002</v>
      </c>
      <c r="G44" s="44" t="n">
        <v>43564</v>
      </c>
      <c r="H44" t="inlineStr">
        <is>
          <t>Stokol GmbH, Weiglg. 10/10d/11, 1150 Wien</t>
        </is>
      </c>
      <c r="K44">
        <f>(IF(AND(I44&lt;&gt;"",AND(J44="",ABS(Q44)&gt;400)),TRUE,FALSE))</f>
        <v/>
      </c>
      <c r="L44" s="214" t="n">
        <v>649.4</v>
      </c>
      <c r="M44" s="159" t="n">
        <v>1</v>
      </c>
      <c r="N44" t="n">
        <v>20</v>
      </c>
      <c r="O44" s="237">
        <f>L44*N44/100</f>
        <v/>
      </c>
      <c r="P44" s="237">
        <f>M44*O44</f>
        <v/>
      </c>
      <c r="Q44" s="208">
        <f>L44*M44</f>
        <v/>
      </c>
      <c r="R44" s="251">
        <f>L44+O44</f>
        <v/>
      </c>
      <c r="S44" s="251">
        <f>Q44+P44</f>
        <v/>
      </c>
      <c r="T44" s="35">
        <f>voranmeldefrist_vierteljaehrlich(G44)</f>
        <v/>
      </c>
      <c r="U44" s="27" t="n"/>
      <c r="V44" s="27" t="n"/>
      <c r="W44" s="210">
        <f>IF(K44=TRUE,Q44/J44,Q44)</f>
        <v/>
      </c>
      <c r="X44" s="237">
        <f>V44/100*S44</f>
        <v/>
      </c>
      <c r="Y44">
        <f>IF(AND(V44&gt;0,N44=V44),TRUE,FALSE)</f>
        <v/>
      </c>
      <c r="Z44" s="228">
        <f>IF(C44="Einnahmen",Q44,-Q44)</f>
        <v/>
      </c>
    </row>
    <row r="45">
      <c r="A45" s="53" t="n">
        <v>2019</v>
      </c>
      <c r="B45" s="53" t="n">
        <v>44</v>
      </c>
      <c r="C45" s="71" t="inlineStr">
        <is>
          <t>Einnahmen</t>
        </is>
      </c>
      <c r="D45" t="inlineStr">
        <is>
          <t>Waren-/Leistungserlöse</t>
        </is>
      </c>
      <c r="E45" s="133" t="n">
        <v>12019003</v>
      </c>
      <c r="G45" s="44" t="n">
        <v>43571</v>
      </c>
      <c r="H45" t="inlineStr">
        <is>
          <t>Schick Küchendesign e.U. Alexander Schick, Linzerstraße 247, 1140 Wien</t>
        </is>
      </c>
      <c r="K45">
        <f>(IF(AND(I45&lt;&gt;"",AND(J45="",ABS(Q45)&gt;400)),TRUE,FALSE))</f>
        <v/>
      </c>
      <c r="L45" s="214" t="n">
        <v>700.75</v>
      </c>
      <c r="M45" s="159" t="n">
        <v>1</v>
      </c>
      <c r="N45" t="n">
        <v>20</v>
      </c>
      <c r="O45" s="237">
        <f>L45*N45/100</f>
        <v/>
      </c>
      <c r="P45" s="237">
        <f>M45*O45</f>
        <v/>
      </c>
      <c r="Q45" s="208">
        <f>L45*M45</f>
        <v/>
      </c>
      <c r="R45" s="251">
        <f>L45+O45</f>
        <v/>
      </c>
      <c r="S45" s="251">
        <f>Q45+P45</f>
        <v/>
      </c>
      <c r="T45" s="35">
        <f>voranmeldefrist_vierteljaehrlich(G45)</f>
        <v/>
      </c>
      <c r="U45" s="27" t="n"/>
      <c r="V45" s="27" t="n"/>
      <c r="W45" s="210">
        <f>IF(K45=TRUE,Q45/J45,Q45)</f>
        <v/>
      </c>
      <c r="X45" s="237">
        <f>V45/100*S45</f>
        <v/>
      </c>
      <c r="Y45">
        <f>IF(AND(V45&gt;0,N45=V45),TRUE,FALSE)</f>
        <v/>
      </c>
      <c r="Z45" s="228">
        <f>IF(C45="Einnahmen",Q45,-Q45)</f>
        <v/>
      </c>
    </row>
    <row r="46">
      <c r="A46" s="53" t="n">
        <v>2019</v>
      </c>
      <c r="B46" s="53" t="n">
        <v>45</v>
      </c>
      <c r="C46" s="71" t="inlineStr">
        <is>
          <t>Einnahmen</t>
        </is>
      </c>
      <c r="D46" t="inlineStr">
        <is>
          <t>Waren-/Leistungserlöse</t>
        </is>
      </c>
      <c r="E46" s="9" t="n">
        <v>12019004</v>
      </c>
      <c r="G46" s="44" t="n">
        <v>43565</v>
      </c>
      <c r="H46" s="43" t="inlineStr">
        <is>
          <t>H. Jaros e.U., Fischhof 3/23, 1010 Wien, ATU 67698048</t>
        </is>
      </c>
      <c r="K46">
        <f>(IF(AND(I46&lt;&gt;"",AND(J46="",ABS(Q46)&gt;400)),TRUE,FALSE))</f>
        <v/>
      </c>
      <c r="L46" s="214" t="n">
        <v>5101.16</v>
      </c>
      <c r="M46" s="159" t="n">
        <v>1</v>
      </c>
      <c r="N46" t="n">
        <v>20</v>
      </c>
      <c r="O46" s="237">
        <f>L46*N46/100</f>
        <v/>
      </c>
      <c r="P46" s="237">
        <f>M46*O46</f>
        <v/>
      </c>
      <c r="Q46" s="208">
        <f>L46*M46</f>
        <v/>
      </c>
      <c r="R46" s="251">
        <f>L46+O46</f>
        <v/>
      </c>
      <c r="S46" s="251">
        <f>Q46+P46</f>
        <v/>
      </c>
      <c r="T46" s="35">
        <f>voranmeldefrist_vierteljaehrlich(G46)</f>
        <v/>
      </c>
      <c r="U46" s="27" t="n"/>
      <c r="V46" s="27" t="n"/>
      <c r="W46" s="210">
        <f>IF(K46=TRUE,Q46/J46,Q46)</f>
        <v/>
      </c>
      <c r="X46" s="237">
        <f>V46/100*S46</f>
        <v/>
      </c>
      <c r="Y46">
        <f>IF(AND(V46&gt;0,N46=V46),TRUE,FALSE)</f>
        <v/>
      </c>
      <c r="Z46" s="228">
        <f>IF(C46="Einnahmen",Q46,-Q46)</f>
        <v/>
      </c>
    </row>
    <row r="47">
      <c r="A47" s="53" t="n">
        <v>2019</v>
      </c>
      <c r="B47" s="53" t="n">
        <v>46</v>
      </c>
      <c r="C47" s="71" t="inlineStr">
        <is>
          <t>Ausgaben</t>
        </is>
      </c>
      <c r="D47" t="inlineStr">
        <is>
          <t>Telefon/Internet</t>
        </is>
      </c>
      <c r="E47" s="9" t="inlineStr">
        <is>
          <t>174233995-00</t>
        </is>
      </c>
      <c r="G47" s="1" t="n">
        <v>43565</v>
      </c>
      <c r="H47" t="inlineStr">
        <is>
          <t>UPC Telekabel Wien GmbH</t>
        </is>
      </c>
      <c r="K47">
        <f>(IF(AND(I47&lt;&gt;"",AND(J47="",ABS(Q47)&gt;400)),TRUE,FALSE))</f>
        <v/>
      </c>
      <c r="L47" s="214">
        <f>27.82+1.04</f>
        <v/>
      </c>
      <c r="M47" s="159">
        <f>2/3</f>
        <v/>
      </c>
      <c r="N47" t="n">
        <v>20</v>
      </c>
      <c r="O47" s="237">
        <f>L47*N47/100</f>
        <v/>
      </c>
      <c r="P47" s="237">
        <f>M47*O47</f>
        <v/>
      </c>
      <c r="Q47" s="208">
        <f>L47*M47</f>
        <v/>
      </c>
      <c r="R47" s="251">
        <f>L47+O47</f>
        <v/>
      </c>
      <c r="S47" s="251">
        <f>Q47+P47</f>
        <v/>
      </c>
      <c r="T47" s="35">
        <f>voranmeldefrist_vierteljaehrlich(G47)</f>
        <v/>
      </c>
      <c r="U47" s="27" t="n"/>
      <c r="V47" s="27" t="n"/>
      <c r="W47" s="210">
        <f>IF(K47=TRUE,Q47/J47,Q47)</f>
        <v/>
      </c>
      <c r="X47" s="237">
        <f>V47/100*S47</f>
        <v/>
      </c>
      <c r="Y47">
        <f>IF(AND(V47&gt;0,N47=V47),TRUE,FALSE)</f>
        <v/>
      </c>
      <c r="Z47" s="228">
        <f>IF(C47="Einnahmen",Q47,-Q47)</f>
        <v/>
      </c>
    </row>
    <row r="48">
      <c r="A48" s="53" t="n">
        <v>2019</v>
      </c>
      <c r="B48" s="53" t="n">
        <v>47</v>
      </c>
      <c r="C48" s="71" t="inlineStr">
        <is>
          <t>Ausgaben</t>
        </is>
      </c>
      <c r="D48" t="inlineStr">
        <is>
          <t>sonstige Betriebsausgaben</t>
        </is>
      </c>
      <c r="E48" s="9" t="inlineStr">
        <is>
          <t>R0009419453</t>
        </is>
      </c>
      <c r="G48" s="1" t="n">
        <v>43566</v>
      </c>
      <c r="H48" t="inlineStr">
        <is>
          <t>Hetzner Online GmbH</t>
        </is>
      </c>
      <c r="K48">
        <f>(IF(AND(I48&lt;&gt;"",AND(J48="",ABS(Q48)&gt;400)),TRUE,FALSE))</f>
        <v/>
      </c>
      <c r="L48" s="214" t="n">
        <v>46.92</v>
      </c>
      <c r="M48" s="159" t="n">
        <v>1</v>
      </c>
      <c r="N48" t="n">
        <v>0</v>
      </c>
      <c r="O48" s="237">
        <f>L48*N48/100</f>
        <v/>
      </c>
      <c r="P48" s="237">
        <f>M48*O48</f>
        <v/>
      </c>
      <c r="Q48" s="208">
        <f>L48*M48</f>
        <v/>
      </c>
      <c r="R48" s="251">
        <f>L48+O48</f>
        <v/>
      </c>
      <c r="S48" s="251">
        <f>Q48+P48</f>
        <v/>
      </c>
      <c r="T48" s="35">
        <f>voranmeldefrist_vierteljaehrlich(G48)</f>
        <v/>
      </c>
      <c r="U48" s="27" t="n"/>
      <c r="V48" s="27" t="n">
        <v>20</v>
      </c>
      <c r="W48" s="210">
        <f>IF(K48=TRUE,Q48/J48,Q48)</f>
        <v/>
      </c>
      <c r="X48" s="237">
        <f>V48/100*S48</f>
        <v/>
      </c>
      <c r="Y48">
        <f>IF(AND(V48&gt;0,N48=V48),TRUE,FALSE)</f>
        <v/>
      </c>
      <c r="Z48" s="228">
        <f>IF(C48="Einnahmen",Q48,-Q48)</f>
        <v/>
      </c>
    </row>
    <row r="49">
      <c r="A49" s="53" t="n">
        <v>2019</v>
      </c>
      <c r="B49" s="53" t="n">
        <v>48</v>
      </c>
      <c r="C49" s="71" t="inlineStr">
        <is>
          <t>Ausgaben</t>
        </is>
      </c>
      <c r="D49" t="inlineStr">
        <is>
          <t>Lizenzgebühren</t>
        </is>
      </c>
      <c r="E49" s="131">
        <f>"7188"</f>
        <v/>
      </c>
      <c r="G49" s="1" t="n">
        <v>43566</v>
      </c>
      <c r="H49" t="inlineStr">
        <is>
          <t>Ryan Cramer Design, LLC, 204 Clarion Ave, Decatur, GA 30030, USA: ProcessWire ProDrafts Dev License</t>
        </is>
      </c>
      <c r="K49">
        <f>(IF(AND(I49&lt;&gt;"",AND(J49="",ABS(Q49)&gt;400)),TRUE,FALSE))</f>
        <v/>
      </c>
      <c r="L49" s="214" t="n">
        <v>80.28</v>
      </c>
      <c r="M49" s="159" t="n">
        <v>1</v>
      </c>
      <c r="N49" t="n">
        <v>0</v>
      </c>
      <c r="O49" s="237">
        <f>L49*N49/100</f>
        <v/>
      </c>
      <c r="P49" s="237">
        <f>M49*O49</f>
        <v/>
      </c>
      <c r="Q49" s="208">
        <f>L49*M49</f>
        <v/>
      </c>
      <c r="R49" s="251">
        <f>L49+O49</f>
        <v/>
      </c>
      <c r="S49" s="251">
        <f>Q49+P49</f>
        <v/>
      </c>
      <c r="T49" s="35">
        <f>voranmeldefrist_vierteljaehrlich(G49)</f>
        <v/>
      </c>
      <c r="U49" s="27" t="n"/>
      <c r="V49" s="27" t="n"/>
      <c r="W49" s="210">
        <f>IF(K49=TRUE,Q49/J49,Q49)</f>
        <v/>
      </c>
      <c r="X49" s="237">
        <f>V49/100*S49</f>
        <v/>
      </c>
      <c r="Y49">
        <f>IF(AND(V49&gt;0,N49=V49),TRUE,FALSE)</f>
        <v/>
      </c>
      <c r="Z49" s="228">
        <f>IF(C49="Einnahmen",Q49,-Q49)</f>
        <v/>
      </c>
    </row>
    <row r="50">
      <c r="A50" s="53" t="n">
        <v>2019</v>
      </c>
      <c r="B50" s="53" t="n">
        <v>49</v>
      </c>
      <c r="C50" s="71" t="inlineStr">
        <is>
          <t>Ausgaben</t>
        </is>
      </c>
      <c r="D50" t="inlineStr">
        <is>
          <t>sonstige Betriebsausgaben</t>
        </is>
      </c>
      <c r="E50" s="9" t="inlineStr">
        <is>
          <t>14004391658/40/2019</t>
        </is>
      </c>
      <c r="G50" s="1" t="n">
        <v>43570</v>
      </c>
      <c r="H50" t="inlineStr">
        <is>
          <t>Montana Energie Handel AT GmbH</t>
        </is>
      </c>
      <c r="K50">
        <f>(IF(AND(I50&lt;&gt;"",AND(J50="",ABS(Q50)&gt;400)),TRUE,FALSE))</f>
        <v/>
      </c>
      <c r="L50" s="214" t="n">
        <v>78.33</v>
      </c>
      <c r="M50" s="159">
        <f>Arbeitszimmer!$B$3</f>
        <v/>
      </c>
      <c r="N50" t="n">
        <v>20</v>
      </c>
      <c r="O50" s="237">
        <f>L50*N50/100</f>
        <v/>
      </c>
      <c r="P50" s="237">
        <f>M50*O50</f>
        <v/>
      </c>
      <c r="Q50" s="208">
        <f>L50*M50</f>
        <v/>
      </c>
      <c r="R50" s="251">
        <f>L50+O50</f>
        <v/>
      </c>
      <c r="S50" s="251">
        <f>Q50+P50</f>
        <v/>
      </c>
      <c r="T50" s="35">
        <f>voranmeldefrist_vierteljaehrlich(G50)</f>
        <v/>
      </c>
      <c r="U50" s="27" t="n"/>
      <c r="V50" s="27" t="n"/>
      <c r="W50" s="210">
        <f>IF(K50=TRUE,Q50/J50,Q50)</f>
        <v/>
      </c>
      <c r="X50" s="237">
        <f>V50/100*S50</f>
        <v/>
      </c>
      <c r="Y50">
        <f>IF(AND(V50&gt;0,N50=V50),TRUE,FALSE)</f>
        <v/>
      </c>
      <c r="Z50" s="228">
        <f>IF(C50="Einnahmen",Q50,-Q50)</f>
        <v/>
      </c>
    </row>
    <row r="51">
      <c r="A51" s="53" t="n">
        <v>2019</v>
      </c>
      <c r="B51" s="53" t="n">
        <v>50</v>
      </c>
      <c r="C51" s="71" t="inlineStr">
        <is>
          <t>Ausgaben</t>
        </is>
      </c>
      <c r="D51" t="inlineStr">
        <is>
          <t>Waren, Rohstoffe, Hilfsstoffe</t>
        </is>
      </c>
      <c r="E51" s="9" t="inlineStr">
        <is>
          <t>INV-DE-151452651-2019-22080</t>
        </is>
      </c>
      <c r="G51" s="1" t="n">
        <v>43584</v>
      </c>
      <c r="H51" t="inlineStr">
        <is>
          <t>shen zhen shi ben fei mao yi you xdian gong si, nan guang jie  jia da sha 1328 shi, fu tian jie dao shen nan zhong lu 3037 hao, shezhen, 518000, CN, UID: DE311758738</t>
        </is>
      </c>
      <c r="J51" s="76" t="inlineStr">
        <is>
          <t>ja</t>
        </is>
      </c>
      <c r="K51">
        <f>(IF(AND(I51&lt;&gt;"",AND(J51="",ABS(Q51)&gt;400)),TRUE,FALSE))</f>
        <v/>
      </c>
      <c r="L51" s="214" t="n">
        <v>7.59</v>
      </c>
      <c r="M51" s="159" t="n">
        <v>1</v>
      </c>
      <c r="N51" t="n">
        <v>0</v>
      </c>
      <c r="O51" s="237">
        <f>L51*N51/100</f>
        <v/>
      </c>
      <c r="P51" s="237">
        <f>M51*O51</f>
        <v/>
      </c>
      <c r="Q51" s="208">
        <f>L51*M51</f>
        <v/>
      </c>
      <c r="R51" s="251">
        <f>L51+O51</f>
        <v/>
      </c>
      <c r="S51" s="251">
        <f>Q51+P51</f>
        <v/>
      </c>
      <c r="T51" s="35">
        <f>voranmeldefrist_vierteljaehrlich(G51)</f>
        <v/>
      </c>
      <c r="U51" s="27" t="n"/>
      <c r="V51" s="27" t="n"/>
      <c r="W51" s="210">
        <f>IF(K51=TRUE,Q51/J51,Q51)</f>
        <v/>
      </c>
      <c r="X51" s="237">
        <f>V51/100*S51</f>
        <v/>
      </c>
      <c r="Y51">
        <f>IF(AND(V51&gt;0,N51=V51),TRUE,FALSE)</f>
        <v/>
      </c>
      <c r="Z51" s="228">
        <f>IF(C51="Einnahmen",Q51,-Q51)</f>
        <v/>
      </c>
    </row>
    <row r="52">
      <c r="A52" s="53" t="n">
        <v>2019</v>
      </c>
      <c r="B52" s="53" t="n">
        <v>51</v>
      </c>
      <c r="C52" s="71" t="inlineStr">
        <is>
          <t>Ausgaben</t>
        </is>
      </c>
      <c r="D52" t="inlineStr">
        <is>
          <t>Waren, Rohstoffe, Hilfsstoffe</t>
        </is>
      </c>
      <c r="E52" s="9" t="inlineStr">
        <is>
          <t>AEU-INV-AT-2019-10874893</t>
        </is>
      </c>
      <c r="G52" s="1" t="n">
        <v>43587</v>
      </c>
      <c r="H52" t="inlineStr">
        <is>
          <t>Amazon EU S. à r.l., 38 avenue John F. Kennedy, L-1855 Luxembourg: HJEU: DVI-HDMI, Logitech Maus</t>
        </is>
      </c>
      <c r="J52" s="76" t="inlineStr">
        <is>
          <t>ja</t>
        </is>
      </c>
      <c r="K52">
        <f>(IF(AND(I52&lt;&gt;"",AND(J52="",ABS(Q52)&gt;400)),TRUE,FALSE))</f>
        <v/>
      </c>
      <c r="L52" s="214" t="n">
        <v>39.07</v>
      </c>
      <c r="M52" s="159" t="n">
        <v>1</v>
      </c>
      <c r="N52" t="n">
        <v>20</v>
      </c>
      <c r="O52" s="237">
        <f>L52*N52/100</f>
        <v/>
      </c>
      <c r="P52" s="237">
        <f>M52*O52</f>
        <v/>
      </c>
      <c r="Q52" s="208">
        <f>L52*M52</f>
        <v/>
      </c>
      <c r="R52" s="251">
        <f>L52+O52</f>
        <v/>
      </c>
      <c r="S52" s="251">
        <f>Q52+P52</f>
        <v/>
      </c>
      <c r="T52" s="35">
        <f>voranmeldefrist_vierteljaehrlich(G52)</f>
        <v/>
      </c>
      <c r="U52" s="27" t="n"/>
      <c r="V52" s="27" t="n"/>
      <c r="W52" s="210">
        <f>IF(K52=TRUE,Q52/I52,Q52)</f>
        <v/>
      </c>
      <c r="X52" s="237">
        <f>V52/100*S52</f>
        <v/>
      </c>
      <c r="Y52">
        <f>IF(AND(V52&gt;0,N52=V52),TRUE,FALSE)</f>
        <v/>
      </c>
      <c r="Z52" s="228">
        <f>IF(C52="Einnahmen",Q52,-Q52)</f>
        <v/>
      </c>
    </row>
    <row r="53">
      <c r="A53" s="53" t="n">
        <v>2019</v>
      </c>
      <c r="B53" s="53" t="n">
        <v>52</v>
      </c>
      <c r="C53" s="71" t="inlineStr">
        <is>
          <t>Ausgaben</t>
        </is>
      </c>
      <c r="D53" t="inlineStr">
        <is>
          <t>Reise- und Fahrtspesen inkl. Kilometergeld und Diäten</t>
        </is>
      </c>
      <c r="E53" s="9" t="inlineStr">
        <is>
          <t>3293000007521035</t>
        </is>
      </c>
      <c r="G53" s="1" t="n">
        <v>43591</v>
      </c>
      <c r="H53" t="inlineStr">
        <is>
          <t>car2go Österreich GmbH, Hintere Zollamtstraße 9, 1030 Wien</t>
        </is>
      </c>
      <c r="K53">
        <f>(IF(AND(I53&lt;&gt;"",AND(J53="",ABS(Q53)&gt;400)),TRUE,FALSE))</f>
        <v/>
      </c>
      <c r="L53" s="214">
        <f>8.74/1.2</f>
        <v/>
      </c>
      <c r="M53" s="159" t="n">
        <v>1</v>
      </c>
      <c r="N53" t="n">
        <v>20</v>
      </c>
      <c r="O53" s="237">
        <f>L53*N53/100</f>
        <v/>
      </c>
      <c r="P53" s="237">
        <f>M53*O53</f>
        <v/>
      </c>
      <c r="Q53" s="208">
        <f>L53*M53</f>
        <v/>
      </c>
      <c r="R53" s="251">
        <f>L53+O53</f>
        <v/>
      </c>
      <c r="S53" s="251">
        <f>Q53+P53</f>
        <v/>
      </c>
      <c r="T53" s="35">
        <f>voranmeldefrist_vierteljaehrlich(G53)</f>
        <v/>
      </c>
      <c r="U53" s="27" t="n"/>
      <c r="V53" s="27" t="n"/>
      <c r="W53" s="210">
        <f>IF(K53=TRUE,Q53/I53,Q53)</f>
        <v/>
      </c>
      <c r="X53" s="237">
        <f>V53/100*S53</f>
        <v/>
      </c>
      <c r="Y53">
        <f>IF(AND(V53&gt;0,N53=V53),TRUE,FALSE)</f>
        <v/>
      </c>
      <c r="Z53" s="228">
        <f>IF(C53="Einnahmen",Q53,-Q53)</f>
        <v/>
      </c>
    </row>
    <row r="54">
      <c r="A54" s="53" t="n">
        <v>2019</v>
      </c>
      <c r="B54" s="53" t="n">
        <v>53</v>
      </c>
      <c r="C54" s="71" t="inlineStr">
        <is>
          <t>Ausgaben</t>
        </is>
      </c>
      <c r="D54" t="inlineStr">
        <is>
          <t>Reise- und Fahrtspesen inkl. Kilometergeld und Diäten</t>
        </is>
      </c>
      <c r="E54" s="9" t="inlineStr">
        <is>
          <t>3293000007520878</t>
        </is>
      </c>
      <c r="G54" s="1" t="n">
        <v>43591</v>
      </c>
      <c r="H54" t="inlineStr">
        <is>
          <t>car2go Österreich GmbH, Hintere Zollamtstraße 9, 1030 Wien</t>
        </is>
      </c>
      <c r="K54">
        <f>(IF(AND(I54&lt;&gt;"",AND(J54="",ABS(Q54)&gt;400)),TRUE,FALSE))</f>
        <v/>
      </c>
      <c r="L54" s="214">
        <f>7.6/1.2</f>
        <v/>
      </c>
      <c r="M54" s="159" t="n">
        <v>1</v>
      </c>
      <c r="N54" t="n">
        <v>20</v>
      </c>
      <c r="O54" s="237">
        <f>L54*N54/100</f>
        <v/>
      </c>
      <c r="P54" s="237">
        <f>M54*O54</f>
        <v/>
      </c>
      <c r="Q54" s="208">
        <f>L54*M54</f>
        <v/>
      </c>
      <c r="R54" s="251">
        <f>L54+O54</f>
        <v/>
      </c>
      <c r="S54" s="251">
        <f>Q54+P54</f>
        <v/>
      </c>
      <c r="T54" s="35">
        <f>voranmeldefrist_vierteljaehrlich(G54)</f>
        <v/>
      </c>
      <c r="U54" s="27" t="n"/>
      <c r="V54" s="27" t="n"/>
      <c r="W54" s="210">
        <f>IF(K54=TRUE,Q54/I54,Q54)</f>
        <v/>
      </c>
      <c r="X54" s="237">
        <f>V54/100*S54</f>
        <v/>
      </c>
      <c r="Y54">
        <f>IF(AND(V54&gt;0,N54=V54),TRUE,FALSE)</f>
        <v/>
      </c>
      <c r="Z54" s="228">
        <f>IF(C54="Einnahmen",Q54,-Q54)</f>
        <v/>
      </c>
    </row>
    <row r="55">
      <c r="A55" s="53" t="n">
        <v>2019</v>
      </c>
      <c r="B55" s="53" t="n">
        <v>54</v>
      </c>
      <c r="C55" s="71" t="inlineStr">
        <is>
          <t>Ausgaben</t>
        </is>
      </c>
      <c r="D55" t="inlineStr">
        <is>
          <t>Reise- und Fahrtspesen inkl. Kilometergeld und Diäten</t>
        </is>
      </c>
      <c r="E55" s="9" t="inlineStr">
        <is>
          <t>3293000007520746</t>
        </is>
      </c>
      <c r="G55" s="1" t="n">
        <v>43591</v>
      </c>
      <c r="H55" t="inlineStr">
        <is>
          <t>car2go Österreich GmbH, Hintere Zollamtstraße 9, 1030 Wien</t>
        </is>
      </c>
      <c r="K55">
        <f>(IF(AND(I55&lt;&gt;"",AND(J55="",ABS(Q55)&gt;400)),TRUE,FALSE))</f>
        <v/>
      </c>
      <c r="L55" s="214">
        <f>7/1.2</f>
        <v/>
      </c>
      <c r="M55" s="159" t="n">
        <v>1</v>
      </c>
      <c r="N55" t="n">
        <v>20</v>
      </c>
      <c r="O55" s="237">
        <f>L55*N55/100</f>
        <v/>
      </c>
      <c r="P55" s="237">
        <f>M55*O55</f>
        <v/>
      </c>
      <c r="Q55" s="208">
        <f>L55*M55</f>
        <v/>
      </c>
      <c r="R55" s="251">
        <f>L55+O55</f>
        <v/>
      </c>
      <c r="S55" s="251">
        <f>Q55+P55</f>
        <v/>
      </c>
      <c r="T55" s="35">
        <f>voranmeldefrist_vierteljaehrlich(G55)</f>
        <v/>
      </c>
      <c r="U55" s="27" t="n"/>
      <c r="V55" s="27" t="n"/>
      <c r="W55" s="210">
        <f>IF(K55=TRUE,Q55/I55,Q55)</f>
        <v/>
      </c>
      <c r="X55" s="237">
        <f>V55/100*S55</f>
        <v/>
      </c>
      <c r="Y55">
        <f>IF(AND(V55&gt;0,N55=V55),TRUE,FALSE)</f>
        <v/>
      </c>
      <c r="Z55" s="228">
        <f>IF(C55="Einnahmen",Q55,-Q55)</f>
        <v/>
      </c>
    </row>
    <row r="56">
      <c r="A56" s="53" t="n">
        <v>2019</v>
      </c>
      <c r="B56" s="53" t="n">
        <v>55</v>
      </c>
      <c r="C56" s="71" t="inlineStr">
        <is>
          <t>Ausgaben</t>
        </is>
      </c>
      <c r="D56" t="inlineStr">
        <is>
          <t>Telefon/Internet</t>
        </is>
      </c>
      <c r="E56" s="9" t="inlineStr">
        <is>
          <t>6177220902</t>
        </is>
      </c>
      <c r="G56" s="1" t="n">
        <v>43591</v>
      </c>
      <c r="H56" t="inlineStr">
        <is>
          <t>Hutchison Drei Austria GmbH, Brünner Straße 52, 1210 Wien, Österreich</t>
        </is>
      </c>
      <c r="K56">
        <f>(IF(AND(I56&lt;&gt;"",AND(J56="",ABS(Q56)&gt;400)),TRUE,FALSE))</f>
        <v/>
      </c>
      <c r="L56" s="214">
        <f>18/1.2</f>
        <v/>
      </c>
      <c r="M56" s="159" t="n">
        <v>1</v>
      </c>
      <c r="N56" t="n">
        <v>20</v>
      </c>
      <c r="O56" s="237">
        <f>L56*N56/100</f>
        <v/>
      </c>
      <c r="P56" s="237">
        <f>M56*O56</f>
        <v/>
      </c>
      <c r="Q56" s="208">
        <f>L56*M56</f>
        <v/>
      </c>
      <c r="R56" s="251">
        <f>L56+O56</f>
        <v/>
      </c>
      <c r="S56" s="251">
        <f>Q56+P56</f>
        <v/>
      </c>
      <c r="T56" s="35">
        <f>voranmeldefrist_vierteljaehrlich(G56)</f>
        <v/>
      </c>
      <c r="U56" s="27" t="n"/>
      <c r="V56" s="27" t="n"/>
      <c r="W56" s="210">
        <f>IF(K56=TRUE,Q56/I56,Q56)</f>
        <v/>
      </c>
      <c r="X56" s="237">
        <f>V56/100*S56</f>
        <v/>
      </c>
      <c r="Y56">
        <f>IF(AND(V56&gt;0,N56=V56),TRUE,FALSE)</f>
        <v/>
      </c>
      <c r="Z56" s="228">
        <f>IF(C56="Einnahmen",Q56,-Q56)</f>
        <v/>
      </c>
    </row>
    <row r="57">
      <c r="A57" s="53" t="n">
        <v>2019</v>
      </c>
      <c r="B57" s="53" t="n">
        <v>56</v>
      </c>
      <c r="C57" s="71" t="inlineStr">
        <is>
          <t>Ausgaben</t>
        </is>
      </c>
      <c r="D57" t="inlineStr">
        <is>
          <t>Reise- und Fahrtspesen inkl. Kilometergeld und Diäten</t>
        </is>
      </c>
      <c r="E57" s="9" t="inlineStr">
        <is>
          <t>3293000007544377</t>
        </is>
      </c>
      <c r="G57" s="1" t="n">
        <v>43594</v>
      </c>
      <c r="H57" t="inlineStr">
        <is>
          <t>car2go Österreich GmbH, Hintere Zollamtstraße 9, 1030 Wien</t>
        </is>
      </c>
      <c r="K57">
        <f>(IF(AND(I57&lt;&gt;"",AND(J57="",ABS(Q57)&gt;400)),TRUE,FALSE))</f>
        <v/>
      </c>
      <c r="L57" s="214">
        <f>4.34/1.2</f>
        <v/>
      </c>
      <c r="M57" s="159" t="n">
        <v>1</v>
      </c>
      <c r="N57" t="n">
        <v>20</v>
      </c>
      <c r="O57" s="237">
        <f>L57*N57/100</f>
        <v/>
      </c>
      <c r="P57" s="237">
        <f>M57*O57</f>
        <v/>
      </c>
      <c r="Q57" s="208">
        <f>L57*M57</f>
        <v/>
      </c>
      <c r="R57" s="251">
        <f>L57+O57</f>
        <v/>
      </c>
      <c r="S57" s="251">
        <f>Q57+P57</f>
        <v/>
      </c>
      <c r="T57" s="35">
        <f>voranmeldefrist_vierteljaehrlich(G57)</f>
        <v/>
      </c>
      <c r="U57" s="27" t="n"/>
      <c r="V57" s="27" t="n"/>
      <c r="W57" s="210">
        <f>IF(K57=TRUE,Q57/I57,Q57)</f>
        <v/>
      </c>
      <c r="X57" s="237">
        <f>V57/100*S57</f>
        <v/>
      </c>
      <c r="Y57">
        <f>IF(AND(V57&gt;0,N57=V57),TRUE,FALSE)</f>
        <v/>
      </c>
      <c r="Z57" s="228">
        <f>IF(C57="Einnahmen",Q57,-Q57)</f>
        <v/>
      </c>
    </row>
    <row r="58">
      <c r="A58" s="53" t="n">
        <v>2019</v>
      </c>
      <c r="B58" s="53" t="n">
        <v>57</v>
      </c>
      <c r="C58" s="71" t="inlineStr">
        <is>
          <t>Ausgaben</t>
        </is>
      </c>
      <c r="D58" t="inlineStr">
        <is>
          <t>Telefon/Internet</t>
        </is>
      </c>
      <c r="E58" s="9" t="inlineStr">
        <is>
          <t>174699356-00</t>
        </is>
      </c>
      <c r="G58" s="1" t="n">
        <v>43595</v>
      </c>
      <c r="H58" t="inlineStr">
        <is>
          <t>UPC Telekabel Wien GmbH</t>
        </is>
      </c>
      <c r="K58">
        <f>(IF(AND(I58&lt;&gt;"",AND(J58="",ABS(Q58)&gt;400)),TRUE,FALSE))</f>
        <v/>
      </c>
      <c r="L58" s="214">
        <f>27.82+1.04</f>
        <v/>
      </c>
      <c r="M58" s="159">
        <f>2/3</f>
        <v/>
      </c>
      <c r="N58" t="n">
        <v>20</v>
      </c>
      <c r="O58" s="237">
        <f>L58*N58/100</f>
        <v/>
      </c>
      <c r="P58" s="237">
        <f>M58*O58</f>
        <v/>
      </c>
      <c r="Q58" s="208">
        <f>L58*M58</f>
        <v/>
      </c>
      <c r="R58" s="251">
        <f>L58+O58</f>
        <v/>
      </c>
      <c r="S58" s="251">
        <f>Q58+P58</f>
        <v/>
      </c>
      <c r="T58" s="35">
        <f>voranmeldefrist_vierteljaehrlich(G58)</f>
        <v/>
      </c>
      <c r="U58" s="27" t="n"/>
      <c r="V58" s="27" t="n"/>
      <c r="W58" s="210">
        <f>IF(K58=TRUE,Q58/J58,Q58)</f>
        <v/>
      </c>
      <c r="X58" s="237">
        <f>V58/100*S58</f>
        <v/>
      </c>
      <c r="Y58">
        <f>IF(AND(V58&gt;0,N58=V58),TRUE,FALSE)</f>
        <v/>
      </c>
      <c r="Z58" s="228">
        <f>IF(C58="Einnahmen",Q58,-Q58)</f>
        <v/>
      </c>
    </row>
    <row r="59">
      <c r="A59" s="53" t="n">
        <v>2019</v>
      </c>
      <c r="B59" s="53" t="n">
        <v>58</v>
      </c>
      <c r="C59" s="71" t="inlineStr">
        <is>
          <t>Ausgaben</t>
        </is>
      </c>
      <c r="D59" t="inlineStr">
        <is>
          <t>sonstige Betriebsausgaben</t>
        </is>
      </c>
      <c r="E59" s="9" t="inlineStr">
        <is>
          <t>R0009550365</t>
        </is>
      </c>
      <c r="G59" s="1" t="n">
        <v>43598</v>
      </c>
      <c r="H59" t="inlineStr">
        <is>
          <t>Hetzner Online GmbH</t>
        </is>
      </c>
      <c r="K59">
        <f>(IF(AND(I59&lt;&gt;"",AND(J59="",ABS(Q59)&gt;400)),TRUE,FALSE))</f>
        <v/>
      </c>
      <c r="L59" s="214" t="n">
        <v>46.92</v>
      </c>
      <c r="M59" s="159" t="n">
        <v>1</v>
      </c>
      <c r="N59" t="n">
        <v>0</v>
      </c>
      <c r="O59" s="237">
        <f>L59*N59/100</f>
        <v/>
      </c>
      <c r="P59" s="237">
        <f>M59*O59</f>
        <v/>
      </c>
      <c r="Q59" s="208">
        <f>L59*M59</f>
        <v/>
      </c>
      <c r="R59" s="251">
        <f>L59+O59</f>
        <v/>
      </c>
      <c r="S59" s="251">
        <f>Q59+P59</f>
        <v/>
      </c>
      <c r="T59" s="35">
        <f>voranmeldefrist_vierteljaehrlich(G59)</f>
        <v/>
      </c>
      <c r="U59" s="27" t="n"/>
      <c r="V59" s="27" t="n">
        <v>20</v>
      </c>
      <c r="W59" s="210">
        <f>IF(K59=TRUE,Q59/J59,Q59)</f>
        <v/>
      </c>
      <c r="X59" s="237">
        <f>V59/100*S59</f>
        <v/>
      </c>
      <c r="Y59">
        <f>IF(AND(V59&gt;0,N59=V59),TRUE,FALSE)</f>
        <v/>
      </c>
      <c r="Z59" s="228">
        <f>IF(C59="Einnahmen",Q59,-Q59)</f>
        <v/>
      </c>
    </row>
    <row r="60">
      <c r="A60" s="53" t="n">
        <v>2019</v>
      </c>
      <c r="B60" s="53" t="n">
        <v>59</v>
      </c>
      <c r="C60" s="71" t="inlineStr">
        <is>
          <t>Einnahmen</t>
        </is>
      </c>
      <c r="D60" t="inlineStr">
        <is>
          <t>Waren-/Leistungserlöse</t>
        </is>
      </c>
      <c r="E60" s="9" t="inlineStr">
        <is>
          <t>12019005</t>
        </is>
      </c>
      <c r="G60" s="1" t="n">
        <v>43598</v>
      </c>
      <c r="H60" t="inlineStr">
        <is>
          <t>Franz Hauer GmbH + Co KG</t>
        </is>
      </c>
      <c r="K60">
        <f>(IF(AND(I60&lt;&gt;"",AND(J60="",ABS(Q60)&gt;400)),TRUE,FALSE))</f>
        <v/>
      </c>
      <c r="L60" s="214" t="n">
        <v>3671.15</v>
      </c>
      <c r="M60" s="159" t="n">
        <v>1</v>
      </c>
      <c r="N60" t="n">
        <v>20</v>
      </c>
      <c r="O60" s="237">
        <f>L60*N60/100</f>
        <v/>
      </c>
      <c r="P60" s="237">
        <f>M60*O60</f>
        <v/>
      </c>
      <c r="Q60" s="208">
        <f>L60*M60</f>
        <v/>
      </c>
      <c r="R60" s="251">
        <f>L60+O60</f>
        <v/>
      </c>
      <c r="S60" s="251">
        <f>Q60+P60</f>
        <v/>
      </c>
      <c r="T60" s="35">
        <f>voranmeldefrist_vierteljaehrlich(G60)</f>
        <v/>
      </c>
      <c r="U60" s="27" t="n"/>
      <c r="V60" s="27" t="n"/>
      <c r="W60" s="210">
        <f>IF(K60=TRUE,Q60/J60,Q60)</f>
        <v/>
      </c>
      <c r="X60" s="237">
        <f>V60/100*S60</f>
        <v/>
      </c>
      <c r="Y60">
        <f>IF(AND(V60&gt;0,N60=V60),TRUE,FALSE)</f>
        <v/>
      </c>
      <c r="Z60" s="228">
        <f>IF(C60="Einnahmen",Q60,-Q60)</f>
        <v/>
      </c>
    </row>
    <row r="61">
      <c r="A61" s="53" t="n">
        <v>2019</v>
      </c>
      <c r="B61" s="53" t="n">
        <v>60</v>
      </c>
      <c r="C61" s="71" t="inlineStr">
        <is>
          <t>Ausgaben</t>
        </is>
      </c>
      <c r="D61" t="inlineStr">
        <is>
          <t>Reise- und Fahrtspesen inkl. Kilometergeld und Diäten</t>
        </is>
      </c>
      <c r="E61" s="9" t="inlineStr">
        <is>
          <t>3293000007566628</t>
        </is>
      </c>
      <c r="G61" s="1" t="n">
        <v>43599</v>
      </c>
      <c r="H61" t="inlineStr">
        <is>
          <t>car2go Österreich GmbH, Hintere Zollamtstraße 9, 1030 Wien</t>
        </is>
      </c>
      <c r="K61">
        <f>(IF(AND(I61&lt;&gt;"",AND(J61="",ABS(Q61)&gt;400)),TRUE,FALSE))</f>
        <v/>
      </c>
      <c r="L61" s="214">
        <f>2.17/1.2</f>
        <v/>
      </c>
      <c r="M61" s="159" t="n">
        <v>1</v>
      </c>
      <c r="N61" t="n">
        <v>20</v>
      </c>
      <c r="O61" s="237">
        <f>L61*N61/100</f>
        <v/>
      </c>
      <c r="P61" s="237">
        <f>M61*O61</f>
        <v/>
      </c>
      <c r="Q61" s="208">
        <f>L61*M61</f>
        <v/>
      </c>
      <c r="R61" s="251">
        <f>L61+O61</f>
        <v/>
      </c>
      <c r="S61" s="251">
        <f>Q61+P61</f>
        <v/>
      </c>
      <c r="T61" s="35">
        <f>voranmeldefrist_vierteljaehrlich(G61)</f>
        <v/>
      </c>
      <c r="U61" s="27" t="n"/>
      <c r="V61" s="27" t="n"/>
      <c r="W61" s="210">
        <f>IF(K61=TRUE,Q61/I61,Q61)</f>
        <v/>
      </c>
      <c r="X61" s="237">
        <f>V61/100*S61</f>
        <v/>
      </c>
      <c r="Y61">
        <f>IF(AND(V61&gt;0,N61=V61),TRUE,FALSE)</f>
        <v/>
      </c>
      <c r="Z61" s="228">
        <f>IF(C61="Einnahmen",Q61,-Q61)</f>
        <v/>
      </c>
    </row>
    <row r="62">
      <c r="A62" s="53" t="n">
        <v>2019</v>
      </c>
      <c r="B62" s="53" t="n">
        <v>61</v>
      </c>
      <c r="C62" s="71" t="inlineStr">
        <is>
          <t>Ausgaben</t>
        </is>
      </c>
      <c r="D62" t="inlineStr">
        <is>
          <t>sonstige Betriebsausgaben</t>
        </is>
      </c>
      <c r="E62" s="9" t="inlineStr">
        <is>
          <t>14004521047/40/2019</t>
        </is>
      </c>
      <c r="G62" s="1" t="n">
        <v>43600</v>
      </c>
      <c r="H62" t="inlineStr">
        <is>
          <t>Montana Energie Handel AT GmbH</t>
        </is>
      </c>
      <c r="K62">
        <f>(IF(AND(I62&lt;&gt;"",AND(J62="",ABS(Q62)&gt;400)),TRUE,FALSE))</f>
        <v/>
      </c>
      <c r="L62" s="214" t="n">
        <v>78.33</v>
      </c>
      <c r="M62" s="159">
        <f>Arbeitszimmer!$B$3</f>
        <v/>
      </c>
      <c r="N62" t="n">
        <v>20</v>
      </c>
      <c r="O62" s="237">
        <f>L62*N62/100</f>
        <v/>
      </c>
      <c r="P62" s="237">
        <f>M62*O62</f>
        <v/>
      </c>
      <c r="Q62" s="208">
        <f>L62*M62</f>
        <v/>
      </c>
      <c r="R62" s="251">
        <f>L62+O62</f>
        <v/>
      </c>
      <c r="S62" s="251">
        <f>Q62+P62</f>
        <v/>
      </c>
      <c r="T62" s="35">
        <f>voranmeldefrist_vierteljaehrlich(G62)</f>
        <v/>
      </c>
      <c r="U62" s="27" t="n"/>
      <c r="V62" s="27" t="n"/>
      <c r="W62" s="210">
        <f>IF(K62=TRUE,Q62/J62,Q62)</f>
        <v/>
      </c>
      <c r="X62" s="237">
        <f>V62/100*S62</f>
        <v/>
      </c>
      <c r="Y62">
        <f>IF(AND(V62&gt;0,N62=V62),TRUE,FALSE)</f>
        <v/>
      </c>
      <c r="Z62" s="228">
        <f>IF(C62="Einnahmen",Q62,-Q62)</f>
        <v/>
      </c>
    </row>
    <row r="63">
      <c r="A63" s="53" t="n">
        <v>2019</v>
      </c>
      <c r="B63" s="53" t="n">
        <v>62</v>
      </c>
      <c r="C63" s="71" t="inlineStr">
        <is>
          <t>Ausgaben</t>
        </is>
      </c>
      <c r="D63" t="inlineStr">
        <is>
          <t>Waren, Rohstoffe, Hilfsstoffe</t>
        </is>
      </c>
      <c r="E63" s="9" t="inlineStr">
        <is>
          <t>AEU-INV-AT-2019-12351497</t>
        </is>
      </c>
      <c r="G63" s="1" t="n">
        <v>43605</v>
      </c>
      <c r="H63" t="inlineStr">
        <is>
          <t>Amazon EU S. à r.l., 38 avenue John F. Kennedy, L-1855 Luxembourg: HJEU: DVI-HDMI, Logitech Maus</t>
        </is>
      </c>
      <c r="J63" s="76" t="inlineStr">
        <is>
          <t>ja</t>
        </is>
      </c>
      <c r="K63">
        <f>(IF(AND(I63&lt;&gt;"",AND(J63="",ABS(Q63)&gt;400)),TRUE,FALSE))</f>
        <v/>
      </c>
      <c r="L63" s="214" t="n">
        <v>28.56</v>
      </c>
      <c r="M63" s="159" t="n">
        <v>1</v>
      </c>
      <c r="N63" t="n">
        <v>20</v>
      </c>
      <c r="O63" s="237">
        <f>L63*N63/100</f>
        <v/>
      </c>
      <c r="P63" s="237">
        <f>M63*O63</f>
        <v/>
      </c>
      <c r="Q63" s="208">
        <f>L63*M63</f>
        <v/>
      </c>
      <c r="R63" s="251">
        <f>L63+O63</f>
        <v/>
      </c>
      <c r="S63" s="251">
        <f>Q63+P63</f>
        <v/>
      </c>
      <c r="T63" s="35">
        <f>voranmeldefrist_vierteljaehrlich(G63)</f>
        <v/>
      </c>
      <c r="U63" s="27" t="n"/>
      <c r="V63" s="27" t="n"/>
      <c r="W63" s="210">
        <f>IF(K63=TRUE,Q63/J63,Q63)</f>
        <v/>
      </c>
      <c r="X63" s="237">
        <f>V63/100*S63</f>
        <v/>
      </c>
      <c r="Y63">
        <f>IF(AND(V63&gt;0,N63=V63),TRUE,FALSE)</f>
        <v/>
      </c>
      <c r="Z63" s="228">
        <f>IF(C63="Einnahmen",Q63,-Q63)</f>
        <v/>
      </c>
    </row>
    <row r="64">
      <c r="A64" s="53" t="n">
        <v>2019</v>
      </c>
      <c r="B64" s="53" t="n">
        <v>63</v>
      </c>
      <c r="C64" s="71" t="inlineStr">
        <is>
          <t>Ausgaben</t>
        </is>
      </c>
      <c r="D64" t="inlineStr">
        <is>
          <t>Pflichversicherungsbeiträge</t>
        </is>
      </c>
      <c r="E64" s="9" t="inlineStr">
        <is>
          <t>011561270283</t>
        </is>
      </c>
      <c r="G64" s="1" t="n">
        <v>43612</v>
      </c>
      <c r="H64" t="inlineStr">
        <is>
          <t>Sozialversicherung der gewerblichen Wirtshaft</t>
        </is>
      </c>
      <c r="K64">
        <f>(IF(AND(I64&lt;&gt;"",AND(J64="",ABS(Q64)&gt;400)),TRUE,FALSE))</f>
        <v/>
      </c>
      <c r="L64" s="214" t="n">
        <v>4752.06</v>
      </c>
      <c r="M64" s="159" t="n">
        <v>1</v>
      </c>
      <c r="N64" t="n">
        <v>0</v>
      </c>
      <c r="O64" s="237">
        <f>L64*N64/100</f>
        <v/>
      </c>
      <c r="P64" s="237">
        <f>M64*O64</f>
        <v/>
      </c>
      <c r="Q64" s="208">
        <f>L64*M64</f>
        <v/>
      </c>
      <c r="R64" s="251">
        <f>L64+O64</f>
        <v/>
      </c>
      <c r="S64" s="251">
        <f>Q64+P64</f>
        <v/>
      </c>
      <c r="T64" s="35">
        <f>voranmeldefrist_vierteljaehrlich(G64)</f>
        <v/>
      </c>
      <c r="U64" s="27" t="n"/>
      <c r="V64" s="27" t="n"/>
      <c r="W64" s="210">
        <f>IF(K64=TRUE,Q64/J64,Q64)</f>
        <v/>
      </c>
      <c r="X64" s="237">
        <f>V64/100*S64</f>
        <v/>
      </c>
      <c r="Y64">
        <f>IF(AND(V64&gt;0,N64=V64),TRUE,FALSE)</f>
        <v/>
      </c>
      <c r="Z64" s="228">
        <f>IF(C64="Einnahmen",Q64,-Q64)</f>
        <v/>
      </c>
    </row>
    <row r="65">
      <c r="A65" s="53" t="n">
        <v>2019</v>
      </c>
      <c r="B65" s="53" t="n">
        <v>64</v>
      </c>
      <c r="C65" s="71" t="inlineStr">
        <is>
          <t>Ausgaben</t>
        </is>
      </c>
      <c r="D65" t="inlineStr">
        <is>
          <t>Miet- und Pachtaufwand, Leasing</t>
        </is>
      </c>
      <c r="E65" s="9" t="inlineStr">
        <is>
          <t>2019/8058/14</t>
        </is>
      </c>
      <c r="G65" s="1" t="n">
        <v>43612</v>
      </c>
      <c r="H65" t="inlineStr">
        <is>
          <t>Premium Laudongasse 58 GmbH &amp; Co KG</t>
        </is>
      </c>
      <c r="K65">
        <f>(IF(AND(I65&lt;&gt;"",AND(J65="",ABS(Q65)&gt;400)),TRUE,FALSE))</f>
        <v/>
      </c>
      <c r="L65" s="214" t="n">
        <v>763.4400000000001</v>
      </c>
      <c r="M65" s="159">
        <f>Arbeitszimmer!$B$3</f>
        <v/>
      </c>
      <c r="N65" t="n">
        <v>10</v>
      </c>
      <c r="O65" s="237">
        <f>L65*N65/100</f>
        <v/>
      </c>
      <c r="P65" s="237">
        <f>M65*O65</f>
        <v/>
      </c>
      <c r="Q65" s="208">
        <f>L65*M65</f>
        <v/>
      </c>
      <c r="R65" s="251">
        <f>L65+O65</f>
        <v/>
      </c>
      <c r="S65" s="251">
        <f>Q65+P65</f>
        <v/>
      </c>
      <c r="T65" s="35">
        <f>voranmeldefrist_vierteljaehrlich(G65)</f>
        <v/>
      </c>
      <c r="U65" s="27" t="n"/>
      <c r="V65" s="27" t="n"/>
      <c r="W65" s="210">
        <f>IF(K65=TRUE,Q65/J65,Q65)</f>
        <v/>
      </c>
      <c r="X65" s="237">
        <f>V65/100*S65</f>
        <v/>
      </c>
      <c r="Y65">
        <f>IF(AND(V65&gt;0,N65=V65),TRUE,FALSE)</f>
        <v/>
      </c>
      <c r="Z65" s="228">
        <f>IF(C65="Einnahmen",Q65,-Q65)</f>
        <v/>
      </c>
    </row>
    <row r="66">
      <c r="A66" s="53" t="n">
        <v>2019</v>
      </c>
      <c r="B66" s="53" t="n">
        <v>65</v>
      </c>
      <c r="C66" s="71" t="inlineStr">
        <is>
          <t>Ausgaben</t>
        </is>
      </c>
      <c r="D66" t="inlineStr">
        <is>
          <t>sonstige Betriebsausgaben</t>
        </is>
      </c>
      <c r="E66" s="9" t="inlineStr">
        <is>
          <t>RE0723136</t>
        </is>
      </c>
      <c r="G66" s="1" t="n">
        <v>43609</v>
      </c>
      <c r="H66" t="inlineStr">
        <is>
          <t>easyname GmbH, Fernkorngasse 10/3/501, A-1100 Wien</t>
        </is>
      </c>
      <c r="K66">
        <f>(IF(AND(I66&lt;&gt;"",AND(J66="",ABS(Q66)&gt;400)),TRUE,FALSE))</f>
        <v/>
      </c>
      <c r="L66" s="214" t="n">
        <v>12.42</v>
      </c>
      <c r="M66" s="159" t="n">
        <v>1</v>
      </c>
      <c r="N66" t="n">
        <v>20</v>
      </c>
      <c r="O66" s="237">
        <f>L66*N66/100</f>
        <v/>
      </c>
      <c r="P66" s="237">
        <f>M66*O66</f>
        <v/>
      </c>
      <c r="Q66" s="208">
        <f>L66*M66</f>
        <v/>
      </c>
      <c r="R66" s="251">
        <f>L66+O66</f>
        <v/>
      </c>
      <c r="S66" s="251">
        <f>Q66+P66</f>
        <v/>
      </c>
      <c r="T66" s="35">
        <f>voranmeldefrist_vierteljaehrlich(G66)</f>
        <v/>
      </c>
      <c r="U66" s="27" t="n"/>
      <c r="V66" s="27" t="n"/>
      <c r="W66" s="210">
        <f>IF(K66=TRUE,Q66/J66,Q66)</f>
        <v/>
      </c>
      <c r="X66" s="237">
        <f>V66/100*S66</f>
        <v/>
      </c>
      <c r="Y66">
        <f>IF(AND(V66&gt;0,N66=V66),TRUE,FALSE)</f>
        <v/>
      </c>
      <c r="Z66" s="228">
        <f>IF(C66="Einnahmen",Q66,-Q66)</f>
        <v/>
      </c>
    </row>
    <row r="67">
      <c r="A67" s="53" t="n">
        <v>2019</v>
      </c>
      <c r="B67" s="53" t="n">
        <v>66</v>
      </c>
      <c r="C67" s="71" t="inlineStr">
        <is>
          <t>Ausgaben</t>
        </is>
      </c>
      <c r="D67" t="inlineStr">
        <is>
          <t>sonstige Betriebsausgaben</t>
        </is>
      </c>
      <c r="E67" s="9" t="inlineStr">
        <is>
          <t>PRM319050005413</t>
        </is>
      </c>
      <c r="G67" s="1" t="n">
        <v>43614</v>
      </c>
      <c r="H67" t="inlineStr">
        <is>
          <t>Xing SE, Dammtorstraße 30, 20354 Hamburg</t>
        </is>
      </c>
      <c r="K67">
        <f>(IF(AND(I67&lt;&gt;"",AND(J67="",ABS(Q67)&gt;400)),TRUE,FALSE))</f>
        <v/>
      </c>
      <c r="L67" s="214" t="n">
        <v>24.88</v>
      </c>
      <c r="M67" s="159" t="n">
        <v>1</v>
      </c>
      <c r="N67" t="n">
        <v>0</v>
      </c>
      <c r="O67" s="237">
        <f>L67*N67/100</f>
        <v/>
      </c>
      <c r="P67" s="237">
        <f>M67*O67</f>
        <v/>
      </c>
      <c r="Q67" s="208">
        <f>L67*M67</f>
        <v/>
      </c>
      <c r="R67" s="251">
        <f>L67+O67</f>
        <v/>
      </c>
      <c r="S67" s="251">
        <f>Q67+P67</f>
        <v/>
      </c>
      <c r="T67" s="35">
        <f>voranmeldefrist_vierteljaehrlich(G67)</f>
        <v/>
      </c>
      <c r="U67" s="27" t="n"/>
      <c r="V67" s="27" t="n">
        <v>20</v>
      </c>
      <c r="W67" s="210">
        <f>IF(K67=TRUE,Q67/I67,Q67)</f>
        <v/>
      </c>
      <c r="X67" s="237">
        <f>V67/100*S67</f>
        <v/>
      </c>
      <c r="Y67">
        <f>IF(AND(V67&gt;0,N67=V67),TRUE,FALSE)</f>
        <v/>
      </c>
      <c r="Z67" s="228">
        <f>IF(C67="Einnahmen",Q67,-Q67)</f>
        <v/>
      </c>
    </row>
    <row r="68">
      <c r="A68" s="53" t="n">
        <v>2019</v>
      </c>
      <c r="B68" s="53" t="n">
        <v>67</v>
      </c>
      <c r="C68" s="71" t="inlineStr">
        <is>
          <t>Ausgaben</t>
        </is>
      </c>
      <c r="D68" t="inlineStr">
        <is>
          <t>Reise- und Fahrtspesen inkl. Kilometergeld und Diäten</t>
        </is>
      </c>
      <c r="E68" s="9" t="inlineStr">
        <is>
          <t>3293000007649616</t>
        </is>
      </c>
      <c r="G68" s="1" t="n">
        <v>43619</v>
      </c>
      <c r="H68" t="inlineStr">
        <is>
          <t>car2go Österreich GmbH, Hintere Zollamtstraße 9, 1030 Wien</t>
        </is>
      </c>
      <c r="K68">
        <f>(IF(AND(I68&lt;&gt;"",AND(J68="",ABS(Q68)&gt;400)),TRUE,FALSE))</f>
        <v/>
      </c>
      <c r="L68" s="214" t="n">
        <v>3.1</v>
      </c>
      <c r="M68" s="159" t="n">
        <v>1</v>
      </c>
      <c r="N68" t="n">
        <v>20</v>
      </c>
      <c r="O68" s="237">
        <f>L68*N68/100</f>
        <v/>
      </c>
      <c r="P68" s="237">
        <f>M68*O68</f>
        <v/>
      </c>
      <c r="Q68" s="208">
        <f>L68*M68</f>
        <v/>
      </c>
      <c r="R68" s="251">
        <f>L68+O68</f>
        <v/>
      </c>
      <c r="S68" s="251">
        <f>Q68+P68</f>
        <v/>
      </c>
      <c r="T68" s="35">
        <f>voranmeldefrist_vierteljaehrlich(G68)</f>
        <v/>
      </c>
      <c r="U68" s="27" t="n"/>
      <c r="V68" s="27" t="n"/>
      <c r="W68" s="210">
        <f>IF(K68=TRUE,Q68/I68,Q68)</f>
        <v/>
      </c>
      <c r="X68" s="237">
        <f>V68/100*S68</f>
        <v/>
      </c>
      <c r="Y68">
        <f>IF(AND(V68&gt;0,N68=V68),TRUE,FALSE)</f>
        <v/>
      </c>
      <c r="Z68" s="228">
        <f>IF(C68="Einnahmen",Q68,-Q68)</f>
        <v/>
      </c>
    </row>
    <row r="69">
      <c r="A69" s="53" t="n">
        <v>2019</v>
      </c>
      <c r="B69" s="53" t="n">
        <v>68</v>
      </c>
      <c r="C69" s="71" t="inlineStr">
        <is>
          <t>Ausgaben</t>
        </is>
      </c>
      <c r="D69" t="inlineStr">
        <is>
          <t>sonstige Betriebsausgaben</t>
        </is>
      </c>
      <c r="E69" s="9" t="inlineStr">
        <is>
          <t>34027667697/40/2019</t>
        </is>
      </c>
      <c r="G69" s="1" t="n">
        <v>43619</v>
      </c>
      <c r="H69" t="inlineStr">
        <is>
          <t>Verbund AG, Postfach 8400, 1011 Wien, Österreich</t>
        </is>
      </c>
      <c r="K69">
        <f>(IF(AND(I69&lt;&gt;"",AND(J69="",ABS(Q69)&gt;400)),TRUE,FALSE))</f>
        <v/>
      </c>
      <c r="L69" s="214" t="n">
        <v>149.17</v>
      </c>
      <c r="M69" s="159">
        <f>Arbeitszimmer!$B$3</f>
        <v/>
      </c>
      <c r="N69" t="n">
        <v>20</v>
      </c>
      <c r="O69" s="237">
        <f>L69*N69/100</f>
        <v/>
      </c>
      <c r="P69" s="237">
        <f>M69*O69</f>
        <v/>
      </c>
      <c r="Q69" s="208">
        <f>L69*M69</f>
        <v/>
      </c>
      <c r="R69" s="251">
        <f>L69+O69</f>
        <v/>
      </c>
      <c r="S69" s="251">
        <f>Q69+P69</f>
        <v/>
      </c>
      <c r="T69" s="35">
        <f>voranmeldefrist_vierteljaehrlich(G69)</f>
        <v/>
      </c>
      <c r="U69" s="27" t="n"/>
      <c r="V69" s="27" t="n"/>
      <c r="W69" s="210">
        <f>IF(K69=TRUE,Q69/J69,Q69)</f>
        <v/>
      </c>
      <c r="X69" s="237">
        <f>V69/100*S69</f>
        <v/>
      </c>
      <c r="Y69">
        <f>IF(AND(V69&gt;0,N69=V69),TRUE,FALSE)</f>
        <v/>
      </c>
      <c r="Z69" s="228">
        <f>IF(C69="Einnahmen",Q69,-Q69)</f>
        <v/>
      </c>
    </row>
    <row r="70">
      <c r="A70" s="53" t="n">
        <v>2019</v>
      </c>
      <c r="B70" s="53" t="n">
        <v>69</v>
      </c>
      <c r="C70" s="71" t="inlineStr">
        <is>
          <t>Ausgaben</t>
        </is>
      </c>
      <c r="D70" t="inlineStr">
        <is>
          <t>Telefon/Internet</t>
        </is>
      </c>
      <c r="E70" s="9" t="inlineStr">
        <is>
          <t>6179058867</t>
        </is>
      </c>
      <c r="G70" s="1" t="n">
        <v>43619</v>
      </c>
      <c r="H70" t="inlineStr">
        <is>
          <t>Hutchison Drei Austria GmbH, Brünner Straße 52, 1210 Wien, Österreich</t>
        </is>
      </c>
      <c r="K70">
        <f>(IF(AND(I70&lt;&gt;"",AND(J70="",ABS(Q70)&gt;400)),TRUE,FALSE))</f>
        <v/>
      </c>
      <c r="L70" s="214">
        <f>18/1.2</f>
        <v/>
      </c>
      <c r="M70" s="159" t="n">
        <v>1</v>
      </c>
      <c r="N70" t="n">
        <v>20</v>
      </c>
      <c r="O70" s="237">
        <f>L70*N70/100</f>
        <v/>
      </c>
      <c r="P70" s="237">
        <f>M70*O70</f>
        <v/>
      </c>
      <c r="Q70" s="208">
        <f>L70*M70</f>
        <v/>
      </c>
      <c r="R70" s="251">
        <f>L70+O70</f>
        <v/>
      </c>
      <c r="S70" s="251">
        <f>Q70+P70</f>
        <v/>
      </c>
      <c r="T70" s="35">
        <f>voranmeldefrist_vierteljaehrlich(G70)</f>
        <v/>
      </c>
      <c r="U70" s="27" t="n"/>
      <c r="V70" s="27" t="n"/>
      <c r="W70" s="210">
        <f>IF(K70=TRUE,Q70/I70,Q70)</f>
        <v/>
      </c>
      <c r="X70" s="237">
        <f>V70/100*S70</f>
        <v/>
      </c>
      <c r="Y70">
        <f>IF(AND(V70&gt;0,N70=V70),TRUE,FALSE)</f>
        <v/>
      </c>
      <c r="Z70" s="228">
        <f>IF(C70="Einnahmen",Q70,-Q70)</f>
        <v/>
      </c>
    </row>
    <row r="71">
      <c r="A71" s="53" t="n">
        <v>2019</v>
      </c>
      <c r="B71" s="53" t="n">
        <v>70</v>
      </c>
      <c r="C71" s="71" t="inlineStr">
        <is>
          <t>Ausgaben</t>
        </is>
      </c>
      <c r="D71" t="inlineStr">
        <is>
          <t>Reise- und Fahrtspesen inkl. Kilometergeld und Diäten</t>
        </is>
      </c>
      <c r="E71" s="9" t="inlineStr">
        <is>
          <t>3293000007682096</t>
        </is>
      </c>
      <c r="G71" s="1" t="n">
        <v>43627</v>
      </c>
      <c r="H71" t="inlineStr">
        <is>
          <t>car2go Österreich GmbH, Hintere Zollamtstraße 9, 1030 Wien</t>
        </is>
      </c>
      <c r="K71">
        <f>(IF(AND(I71&lt;&gt;"",AND(J71="",ABS(Q71)&gt;400)),TRUE,FALSE))</f>
        <v/>
      </c>
      <c r="L71" s="214" t="n">
        <v>4.13</v>
      </c>
      <c r="M71" s="159" t="n">
        <v>1</v>
      </c>
      <c r="N71" t="n">
        <v>20</v>
      </c>
      <c r="O71" s="237">
        <f>L71*N71/100</f>
        <v/>
      </c>
      <c r="P71" s="237">
        <f>M71*O71</f>
        <v/>
      </c>
      <c r="Q71" s="208">
        <f>L71*M71</f>
        <v/>
      </c>
      <c r="R71" s="251">
        <f>L71+O71</f>
        <v/>
      </c>
      <c r="S71" s="251">
        <f>Q71+P71</f>
        <v/>
      </c>
      <c r="T71" s="35">
        <f>voranmeldefrist_vierteljaehrlich(G71)</f>
        <v/>
      </c>
      <c r="U71" s="27" t="n"/>
      <c r="V71" s="27" t="n"/>
      <c r="W71" s="210">
        <f>IF(K71=TRUE,Q71/I71,Q71)</f>
        <v/>
      </c>
      <c r="X71" s="237">
        <f>V71/100*S71</f>
        <v/>
      </c>
      <c r="Y71">
        <f>IF(AND(V71&gt;0,N71=V71),TRUE,FALSE)</f>
        <v/>
      </c>
      <c r="Z71" s="228">
        <f>IF(C71="Einnahmen",Q71,-Q71)</f>
        <v/>
      </c>
    </row>
    <row r="72">
      <c r="A72" s="53" t="n">
        <v>2019</v>
      </c>
      <c r="B72" s="53" t="n">
        <v>71</v>
      </c>
      <c r="C72" s="71" t="inlineStr">
        <is>
          <t>Ausgaben</t>
        </is>
      </c>
      <c r="D72" t="inlineStr">
        <is>
          <t>Telefon/Internet</t>
        </is>
      </c>
      <c r="E72" s="9" t="inlineStr">
        <is>
          <t>175162976-00</t>
        </is>
      </c>
      <c r="G72" s="1" t="n">
        <v>43623</v>
      </c>
      <c r="H72" t="inlineStr">
        <is>
          <t>UPC Telekabel Wien GmbH, A1120 Wien, Postfach 47</t>
        </is>
      </c>
      <c r="K72">
        <f>(IF(AND(I72&lt;&gt;"",AND(J72="",ABS(Q72)&gt;400)),TRUE,FALSE))</f>
        <v/>
      </c>
      <c r="L72" s="214">
        <f>27.82+1.04</f>
        <v/>
      </c>
      <c r="M72" s="159">
        <f>2/3</f>
        <v/>
      </c>
      <c r="N72" t="n">
        <v>20</v>
      </c>
      <c r="O72" s="237">
        <f>L72*N72/100</f>
        <v/>
      </c>
      <c r="P72" s="237">
        <f>M72*O72</f>
        <v/>
      </c>
      <c r="Q72" s="208">
        <f>L72*M72</f>
        <v/>
      </c>
      <c r="R72" s="251">
        <f>L72+O72</f>
        <v/>
      </c>
      <c r="S72" s="251">
        <f>Q72+P72</f>
        <v/>
      </c>
      <c r="T72" s="35">
        <f>voranmeldefrist_vierteljaehrlich(G72)</f>
        <v/>
      </c>
      <c r="U72" s="27" t="n"/>
      <c r="V72" s="27" t="n"/>
      <c r="W72" s="210">
        <f>IF(K72=TRUE,Q72/J72,Q72)</f>
        <v/>
      </c>
      <c r="X72" s="237">
        <f>V72/100*S72</f>
        <v/>
      </c>
      <c r="Y72">
        <f>IF(AND(V72&gt;0,N72=V72),TRUE,FALSE)</f>
        <v/>
      </c>
      <c r="Z72" s="228">
        <f>IF(C72="Einnahmen",Q72,-Q72)</f>
        <v/>
      </c>
    </row>
    <row r="73">
      <c r="A73" s="53" t="n">
        <v>2019</v>
      </c>
      <c r="B73" s="53" t="n">
        <v>72</v>
      </c>
      <c r="C73" s="71" t="inlineStr">
        <is>
          <t>Ausgaben</t>
        </is>
      </c>
      <c r="D73" t="inlineStr">
        <is>
          <t>Lizenzgebühren</t>
        </is>
      </c>
      <c r="E73" s="9" t="inlineStr">
        <is>
          <t>EIN19/0026487</t>
        </is>
      </c>
      <c r="G73" s="1" t="n">
        <v>43627</v>
      </c>
      <c r="H73" t="inlineStr">
        <is>
          <t>A-Trust Gesellschaft für Sicherheitssysteme im elektronischen Datenverkehr GmbH, Landstraßer Hauptstraße 1b, E02, A-1030 Wien: a.sign light Zertifikat Nutzung 1J, Signaturvertrag 158279472050</t>
        </is>
      </c>
      <c r="K73" t="b">
        <v>0</v>
      </c>
      <c r="L73" s="214" t="n">
        <v>8.779999999999999</v>
      </c>
      <c r="M73" s="159" t="n">
        <v>1</v>
      </c>
      <c r="N73" t="n">
        <v>20</v>
      </c>
      <c r="O73" s="237">
        <f>L73*N73/100</f>
        <v/>
      </c>
      <c r="P73" s="237">
        <f>M73*O73</f>
        <v/>
      </c>
      <c r="Q73" s="208">
        <f>L73*M73</f>
        <v/>
      </c>
      <c r="R73" s="251">
        <f>L73+O73</f>
        <v/>
      </c>
      <c r="S73" s="251">
        <f>Q73+P73</f>
        <v/>
      </c>
      <c r="T73" s="35">
        <f>voranmeldefrist_vierteljaehrlich(G73)</f>
        <v/>
      </c>
      <c r="U73" s="27" t="n"/>
      <c r="V73" s="27" t="n"/>
      <c r="W73" s="210">
        <f>IF(K73=TRUE,Q73/I73,Q73)</f>
        <v/>
      </c>
      <c r="X73" s="237">
        <f>V73/100*S73</f>
        <v/>
      </c>
      <c r="Y73">
        <f>IF(AND(V73&gt;0,N73=V73),TRUE,FALSE)</f>
        <v/>
      </c>
      <c r="Z73" s="228">
        <f>IF(C73="Einnahmen",Q73,-Q73)</f>
        <v/>
      </c>
    </row>
    <row r="74">
      <c r="A74" s="53" t="n">
        <v>2019</v>
      </c>
      <c r="B74" s="53" t="n">
        <v>73</v>
      </c>
      <c r="C74" s="71" t="inlineStr">
        <is>
          <t>Ausgaben</t>
        </is>
      </c>
      <c r="D74" t="inlineStr">
        <is>
          <t>sonstige Betriebsausgaben</t>
        </is>
      </c>
      <c r="E74" s="9" t="inlineStr">
        <is>
          <t>MNr. 871465 / GU 2019</t>
        </is>
      </c>
      <c r="G74" s="1" t="n">
        <v>43627</v>
      </c>
      <c r="H74" t="inlineStr">
        <is>
          <t>Wirtschaftskammer Wien Grundumlagen, Straße der Wiener Wirtschaft 1, 1020 Wien: GU UBIT</t>
        </is>
      </c>
      <c r="K74" t="b">
        <v>0</v>
      </c>
      <c r="L74" s="214" t="n">
        <v>65</v>
      </c>
      <c r="M74" s="159" t="n">
        <v>1</v>
      </c>
      <c r="N74" t="n">
        <v>0</v>
      </c>
      <c r="O74" s="237">
        <f>L74*N74/100</f>
        <v/>
      </c>
      <c r="P74" s="237">
        <f>M74*O74</f>
        <v/>
      </c>
      <c r="Q74" s="208">
        <f>L74*M74</f>
        <v/>
      </c>
      <c r="R74" s="251">
        <f>L74+O74</f>
        <v/>
      </c>
      <c r="S74" s="251">
        <f>Q74+P74</f>
        <v/>
      </c>
      <c r="T74" s="35">
        <f>voranmeldefrist_vierteljaehrlich(G74)</f>
        <v/>
      </c>
      <c r="U74" s="27" t="n"/>
      <c r="V74" s="27" t="n"/>
      <c r="W74" s="210">
        <f>IF(K74=TRUE,Q74/I74,Q74)</f>
        <v/>
      </c>
      <c r="X74" s="237">
        <f>V74/100*S74</f>
        <v/>
      </c>
      <c r="Y74">
        <f>IF(AND(V74&gt;0,N74=V74),TRUE,FALSE)</f>
        <v/>
      </c>
      <c r="Z74" s="228">
        <f>IF(C74="Einnahmen",Q74,-Q74)</f>
        <v/>
      </c>
    </row>
    <row r="75">
      <c r="A75" s="53" t="n">
        <v>2019</v>
      </c>
      <c r="B75" s="53" t="n">
        <v>74</v>
      </c>
      <c r="C75" s="71" t="inlineStr">
        <is>
          <t>Einnahmen</t>
        </is>
      </c>
      <c r="D75" t="inlineStr">
        <is>
          <t>Waren-/Leistungserlöse</t>
        </is>
      </c>
      <c r="E75" s="9" t="inlineStr">
        <is>
          <t>RE12019006</t>
        </is>
      </c>
      <c r="G75" s="1" t="n">
        <v>43629</v>
      </c>
      <c r="H75" s="43" t="inlineStr">
        <is>
          <t>Wedding Avenue e.U., Mayerweckstrasse 2-8/99/1, 1210 Wien</t>
        </is>
      </c>
      <c r="K75" t="b">
        <v>0</v>
      </c>
      <c r="L75" s="214" t="n">
        <v>1657.5</v>
      </c>
      <c r="M75" s="159" t="n">
        <v>1</v>
      </c>
      <c r="N75" t="n">
        <v>20</v>
      </c>
      <c r="O75" s="237">
        <f>L75*N75/100</f>
        <v/>
      </c>
      <c r="P75" s="237">
        <f>M75*O75</f>
        <v/>
      </c>
      <c r="Q75" s="208">
        <f>L75*M75</f>
        <v/>
      </c>
      <c r="R75" s="251">
        <f>L75+O75</f>
        <v/>
      </c>
      <c r="S75" s="251">
        <f>Q75+P75</f>
        <v/>
      </c>
      <c r="T75" s="35">
        <f>voranmeldefrist_vierteljaehrlich(G75)</f>
        <v/>
      </c>
      <c r="U75" s="27" t="n"/>
      <c r="V75" s="27" t="n"/>
      <c r="W75" s="210">
        <f>IF(K75=TRUE,Q75/I75,Q75)</f>
        <v/>
      </c>
      <c r="X75" s="237">
        <f>V75/100*S75</f>
        <v/>
      </c>
      <c r="Y75">
        <f>IF(AND(V75&gt;0,N75=V75),TRUE,FALSE)</f>
        <v/>
      </c>
      <c r="Z75" s="228">
        <f>IF(C75="Einnahmen",Q75,-Q75)</f>
        <v/>
      </c>
    </row>
    <row r="76">
      <c r="A76" s="53" t="n">
        <v>2019</v>
      </c>
      <c r="B76" s="53" t="n">
        <v>75</v>
      </c>
      <c r="C76" s="71" t="inlineStr">
        <is>
          <t>Ausgaben</t>
        </is>
      </c>
      <c r="D76" t="inlineStr">
        <is>
          <t>sonstige Betriebsausgaben</t>
        </is>
      </c>
      <c r="E76" s="9" t="inlineStr">
        <is>
          <t>R0009683099</t>
        </is>
      </c>
      <c r="G76" s="1" t="n">
        <v>43630</v>
      </c>
      <c r="H76" t="inlineStr">
        <is>
          <t>Hetzner Online GmbH</t>
        </is>
      </c>
      <c r="K76">
        <f>(IF(AND(I76&lt;&gt;"",AND(J76="",ABS(Q76)&gt;400)),TRUE,FALSE))</f>
        <v/>
      </c>
      <c r="L76" s="214" t="n">
        <v>46.92</v>
      </c>
      <c r="M76" s="159" t="n">
        <v>1</v>
      </c>
      <c r="N76" t="n">
        <v>0</v>
      </c>
      <c r="O76" s="237">
        <f>L76*N76/100</f>
        <v/>
      </c>
      <c r="P76" s="237">
        <f>M76*O76</f>
        <v/>
      </c>
      <c r="Q76" s="208">
        <f>L76*M76</f>
        <v/>
      </c>
      <c r="R76" s="251">
        <f>L76+O76</f>
        <v/>
      </c>
      <c r="S76" s="251">
        <f>Q76+P76</f>
        <v/>
      </c>
      <c r="T76" s="35">
        <f>voranmeldefrist_vierteljaehrlich(G76)</f>
        <v/>
      </c>
      <c r="U76" s="27" t="n"/>
      <c r="V76" s="27" t="n">
        <v>20</v>
      </c>
      <c r="W76" s="210">
        <f>IF(K76=TRUE,Q76/J76,Q76)</f>
        <v/>
      </c>
      <c r="X76" s="237">
        <f>V76/100*S76</f>
        <v/>
      </c>
      <c r="Y76">
        <f>IF(AND(V76&gt;0,N76=V76),TRUE,FALSE)</f>
        <v/>
      </c>
      <c r="Z76" s="228">
        <f>IF(C76="Einnahmen",Q76,-Q76)</f>
        <v/>
      </c>
    </row>
    <row r="77">
      <c r="A77" s="53" t="n">
        <v>2019</v>
      </c>
      <c r="B77" s="53" t="n">
        <v>76</v>
      </c>
      <c r="C77" s="71" t="inlineStr">
        <is>
          <t>Ausgaben</t>
        </is>
      </c>
      <c r="D77" t="inlineStr">
        <is>
          <t>sonstige Betriebsausgaben</t>
        </is>
      </c>
      <c r="E77" s="9" t="inlineStr">
        <is>
          <t>14004659219/40/2019</t>
        </is>
      </c>
      <c r="G77" s="1" t="n">
        <v>43633</v>
      </c>
      <c r="H77" t="inlineStr">
        <is>
          <t>Montana Energie Handel AT GmbH</t>
        </is>
      </c>
      <c r="K77">
        <f>(IF(AND(I77&lt;&gt;"",AND(J77="",ABS(Q77)&gt;400)),TRUE,FALSE))</f>
        <v/>
      </c>
      <c r="L77" s="214" t="n">
        <v>78.33</v>
      </c>
      <c r="M77" s="159">
        <f>Arbeitszimmer!$B$3</f>
        <v/>
      </c>
      <c r="N77" t="n">
        <v>20</v>
      </c>
      <c r="O77" s="237">
        <f>L77*N77/100</f>
        <v/>
      </c>
      <c r="P77" s="237">
        <f>M77*O77</f>
        <v/>
      </c>
      <c r="Q77" s="208">
        <f>L77*M77</f>
        <v/>
      </c>
      <c r="R77" s="251">
        <f>L77+O77</f>
        <v/>
      </c>
      <c r="S77" s="251">
        <f>Q77+P77</f>
        <v/>
      </c>
      <c r="T77" s="35">
        <f>voranmeldefrist_vierteljaehrlich(G77)</f>
        <v/>
      </c>
      <c r="U77" s="27" t="n"/>
      <c r="V77" s="27" t="n"/>
      <c r="W77" s="210">
        <f>IF(K77=TRUE,Q77/J77,Q77)</f>
        <v/>
      </c>
      <c r="X77" s="237">
        <f>V77/100*S77</f>
        <v/>
      </c>
      <c r="Y77">
        <f>IF(AND(V77&gt;0,N77=V77),TRUE,FALSE)</f>
        <v/>
      </c>
      <c r="Z77" s="228">
        <f>IF(C77="Einnahmen",Q77,-Q77)</f>
        <v/>
      </c>
    </row>
    <row r="78">
      <c r="A78" s="53" t="n">
        <v>2019</v>
      </c>
      <c r="B78" s="53" t="n">
        <v>77</v>
      </c>
      <c r="C78" s="71" t="inlineStr">
        <is>
          <t>Ausgaben</t>
        </is>
      </c>
      <c r="D78" t="inlineStr">
        <is>
          <t>sonstige Betriebsausgaben</t>
        </is>
      </c>
      <c r="E78" s="9" t="inlineStr">
        <is>
          <t>2019/118</t>
        </is>
      </c>
      <c r="G78" s="1" t="n">
        <v>43633</v>
      </c>
      <c r="H78" t="inlineStr">
        <is>
          <t>3W Steuerkanzlei, Roter Hof 1a, 1080 Wien</t>
        </is>
      </c>
      <c r="K78">
        <f>(IF(AND(I78&lt;&gt;"",AND(J78="",ABS(Q78)&gt;400)),TRUE,FALSE))</f>
        <v/>
      </c>
      <c r="L78" s="214" t="n">
        <v>860</v>
      </c>
      <c r="M78" s="159" t="n">
        <v>1</v>
      </c>
      <c r="N78" t="n">
        <v>20</v>
      </c>
      <c r="O78" s="237">
        <f>L78*N78/100</f>
        <v/>
      </c>
      <c r="P78" s="237">
        <f>M78*O78</f>
        <v/>
      </c>
      <c r="Q78" s="208">
        <f>L78*M78</f>
        <v/>
      </c>
      <c r="R78" s="251">
        <f>L78+O78</f>
        <v/>
      </c>
      <c r="S78" s="251">
        <f>Q78+P78</f>
        <v/>
      </c>
      <c r="T78" s="35">
        <f>voranmeldefrist_vierteljaehrlich(G78)</f>
        <v/>
      </c>
      <c r="U78" s="27" t="n"/>
      <c r="V78" s="27" t="n"/>
      <c r="W78" s="210">
        <f>IF(K78=TRUE,Q78/J78,Q78)</f>
        <v/>
      </c>
      <c r="X78" s="237">
        <f>V78/100*S78</f>
        <v/>
      </c>
      <c r="Y78">
        <f>IF(AND(V78&gt;0,N78=V78),TRUE,FALSE)</f>
        <v/>
      </c>
      <c r="Z78" s="228">
        <f>IF(C78="Einnahmen",Q78,-Q78)</f>
        <v/>
      </c>
    </row>
    <row r="79">
      <c r="A79" s="53" t="n">
        <v>2019</v>
      </c>
      <c r="B79" s="53" t="n">
        <v>78</v>
      </c>
      <c r="C79" s="71" t="inlineStr">
        <is>
          <t>Ausgaben</t>
        </is>
      </c>
      <c r="D79" t="inlineStr">
        <is>
          <t>sonstige Betriebsausgaben</t>
        </is>
      </c>
      <c r="E79" s="9" t="inlineStr">
        <is>
          <t>E2ESPAC190618RBY9YAKZLMB3</t>
        </is>
      </c>
      <c r="G79" s="1" t="n">
        <v>43635</v>
      </c>
      <c r="H79" t="inlineStr">
        <is>
          <t>Premium Laudongasse 58 GmbH &amp; Co KG</t>
        </is>
      </c>
      <c r="K79">
        <f>(IF(AND(I79&lt;&gt;"",AND(J79="",ABS(Q79)&gt;400)),TRUE,FALSE))</f>
        <v/>
      </c>
      <c r="L79" s="214">
        <f>-162.78/1.1</f>
        <v/>
      </c>
      <c r="M79" s="159">
        <f>Arbeitszimmer!$B$3</f>
        <v/>
      </c>
      <c r="N79" t="n">
        <v>10</v>
      </c>
      <c r="O79" s="237">
        <f>L79*N79/100</f>
        <v/>
      </c>
      <c r="P79" s="237">
        <f>M79*O79</f>
        <v/>
      </c>
      <c r="Q79" s="208">
        <f>L79*M79</f>
        <v/>
      </c>
      <c r="R79" s="251">
        <f>L79+O79</f>
        <v/>
      </c>
      <c r="S79" s="251">
        <f>Q79+P79</f>
        <v/>
      </c>
      <c r="T79" s="35">
        <f>voranmeldefrist_vierteljaehrlich(G79)</f>
        <v/>
      </c>
      <c r="U79" s="27" t="n"/>
      <c r="V79" s="27" t="n"/>
      <c r="W79" s="210">
        <f>IF(K79=TRUE,Q79/J79,Q79)</f>
        <v/>
      </c>
      <c r="X79" s="237">
        <f>V79/100*S79</f>
        <v/>
      </c>
      <c r="Y79">
        <f>IF(AND(V79&gt;0,N79=V79),TRUE,FALSE)</f>
        <v/>
      </c>
      <c r="Z79" s="228">
        <f>IF(C79="Einnahmen",Q79,-Q79)</f>
        <v/>
      </c>
    </row>
    <row r="80">
      <c r="A80" s="53" t="n">
        <v>2019</v>
      </c>
      <c r="B80" s="53" t="n">
        <v>79</v>
      </c>
      <c r="C80" s="71" t="inlineStr">
        <is>
          <t>Ausgaben</t>
        </is>
      </c>
      <c r="D80" t="inlineStr">
        <is>
          <t>Reise- und Fahrtspesen inkl. Kilometergeld und Diäten</t>
        </is>
      </c>
      <c r="E80" s="9" t="inlineStr">
        <is>
          <t>0298363406567393</t>
        </is>
      </c>
      <c r="G80" s="1" t="n">
        <v>43635</v>
      </c>
      <c r="H80" t="inlineStr">
        <is>
          <t>ÖBB-Personenverkehr AG, FN248742y</t>
        </is>
      </c>
      <c r="K80" t="b">
        <v>0</v>
      </c>
      <c r="L80" s="214">
        <f>11.4/1.1</f>
        <v/>
      </c>
      <c r="M80" s="159" t="n">
        <v>1</v>
      </c>
      <c r="N80" t="n">
        <v>10</v>
      </c>
      <c r="O80" s="237">
        <f>L80*N80/100</f>
        <v/>
      </c>
      <c r="P80" s="237">
        <f>M80*O80</f>
        <v/>
      </c>
      <c r="Q80" s="208">
        <f>L80*M80</f>
        <v/>
      </c>
      <c r="R80" s="251">
        <f>L80+O80</f>
        <v/>
      </c>
      <c r="S80" s="251">
        <f>Q80+P80</f>
        <v/>
      </c>
      <c r="T80" s="35">
        <f>voranmeldefrist_vierteljaehrlich(G80)</f>
        <v/>
      </c>
      <c r="U80" s="27" t="n"/>
      <c r="V80" s="27" t="n"/>
      <c r="W80" s="210">
        <f>IF(K80=TRUE,Q80/J80,Q80)</f>
        <v/>
      </c>
      <c r="X80" s="237">
        <f>V80/100*S80</f>
        <v/>
      </c>
      <c r="Y80">
        <f>IF(AND(V80&gt;0,N80=V80),TRUE,FALSE)</f>
        <v/>
      </c>
      <c r="Z80" s="228">
        <f>IF(C80="Einnahmen",Q80,-Q80)</f>
        <v/>
      </c>
    </row>
    <row r="81">
      <c r="A81" s="53" t="n">
        <v>2019</v>
      </c>
      <c r="B81" s="53" t="n">
        <v>80</v>
      </c>
      <c r="C81" s="71" t="inlineStr">
        <is>
          <t>Ausgaben</t>
        </is>
      </c>
      <c r="D81" t="inlineStr">
        <is>
          <t>Reise- und Fahrtspesen inkl. Kilometergeld und Diäten</t>
        </is>
      </c>
      <c r="E81" s="9" t="inlineStr">
        <is>
          <t>3293000007737263</t>
        </is>
      </c>
      <c r="G81" s="1" t="n">
        <v>43637</v>
      </c>
      <c r="H81" t="inlineStr">
        <is>
          <t>car2go Österreich GmbH, Hintere Zollamtstraße 9, 1030 Wien</t>
        </is>
      </c>
      <c r="K81">
        <f>(IF(AND(I81&lt;&gt;"",AND(J81="",ABS(Q81)&gt;400)),TRUE,FALSE))</f>
        <v/>
      </c>
      <c r="L81" s="214" t="n">
        <v>2.32</v>
      </c>
      <c r="M81" s="159" t="n">
        <v>1</v>
      </c>
      <c r="N81" t="n">
        <v>20</v>
      </c>
      <c r="O81" s="237" t="n">
        <v>0.47</v>
      </c>
      <c r="P81" s="237" t="n">
        <v>0.47</v>
      </c>
      <c r="Q81" s="208">
        <f>L81*M81</f>
        <v/>
      </c>
      <c r="R81" s="251">
        <f>L81+O81</f>
        <v/>
      </c>
      <c r="S81" s="251">
        <f>Q81+P81</f>
        <v/>
      </c>
      <c r="T81" s="35">
        <f>voranmeldefrist_vierteljaehrlich(G81)</f>
        <v/>
      </c>
      <c r="U81" s="27" t="n"/>
      <c r="V81" s="27" t="n"/>
      <c r="W81" s="210">
        <f>IF(K81=TRUE,Q81/I81,Q81)</f>
        <v/>
      </c>
      <c r="X81" s="237">
        <f>V81/100*S81</f>
        <v/>
      </c>
      <c r="Y81">
        <f>IF(AND(V81&gt;0,N81=V81),TRUE,FALSE)</f>
        <v/>
      </c>
      <c r="Z81" s="228">
        <f>IF(C81="Einnahmen",Q81,-Q81)</f>
        <v/>
      </c>
    </row>
    <row r="82">
      <c r="A82" s="53" t="n">
        <v>2019</v>
      </c>
      <c r="B82" s="53" t="n">
        <v>81</v>
      </c>
      <c r="C82" s="71" t="inlineStr">
        <is>
          <t>Ausgaben</t>
        </is>
      </c>
      <c r="D82" t="inlineStr">
        <is>
          <t>Reise- und Fahrtspesen inkl. Kilometergeld und Diäten</t>
        </is>
      </c>
      <c r="E82" s="9" t="inlineStr">
        <is>
          <t>3293000007733074</t>
        </is>
      </c>
      <c r="G82" s="1" t="n">
        <v>43637</v>
      </c>
      <c r="H82" t="inlineStr">
        <is>
          <t>car2go Österreich GmbH, Hintere Zollamtstraße 9, 1030 Wien</t>
        </is>
      </c>
      <c r="K82">
        <f>(IF(AND(I82&lt;&gt;"",AND(J82="",ABS(Q82)&gt;400)),TRUE,FALSE))</f>
        <v/>
      </c>
      <c r="L82" s="214" t="n">
        <v>6.97</v>
      </c>
      <c r="M82" s="159" t="n">
        <v>1</v>
      </c>
      <c r="N82" t="n">
        <v>20</v>
      </c>
      <c r="O82" s="237" t="n">
        <v>1.4</v>
      </c>
      <c r="P82" s="237" t="n">
        <v>1.4</v>
      </c>
      <c r="Q82" s="208">
        <f>L82*M82</f>
        <v/>
      </c>
      <c r="R82" s="251">
        <f>L82+O82</f>
        <v/>
      </c>
      <c r="S82" s="251">
        <f>Q82+P82</f>
        <v/>
      </c>
      <c r="T82" s="35">
        <f>voranmeldefrist_vierteljaehrlich(G82)</f>
        <v/>
      </c>
      <c r="U82" s="27" t="n"/>
      <c r="V82" s="27" t="n"/>
      <c r="W82" s="210">
        <f>IF(K82=TRUE,Q82/I82,Q82)</f>
        <v/>
      </c>
      <c r="X82" s="237">
        <f>V82/100*S82</f>
        <v/>
      </c>
      <c r="Y82">
        <f>IF(AND(V82&gt;0,N82=V82),TRUE,FALSE)</f>
        <v/>
      </c>
      <c r="Z82" s="228">
        <f>IF(C82="Einnahmen",Q82,-Q82)</f>
        <v/>
      </c>
    </row>
    <row r="83">
      <c r="A83" s="53" t="n">
        <v>2019</v>
      </c>
      <c r="B83" s="53" t="n">
        <v>82</v>
      </c>
      <c r="C83" s="71" t="inlineStr">
        <is>
          <t>Ausgaben</t>
        </is>
      </c>
      <c r="D83" t="inlineStr">
        <is>
          <t>Lizenzgebühren</t>
        </is>
      </c>
      <c r="E83" s="9" t="inlineStr">
        <is>
          <t>18000131764</t>
        </is>
      </c>
      <c r="G83" s="1" t="n">
        <v>43640</v>
      </c>
      <c r="H83" t="inlineStr">
        <is>
          <t>Microsoft Ireland Operations Ltd. One Microsoft Place, South County, Business Park, Leopardstown, Dublin 18, D18 P521, Ireland</t>
        </is>
      </c>
      <c r="K83">
        <f>(IF(AND(I83&lt;&gt;"",AND(J83="",ABS(Q83)&gt;400)),TRUE,FALSE))</f>
        <v/>
      </c>
      <c r="L83" s="214" t="n">
        <v>57.5</v>
      </c>
      <c r="M83" s="159" t="n">
        <v>1</v>
      </c>
      <c r="N83" t="n">
        <v>20</v>
      </c>
      <c r="O83" s="237">
        <f>L83*N83/100</f>
        <v/>
      </c>
      <c r="P83" s="237">
        <f>M83*O83</f>
        <v/>
      </c>
      <c r="Q83" s="208">
        <f>L83*M83</f>
        <v/>
      </c>
      <c r="R83" s="251">
        <f>L83+O83</f>
        <v/>
      </c>
      <c r="S83" s="251">
        <f>Q83+P83</f>
        <v/>
      </c>
      <c r="T83" s="35">
        <f>voranmeldefrist_vierteljaehrlich(G83)</f>
        <v/>
      </c>
      <c r="U83" s="27" t="n"/>
      <c r="V83" s="27" t="n"/>
      <c r="W83" s="210">
        <f>IF(K83=TRUE,Q83/J83,Q83)</f>
        <v/>
      </c>
      <c r="X83" s="237">
        <f>V83/100*S83</f>
        <v/>
      </c>
      <c r="Y83">
        <f>IF(AND(V83&gt;0,N83=V83),TRUE,FALSE)</f>
        <v/>
      </c>
      <c r="Z83" s="228">
        <f>IF(C83="Einnahmen",Q83,-Q83)</f>
        <v/>
      </c>
    </row>
    <row r="84">
      <c r="A84" s="53" t="n">
        <v>2019</v>
      </c>
      <c r="B84" s="53" t="n">
        <v>83</v>
      </c>
      <c r="C84" s="71" t="inlineStr">
        <is>
          <t>Ausgaben</t>
        </is>
      </c>
      <c r="D84" t="inlineStr">
        <is>
          <t>Miet- und Pachtaufwand, Leasing</t>
        </is>
      </c>
      <c r="E84" s="9" t="inlineStr">
        <is>
          <t>2019/8058/14</t>
        </is>
      </c>
      <c r="G84" s="1" t="n">
        <v>43641</v>
      </c>
      <c r="H84" t="inlineStr">
        <is>
          <t>Premium Laudongasse 58 GmbH &amp; Co KG</t>
        </is>
      </c>
      <c r="K84">
        <f>(IF(AND(I84&lt;&gt;"",AND(J84="",ABS(Q84)&gt;400)),TRUE,FALSE))</f>
        <v/>
      </c>
      <c r="L84" s="214" t="n">
        <v>763.4400000000001</v>
      </c>
      <c r="M84" s="159">
        <f>Arbeitszimmer!$B$3</f>
        <v/>
      </c>
      <c r="N84" t="n">
        <v>10</v>
      </c>
      <c r="O84" s="237">
        <f>L84*N84/100</f>
        <v/>
      </c>
      <c r="P84" s="237">
        <f>M84*O84</f>
        <v/>
      </c>
      <c r="Q84" s="208">
        <f>L84*M84</f>
        <v/>
      </c>
      <c r="R84" s="251">
        <f>L84+O84</f>
        <v/>
      </c>
      <c r="S84" s="251">
        <f>Q84+P84</f>
        <v/>
      </c>
      <c r="T84" s="35">
        <f>voranmeldefrist_vierteljaehrlich(G84)</f>
        <v/>
      </c>
      <c r="U84" s="27" t="n"/>
      <c r="V84" s="27" t="n"/>
      <c r="W84" s="210">
        <f>IF(K84=TRUE,Q84/J84,Q84)</f>
        <v/>
      </c>
      <c r="X84" s="237">
        <f>V84/100*S84</f>
        <v/>
      </c>
      <c r="Y84">
        <f>IF(AND(V84&gt;0,N84=V84),TRUE,FALSE)</f>
        <v/>
      </c>
      <c r="Z84" s="228">
        <f>IF(C84="Einnahmen",Q84,-Q84)</f>
        <v/>
      </c>
    </row>
    <row r="85">
      <c r="A85" s="53" t="n">
        <v>2019</v>
      </c>
      <c r="B85" s="53" t="n">
        <v>84</v>
      </c>
      <c r="C85" s="71" t="inlineStr">
        <is>
          <t>Ausgaben</t>
        </is>
      </c>
      <c r="D85" t="inlineStr">
        <is>
          <t>Reise- und Fahrtspesen inkl. Kilometergeld und Diäten</t>
        </is>
      </c>
      <c r="E85" s="9" t="inlineStr">
        <is>
          <t>20190624114511509441569</t>
        </is>
      </c>
      <c r="G85" s="1" t="n">
        <v>43643</v>
      </c>
      <c r="H85" t="inlineStr">
        <is>
          <t>Magistrat der Stadt Wien (via Paybox)</t>
        </is>
      </c>
      <c r="K85">
        <f>(IF(AND(I85&lt;&gt;"",AND(J85="",ABS(Q85)&gt;400)),TRUE,FALSE))</f>
        <v/>
      </c>
      <c r="L85" s="214" t="n">
        <v>21</v>
      </c>
      <c r="M85" s="159" t="n">
        <v>1</v>
      </c>
      <c r="N85" t="n">
        <v>0</v>
      </c>
      <c r="O85" s="237">
        <f>L85*N85/100</f>
        <v/>
      </c>
      <c r="P85" s="237">
        <f>M85*O85</f>
        <v/>
      </c>
      <c r="Q85" s="208">
        <f>L85*M85</f>
        <v/>
      </c>
      <c r="R85" s="251">
        <f>L85+O85</f>
        <v/>
      </c>
      <c r="S85" s="251">
        <f>Q85+P85</f>
        <v/>
      </c>
      <c r="T85" s="35">
        <f>voranmeldefrist_vierteljaehrlich(G85)</f>
        <v/>
      </c>
      <c r="U85" s="27" t="n"/>
      <c r="V85" s="27" t="n"/>
      <c r="W85" s="210">
        <f>IF(K85=TRUE,Q85/I85,Q85)</f>
        <v/>
      </c>
      <c r="X85" s="237">
        <f>V85/100*S85</f>
        <v/>
      </c>
      <c r="Y85">
        <f>IF(AND(V85&gt;0,N85=V85),TRUE,FALSE)</f>
        <v/>
      </c>
      <c r="Z85" s="228">
        <f>IF(C85="Einnahmen",Q85,-Q85)</f>
        <v/>
      </c>
    </row>
    <row r="86">
      <c r="A86" s="53" t="n">
        <v>2019</v>
      </c>
      <c r="B86" s="53" t="n">
        <v>85</v>
      </c>
      <c r="C86" s="71" t="inlineStr">
        <is>
          <t>Einnahmen</t>
        </is>
      </c>
      <c r="D86" t="inlineStr">
        <is>
          <t>Waren-/Leistungserlöse</t>
        </is>
      </c>
      <c r="E86" s="9" t="inlineStr">
        <is>
          <t>12019001</t>
        </is>
      </c>
      <c r="G86" s="1" t="n">
        <v>43648</v>
      </c>
      <c r="H86" t="inlineStr">
        <is>
          <t>ZT DI Dr. Arno Kolbitsch, Gütleweg 1, 6822 Satteins</t>
        </is>
      </c>
      <c r="K86">
        <f>(IF(AND(I86&lt;&gt;"",AND(J86="",ABS(Q86)&gt;400)),TRUE,FALSE))</f>
        <v/>
      </c>
      <c r="L86" s="214" t="n">
        <v>12.42</v>
      </c>
      <c r="M86" s="159" t="n">
        <v>1</v>
      </c>
      <c r="N86" t="n">
        <v>20</v>
      </c>
      <c r="O86" s="237">
        <f>L86*N86/100</f>
        <v/>
      </c>
      <c r="P86" s="237">
        <f>M86*O86</f>
        <v/>
      </c>
      <c r="Q86" s="208">
        <f>L86*M86</f>
        <v/>
      </c>
      <c r="R86" s="251">
        <f>L86+O86</f>
        <v/>
      </c>
      <c r="S86" s="251">
        <f>Q86+P86</f>
        <v/>
      </c>
      <c r="T86" s="35">
        <f>voranmeldefrist_vierteljaehrlich(G86)</f>
        <v/>
      </c>
      <c r="U86" s="27" t="n"/>
      <c r="V86" s="27" t="n"/>
      <c r="W86" s="210">
        <f>IF(K86=TRUE,Q86/I86,Q86)</f>
        <v/>
      </c>
      <c r="X86" s="237">
        <f>V86/100*S86</f>
        <v/>
      </c>
      <c r="Y86">
        <f>IF(AND(V86&gt;0,N86=V86),TRUE,FALSE)</f>
        <v/>
      </c>
      <c r="Z86" s="228">
        <f>IF(C86="Einnahmen",Q86,-Q86)</f>
        <v/>
      </c>
    </row>
    <row r="87">
      <c r="A87" s="53" t="n">
        <v>2019</v>
      </c>
      <c r="B87" s="53" t="n">
        <v>86</v>
      </c>
      <c r="C87" s="71" t="inlineStr">
        <is>
          <t>Einnahmen</t>
        </is>
      </c>
      <c r="D87" t="inlineStr">
        <is>
          <t>Waren-/Leistungserlöse</t>
        </is>
      </c>
      <c r="E87" s="9" t="inlineStr">
        <is>
          <t>12019007</t>
        </is>
      </c>
      <c r="G87" s="1" t="n">
        <v>43647</v>
      </c>
      <c r="H87" t="inlineStr">
        <is>
          <t>Franz Hauer GmbH + Co KG</t>
        </is>
      </c>
      <c r="K87">
        <f>(IF(AND(I87&lt;&gt;"",AND(J87="",ABS(Q87)&gt;400)),TRUE,FALSE))</f>
        <v/>
      </c>
      <c r="L87" s="214" t="n">
        <v>2502.5</v>
      </c>
      <c r="M87" s="159" t="n">
        <v>1</v>
      </c>
      <c r="N87" t="n">
        <v>20</v>
      </c>
      <c r="O87" s="237">
        <f>L87*N87/100</f>
        <v/>
      </c>
      <c r="P87" s="237">
        <f>M87*O87</f>
        <v/>
      </c>
      <c r="Q87" s="208">
        <f>L87*M87</f>
        <v/>
      </c>
      <c r="R87" s="251">
        <f>L87+O87</f>
        <v/>
      </c>
      <c r="S87" s="251">
        <f>Q87+P87</f>
        <v/>
      </c>
      <c r="T87" s="35">
        <f>voranmeldefrist_vierteljaehrlich(G87)</f>
        <v/>
      </c>
      <c r="U87" s="27" t="n"/>
      <c r="V87" s="27" t="n"/>
      <c r="W87" s="210">
        <f>IF(K87=TRUE,Q87/I87,Q87)</f>
        <v/>
      </c>
      <c r="X87" s="237">
        <f>V87/100*S87</f>
        <v/>
      </c>
      <c r="Y87">
        <f>IF(AND(V87&gt;0,N87=V87),TRUE,FALSE)</f>
        <v/>
      </c>
      <c r="Z87" s="228">
        <f>IF(C87="Einnahmen",Q87,-Q87)</f>
        <v/>
      </c>
    </row>
    <row r="88">
      <c r="A88" s="53" t="n">
        <v>2019</v>
      </c>
      <c r="B88" s="53" t="n">
        <v>87</v>
      </c>
      <c r="C88" s="71" t="inlineStr">
        <is>
          <t>Einnahmen</t>
        </is>
      </c>
      <c r="D88" t="inlineStr">
        <is>
          <t>Waren-/Leistungserlöse</t>
        </is>
      </c>
      <c r="E88" s="9" t="inlineStr">
        <is>
          <t>12019008</t>
        </is>
      </c>
      <c r="G88" s="1" t="n">
        <v>43648</v>
      </c>
      <c r="H88" t="inlineStr">
        <is>
          <t>ZT DI Dr. Arno Kolbitsch, Gütleweg 1, 6822 Satteins</t>
        </is>
      </c>
      <c r="K88">
        <f>(IF(AND(I88&lt;&gt;"",AND(J88="",ABS(Q88)&gt;400)),TRUE,FALSE))</f>
        <v/>
      </c>
      <c r="L88" s="214" t="n">
        <v>134.6</v>
      </c>
      <c r="M88" s="159" t="n">
        <v>1</v>
      </c>
      <c r="N88" t="n">
        <v>20</v>
      </c>
      <c r="O88" s="237">
        <f>L88*N88/100</f>
        <v/>
      </c>
      <c r="P88" s="237">
        <f>M88*O88</f>
        <v/>
      </c>
      <c r="Q88" s="208">
        <f>L88*M88</f>
        <v/>
      </c>
      <c r="R88" s="251">
        <f>L88+O88</f>
        <v/>
      </c>
      <c r="S88" s="251">
        <f>Q88+P88</f>
        <v/>
      </c>
      <c r="T88" s="35">
        <f>voranmeldefrist_vierteljaehrlich(G88)</f>
        <v/>
      </c>
      <c r="U88" s="27" t="n"/>
      <c r="V88" s="27" t="n"/>
      <c r="W88" s="210">
        <f>IF(K88=TRUE,Q88/I88,Q88)</f>
        <v/>
      </c>
      <c r="X88" s="237">
        <f>V88/100*S88</f>
        <v/>
      </c>
      <c r="Y88">
        <f>IF(AND(V88&gt;0,N88=V88),TRUE,FALSE)</f>
        <v/>
      </c>
      <c r="Z88" s="228">
        <f>IF(C88="Einnahmen",Q88,-Q88)</f>
        <v/>
      </c>
    </row>
    <row r="89">
      <c r="A89" s="53" t="n">
        <v>2019</v>
      </c>
      <c r="B89" s="53" t="n">
        <v>88</v>
      </c>
      <c r="C89" s="71" t="inlineStr">
        <is>
          <t>Ausgaben</t>
        </is>
      </c>
      <c r="D89" t="inlineStr">
        <is>
          <t>Reise- und Fahrtspesen inkl. Kilometergeld und Diäten</t>
        </is>
      </c>
      <c r="E89" s="9" t="inlineStr">
        <is>
          <t>3293000007799738</t>
        </is>
      </c>
      <c r="G89" s="1" t="n">
        <v>43651</v>
      </c>
      <c r="H89" t="inlineStr">
        <is>
          <t>car2go Österreich GmbH, Hintere Zollamtstraße 9, 1030 Wien</t>
        </is>
      </c>
      <c r="K89">
        <f>(IF(AND(I89&lt;&gt;"",AND(J89="",ABS(Q89)&gt;400)),TRUE,FALSE))</f>
        <v/>
      </c>
      <c r="L89" s="214" t="n">
        <v>5.7</v>
      </c>
      <c r="M89" s="159" t="n">
        <v>1</v>
      </c>
      <c r="N89" t="n">
        <v>20</v>
      </c>
      <c r="O89" s="237">
        <f>L89*N89/100</f>
        <v/>
      </c>
      <c r="P89" s="237">
        <f>M89*O89</f>
        <v/>
      </c>
      <c r="Q89" s="208">
        <f>L89*M89</f>
        <v/>
      </c>
      <c r="R89" s="251">
        <f>L89+O89</f>
        <v/>
      </c>
      <c r="S89" s="251">
        <f>Q89+P89</f>
        <v/>
      </c>
      <c r="T89" s="35">
        <f>voranmeldefrist_vierteljaehrlich(G89)</f>
        <v/>
      </c>
      <c r="U89" s="27" t="n"/>
      <c r="V89" s="27" t="n"/>
      <c r="W89" s="210">
        <f>IF(K89=TRUE,Q89/I89,Q89)</f>
        <v/>
      </c>
      <c r="X89" s="237">
        <f>V89/100*S89</f>
        <v/>
      </c>
      <c r="Y89">
        <f>IF(AND(V89&gt;0,N89=V89),TRUE,FALSE)</f>
        <v/>
      </c>
      <c r="Z89" s="228">
        <f>IF(C89="Einnahmen",Q89,-Q89)</f>
        <v/>
      </c>
    </row>
    <row r="90">
      <c r="A90" s="53" t="n">
        <v>2019</v>
      </c>
      <c r="B90" s="53" t="n">
        <v>89</v>
      </c>
      <c r="C90" s="71" t="inlineStr">
        <is>
          <t>Ausgaben</t>
        </is>
      </c>
      <c r="D90" t="inlineStr">
        <is>
          <t>Telefon/Internet</t>
        </is>
      </c>
      <c r="E90" s="9" t="inlineStr">
        <is>
          <t>6180896045</t>
        </is>
      </c>
      <c r="G90" s="1" t="n">
        <v>43651</v>
      </c>
      <c r="H90" t="inlineStr">
        <is>
          <t>Hutchison Drei Austria GmbH, Brünner Straße 52, 1210 Wien, Österreich</t>
        </is>
      </c>
      <c r="K90">
        <f>(IF(AND(I90&lt;&gt;"",AND(J90="",ABS(Q90)&gt;400)),TRUE,FALSE))</f>
        <v/>
      </c>
      <c r="L90" s="214">
        <f>18/1.2</f>
        <v/>
      </c>
      <c r="M90" s="159" t="n">
        <v>1</v>
      </c>
      <c r="N90" t="n">
        <v>20</v>
      </c>
      <c r="O90" s="237">
        <f>L90*N90/100</f>
        <v/>
      </c>
      <c r="P90" s="237">
        <f>M90*O90</f>
        <v/>
      </c>
      <c r="Q90" s="208">
        <f>L90*M90</f>
        <v/>
      </c>
      <c r="R90" s="251">
        <f>L90+O90</f>
        <v/>
      </c>
      <c r="S90" s="251">
        <f>Q90+P90</f>
        <v/>
      </c>
      <c r="T90" s="35">
        <f>voranmeldefrist_vierteljaehrlich(G90)</f>
        <v/>
      </c>
      <c r="U90" s="27" t="n"/>
      <c r="V90" s="27" t="n"/>
      <c r="W90" s="210">
        <f>IF(K90=TRUE,Q90/I90,Q90)</f>
        <v/>
      </c>
      <c r="X90" s="237">
        <f>V90/100*S90</f>
        <v/>
      </c>
      <c r="Y90">
        <f>IF(AND(V90&gt;0,N90=V90),TRUE,FALSE)</f>
        <v/>
      </c>
      <c r="Z90" s="228">
        <f>IF(C90="Einnahmen",Q90,-Q90)</f>
        <v/>
      </c>
    </row>
    <row r="91">
      <c r="A91" s="53" t="n">
        <v>2019</v>
      </c>
      <c r="B91" s="53" t="n">
        <v>90</v>
      </c>
      <c r="C91" s="71" t="inlineStr">
        <is>
          <t>Einnahmen</t>
        </is>
      </c>
      <c r="D91" t="inlineStr">
        <is>
          <t>Waren-/Leistungserlöse</t>
        </is>
      </c>
      <c r="E91" s="9" t="inlineStr">
        <is>
          <t>12019010</t>
        </is>
      </c>
      <c r="G91" s="1" t="n">
        <v>43654</v>
      </c>
      <c r="H91" t="inlineStr">
        <is>
          <t>Josef Stojadinovic, Weiglgasse 10/BLOCK C/10/11</t>
        </is>
      </c>
      <c r="K91">
        <f>(IF(AND(I91&lt;&gt;"",AND(J91="",ABS(Q91)&gt;400)),TRUE,FALSE))</f>
        <v/>
      </c>
      <c r="L91" s="214" t="n">
        <v>170.63</v>
      </c>
      <c r="M91" s="159" t="n">
        <v>1</v>
      </c>
      <c r="N91" t="n">
        <v>20</v>
      </c>
      <c r="O91" s="237">
        <f>L91*N91/100</f>
        <v/>
      </c>
      <c r="P91" s="237">
        <f>M91*O91</f>
        <v/>
      </c>
      <c r="Q91" s="208">
        <f>L91*M91</f>
        <v/>
      </c>
      <c r="R91" s="251">
        <f>L91+O91</f>
        <v/>
      </c>
      <c r="S91" s="251">
        <f>Q91+P91</f>
        <v/>
      </c>
      <c r="T91" s="35">
        <f>voranmeldefrist_vierteljaehrlich(G91)</f>
        <v/>
      </c>
      <c r="U91" s="27" t="n"/>
      <c r="V91" s="27" t="n"/>
      <c r="W91" s="210">
        <f>IF(K91=TRUE,Q91/I91,Q91)</f>
        <v/>
      </c>
      <c r="X91" s="237">
        <f>V91/100*S91</f>
        <v/>
      </c>
      <c r="Y91">
        <f>IF(AND(V91&gt;0,N91=V91),TRUE,FALSE)</f>
        <v/>
      </c>
      <c r="Z91" s="228">
        <f>IF(C91="Einnahmen",Q91,-Q91)</f>
        <v/>
      </c>
    </row>
    <row r="92">
      <c r="A92" s="53" t="n">
        <v>2019</v>
      </c>
      <c r="B92" s="53" t="n">
        <v>91</v>
      </c>
      <c r="C92" s="71" t="inlineStr">
        <is>
          <t>Ausgaben</t>
        </is>
      </c>
      <c r="D92" t="inlineStr">
        <is>
          <t>Telefon/Internet</t>
        </is>
      </c>
      <c r="E92" s="9" t="inlineStr">
        <is>
          <t>175626995-00</t>
        </is>
      </c>
      <c r="G92" s="1" t="n">
        <v>43656</v>
      </c>
      <c r="H92" t="inlineStr">
        <is>
          <t>UPC Telekabel Wien GmbH, A1120 Wien, Postfach 47</t>
        </is>
      </c>
      <c r="K92">
        <f>(IF(AND(I92&lt;&gt;"",AND(J92="",ABS(Q92)&gt;400)),TRUE,FALSE))</f>
        <v/>
      </c>
      <c r="L92" s="214">
        <f>27.82+1.04</f>
        <v/>
      </c>
      <c r="M92" s="159">
        <f>2/3</f>
        <v/>
      </c>
      <c r="N92" t="n">
        <v>20</v>
      </c>
      <c r="O92" s="237">
        <f>L92*N92/100</f>
        <v/>
      </c>
      <c r="P92" s="237">
        <f>M92*O92</f>
        <v/>
      </c>
      <c r="Q92" s="208">
        <f>L92*M92</f>
        <v/>
      </c>
      <c r="R92" s="251">
        <f>L92+O92</f>
        <v/>
      </c>
      <c r="S92" s="251">
        <f>Q92+P92</f>
        <v/>
      </c>
      <c r="T92" s="35">
        <f>voranmeldefrist_vierteljaehrlich(G92)</f>
        <v/>
      </c>
      <c r="U92" s="27" t="n"/>
      <c r="V92" s="27" t="n"/>
      <c r="W92" s="210">
        <f>IF(K92=TRUE,Q92/J92,Q92)</f>
        <v/>
      </c>
      <c r="X92" s="237">
        <f>V92/100*S92</f>
        <v/>
      </c>
      <c r="Y92">
        <f>IF(AND(V92&gt;0,N92=V92),TRUE,FALSE)</f>
        <v/>
      </c>
      <c r="Z92" s="228">
        <f>IF(C92="Einnahmen",Q92,-Q92)</f>
        <v/>
      </c>
    </row>
    <row r="93">
      <c r="A93" s="53" t="n">
        <v>2019</v>
      </c>
      <c r="B93" s="53" t="n">
        <v>92</v>
      </c>
      <c r="C93" s="71" t="inlineStr">
        <is>
          <t>Ausgaben</t>
        </is>
      </c>
      <c r="D93" t="inlineStr">
        <is>
          <t>sonstige Betriebsausgaben</t>
        </is>
      </c>
      <c r="E93" s="9" t="inlineStr">
        <is>
          <t>R0009816826</t>
        </is>
      </c>
      <c r="G93" s="1" t="n">
        <v>43654</v>
      </c>
      <c r="H93" t="inlineStr">
        <is>
          <t>Hetzner Online GmbH</t>
        </is>
      </c>
      <c r="K93">
        <f>(IF(AND(I93&lt;&gt;"",AND(J93="",ABS(Q93)&gt;400)),TRUE,FALSE))</f>
        <v/>
      </c>
      <c r="L93" s="214" t="n">
        <v>46.92</v>
      </c>
      <c r="M93" s="159" t="n">
        <v>1</v>
      </c>
      <c r="N93" t="n">
        <v>0</v>
      </c>
      <c r="O93" s="237">
        <f>L93*N93/100</f>
        <v/>
      </c>
      <c r="P93" s="237">
        <f>M93*O93</f>
        <v/>
      </c>
      <c r="Q93" s="208">
        <f>L93*M93</f>
        <v/>
      </c>
      <c r="R93" s="251">
        <f>L93+O93</f>
        <v/>
      </c>
      <c r="S93" s="251">
        <f>Q93+P93</f>
        <v/>
      </c>
      <c r="T93" s="35">
        <f>voranmeldefrist_vierteljaehrlich(G93)</f>
        <v/>
      </c>
      <c r="U93" s="27" t="n"/>
      <c r="V93" s="27" t="n">
        <v>20</v>
      </c>
      <c r="W93" s="210">
        <f>IF(K93=TRUE,Q93/J93,Q93)</f>
        <v/>
      </c>
      <c r="X93" s="237">
        <f>V93/100*S93</f>
        <v/>
      </c>
      <c r="Y93">
        <f>IF(AND(V93&gt;0,N93=V93),TRUE,FALSE)</f>
        <v/>
      </c>
      <c r="Z93" s="228">
        <f>IF(C93="Einnahmen",Q93,-Q93)</f>
        <v/>
      </c>
    </row>
    <row r="94">
      <c r="A94" s="53" t="n">
        <v>2019</v>
      </c>
      <c r="B94" s="53" t="n">
        <v>93</v>
      </c>
      <c r="C94" s="71" t="inlineStr">
        <is>
          <t>Ausgaben</t>
        </is>
      </c>
      <c r="D94" t="inlineStr">
        <is>
          <t>sonstige Betriebsausgaben</t>
        </is>
      </c>
      <c r="E94" s="9" t="inlineStr">
        <is>
          <t>14004803751/40/2019</t>
        </is>
      </c>
      <c r="G94" s="1" t="n">
        <v>43661</v>
      </c>
      <c r="H94" t="inlineStr">
        <is>
          <t>Montana Energie Handel AT GmbH</t>
        </is>
      </c>
      <c r="K94">
        <f>(IF(AND(I94&lt;&gt;"",AND(J94="",ABS(Q94)&gt;400)),TRUE,FALSE))</f>
        <v/>
      </c>
      <c r="L94" s="214" t="n">
        <v>78.33</v>
      </c>
      <c r="M94" s="159">
        <f>Arbeitszimmer!$B$3</f>
        <v/>
      </c>
      <c r="N94" t="n">
        <v>20</v>
      </c>
      <c r="O94" s="237">
        <f>L94*N94/100</f>
        <v/>
      </c>
      <c r="P94" s="237">
        <f>M94*O94</f>
        <v/>
      </c>
      <c r="Q94" s="208">
        <f>L94*M94</f>
        <v/>
      </c>
      <c r="R94" s="251">
        <f>L94+O94</f>
        <v/>
      </c>
      <c r="S94" s="251">
        <f>Q94+P94</f>
        <v/>
      </c>
      <c r="T94" s="35">
        <f>voranmeldefrist_vierteljaehrlich(G94)</f>
        <v/>
      </c>
      <c r="U94" s="27" t="n"/>
      <c r="V94" s="27" t="n"/>
      <c r="W94" s="210">
        <f>IF(K94=TRUE,Q94/J94,Q94)</f>
        <v/>
      </c>
      <c r="X94" s="237">
        <f>V94/100*S94</f>
        <v/>
      </c>
      <c r="Y94">
        <f>IF(AND(V94&gt;0,N94=V94),TRUE,FALSE)</f>
        <v/>
      </c>
      <c r="Z94" s="228">
        <f>IF(C94="Einnahmen",Q94,-Q94)</f>
        <v/>
      </c>
    </row>
    <row r="95">
      <c r="A95" s="53" t="n">
        <v>2019</v>
      </c>
      <c r="B95" s="53" t="n">
        <v>94</v>
      </c>
      <c r="C95" s="71" t="inlineStr">
        <is>
          <t>Ausgaben</t>
        </is>
      </c>
      <c r="D95" t="inlineStr">
        <is>
          <t>Reise- und Fahrtspesen inkl. Kilometergeld und Diäten</t>
        </is>
      </c>
      <c r="E95" s="9" t="inlineStr">
        <is>
          <t>3293000007767514</t>
        </is>
      </c>
      <c r="G95" s="1" t="n">
        <v>43644</v>
      </c>
      <c r="H95" t="inlineStr">
        <is>
          <t>car2go Österreich GmbH, Hintere Zollamtstraße 9, 1030 Wien</t>
        </is>
      </c>
      <c r="K95">
        <f>(IF(AND(I95&lt;&gt;"",AND(J95="",ABS(Q95)&gt;400)),TRUE,FALSE))</f>
        <v/>
      </c>
      <c r="L95" s="214" t="n">
        <v>10.13</v>
      </c>
      <c r="M95" s="159" t="n">
        <v>1</v>
      </c>
      <c r="N95" t="n">
        <v>20</v>
      </c>
      <c r="O95" s="237">
        <f>L95*N95/100</f>
        <v/>
      </c>
      <c r="P95" s="237">
        <f>M95*O95</f>
        <v/>
      </c>
      <c r="Q95" s="208">
        <f>L95*M95</f>
        <v/>
      </c>
      <c r="R95" s="251">
        <f>L95+O95</f>
        <v/>
      </c>
      <c r="S95" s="251">
        <f>Q95+P95</f>
        <v/>
      </c>
      <c r="T95" s="35">
        <f>voranmeldefrist_vierteljaehrlich(G95)</f>
        <v/>
      </c>
      <c r="U95" s="27" t="n"/>
      <c r="V95" s="27" t="n"/>
      <c r="W95" s="210">
        <f>IF(K95=TRUE,Q95/I95,Q95)</f>
        <v/>
      </c>
      <c r="X95" s="237">
        <f>V95/100*S95</f>
        <v/>
      </c>
      <c r="Y95">
        <f>IF(AND(V95&gt;0,N95=V95),TRUE,FALSE)</f>
        <v/>
      </c>
      <c r="Z95" s="228">
        <f>IF(C95="Einnahmen",Q95,-Q95)</f>
        <v/>
      </c>
    </row>
    <row r="96">
      <c r="A96" s="53" t="n">
        <v>2019</v>
      </c>
      <c r="B96" s="53" t="n">
        <v>95</v>
      </c>
      <c r="C96" s="71" t="inlineStr">
        <is>
          <t>Einnahmen</t>
        </is>
      </c>
      <c r="D96" t="inlineStr">
        <is>
          <t>Waren-/Leistungserlöse</t>
        </is>
      </c>
      <c r="E96" s="9" t="inlineStr">
        <is>
          <t>12019011</t>
        </is>
      </c>
      <c r="G96" s="1" t="n">
        <v>43661</v>
      </c>
      <c r="H96" t="inlineStr">
        <is>
          <t>Schick Küchendesign e.U. Alexander Schick, Linzerstraße 247, 1140 Wien</t>
        </is>
      </c>
      <c r="K96">
        <f>(IF(AND(I96&lt;&gt;"",AND(J96="",ABS(Q96)&gt;400)),TRUE,FALSE))</f>
        <v/>
      </c>
      <c r="L96" s="214" t="n">
        <v>356.25</v>
      </c>
      <c r="M96" s="159" t="n">
        <v>1</v>
      </c>
      <c r="N96" t="n">
        <v>20</v>
      </c>
      <c r="O96" s="237">
        <f>L96*N96/100</f>
        <v/>
      </c>
      <c r="P96" s="237">
        <f>M96*O96</f>
        <v/>
      </c>
      <c r="Q96" s="208">
        <f>L96*M96</f>
        <v/>
      </c>
      <c r="R96" s="251">
        <f>L96+O96</f>
        <v/>
      </c>
      <c r="S96" s="251">
        <f>Q96+P96</f>
        <v/>
      </c>
      <c r="T96" s="35">
        <f>voranmeldefrist_vierteljaehrlich(G96)</f>
        <v/>
      </c>
      <c r="U96" s="27" t="n"/>
      <c r="V96" s="27" t="n"/>
      <c r="W96" s="210">
        <f>IF(K96=TRUE,Q96/I96,Q96)</f>
        <v/>
      </c>
      <c r="X96" s="237">
        <f>V96/100*S96</f>
        <v/>
      </c>
      <c r="Y96">
        <f>IF(AND(V96&gt;0,N96=V96),TRUE,FALSE)</f>
        <v/>
      </c>
      <c r="Z96" s="228">
        <f>IF(C96="Einnahmen",Q96,-Q96)</f>
        <v/>
      </c>
    </row>
    <row r="97">
      <c r="A97" s="53" t="n">
        <v>2019</v>
      </c>
      <c r="B97" s="53" t="n">
        <v>96</v>
      </c>
      <c r="C97" s="71" t="inlineStr">
        <is>
          <t>Einnahmen</t>
        </is>
      </c>
      <c r="D97" t="inlineStr">
        <is>
          <t>Waren-/Leistungserlöse</t>
        </is>
      </c>
      <c r="E97" s="9" t="inlineStr">
        <is>
          <t>12019009</t>
        </is>
      </c>
      <c r="G97" s="1" t="n">
        <v>43661</v>
      </c>
      <c r="H97" t="inlineStr">
        <is>
          <t>Franz Hauer GmbH + Co KG</t>
        </is>
      </c>
      <c r="K97">
        <f>(IF(AND(I97&lt;&gt;"",AND(J97="",ABS(Q97)&gt;400)),TRUE,FALSE))</f>
        <v/>
      </c>
      <c r="L97" s="214" t="n">
        <v>1805.6</v>
      </c>
      <c r="M97" s="159" t="n">
        <v>1</v>
      </c>
      <c r="N97" t="n">
        <v>20</v>
      </c>
      <c r="O97" s="237">
        <f>L97*N97/100</f>
        <v/>
      </c>
      <c r="P97" s="237">
        <f>M97*O97</f>
        <v/>
      </c>
      <c r="Q97" s="208">
        <f>L97*M97</f>
        <v/>
      </c>
      <c r="R97" s="251">
        <f>L97+O97</f>
        <v/>
      </c>
      <c r="S97" s="251">
        <f>Q97+P97</f>
        <v/>
      </c>
      <c r="T97" s="35">
        <f>voranmeldefrist_vierteljaehrlich(G97)</f>
        <v/>
      </c>
      <c r="U97" s="27" t="n"/>
      <c r="V97" s="27" t="n"/>
      <c r="W97" s="210">
        <f>IF(K97=TRUE,Q97/I97,Q97)</f>
        <v/>
      </c>
      <c r="X97" s="237">
        <f>V97/100*S97</f>
        <v/>
      </c>
      <c r="Y97">
        <f>IF(AND(V97&gt;0,N97=V97),TRUE,FALSE)</f>
        <v/>
      </c>
      <c r="Z97" s="228">
        <f>IF(C97="Einnahmen",Q97,-Q97)</f>
        <v/>
      </c>
    </row>
    <row r="98">
      <c r="A98" s="53" t="n">
        <v>2019</v>
      </c>
      <c r="B98" s="53" t="n">
        <v>97</v>
      </c>
      <c r="C98" s="71" t="inlineStr">
        <is>
          <t>Ausgaben</t>
        </is>
      </c>
      <c r="D98" t="inlineStr">
        <is>
          <t>Reise- und Fahrtspesen inkl. Kilometergeld und Diäten</t>
        </is>
      </c>
      <c r="E98" s="9" t="inlineStr">
        <is>
          <t>329300007846449</t>
        </is>
      </c>
      <c r="G98" s="1" t="n">
        <v>43663</v>
      </c>
      <c r="H98" t="inlineStr">
        <is>
          <t>car2go Österreich GmbH, Hintere Zollamtstraße 9, 1030 Wien</t>
        </is>
      </c>
      <c r="K98">
        <f>(IF(AND(I98&lt;&gt;"",AND(J98="",ABS(Q98)&gt;400)),TRUE,FALSE))</f>
        <v/>
      </c>
      <c r="L98" s="214" t="n">
        <v>6</v>
      </c>
      <c r="M98" s="159" t="n">
        <v>1</v>
      </c>
      <c r="N98" t="n">
        <v>20</v>
      </c>
      <c r="O98" s="237">
        <f>L98*N98/100</f>
        <v/>
      </c>
      <c r="P98" s="237">
        <f>M98*O98</f>
        <v/>
      </c>
      <c r="Q98" s="208">
        <f>L98*M98</f>
        <v/>
      </c>
      <c r="R98" s="251">
        <f>L98+O98</f>
        <v/>
      </c>
      <c r="S98" s="251">
        <f>Q98+P98</f>
        <v/>
      </c>
      <c r="T98" s="35">
        <f>voranmeldefrist_vierteljaehrlich(G98)</f>
        <v/>
      </c>
      <c r="U98" s="27" t="n"/>
      <c r="V98" s="27" t="n"/>
      <c r="W98" s="210">
        <f>IF(K98=TRUE,Q98/I98,Q98)</f>
        <v/>
      </c>
      <c r="X98" s="237">
        <f>V98/100*S98</f>
        <v/>
      </c>
      <c r="Y98">
        <f>IF(AND(V98&gt;0,N98=V98),TRUE,FALSE)</f>
        <v/>
      </c>
      <c r="Z98" s="228">
        <f>IF(C98="Einnahmen",Q98,-Q98)</f>
        <v/>
      </c>
    </row>
    <row r="99">
      <c r="A99" s="53" t="n">
        <v>2019</v>
      </c>
      <c r="B99" s="53" t="n">
        <v>98</v>
      </c>
      <c r="C99" s="71" t="inlineStr">
        <is>
          <t>Ausgaben</t>
        </is>
      </c>
      <c r="D99" t="inlineStr">
        <is>
          <t>Reise- und Fahrtspesen inkl. Kilometergeld und Diäten</t>
        </is>
      </c>
      <c r="E99" s="9" t="inlineStr">
        <is>
          <t>3293000007846769</t>
        </is>
      </c>
      <c r="G99" s="1" t="n">
        <v>43663</v>
      </c>
      <c r="H99" t="inlineStr">
        <is>
          <t>car2go Österreich GmbH, Hintere Zollamtstraße 9, 1030 Wien</t>
        </is>
      </c>
      <c r="K99">
        <f>(IF(AND(I99&lt;&gt;"",AND(J99="",ABS(Q99)&gt;400)),TRUE,FALSE))</f>
        <v/>
      </c>
      <c r="L99" s="214" t="n">
        <v>2.32</v>
      </c>
      <c r="M99" s="159" t="n">
        <v>1</v>
      </c>
      <c r="N99" t="n">
        <v>20</v>
      </c>
      <c r="O99" s="237">
        <f>L99*N99/100</f>
        <v/>
      </c>
      <c r="P99" s="237">
        <f>M99*O99</f>
        <v/>
      </c>
      <c r="Q99" s="208">
        <f>L99*M99</f>
        <v/>
      </c>
      <c r="R99" s="251">
        <f>L99+O99</f>
        <v/>
      </c>
      <c r="S99" s="251">
        <f>Q99+P99</f>
        <v/>
      </c>
      <c r="T99" s="35">
        <f>voranmeldefrist_vierteljaehrlich(G99)</f>
        <v/>
      </c>
      <c r="U99" s="27" t="n"/>
      <c r="V99" s="27" t="n"/>
      <c r="W99" s="210">
        <f>IF(K99=TRUE,Q99/I99,Q99)</f>
        <v/>
      </c>
      <c r="X99" s="237">
        <f>V99/100*S99</f>
        <v/>
      </c>
      <c r="Y99">
        <f>IF(AND(V99&gt;0,N99=V99),TRUE,FALSE)</f>
        <v/>
      </c>
      <c r="Z99" s="228">
        <f>IF(C99="Einnahmen",Q99,-Q99)</f>
        <v/>
      </c>
    </row>
    <row r="100">
      <c r="A100" s="53" t="n">
        <v>2019</v>
      </c>
      <c r="B100" s="53" t="n">
        <v>99</v>
      </c>
      <c r="C100" s="71" t="inlineStr">
        <is>
          <t>Ausgaben</t>
        </is>
      </c>
      <c r="D100" t="inlineStr">
        <is>
          <t>Reise- und Fahrtspesen inkl. Kilometergeld und Diäten</t>
        </is>
      </c>
      <c r="E100" s="9" t="inlineStr">
        <is>
          <t>3293000007861385</t>
        </is>
      </c>
      <c r="G100" s="1" t="n">
        <v>43668</v>
      </c>
      <c r="H100" t="inlineStr">
        <is>
          <t>car2go Österreich GmbH, Hintere Zollamtstraße 9, 1030 Wien</t>
        </is>
      </c>
      <c r="K100">
        <f>(IF(AND(I100&lt;&gt;"",AND(J100="",ABS(Q100)&gt;400)),TRUE,FALSE))</f>
        <v/>
      </c>
      <c r="L100" s="214" t="n">
        <v>5.1</v>
      </c>
      <c r="M100" s="159" t="n">
        <v>1</v>
      </c>
      <c r="N100" t="n">
        <v>20</v>
      </c>
      <c r="O100" s="237">
        <f>L100*N100/100</f>
        <v/>
      </c>
      <c r="P100" s="237">
        <f>M100*O100</f>
        <v/>
      </c>
      <c r="Q100" s="208">
        <f>L100*M100</f>
        <v/>
      </c>
      <c r="R100" s="251">
        <f>L100+O100</f>
        <v/>
      </c>
      <c r="S100" s="251">
        <f>Q100+P100</f>
        <v/>
      </c>
      <c r="T100" s="35">
        <f>voranmeldefrist_vierteljaehrlich(G100)</f>
        <v/>
      </c>
      <c r="U100" s="27" t="n"/>
      <c r="V100" s="27" t="n"/>
      <c r="W100" s="210">
        <f>IF(K100=TRUE,Q100/I100,Q100)</f>
        <v/>
      </c>
      <c r="X100" s="237">
        <f>V100/100*S100</f>
        <v/>
      </c>
      <c r="Y100">
        <f>IF(AND(V100&gt;0,N100=V100),TRUE,FALSE)</f>
        <v/>
      </c>
      <c r="Z100" s="228">
        <f>IF(C100="Einnahmen",Q100,-Q100)</f>
        <v/>
      </c>
    </row>
    <row r="101">
      <c r="A101" s="53" t="n">
        <v>2019</v>
      </c>
      <c r="B101" s="53" t="n">
        <v>100</v>
      </c>
      <c r="C101" s="71" t="inlineStr">
        <is>
          <t>Einnahmen</t>
        </is>
      </c>
      <c r="D101" t="inlineStr">
        <is>
          <t>Waren-/Leistungserlöse</t>
        </is>
      </c>
      <c r="E101" s="9" t="inlineStr">
        <is>
          <t>12019012</t>
        </is>
      </c>
      <c r="G101" s="1" t="n">
        <v>43669</v>
      </c>
      <c r="H101" s="43" t="inlineStr">
        <is>
          <t>Wedding Avenue e.U., Mayerweckstrasse 2-8/99/1, 1210 Wien (Teilzahlung)</t>
        </is>
      </c>
      <c r="K101">
        <f>(IF(AND(I101&lt;&gt;"",AND(J101="",ABS(Q101)&gt;400)),TRUE,FALSE))</f>
        <v/>
      </c>
      <c r="L101" s="214">
        <f>2000/1.2</f>
        <v/>
      </c>
      <c r="M101" s="159" t="n">
        <v>1</v>
      </c>
      <c r="N101" t="n">
        <v>20</v>
      </c>
      <c r="O101" s="237">
        <f>L101*N101/100</f>
        <v/>
      </c>
      <c r="P101" s="237">
        <f>M101*O101</f>
        <v/>
      </c>
      <c r="Q101" s="208">
        <f>L101*M101</f>
        <v/>
      </c>
      <c r="R101" s="251">
        <f>L101+O101</f>
        <v/>
      </c>
      <c r="S101" s="251">
        <f>Q101+P101</f>
        <v/>
      </c>
      <c r="T101" s="35">
        <f>voranmeldefrist_vierteljaehrlich(G101)</f>
        <v/>
      </c>
      <c r="U101" s="27" t="n"/>
      <c r="V101" s="27" t="n"/>
      <c r="W101" s="210">
        <f>IF(K101=TRUE,Q101/I101,Q101)</f>
        <v/>
      </c>
      <c r="X101" s="237">
        <f>V101/100*S101</f>
        <v/>
      </c>
      <c r="Y101">
        <f>IF(AND(V101&gt;0,N101=V101),TRUE,FALSE)</f>
        <v/>
      </c>
      <c r="Z101" s="228">
        <f>IF(C101="Einnahmen",Q101,-Q101)</f>
        <v/>
      </c>
    </row>
    <row r="102">
      <c r="A102" s="53" t="n">
        <v>2019</v>
      </c>
      <c r="B102" s="53" t="n">
        <v>101</v>
      </c>
      <c r="C102" s="71" t="inlineStr">
        <is>
          <t>Ausgaben</t>
        </is>
      </c>
      <c r="D102" t="inlineStr">
        <is>
          <t>Reise- und Fahrtspesen inkl. Kilometergeld und Diäten</t>
        </is>
      </c>
      <c r="E102" s="9" t="inlineStr">
        <is>
          <t>9550188</t>
        </is>
      </c>
      <c r="G102" s="1" t="n">
        <v>43669</v>
      </c>
      <c r="H102" t="inlineStr">
        <is>
          <t>ÖBB-Personenverkehr AG, FN248742y</t>
        </is>
      </c>
      <c r="K102">
        <f>(IF(AND(I102&lt;&gt;"",AND(J102="",ABS(Q102)&gt;400)),TRUE,FALSE))</f>
        <v/>
      </c>
      <c r="L102" s="214" t="n">
        <v>66</v>
      </c>
      <c r="M102" s="159" t="n">
        <v>1</v>
      </c>
      <c r="N102" t="n">
        <v>20</v>
      </c>
      <c r="O102" s="237">
        <f>L102*N102/100</f>
        <v/>
      </c>
      <c r="P102" s="237">
        <f>M102*O102</f>
        <v/>
      </c>
      <c r="Q102" s="208">
        <f>L102*M102</f>
        <v/>
      </c>
      <c r="R102" s="251">
        <f>L102+O102</f>
        <v/>
      </c>
      <c r="S102" s="251">
        <f>Q102+P102</f>
        <v/>
      </c>
      <c r="T102" s="35">
        <f>voranmeldefrist_vierteljaehrlich(G102)</f>
        <v/>
      </c>
      <c r="U102" s="27" t="n"/>
      <c r="V102" s="27" t="n"/>
      <c r="W102" s="210">
        <f>IF(K102=TRUE,Q102/I102,Q102)</f>
        <v/>
      </c>
      <c r="X102" s="237">
        <f>V102/100*S102</f>
        <v/>
      </c>
      <c r="Y102">
        <f>IF(AND(V102&gt;0,N102=V102),TRUE,FALSE)</f>
        <v/>
      </c>
      <c r="Z102" s="228">
        <f>IF(C102="Einnahmen",Q102,-Q102)</f>
        <v/>
      </c>
    </row>
    <row r="103">
      <c r="A103" s="53" t="n">
        <v>2019</v>
      </c>
      <c r="B103" s="53" t="n">
        <v>102</v>
      </c>
      <c r="C103" s="71" t="inlineStr">
        <is>
          <t>Ausgaben</t>
        </is>
      </c>
      <c r="D103" t="inlineStr">
        <is>
          <t>Reise- und Fahrtspesen inkl. Kilometergeld und Diäten</t>
        </is>
      </c>
      <c r="E103" s="9" t="inlineStr">
        <is>
          <t>3293000007875767</t>
        </is>
      </c>
      <c r="G103" s="1" t="n">
        <v>43670</v>
      </c>
      <c r="H103" t="inlineStr">
        <is>
          <t>car2go Österreich GmbH, Hintere Zollamtstraße 9, 1030 Wien</t>
        </is>
      </c>
      <c r="K103">
        <f>(IF(AND(I103&lt;&gt;"",AND(J103="",ABS(Q103)&gt;400)),TRUE,FALSE))</f>
        <v/>
      </c>
      <c r="L103" s="214" t="n">
        <v>2.4</v>
      </c>
      <c r="M103" s="159" t="n">
        <v>1</v>
      </c>
      <c r="N103" t="n">
        <v>20</v>
      </c>
      <c r="O103" s="237">
        <f>L103*N103/100</f>
        <v/>
      </c>
      <c r="P103" s="237">
        <f>M103*O103</f>
        <v/>
      </c>
      <c r="Q103" s="208">
        <f>L103*M103</f>
        <v/>
      </c>
      <c r="R103" s="251">
        <f>L103+O103</f>
        <v/>
      </c>
      <c r="S103" s="251">
        <f>Q103+P103</f>
        <v/>
      </c>
      <c r="T103" s="35">
        <f>voranmeldefrist_vierteljaehrlich(G103)</f>
        <v/>
      </c>
      <c r="U103" s="27" t="n"/>
      <c r="V103" s="27" t="n"/>
      <c r="W103" s="210">
        <f>IF(K103=TRUE,Q103/I103,Q103)</f>
        <v/>
      </c>
      <c r="X103" s="237">
        <f>V103/100*S103</f>
        <v/>
      </c>
      <c r="Y103">
        <f>IF(AND(V103&gt;0,N103=V103),TRUE,FALSE)</f>
        <v/>
      </c>
      <c r="Z103" s="228">
        <f>IF(C103="Einnahmen",Q103,-Q103)</f>
        <v/>
      </c>
    </row>
    <row r="104">
      <c r="A104" s="53" t="n">
        <v>2019</v>
      </c>
      <c r="B104" s="53" t="n">
        <v>103</v>
      </c>
      <c r="C104" s="71" t="inlineStr">
        <is>
          <t>Ausgaben</t>
        </is>
      </c>
      <c r="D104" t="inlineStr">
        <is>
          <t>Werbe- und Repräsentationsaufwand</t>
        </is>
      </c>
      <c r="E104" s="9" t="inlineStr">
        <is>
          <t>5906 (10%)</t>
        </is>
      </c>
      <c r="G104" s="1" t="n">
        <v>43600</v>
      </c>
      <c r="H104" t="inlineStr">
        <is>
          <t>Althan Stube, Althanstraße 35 Gastronomie Bettriebs GmbH, 1090 Wien, Althanstraße 35: Mittagessen mit Andreas Reinisch (Grund: Trainingstätigkeit VEMAP)</t>
        </is>
      </c>
      <c r="K104">
        <f>(IF(AND(I104&lt;&gt;"",AND(J104="",ABS(Q104)&gt;400)),TRUE,FALSE))</f>
        <v/>
      </c>
      <c r="L104" s="214" t="n">
        <v>11.55</v>
      </c>
      <c r="M104" s="159" t="n">
        <v>1</v>
      </c>
      <c r="N104" t="n">
        <v>10</v>
      </c>
      <c r="O104" s="237">
        <f>L104*N104/100</f>
        <v/>
      </c>
      <c r="P104" s="237">
        <f>M104*O104</f>
        <v/>
      </c>
      <c r="Q104" s="208">
        <f>L104*M104</f>
        <v/>
      </c>
      <c r="R104" s="251">
        <f>L104+O104</f>
        <v/>
      </c>
      <c r="S104" s="251">
        <f>Q104+P104</f>
        <v/>
      </c>
      <c r="T104" s="35">
        <f>voranmeldefrist_vierteljaehrlich(G104)</f>
        <v/>
      </c>
      <c r="U104" s="27" t="n"/>
      <c r="V104" s="27" t="n"/>
      <c r="W104" s="210">
        <f>IF(K104=TRUE,Q104/I104,Q104)</f>
        <v/>
      </c>
      <c r="X104" s="237">
        <f>V104/100*S104</f>
        <v/>
      </c>
      <c r="Y104">
        <f>IF(AND(V104&gt;0,N104=V104),TRUE,FALSE)</f>
        <v/>
      </c>
      <c r="Z104" s="228">
        <f>IF(C104="Einnahmen",Q104,-Q104)</f>
        <v/>
      </c>
    </row>
    <row r="105">
      <c r="A105" s="53" t="n">
        <v>2019</v>
      </c>
      <c r="B105" s="53" t="n">
        <v>104</v>
      </c>
      <c r="C105" s="71" t="inlineStr">
        <is>
          <t>Ausgaben</t>
        </is>
      </c>
      <c r="D105" t="inlineStr">
        <is>
          <t>Werbe- und Repräsentationsaufwand</t>
        </is>
      </c>
      <c r="E105" s="9" t="inlineStr">
        <is>
          <t>5906 (20%)</t>
        </is>
      </c>
      <c r="G105" s="1" t="n">
        <v>43600</v>
      </c>
      <c r="H105" t="inlineStr">
        <is>
          <t>Althan Stube, Althanstraße 35 Gastronomie Bettriebs GmbH, 1090 Wien, Althanstraße 35: Mittagessen mit Andreas Reinisch (Grund: Trainingstätigkeit VEMAP)</t>
        </is>
      </c>
      <c r="K105">
        <f>(IF(AND(I105&lt;&gt;"",AND(J105="",ABS(Q105)&gt;400)),TRUE,FALSE))</f>
        <v/>
      </c>
      <c r="L105" s="214" t="n">
        <v>5.83</v>
      </c>
      <c r="M105" s="159" t="n">
        <v>1</v>
      </c>
      <c r="N105" t="n">
        <v>20</v>
      </c>
      <c r="O105" s="237">
        <f>L105*N105/100</f>
        <v/>
      </c>
      <c r="P105" s="237">
        <f>M105*O105</f>
        <v/>
      </c>
      <c r="Q105" s="208">
        <f>L105*M105</f>
        <v/>
      </c>
      <c r="R105" s="251">
        <f>L105+O105</f>
        <v/>
      </c>
      <c r="S105" s="251">
        <f>Q105+P105</f>
        <v/>
      </c>
      <c r="T105" s="35">
        <f>voranmeldefrist_vierteljaehrlich(G105)</f>
        <v/>
      </c>
      <c r="U105" s="27" t="n"/>
      <c r="V105" s="27" t="n"/>
      <c r="W105" s="210">
        <f>IF(K105=TRUE,Q105/I105,Q105)</f>
        <v/>
      </c>
      <c r="X105" s="237">
        <f>V105/100*S105</f>
        <v/>
      </c>
      <c r="Y105">
        <f>IF(AND(V105&gt;0,N105=V105),TRUE,FALSE)</f>
        <v/>
      </c>
      <c r="Z105" s="228">
        <f>IF(C105="Einnahmen",Q105,-Q105)</f>
        <v/>
      </c>
    </row>
    <row r="106">
      <c r="A106" s="53" t="n">
        <v>2019</v>
      </c>
      <c r="B106" s="53" t="n">
        <v>105</v>
      </c>
      <c r="C106" s="71" t="inlineStr">
        <is>
          <t>Ausgaben</t>
        </is>
      </c>
      <c r="D106" t="inlineStr">
        <is>
          <t>Miet- und Pachtaufwand, Leasing</t>
        </is>
      </c>
      <c r="E106" s="9" t="inlineStr">
        <is>
          <t>2019/8058/14</t>
        </is>
      </c>
      <c r="G106" s="1" t="n">
        <v>43671</v>
      </c>
      <c r="H106" t="inlineStr">
        <is>
          <t>Premium Laudongasse 58 GmbH &amp; Co KG</t>
        </is>
      </c>
      <c r="K106">
        <f>(IF(AND(I106&lt;&gt;"",AND(J106="",ABS(Q106)&gt;400)),TRUE,FALSE))</f>
        <v/>
      </c>
      <c r="L106" s="214" t="n">
        <v>763.4400000000001</v>
      </c>
      <c r="M106" s="159">
        <f>Arbeitszimmer!$B$3</f>
        <v/>
      </c>
      <c r="N106" t="n">
        <v>10</v>
      </c>
      <c r="O106" s="237">
        <f>L106*N106/100</f>
        <v/>
      </c>
      <c r="P106" s="237">
        <f>M106*O106</f>
        <v/>
      </c>
      <c r="Q106" s="208">
        <f>L106*M106</f>
        <v/>
      </c>
      <c r="R106" s="251">
        <f>L106+O106</f>
        <v/>
      </c>
      <c r="S106" s="251">
        <f>Q106+P106</f>
        <v/>
      </c>
      <c r="T106" s="35">
        <f>voranmeldefrist_vierteljaehrlich(G106)</f>
        <v/>
      </c>
      <c r="U106" s="27" t="n"/>
      <c r="V106" s="27" t="n"/>
      <c r="W106" s="210">
        <f>IF(K106=TRUE,Q106/J106,Q106)</f>
        <v/>
      </c>
      <c r="X106" s="237">
        <f>V106/100*S106</f>
        <v/>
      </c>
      <c r="Y106">
        <f>IF(AND(V106&gt;0,N106=V106),TRUE,FALSE)</f>
        <v/>
      </c>
      <c r="Z106" s="228">
        <f>IF(C106="Einnahmen",Q106,-Q106)</f>
        <v/>
      </c>
    </row>
    <row r="107">
      <c r="A107" s="53" t="n">
        <v>2019</v>
      </c>
      <c r="B107" s="53" t="n">
        <v>106</v>
      </c>
      <c r="C107" s="71" t="inlineStr">
        <is>
          <t>Ausgaben</t>
        </is>
      </c>
      <c r="D107" t="inlineStr">
        <is>
          <t>Reise- und Fahrtspesen inkl. Kilometergeld und Diäten</t>
        </is>
      </c>
      <c r="E107" s="9" t="inlineStr">
        <is>
          <t>3293000007885927</t>
        </is>
      </c>
      <c r="G107" s="1" t="n">
        <v>43675</v>
      </c>
      <c r="H107" t="inlineStr">
        <is>
          <t>car2go Österreich GmbH, Hintere Zollamtstraße 9, 1030 Wien</t>
        </is>
      </c>
      <c r="K107">
        <f>(IF(AND(I107&lt;&gt;"",AND(J107="",ABS(Q107)&gt;400)),TRUE,FALSE))</f>
        <v/>
      </c>
      <c r="L107" s="214" t="n">
        <v>6</v>
      </c>
      <c r="M107" s="159" t="n">
        <v>1</v>
      </c>
      <c r="N107" t="n">
        <v>20</v>
      </c>
      <c r="O107" s="237">
        <f>L107*N107/100</f>
        <v/>
      </c>
      <c r="P107" s="237">
        <f>M107*O107</f>
        <v/>
      </c>
      <c r="Q107" s="208">
        <f>L107*M107</f>
        <v/>
      </c>
      <c r="R107" s="251">
        <f>L107+O107</f>
        <v/>
      </c>
      <c r="S107" s="251">
        <f>Q107+P107</f>
        <v/>
      </c>
      <c r="T107" s="35">
        <f>voranmeldefrist_vierteljaehrlich(G107)</f>
        <v/>
      </c>
      <c r="U107" s="27" t="n"/>
      <c r="V107" s="27" t="n"/>
      <c r="W107" s="210">
        <f>IF(K107=TRUE,Q107/I107,Q107)</f>
        <v/>
      </c>
      <c r="X107" s="237">
        <f>V107/100*S107</f>
        <v/>
      </c>
      <c r="Y107">
        <f>IF(AND(V107&gt;0,N107=V107),TRUE,FALSE)</f>
        <v/>
      </c>
      <c r="Z107" s="228">
        <f>IF(C107="Einnahmen",Q107,-Q107)</f>
        <v/>
      </c>
    </row>
    <row r="108">
      <c r="A108" s="53" t="n">
        <v>2019</v>
      </c>
      <c r="B108" s="53" t="n">
        <v>107</v>
      </c>
      <c r="C108" s="71" t="inlineStr">
        <is>
          <t>Ausgaben</t>
        </is>
      </c>
      <c r="D108" t="inlineStr">
        <is>
          <t>Reise- und Fahrtspesen inkl. Kilometergeld und Diäten</t>
        </is>
      </c>
      <c r="E108" s="9" t="inlineStr">
        <is>
          <t>3293000007888293</t>
        </is>
      </c>
      <c r="G108" s="1" t="n">
        <v>43675</v>
      </c>
      <c r="H108" t="inlineStr">
        <is>
          <t>car2go Österreich GmbH, Hintere Zollamtstraße 9, 1030 Wien</t>
        </is>
      </c>
      <c r="K108">
        <f>(IF(AND(I108&lt;&gt;"",AND(J108="",ABS(Q108)&gt;400)),TRUE,FALSE))</f>
        <v/>
      </c>
      <c r="L108" s="214" t="n">
        <v>2.4</v>
      </c>
      <c r="M108" s="159" t="n">
        <v>1</v>
      </c>
      <c r="N108" t="n">
        <v>20</v>
      </c>
      <c r="O108" s="237">
        <f>L108*N108/100</f>
        <v/>
      </c>
      <c r="P108" s="237">
        <f>M108*O108</f>
        <v/>
      </c>
      <c r="Q108" s="208">
        <f>L108*M108</f>
        <v/>
      </c>
      <c r="R108" s="251">
        <f>L108+O108</f>
        <v/>
      </c>
      <c r="S108" s="251">
        <f>Q108+P108</f>
        <v/>
      </c>
      <c r="T108" s="35">
        <f>voranmeldefrist_vierteljaehrlich(G108)</f>
        <v/>
      </c>
      <c r="U108" s="27" t="n"/>
      <c r="V108" s="27" t="n"/>
      <c r="W108" s="210">
        <f>IF(K108=TRUE,Q108/I108,Q108)</f>
        <v/>
      </c>
      <c r="X108" s="237">
        <f>V108/100*S108</f>
        <v/>
      </c>
      <c r="Y108">
        <f>IF(AND(V108&gt;0,N108=V108),TRUE,FALSE)</f>
        <v/>
      </c>
      <c r="Z108" s="228">
        <f>IF(C108="Einnahmen",Q108,-Q108)</f>
        <v/>
      </c>
    </row>
    <row r="109">
      <c r="A109" s="53" t="n">
        <v>2019</v>
      </c>
      <c r="B109" s="53" t="n">
        <v>108</v>
      </c>
      <c r="C109" s="71" t="inlineStr">
        <is>
          <t>Ausgaben</t>
        </is>
      </c>
      <c r="D109" t="inlineStr">
        <is>
          <t>sonstige Betriebsausgaben</t>
        </is>
      </c>
      <c r="E109" s="9" t="inlineStr">
        <is>
          <t>0968-20190727-02-6155</t>
        </is>
      </c>
      <c r="G109" s="1" t="n">
        <v>43675</v>
      </c>
      <c r="H109" t="inlineStr">
        <is>
          <t>Libro 1090</t>
        </is>
      </c>
      <c r="K109">
        <f>(IF(AND(I109&lt;&gt;"",AND(J109="",ABS(Q109)&gt;400)),TRUE,FALSE))</f>
        <v/>
      </c>
      <c r="L109" s="214">
        <f>34.66/1.2</f>
        <v/>
      </c>
      <c r="M109" s="159" t="n">
        <v>1</v>
      </c>
      <c r="N109" t="n">
        <v>20</v>
      </c>
      <c r="O109" s="237">
        <f>L109*N109/100</f>
        <v/>
      </c>
      <c r="P109" s="237">
        <f>M109*O109</f>
        <v/>
      </c>
      <c r="Q109" s="208">
        <f>L109*M109</f>
        <v/>
      </c>
      <c r="R109" s="251">
        <f>L109+O109</f>
        <v/>
      </c>
      <c r="S109" s="251">
        <f>Q109+P109</f>
        <v/>
      </c>
      <c r="T109" s="35">
        <f>voranmeldefrist_vierteljaehrlich(G109)</f>
        <v/>
      </c>
      <c r="U109" s="27" t="n"/>
      <c r="V109" s="27" t="n"/>
      <c r="W109" s="210">
        <f>IF(K109=TRUE,Q109/I109,Q109)</f>
        <v/>
      </c>
      <c r="X109" s="237">
        <f>V109/100*S109</f>
        <v/>
      </c>
      <c r="Y109">
        <f>IF(AND(V109&gt;0,N109=V109),TRUE,FALSE)</f>
        <v/>
      </c>
      <c r="Z109" s="228">
        <f>IF(C109="Einnahmen",Q109,-Q109)</f>
        <v/>
      </c>
    </row>
    <row r="110">
      <c r="A110" s="53" t="n">
        <v>2019</v>
      </c>
      <c r="B110" s="53" t="n">
        <v>109</v>
      </c>
      <c r="C110" s="71" t="inlineStr">
        <is>
          <t>Ausgaben</t>
        </is>
      </c>
      <c r="D110" t="inlineStr">
        <is>
          <t>Telefon/Internet</t>
        </is>
      </c>
      <c r="E110" s="9" t="inlineStr">
        <is>
          <t>6182733455</t>
        </is>
      </c>
      <c r="G110" s="1" t="n">
        <v>43678</v>
      </c>
      <c r="H110" t="inlineStr">
        <is>
          <t>Hutchison Drei Austria GmbH, Brünner Straße 52, 1210 Wien, Österreich</t>
        </is>
      </c>
      <c r="K110">
        <f>(IF(AND(I110&lt;&gt;"",AND(J110="",ABS(Q110)&gt;400)),TRUE,FALSE))</f>
        <v/>
      </c>
      <c r="L110" s="214">
        <f>18/1.2</f>
        <v/>
      </c>
      <c r="M110" s="159" t="n">
        <v>1</v>
      </c>
      <c r="N110" t="n">
        <v>20</v>
      </c>
      <c r="O110" s="237">
        <f>L110*N110/100</f>
        <v/>
      </c>
      <c r="P110" s="237">
        <f>M110*O110</f>
        <v/>
      </c>
      <c r="Q110" s="208">
        <f>L110*M110</f>
        <v/>
      </c>
      <c r="R110" s="251">
        <f>L110+O110</f>
        <v/>
      </c>
      <c r="S110" s="251">
        <f>Q110+P110</f>
        <v/>
      </c>
      <c r="T110" s="35">
        <f>voranmeldefrist_vierteljaehrlich(G110)</f>
        <v/>
      </c>
      <c r="U110" s="27" t="n"/>
      <c r="V110" s="27" t="n"/>
      <c r="W110" s="210">
        <f>IF(K110=TRUE,Q110/I110,Q110)</f>
        <v/>
      </c>
      <c r="X110" s="237">
        <f>V110/100*S110</f>
        <v/>
      </c>
      <c r="Y110">
        <f>IF(AND(V110&gt;0,N110=V110),TRUE,FALSE)</f>
        <v/>
      </c>
      <c r="Z110" s="228">
        <f>IF(C110="Einnahmen",Q110,-Q110)</f>
        <v/>
      </c>
    </row>
    <row r="111">
      <c r="A111" s="53" t="n">
        <v>2019</v>
      </c>
      <c r="B111" s="53" t="n">
        <v>110</v>
      </c>
      <c r="C111" s="71" t="inlineStr">
        <is>
          <t>Einnahmen</t>
        </is>
      </c>
      <c r="D111" t="inlineStr">
        <is>
          <t>Waren-/Leistungserlöse</t>
        </is>
      </c>
      <c r="E111" s="9" t="inlineStr">
        <is>
          <t>12019012</t>
        </is>
      </c>
      <c r="G111" s="1" t="n">
        <v>43679</v>
      </c>
      <c r="H111" s="43" t="inlineStr">
        <is>
          <t>Wedding Avenue e.U., Mayerweckstrasse 2-8/99/1, 1210 Wien (Teilzahlung)</t>
        </is>
      </c>
      <c r="K111">
        <f>(IF(AND(I111&lt;&gt;"",AND(J111="",ABS(Q111)&gt;400)),TRUE,FALSE))</f>
        <v/>
      </c>
      <c r="L111" s="214">
        <f>2021.35/1.2</f>
        <v/>
      </c>
      <c r="M111" s="159" t="n">
        <v>1</v>
      </c>
      <c r="N111" t="n">
        <v>20</v>
      </c>
      <c r="O111" s="237">
        <f>L111*N111/100</f>
        <v/>
      </c>
      <c r="P111" s="237">
        <f>M111*O111</f>
        <v/>
      </c>
      <c r="Q111" s="208">
        <f>L111*M111</f>
        <v/>
      </c>
      <c r="R111" s="251">
        <f>L111+O111</f>
        <v/>
      </c>
      <c r="S111" s="251">
        <f>Q111+P111</f>
        <v/>
      </c>
      <c r="T111" s="35">
        <f>voranmeldefrist_vierteljaehrlich(G111)</f>
        <v/>
      </c>
      <c r="U111" s="27" t="n"/>
      <c r="V111" s="27" t="n"/>
      <c r="W111" s="210">
        <f>IF(K111=TRUE,Q111/I111,Q111)</f>
        <v/>
      </c>
      <c r="X111" s="237">
        <f>V111/100*S111</f>
        <v/>
      </c>
      <c r="Y111">
        <f>IF(AND(V111&gt;0,N111=V111),TRUE,FALSE)</f>
        <v/>
      </c>
      <c r="Z111" s="228">
        <f>IF(C111="Einnahmen",Q111,-Q111)</f>
        <v/>
      </c>
    </row>
    <row r="112">
      <c r="A112" s="53" t="n">
        <v>2019</v>
      </c>
      <c r="B112" s="53" t="n">
        <v>111</v>
      </c>
      <c r="C112" s="71" t="inlineStr">
        <is>
          <t>Einnahmen</t>
        </is>
      </c>
      <c r="D112" t="inlineStr">
        <is>
          <t>Waren-/Leistungserlöse</t>
        </is>
      </c>
      <c r="E112" s="9" t="inlineStr">
        <is>
          <t>12019013</t>
        </is>
      </c>
      <c r="G112" s="1" t="n">
        <v>43682</v>
      </c>
      <c r="H112" t="inlineStr">
        <is>
          <t>vemap Einkaufsmanagement GmbH, Berggasse 31, 1080 Wien</t>
        </is>
      </c>
      <c r="K112">
        <f>(IF(AND(I112&lt;&gt;"",AND(J112="",ABS(Q112)&gt;400)),TRUE,FALSE))</f>
        <v/>
      </c>
      <c r="L112" s="214" t="n">
        <v>752.5</v>
      </c>
      <c r="M112" s="159" t="n">
        <v>1</v>
      </c>
      <c r="N112" t="n">
        <v>20</v>
      </c>
      <c r="O112" s="237">
        <f>L112*N112/100</f>
        <v/>
      </c>
      <c r="P112" s="237">
        <f>M112*O112</f>
        <v/>
      </c>
      <c r="Q112" s="208">
        <f>L112*M112</f>
        <v/>
      </c>
      <c r="R112" s="251">
        <f>L112+O112</f>
        <v/>
      </c>
      <c r="S112" s="251">
        <f>Q112+P112</f>
        <v/>
      </c>
      <c r="T112" s="35">
        <f>voranmeldefrist_vierteljaehrlich(G112)</f>
        <v/>
      </c>
      <c r="U112" s="27" t="n"/>
      <c r="V112" s="27" t="n"/>
      <c r="W112" s="210">
        <f>IF(K112=TRUE,Q112/I112,Q112)</f>
        <v/>
      </c>
      <c r="X112" s="237">
        <f>V112/100*S112</f>
        <v/>
      </c>
      <c r="Y112">
        <f>IF(AND(V112&gt;0,N112=V112),TRUE,FALSE)</f>
        <v/>
      </c>
      <c r="Z112" s="228">
        <f>IF(C112="Einnahmen",Q112,-Q112)</f>
        <v/>
      </c>
    </row>
    <row r="113">
      <c r="A113" s="53" t="n">
        <v>2019</v>
      </c>
      <c r="B113" s="53" t="n">
        <v>112</v>
      </c>
      <c r="C113" s="71" t="inlineStr">
        <is>
          <t>Ausgaben</t>
        </is>
      </c>
      <c r="D113" t="inlineStr">
        <is>
          <t>sonstige Betriebsausgaben</t>
        </is>
      </c>
      <c r="E113" s="9" t="inlineStr">
        <is>
          <t>176093565-00</t>
        </is>
      </c>
      <c r="G113" s="1" t="n">
        <v>43684</v>
      </c>
      <c r="H113" t="inlineStr">
        <is>
          <t>UPC Telekabel Wien GmbH, A1120 Wien, Postfach 47</t>
        </is>
      </c>
      <c r="K113">
        <f>(IF(AND(I113&lt;&gt;"",AND(J113="",ABS(Q113)&gt;400)),TRUE,FALSE))</f>
        <v/>
      </c>
      <c r="L113" s="214">
        <f>27.82+1.04</f>
        <v/>
      </c>
      <c r="M113" s="159">
        <f>2/3</f>
        <v/>
      </c>
      <c r="N113" t="n">
        <v>20</v>
      </c>
      <c r="O113" s="237">
        <f>L113*N113/100</f>
        <v/>
      </c>
      <c r="P113" s="237">
        <f>M113*O113</f>
        <v/>
      </c>
      <c r="Q113" s="208">
        <f>L113*M113</f>
        <v/>
      </c>
      <c r="R113" s="251">
        <f>L113+O113</f>
        <v/>
      </c>
      <c r="S113" s="251">
        <f>Q113+P113</f>
        <v/>
      </c>
      <c r="T113" s="35">
        <f>voranmeldefrist_vierteljaehrlich(G113)</f>
        <v/>
      </c>
      <c r="U113" s="27" t="n"/>
      <c r="V113" s="27" t="n"/>
      <c r="W113" s="210">
        <f>IF(K113=TRUE,Q113/J113,Q113)</f>
        <v/>
      </c>
      <c r="X113" s="237">
        <f>V113/100*S113</f>
        <v/>
      </c>
      <c r="Y113">
        <f>IF(AND(V113&gt;0,N113=V113),TRUE,FALSE)</f>
        <v/>
      </c>
      <c r="Z113" s="228">
        <f>IF(C113="Einnahmen",Q113,-Q113)</f>
        <v/>
      </c>
    </row>
    <row r="114">
      <c r="A114" s="53" t="n">
        <v>2019</v>
      </c>
      <c r="B114" s="53" t="n">
        <v>113</v>
      </c>
      <c r="C114" s="71" t="inlineStr">
        <is>
          <t>Ausgaben</t>
        </is>
      </c>
      <c r="D114" t="inlineStr">
        <is>
          <t>sonstige Betriebsausgaben</t>
        </is>
      </c>
      <c r="E114" s="9" t="inlineStr">
        <is>
          <t>746115</t>
        </is>
      </c>
      <c r="G114" s="1" t="n">
        <v>43689</v>
      </c>
      <c r="H114" t="inlineStr">
        <is>
          <t>Lemon Technologies GmbH, Unterweißenbach 181, 7330 Feldbach: Toner für AKO, CLX 6260 (Satteins)</t>
        </is>
      </c>
      <c r="J114" s="76" t="inlineStr">
        <is>
          <t>ja</t>
        </is>
      </c>
      <c r="K114">
        <f>(IF(AND(I114&lt;&gt;"",AND(J114="",ABS(Q114)&gt;400)),TRUE,FALSE))</f>
        <v/>
      </c>
      <c r="L114" s="214" t="n">
        <v>231.43</v>
      </c>
      <c r="M114" s="159" t="n">
        <v>1</v>
      </c>
      <c r="N114" t="n">
        <v>20</v>
      </c>
      <c r="O114" s="237">
        <f>L114*N114/100</f>
        <v/>
      </c>
      <c r="P114" s="237">
        <f>M114*O114</f>
        <v/>
      </c>
      <c r="Q114" s="208">
        <f>L114*M114</f>
        <v/>
      </c>
      <c r="R114" s="251" t="n">
        <v>277.71</v>
      </c>
      <c r="S114" s="251" t="n">
        <v>277.71</v>
      </c>
      <c r="T114" s="35">
        <f>voranmeldefrist_vierteljaehrlich(G114)</f>
        <v/>
      </c>
      <c r="U114" s="27" t="n"/>
      <c r="V114" s="27" t="n"/>
      <c r="W114" s="210">
        <f>IF(K114=TRUE,Q114/I114,Q114)</f>
        <v/>
      </c>
      <c r="X114" s="237">
        <f>V114/100*S114</f>
        <v/>
      </c>
      <c r="Y114">
        <f>IF(AND(V114&gt;0,N114=V114),TRUE,FALSE)</f>
        <v/>
      </c>
      <c r="Z114" s="228">
        <f>IF(C114="Einnahmen",Q114,-Q114)</f>
        <v/>
      </c>
    </row>
    <row r="115">
      <c r="A115" s="53" t="n">
        <v>2019</v>
      </c>
      <c r="B115" s="53" t="n">
        <v>114</v>
      </c>
      <c r="C115" s="71" t="inlineStr">
        <is>
          <t>Ausgaben</t>
        </is>
      </c>
      <c r="D115" t="inlineStr">
        <is>
          <t>sonstige Betriebsausgaben</t>
        </is>
      </c>
      <c r="E115" s="9" t="inlineStr">
        <is>
          <t>R0009952553</t>
        </is>
      </c>
      <c r="G115" s="1" t="n">
        <v>43690</v>
      </c>
      <c r="H115" t="inlineStr">
        <is>
          <t>Hetzner Online GmbH</t>
        </is>
      </c>
      <c r="K115">
        <f>(IF(AND(I115&lt;&gt;"",AND(J115="",ABS(Q115)&gt;400)),TRUE,FALSE))</f>
        <v/>
      </c>
      <c r="L115" s="214" t="n">
        <v>46.92</v>
      </c>
      <c r="M115" s="159" t="n">
        <v>1</v>
      </c>
      <c r="N115" t="n">
        <v>0</v>
      </c>
      <c r="O115" s="237">
        <f>L115*N115/100</f>
        <v/>
      </c>
      <c r="P115" s="237">
        <f>M115*O115</f>
        <v/>
      </c>
      <c r="Q115" s="208">
        <f>L115*M115</f>
        <v/>
      </c>
      <c r="R115" s="251">
        <f>L115+O115</f>
        <v/>
      </c>
      <c r="S115" s="251">
        <f>Q115+P115</f>
        <v/>
      </c>
      <c r="T115" s="35">
        <f>voranmeldefrist_vierteljaehrlich(G115)</f>
        <v/>
      </c>
      <c r="U115" s="27" t="n"/>
      <c r="V115" s="27" t="n">
        <v>20</v>
      </c>
      <c r="W115" s="210">
        <f>IF(K115=TRUE,Q115/J115,Q115)</f>
        <v/>
      </c>
      <c r="X115" s="237">
        <f>V115/100*S115</f>
        <v/>
      </c>
      <c r="Y115">
        <f>IF(AND(V115&gt;0,N115=V115),TRUE,FALSE)</f>
        <v/>
      </c>
      <c r="Z115" s="228">
        <f>IF(C115="Einnahmen",Q115,-Q115)</f>
        <v/>
      </c>
    </row>
    <row r="116">
      <c r="A116" s="53" t="n">
        <v>2019</v>
      </c>
      <c r="B116" s="53" t="n">
        <v>115</v>
      </c>
      <c r="C116" s="71" t="inlineStr">
        <is>
          <t>Ausgaben</t>
        </is>
      </c>
      <c r="D116" t="inlineStr">
        <is>
          <t>sonstige Betriebsausgaben</t>
        </is>
      </c>
      <c r="E116" s="9" t="inlineStr">
        <is>
          <t>14004954806/40/2019</t>
        </is>
      </c>
      <c r="G116" s="1" t="n">
        <v>43693</v>
      </c>
      <c r="H116" t="inlineStr">
        <is>
          <t>Montana Energie Handel AT GmbH</t>
        </is>
      </c>
      <c r="K116">
        <f>(IF(AND(I116&lt;&gt;"",AND(J116="",ABS(Q116)&gt;400)),TRUE,FALSE))</f>
        <v/>
      </c>
      <c r="L116" s="214" t="n">
        <v>78.33</v>
      </c>
      <c r="M116" s="159">
        <f>Arbeitszimmer!$B$3</f>
        <v/>
      </c>
      <c r="N116" t="n">
        <v>20</v>
      </c>
      <c r="O116" s="237">
        <f>L116*N116/100</f>
        <v/>
      </c>
      <c r="P116" s="237">
        <f>M116*O116</f>
        <v/>
      </c>
      <c r="Q116" s="208">
        <f>L116*M116</f>
        <v/>
      </c>
      <c r="R116" s="251">
        <f>L116+O116</f>
        <v/>
      </c>
      <c r="S116" s="251">
        <f>Q116+P116</f>
        <v/>
      </c>
      <c r="T116" s="35">
        <f>voranmeldefrist_vierteljaehrlich(G116)</f>
        <v/>
      </c>
      <c r="U116" s="27" t="n"/>
      <c r="V116" s="27" t="n"/>
      <c r="W116" s="210">
        <f>IF(K116=TRUE,Q116/J116,Q116)</f>
        <v/>
      </c>
      <c r="X116" s="237">
        <f>V116/100*S116</f>
        <v/>
      </c>
      <c r="Y116">
        <f>IF(AND(V116&gt;0,N116=V116),TRUE,FALSE)</f>
        <v/>
      </c>
      <c r="Z116" s="228">
        <f>IF(C116="Einnahmen",Q116,-Q116)</f>
        <v/>
      </c>
    </row>
    <row r="117">
      <c r="A117" s="53" t="n">
        <v>2019</v>
      </c>
      <c r="B117" s="53" t="n">
        <v>116</v>
      </c>
      <c r="C117" s="71" t="inlineStr">
        <is>
          <t>Ausgaben</t>
        </is>
      </c>
      <c r="D117" t="inlineStr">
        <is>
          <t>Porto/Gebühren</t>
        </is>
      </c>
      <c r="E117" s="9" t="inlineStr">
        <is>
          <t>ka/1167</t>
        </is>
      </c>
      <c r="G117" s="1" t="n">
        <v>43686</v>
      </c>
      <c r="H117" t="inlineStr">
        <is>
          <t>Gemeinde Satteins, Kirchstraße 15, 6822 Satteins: Briefmarken</t>
        </is>
      </c>
      <c r="L117" s="214" t="n">
        <v>17.4</v>
      </c>
      <c r="M117" s="159" t="n">
        <v>1</v>
      </c>
      <c r="N117" t="n">
        <v>0</v>
      </c>
      <c r="O117" s="237">
        <f>L117*N117/100</f>
        <v/>
      </c>
      <c r="P117" s="237">
        <f>M117*O117</f>
        <v/>
      </c>
      <c r="Q117" s="208">
        <f>L117*M117</f>
        <v/>
      </c>
      <c r="R117" s="251">
        <f>L117+O117</f>
        <v/>
      </c>
      <c r="S117" s="251">
        <f>Q117+P117</f>
        <v/>
      </c>
      <c r="T117" s="35">
        <f>voranmeldefrist_vierteljaehrlich(G117)</f>
        <v/>
      </c>
      <c r="U117" s="27" t="n"/>
      <c r="V117" s="27" t="n"/>
      <c r="W117" s="210">
        <f>IF(K117=TRUE,Q117/J117,Q117)</f>
        <v/>
      </c>
      <c r="X117" s="237">
        <f>V117/100*S117</f>
        <v/>
      </c>
      <c r="Y117">
        <f>IF(AND(V117&gt;0,N117=V117),TRUE,FALSE)</f>
        <v/>
      </c>
      <c r="Z117" s="228">
        <f>IF(C117="Einnahmen",Q117,-Q117)</f>
        <v/>
      </c>
    </row>
    <row r="118">
      <c r="A118" s="53" t="n">
        <v>2019</v>
      </c>
      <c r="B118" s="53" t="n">
        <v>117</v>
      </c>
      <c r="C118" s="71" t="inlineStr">
        <is>
          <t>Ausgaben</t>
        </is>
      </c>
      <c r="D118" t="inlineStr">
        <is>
          <t>Miet- und Pachtaufwand, Leasing</t>
        </is>
      </c>
      <c r="E118" s="9" t="inlineStr">
        <is>
          <t>2019/8058/14</t>
        </is>
      </c>
      <c r="G118" s="1" t="n">
        <v>43703</v>
      </c>
      <c r="H118" t="inlineStr">
        <is>
          <t>Premium Laudongasse 58 GmbH &amp; Co KG</t>
        </is>
      </c>
      <c r="K118">
        <f>(IF(AND(I118&lt;&gt;"",AND(J118="",ABS(Q118)&gt;400)),TRUE,FALSE))</f>
        <v/>
      </c>
      <c r="L118" s="214" t="n">
        <v>763.4400000000001</v>
      </c>
      <c r="M118" s="159">
        <f>Arbeitszimmer!$B$3</f>
        <v/>
      </c>
      <c r="N118" t="n">
        <v>10</v>
      </c>
      <c r="O118" s="237">
        <f>L118*N118/100</f>
        <v/>
      </c>
      <c r="P118" s="237">
        <f>M118*O118</f>
        <v/>
      </c>
      <c r="Q118" s="208">
        <f>L118*M118</f>
        <v/>
      </c>
      <c r="R118" s="251">
        <f>L118+O118</f>
        <v/>
      </c>
      <c r="S118" s="251">
        <f>Q118+P118</f>
        <v/>
      </c>
      <c r="T118" s="35">
        <f>voranmeldefrist_vierteljaehrlich(G118)</f>
        <v/>
      </c>
      <c r="U118" s="27" t="n"/>
      <c r="V118" s="27" t="n"/>
      <c r="W118" s="210">
        <f>IF(K118=TRUE,Q118/J118,Q118)</f>
        <v/>
      </c>
      <c r="X118" s="237">
        <f>V118/100*S118</f>
        <v/>
      </c>
      <c r="Y118">
        <f>IF(AND(V118&gt;0,N118=V118),TRUE,FALSE)</f>
        <v/>
      </c>
      <c r="Z118" s="228">
        <f>IF(C118="Einnahmen",Q118,-Q118)</f>
        <v/>
      </c>
    </row>
    <row r="119">
      <c r="A119" s="53" t="n">
        <v>2019</v>
      </c>
      <c r="B119" s="53" t="n">
        <v>118</v>
      </c>
      <c r="C119" s="71" t="inlineStr">
        <is>
          <t>Einnahmen</t>
        </is>
      </c>
      <c r="D119" t="inlineStr">
        <is>
          <t>Waren-/Leistungserlöse</t>
        </is>
      </c>
      <c r="E119" s="9" t="inlineStr">
        <is>
          <t>12019014</t>
        </is>
      </c>
      <c r="G119" s="1" t="n">
        <v>43703</v>
      </c>
      <c r="H119" t="inlineStr">
        <is>
          <t>Franz Hauer GmbH + Co KG</t>
        </is>
      </c>
      <c r="K119" t="b">
        <v>0</v>
      </c>
      <c r="L119" s="214" t="n">
        <v>551</v>
      </c>
      <c r="M119" s="159" t="n">
        <v>1</v>
      </c>
      <c r="N119" t="n">
        <v>20</v>
      </c>
      <c r="O119" s="237">
        <f>L119*N119/100</f>
        <v/>
      </c>
      <c r="P119" s="237">
        <f>M119*O119</f>
        <v/>
      </c>
      <c r="Q119" s="208">
        <f>L119*M119</f>
        <v/>
      </c>
      <c r="R119" s="251">
        <f>L119+O119</f>
        <v/>
      </c>
      <c r="S119" s="251">
        <f>Q119+P119</f>
        <v/>
      </c>
      <c r="T119" s="35">
        <f>voranmeldefrist_vierteljaehrlich(G119)</f>
        <v/>
      </c>
      <c r="U119" s="27" t="n"/>
      <c r="V119" s="27" t="n"/>
      <c r="W119" s="210">
        <f>IF(K119=TRUE,Q119/J119,Q119)</f>
        <v/>
      </c>
      <c r="X119" s="237">
        <f>V119/100*S119</f>
        <v/>
      </c>
      <c r="Y119">
        <f>IF(AND(V119&gt;0,N119=V119),TRUE,FALSE)</f>
        <v/>
      </c>
      <c r="Z119" s="228">
        <f>IF(C119="Einnahmen",Q119,-Q119)</f>
        <v/>
      </c>
    </row>
    <row r="120">
      <c r="A120" s="53" t="n">
        <v>2019</v>
      </c>
      <c r="B120" s="53" t="n">
        <v>119</v>
      </c>
      <c r="C120" s="71" t="inlineStr">
        <is>
          <t>Ausgaben</t>
        </is>
      </c>
      <c r="D120" t="inlineStr">
        <is>
          <t>Porto/Gebühren</t>
        </is>
      </c>
      <c r="E120" s="9" t="inlineStr">
        <is>
          <t>(Barbeleg Kassaeingang)</t>
        </is>
      </c>
      <c r="G120" s="1" t="n">
        <v>43705</v>
      </c>
      <c r="H120" t="inlineStr">
        <is>
          <t>Bontus Finanztamtsgebühr</t>
        </is>
      </c>
      <c r="K120" t="b">
        <v>0</v>
      </c>
      <c r="L120" s="214" t="n">
        <v>241.1</v>
      </c>
      <c r="M120" s="159" t="n">
        <v>1</v>
      </c>
      <c r="N120" t="n">
        <v>0</v>
      </c>
      <c r="O120" s="237">
        <f>L120*N120/100</f>
        <v/>
      </c>
      <c r="P120" s="237">
        <f>M120*O120</f>
        <v/>
      </c>
      <c r="Q120" s="208">
        <f>L120*M120</f>
        <v/>
      </c>
      <c r="R120" s="251">
        <f>L120+O120</f>
        <v/>
      </c>
      <c r="S120" s="251">
        <f>Q120+P120</f>
        <v/>
      </c>
      <c r="T120" s="35">
        <f>voranmeldefrist_vierteljaehrlich(G120)</f>
        <v/>
      </c>
      <c r="U120" s="27" t="n"/>
      <c r="V120" s="27" t="n"/>
      <c r="W120" s="210">
        <f>IF(K120=TRUE,Q120/J120,Q120)</f>
        <v/>
      </c>
      <c r="X120" s="237">
        <f>V120/100*S120</f>
        <v/>
      </c>
      <c r="Y120">
        <f>IF(AND(V120&gt;0,N120=V120),TRUE,FALSE)</f>
        <v/>
      </c>
      <c r="Z120" s="228">
        <f>IF(C120="Einnahmen",Q120,-Q120)</f>
        <v/>
      </c>
    </row>
    <row r="121">
      <c r="A121" s="53" t="n">
        <v>2019</v>
      </c>
      <c r="B121" s="53" t="n">
        <v>120</v>
      </c>
      <c r="C121" s="71" t="inlineStr">
        <is>
          <t>Ausgaben</t>
        </is>
      </c>
      <c r="D121" t="inlineStr">
        <is>
          <t>Miet- und Pachtaufwand, Leasing</t>
        </is>
      </c>
      <c r="E121" s="9" t="inlineStr">
        <is>
          <t>(Barbeleg Kassaeingang)</t>
        </is>
      </c>
      <c r="G121" s="1" t="n">
        <v>43705</v>
      </c>
      <c r="H121" t="inlineStr">
        <is>
          <t>Bontus Kaution + 1. Miete</t>
        </is>
      </c>
      <c r="K121" t="b">
        <v>0</v>
      </c>
      <c r="L121" s="214">
        <f>(2461.03-241.1)/1.2</f>
        <v/>
      </c>
      <c r="M121" s="159" t="n">
        <v>1</v>
      </c>
      <c r="N121" t="n">
        <v>20</v>
      </c>
      <c r="O121" s="237">
        <f>L121*N121/100</f>
        <v/>
      </c>
      <c r="P121" s="237">
        <f>M121*O121</f>
        <v/>
      </c>
      <c r="Q121" s="208">
        <f>L121*M121</f>
        <v/>
      </c>
      <c r="R121" s="251">
        <f>L121+O121</f>
        <v/>
      </c>
      <c r="S121" s="251">
        <f>Q121+P121</f>
        <v/>
      </c>
      <c r="T121" s="35">
        <f>voranmeldefrist_vierteljaehrlich(G121)</f>
        <v/>
      </c>
      <c r="U121" s="27" t="n"/>
      <c r="V121" s="27" t="n"/>
      <c r="W121" s="210">
        <f>IF(K121=TRUE,Q121/J121,Q121)</f>
        <v/>
      </c>
      <c r="X121" s="237">
        <f>V121/100*S121</f>
        <v/>
      </c>
      <c r="Y121">
        <f>IF(AND(V121&gt;0,N121=V121),TRUE,FALSE)</f>
        <v/>
      </c>
      <c r="Z121" s="228">
        <f>IF(C121="Einnahmen",Q121,-Q121)</f>
        <v/>
      </c>
    </row>
    <row r="122">
      <c r="A122" s="53" t="n">
        <v>2019</v>
      </c>
      <c r="B122" s="53" t="n">
        <v>121</v>
      </c>
      <c r="C122" s="71" t="inlineStr">
        <is>
          <t>Ausgaben</t>
        </is>
      </c>
      <c r="D122" t="inlineStr">
        <is>
          <t>Pflichversicherungsbeiträge</t>
        </is>
      </c>
      <c r="E122" s="9" t="inlineStr">
        <is>
          <t>011561270283</t>
        </is>
      </c>
      <c r="G122" s="1" t="n">
        <v>43705</v>
      </c>
      <c r="H122" t="inlineStr">
        <is>
          <t>Sozialversicherung der gewerblichen Wirtshaft</t>
        </is>
      </c>
      <c r="K122">
        <f>(IF(AND(I122&lt;&gt;"",AND(J122="",ABS(Q122)&gt;400)),TRUE,FALSE))</f>
        <v/>
      </c>
      <c r="L122" s="214" t="n">
        <v>4286.3</v>
      </c>
      <c r="M122" s="159" t="n">
        <v>1</v>
      </c>
      <c r="N122" t="n">
        <v>0</v>
      </c>
      <c r="O122" s="237">
        <f>L122*N122/100</f>
        <v/>
      </c>
      <c r="P122" s="237">
        <f>M122*O122</f>
        <v/>
      </c>
      <c r="Q122" s="208">
        <f>L122*M122</f>
        <v/>
      </c>
      <c r="R122" s="251">
        <f>L122+O122</f>
        <v/>
      </c>
      <c r="S122" s="251">
        <f>Q122+P122</f>
        <v/>
      </c>
      <c r="T122" s="35">
        <f>voranmeldefrist_vierteljaehrlich(G122)</f>
        <v/>
      </c>
      <c r="U122" s="27" t="n"/>
      <c r="V122" s="27" t="n"/>
      <c r="W122" s="210">
        <f>IF(K122=TRUE,Q122/J122,Q122)</f>
        <v/>
      </c>
      <c r="X122" s="237">
        <f>V122/100*S122</f>
        <v/>
      </c>
      <c r="Y122">
        <f>IF(AND(V122&gt;0,N122=V122),TRUE,FALSE)</f>
        <v/>
      </c>
      <c r="Z122" s="228">
        <f>IF(C122="Einnahmen",Q122,-Q122)</f>
        <v/>
      </c>
    </row>
    <row r="123">
      <c r="A123" s="53" t="n">
        <v>2019</v>
      </c>
      <c r="B123" s="53" t="n">
        <v>122</v>
      </c>
      <c r="C123" s="71" t="inlineStr">
        <is>
          <t>Ausgaben</t>
        </is>
      </c>
      <c r="D123" t="inlineStr">
        <is>
          <t>sonstige Betriebsausgaben</t>
        </is>
      </c>
      <c r="E123" s="9" t="inlineStr">
        <is>
          <t>PRM319080004574</t>
        </is>
      </c>
      <c r="G123" s="1" t="n">
        <v>43706</v>
      </c>
      <c r="H123" t="inlineStr">
        <is>
          <t>Xing SE, Dammtorstraße 30, 20354 Hamburg</t>
        </is>
      </c>
      <c r="K123">
        <f>(IF(AND(I123&lt;&gt;"",AND(J123="",ABS(Q123)&gt;400)),TRUE,FALSE))</f>
        <v/>
      </c>
      <c r="L123" s="214" t="n">
        <v>24.88</v>
      </c>
      <c r="M123" s="159" t="n">
        <v>1</v>
      </c>
      <c r="N123" t="n">
        <v>0</v>
      </c>
      <c r="O123" s="237">
        <f>L123*N123/100</f>
        <v/>
      </c>
      <c r="P123" s="237">
        <f>M123*O123</f>
        <v/>
      </c>
      <c r="Q123" s="208">
        <f>L123*M123</f>
        <v/>
      </c>
      <c r="R123" s="251">
        <f>L123+O123</f>
        <v/>
      </c>
      <c r="S123" s="251">
        <f>Q123+P123</f>
        <v/>
      </c>
      <c r="T123" s="35">
        <f>voranmeldefrist_vierteljaehrlich(G123)</f>
        <v/>
      </c>
      <c r="U123" s="27" t="n"/>
      <c r="V123" s="27" t="n">
        <v>20</v>
      </c>
      <c r="W123" s="210">
        <f>IF(K123=TRUE,Q123/I123,Q123)</f>
        <v/>
      </c>
      <c r="X123" s="237">
        <f>V123/100*S123</f>
        <v/>
      </c>
      <c r="Y123">
        <f>IF(AND(V123&gt;0,N123=V123),TRUE,FALSE)</f>
        <v/>
      </c>
      <c r="Z123" s="228">
        <f>IF(C123="Einnahmen",Q123,-Q123)</f>
        <v/>
      </c>
    </row>
    <row r="124">
      <c r="A124" s="53" t="n">
        <v>2019</v>
      </c>
      <c r="B124" s="53" t="n">
        <v>123</v>
      </c>
      <c r="C124" s="71" t="inlineStr">
        <is>
          <t>Ausgaben</t>
        </is>
      </c>
      <c r="D124" t="inlineStr">
        <is>
          <t>Pflichversicherungsbeiträge</t>
        </is>
      </c>
      <c r="E124" s="9" t="inlineStr">
        <is>
          <t>401561270283</t>
        </is>
      </c>
      <c r="G124" s="1" t="n">
        <v>43710</v>
      </c>
      <c r="H124" t="inlineStr">
        <is>
          <t>Sozialversicherung der gewerblichen Wirtshaft</t>
        </is>
      </c>
      <c r="K124">
        <f>(IF(AND(I124&lt;&gt;"",AND(J124="",ABS(Q124)&gt;400)),TRUE,FALSE))</f>
        <v/>
      </c>
      <c r="L124" s="214" t="n">
        <v>-218.03</v>
      </c>
      <c r="M124" s="159" t="n">
        <v>1</v>
      </c>
      <c r="N124" t="n">
        <v>0</v>
      </c>
      <c r="O124" s="237">
        <f>L124*N124/100</f>
        <v/>
      </c>
      <c r="P124" s="237">
        <f>M124*O124</f>
        <v/>
      </c>
      <c r="Q124" s="208">
        <f>L124*M124</f>
        <v/>
      </c>
      <c r="R124" s="251">
        <f>L124+O124</f>
        <v/>
      </c>
      <c r="S124" s="251">
        <f>Q124+P124</f>
        <v/>
      </c>
      <c r="T124" s="35">
        <f>voranmeldefrist_vierteljaehrlich(G124)</f>
        <v/>
      </c>
      <c r="U124" s="27" t="n"/>
      <c r="V124" s="27" t="n"/>
      <c r="W124" s="210">
        <f>IF(K124=TRUE,Q124/I124,Q124)</f>
        <v/>
      </c>
      <c r="X124" s="237">
        <f>V124/100*S124</f>
        <v/>
      </c>
      <c r="Y124">
        <f>IF(AND(V124&gt;0,N124=V124),TRUE,FALSE)</f>
        <v/>
      </c>
      <c r="Z124" s="228">
        <f>IF(C124="Einnahmen",Q124,-Q124)</f>
        <v/>
      </c>
    </row>
    <row r="125">
      <c r="A125" s="53" t="n">
        <v>2019</v>
      </c>
      <c r="B125" s="53" t="n">
        <v>124</v>
      </c>
      <c r="C125" s="71" t="inlineStr">
        <is>
          <t>Ausgaben</t>
        </is>
      </c>
      <c r="D125" t="inlineStr">
        <is>
          <t>Telefon/Internet</t>
        </is>
      </c>
      <c r="E125" s="9" t="inlineStr">
        <is>
          <t>6184577322</t>
        </is>
      </c>
      <c r="G125" s="1" t="n">
        <v>43710</v>
      </c>
      <c r="H125" t="inlineStr">
        <is>
          <t>Hutchison Drei Austria GmbH, Brünner Straße 52, 1210 Wien, Österreich</t>
        </is>
      </c>
      <c r="K125">
        <f>(IF(AND(I125&lt;&gt;"",AND(J125="",ABS(Q125)&gt;400)),TRUE,FALSE))</f>
        <v/>
      </c>
      <c r="L125" s="214" t="n">
        <v>15.5</v>
      </c>
      <c r="M125" s="159" t="n">
        <v>1</v>
      </c>
      <c r="N125" t="n">
        <v>20</v>
      </c>
      <c r="O125" s="237">
        <f>L125*N125/100</f>
        <v/>
      </c>
      <c r="P125" s="237">
        <f>M125*O125</f>
        <v/>
      </c>
      <c r="Q125" s="208">
        <f>L125*M125</f>
        <v/>
      </c>
      <c r="R125" s="251">
        <f>L125+O125</f>
        <v/>
      </c>
      <c r="S125" s="251">
        <f>Q125+P125</f>
        <v/>
      </c>
      <c r="T125" s="35">
        <f>voranmeldefrist_vierteljaehrlich(G125)</f>
        <v/>
      </c>
      <c r="U125" s="27" t="n"/>
      <c r="V125" s="27" t="n"/>
      <c r="W125" s="210">
        <f>IF(K125=TRUE,Q125/I125,Q125)</f>
        <v/>
      </c>
      <c r="X125" s="237">
        <f>V125/100*S125</f>
        <v/>
      </c>
      <c r="Y125">
        <f>IF(AND(V125&gt;0,N125=V125),TRUE,FALSE)</f>
        <v/>
      </c>
      <c r="Z125" s="228">
        <f>IF(C125="Einnahmen",Q125,-Q125)</f>
        <v/>
      </c>
    </row>
    <row r="126">
      <c r="A126" s="53" t="n">
        <v>2019</v>
      </c>
      <c r="B126" s="53" t="n">
        <v>125</v>
      </c>
      <c r="C126" s="71" t="inlineStr">
        <is>
          <t>Ausgaben</t>
        </is>
      </c>
      <c r="D126" t="inlineStr">
        <is>
          <t>sonstige Betriebsausgaben</t>
        </is>
      </c>
      <c r="E126" s="9" t="inlineStr">
        <is>
          <t>11000311900/10/2019</t>
        </is>
      </c>
      <c r="G126" s="1" t="n">
        <v>43710</v>
      </c>
      <c r="H126" t="inlineStr">
        <is>
          <t>Montana Energie Handel AT GmbH</t>
        </is>
      </c>
      <c r="K126">
        <f>(IF(AND(I126&lt;&gt;"",AND(J126="",ABS(Q126)&gt;400)),TRUE,FALSE))</f>
        <v/>
      </c>
      <c r="L126" s="214" t="n">
        <v>-915.54</v>
      </c>
      <c r="M126" s="159">
        <f>Arbeitszimmer!$B$3</f>
        <v/>
      </c>
      <c r="N126" t="n">
        <v>20</v>
      </c>
      <c r="O126" s="237">
        <f>L126*N126/100</f>
        <v/>
      </c>
      <c r="P126" s="237">
        <f>M126*O126</f>
        <v/>
      </c>
      <c r="Q126" s="208">
        <f>L126*M126</f>
        <v/>
      </c>
      <c r="R126" s="251">
        <f>L126+O126</f>
        <v/>
      </c>
      <c r="S126" s="251">
        <f>Q126+P126</f>
        <v/>
      </c>
      <c r="T126" s="35">
        <f>voranmeldefrist_vierteljaehrlich(G126)</f>
        <v/>
      </c>
      <c r="U126" s="27" t="n"/>
      <c r="V126" s="27" t="n"/>
      <c r="W126" s="210">
        <f>IF(K126=TRUE,Q126/J126,Q126)</f>
        <v/>
      </c>
      <c r="X126" s="237">
        <f>V126/100*S126</f>
        <v/>
      </c>
      <c r="Y126">
        <f>IF(AND(V126&gt;0,N126=V126),TRUE,FALSE)</f>
        <v/>
      </c>
      <c r="Z126" s="228">
        <f>IF(C126="Einnahmen",Q126,-Q126)</f>
        <v/>
      </c>
    </row>
    <row r="127">
      <c r="A127" s="53" t="n">
        <v>2019</v>
      </c>
      <c r="B127" s="53" t="n">
        <v>126</v>
      </c>
      <c r="C127" s="71" t="inlineStr">
        <is>
          <t>Ausgaben</t>
        </is>
      </c>
      <c r="D127" t="inlineStr">
        <is>
          <t>sonstige Betriebsausgaben</t>
        </is>
      </c>
      <c r="E127" s="9" t="inlineStr">
        <is>
          <t>34030101809/40/2019</t>
        </is>
      </c>
      <c r="G127" s="1" t="n">
        <v>43710</v>
      </c>
      <c r="H127" t="inlineStr">
        <is>
          <t>Verbund AG, Postfach 8400, 1011 Wien, Österreich</t>
        </is>
      </c>
      <c r="K127">
        <f>(IF(AND(I127&lt;&gt;"",AND(J127="",ABS(Q127)&gt;400)),TRUE,FALSE))</f>
        <v/>
      </c>
      <c r="L127" s="214">
        <f>179/1.2</f>
        <v/>
      </c>
      <c r="M127" s="159">
        <f>Arbeitszimmer!$B$3</f>
        <v/>
      </c>
      <c r="N127" t="n">
        <v>20</v>
      </c>
      <c r="O127" s="237">
        <f>L127*N127/100</f>
        <v/>
      </c>
      <c r="P127" s="237">
        <f>M127*O127</f>
        <v/>
      </c>
      <c r="Q127" s="208">
        <f>L127*M127</f>
        <v/>
      </c>
      <c r="R127" s="251">
        <f>L127+O127</f>
        <v/>
      </c>
      <c r="S127" s="251">
        <f>Q127+P127</f>
        <v/>
      </c>
      <c r="T127" s="35">
        <f>voranmeldefrist_vierteljaehrlich(G127)</f>
        <v/>
      </c>
      <c r="U127" s="27" t="n"/>
      <c r="V127" s="27" t="n"/>
      <c r="W127" s="210">
        <f>IF(K127=TRUE,Q127/J127,Q127)</f>
        <v/>
      </c>
      <c r="X127" s="237">
        <f>V127/100*S127</f>
        <v/>
      </c>
      <c r="Y127">
        <f>IF(AND(V127&gt;0,N127=V127),TRUE,FALSE)</f>
        <v/>
      </c>
      <c r="Z127" s="228">
        <f>IF(C127="Einnahmen",Q127,-Q127)</f>
        <v/>
      </c>
    </row>
    <row r="128">
      <c r="A128" s="53" t="n">
        <v>2019</v>
      </c>
      <c r="B128" s="53" t="n">
        <v>127</v>
      </c>
      <c r="C128" s="71" t="inlineStr">
        <is>
          <t>Ausgaben</t>
        </is>
      </c>
      <c r="D128" t="inlineStr">
        <is>
          <t>Lizenzgebühren</t>
        </is>
      </c>
      <c r="E128" s="9" t="inlineStr">
        <is>
          <t>INVCZ2217051</t>
        </is>
      </c>
      <c r="G128" s="1" t="n">
        <v>43711</v>
      </c>
      <c r="H128" t="inlineStr">
        <is>
          <t>JetBrains s.r.o. Kavci Hory Office Park, Na hrebenech II 1718/10, Praha 4- Nusie 140 00, Ceska republika</t>
        </is>
      </c>
      <c r="K128">
        <f>(IF(AND(I128&lt;&gt;"",AND(J128="",ABS(Q128)&gt;400)),TRUE,FALSE))</f>
        <v/>
      </c>
      <c r="L128" s="214" t="n">
        <v>71</v>
      </c>
      <c r="M128" s="159" t="n">
        <v>1</v>
      </c>
      <c r="N128" t="n">
        <v>20</v>
      </c>
      <c r="O128" s="237">
        <f>L128*N128/100</f>
        <v/>
      </c>
      <c r="P128" s="237">
        <f>M128*O128</f>
        <v/>
      </c>
      <c r="Q128" s="208">
        <f>L128*M128</f>
        <v/>
      </c>
      <c r="R128" s="251">
        <f>L128+O128</f>
        <v/>
      </c>
      <c r="S128" s="251">
        <f>Q128+P128</f>
        <v/>
      </c>
      <c r="T128" s="35">
        <f>voranmeldefrist_vierteljaehrlich(G128)</f>
        <v/>
      </c>
      <c r="U128" s="27" t="n"/>
      <c r="V128" s="27" t="n"/>
      <c r="W128" s="210">
        <f>IF(K128=TRUE,Q128/I128,Q128)</f>
        <v/>
      </c>
      <c r="X128" s="237">
        <f>V128/100*S128</f>
        <v/>
      </c>
      <c r="Y128">
        <f>IF(AND(V128&gt;0,N128=V128),TRUE,FALSE)</f>
        <v/>
      </c>
      <c r="Z128" s="228">
        <f>IF(C128="Einnahmen",Q128,-Q128)</f>
        <v/>
      </c>
    </row>
    <row r="129">
      <c r="A129" s="53" t="n">
        <v>2019</v>
      </c>
      <c r="B129" s="53" t="n">
        <v>128</v>
      </c>
      <c r="C129" s="71" t="inlineStr">
        <is>
          <t>Ausgaben</t>
        </is>
      </c>
      <c r="D129" t="inlineStr">
        <is>
          <t>sonstige Betriebsausgaben</t>
        </is>
      </c>
      <c r="E129" s="61" t="inlineStr">
        <is>
          <t>BELEG FEHLT</t>
        </is>
      </c>
      <c r="G129" s="1" t="n">
        <v>43712</v>
      </c>
      <c r="H129" t="inlineStr">
        <is>
          <t>Eurospar Rennweg: Reinigungsartikel Büro Stutterheimstr.</t>
        </is>
      </c>
      <c r="K129">
        <f>(IF(AND(I129&lt;&gt;"",AND(J129="",ABS(Q129)&gt;400)),TRUE,FALSE))</f>
        <v/>
      </c>
      <c r="L129" s="214">
        <f>47.25/1.2</f>
        <v/>
      </c>
      <c r="M129" s="159" t="n">
        <v>1</v>
      </c>
      <c r="N129" t="n">
        <v>20</v>
      </c>
      <c r="O129" s="237">
        <f>L129*N129/100</f>
        <v/>
      </c>
      <c r="P129" s="237">
        <f>M129*O129</f>
        <v/>
      </c>
      <c r="Q129" s="208">
        <f>L129*M129</f>
        <v/>
      </c>
      <c r="R129" s="251">
        <f>L129+O129</f>
        <v/>
      </c>
      <c r="S129" s="251">
        <f>Q129+P129</f>
        <v/>
      </c>
      <c r="T129" s="35">
        <f>voranmeldefrist_vierteljaehrlich(G129)</f>
        <v/>
      </c>
      <c r="U129" s="27" t="n"/>
      <c r="V129" s="27" t="n"/>
      <c r="W129" s="210">
        <f>IF(K129=TRUE,Q129/I129,Q129)</f>
        <v/>
      </c>
      <c r="X129" s="237">
        <f>V129/100*S129</f>
        <v/>
      </c>
      <c r="Y129">
        <f>IF(AND(V129&gt;0,N129=V129),TRUE,FALSE)</f>
        <v/>
      </c>
      <c r="Z129" s="228">
        <f>IF(C129="Einnahmen",Q129,-Q129)</f>
        <v/>
      </c>
    </row>
    <row r="130">
      <c r="A130" s="53" t="n">
        <v>2019</v>
      </c>
      <c r="B130" s="53" t="n">
        <v>129</v>
      </c>
      <c r="C130" s="71" t="inlineStr">
        <is>
          <t>Einnahmen</t>
        </is>
      </c>
      <c r="D130" t="inlineStr">
        <is>
          <t>Waren-/Leistungserlöse</t>
        </is>
      </c>
      <c r="E130" s="9" t="inlineStr">
        <is>
          <t>12019015</t>
        </is>
      </c>
      <c r="G130" s="1" t="n">
        <v>43717</v>
      </c>
      <c r="H130" t="inlineStr">
        <is>
          <t>Franz Hauer GmbH + Co KG</t>
        </is>
      </c>
      <c r="K130">
        <f>(IF(AND(I130&lt;&gt;"",AND(J130="",ABS(Q130)&gt;400)),TRUE,FALSE))</f>
        <v/>
      </c>
      <c r="L130" s="214">
        <f>3250.08/1.2</f>
        <v/>
      </c>
      <c r="M130" s="159" t="n">
        <v>1</v>
      </c>
      <c r="N130" t="n">
        <v>20</v>
      </c>
      <c r="O130" s="237">
        <f>L130*N130/100</f>
        <v/>
      </c>
      <c r="P130" s="237">
        <f>M130*O130</f>
        <v/>
      </c>
      <c r="Q130" s="208">
        <f>L130*M130</f>
        <v/>
      </c>
      <c r="R130" s="251">
        <f>L130+O130</f>
        <v/>
      </c>
      <c r="S130" s="251">
        <f>Q130+P130</f>
        <v/>
      </c>
      <c r="T130" s="35">
        <f>voranmeldefrist_vierteljaehrlich(G130)</f>
        <v/>
      </c>
      <c r="U130" s="27" t="n"/>
      <c r="V130" s="27" t="n"/>
      <c r="W130" s="210">
        <f>IF(K130=TRUE,Q130/I130,Q130)</f>
        <v/>
      </c>
      <c r="X130" s="237">
        <f>V130/100*S130</f>
        <v/>
      </c>
      <c r="Y130">
        <f>IF(AND(V130&gt;0,N130=V130),TRUE,FALSE)</f>
        <v/>
      </c>
      <c r="Z130" s="228">
        <f>IF(C130="Einnahmen",Q130,-Q130)</f>
        <v/>
      </c>
    </row>
    <row r="131">
      <c r="A131" s="53" t="n">
        <v>2019</v>
      </c>
      <c r="B131" s="53" t="n">
        <v>130</v>
      </c>
      <c r="C131" s="71" t="inlineStr">
        <is>
          <t>Einnahmen</t>
        </is>
      </c>
      <c r="D131" t="inlineStr">
        <is>
          <t>Waren-/Leistungserlöse</t>
        </is>
      </c>
      <c r="E131" s="9" t="inlineStr">
        <is>
          <t>12019016</t>
        </is>
      </c>
      <c r="G131" s="1" t="n">
        <v>43717</v>
      </c>
      <c r="H131" t="inlineStr">
        <is>
          <t>vemap Einkaufsmanagement GmbH, Berggasse 31, 1080 Wien</t>
        </is>
      </c>
      <c r="K131">
        <f>(IF(AND(I131&lt;&gt;"",AND(J131="",ABS(Q131)&gt;400)),TRUE,FALSE))</f>
        <v/>
      </c>
      <c r="L131" s="214">
        <f>1722/1.2</f>
        <v/>
      </c>
      <c r="M131" s="159" t="n">
        <v>1</v>
      </c>
      <c r="N131" t="n">
        <v>20</v>
      </c>
      <c r="O131" s="237">
        <f>L131*N131/100</f>
        <v/>
      </c>
      <c r="P131" s="237">
        <f>M131*O131</f>
        <v/>
      </c>
      <c r="Q131" s="208">
        <f>L131*M131</f>
        <v/>
      </c>
      <c r="R131" s="251">
        <f>L131+O131</f>
        <v/>
      </c>
      <c r="S131" s="251">
        <f>Q131+P131</f>
        <v/>
      </c>
      <c r="T131" s="35">
        <f>voranmeldefrist_vierteljaehrlich(G131)</f>
        <v/>
      </c>
      <c r="U131" s="27" t="n"/>
      <c r="V131" s="27" t="n"/>
      <c r="W131" s="210">
        <f>IF(K131=TRUE,Q131/I131,Q131)</f>
        <v/>
      </c>
      <c r="X131" s="237">
        <f>V131/100*S131</f>
        <v/>
      </c>
      <c r="Y131">
        <f>IF(AND(V131&gt;0,N131=V131),TRUE,FALSE)</f>
        <v/>
      </c>
      <c r="Z131" s="228">
        <f>IF(C131="Einnahmen",Q131,-Q131)</f>
        <v/>
      </c>
    </row>
    <row r="132">
      <c r="A132" s="53" t="n">
        <v>2019</v>
      </c>
      <c r="B132" s="53" t="n">
        <v>131</v>
      </c>
      <c r="C132" s="71" t="inlineStr">
        <is>
          <t>Ausgaben</t>
        </is>
      </c>
      <c r="D132" t="inlineStr">
        <is>
          <t>sonstige Betriebsausgaben</t>
        </is>
      </c>
      <c r="E132" s="9" t="inlineStr">
        <is>
          <t>mehrere, siehe Belege</t>
        </is>
      </c>
      <c r="G132" s="1" t="n">
        <v>43717</v>
      </c>
      <c r="H132" t="inlineStr">
        <is>
          <t>Amazon EU S. à r.l., 38 avenue John F. Kennedy, L-1855 Luxembourg</t>
        </is>
      </c>
      <c r="K132">
        <f>(IF(AND(I132&lt;&gt;"",AND(J132="",ABS(Q132)&gt;400)),TRUE,FALSE))</f>
        <v/>
      </c>
      <c r="L132" s="214">
        <f>281.57/1.2</f>
        <v/>
      </c>
      <c r="M132" s="159" t="n">
        <v>1</v>
      </c>
      <c r="N132" t="n">
        <v>20</v>
      </c>
      <c r="O132" s="237">
        <f>L132*N132/100</f>
        <v/>
      </c>
      <c r="P132" s="237">
        <f>M132*O132</f>
        <v/>
      </c>
      <c r="Q132" s="208">
        <f>L132*M132</f>
        <v/>
      </c>
      <c r="R132" s="251">
        <f>L132+O132</f>
        <v/>
      </c>
      <c r="S132" s="251">
        <f>Q132+P132</f>
        <v/>
      </c>
      <c r="T132" s="35">
        <f>voranmeldefrist_vierteljaehrlich(G132)</f>
        <v/>
      </c>
      <c r="U132" s="27" t="n"/>
      <c r="V132" s="27" t="n"/>
      <c r="W132" s="210">
        <f>IF(K132=TRUE,Q132/I132,Q132)</f>
        <v/>
      </c>
      <c r="X132" s="237">
        <f>V132/100*S132</f>
        <v/>
      </c>
      <c r="Y132">
        <f>IF(AND(V132&gt;0,N132=V132),TRUE,FALSE)</f>
        <v/>
      </c>
      <c r="Z132" s="228">
        <f>IF(C132="Einnahmen",Q132,-Q132)</f>
        <v/>
      </c>
    </row>
    <row r="133">
      <c r="A133" s="53" t="n">
        <v>2019</v>
      </c>
      <c r="B133" s="53" t="n">
        <v>132</v>
      </c>
      <c r="C133" s="71" t="inlineStr">
        <is>
          <t>Ausgaben</t>
        </is>
      </c>
      <c r="D133" t="inlineStr">
        <is>
          <t>sonstige Betriebsausgaben</t>
        </is>
      </c>
      <c r="E133" s="9" t="inlineStr">
        <is>
          <t>AEU-INV-AT-2019-22168548</t>
        </is>
      </c>
      <c r="G133" s="1" t="n">
        <v>43717</v>
      </c>
      <c r="H133" t="inlineStr">
        <is>
          <t>Amazon EU S. à r.l., 38 avenue John F. Kennedy, L-1855 Luxembourg</t>
        </is>
      </c>
      <c r="J133" s="76" t="inlineStr">
        <is>
          <t>ja</t>
        </is>
      </c>
      <c r="K133">
        <f>(IF(AND(I133&lt;&gt;"",AND(J133="",ABS(Q133)&gt;400)),TRUE,FALSE))</f>
        <v/>
      </c>
      <c r="L133" s="214">
        <f>48.66</f>
        <v/>
      </c>
      <c r="M133" s="159" t="n">
        <v>1</v>
      </c>
      <c r="N133" t="n">
        <v>20</v>
      </c>
      <c r="O133" s="237">
        <f>L133*N133/100</f>
        <v/>
      </c>
      <c r="P133" s="237">
        <f>M133*O133</f>
        <v/>
      </c>
      <c r="Q133" s="208">
        <f>L133*M133</f>
        <v/>
      </c>
      <c r="R133" s="251">
        <f>L133+O133</f>
        <v/>
      </c>
      <c r="S133" s="251">
        <f>Q133+P133</f>
        <v/>
      </c>
      <c r="T133" s="35">
        <f>voranmeldefrist_vierteljaehrlich(G133)</f>
        <v/>
      </c>
      <c r="U133" s="27" t="n"/>
      <c r="V133" s="27" t="n"/>
      <c r="W133" s="210">
        <f>IF(K133=TRUE,Q133/I133,Q133)</f>
        <v/>
      </c>
      <c r="X133" s="237">
        <f>V133/100*S133</f>
        <v/>
      </c>
      <c r="Y133">
        <f>IF(AND(V133&gt;0,N133=V133),TRUE,FALSE)</f>
        <v/>
      </c>
      <c r="Z133" s="228">
        <f>IF(C133="Einnahmen",Q133,-Q133)</f>
        <v/>
      </c>
    </row>
    <row r="134">
      <c r="A134" s="53" t="n">
        <v>2019</v>
      </c>
      <c r="B134" s="53" t="n">
        <v>133</v>
      </c>
      <c r="C134" s="71" t="inlineStr">
        <is>
          <t>Ausgaben</t>
        </is>
      </c>
      <c r="D134" t="inlineStr">
        <is>
          <t>Reise- und Fahrtspesen inkl. Kilometergeld und Diäten</t>
        </is>
      </c>
      <c r="E134" s="9" t="inlineStr">
        <is>
          <t>3293000008071443</t>
        </is>
      </c>
      <c r="G134" s="1" t="n">
        <v>43717</v>
      </c>
      <c r="H134" t="inlineStr">
        <is>
          <t>car2go Österreich GmbH, Hintere Zollamtstraße 9, 1030 Wien</t>
        </is>
      </c>
      <c r="K134">
        <f>(IF(AND(I134&lt;&gt;"",AND(J134="",ABS(Q134)&gt;400)),TRUE,FALSE))</f>
        <v/>
      </c>
      <c r="L134" s="214" t="n">
        <v>6.2</v>
      </c>
      <c r="M134" s="159" t="n">
        <v>1</v>
      </c>
      <c r="N134" t="n">
        <v>20</v>
      </c>
      <c r="O134" s="237">
        <f>L134*N134/100</f>
        <v/>
      </c>
      <c r="P134" s="237">
        <f>M134*O134</f>
        <v/>
      </c>
      <c r="Q134" s="208">
        <f>L134*M134</f>
        <v/>
      </c>
      <c r="R134" s="251">
        <f>L134+O134</f>
        <v/>
      </c>
      <c r="S134" s="251">
        <f>Q134+P134</f>
        <v/>
      </c>
      <c r="T134" s="35">
        <f>voranmeldefrist_vierteljaehrlich(G134)</f>
        <v/>
      </c>
      <c r="U134" s="27" t="n"/>
      <c r="V134" s="27" t="n"/>
      <c r="W134" s="210">
        <f>IF(K134=TRUE,Q134/I134,Q134)</f>
        <v/>
      </c>
      <c r="X134" s="237">
        <f>V134/100*S134</f>
        <v/>
      </c>
      <c r="Y134">
        <f>IF(AND(V134&gt;0,N134=V134),TRUE,FALSE)</f>
        <v/>
      </c>
      <c r="Z134" s="228">
        <f>IF(C134="Einnahmen",Q134,-Q134)</f>
        <v/>
      </c>
    </row>
    <row r="135">
      <c r="A135" s="53" t="n">
        <v>2019</v>
      </c>
      <c r="B135" s="53" t="n">
        <v>134</v>
      </c>
      <c r="C135" s="71" t="inlineStr">
        <is>
          <t>Ausgaben</t>
        </is>
      </c>
      <c r="D135" t="inlineStr">
        <is>
          <t>Telefon/Internet</t>
        </is>
      </c>
      <c r="E135" s="9" t="inlineStr">
        <is>
          <t>176557664-00</t>
        </is>
      </c>
      <c r="G135" s="1" t="n">
        <v>43719</v>
      </c>
      <c r="H135" t="inlineStr">
        <is>
          <t>UPC Telekabel Wien GmbH, A1120 Wien, Postfach 47</t>
        </is>
      </c>
      <c r="K135">
        <f>(IF(AND(I135&lt;&gt;"",AND(J135="",ABS(Q135)&gt;400)),TRUE,FALSE))</f>
        <v/>
      </c>
      <c r="L135" s="214">
        <f>27.82+1.04</f>
        <v/>
      </c>
      <c r="M135" s="159">
        <f>2/3</f>
        <v/>
      </c>
      <c r="N135" t="n">
        <v>20</v>
      </c>
      <c r="O135" s="237">
        <f>L135*N135/100</f>
        <v/>
      </c>
      <c r="P135" s="237">
        <f>M135*O135</f>
        <v/>
      </c>
      <c r="Q135" s="208">
        <f>L135*M135</f>
        <v/>
      </c>
      <c r="R135" s="251">
        <f>L135+O135</f>
        <v/>
      </c>
      <c r="S135" s="251">
        <f>Q135+P135</f>
        <v/>
      </c>
      <c r="T135" s="35">
        <f>voranmeldefrist_vierteljaehrlich(G135)</f>
        <v/>
      </c>
      <c r="U135" s="27" t="n"/>
      <c r="V135" s="27" t="n"/>
      <c r="W135" s="210">
        <f>IF(K135=TRUE,Q135/J135,Q135)</f>
        <v/>
      </c>
      <c r="X135" s="237">
        <f>V135/100*S135</f>
        <v/>
      </c>
      <c r="Y135">
        <f>IF(AND(V135&gt;0,N135=V135),TRUE,FALSE)</f>
        <v/>
      </c>
      <c r="Z135" s="228">
        <f>IF(C135="Einnahmen",Q135,-Q135)</f>
        <v/>
      </c>
    </row>
    <row r="136">
      <c r="A136" s="53" t="n">
        <v>2019</v>
      </c>
      <c r="B136" s="53" t="n">
        <v>135</v>
      </c>
      <c r="C136" s="71" t="inlineStr">
        <is>
          <t>Ausgaben</t>
        </is>
      </c>
      <c r="D136" t="inlineStr">
        <is>
          <t>sonstige Betriebsausgaben</t>
        </is>
      </c>
      <c r="E136" s="9" t="inlineStr">
        <is>
          <t>R0010089958</t>
        </is>
      </c>
      <c r="G136" s="1" t="n">
        <v>43720</v>
      </c>
      <c r="H136" t="inlineStr">
        <is>
          <t>Hetzner Online GmbH</t>
        </is>
      </c>
      <c r="K136">
        <f>(IF(AND(I136&lt;&gt;"",AND(J136="",ABS(Q136)&gt;400)),TRUE,FALSE))</f>
        <v/>
      </c>
      <c r="L136" s="214" t="n">
        <v>46.92</v>
      </c>
      <c r="M136" s="159" t="n">
        <v>1</v>
      </c>
      <c r="N136" t="n">
        <v>0</v>
      </c>
      <c r="O136" s="237">
        <f>L136*N136/100</f>
        <v/>
      </c>
      <c r="P136" s="237">
        <f>M136*O136</f>
        <v/>
      </c>
      <c r="Q136" s="208">
        <f>L136*M136</f>
        <v/>
      </c>
      <c r="R136" s="251">
        <f>L136+O136</f>
        <v/>
      </c>
      <c r="S136" s="251">
        <f>Q136+P136</f>
        <v/>
      </c>
      <c r="T136" s="35">
        <f>voranmeldefrist_vierteljaehrlich(G136)</f>
        <v/>
      </c>
      <c r="U136" s="27" t="n"/>
      <c r="V136" s="27" t="n">
        <v>20</v>
      </c>
      <c r="W136" s="210">
        <f>IF(K136=TRUE,Q136/J136,Q136)</f>
        <v/>
      </c>
      <c r="X136" s="237">
        <f>V136/100*S136</f>
        <v/>
      </c>
      <c r="Y136">
        <f>IF(AND(V136&gt;0,N136=V136),TRUE,FALSE)</f>
        <v/>
      </c>
      <c r="Z136" s="228">
        <f>IF(C136="Einnahmen",Q136,-Q136)</f>
        <v/>
      </c>
    </row>
    <row r="137">
      <c r="A137" s="53" t="n">
        <v>2019</v>
      </c>
      <c r="B137" s="53" t="n">
        <v>136</v>
      </c>
      <c r="C137" s="71" t="inlineStr">
        <is>
          <t>Ausgaben</t>
        </is>
      </c>
      <c r="D137" t="inlineStr">
        <is>
          <t>Reise- und Fahrtspesen inkl. Kilometergeld und Diäten</t>
        </is>
      </c>
      <c r="E137" s="9" t="inlineStr">
        <is>
          <t>3293000008076914</t>
        </is>
      </c>
      <c r="G137" s="1" t="n">
        <v>43720</v>
      </c>
      <c r="H137" t="inlineStr">
        <is>
          <t>car2go Österreich GmbH, Hintere Zollamtstraße 9, 1030 Wien</t>
        </is>
      </c>
      <c r="K137">
        <f>(IF(AND(I137&lt;&gt;"",AND(J137="",ABS(Q137)&gt;400)),TRUE,FALSE))</f>
        <v/>
      </c>
      <c r="L137" s="214" t="n">
        <v>4.33</v>
      </c>
      <c r="M137" s="159" t="n">
        <v>1</v>
      </c>
      <c r="N137" t="n">
        <v>20</v>
      </c>
      <c r="O137" s="237">
        <f>L137*N137/100</f>
        <v/>
      </c>
      <c r="P137" s="237">
        <f>M137*O137</f>
        <v/>
      </c>
      <c r="Q137" s="208">
        <f>L137*M137</f>
        <v/>
      </c>
      <c r="R137" s="251">
        <f>L137+O137</f>
        <v/>
      </c>
      <c r="S137" s="251">
        <f>Q137+P137</f>
        <v/>
      </c>
      <c r="T137" s="35">
        <f>voranmeldefrist_vierteljaehrlich(G137)</f>
        <v/>
      </c>
      <c r="U137" s="27" t="n"/>
      <c r="V137" s="27" t="n"/>
      <c r="W137" s="210">
        <f>IF(K137=TRUE,Q137/I137,Q137)</f>
        <v/>
      </c>
      <c r="X137" s="237">
        <f>V137/100*S137</f>
        <v/>
      </c>
      <c r="Y137">
        <f>IF(AND(V137&gt;0,N137=V137),TRUE,FALSE)</f>
        <v/>
      </c>
      <c r="Z137" s="228">
        <f>IF(C137="Einnahmen",Q137,-Q137)</f>
        <v/>
      </c>
    </row>
    <row r="138">
      <c r="A138" s="53" t="n">
        <v>2019</v>
      </c>
      <c r="B138" s="53" t="n">
        <v>137</v>
      </c>
      <c r="C138" s="71" t="inlineStr">
        <is>
          <t>Ausgaben</t>
        </is>
      </c>
      <c r="D138" t="inlineStr">
        <is>
          <t>Reise- und Fahrtspesen inkl. Kilometergeld und Diäten</t>
        </is>
      </c>
      <c r="E138" s="9" t="inlineStr">
        <is>
          <t>3293000008076717</t>
        </is>
      </c>
      <c r="G138" s="1" t="n">
        <v>43718</v>
      </c>
      <c r="H138" t="inlineStr">
        <is>
          <t>car2go Österreich GmbH, Hintere Zollamtstraße 9, 1030 Wien</t>
        </is>
      </c>
      <c r="K138">
        <f>(IF(AND(I138&lt;&gt;"",AND(J138="",ABS(Q138)&gt;400)),TRUE,FALSE))</f>
        <v/>
      </c>
      <c r="L138" s="214" t="n">
        <v>2.17</v>
      </c>
      <c r="M138" s="159" t="n">
        <v>1</v>
      </c>
      <c r="N138" t="n">
        <v>20</v>
      </c>
      <c r="O138" s="237">
        <f>L138*N138/100</f>
        <v/>
      </c>
      <c r="P138" s="237">
        <f>M138*O138</f>
        <v/>
      </c>
      <c r="Q138" s="208">
        <f>L138*M138</f>
        <v/>
      </c>
      <c r="R138" s="251">
        <f>L138+O138</f>
        <v/>
      </c>
      <c r="S138" s="251">
        <f>Q138+P138</f>
        <v/>
      </c>
      <c r="T138" s="35">
        <f>voranmeldefrist_vierteljaehrlich(G138)</f>
        <v/>
      </c>
      <c r="U138" s="27" t="n"/>
      <c r="V138" s="27" t="n"/>
      <c r="W138" s="210">
        <f>IF(K138=TRUE,Q138/I138,Q138)</f>
        <v/>
      </c>
      <c r="X138" s="237">
        <f>V138/100*S138</f>
        <v/>
      </c>
      <c r="Y138">
        <f>IF(AND(V138&gt;0,N138=V138),TRUE,FALSE)</f>
        <v/>
      </c>
      <c r="Z138" s="228">
        <f>IF(C138="Einnahmen",Q138,-Q138)</f>
        <v/>
      </c>
    </row>
    <row r="139">
      <c r="A139" s="53" t="n">
        <v>2019</v>
      </c>
      <c r="B139" s="53" t="n">
        <v>138</v>
      </c>
      <c r="C139" s="71" t="inlineStr">
        <is>
          <t>Ausgaben</t>
        </is>
      </c>
      <c r="D139" t="inlineStr">
        <is>
          <t>Reise- und Fahrtspesen inkl. Kilometergeld und Diäten</t>
        </is>
      </c>
      <c r="E139" s="9" t="inlineStr">
        <is>
          <t>3293000008081882</t>
        </is>
      </c>
      <c r="G139" s="1" t="n">
        <v>43721</v>
      </c>
      <c r="H139" t="inlineStr">
        <is>
          <t>car2go Österreich GmbH, Hintere Zollamtstraße 9, 1030 Wien</t>
        </is>
      </c>
      <c r="K139">
        <f>(IF(AND(I139&lt;&gt;"",AND(J139="",ABS(Q139)&gt;400)),TRUE,FALSE))</f>
        <v/>
      </c>
      <c r="L139" s="214">
        <f>4.37</f>
        <v/>
      </c>
      <c r="M139" s="159" t="n">
        <v>1</v>
      </c>
      <c r="N139" t="n">
        <v>20</v>
      </c>
      <c r="O139" s="237">
        <f>L139*N139/100</f>
        <v/>
      </c>
      <c r="P139" s="237">
        <f>M139*O139</f>
        <v/>
      </c>
      <c r="Q139" s="208">
        <f>L139*M139</f>
        <v/>
      </c>
      <c r="R139" s="251">
        <f>L139+O139</f>
        <v/>
      </c>
      <c r="S139" s="251">
        <f>Q139+P139</f>
        <v/>
      </c>
      <c r="T139" s="35">
        <f>voranmeldefrist_vierteljaehrlich(G139)</f>
        <v/>
      </c>
      <c r="U139" s="27" t="n"/>
      <c r="V139" s="27" t="n"/>
      <c r="W139" s="210">
        <f>IF(K139=TRUE,Q139/I139,Q139)</f>
        <v/>
      </c>
      <c r="X139" s="237">
        <f>V139/100*S139</f>
        <v/>
      </c>
      <c r="Y139">
        <f>IF(AND(V139&gt;0,N139=V139),TRUE,FALSE)</f>
        <v/>
      </c>
      <c r="Z139" s="228">
        <f>IF(C139="Einnahmen",Q139,-Q139)</f>
        <v/>
      </c>
    </row>
    <row r="140">
      <c r="A140" s="53" t="n">
        <v>2019</v>
      </c>
      <c r="B140" s="53" t="n">
        <v>139</v>
      </c>
      <c r="C140" s="71" t="inlineStr">
        <is>
          <t>Ausgaben</t>
        </is>
      </c>
      <c r="D140" t="inlineStr">
        <is>
          <t>sonstige Betriebsausgaben</t>
        </is>
      </c>
      <c r="E140" s="9" t="inlineStr">
        <is>
          <t>66860658_2</t>
        </is>
      </c>
      <c r="G140" s="1" t="n">
        <v>43724</v>
      </c>
      <c r="H140" t="inlineStr">
        <is>
          <t>MS E-COMMERCE GMBH, SCS-Bürocenter B2, 2334 Vösendorf, FN332512p</t>
        </is>
      </c>
      <c r="K140">
        <f>(IF(AND(I140&lt;&gt;"",AND(J140="",ABS(Q140)&gt;400)),TRUE,FALSE))</f>
        <v/>
      </c>
      <c r="L140" s="214">
        <f>184.99/1.2</f>
        <v/>
      </c>
      <c r="M140" s="159" t="n">
        <v>1</v>
      </c>
      <c r="N140" t="n">
        <v>20</v>
      </c>
      <c r="O140" s="237">
        <f>L140*N140/100</f>
        <v/>
      </c>
      <c r="P140" s="237">
        <f>M140*O140</f>
        <v/>
      </c>
      <c r="Q140" s="208">
        <f>L140*M140</f>
        <v/>
      </c>
      <c r="R140" s="251">
        <f>L140+O140</f>
        <v/>
      </c>
      <c r="S140" s="251">
        <f>Q140+P140</f>
        <v/>
      </c>
      <c r="T140" s="35">
        <f>voranmeldefrist_vierteljaehrlich(G140)</f>
        <v/>
      </c>
      <c r="U140" s="27" t="n"/>
      <c r="V140" s="27" t="n"/>
      <c r="W140" s="210">
        <f>IF(K140=TRUE,Q140/I140,Q140)</f>
        <v/>
      </c>
      <c r="X140" s="237">
        <f>V140/100*S140</f>
        <v/>
      </c>
      <c r="Y140">
        <f>IF(AND(V140&gt;0,N140=V140),TRUE,FALSE)</f>
        <v/>
      </c>
      <c r="Z140" s="228">
        <f>IF(C140="Einnahmen",Q140,-Q140)</f>
        <v/>
      </c>
    </row>
    <row r="141">
      <c r="A141" s="53" t="n">
        <v>2019</v>
      </c>
      <c r="B141" s="53" t="n">
        <v>140</v>
      </c>
      <c r="C141" s="71" t="inlineStr">
        <is>
          <t>Ausgaben</t>
        </is>
      </c>
      <c r="D141" t="inlineStr">
        <is>
          <t>sonstige Betriebsausgaben</t>
        </is>
      </c>
      <c r="E141" s="9" t="inlineStr">
        <is>
          <t>mehrere, siehe Belege</t>
        </is>
      </c>
      <c r="G141" s="1" t="n">
        <v>43721</v>
      </c>
      <c r="H141" t="inlineStr">
        <is>
          <t>Amazon EU S. à r.l., 38 avenue John F. Kennedy, L-1855 Luxembourg</t>
        </is>
      </c>
      <c r="K141">
        <f>(IF(AND(I141&lt;&gt;"",AND(J141="",ABS(Q141)&gt;400)),TRUE,FALSE))</f>
        <v/>
      </c>
      <c r="L141" s="214">
        <f>31.79</f>
        <v/>
      </c>
      <c r="M141" s="159" t="n">
        <v>1</v>
      </c>
      <c r="N141" t="n">
        <v>20</v>
      </c>
      <c r="O141" s="237">
        <f>L141*N141/100</f>
        <v/>
      </c>
      <c r="P141" s="237">
        <f>M141*O141</f>
        <v/>
      </c>
      <c r="Q141" s="208">
        <f>L141*M141</f>
        <v/>
      </c>
      <c r="R141" s="251">
        <f>L141+O141</f>
        <v/>
      </c>
      <c r="S141" s="251">
        <f>Q141+P141</f>
        <v/>
      </c>
      <c r="T141" s="35">
        <f>voranmeldefrist_vierteljaehrlich(G141)</f>
        <v/>
      </c>
      <c r="U141" s="27" t="n"/>
      <c r="V141" s="27" t="n"/>
      <c r="W141" s="210">
        <f>IF(K141=TRUE,Q141/I141,Q141)</f>
        <v/>
      </c>
      <c r="X141" s="237">
        <f>V141/100*S141</f>
        <v/>
      </c>
      <c r="Y141">
        <f>IF(AND(V141&gt;0,N141=V141),TRUE,FALSE)</f>
        <v/>
      </c>
      <c r="Z141" s="228">
        <f>IF(C141="Einnahmen",Q141,-Q141)</f>
        <v/>
      </c>
    </row>
    <row r="142">
      <c r="A142" s="53" t="n">
        <v>2019</v>
      </c>
      <c r="B142" s="53" t="n">
        <v>141</v>
      </c>
      <c r="C142" s="71" t="inlineStr">
        <is>
          <t>Ausgaben</t>
        </is>
      </c>
      <c r="D142" t="inlineStr">
        <is>
          <t>sonstige Betriebsausgaben</t>
        </is>
      </c>
      <c r="E142" s="9" t="inlineStr">
        <is>
          <t>siehe 140</t>
        </is>
      </c>
      <c r="G142" s="1" t="n">
        <v>43726</v>
      </c>
      <c r="H142" t="inlineStr">
        <is>
          <t>Amazon EU S. à r.l., 38 avenue John F. Kennedy, L-1855 Luxembourg</t>
        </is>
      </c>
      <c r="K142">
        <f>(IF(AND(I142&lt;&gt;"",AND(J142="",ABS(Q142)&gt;400)),TRUE,FALSE))</f>
        <v/>
      </c>
      <c r="L142" s="214">
        <f>-31.79</f>
        <v/>
      </c>
      <c r="M142" s="159" t="n">
        <v>1</v>
      </c>
      <c r="N142" t="n">
        <v>20</v>
      </c>
      <c r="O142" s="237">
        <f>L142*N142/100</f>
        <v/>
      </c>
      <c r="P142" s="237">
        <f>M142*O142</f>
        <v/>
      </c>
      <c r="Q142" s="208">
        <f>L142*M142</f>
        <v/>
      </c>
      <c r="R142" s="251">
        <f>L142+O142</f>
        <v/>
      </c>
      <c r="S142" s="251">
        <f>Q142+P142</f>
        <v/>
      </c>
      <c r="T142" s="35">
        <f>voranmeldefrist_vierteljaehrlich(G142)</f>
        <v/>
      </c>
      <c r="U142" s="27" t="n"/>
      <c r="V142" s="27" t="n"/>
      <c r="W142" s="210">
        <f>IF(K142=TRUE,Q142/I142,Q142)</f>
        <v/>
      </c>
      <c r="X142" s="237">
        <f>V142/100*S142</f>
        <v/>
      </c>
      <c r="Y142">
        <f>IF(AND(V142&gt;0,N142=V142),TRUE,FALSE)</f>
        <v/>
      </c>
      <c r="Z142" s="228">
        <f>IF(C142="Einnahmen",Q142,-Q142)</f>
        <v/>
      </c>
    </row>
    <row r="143">
      <c r="A143" s="53" t="n">
        <v>2019</v>
      </c>
      <c r="B143" s="53" t="n">
        <v>142</v>
      </c>
      <c r="C143" s="71" t="inlineStr">
        <is>
          <t>Ausgaben</t>
        </is>
      </c>
      <c r="D143" t="inlineStr">
        <is>
          <t>sonstige Betriebsausgaben</t>
        </is>
      </c>
      <c r="E143" s="9" t="inlineStr">
        <is>
          <t>13388930</t>
        </is>
      </c>
      <c r="G143" s="1" t="n">
        <v>43724</v>
      </c>
      <c r="H143" t="inlineStr">
        <is>
          <t>Primus Office Products Handelsgesmbh,&amp; Co. KG, Margaretengürtel 44, 1050 Wien</t>
        </is>
      </c>
      <c r="K143">
        <f>(IF(AND(I143&lt;&gt;"",AND(J143="",ABS(Q143)&gt;400)),TRUE,FALSE))</f>
        <v/>
      </c>
      <c r="L143" s="214" t="n">
        <v>408.33</v>
      </c>
      <c r="M143" s="159" t="n">
        <v>1</v>
      </c>
      <c r="N143" t="n">
        <v>20</v>
      </c>
      <c r="O143" s="237">
        <f>L143*N143/100</f>
        <v/>
      </c>
      <c r="P143" s="237">
        <f>M143*O143</f>
        <v/>
      </c>
      <c r="Q143" s="208">
        <f>L143*M143</f>
        <v/>
      </c>
      <c r="R143" s="251">
        <f>L143+O143</f>
        <v/>
      </c>
      <c r="S143" s="251">
        <f>Q143+P143</f>
        <v/>
      </c>
      <c r="T143" s="35">
        <f>voranmeldefrist_vierteljaehrlich(G143)</f>
        <v/>
      </c>
      <c r="U143" s="27" t="n"/>
      <c r="V143" s="27" t="n"/>
      <c r="W143" s="210">
        <f>IF(K143=TRUE,Q143/I143,Q143)</f>
        <v/>
      </c>
      <c r="X143" s="237">
        <f>V143/100*S143</f>
        <v/>
      </c>
      <c r="Y143">
        <f>IF(AND(V143&gt;0,N143=V143),TRUE,FALSE)</f>
        <v/>
      </c>
      <c r="Z143" s="228">
        <f>IF(C143="Einnahmen",Q143,-Q143)</f>
        <v/>
      </c>
    </row>
    <row r="144">
      <c r="A144" s="53" t="n">
        <v>2019</v>
      </c>
      <c r="B144" s="53" t="n">
        <v>143</v>
      </c>
      <c r="C144" s="71" t="inlineStr">
        <is>
          <t>Ausgaben</t>
        </is>
      </c>
      <c r="D144" t="inlineStr">
        <is>
          <t>sonstige Betriebsausgaben</t>
        </is>
      </c>
      <c r="E144" s="9" t="inlineStr">
        <is>
          <t>14005106841/40/2019</t>
        </is>
      </c>
      <c r="G144" s="1" t="n">
        <v>43724</v>
      </c>
      <c r="H144" t="inlineStr">
        <is>
          <t>Montana Energie Handel AT GmbH</t>
        </is>
      </c>
      <c r="K144">
        <f>(IF(AND(I144&lt;&gt;"",AND(J144="",ABS(Q144)&gt;400)),TRUE,FALSE))</f>
        <v/>
      </c>
      <c r="L144" s="214" t="n">
        <v>12</v>
      </c>
      <c r="M144" s="159">
        <f>Arbeitszimmer!$B$3</f>
        <v/>
      </c>
      <c r="N144" t="n">
        <v>20</v>
      </c>
      <c r="O144" s="237">
        <f>L144*N144/100</f>
        <v/>
      </c>
      <c r="P144" s="237">
        <f>M144*O144</f>
        <v/>
      </c>
      <c r="Q144" s="208">
        <f>L144*M144</f>
        <v/>
      </c>
      <c r="R144" s="251">
        <f>L144+O144</f>
        <v/>
      </c>
      <c r="S144" s="251">
        <f>Q144+P144</f>
        <v/>
      </c>
      <c r="T144" s="35">
        <f>voranmeldefrist_vierteljaehrlich(G144)</f>
        <v/>
      </c>
      <c r="U144" s="27" t="n"/>
      <c r="V144" s="27" t="n"/>
      <c r="W144" s="210">
        <f>IF(K144=TRUE,Q144/I144,Q144)</f>
        <v/>
      </c>
      <c r="X144" s="237">
        <f>V144/100*S144</f>
        <v/>
      </c>
      <c r="Y144">
        <f>IF(AND(V144&gt;0,N144=V144),TRUE,FALSE)</f>
        <v/>
      </c>
      <c r="Z144" s="228">
        <f>IF(C144="Einnahmen",Q144,-Q144)</f>
        <v/>
      </c>
    </row>
    <row r="145">
      <c r="A145" s="53" t="n">
        <v>2019</v>
      </c>
      <c r="B145" s="53" t="n">
        <v>144</v>
      </c>
      <c r="C145" s="71" t="inlineStr">
        <is>
          <t>Ausgaben</t>
        </is>
      </c>
      <c r="D145" t="inlineStr">
        <is>
          <t>sonstige Betriebsausgaben</t>
        </is>
      </c>
      <c r="E145" s="9" t="inlineStr">
        <is>
          <t>31001801733/10/2019</t>
        </is>
      </c>
      <c r="G145" s="1" t="n">
        <v>43703</v>
      </c>
      <c r="H145" t="inlineStr">
        <is>
          <t>Verbund AG, Postfach 8400, 1011 Wien, Österreich</t>
        </is>
      </c>
      <c r="K145">
        <f>(IF(AND(I145&lt;&gt;"",AND(J145="",ABS(Q145)&gt;400)),TRUE,FALSE))</f>
        <v/>
      </c>
      <c r="L145" s="214">
        <f>29.46/1.2</f>
        <v/>
      </c>
      <c r="M145" s="159">
        <f>Arbeitszimmer!$B$3</f>
        <v/>
      </c>
      <c r="N145" t="n">
        <v>20</v>
      </c>
      <c r="O145" s="237">
        <f>L145*N145/100</f>
        <v/>
      </c>
      <c r="P145" s="237">
        <f>M145*O145</f>
        <v/>
      </c>
      <c r="Q145" s="208">
        <f>L145*M145</f>
        <v/>
      </c>
      <c r="R145" s="251">
        <f>L145+O145</f>
        <v/>
      </c>
      <c r="S145" s="251">
        <f>Q145+P145</f>
        <v/>
      </c>
      <c r="T145" s="35">
        <f>voranmeldefrist_vierteljaehrlich(G145)</f>
        <v/>
      </c>
      <c r="U145" s="27" t="n"/>
      <c r="V145" s="27" t="n"/>
      <c r="W145" s="210">
        <f>IF(K145=TRUE,Q145/I145,Q145)</f>
        <v/>
      </c>
      <c r="X145" s="237">
        <f>V145/100*S145</f>
        <v/>
      </c>
      <c r="Y145">
        <f>IF(AND(V145&gt;0,N145=V145),TRUE,FALSE)</f>
        <v/>
      </c>
      <c r="Z145" s="228">
        <f>IF(C145="Einnahmen",Q145,-Q145)</f>
        <v/>
      </c>
    </row>
    <row r="146">
      <c r="A146" s="53" t="n">
        <v>2019</v>
      </c>
      <c r="B146" s="53" t="n">
        <v>145</v>
      </c>
      <c r="C146" s="71" t="inlineStr">
        <is>
          <t>Ausgaben</t>
        </is>
      </c>
      <c r="D146" t="inlineStr">
        <is>
          <t>sonstige Betriebsausgaben</t>
        </is>
      </c>
      <c r="E146" s="9" t="inlineStr">
        <is>
          <t>AEU-INV-AT-2019-23143185</t>
        </is>
      </c>
      <c r="G146" s="1" t="n">
        <v>43727</v>
      </c>
      <c r="H146" t="inlineStr">
        <is>
          <t>Amazon EU S. à r.l., 38 avenue John F. Kennedy, L-1855 Luxembourg</t>
        </is>
      </c>
      <c r="K146">
        <f>(IF(AND(I146&lt;&gt;"",AND(J146="",ABS(Q146)&gt;400)),TRUE,FALSE))</f>
        <v/>
      </c>
      <c r="L146" s="214">
        <f>110.92/1.2</f>
        <v/>
      </c>
      <c r="M146" s="159" t="n">
        <v>1</v>
      </c>
      <c r="N146" t="n">
        <v>20</v>
      </c>
      <c r="O146" s="237">
        <f>L146*N146/100</f>
        <v/>
      </c>
      <c r="P146" s="237">
        <f>M146*O146</f>
        <v/>
      </c>
      <c r="Q146" s="208">
        <f>L146*M146</f>
        <v/>
      </c>
      <c r="R146" s="251">
        <f>L146+O146</f>
        <v/>
      </c>
      <c r="S146" s="251">
        <f>Q146+P146</f>
        <v/>
      </c>
      <c r="T146" s="35">
        <f>voranmeldefrist_vierteljaehrlich(G146)</f>
        <v/>
      </c>
      <c r="U146" s="27" t="n"/>
      <c r="V146" s="27" t="n"/>
      <c r="W146" s="210">
        <f>IF(K146=TRUE,Q146/I146,Q146)</f>
        <v/>
      </c>
      <c r="X146" s="237">
        <f>V146/100*S146</f>
        <v/>
      </c>
      <c r="Y146">
        <f>IF(AND(V146&gt;0,N146=V146),TRUE,FALSE)</f>
        <v/>
      </c>
      <c r="Z146" s="228">
        <f>IF(C146="Einnahmen",Q146,-Q146)</f>
        <v/>
      </c>
    </row>
    <row r="147">
      <c r="A147" s="53" t="n">
        <v>2019</v>
      </c>
      <c r="B147" s="53" t="n">
        <v>146</v>
      </c>
      <c r="C147" s="71" t="inlineStr">
        <is>
          <t>Ausgaben</t>
        </is>
      </c>
      <c r="D147" t="inlineStr">
        <is>
          <t>Reise- und Fahrtspesen inkl. Kilometergeld und Diäten</t>
        </is>
      </c>
      <c r="E147" s="9" t="inlineStr">
        <is>
          <t>3293000008106236</t>
        </is>
      </c>
      <c r="G147" s="1" t="n">
        <v>43727</v>
      </c>
      <c r="H147" t="inlineStr">
        <is>
          <t>car2go Österreich GmbH, Hintere Zollamtstraße 9, 1030 Wien</t>
        </is>
      </c>
      <c r="K147">
        <f>(IF(AND(I147&lt;&gt;"",AND(J147="",ABS(Q147)&gt;400)),TRUE,FALSE))</f>
        <v/>
      </c>
      <c r="L147" s="214" t="n">
        <v>2.04</v>
      </c>
      <c r="M147" s="159" t="n">
        <v>1</v>
      </c>
      <c r="N147" t="n">
        <v>20</v>
      </c>
      <c r="O147" s="237">
        <f>L147*N147/100</f>
        <v/>
      </c>
      <c r="P147" s="237">
        <f>M147*O147</f>
        <v/>
      </c>
      <c r="Q147" s="208">
        <f>L147*M147</f>
        <v/>
      </c>
      <c r="R147" s="251">
        <f>L147+O147</f>
        <v/>
      </c>
      <c r="S147" s="251">
        <f>Q147+P147</f>
        <v/>
      </c>
      <c r="T147" s="35">
        <f>voranmeldefrist_vierteljaehrlich(G147)</f>
        <v/>
      </c>
      <c r="U147" s="27" t="n"/>
      <c r="V147" s="27" t="n"/>
      <c r="W147" s="210">
        <f>IF(K147=TRUE,Q147/I147,Q147)</f>
        <v/>
      </c>
      <c r="X147" s="237">
        <f>V147/100*S147</f>
        <v/>
      </c>
      <c r="Y147">
        <f>IF(AND(V147&gt;0,N147=V147),TRUE,FALSE)</f>
        <v/>
      </c>
      <c r="Z147" s="228">
        <f>IF(C147="Einnahmen",Q147,-Q147)</f>
        <v/>
      </c>
    </row>
    <row r="148">
      <c r="A148" s="53" t="n">
        <v>2019</v>
      </c>
      <c r="B148" s="53" t="n">
        <v>147</v>
      </c>
      <c r="C148" s="71" t="inlineStr">
        <is>
          <t>Ausgaben</t>
        </is>
      </c>
      <c r="D148" t="inlineStr">
        <is>
          <t>sonstige Betriebsausgaben</t>
        </is>
      </c>
      <c r="E148" s="9" t="inlineStr">
        <is>
          <t>AEU-INV-PL-2019-3616393</t>
        </is>
      </c>
      <c r="G148" s="1" t="n">
        <v>43727</v>
      </c>
      <c r="H148" t="inlineStr">
        <is>
          <t>Amazon EU S. à r.l., 38 avenue John F. Kennedy, L-1855 Luxembourg</t>
        </is>
      </c>
      <c r="K148">
        <f>(IF(AND(I148&lt;&gt;"",AND(J148="",ABS(Q148)&gt;400)),TRUE,FALSE))</f>
        <v/>
      </c>
      <c r="L148" s="214" t="n">
        <v>29.12</v>
      </c>
      <c r="M148" s="159" t="n">
        <v>1</v>
      </c>
      <c r="N148" t="n">
        <v>0</v>
      </c>
      <c r="O148" s="237">
        <f>L148*N148/100</f>
        <v/>
      </c>
      <c r="P148" s="237">
        <f>M148*O148</f>
        <v/>
      </c>
      <c r="Q148" s="208">
        <f>L148*M148</f>
        <v/>
      </c>
      <c r="R148" s="251">
        <f>L148+O148</f>
        <v/>
      </c>
      <c r="S148" s="251">
        <f>Q148+P148</f>
        <v/>
      </c>
      <c r="T148" s="35">
        <f>voranmeldefrist_vierteljaehrlich(G148)</f>
        <v/>
      </c>
      <c r="U148" s="27" t="n"/>
      <c r="V148" s="27" t="n">
        <v>20</v>
      </c>
      <c r="W148" s="210">
        <f>IF(K148=TRUE,Q148/I148,Q148)</f>
        <v/>
      </c>
      <c r="X148" s="237">
        <f>V148/100*S148</f>
        <v/>
      </c>
      <c r="Y148">
        <f>IF(AND(V148&gt;0,N148=V148),TRUE,FALSE)</f>
        <v/>
      </c>
      <c r="Z148" s="228">
        <f>IF(C148="Einnahmen",Q148,-Q148)</f>
        <v/>
      </c>
    </row>
    <row r="149">
      <c r="A149" s="53" t="n">
        <v>2019</v>
      </c>
      <c r="B149" s="53" t="n">
        <v>148</v>
      </c>
      <c r="C149" s="71" t="inlineStr">
        <is>
          <t>Ausgaben</t>
        </is>
      </c>
      <c r="D149" t="inlineStr">
        <is>
          <t>sonstige Betriebsausgaben</t>
        </is>
      </c>
      <c r="E149" s="9" t="inlineStr">
        <is>
          <t>AEU-INV-IT-2019-36672</t>
        </is>
      </c>
      <c r="G149" s="1" t="n">
        <v>43728</v>
      </c>
      <c r="H149" t="inlineStr">
        <is>
          <t>Amazon EU S. à r.l., 38 avenue John F. Kennedy, L-1855 Luxembourg</t>
        </is>
      </c>
      <c r="K149">
        <f>(IF(AND(I149&lt;&gt;"",AND(J149="",ABS(Q149)&gt;400)),TRUE,FALSE))</f>
        <v/>
      </c>
      <c r="L149" s="214" t="n">
        <v>212.98</v>
      </c>
      <c r="M149" s="159" t="n">
        <v>1</v>
      </c>
      <c r="N149" t="n">
        <v>0</v>
      </c>
      <c r="O149" s="237">
        <f>L149*N149/100</f>
        <v/>
      </c>
      <c r="P149" s="237">
        <f>M149*O149</f>
        <v/>
      </c>
      <c r="Q149" s="208">
        <f>L149*M149</f>
        <v/>
      </c>
      <c r="R149" s="251">
        <f>L149+O149</f>
        <v/>
      </c>
      <c r="S149" s="251">
        <f>Q149+P149</f>
        <v/>
      </c>
      <c r="T149" s="35">
        <f>voranmeldefrist_vierteljaehrlich(G149)</f>
        <v/>
      </c>
      <c r="U149" s="27" t="n"/>
      <c r="V149" s="27" t="n">
        <v>20</v>
      </c>
      <c r="W149" s="210">
        <f>IF(K149=TRUE,Q149/I149,Q149)</f>
        <v/>
      </c>
      <c r="X149" s="237">
        <f>V149/100*S149</f>
        <v/>
      </c>
      <c r="Y149">
        <f>IF(AND(V149&gt;0,N149=V149),TRUE,FALSE)</f>
        <v/>
      </c>
      <c r="Z149" s="228">
        <f>IF(C149="Einnahmen",Q149,-Q149)</f>
        <v/>
      </c>
    </row>
    <row r="150">
      <c r="A150" s="53" t="n">
        <v>2019</v>
      </c>
      <c r="B150" s="53" t="n">
        <v>149</v>
      </c>
      <c r="C150" s="71" t="inlineStr">
        <is>
          <t>Ausgaben</t>
        </is>
      </c>
      <c r="D150" t="inlineStr">
        <is>
          <t>sonstige Betriebsausgaben</t>
        </is>
      </c>
      <c r="E150" s="9" t="inlineStr">
        <is>
          <t>E050098RU4</t>
        </is>
      </c>
      <c r="G150" s="1" t="n">
        <v>43731</v>
      </c>
      <c r="H150" t="inlineStr">
        <is>
          <t>Microsoft Ireland Operations Ltd. One Microsoft Place, South County, Business Park, Leopardstown, Dublin 18, D18 P521, Ireland</t>
        </is>
      </c>
      <c r="J150" s="76" t="inlineStr">
        <is>
          <t>ja</t>
        </is>
      </c>
      <c r="K150">
        <f>(IF(AND(I150&lt;&gt;"",AND(J150="",ABS(Q150)&gt;400)),TRUE,FALSE))</f>
        <v/>
      </c>
      <c r="L150" s="214">
        <f>-9.28/1.2</f>
        <v/>
      </c>
      <c r="M150" s="159" t="n">
        <v>1</v>
      </c>
      <c r="N150" t="n">
        <v>20</v>
      </c>
      <c r="O150" s="237">
        <f>L150*N150/100</f>
        <v/>
      </c>
      <c r="P150" s="237">
        <f>M150*O150</f>
        <v/>
      </c>
      <c r="Q150" s="208">
        <f>L150*M150</f>
        <v/>
      </c>
      <c r="R150" s="251">
        <f>L150+O150</f>
        <v/>
      </c>
      <c r="S150" s="251">
        <f>Q150+P150</f>
        <v/>
      </c>
      <c r="T150" s="35">
        <f>voranmeldefrist_vierteljaehrlich(G150)</f>
        <v/>
      </c>
      <c r="U150" s="27" t="n"/>
      <c r="V150" s="27" t="n"/>
      <c r="W150" s="210">
        <f>IF(K150=TRUE,Q150/I150,Q150)</f>
        <v/>
      </c>
      <c r="X150" s="237">
        <f>V150/100*S150</f>
        <v/>
      </c>
      <c r="Y150">
        <f>IF(AND(V150&gt;0,N150=V150),TRUE,FALSE)</f>
        <v/>
      </c>
      <c r="Z150" s="228">
        <f>IF(C150="Einnahmen",Q150,-Q150)</f>
        <v/>
      </c>
    </row>
    <row r="151">
      <c r="A151" s="53" t="n">
        <v>2019</v>
      </c>
      <c r="B151" s="53" t="n">
        <v>150</v>
      </c>
      <c r="C151" s="71" t="inlineStr">
        <is>
          <t>Ausgaben</t>
        </is>
      </c>
      <c r="D151" t="inlineStr">
        <is>
          <t>Reise- und Fahrtspesen inkl. Kilometergeld und Diäten</t>
        </is>
      </c>
      <c r="E151" s="9" t="inlineStr">
        <is>
          <t>3293000008118361</t>
        </is>
      </c>
      <c r="G151" s="1" t="n">
        <v>43731</v>
      </c>
      <c r="H151" t="inlineStr">
        <is>
          <t>car2go Österreich GmbH, Hintere Zollamtstraße 9, 1030 Wien</t>
        </is>
      </c>
      <c r="K151">
        <f>(IF(AND(I151&lt;&gt;"",AND(J151="",ABS(Q151)&gt;400)),TRUE,FALSE))</f>
        <v/>
      </c>
      <c r="L151" s="214" t="n">
        <v>6.46</v>
      </c>
      <c r="M151" s="159" t="n">
        <v>1</v>
      </c>
      <c r="N151" t="n">
        <v>20</v>
      </c>
      <c r="O151" s="237">
        <f>L151*N151/100</f>
        <v/>
      </c>
      <c r="P151" s="237">
        <f>M151*O151</f>
        <v/>
      </c>
      <c r="Q151" s="208">
        <f>L151*M151</f>
        <v/>
      </c>
      <c r="R151" s="251">
        <f>L151+O151</f>
        <v/>
      </c>
      <c r="S151" s="251">
        <f>Q151+P151</f>
        <v/>
      </c>
      <c r="T151" s="35">
        <f>voranmeldefrist_vierteljaehrlich(G151)</f>
        <v/>
      </c>
      <c r="U151" s="27" t="n"/>
      <c r="V151" s="27" t="n"/>
      <c r="W151" s="210">
        <f>IF(K151=TRUE,Q151/I151,Q151)</f>
        <v/>
      </c>
      <c r="X151" s="237">
        <f>V151/100*S151</f>
        <v/>
      </c>
      <c r="Y151">
        <f>IF(AND(V151&gt;0,N151=V151),TRUE,FALSE)</f>
        <v/>
      </c>
      <c r="Z151" s="228">
        <f>IF(C151="Einnahmen",Q151,-Q151)</f>
        <v/>
      </c>
    </row>
    <row r="152">
      <c r="A152" s="53" t="n">
        <v>2019</v>
      </c>
      <c r="B152" s="53" t="n">
        <v>151</v>
      </c>
      <c r="C152" s="71" t="inlineStr">
        <is>
          <t>Ausgaben</t>
        </is>
      </c>
      <c r="D152" t="inlineStr">
        <is>
          <t>Porto/Gebühren</t>
        </is>
      </c>
      <c r="E152" s="9" t="inlineStr">
        <is>
          <t>11540490945965</t>
        </is>
      </c>
      <c r="G152" s="1" t="n">
        <v>43731</v>
      </c>
      <c r="H152" t="inlineStr">
        <is>
          <t>PSK 1154 (Rücksendung Drei Paket)</t>
        </is>
      </c>
      <c r="K152">
        <f>(IF(AND(I152&lt;&gt;"",AND(J152="",ABS(Q152)&gt;400)),TRUE,FALSE))</f>
        <v/>
      </c>
      <c r="L152" s="214" t="n">
        <v>4.81</v>
      </c>
      <c r="M152" s="159" t="n">
        <v>1</v>
      </c>
      <c r="N152" t="n">
        <v>0</v>
      </c>
      <c r="O152" s="237">
        <f>L152*N152/100</f>
        <v/>
      </c>
      <c r="P152" s="237">
        <f>M152*O152</f>
        <v/>
      </c>
      <c r="Q152" s="208">
        <f>L152*M152</f>
        <v/>
      </c>
      <c r="R152" s="251">
        <f>L152+O152</f>
        <v/>
      </c>
      <c r="S152" s="251">
        <f>Q152+P152</f>
        <v/>
      </c>
      <c r="T152" s="35">
        <f>voranmeldefrist_vierteljaehrlich(G152)</f>
        <v/>
      </c>
      <c r="U152" s="27" t="n"/>
      <c r="V152" s="27" t="n"/>
      <c r="W152" s="210">
        <f>IF(K152=TRUE,Q152/I152,Q152)</f>
        <v/>
      </c>
      <c r="X152" s="237">
        <f>V152/100*S152</f>
        <v/>
      </c>
      <c r="Y152">
        <f>IF(AND(V152&gt;0,N152=V152),TRUE,FALSE)</f>
        <v/>
      </c>
      <c r="Z152" s="228">
        <f>IF(C152="Einnahmen",Q152,-Q152)</f>
        <v/>
      </c>
    </row>
    <row r="153">
      <c r="A153" s="53" t="n">
        <v>2019</v>
      </c>
      <c r="B153" s="53" t="n">
        <v>152</v>
      </c>
      <c r="C153" s="71" t="inlineStr">
        <is>
          <t>Ausgaben</t>
        </is>
      </c>
      <c r="D153" t="inlineStr">
        <is>
          <t>sonstige Betriebsausgaben</t>
        </is>
      </c>
      <c r="E153" s="9" t="inlineStr">
        <is>
          <t>2019250</t>
        </is>
      </c>
      <c r="G153" s="1" t="n">
        <v>43731</v>
      </c>
      <c r="H153" t="inlineStr">
        <is>
          <t>CP International Logistik GmbH,  Zweigniederlassung Wien Wolfgang Pauligasse 5, 1140 Wien (Teil 1/2)</t>
        </is>
      </c>
      <c r="K153">
        <f>(IF(AND(I153&lt;&gt;"",AND(J153="",ABS(Q153)&gt;400)),TRUE,FALSE))</f>
        <v/>
      </c>
      <c r="L153" s="214">
        <f>1140/1.2/2</f>
        <v/>
      </c>
      <c r="M153" s="159" t="n">
        <v>1</v>
      </c>
      <c r="N153" t="n">
        <v>20</v>
      </c>
      <c r="O153" s="237">
        <f>L153*N153/100</f>
        <v/>
      </c>
      <c r="P153" s="237">
        <f>M153*O153</f>
        <v/>
      </c>
      <c r="Q153" s="208">
        <f>L153*M153</f>
        <v/>
      </c>
      <c r="R153" s="251">
        <f>L153+O153</f>
        <v/>
      </c>
      <c r="S153" s="251">
        <f>Q153+P153</f>
        <v/>
      </c>
      <c r="T153" s="35">
        <f>voranmeldefrist_vierteljaehrlich(G153)</f>
        <v/>
      </c>
      <c r="U153" s="27" t="n"/>
      <c r="V153" s="27" t="n"/>
      <c r="W153" s="210">
        <f>IF(K153=TRUE,Q153/I153,Q153)</f>
        <v/>
      </c>
      <c r="X153" s="237">
        <f>V153/100*S153</f>
        <v/>
      </c>
      <c r="Y153">
        <f>IF(AND(V153&gt;0,N153=V153),TRUE,FALSE)</f>
        <v/>
      </c>
      <c r="Z153" s="228">
        <f>IF(C153="Einnahmen",Q153,-Q153)</f>
        <v/>
      </c>
    </row>
    <row r="154">
      <c r="A154" s="53" t="n">
        <v>2019</v>
      </c>
      <c r="B154" s="53" t="n">
        <v>153</v>
      </c>
      <c r="C154" s="71" t="inlineStr">
        <is>
          <t>Ausgaben</t>
        </is>
      </c>
      <c r="D154" t="inlineStr">
        <is>
          <t>Miet- und Pachtaufwand, Leasing</t>
        </is>
      </c>
      <c r="E154" s="9" t="inlineStr">
        <is>
          <t>2019/8058/14</t>
        </is>
      </c>
      <c r="G154" s="1" t="n">
        <v>43733</v>
      </c>
      <c r="H154" t="inlineStr">
        <is>
          <t>Premium Laudongasse 58 GmbH &amp; Co KG</t>
        </is>
      </c>
      <c r="K154">
        <f>(IF(AND(I154&lt;&gt;"",AND(J154="",ABS(Q154)&gt;400)),TRUE,FALSE))</f>
        <v/>
      </c>
      <c r="L154" s="214" t="n">
        <v>763.4400000000001</v>
      </c>
      <c r="M154" s="159">
        <f>Arbeitszimmer!$B$3</f>
        <v/>
      </c>
      <c r="N154" t="n">
        <v>10</v>
      </c>
      <c r="O154" s="237">
        <f>L154*N154/100</f>
        <v/>
      </c>
      <c r="P154" s="237">
        <f>M154*O154</f>
        <v/>
      </c>
      <c r="Q154" s="208">
        <f>L154*M154</f>
        <v/>
      </c>
      <c r="R154" s="251">
        <f>L154+O154</f>
        <v/>
      </c>
      <c r="S154" s="251">
        <f>Q154+P154</f>
        <v/>
      </c>
      <c r="T154" s="35">
        <f>voranmeldefrist_vierteljaehrlich(G154)</f>
        <v/>
      </c>
      <c r="U154" s="27" t="n"/>
      <c r="V154" s="27" t="n"/>
      <c r="W154" s="210">
        <f>IF(K154=TRUE,Q154/J154,Q154)</f>
        <v/>
      </c>
      <c r="X154" s="237">
        <f>V154/100*S154</f>
        <v/>
      </c>
      <c r="Y154">
        <f>IF(AND(V154&gt;0,N154=V154),TRUE,FALSE)</f>
        <v/>
      </c>
      <c r="Z154" s="228">
        <f>IF(C154="Einnahmen",Q154,-Q154)</f>
        <v/>
      </c>
    </row>
    <row r="155">
      <c r="A155" s="53" t="n">
        <v>2019</v>
      </c>
      <c r="B155" s="53" t="n">
        <v>154</v>
      </c>
      <c r="C155" s="71" t="inlineStr">
        <is>
          <t>Ausgaben</t>
        </is>
      </c>
      <c r="D155" t="inlineStr">
        <is>
          <t>sonstige Betriebsausgaben</t>
        </is>
      </c>
      <c r="E155" s="9" t="inlineStr">
        <is>
          <t>5509690831</t>
        </is>
      </c>
      <c r="G155" s="1" t="n">
        <v>43738</v>
      </c>
      <c r="H155" t="inlineStr">
        <is>
          <t>Wien Energie Vertrieb GmbH &amp; Co KG, 1030 Wien, Pf 520</t>
        </is>
      </c>
      <c r="K155">
        <f>(IF(AND(I155&lt;&gt;"",AND(J155="",ABS(Q155)&gt;400)),TRUE,FALSE))</f>
        <v/>
      </c>
      <c r="L155" s="214" t="n">
        <v>80</v>
      </c>
      <c r="M155" s="159" t="n">
        <v>1</v>
      </c>
      <c r="N155" t="n">
        <v>20</v>
      </c>
      <c r="O155" s="237">
        <f>L155*N155/100</f>
        <v/>
      </c>
      <c r="P155" s="237">
        <f>M155*O155</f>
        <v/>
      </c>
      <c r="Q155" s="208">
        <f>L155*M155</f>
        <v/>
      </c>
      <c r="R155" s="251">
        <f>L155+O155</f>
        <v/>
      </c>
      <c r="S155" s="251">
        <f>Q155+P155</f>
        <v/>
      </c>
      <c r="T155" s="35">
        <f>voranmeldefrist_vierteljaehrlich(G155)</f>
        <v/>
      </c>
      <c r="U155" s="27" t="n"/>
      <c r="V155" s="27" t="n"/>
      <c r="W155" s="210">
        <f>IF(K155=TRUE,Q155/J155,Q155)</f>
        <v/>
      </c>
      <c r="X155" s="237">
        <f>V155/100*S155</f>
        <v/>
      </c>
      <c r="Y155">
        <f>IF(AND(V155&gt;0,N155=V155),TRUE,FALSE)</f>
        <v/>
      </c>
      <c r="Z155" s="228">
        <f>IF(C155="Einnahmen",Q155,-Q155)</f>
        <v/>
      </c>
    </row>
    <row r="156">
      <c r="A156" s="53" t="n">
        <v>2019</v>
      </c>
      <c r="B156" s="53" t="n">
        <v>155</v>
      </c>
      <c r="C156" s="71" t="inlineStr">
        <is>
          <t>Ausgaben</t>
        </is>
      </c>
      <c r="D156" t="inlineStr">
        <is>
          <t>Reise- und Fahrtspesen inkl. Kilometergeld und Diäten</t>
        </is>
      </c>
      <c r="E156" s="9" t="inlineStr">
        <is>
          <t>3293000008148717</t>
        </is>
      </c>
      <c r="G156" s="1" t="n">
        <v>43738</v>
      </c>
      <c r="H156" t="inlineStr">
        <is>
          <t>car2go Österreich GmbH, Hintere Zollamtstraße 9, 1030 Wien</t>
        </is>
      </c>
      <c r="K156">
        <f>(IF(AND(I156&lt;&gt;"",AND(J156="",ABS(Q156)&gt;400)),TRUE,FALSE))</f>
        <v/>
      </c>
      <c r="L156" s="214" t="n">
        <v>6.97</v>
      </c>
      <c r="M156" s="159" t="n">
        <v>1</v>
      </c>
      <c r="N156" t="n">
        <v>20</v>
      </c>
      <c r="O156" s="237">
        <f>L156*N156/100</f>
        <v/>
      </c>
      <c r="P156" s="237">
        <f>M156*O156</f>
        <v/>
      </c>
      <c r="Q156" s="208">
        <f>L156*M156</f>
        <v/>
      </c>
      <c r="R156" s="251">
        <f>L156+O156</f>
        <v/>
      </c>
      <c r="S156" s="251">
        <f>Q156+P156</f>
        <v/>
      </c>
      <c r="T156" s="35">
        <f>voranmeldefrist_vierteljaehrlich(G156)</f>
        <v/>
      </c>
      <c r="U156" s="27" t="n"/>
      <c r="V156" s="27" t="n"/>
      <c r="W156" s="210">
        <f>IF(K156=TRUE,Q156/J156,Q156)</f>
        <v/>
      </c>
      <c r="X156" s="237">
        <f>V156/100*S156</f>
        <v/>
      </c>
      <c r="Y156">
        <f>IF(AND(V156&gt;0,N156=V156),TRUE,FALSE)</f>
        <v/>
      </c>
      <c r="Z156" s="228">
        <f>IF(C156="Einnahmen",Q156,-Q156)</f>
        <v/>
      </c>
    </row>
    <row r="157">
      <c r="A157" s="53" t="n">
        <v>2019</v>
      </c>
      <c r="B157" s="53" t="n">
        <v>156</v>
      </c>
      <c r="C157" s="71" t="inlineStr">
        <is>
          <t>Ausgaben</t>
        </is>
      </c>
      <c r="D157" t="inlineStr">
        <is>
          <t>Miet- und Pachtaufwand, Leasing</t>
        </is>
      </c>
      <c r="E157" s="9" t="inlineStr">
        <is>
          <t>19/9801/VS00993</t>
        </is>
      </c>
      <c r="G157" s="1" t="n">
        <v>43739</v>
      </c>
      <c r="H157" t="inlineStr">
        <is>
          <t>Bontus Immobilienverwaltung GmbH, 1010 Wien, Franz Josefs Kai 65</t>
        </is>
      </c>
      <c r="K157" t="b">
        <v>0</v>
      </c>
      <c r="L157" s="214" t="n">
        <v>462.44</v>
      </c>
      <c r="M157" s="159" t="n">
        <v>1</v>
      </c>
      <c r="N157" t="n">
        <v>20</v>
      </c>
      <c r="O157" s="237">
        <f>L157*N157/100</f>
        <v/>
      </c>
      <c r="P157" s="237">
        <f>M157*O157</f>
        <v/>
      </c>
      <c r="Q157" s="208">
        <f>L157*M157</f>
        <v/>
      </c>
      <c r="R157" s="251">
        <f>L157+O157</f>
        <v/>
      </c>
      <c r="S157" s="251">
        <f>Q157+P157</f>
        <v/>
      </c>
      <c r="T157" s="35">
        <f>voranmeldefrist_vierteljaehrlich(G157)</f>
        <v/>
      </c>
      <c r="U157" s="27" t="n"/>
      <c r="V157" s="27" t="n"/>
      <c r="W157" s="210">
        <f>IF(K157=TRUE,Q157/J157,Q157)</f>
        <v/>
      </c>
      <c r="X157" s="237">
        <f>V157/100*S157</f>
        <v/>
      </c>
      <c r="Y157">
        <f>IF(AND(V157&gt;0,N157=V157),TRUE,FALSE)</f>
        <v/>
      </c>
      <c r="Z157" s="228">
        <f>IF(C157="Einnahmen",Q157,-Q157)</f>
        <v/>
      </c>
    </row>
    <row r="158">
      <c r="A158" s="53" t="n">
        <v>2019</v>
      </c>
      <c r="B158" s="53" t="n">
        <v>157</v>
      </c>
      <c r="C158" s="71" t="inlineStr">
        <is>
          <t>Ausgaben</t>
        </is>
      </c>
      <c r="D158" t="inlineStr">
        <is>
          <t>Telefon/Internet</t>
        </is>
      </c>
      <c r="E158" s="9" t="inlineStr">
        <is>
          <t>1001884726776</t>
        </is>
      </c>
      <c r="G158" s="1" t="n">
        <v>43739</v>
      </c>
      <c r="H158" t="inlineStr">
        <is>
          <t>HoT Telekom und Service GmbH</t>
        </is>
      </c>
      <c r="K158" t="b">
        <v>0</v>
      </c>
      <c r="L158" s="214" t="n">
        <v>4.92</v>
      </c>
      <c r="M158" s="159" t="n">
        <v>1</v>
      </c>
      <c r="N158" t="n">
        <v>20</v>
      </c>
      <c r="O158" s="237">
        <f>L158*N158/100</f>
        <v/>
      </c>
      <c r="P158" s="237">
        <f>M158*O158</f>
        <v/>
      </c>
      <c r="Q158" s="208">
        <f>L158*M158</f>
        <v/>
      </c>
      <c r="R158" s="251">
        <f>L158+O158</f>
        <v/>
      </c>
      <c r="S158" s="251">
        <f>Q158+P158</f>
        <v/>
      </c>
      <c r="T158" s="35">
        <f>voranmeldefrist_vierteljaehrlich(G158)</f>
        <v/>
      </c>
      <c r="U158" s="27" t="n"/>
      <c r="V158" s="27" t="n"/>
      <c r="W158" s="210">
        <f>IF(K158=TRUE,Q158/J158,Q158)</f>
        <v/>
      </c>
      <c r="X158" s="237">
        <f>V158/100*S158</f>
        <v/>
      </c>
      <c r="Y158">
        <f>IF(AND(V158&gt;0,N158=V158),TRUE,FALSE)</f>
        <v/>
      </c>
      <c r="Z158" s="228">
        <f>IF(C158="Einnahmen",Q158,-Q158)</f>
        <v/>
      </c>
    </row>
    <row r="159">
      <c r="A159" s="53" t="n">
        <v>2019</v>
      </c>
      <c r="B159" s="53" t="n">
        <v>158</v>
      </c>
      <c r="C159" s="71" t="inlineStr">
        <is>
          <t>Ausgaben</t>
        </is>
      </c>
      <c r="D159" t="inlineStr">
        <is>
          <t>Reise- und Fahrtspesen inkl. Kilometergeld und Diäten</t>
        </is>
      </c>
      <c r="E159" s="9" t="inlineStr">
        <is>
          <t>3293000008158834</t>
        </is>
      </c>
      <c r="G159" s="1" t="n">
        <v>43740</v>
      </c>
      <c r="H159" t="inlineStr">
        <is>
          <t>car2go Österreich GmbH, Hintere Zollamtstraße 9, 1030 Wien</t>
        </is>
      </c>
      <c r="K159">
        <f>(IF(AND(I159&lt;&gt;"",AND(J159="",ABS(Q159)&gt;400)),TRUE,FALSE))</f>
        <v/>
      </c>
      <c r="L159" s="214" t="n">
        <v>5.17</v>
      </c>
      <c r="M159" s="159" t="n">
        <v>1</v>
      </c>
      <c r="N159" t="n">
        <v>20</v>
      </c>
      <c r="O159" s="237">
        <f>L159*N159/100</f>
        <v/>
      </c>
      <c r="P159" s="237">
        <f>M159*O159</f>
        <v/>
      </c>
      <c r="Q159" s="208">
        <f>L159*M159</f>
        <v/>
      </c>
      <c r="R159" s="251">
        <f>L159+O159</f>
        <v/>
      </c>
      <c r="S159" s="251">
        <f>Q159+P159</f>
        <v/>
      </c>
      <c r="T159" s="35">
        <f>voranmeldefrist_vierteljaehrlich(G159)</f>
        <v/>
      </c>
      <c r="U159" s="27" t="n"/>
      <c r="V159" s="27" t="n"/>
      <c r="W159" s="210">
        <f>IF(K159=TRUE,Q159/I159,Q159)</f>
        <v/>
      </c>
      <c r="X159" s="237">
        <f>V159/100*S159</f>
        <v/>
      </c>
      <c r="Y159">
        <f>IF(AND(V159&gt;0,N159=V159),TRUE,FALSE)</f>
        <v/>
      </c>
      <c r="Z159" s="228">
        <f>IF(C159="Einnahmen",Q159,-Q159)</f>
        <v/>
      </c>
    </row>
    <row r="160">
      <c r="A160" s="53" t="n">
        <v>2019</v>
      </c>
      <c r="B160" s="53" t="n">
        <v>159</v>
      </c>
      <c r="C160" s="71" t="inlineStr">
        <is>
          <t>Ausgaben</t>
        </is>
      </c>
      <c r="D160" t="inlineStr">
        <is>
          <t>Reise- und Fahrtspesen inkl. Kilometergeld und Diäten</t>
        </is>
      </c>
      <c r="E160" s="9" t="inlineStr">
        <is>
          <t>3293000008158751</t>
        </is>
      </c>
      <c r="G160" s="1" t="n">
        <v>43740</v>
      </c>
      <c r="H160" t="inlineStr">
        <is>
          <t>car2go Österreich GmbH, Hintere Zollamtstraße 9, 1030 Wien</t>
        </is>
      </c>
      <c r="K160">
        <f>(IF(AND(I160&lt;&gt;"",AND(J160="",ABS(Q160)&gt;400)),TRUE,FALSE))</f>
        <v/>
      </c>
      <c r="L160" s="214" t="n">
        <v>5.68</v>
      </c>
      <c r="M160" s="159" t="n">
        <v>1</v>
      </c>
      <c r="N160" t="n">
        <v>20</v>
      </c>
      <c r="O160" s="237">
        <f>L160*N160/100</f>
        <v/>
      </c>
      <c r="P160" s="237">
        <f>M160*O160</f>
        <v/>
      </c>
      <c r="Q160" s="208">
        <f>L160*M160</f>
        <v/>
      </c>
      <c r="R160" s="251">
        <f>L160+O160</f>
        <v/>
      </c>
      <c r="S160" s="251">
        <f>Q160+P160</f>
        <v/>
      </c>
      <c r="T160" s="35">
        <f>voranmeldefrist_vierteljaehrlich(G160)</f>
        <v/>
      </c>
      <c r="U160" s="27" t="n"/>
      <c r="V160" s="27" t="n"/>
      <c r="W160" s="210">
        <f>IF(K160=TRUE,Q160/I160,Q160)</f>
        <v/>
      </c>
      <c r="X160" s="237">
        <f>V160/100*S160</f>
        <v/>
      </c>
      <c r="Y160">
        <f>IF(AND(V160&gt;0,N160=V160),TRUE,FALSE)</f>
        <v/>
      </c>
      <c r="Z160" s="228">
        <f>IF(C160="Einnahmen",Q160,-Q160)</f>
        <v/>
      </c>
    </row>
    <row r="161">
      <c r="A161" s="53" t="n">
        <v>2019</v>
      </c>
      <c r="B161" s="53" t="n">
        <v>160</v>
      </c>
      <c r="C161" s="71" t="inlineStr">
        <is>
          <t>Ausgaben</t>
        </is>
      </c>
      <c r="D161" t="inlineStr">
        <is>
          <t>sonstige Betriebsausgaben</t>
        </is>
      </c>
      <c r="E161" s="9" t="inlineStr">
        <is>
          <t>2019250</t>
        </is>
      </c>
      <c r="G161" s="1" t="n">
        <v>43741</v>
      </c>
      <c r="H161" t="inlineStr">
        <is>
          <t>CP International Logistik GmbH,  Zweigniederlassung Wien Wolfgang Pauligasse 5, 1140 Wien (Teil 2/2)</t>
        </is>
      </c>
      <c r="K161">
        <f>(IF(AND(I161&lt;&gt;"",AND(J161="",ABS(Q161)&gt;400)),TRUE,FALSE))</f>
        <v/>
      </c>
      <c r="L161" s="214">
        <f>1140/1.2/2</f>
        <v/>
      </c>
      <c r="M161" s="159" t="n">
        <v>1</v>
      </c>
      <c r="N161" t="n">
        <v>20</v>
      </c>
      <c r="O161" s="237">
        <f>L161*N161/100</f>
        <v/>
      </c>
      <c r="P161" s="237">
        <f>M161*O161</f>
        <v/>
      </c>
      <c r="Q161" s="208">
        <f>L161*M161</f>
        <v/>
      </c>
      <c r="R161" s="251">
        <f>L161+O161</f>
        <v/>
      </c>
      <c r="S161" s="251">
        <f>Q161+P161</f>
        <v/>
      </c>
      <c r="T161" s="35">
        <f>voranmeldefrist_vierteljaehrlich(G161)</f>
        <v/>
      </c>
      <c r="U161" s="27" t="n"/>
      <c r="V161" s="27" t="n"/>
      <c r="W161" s="210">
        <f>IF(K161=TRUE,Q161/I161,Q161)</f>
        <v/>
      </c>
      <c r="X161" s="237">
        <f>V161/100*S161</f>
        <v/>
      </c>
      <c r="Y161">
        <f>IF(AND(V161&gt;0,N161=V161),TRUE,FALSE)</f>
        <v/>
      </c>
      <c r="Z161" s="228">
        <f>IF(C161="Einnahmen",Q161,-Q161)</f>
        <v/>
      </c>
    </row>
    <row r="162">
      <c r="A162" s="53" t="n">
        <v>2019</v>
      </c>
      <c r="B162" s="53" t="n">
        <v>161</v>
      </c>
      <c r="C162" s="71" t="inlineStr">
        <is>
          <t>Ausgaben</t>
        </is>
      </c>
      <c r="D162" t="inlineStr">
        <is>
          <t>Telefon/Internet</t>
        </is>
      </c>
      <c r="E162" s="9" t="inlineStr">
        <is>
          <t>6186416712</t>
        </is>
      </c>
      <c r="G162" s="1" t="n">
        <v>43742</v>
      </c>
      <c r="H162" t="inlineStr">
        <is>
          <t>Hutchison Drei Austria GmbH, Brünner Straße 52, 1210 Wien, Österreich</t>
        </is>
      </c>
      <c r="K162">
        <f>(IF(AND(I162&lt;&gt;"",AND(J162="",ABS(Q162)&gt;400)),TRUE,FALSE))</f>
        <v/>
      </c>
      <c r="L162" s="214" t="n">
        <v>16.52</v>
      </c>
      <c r="M162" s="159" t="n">
        <v>1</v>
      </c>
      <c r="N162" t="n">
        <v>20</v>
      </c>
      <c r="O162" s="237">
        <f>L162*N162/100</f>
        <v/>
      </c>
      <c r="P162" s="237">
        <f>M162*O162</f>
        <v/>
      </c>
      <c r="Q162" s="208">
        <f>L162*M162</f>
        <v/>
      </c>
      <c r="R162" s="251">
        <f>L162+O162</f>
        <v/>
      </c>
      <c r="S162" s="251">
        <f>Q162+P162</f>
        <v/>
      </c>
      <c r="T162" s="35">
        <f>voranmeldefrist_vierteljaehrlich(G162)</f>
        <v/>
      </c>
      <c r="U162" s="27" t="n"/>
      <c r="V162" s="27" t="n"/>
      <c r="W162" s="210">
        <f>IF(K162=TRUE,Q162/I162,Q162)</f>
        <v/>
      </c>
      <c r="X162" s="237">
        <f>V162/100*S162</f>
        <v/>
      </c>
      <c r="Y162">
        <f>IF(AND(V162&gt;0,N162=V162),TRUE,FALSE)</f>
        <v/>
      </c>
      <c r="Z162" s="228">
        <f>IF(C162="Einnahmen",Q162,-Q162)</f>
        <v/>
      </c>
    </row>
    <row r="163">
      <c r="A163" s="53" t="n">
        <v>2019</v>
      </c>
      <c r="B163" s="53" t="n">
        <v>162</v>
      </c>
      <c r="C163" s="71" t="inlineStr">
        <is>
          <t>Ausgaben</t>
        </is>
      </c>
      <c r="D163" t="inlineStr">
        <is>
          <t>sonstige Betriebsausgaben</t>
        </is>
      </c>
      <c r="E163" s="9" t="inlineStr">
        <is>
          <t>Bestellnr. 305-9869842-1958754</t>
        </is>
      </c>
      <c r="G163" s="1" t="n">
        <v>43742</v>
      </c>
      <c r="H163" t="inlineStr">
        <is>
          <t>Amazon Gutschrift (Reklamation TV-Gerät Stoja 2016/Schick 2019; Ausgaben 262-263 nach alter Nummerierung)</t>
        </is>
      </c>
      <c r="K163" t="b">
        <v>0</v>
      </c>
      <c r="L163" s="214">
        <f>-286.14/1.2</f>
        <v/>
      </c>
      <c r="M163" s="159" t="n">
        <v>1</v>
      </c>
      <c r="N163" t="n">
        <v>20</v>
      </c>
      <c r="O163" s="237">
        <f>L163*N163/100</f>
        <v/>
      </c>
      <c r="P163" s="237">
        <f>M163*O163</f>
        <v/>
      </c>
      <c r="Q163" s="208">
        <f>L163*M163</f>
        <v/>
      </c>
      <c r="R163" s="251">
        <f>L163+O163</f>
        <v/>
      </c>
      <c r="S163" s="251">
        <f>Q163+P163</f>
        <v/>
      </c>
      <c r="T163" s="35">
        <f>voranmeldefrist_vierteljaehrlich(G163)</f>
        <v/>
      </c>
      <c r="U163" s="27" t="n"/>
      <c r="V163" s="27" t="n"/>
      <c r="W163" s="210">
        <f>IF(K163=TRUE,Q163/I163,Q163)</f>
        <v/>
      </c>
      <c r="X163" s="237">
        <f>V163/100*S163</f>
        <v/>
      </c>
      <c r="Y163">
        <f>IF(AND(V163&gt;0,N163=V163),TRUE,FALSE)</f>
        <v/>
      </c>
      <c r="Z163" s="228">
        <f>IF(C163="Einnahmen",Q163,-Q163)</f>
        <v/>
      </c>
    </row>
    <row r="164">
      <c r="A164" s="53" t="n">
        <v>2019</v>
      </c>
      <c r="B164" s="53" t="n">
        <v>163</v>
      </c>
      <c r="C164" s="71" t="inlineStr">
        <is>
          <t>Ausgaben</t>
        </is>
      </c>
      <c r="D164" t="inlineStr">
        <is>
          <t>Büromaterial</t>
        </is>
      </c>
      <c r="E164" s="9" t="inlineStr">
        <is>
          <t>AEU-INV-PL-2019-3855006</t>
        </is>
      </c>
      <c r="G164" s="1" t="n">
        <v>43742</v>
      </c>
      <c r="H164" t="inlineStr">
        <is>
          <t>Amazon EU S. à r.l., 38 avenue John F. Kennedy, L-1855 Luxembourg: Büromaterial inkl. Thunderbolt 3 Dock Lenovo</t>
        </is>
      </c>
      <c r="K164" t="b">
        <v>0</v>
      </c>
      <c r="L164" s="214" t="n">
        <v>242.4</v>
      </c>
      <c r="M164" s="159" t="n">
        <v>1</v>
      </c>
      <c r="N164" t="n">
        <v>0</v>
      </c>
      <c r="O164" s="237">
        <f>L164*N164/100</f>
        <v/>
      </c>
      <c r="P164" s="237">
        <f>M164*O164</f>
        <v/>
      </c>
      <c r="Q164" s="208">
        <f>L164*M164</f>
        <v/>
      </c>
      <c r="R164" s="251">
        <f>L164+O164</f>
        <v/>
      </c>
      <c r="S164" s="251">
        <f>Q164+P164</f>
        <v/>
      </c>
      <c r="T164" s="35">
        <f>voranmeldefrist_vierteljaehrlich(G164)</f>
        <v/>
      </c>
      <c r="U164" s="27" t="n"/>
      <c r="V164" s="27" t="n">
        <v>20</v>
      </c>
      <c r="W164" s="210">
        <f>IF(K164=TRUE,Q164/I164,Q164)</f>
        <v/>
      </c>
      <c r="X164" s="237">
        <f>V164/100*S164</f>
        <v/>
      </c>
      <c r="Y164">
        <f>IF(AND(V164&gt;0,N164=V164),TRUE,FALSE)</f>
        <v/>
      </c>
      <c r="Z164" s="228">
        <f>IF(C164="Einnahmen",Q164,-Q164)</f>
        <v/>
      </c>
    </row>
    <row r="165">
      <c r="A165" s="53" t="n">
        <v>2019</v>
      </c>
      <c r="B165" s="53" t="n">
        <v>164</v>
      </c>
      <c r="C165" s="71" t="inlineStr">
        <is>
          <t>Einnahmen</t>
        </is>
      </c>
      <c r="D165" t="inlineStr">
        <is>
          <t>Waren-/Leistungserlöse</t>
        </is>
      </c>
      <c r="E165" s="9" t="inlineStr">
        <is>
          <t>12019018</t>
        </is>
      </c>
      <c r="G165" s="1" t="n">
        <v>43742</v>
      </c>
      <c r="H165" t="inlineStr">
        <is>
          <t>vemap Academy GmbH, Berggasse 31, 1080 Wien</t>
        </is>
      </c>
      <c r="K165">
        <f>(IF(AND(I165&lt;&gt;"",AND(J165="",ABS(Q165)&gt;400)),TRUE,FALSE))</f>
        <v/>
      </c>
      <c r="L165" s="214" t="n">
        <v>1680</v>
      </c>
      <c r="M165" s="159" t="n">
        <v>1</v>
      </c>
      <c r="N165" t="n">
        <v>20</v>
      </c>
      <c r="O165" s="237">
        <f>L165*N165/100</f>
        <v/>
      </c>
      <c r="P165" s="237">
        <f>M165*O165</f>
        <v/>
      </c>
      <c r="Q165" s="208">
        <f>L165*M165</f>
        <v/>
      </c>
      <c r="R165" s="251">
        <f>L165+O165</f>
        <v/>
      </c>
      <c r="S165" s="251">
        <f>Q165+P165</f>
        <v/>
      </c>
      <c r="T165" s="35">
        <f>voranmeldefrist_vierteljaehrlich(G165)</f>
        <v/>
      </c>
      <c r="U165" s="27" t="n"/>
      <c r="V165" s="27" t="n"/>
      <c r="W165" s="210">
        <f>IF(K165=TRUE,Q165/I165,Q165)</f>
        <v/>
      </c>
      <c r="X165" s="237">
        <f>V165/100*S165</f>
        <v/>
      </c>
      <c r="Y165">
        <f>IF(AND(V165&gt;0,N165=V165),TRUE,FALSE)</f>
        <v/>
      </c>
      <c r="Z165" s="228">
        <f>IF(C165="Einnahmen",Q165,-Q165)</f>
        <v/>
      </c>
    </row>
    <row r="166">
      <c r="A166" s="53" t="n">
        <v>2019</v>
      </c>
      <c r="B166" s="53" t="n">
        <v>165</v>
      </c>
      <c r="C166" s="71" t="inlineStr">
        <is>
          <t>Ausgaben</t>
        </is>
      </c>
      <c r="D166" t="inlineStr">
        <is>
          <t>sonstige Betriebsausgaben</t>
        </is>
      </c>
      <c r="E166" s="9" t="inlineStr">
        <is>
          <t>VS/19-01-05428</t>
        </is>
      </c>
      <c r="G166" s="1" t="n">
        <v>43745</v>
      </c>
      <c r="H166" t="inlineStr">
        <is>
          <t>Techem Messtechnik GmbH; Abnehmernummer 501686-0003-11-(</t>
        </is>
      </c>
      <c r="K166">
        <f>(IF(AND(I166&lt;&gt;"",AND(J166="",ABS(Q166)&gt;400)),TRUE,FALSE))</f>
        <v/>
      </c>
      <c r="L166" s="214">
        <f>43.9/1.2</f>
        <v/>
      </c>
      <c r="M166" s="159" t="n">
        <v>1</v>
      </c>
      <c r="N166" t="n">
        <v>20</v>
      </c>
      <c r="O166" s="237">
        <f>L166*N166/100</f>
        <v/>
      </c>
      <c r="P166" s="237">
        <f>M166*O166</f>
        <v/>
      </c>
      <c r="Q166" s="208">
        <f>L166*M166</f>
        <v/>
      </c>
      <c r="R166" s="251">
        <f>L166+O166</f>
        <v/>
      </c>
      <c r="S166" s="251">
        <f>Q166+P166</f>
        <v/>
      </c>
      <c r="T166" s="35">
        <f>voranmeldefrist_vierteljaehrlich(G166)</f>
        <v/>
      </c>
      <c r="U166" s="27" t="n"/>
      <c r="V166" s="27" t="n"/>
      <c r="W166" s="210">
        <f>IF(K166=TRUE,Q166/I166,Q166)</f>
        <v/>
      </c>
      <c r="X166" s="237">
        <f>V166/100*S166</f>
        <v/>
      </c>
      <c r="Y166">
        <f>IF(AND(V166&gt;0,N166=V166),TRUE,FALSE)</f>
        <v/>
      </c>
      <c r="Z166" s="228">
        <f>IF(C166="Einnahmen",Q166,-Q166)</f>
        <v/>
      </c>
    </row>
    <row r="167">
      <c r="A167" s="53" t="n">
        <v>2019</v>
      </c>
      <c r="B167" s="53" t="n">
        <v>166</v>
      </c>
      <c r="C167" s="71" t="inlineStr">
        <is>
          <t>Ausgaben</t>
        </is>
      </c>
      <c r="D167" t="inlineStr">
        <is>
          <t>Reise- und Fahrtspesen inkl. Kilometergeld und Diäten</t>
        </is>
      </c>
      <c r="E167" s="9" t="inlineStr">
        <is>
          <t>3293000008170774</t>
        </is>
      </c>
      <c r="G167" s="1" t="n">
        <v>43745</v>
      </c>
      <c r="H167" t="inlineStr">
        <is>
          <t>car2go Österreich GmbH, Hintere Zollamtstraße 9, 1030 Wien</t>
        </is>
      </c>
      <c r="K167">
        <f>(IF(AND(I167&lt;&gt;"",AND(J167="",ABS(Q167)&gt;400)),TRUE,FALSE))</f>
        <v/>
      </c>
      <c r="L167" s="214" t="n">
        <v>3.33</v>
      </c>
      <c r="M167" s="159" t="n">
        <v>1</v>
      </c>
      <c r="N167" t="n">
        <v>20</v>
      </c>
      <c r="O167" s="237">
        <f>L167*N167/100</f>
        <v/>
      </c>
      <c r="P167" s="237">
        <f>M167*O167</f>
        <v/>
      </c>
      <c r="Q167" s="208">
        <f>L167*M167</f>
        <v/>
      </c>
      <c r="R167" s="251">
        <f>L167+O167</f>
        <v/>
      </c>
      <c r="S167" s="251">
        <f>Q167+P167</f>
        <v/>
      </c>
      <c r="T167" s="35">
        <f>voranmeldefrist_vierteljaehrlich(G167)</f>
        <v/>
      </c>
      <c r="U167" s="27" t="n"/>
      <c r="V167" s="27" t="n"/>
      <c r="W167" s="210">
        <f>IF(K167=TRUE,Q167/I167,Q167)</f>
        <v/>
      </c>
      <c r="X167" s="237">
        <f>V167/100*S167</f>
        <v/>
      </c>
      <c r="Y167">
        <f>IF(AND(V167&gt;0,N167=V167),TRUE,FALSE)</f>
        <v/>
      </c>
      <c r="Z167" s="228">
        <f>IF(C167="Einnahmen",Q167,-Q167)</f>
        <v/>
      </c>
    </row>
    <row r="168">
      <c r="A168" s="53" t="n">
        <v>2019</v>
      </c>
      <c r="B168" s="53" t="n">
        <v>167</v>
      </c>
      <c r="C168" s="71" t="inlineStr">
        <is>
          <t>Ausgaben</t>
        </is>
      </c>
      <c r="D168" t="inlineStr">
        <is>
          <t>Telefon/Internet</t>
        </is>
      </c>
      <c r="E168" s="9" t="inlineStr">
        <is>
          <t>177021464-00</t>
        </is>
      </c>
      <c r="G168" s="1" t="n">
        <v>43747</v>
      </c>
      <c r="H168" t="inlineStr">
        <is>
          <t>UPC Telekabel Wien GmbH, A1120 Wien, Postfach 47</t>
        </is>
      </c>
      <c r="K168">
        <f>(IF(AND(I168&lt;&gt;"",AND(J168="",ABS(Q168)&gt;400)),TRUE,FALSE))</f>
        <v/>
      </c>
      <c r="L168" s="214">
        <f>27.82+1.04</f>
        <v/>
      </c>
      <c r="M168" s="159">
        <f>2/3</f>
        <v/>
      </c>
      <c r="N168" t="n">
        <v>20</v>
      </c>
      <c r="O168" s="237">
        <f>L168*N168/100</f>
        <v/>
      </c>
      <c r="P168" s="237">
        <f>M168*O168</f>
        <v/>
      </c>
      <c r="Q168" s="208">
        <f>L168*M168</f>
        <v/>
      </c>
      <c r="R168" s="251">
        <f>L168+O168</f>
        <v/>
      </c>
      <c r="S168" s="251">
        <f>Q168+P168</f>
        <v/>
      </c>
      <c r="T168" s="35">
        <f>voranmeldefrist_vierteljaehrlich(G168)</f>
        <v/>
      </c>
      <c r="U168" s="27" t="n"/>
      <c r="V168" s="27" t="n"/>
      <c r="W168" s="210">
        <f>IF(K168=TRUE,Q168/J168,Q168)</f>
        <v/>
      </c>
      <c r="X168" s="237">
        <f>V168/100*S168</f>
        <v/>
      </c>
      <c r="Y168">
        <f>IF(AND(V168&gt;0,N168=V168),TRUE,FALSE)</f>
        <v/>
      </c>
      <c r="Z168" s="228">
        <f>IF(C168="Einnahmen",Q168,-Q168)</f>
        <v/>
      </c>
    </row>
    <row r="169">
      <c r="A169" s="53" t="n">
        <v>2019</v>
      </c>
      <c r="B169" s="53" t="n">
        <v>168</v>
      </c>
      <c r="C169" s="71" t="inlineStr">
        <is>
          <t>Ausgaben</t>
        </is>
      </c>
      <c r="D169" t="inlineStr">
        <is>
          <t>sonstige Betriebsausgaben</t>
        </is>
      </c>
      <c r="E169" s="9" t="inlineStr">
        <is>
          <t>R0010229018</t>
        </is>
      </c>
      <c r="G169" s="1" t="n">
        <v>43749</v>
      </c>
      <c r="H169" t="inlineStr">
        <is>
          <t>Hetzner Online GmbH</t>
        </is>
      </c>
      <c r="K169">
        <f>(IF(AND(I169&lt;&gt;"",AND(J169="",ABS(Q169)&gt;400)),TRUE,FALSE))</f>
        <v/>
      </c>
      <c r="L169" s="214" t="n">
        <v>46.92</v>
      </c>
      <c r="M169" s="159" t="n">
        <v>1</v>
      </c>
      <c r="N169" t="n">
        <v>0</v>
      </c>
      <c r="O169" s="237">
        <f>L169*N169/100</f>
        <v/>
      </c>
      <c r="P169" s="237">
        <f>M169*O169</f>
        <v/>
      </c>
      <c r="Q169" s="208">
        <f>L169*M169</f>
        <v/>
      </c>
      <c r="R169" s="251">
        <f>L169+O169</f>
        <v/>
      </c>
      <c r="S169" s="251">
        <f>Q169+P169</f>
        <v/>
      </c>
      <c r="T169" s="35">
        <f>voranmeldefrist_vierteljaehrlich(G169)</f>
        <v/>
      </c>
      <c r="U169" s="27" t="n"/>
      <c r="V169" s="27" t="n">
        <v>20</v>
      </c>
      <c r="W169" s="210">
        <f>IF(K169=TRUE,Q169/J169,Q169)</f>
        <v/>
      </c>
      <c r="X169" s="237">
        <f>V169/100*S169</f>
        <v/>
      </c>
      <c r="Y169">
        <f>IF(AND(V169&gt;0,N169=V169),TRUE,FALSE)</f>
        <v/>
      </c>
      <c r="Z169" s="228">
        <f>IF(C169="Einnahmen",Q169,-Q169)</f>
        <v/>
      </c>
    </row>
    <row r="170">
      <c r="A170" s="53" t="n">
        <v>2019</v>
      </c>
      <c r="B170" s="53" t="n">
        <v>169</v>
      </c>
      <c r="C170" s="71" t="inlineStr">
        <is>
          <t>Ausgaben</t>
        </is>
      </c>
      <c r="D170" t="inlineStr">
        <is>
          <t>Büromaterial</t>
        </is>
      </c>
      <c r="E170" s="9" t="inlineStr">
        <is>
          <t>0968-20191011-01-7396</t>
        </is>
      </c>
      <c r="G170" s="1" t="n">
        <v>43749</v>
      </c>
      <c r="H170" t="inlineStr">
        <is>
          <t>Libro 1090</t>
        </is>
      </c>
      <c r="K170">
        <f>(IF(AND(I170&lt;&gt;"",AND(J170="",ABS(Q170)&gt;400)),TRUE,FALSE))</f>
        <v/>
      </c>
      <c r="L170" s="214">
        <f>14.27/1.2</f>
        <v/>
      </c>
      <c r="M170" s="159" t="n">
        <v>1</v>
      </c>
      <c r="N170" t="n">
        <v>20</v>
      </c>
      <c r="O170" s="237">
        <f>L170*N170/100</f>
        <v/>
      </c>
      <c r="P170" s="237">
        <f>M170*O170</f>
        <v/>
      </c>
      <c r="Q170" s="208">
        <f>L170*M170</f>
        <v/>
      </c>
      <c r="R170" s="251">
        <f>L170+O170</f>
        <v/>
      </c>
      <c r="S170" s="251">
        <f>Q170+P170</f>
        <v/>
      </c>
      <c r="T170" s="35">
        <f>voranmeldefrist_vierteljaehrlich(G170)</f>
        <v/>
      </c>
      <c r="U170" s="27" t="n"/>
      <c r="V170" s="27" t="n"/>
      <c r="W170" s="210">
        <f>IF(K170=TRUE,Q170/J170,Q170)</f>
        <v/>
      </c>
      <c r="X170" s="237">
        <f>V170/100*S170</f>
        <v/>
      </c>
      <c r="Y170">
        <f>IF(AND(V170&gt;0,N170=V170),TRUE,FALSE)</f>
        <v/>
      </c>
      <c r="Z170" s="228">
        <f>IF(C170="Einnahmen",Q170,-Q170)</f>
        <v/>
      </c>
    </row>
    <row r="171">
      <c r="A171" s="53" t="n">
        <v>2019</v>
      </c>
      <c r="B171" s="53" t="n">
        <v>170</v>
      </c>
      <c r="C171" s="71" t="inlineStr">
        <is>
          <t>Einnahmen</t>
        </is>
      </c>
      <c r="D171" t="inlineStr">
        <is>
          <t>Waren-/Leistungserlöse</t>
        </is>
      </c>
      <c r="E171" s="9" t="inlineStr">
        <is>
          <t>12019021</t>
        </is>
      </c>
      <c r="G171" s="1" t="n">
        <v>43752</v>
      </c>
      <c r="H171" t="inlineStr">
        <is>
          <t>ZT DI Dr. Arno Kolbitsch, Gütleweg 1, 6822 Satteins</t>
        </is>
      </c>
      <c r="K171">
        <f>(IF(AND(I171&lt;&gt;"",AND(J171="",ABS(Q171)&gt;400)),TRUE,FALSE))</f>
        <v/>
      </c>
      <c r="L171" s="214" t="n">
        <v>231.43</v>
      </c>
      <c r="M171" s="159" t="n">
        <v>1</v>
      </c>
      <c r="N171" t="n">
        <v>20</v>
      </c>
      <c r="O171" s="237">
        <f>L171*N171/100</f>
        <v/>
      </c>
      <c r="P171" s="237">
        <f>M171*O171</f>
        <v/>
      </c>
      <c r="Q171" s="208">
        <f>L171*M171</f>
        <v/>
      </c>
      <c r="R171" s="251">
        <f>L171+O171</f>
        <v/>
      </c>
      <c r="S171" s="251">
        <f>Q171+P171</f>
        <v/>
      </c>
      <c r="T171" s="35">
        <f>voranmeldefrist_vierteljaehrlich(G171)</f>
        <v/>
      </c>
      <c r="U171" s="27" t="n"/>
      <c r="V171" s="27" t="n"/>
      <c r="W171" s="210">
        <f>IF(K171=TRUE,Q171/I171,Q171)</f>
        <v/>
      </c>
      <c r="X171" s="237">
        <f>V171/100*S171</f>
        <v/>
      </c>
      <c r="Y171">
        <f>IF(AND(V171&gt;0,N171=V171),TRUE,FALSE)</f>
        <v/>
      </c>
      <c r="Z171" s="228">
        <f>IF(C171="Einnahmen",Q171,-Q171)</f>
        <v/>
      </c>
    </row>
    <row r="172">
      <c r="A172" s="53" t="n">
        <v>2019</v>
      </c>
      <c r="B172" s="53" t="n">
        <v>171</v>
      </c>
      <c r="C172" s="71" t="inlineStr">
        <is>
          <t>Einnahmen</t>
        </is>
      </c>
      <c r="D172" t="inlineStr">
        <is>
          <t>Waren-/Leistungserlöse</t>
        </is>
      </c>
      <c r="E172" s="9" t="inlineStr">
        <is>
          <t>12019020</t>
        </is>
      </c>
      <c r="G172" s="1" t="n">
        <v>43752</v>
      </c>
      <c r="H172" t="inlineStr">
        <is>
          <t>Schick Küchendesign e.U. Alexander Schick, Linzerstraße 247, 1140 Wien</t>
        </is>
      </c>
      <c r="K172">
        <f>(IF(AND(I172&lt;&gt;"",AND(J172="",ABS(Q172)&gt;400)),TRUE,FALSE))</f>
        <v/>
      </c>
      <c r="L172" s="214" t="n">
        <v>450</v>
      </c>
      <c r="M172" s="159" t="n">
        <v>1</v>
      </c>
      <c r="N172" t="n">
        <v>20</v>
      </c>
      <c r="O172" s="237">
        <f>L172*N172/100</f>
        <v/>
      </c>
      <c r="P172" s="237">
        <f>M172*O172</f>
        <v/>
      </c>
      <c r="Q172" s="208">
        <f>L172*M172</f>
        <v/>
      </c>
      <c r="R172" s="251">
        <f>L172+O172</f>
        <v/>
      </c>
      <c r="S172" s="251">
        <f>Q172+P172</f>
        <v/>
      </c>
      <c r="T172" s="35">
        <f>voranmeldefrist_vierteljaehrlich(G172)</f>
        <v/>
      </c>
      <c r="U172" s="27" t="n"/>
      <c r="V172" s="27" t="n"/>
      <c r="W172" s="210">
        <f>IF(K172=TRUE,Q172/I172,Q172)</f>
        <v/>
      </c>
      <c r="X172" s="237">
        <f>V172/100*S172</f>
        <v/>
      </c>
      <c r="Y172">
        <f>IF(AND(V172&gt;0,N172=V172),TRUE,FALSE)</f>
        <v/>
      </c>
      <c r="Z172" s="228">
        <f>IF(C172="Einnahmen",Q172,-Q172)</f>
        <v/>
      </c>
    </row>
    <row r="173">
      <c r="A173" s="53" t="n">
        <v>2019</v>
      </c>
      <c r="B173" s="53" t="n">
        <v>172</v>
      </c>
      <c r="C173" s="71" t="inlineStr">
        <is>
          <t>Ausgaben</t>
        </is>
      </c>
      <c r="D173" t="inlineStr">
        <is>
          <t>sonstige Betriebsausgaben</t>
        </is>
      </c>
      <c r="E173" s="9" t="inlineStr">
        <is>
          <t>14005260623/40/2019</t>
        </is>
      </c>
      <c r="G173" s="1" t="n">
        <v>43753</v>
      </c>
      <c r="H173" t="inlineStr">
        <is>
          <t>Montana Energie Handel AT GmbH</t>
        </is>
      </c>
      <c r="K173">
        <f>(IF(AND(I173&lt;&gt;"",AND(J173="",ABS(Q173)&gt;400)),TRUE,FALSE))</f>
        <v/>
      </c>
      <c r="L173" s="214" t="n">
        <v>66.67</v>
      </c>
      <c r="M173" s="159">
        <f>Arbeitszimmer!$B$3</f>
        <v/>
      </c>
      <c r="N173" t="n">
        <v>20</v>
      </c>
      <c r="O173" s="237">
        <f>L173*N173/100</f>
        <v/>
      </c>
      <c r="P173" s="237">
        <f>M173*O173</f>
        <v/>
      </c>
      <c r="Q173" s="208">
        <f>L173*M173</f>
        <v/>
      </c>
      <c r="R173" s="251">
        <f>L173+O173</f>
        <v/>
      </c>
      <c r="S173" s="251">
        <f>Q173+P173</f>
        <v/>
      </c>
      <c r="T173" s="35">
        <f>voranmeldefrist_vierteljaehrlich(G173)</f>
        <v/>
      </c>
      <c r="U173" s="27" t="n"/>
      <c r="V173" s="27" t="n"/>
      <c r="W173" s="210">
        <f>IF(K173=TRUE,Q173/I173,Q173)</f>
        <v/>
      </c>
      <c r="X173" s="237">
        <f>V173/100*S173</f>
        <v/>
      </c>
      <c r="Y173">
        <f>IF(AND(V173&gt;0,N173=V173),TRUE,FALSE)</f>
        <v/>
      </c>
      <c r="Z173" s="228">
        <f>IF(C173="Einnahmen",Q173,-Q173)</f>
        <v/>
      </c>
    </row>
    <row r="174">
      <c r="A174" s="53" t="n">
        <v>2019</v>
      </c>
      <c r="B174" s="53" t="n">
        <v>173</v>
      </c>
      <c r="C174" s="71" t="inlineStr">
        <is>
          <t>Einnahmen</t>
        </is>
      </c>
      <c r="D174" t="inlineStr">
        <is>
          <t>Waren-/Leistungserlöse</t>
        </is>
      </c>
      <c r="E174" s="9" t="inlineStr">
        <is>
          <t>12019020</t>
        </is>
      </c>
      <c r="G174" s="1" t="n">
        <v>43755</v>
      </c>
      <c r="H174" t="inlineStr">
        <is>
          <t>Franz Hauer GmbH + Co KG</t>
        </is>
      </c>
      <c r="K174">
        <f>(IF(AND(I174&lt;&gt;"",AND(J174="",ABS(Q174)&gt;400)),TRUE,FALSE))</f>
        <v/>
      </c>
      <c r="L174" s="214" t="n">
        <v>2188.75</v>
      </c>
      <c r="M174" s="159" t="n">
        <v>1</v>
      </c>
      <c r="N174" t="n">
        <v>20</v>
      </c>
      <c r="O174" s="237">
        <f>L174*N174/100</f>
        <v/>
      </c>
      <c r="P174" s="237">
        <f>M174*O174</f>
        <v/>
      </c>
      <c r="Q174" s="208">
        <f>L174*M174</f>
        <v/>
      </c>
      <c r="R174" s="251">
        <f>L174+O174</f>
        <v/>
      </c>
      <c r="S174" s="251">
        <f>Q174+P174</f>
        <v/>
      </c>
      <c r="T174" s="35">
        <f>voranmeldefrist_vierteljaehrlich(G174)</f>
        <v/>
      </c>
      <c r="U174" s="27" t="n"/>
      <c r="V174" s="27" t="n"/>
      <c r="W174" s="210">
        <f>IF(K174=TRUE,Q174/I174,Q174)</f>
        <v/>
      </c>
      <c r="X174" s="237">
        <f>V174/100*S174</f>
        <v/>
      </c>
      <c r="Y174">
        <f>IF(AND(V174&gt;0,N174=V174),TRUE,FALSE)</f>
        <v/>
      </c>
      <c r="Z174" s="228">
        <f>IF(C174="Einnahmen",Q174,-Q174)</f>
        <v/>
      </c>
    </row>
    <row r="175">
      <c r="A175" s="53" t="n">
        <v>2019</v>
      </c>
      <c r="B175" s="53" t="n">
        <v>174</v>
      </c>
      <c r="C175" s="71" t="inlineStr">
        <is>
          <t>Ausgaben</t>
        </is>
      </c>
      <c r="D175" t="inlineStr">
        <is>
          <t>Reise- und Fahrtspesen inkl. Kilometergeld und Diäten</t>
        </is>
      </c>
      <c r="E175" s="9" t="inlineStr">
        <is>
          <t>3293000008236377</t>
        </is>
      </c>
      <c r="G175" s="1" t="n">
        <v>43759</v>
      </c>
      <c r="H175" t="inlineStr">
        <is>
          <t>car2go Österreich GmbH, Hintere Zollamtstraße 9, 1030 Wien</t>
        </is>
      </c>
      <c r="K175">
        <f>(IF(AND(I175&lt;&gt;"",AND(J175="",ABS(Q175)&gt;400)),TRUE,FALSE))</f>
        <v/>
      </c>
      <c r="L175" s="214" t="n">
        <v>5.1</v>
      </c>
      <c r="M175" s="159" t="n">
        <v>1</v>
      </c>
      <c r="N175" t="n">
        <v>20</v>
      </c>
      <c r="O175" s="237">
        <f>L175*N175/100</f>
        <v/>
      </c>
      <c r="P175" s="237">
        <f>M175*O175</f>
        <v/>
      </c>
      <c r="Q175" s="208">
        <f>L175*M175</f>
        <v/>
      </c>
      <c r="R175" s="251">
        <f>L175+O175</f>
        <v/>
      </c>
      <c r="S175" s="251">
        <f>Q175+P175</f>
        <v/>
      </c>
      <c r="T175" s="35">
        <f>voranmeldefrist_vierteljaehrlich(G175)</f>
        <v/>
      </c>
      <c r="U175" s="27" t="n"/>
      <c r="V175" s="27" t="n"/>
      <c r="W175" s="210">
        <f>IF(K175=TRUE,Q175/I175,Q175)</f>
        <v/>
      </c>
      <c r="X175" s="237">
        <f>V175/100*S175</f>
        <v/>
      </c>
      <c r="Y175">
        <f>IF(AND(V175&gt;0,N175=V175),TRUE,FALSE)</f>
        <v/>
      </c>
      <c r="Z175" s="228">
        <f>IF(C175="Einnahmen",Q175,-Q175)</f>
        <v/>
      </c>
    </row>
    <row r="176">
      <c r="A176" s="53" t="n">
        <v>2019</v>
      </c>
      <c r="B176" s="53" t="n">
        <v>175</v>
      </c>
      <c r="C176" s="71" t="inlineStr">
        <is>
          <t>Ausgaben</t>
        </is>
      </c>
      <c r="D176" t="inlineStr">
        <is>
          <t>Reise- und Fahrtspesen inkl. Kilometergeld und Diäten</t>
        </is>
      </c>
      <c r="E176" s="9" t="inlineStr">
        <is>
          <t>3293000008254738</t>
        </is>
      </c>
      <c r="G176" s="1" t="n">
        <v>43762</v>
      </c>
      <c r="H176" t="inlineStr">
        <is>
          <t>car2go Österreich GmbH, Hintere Zollamtstraße 9, 1030 Wien</t>
        </is>
      </c>
      <c r="K176">
        <f>(IF(AND(I176&lt;&gt;"",AND(J176="",ABS(Q176)&gt;400)),TRUE,FALSE))</f>
        <v/>
      </c>
      <c r="L176" s="214" t="n">
        <v>2.62</v>
      </c>
      <c r="M176" s="159" t="n">
        <v>1</v>
      </c>
      <c r="N176" t="n">
        <v>20</v>
      </c>
      <c r="O176" s="237">
        <f>L176*N176/100</f>
        <v/>
      </c>
      <c r="P176" s="237">
        <f>M176*O176</f>
        <v/>
      </c>
      <c r="Q176" s="208">
        <f>L176*M176</f>
        <v/>
      </c>
      <c r="R176" s="251">
        <f>L176+O176</f>
        <v/>
      </c>
      <c r="S176" s="251">
        <f>Q176+P176</f>
        <v/>
      </c>
      <c r="T176" s="35">
        <f>voranmeldefrist_vierteljaehrlich(G176)</f>
        <v/>
      </c>
      <c r="U176" s="27" t="n"/>
      <c r="V176" s="27" t="n"/>
      <c r="W176" s="210">
        <f>IF(K176=TRUE,Q176/I176,Q176)</f>
        <v/>
      </c>
      <c r="X176" s="237">
        <f>V176/100*S176</f>
        <v/>
      </c>
      <c r="Y176">
        <f>IF(AND(V176&gt;0,N176=V176),TRUE,FALSE)</f>
        <v/>
      </c>
      <c r="Z176" s="228">
        <f>IF(C176="Einnahmen",Q176,-Q176)</f>
        <v/>
      </c>
    </row>
    <row r="177">
      <c r="A177" s="53" t="n">
        <v>2019</v>
      </c>
      <c r="B177" s="53" t="n">
        <v>176</v>
      </c>
      <c r="C177" s="71" t="inlineStr">
        <is>
          <t>Ausgaben</t>
        </is>
      </c>
      <c r="D177" t="inlineStr">
        <is>
          <t>Reise- und Fahrtspesen inkl. Kilometergeld und Diäten</t>
        </is>
      </c>
      <c r="E177" s="9" t="inlineStr">
        <is>
          <t>3293000008253616</t>
        </is>
      </c>
      <c r="G177" s="1" t="n">
        <v>43762</v>
      </c>
      <c r="H177" t="inlineStr">
        <is>
          <t>car2go Österreich GmbH, Hintere Zollamtstraße 9, 1030 Wien</t>
        </is>
      </c>
      <c r="K177">
        <f>(IF(AND(I177&lt;&gt;"",AND(J177="",ABS(Q177)&gt;400)),TRUE,FALSE))</f>
        <v/>
      </c>
      <c r="L177" s="214" t="n">
        <v>1.73</v>
      </c>
      <c r="M177" s="159" t="n">
        <v>1</v>
      </c>
      <c r="N177" t="n">
        <v>20</v>
      </c>
      <c r="O177" s="237">
        <f>L177*N177/100</f>
        <v/>
      </c>
      <c r="P177" s="237">
        <f>M177*O177</f>
        <v/>
      </c>
      <c r="Q177" s="208">
        <f>L177*M177</f>
        <v/>
      </c>
      <c r="R177" s="251">
        <f>L177+O177</f>
        <v/>
      </c>
      <c r="S177" s="251">
        <f>Q177+P177</f>
        <v/>
      </c>
      <c r="T177" s="35">
        <f>voranmeldefrist_vierteljaehrlich(G177)</f>
        <v/>
      </c>
      <c r="U177" s="27" t="n"/>
      <c r="V177" s="27" t="n"/>
      <c r="W177" s="210">
        <f>IF(K177=TRUE,Q177/I177,Q177)</f>
        <v/>
      </c>
      <c r="X177" s="237">
        <f>V177/100*S177</f>
        <v/>
      </c>
      <c r="Y177">
        <f>IF(AND(V177&gt;0,N177=V177),TRUE,FALSE)</f>
        <v/>
      </c>
      <c r="Z177" s="228">
        <f>IF(C177="Einnahmen",Q177,-Q177)</f>
        <v/>
      </c>
    </row>
    <row r="178">
      <c r="A178" s="53" t="n">
        <v>2019</v>
      </c>
      <c r="B178" s="53" t="n">
        <v>177</v>
      </c>
      <c r="C178" s="71" t="inlineStr">
        <is>
          <t>Ausgaben</t>
        </is>
      </c>
      <c r="D178" t="inlineStr">
        <is>
          <t>Miet- und Pachtaufwand, Leasing</t>
        </is>
      </c>
      <c r="E178" s="9" t="inlineStr">
        <is>
          <t>2019/8058/14</t>
        </is>
      </c>
      <c r="G178" s="1" t="n">
        <v>43763</v>
      </c>
      <c r="H178" t="inlineStr">
        <is>
          <t>Premium Laudongasse 58 GmbH &amp; Co KG</t>
        </is>
      </c>
      <c r="K178">
        <f>(IF(AND(I178&lt;&gt;"",AND(J178="",ABS(Q178)&gt;400)),TRUE,FALSE))</f>
        <v/>
      </c>
      <c r="L178" s="214" t="n">
        <v>763.4400000000001</v>
      </c>
      <c r="M178" s="159">
        <f>Arbeitszimmer!$B$3</f>
        <v/>
      </c>
      <c r="N178" t="n">
        <v>10</v>
      </c>
      <c r="O178" s="237">
        <f>L178*N178/100</f>
        <v/>
      </c>
      <c r="P178" s="237">
        <f>M178*O178</f>
        <v/>
      </c>
      <c r="Q178" s="208">
        <f>L178*M178</f>
        <v/>
      </c>
      <c r="R178" s="251">
        <f>L178+O178</f>
        <v/>
      </c>
      <c r="S178" s="251">
        <f>Q178+P178</f>
        <v/>
      </c>
      <c r="T178" s="35">
        <f>voranmeldefrist_vierteljaehrlich(G178)</f>
        <v/>
      </c>
      <c r="U178" s="27" t="n"/>
      <c r="V178" s="27" t="n"/>
      <c r="W178" s="210">
        <f>IF(K178=TRUE,Q178/J178,Q178)</f>
        <v/>
      </c>
      <c r="X178" s="237">
        <f>V178/100*S178</f>
        <v/>
      </c>
      <c r="Y178">
        <f>IF(AND(V178&gt;0,N178=V178),TRUE,FALSE)</f>
        <v/>
      </c>
      <c r="Z178" s="228">
        <f>IF(C178="Einnahmen",Q178,-Q178)</f>
        <v/>
      </c>
    </row>
    <row r="179">
      <c r="A179" s="53" t="n">
        <v>2019</v>
      </c>
      <c r="B179" s="53" t="n">
        <v>178</v>
      </c>
      <c r="C179" s="71" t="inlineStr">
        <is>
          <t>Ausgaben</t>
        </is>
      </c>
      <c r="D179" t="inlineStr">
        <is>
          <t>Reise- und Fahrtspesen inkl. Kilometergeld und Diäten</t>
        </is>
      </c>
      <c r="E179" s="9" t="inlineStr">
        <is>
          <t>3293000008262976</t>
        </is>
      </c>
      <c r="G179" s="1" t="n">
        <v>43766</v>
      </c>
      <c r="H179" t="inlineStr">
        <is>
          <t>car2go Österreich GmbH, Hintere Zollamtstraße 9, 1030 Wien</t>
        </is>
      </c>
      <c r="K179">
        <f>(IF(AND(I179&lt;&gt;"",AND(J179="",ABS(Q179)&gt;400)),TRUE,FALSE))</f>
        <v/>
      </c>
      <c r="L179" s="214" t="n">
        <v>1.73</v>
      </c>
      <c r="M179" s="159" t="n">
        <v>1</v>
      </c>
      <c r="N179" t="n">
        <v>20</v>
      </c>
      <c r="O179" s="237">
        <f>L179*N179/100</f>
        <v/>
      </c>
      <c r="P179" s="237">
        <f>M179*O179</f>
        <v/>
      </c>
      <c r="Q179" s="208">
        <f>L179*M179</f>
        <v/>
      </c>
      <c r="R179" s="251">
        <f>L179+O179</f>
        <v/>
      </c>
      <c r="S179" s="251">
        <f>Q179+P179</f>
        <v/>
      </c>
      <c r="T179" s="35">
        <f>voranmeldefrist_vierteljaehrlich(G179)</f>
        <v/>
      </c>
      <c r="U179" s="27" t="n"/>
      <c r="V179" s="27" t="n"/>
      <c r="W179" s="210">
        <f>IF(K179=TRUE,Q179/I179,Q179)</f>
        <v/>
      </c>
      <c r="X179" s="237">
        <f>V179/100*S179</f>
        <v/>
      </c>
      <c r="Y179">
        <f>IF(AND(V179&gt;0,N179=V179),TRUE,FALSE)</f>
        <v/>
      </c>
      <c r="Z179" s="228">
        <f>IF(C179="Einnahmen",Q179,-Q179)</f>
        <v/>
      </c>
    </row>
    <row r="180">
      <c r="A180" s="53" t="n">
        <v>2019</v>
      </c>
      <c r="B180" s="53" t="n">
        <v>179</v>
      </c>
      <c r="C180" s="71" t="inlineStr">
        <is>
          <t>Ausgaben</t>
        </is>
      </c>
      <c r="D180" t="inlineStr">
        <is>
          <t>sonstige Betriebsausgaben</t>
        </is>
      </c>
      <c r="E180" s="9" t="inlineStr">
        <is>
          <t>AEU-INV-PL-2019-4223172</t>
        </is>
      </c>
      <c r="G180" s="1" t="n">
        <v>43767</v>
      </c>
      <c r="H180" t="inlineStr">
        <is>
          <t>Amazon EU S. à r.l., 38 avenue John F. Kennedy, L-1855 Luxembourg: Büromaterial inkl. Thunderbolt 3 Dock Lenovo</t>
        </is>
      </c>
      <c r="K180" t="b">
        <v>0</v>
      </c>
      <c r="L180" s="214" t="n">
        <v>43.79</v>
      </c>
      <c r="M180" s="159" t="n">
        <v>1</v>
      </c>
      <c r="N180" t="n">
        <v>0</v>
      </c>
      <c r="O180" s="237">
        <f>L180*N180/100</f>
        <v/>
      </c>
      <c r="P180" s="237">
        <f>M180*O180</f>
        <v/>
      </c>
      <c r="Q180" s="208">
        <f>L180*M180</f>
        <v/>
      </c>
      <c r="R180" s="251">
        <f>L180+O180</f>
        <v/>
      </c>
      <c r="S180" s="251">
        <f>Q180+P180</f>
        <v/>
      </c>
      <c r="T180" s="35">
        <f>voranmeldefrist_vierteljaehrlich(#REF!)</f>
        <v/>
      </c>
      <c r="U180" s="27" t="n"/>
      <c r="V180" s="27" t="n">
        <v>20</v>
      </c>
      <c r="W180" s="210">
        <f>IF(K180=TRUE,Q180/I180,Q180)</f>
        <v/>
      </c>
      <c r="X180" s="237">
        <f>V180/100*S180</f>
        <v/>
      </c>
      <c r="Y180">
        <f>IF(AND(V180&gt;0,N180=V180),TRUE,FALSE)</f>
        <v/>
      </c>
      <c r="Z180" s="228">
        <f>IF(G180="Einnahmen",Q180,-Q180)</f>
        <v/>
      </c>
    </row>
    <row r="181">
      <c r="A181" s="53" t="n">
        <v>2019</v>
      </c>
      <c r="B181" s="53" t="n">
        <v>180</v>
      </c>
      <c r="C181" s="71" t="inlineStr">
        <is>
          <t>Einnahmen</t>
        </is>
      </c>
      <c r="D181" t="inlineStr">
        <is>
          <t>Waren-/Leistungserlöse</t>
        </is>
      </c>
      <c r="E181" s="9" t="inlineStr">
        <is>
          <t>12019019</t>
        </is>
      </c>
      <c r="G181" s="1" t="n">
        <v>43768</v>
      </c>
      <c r="H181" s="43" t="inlineStr">
        <is>
          <t>Wedding Avenue e.U., Mayerweckstrasse 2-8/99/1, 1210 Wien</t>
        </is>
      </c>
      <c r="K181">
        <f>(IF(AND(I181&lt;&gt;"",AND(J181="",ABS(Q181)&gt;400)),TRUE,FALSE))</f>
        <v/>
      </c>
      <c r="L181" s="214" t="n">
        <v>786.25</v>
      </c>
      <c r="M181" s="159" t="n">
        <v>1</v>
      </c>
      <c r="N181" t="n">
        <v>20</v>
      </c>
      <c r="O181" s="237">
        <f>L181*N181/100</f>
        <v/>
      </c>
      <c r="P181" s="237">
        <f>M181*O181</f>
        <v/>
      </c>
      <c r="Q181" s="208">
        <f>L181*M181</f>
        <v/>
      </c>
      <c r="R181" s="251">
        <f>L181+O181</f>
        <v/>
      </c>
      <c r="S181" s="251">
        <f>Q181+P181</f>
        <v/>
      </c>
      <c r="T181" s="35">
        <f>voranmeldefrist_vierteljaehrlich(G181)</f>
        <v/>
      </c>
      <c r="U181" s="27" t="n"/>
      <c r="V181" s="27" t="n"/>
      <c r="W181" s="210">
        <f>IF(K181=TRUE,Q181/I181,Q181)</f>
        <v/>
      </c>
      <c r="X181" s="237">
        <f>V181/100*S181</f>
        <v/>
      </c>
      <c r="Y181">
        <f>IF(AND(V181&gt;0,N181=V181),TRUE,FALSE)</f>
        <v/>
      </c>
      <c r="Z181" s="228">
        <f>IF(C181="Einnahmen",Q181,-Q181)</f>
        <v/>
      </c>
    </row>
    <row r="182">
      <c r="A182" s="53" t="n">
        <v>2019</v>
      </c>
      <c r="B182" s="53" t="n">
        <v>181</v>
      </c>
      <c r="C182" s="71" t="inlineStr">
        <is>
          <t>Ausgaben</t>
        </is>
      </c>
      <c r="D182" t="inlineStr">
        <is>
          <t>Reise- und Fahrtspesen inkl. Kilometergeld und Diäten</t>
        </is>
      </c>
      <c r="E182" s="9" t="inlineStr">
        <is>
          <t>3293000008278159</t>
        </is>
      </c>
      <c r="G182" s="1" t="n">
        <v>43768</v>
      </c>
      <c r="H182" t="inlineStr">
        <is>
          <t>car2go Österreich GmbH, Hintere Zollamtstraße 9, 1030 Wien</t>
        </is>
      </c>
      <c r="K182">
        <f>(IF(AND(I182&lt;&gt;"",AND(J182="",ABS(Q182)&gt;400)),TRUE,FALSE))</f>
        <v/>
      </c>
      <c r="L182" s="214" t="n">
        <v>6.9</v>
      </c>
      <c r="M182" s="159" t="n">
        <v>1</v>
      </c>
      <c r="N182" t="n">
        <v>20</v>
      </c>
      <c r="O182" s="237">
        <f>L182*N182/100</f>
        <v/>
      </c>
      <c r="P182" s="237">
        <f>M182*O182</f>
        <v/>
      </c>
      <c r="Q182" s="208">
        <f>L182*M182</f>
        <v/>
      </c>
      <c r="R182" s="251">
        <f>L182+O182</f>
        <v/>
      </c>
      <c r="S182" s="251">
        <f>Q182+P182</f>
        <v/>
      </c>
      <c r="T182" s="35">
        <f>voranmeldefrist_vierteljaehrlich(G182)</f>
        <v/>
      </c>
      <c r="U182" s="27" t="n"/>
      <c r="V182" s="27" t="n"/>
      <c r="W182" s="210">
        <f>IF(K182=TRUE,Q182/I182,Q182)</f>
        <v/>
      </c>
      <c r="X182" s="237">
        <f>V182/100*S182</f>
        <v/>
      </c>
      <c r="Y182">
        <f>IF(AND(V182&gt;0,N182=V182),TRUE,FALSE)</f>
        <v/>
      </c>
      <c r="Z182" s="228">
        <f>IF(C182="Einnahmen",Q182,-Q182)</f>
        <v/>
      </c>
    </row>
    <row r="183">
      <c r="A183" s="53" t="n">
        <v>2019</v>
      </c>
      <c r="B183" s="53" t="n">
        <v>182</v>
      </c>
      <c r="C183" s="71" t="inlineStr">
        <is>
          <t>Ausgaben</t>
        </is>
      </c>
      <c r="D183" t="inlineStr">
        <is>
          <t>sonstige Betriebsausgaben</t>
        </is>
      </c>
      <c r="E183" s="9" t="inlineStr">
        <is>
          <t>8143 634/010/005/017</t>
        </is>
      </c>
      <c r="G183" s="1" t="n">
        <v>43736</v>
      </c>
      <c r="H183" t="inlineStr">
        <is>
          <t>Hofer KG, Brunnengasse 38, 1160 Wien</t>
        </is>
      </c>
      <c r="K183">
        <f>(IF(AND(I183&lt;&gt;"",AND(J183="",ABS(Q183)&gt;400)),TRUE,FALSE))</f>
        <v/>
      </c>
      <c r="L183" s="214" t="n">
        <v>16.66</v>
      </c>
      <c r="M183" s="159" t="n">
        <v>1</v>
      </c>
      <c r="N183" t="n">
        <v>20</v>
      </c>
      <c r="O183" s="237">
        <f>L183*N183/100</f>
        <v/>
      </c>
      <c r="P183" s="237">
        <f>M183*O183</f>
        <v/>
      </c>
      <c r="Q183" s="208">
        <f>L183*M183</f>
        <v/>
      </c>
      <c r="R183" s="251">
        <f>L183+O183</f>
        <v/>
      </c>
      <c r="S183" s="251">
        <f>Q183+P183</f>
        <v/>
      </c>
      <c r="T183" s="35">
        <f>voranmeldefrist_vierteljaehrlich(G183)</f>
        <v/>
      </c>
      <c r="U183" s="27" t="n"/>
      <c r="V183" s="27" t="n"/>
      <c r="W183" s="210">
        <f>IF(K183=TRUE,Q183/I183,Q183)</f>
        <v/>
      </c>
      <c r="X183" s="237">
        <f>V183/100*S183</f>
        <v/>
      </c>
      <c r="Y183">
        <f>IF(AND(V183&gt;0,N183=V183),TRUE,FALSE)</f>
        <v/>
      </c>
      <c r="Z183" s="228">
        <f>IF(C183="Einnahmen",Q183,-Q183)</f>
        <v/>
      </c>
    </row>
    <row r="184">
      <c r="A184" s="53" t="n">
        <v>2019</v>
      </c>
      <c r="B184" s="53" t="n">
        <v>183</v>
      </c>
      <c r="C184" s="71" t="inlineStr">
        <is>
          <t>Ausgaben</t>
        </is>
      </c>
      <c r="D184" t="inlineStr">
        <is>
          <t>Porto/Gebühren</t>
        </is>
      </c>
      <c r="E184" s="9" t="inlineStr">
        <is>
          <t>10800690774930</t>
        </is>
      </c>
      <c r="G184" s="1" t="n">
        <v>43656</v>
      </c>
      <c r="H184" t="inlineStr">
        <is>
          <t>Österreichische Post AG, Bennogasse 1</t>
        </is>
      </c>
      <c r="K184">
        <f>(IF(AND(I184&lt;&gt;"",AND(J184="",ABS(Q184)&gt;400)),TRUE,FALSE))</f>
        <v/>
      </c>
      <c r="L184" s="214" t="n">
        <v>2.7</v>
      </c>
      <c r="M184" s="159" t="n">
        <v>1</v>
      </c>
      <c r="N184" t="n">
        <v>0</v>
      </c>
      <c r="O184" s="237">
        <f>L184*N184/100</f>
        <v/>
      </c>
      <c r="P184" s="237">
        <f>M184*O184</f>
        <v/>
      </c>
      <c r="Q184" s="208">
        <f>L184*M184</f>
        <v/>
      </c>
      <c r="R184" s="251">
        <f>L184+O184</f>
        <v/>
      </c>
      <c r="S184" s="251">
        <f>Q184+P184</f>
        <v/>
      </c>
      <c r="T184" s="35">
        <f>voranmeldefrist_vierteljaehrlich(G184)</f>
        <v/>
      </c>
      <c r="U184" s="27" t="n"/>
      <c r="V184" s="27" t="n"/>
      <c r="W184" s="210">
        <f>IF(K184=TRUE,Q184/I184,Q184)</f>
        <v/>
      </c>
      <c r="X184" s="237">
        <f>V184/100*S184</f>
        <v/>
      </c>
      <c r="Y184">
        <f>IF(AND(V184&gt;0,N184=V184),TRUE,FALSE)</f>
        <v/>
      </c>
      <c r="Z184" s="228">
        <f>IF(C184="Einnahmen",Q184,-Q184)</f>
        <v/>
      </c>
    </row>
    <row r="185">
      <c r="A185" s="53" t="n">
        <v>2019</v>
      </c>
      <c r="B185" s="53" t="n">
        <v>184</v>
      </c>
      <c r="C185" s="71" t="inlineStr">
        <is>
          <t>Ausgaben</t>
        </is>
      </c>
      <c r="D185" t="inlineStr">
        <is>
          <t>Telefon/Internet</t>
        </is>
      </c>
      <c r="E185" s="9" t="inlineStr">
        <is>
          <t>6188251348</t>
        </is>
      </c>
      <c r="G185" s="1" t="n">
        <v>43769</v>
      </c>
      <c r="H185" t="inlineStr">
        <is>
          <t>Hutchison Drei Austria GmbH, Brünner Straße 52, 1210 Wien, Österreich</t>
        </is>
      </c>
      <c r="K185">
        <f>(IF(AND(I185&lt;&gt;"",AND(J185="",ABS(Q185)&gt;400)),TRUE,FALSE))</f>
        <v/>
      </c>
      <c r="L185" s="214" t="n">
        <v>15</v>
      </c>
      <c r="M185" s="159" t="n">
        <v>1</v>
      </c>
      <c r="N185" t="n">
        <v>20</v>
      </c>
      <c r="O185" s="237">
        <f>L185*N185/100</f>
        <v/>
      </c>
      <c r="P185" s="237">
        <f>M185*O185</f>
        <v/>
      </c>
      <c r="Q185" s="208">
        <f>L185*M185</f>
        <v/>
      </c>
      <c r="R185" s="251">
        <f>L185+O185</f>
        <v/>
      </c>
      <c r="S185" s="251">
        <f>Q185+P185</f>
        <v/>
      </c>
      <c r="T185" s="35">
        <f>voranmeldefrist_vierteljaehrlich(G185)</f>
        <v/>
      </c>
      <c r="U185" s="27" t="n"/>
      <c r="V185" s="27" t="n"/>
      <c r="W185" s="210">
        <f>IF(K185=TRUE,Q185/I185,Q185)</f>
        <v/>
      </c>
      <c r="X185" s="237">
        <f>V185/100*S185</f>
        <v/>
      </c>
      <c r="Y185">
        <f>IF(AND(V185&gt;0,N185=V185),TRUE,FALSE)</f>
        <v/>
      </c>
      <c r="Z185" s="228">
        <f>IF(C185="Einnahmen",Q185,-Q185)</f>
        <v/>
      </c>
    </row>
    <row r="186">
      <c r="A186" s="53" t="n">
        <v>2019</v>
      </c>
      <c r="B186" s="53" t="n">
        <v>185</v>
      </c>
      <c r="C186" s="71" t="inlineStr">
        <is>
          <t>Ausgaben</t>
        </is>
      </c>
      <c r="D186" t="inlineStr">
        <is>
          <t>Miet- und Pachtaufwand, Leasing</t>
        </is>
      </c>
      <c r="E186" s="9" t="inlineStr">
        <is>
          <t>19/9801/VS00994</t>
        </is>
      </c>
      <c r="G186" s="1" t="n">
        <v>43773</v>
      </c>
      <c r="H186" t="inlineStr">
        <is>
          <t>Bontus Immobilienverwaltung GmbH, 1010 Wien, Franz Josefs Kai 65</t>
        </is>
      </c>
      <c r="K186" t="b">
        <v>0</v>
      </c>
      <c r="L186" s="214" t="n">
        <v>462.44</v>
      </c>
      <c r="M186" s="159" t="n">
        <v>1</v>
      </c>
      <c r="N186" t="n">
        <v>20</v>
      </c>
      <c r="O186" s="237">
        <f>L186*N186/100</f>
        <v/>
      </c>
      <c r="P186" s="237">
        <f>M186*O186</f>
        <v/>
      </c>
      <c r="Q186" s="208">
        <f>L186*M186</f>
        <v/>
      </c>
      <c r="R186" s="251">
        <f>L186+O186</f>
        <v/>
      </c>
      <c r="S186" s="251">
        <f>Q186+P186</f>
        <v/>
      </c>
      <c r="T186" s="35">
        <f>voranmeldefrist_vierteljaehrlich(G186)</f>
        <v/>
      </c>
      <c r="U186" s="27" t="n"/>
      <c r="V186" s="27" t="n"/>
      <c r="W186" s="210">
        <f>IF(K186=TRUE,Q186/J186,Q186)</f>
        <v/>
      </c>
      <c r="X186" s="237">
        <f>V186/100*S186</f>
        <v/>
      </c>
      <c r="Y186">
        <f>IF(AND(V186&gt;0,N186=V186),TRUE,FALSE)</f>
        <v/>
      </c>
      <c r="Z186" s="228">
        <f>IF(C186="Einnahmen",Q186,-Q186)</f>
        <v/>
      </c>
    </row>
    <row r="187">
      <c r="A187" s="53" t="n">
        <v>2019</v>
      </c>
      <c r="B187" s="53" t="n">
        <v>186</v>
      </c>
      <c r="C187" s="71" t="inlineStr">
        <is>
          <t>Ausgaben</t>
        </is>
      </c>
      <c r="D187" t="inlineStr">
        <is>
          <t>Büromaterial</t>
        </is>
      </c>
      <c r="E187" s="9" t="inlineStr">
        <is>
          <t>2089-20191102-01-1733</t>
        </is>
      </c>
      <c r="G187" s="1" t="n">
        <v>43773</v>
      </c>
      <c r="H187" t="inlineStr">
        <is>
          <t>Libro 1200</t>
        </is>
      </c>
      <c r="K187">
        <f>(IF(AND(I187&lt;&gt;"",AND(J187="",ABS(Q187)&gt;400)),TRUE,FALSE))</f>
        <v/>
      </c>
      <c r="L187" s="214">
        <f>30.77/1.2</f>
        <v/>
      </c>
      <c r="M187" s="159" t="n">
        <v>1</v>
      </c>
      <c r="N187" t="n">
        <v>20</v>
      </c>
      <c r="O187" s="237">
        <f>L187*N187/100</f>
        <v/>
      </c>
      <c r="P187" s="237">
        <f>M187*O187</f>
        <v/>
      </c>
      <c r="Q187" s="208">
        <f>L187*M187</f>
        <v/>
      </c>
      <c r="R187" s="251">
        <f>L187+O187</f>
        <v/>
      </c>
      <c r="S187" s="251">
        <f>Q187+P187</f>
        <v/>
      </c>
      <c r="T187" s="35">
        <f>voranmeldefrist_vierteljaehrlich(G187)</f>
        <v/>
      </c>
      <c r="U187" s="27" t="n"/>
      <c r="V187" s="27" t="n"/>
      <c r="W187" s="210">
        <f>IF(K187=TRUE,Q187/J187,Q187)</f>
        <v/>
      </c>
      <c r="X187" s="237">
        <f>V187/100*S187</f>
        <v/>
      </c>
      <c r="Y187">
        <f>IF(AND(V187&gt;0,N187=V187),TRUE,FALSE)</f>
        <v/>
      </c>
      <c r="Z187" s="228">
        <f>IF(C187="Einnahmen",Q187,-Q187)</f>
        <v/>
      </c>
    </row>
    <row r="188">
      <c r="A188" s="53" t="n">
        <v>2019</v>
      </c>
      <c r="B188" s="53" t="n">
        <v>187</v>
      </c>
      <c r="C188" s="71" t="inlineStr">
        <is>
          <t>Ausgaben</t>
        </is>
      </c>
      <c r="D188" t="inlineStr">
        <is>
          <t>sonstige Betriebsausgaben</t>
        </is>
      </c>
      <c r="E188" s="9" t="inlineStr">
        <is>
          <t>200000350755</t>
        </is>
      </c>
      <c r="G188" s="1" t="n">
        <v>43775</v>
      </c>
      <c r="H188" t="inlineStr">
        <is>
          <t>easy green energy</t>
        </is>
      </c>
      <c r="K188">
        <f>(IF(AND(I188&lt;&gt;"",AND(J188="",ABS(Q188)&gt;400)),TRUE,FALSE))</f>
        <v/>
      </c>
      <c r="L188" s="214">
        <f>14/1.2</f>
        <v/>
      </c>
      <c r="M188" s="159" t="n">
        <v>1</v>
      </c>
      <c r="N188" t="n">
        <v>20</v>
      </c>
      <c r="O188" s="237">
        <f>L188*N188/100</f>
        <v/>
      </c>
      <c r="P188" s="237">
        <f>M188*O188</f>
        <v/>
      </c>
      <c r="Q188" s="208">
        <f>L188*M188</f>
        <v/>
      </c>
      <c r="R188" s="251">
        <f>L188+O188</f>
        <v/>
      </c>
      <c r="S188" s="251">
        <f>Q188+P188</f>
        <v/>
      </c>
      <c r="T188" s="35">
        <f>voranmeldefrist_vierteljaehrlich(G188)</f>
        <v/>
      </c>
      <c r="U188" s="27" t="n"/>
      <c r="V188" s="27" t="n"/>
      <c r="W188" s="210">
        <f>IF(K188=TRUE,Q188/J188,Q188)</f>
        <v/>
      </c>
      <c r="X188" s="237">
        <f>V188/100*S188</f>
        <v/>
      </c>
      <c r="Y188">
        <f>IF(AND(V188&gt;0,N188=V188),TRUE,FALSE)</f>
        <v/>
      </c>
      <c r="Z188" s="228">
        <f>IF(C188="Einnahmen",Q188,-Q188)</f>
        <v/>
      </c>
    </row>
    <row r="189">
      <c r="A189" s="53" t="n">
        <v>2019</v>
      </c>
      <c r="B189" s="53" t="n">
        <v>188</v>
      </c>
      <c r="C189" s="71" t="inlineStr">
        <is>
          <t>Ausgaben</t>
        </is>
      </c>
      <c r="D189" t="inlineStr">
        <is>
          <t>sonstige Betriebsausgaben</t>
        </is>
      </c>
      <c r="E189" s="9" t="inlineStr">
        <is>
          <t>VS/19-01-05428</t>
        </is>
      </c>
      <c r="G189" s="1" t="n">
        <v>43776</v>
      </c>
      <c r="H189" t="inlineStr">
        <is>
          <t>Techem Messtechnik GmbH; Abnehmernummer 501686-0003-11-(</t>
        </is>
      </c>
      <c r="K189">
        <f>(IF(AND(I189&lt;&gt;"",AND(J189="",ABS(Q189)&gt;400)),TRUE,FALSE))</f>
        <v/>
      </c>
      <c r="L189" s="214">
        <f>43.9/1.2</f>
        <v/>
      </c>
      <c r="M189" s="159" t="n">
        <v>1</v>
      </c>
      <c r="N189" t="n">
        <v>20</v>
      </c>
      <c r="O189" s="237">
        <f>L189*N189/100</f>
        <v/>
      </c>
      <c r="P189" s="237">
        <f>M189*O189</f>
        <v/>
      </c>
      <c r="Q189" s="208">
        <f>L189*M189</f>
        <v/>
      </c>
      <c r="R189" s="251">
        <f>L189+O189</f>
        <v/>
      </c>
      <c r="S189" s="251">
        <f>Q189+P189</f>
        <v/>
      </c>
      <c r="T189" s="35">
        <f>voranmeldefrist_vierteljaehrlich(G189)</f>
        <v/>
      </c>
      <c r="U189" s="27" t="n"/>
      <c r="V189" s="27" t="n"/>
      <c r="W189" s="210">
        <f>IF(K189=TRUE,Q189/I189,Q189)</f>
        <v/>
      </c>
      <c r="X189" s="237">
        <f>V189/100*S189</f>
        <v/>
      </c>
      <c r="Y189">
        <f>IF(AND(V189&gt;0,N189=V189),TRUE,FALSE)</f>
        <v/>
      </c>
      <c r="Z189" s="228">
        <f>IF(C189="Einnahmen",Q189,-Q189)</f>
        <v/>
      </c>
    </row>
    <row r="190">
      <c r="A190" s="53" t="n">
        <v>2019</v>
      </c>
      <c r="B190" s="53" t="n">
        <v>189</v>
      </c>
      <c r="C190" s="71" t="inlineStr">
        <is>
          <t>Ausgaben</t>
        </is>
      </c>
      <c r="D190" t="inlineStr">
        <is>
          <t>Telefon/Internet</t>
        </is>
      </c>
      <c r="E190" s="9" t="inlineStr">
        <is>
          <t>177487223-00</t>
        </is>
      </c>
      <c r="G190" s="1" t="n">
        <v>43776</v>
      </c>
      <c r="H190" t="inlineStr">
        <is>
          <t>Magenta: T-Mobile Austria GmbH, A-1120 Wien, PF 47</t>
        </is>
      </c>
      <c r="K190">
        <f>(IF(AND(I190&lt;&gt;"",AND(J190="",ABS(Q190)&gt;400)),TRUE,FALSE))</f>
        <v/>
      </c>
      <c r="L190" s="214">
        <f>27.82+1.04</f>
        <v/>
      </c>
      <c r="M190" s="159">
        <f>2/3</f>
        <v/>
      </c>
      <c r="N190" t="n">
        <v>20</v>
      </c>
      <c r="O190" s="237">
        <f>L190*N190/100</f>
        <v/>
      </c>
      <c r="P190" s="237">
        <f>M190*O190</f>
        <v/>
      </c>
      <c r="Q190" s="208">
        <f>L190*M190</f>
        <v/>
      </c>
      <c r="R190" s="251">
        <f>L190+O190</f>
        <v/>
      </c>
      <c r="S190" s="251">
        <f>Q190+P190</f>
        <v/>
      </c>
      <c r="T190" s="35">
        <f>voranmeldefrist_vierteljaehrlich(G190)</f>
        <v/>
      </c>
      <c r="U190" s="27" t="n"/>
      <c r="V190" s="27" t="n"/>
      <c r="W190" s="210">
        <f>IF(K190=TRUE,Q190/J190,Q190)</f>
        <v/>
      </c>
      <c r="X190" s="237">
        <f>V190/100*S190</f>
        <v/>
      </c>
      <c r="Y190">
        <f>IF(AND(V190&gt;0,N190=V190),TRUE,FALSE)</f>
        <v/>
      </c>
      <c r="Z190" s="228">
        <f>IF(C190="Einnahmen",Q190,-Q190)</f>
        <v/>
      </c>
    </row>
    <row r="191">
      <c r="A191" s="53" t="n">
        <v>2019</v>
      </c>
      <c r="B191" s="53" t="n">
        <v>190</v>
      </c>
      <c r="C191" s="71" t="inlineStr">
        <is>
          <t>Ausgaben</t>
        </is>
      </c>
      <c r="D191" t="inlineStr">
        <is>
          <t>Reise- und Fahrtspesen inkl. Kilometergeld und Diäten</t>
        </is>
      </c>
      <c r="E191" s="9" t="inlineStr">
        <is>
          <t>3293000008312577</t>
        </is>
      </c>
      <c r="G191" s="1" t="n">
        <v>43776</v>
      </c>
      <c r="H191" t="inlineStr">
        <is>
          <t>car2go Österreich GmbH, Hintere Zollamtstraße 9, 1030 Wien</t>
        </is>
      </c>
      <c r="K191">
        <f>(IF(AND(I191&lt;&gt;"",AND(J191="",ABS(Q191)&gt;400)),TRUE,FALSE))</f>
        <v/>
      </c>
      <c r="L191" s="214" t="n">
        <v>3.3</v>
      </c>
      <c r="M191" s="159" t="n">
        <v>1</v>
      </c>
      <c r="N191" t="n">
        <v>20</v>
      </c>
      <c r="O191" s="237">
        <f>L191*N191/100</f>
        <v/>
      </c>
      <c r="P191" s="237">
        <f>M191*O191</f>
        <v/>
      </c>
      <c r="Q191" s="208">
        <f>L191*M191</f>
        <v/>
      </c>
      <c r="R191" s="251">
        <f>L191+O191</f>
        <v/>
      </c>
      <c r="S191" s="251">
        <f>Q191+P191</f>
        <v/>
      </c>
      <c r="T191" s="35">
        <f>voranmeldefrist_vierteljaehrlich(G191)</f>
        <v/>
      </c>
      <c r="U191" s="27" t="n"/>
      <c r="V191" s="27" t="n"/>
      <c r="W191" s="210">
        <f>IF(K191=TRUE,Q191/I191,Q191)</f>
        <v/>
      </c>
      <c r="X191" s="237">
        <f>V191/100*S191</f>
        <v/>
      </c>
      <c r="Y191">
        <f>IF(AND(V191&gt;0,N191=V191),TRUE,FALSE)</f>
        <v/>
      </c>
      <c r="Z191" s="228">
        <f>IF(C191="Einnahmen",Q191,-Q191)</f>
        <v/>
      </c>
    </row>
    <row r="192">
      <c r="A192" s="53" t="n">
        <v>2019</v>
      </c>
      <c r="B192" s="53" t="n">
        <v>191</v>
      </c>
      <c r="C192" s="71" t="inlineStr">
        <is>
          <t>Ausgaben</t>
        </is>
      </c>
      <c r="D192" t="inlineStr">
        <is>
          <t>sonstige Betriebsausgaben</t>
        </is>
      </c>
      <c r="E192" s="9" t="inlineStr">
        <is>
          <t>5116974390</t>
        </is>
      </c>
      <c r="G192" s="1" t="n">
        <v>43777</v>
      </c>
      <c r="H192" t="inlineStr">
        <is>
          <t>Wien Energie Vertrieb GmbH &amp; Co KG, 1030 Wien, Pf 520</t>
        </is>
      </c>
      <c r="K192">
        <f>(IF(AND(I192&lt;&gt;"",AND(J192="",ABS(Q192)&gt;400)),TRUE,FALSE))</f>
        <v/>
      </c>
      <c r="L192" s="214">
        <f>-43.2/1.2</f>
        <v/>
      </c>
      <c r="M192" s="159" t="n">
        <v>1</v>
      </c>
      <c r="N192" t="n">
        <v>20</v>
      </c>
      <c r="O192" s="237">
        <f>L192*N192/100</f>
        <v/>
      </c>
      <c r="P192" s="237">
        <f>M192*O192</f>
        <v/>
      </c>
      <c r="Q192" s="208">
        <f>L192*M192</f>
        <v/>
      </c>
      <c r="R192" s="251">
        <f>L192+O192</f>
        <v/>
      </c>
      <c r="S192" s="251">
        <f>Q192+P192</f>
        <v/>
      </c>
      <c r="T192" s="35">
        <f>voranmeldefrist_vierteljaehrlich(G192)</f>
        <v/>
      </c>
      <c r="U192" s="27" t="n"/>
      <c r="V192" s="27" t="n"/>
      <c r="W192" s="210">
        <f>IF(K192=TRUE,Q192/I192,Q192)</f>
        <v/>
      </c>
      <c r="X192" s="237">
        <f>V192/100*S192</f>
        <v/>
      </c>
      <c r="Y192">
        <f>IF(AND(V192&gt;0,N192=V192),TRUE,FALSE)</f>
        <v/>
      </c>
      <c r="Z192" s="228">
        <f>IF(C192="Einnahmen",Q192,-Q192)</f>
        <v/>
      </c>
    </row>
    <row r="193">
      <c r="A193" s="53" t="n">
        <v>2019</v>
      </c>
      <c r="B193" s="53" t="n">
        <v>192</v>
      </c>
      <c r="C193" s="71" t="inlineStr">
        <is>
          <t>Ausgaben</t>
        </is>
      </c>
      <c r="D193" t="inlineStr">
        <is>
          <t>Reise- und Fahrtspesen inkl. Kilometergeld und Diäten</t>
        </is>
      </c>
      <c r="E193" s="9" t="inlineStr">
        <is>
          <t>3293000008315648</t>
        </is>
      </c>
      <c r="G193" s="1" t="n">
        <v>43777</v>
      </c>
      <c r="H193" t="inlineStr">
        <is>
          <t>car2go Österreich GmbH, Hintere Zollamtstraße 9, 1030 Wien</t>
        </is>
      </c>
      <c r="K193">
        <f>(IF(AND(I193&lt;&gt;"",AND(J193="",ABS(Q193)&gt;400)),TRUE,FALSE))</f>
        <v/>
      </c>
      <c r="L193" s="214" t="n">
        <v>2.7</v>
      </c>
      <c r="M193" s="159" t="n">
        <v>1</v>
      </c>
      <c r="N193" t="n">
        <v>20</v>
      </c>
      <c r="O193" s="237">
        <f>L193*N193/100</f>
        <v/>
      </c>
      <c r="P193" s="237">
        <f>M193*O193</f>
        <v/>
      </c>
      <c r="Q193" s="208">
        <f>L193*M193</f>
        <v/>
      </c>
      <c r="R193" s="251">
        <f>L193+O193</f>
        <v/>
      </c>
      <c r="S193" s="251">
        <f>Q193+P193</f>
        <v/>
      </c>
      <c r="T193" s="35">
        <f>voranmeldefrist_vierteljaehrlich(G193)</f>
        <v/>
      </c>
      <c r="U193" s="27" t="n"/>
      <c r="V193" s="27" t="n"/>
      <c r="W193" s="210">
        <f>IF(K193=TRUE,Q193/I193,Q193)</f>
        <v/>
      </c>
      <c r="X193" s="237">
        <f>V193/100*S193</f>
        <v/>
      </c>
      <c r="Y193">
        <f>IF(AND(V193&gt;0,N193=V193),TRUE,FALSE)</f>
        <v/>
      </c>
      <c r="Z193" s="228">
        <f>IF(C193="Einnahmen",Q193,-Q193)</f>
        <v/>
      </c>
    </row>
    <row r="194">
      <c r="A194" s="53" t="n">
        <v>2019</v>
      </c>
      <c r="B194" s="53" t="n">
        <v>193</v>
      </c>
      <c r="C194" s="71" t="inlineStr">
        <is>
          <t>Einnahmen</t>
        </is>
      </c>
      <c r="D194" t="inlineStr">
        <is>
          <t>Waren-/Leistungserlöse</t>
        </is>
      </c>
      <c r="E194" s="9" t="inlineStr">
        <is>
          <t>12019023</t>
        </is>
      </c>
      <c r="G194" s="1" t="n">
        <v>43781</v>
      </c>
      <c r="H194" t="inlineStr">
        <is>
          <t>vemap Academy GmbH, Berggasse 31, 1080 Wien</t>
        </is>
      </c>
      <c r="K194">
        <f>(IF(AND(I194&lt;&gt;"",AND(J194="",ABS(Q194)&gt;400)),TRUE,FALSE))</f>
        <v/>
      </c>
      <c r="L194" s="214" t="n">
        <v>2940</v>
      </c>
      <c r="M194" s="159" t="n">
        <v>1</v>
      </c>
      <c r="N194" t="n">
        <v>20</v>
      </c>
      <c r="O194" s="237">
        <f>L194*N194/100</f>
        <v/>
      </c>
      <c r="P194" s="237">
        <f>M194*O194</f>
        <v/>
      </c>
      <c r="Q194" s="208">
        <f>L194*M194</f>
        <v/>
      </c>
      <c r="R194" s="251">
        <f>L194+O194</f>
        <v/>
      </c>
      <c r="S194" s="251">
        <f>Q194+P194</f>
        <v/>
      </c>
      <c r="T194" s="35">
        <f>voranmeldefrist_vierteljaehrlich(G194)</f>
        <v/>
      </c>
      <c r="U194" s="27" t="n"/>
      <c r="V194" s="27" t="n"/>
      <c r="W194" s="210">
        <f>IF(K194=TRUE,Q194/I194,Q194)</f>
        <v/>
      </c>
      <c r="X194" s="237">
        <f>V194/100*S194</f>
        <v/>
      </c>
      <c r="Y194">
        <f>IF(AND(V194&gt;0,N194=V194),TRUE,FALSE)</f>
        <v/>
      </c>
      <c r="Z194" s="228">
        <f>IF(C194="Einnahmen",Q194,-Q194)</f>
        <v/>
      </c>
    </row>
    <row r="195">
      <c r="A195" s="53" t="n">
        <v>2019</v>
      </c>
      <c r="B195" s="53" t="n">
        <v>194</v>
      </c>
      <c r="C195" s="71" t="inlineStr">
        <is>
          <t>Ausgaben</t>
        </is>
      </c>
      <c r="D195" t="inlineStr">
        <is>
          <t>sonstige Betriebsausgaben</t>
        </is>
      </c>
      <c r="E195" s="9" t="inlineStr">
        <is>
          <t>R0010369975</t>
        </is>
      </c>
      <c r="G195" s="1" t="n">
        <v>43782</v>
      </c>
      <c r="H195" t="inlineStr">
        <is>
          <t>Hetzner Online GmbH</t>
        </is>
      </c>
      <c r="K195">
        <f>(IF(AND(I195&lt;&gt;"",AND(J195="",ABS(Q195)&gt;400)),TRUE,FALSE))</f>
        <v/>
      </c>
      <c r="L195" s="214" t="n">
        <v>48.13</v>
      </c>
      <c r="M195" s="159" t="n">
        <v>1</v>
      </c>
      <c r="N195" t="n">
        <v>0</v>
      </c>
      <c r="O195" s="237">
        <f>L195*N195/100</f>
        <v/>
      </c>
      <c r="P195" s="237">
        <f>M195*O195</f>
        <v/>
      </c>
      <c r="Q195" s="208">
        <f>L195*M195</f>
        <v/>
      </c>
      <c r="R195" s="251">
        <f>L195+O195</f>
        <v/>
      </c>
      <c r="S195" s="251">
        <f>Q195+P195</f>
        <v/>
      </c>
      <c r="T195" s="35">
        <f>voranmeldefrist_vierteljaehrlich(G195)</f>
        <v/>
      </c>
      <c r="U195" s="27" t="n"/>
      <c r="V195" s="27" t="n">
        <v>20</v>
      </c>
      <c r="W195" s="210">
        <f>IF(K195=TRUE,Q195/J195,Q195)</f>
        <v/>
      </c>
      <c r="X195" s="237">
        <f>V195/100*S195</f>
        <v/>
      </c>
      <c r="Y195">
        <f>IF(AND(V195&gt;0,N195=V195),TRUE,FALSE)</f>
        <v/>
      </c>
      <c r="Z195" s="228">
        <f>IF(C195="Einnahmen",Q195,-Q195)</f>
        <v/>
      </c>
    </row>
    <row r="196">
      <c r="A196" s="53" t="n">
        <v>2019</v>
      </c>
      <c r="B196" s="53" t="n">
        <v>195</v>
      </c>
      <c r="C196" s="71" t="inlineStr">
        <is>
          <t>Ausgaben</t>
        </is>
      </c>
      <c r="D196" t="inlineStr">
        <is>
          <t>sonstige Betriebsausgaben</t>
        </is>
      </c>
      <c r="E196" s="9" t="inlineStr">
        <is>
          <t>14005428914/40/2019</t>
        </is>
      </c>
      <c r="G196" s="1" t="n">
        <v>43784</v>
      </c>
      <c r="H196" t="inlineStr">
        <is>
          <t>Montana Energie Handel AT GmbH</t>
        </is>
      </c>
      <c r="K196">
        <f>(IF(AND(I196&lt;&gt;"",AND(J196="",ABS(Q196)&gt;400)),TRUE,FALSE))</f>
        <v/>
      </c>
      <c r="L196" s="214" t="n">
        <v>66.67</v>
      </c>
      <c r="M196" s="159">
        <f>Arbeitszimmer!$B$3</f>
        <v/>
      </c>
      <c r="N196" t="n">
        <v>20</v>
      </c>
      <c r="O196" s="237">
        <f>L196*N196/100</f>
        <v/>
      </c>
      <c r="P196" s="237">
        <f>M196*O196</f>
        <v/>
      </c>
      <c r="Q196" s="208">
        <f>L196*M196</f>
        <v/>
      </c>
      <c r="R196" s="251">
        <f>L196+O196</f>
        <v/>
      </c>
      <c r="S196" s="251">
        <f>Q196+P196</f>
        <v/>
      </c>
      <c r="T196" s="35">
        <f>voranmeldefrist_vierteljaehrlich(G196)</f>
        <v/>
      </c>
      <c r="U196" s="27" t="n"/>
      <c r="V196" s="27" t="n"/>
      <c r="W196" s="210">
        <f>IF(K196=TRUE,Q196/I196,Q196)</f>
        <v/>
      </c>
      <c r="X196" s="237">
        <f>V196/100*S196</f>
        <v/>
      </c>
      <c r="Y196">
        <f>IF(AND(V196&gt;0,N196=V196),TRUE,FALSE)</f>
        <v/>
      </c>
      <c r="Z196" s="228">
        <f>IF(C196="Einnahmen",Q196,-Q196)</f>
        <v/>
      </c>
    </row>
    <row r="197">
      <c r="A197" s="53" t="n">
        <v>2019</v>
      </c>
      <c r="B197" s="53" t="n">
        <v>196</v>
      </c>
      <c r="C197" s="71" t="inlineStr">
        <is>
          <t>Ausgaben</t>
        </is>
      </c>
      <c r="D197" t="inlineStr">
        <is>
          <t>Reise- und Fahrtspesen inkl. Kilometergeld und Diäten</t>
        </is>
      </c>
      <c r="E197" s="9" t="inlineStr">
        <is>
          <t>3293000008349967</t>
        </is>
      </c>
      <c r="G197" s="1" t="n">
        <v>43784</v>
      </c>
      <c r="H197" t="inlineStr">
        <is>
          <t>car2go Österreich GmbH, Hintere Zollamtstraße 9, 1030 Wien</t>
        </is>
      </c>
      <c r="K197">
        <f>(IF(AND(I197&lt;&gt;"",AND(J197="",ABS(Q197)&gt;400)),TRUE,FALSE))</f>
        <v/>
      </c>
      <c r="L197" s="214" t="n">
        <v>3.87</v>
      </c>
      <c r="M197" s="159" t="n">
        <v>1</v>
      </c>
      <c r="N197" t="n">
        <v>20</v>
      </c>
      <c r="O197" s="237">
        <f>L197*N197/100</f>
        <v/>
      </c>
      <c r="P197" s="237">
        <f>M197*O197</f>
        <v/>
      </c>
      <c r="Q197" s="208">
        <f>L197*M197</f>
        <v/>
      </c>
      <c r="R197" s="251">
        <f>L197+O197</f>
        <v/>
      </c>
      <c r="S197" s="251">
        <f>Q197+P197</f>
        <v/>
      </c>
      <c r="T197" s="35">
        <f>voranmeldefrist_vierteljaehrlich(G197)</f>
        <v/>
      </c>
      <c r="U197" s="27" t="n"/>
      <c r="V197" s="27" t="n"/>
      <c r="W197" s="210">
        <f>IF(K197=TRUE,Q197/I197,Q197)</f>
        <v/>
      </c>
      <c r="X197" s="237">
        <f>V197/100*S197</f>
        <v/>
      </c>
      <c r="Y197">
        <f>IF(AND(V197&gt;0,N197=V197),TRUE,FALSE)</f>
        <v/>
      </c>
      <c r="Z197" s="228">
        <f>IF(C197="Einnahmen",Q197,-Q197)</f>
        <v/>
      </c>
    </row>
    <row r="198">
      <c r="A198" s="53" t="n">
        <v>2019</v>
      </c>
      <c r="B198" s="53" t="n">
        <v>197</v>
      </c>
      <c r="C198" s="71" t="inlineStr">
        <is>
          <t>Ausgaben</t>
        </is>
      </c>
      <c r="D198" t="inlineStr">
        <is>
          <t>Reise- und Fahrtspesen inkl. Kilometergeld und Diäten</t>
        </is>
      </c>
      <c r="E198" s="9" t="inlineStr">
        <is>
          <t>3293000008348869</t>
        </is>
      </c>
      <c r="G198" s="1" t="n">
        <v>43784</v>
      </c>
      <c r="H198" t="inlineStr">
        <is>
          <t>car2go Österreich GmbH, Hintere Zollamtstraße 9, 1030 Wien</t>
        </is>
      </c>
      <c r="K198">
        <f>(IF(AND(I198&lt;&gt;"",AND(J198="",ABS(Q198)&gt;400)),TRUE,FALSE))</f>
        <v/>
      </c>
      <c r="L198" s="214" t="n">
        <v>8.27</v>
      </c>
      <c r="M198" s="159" t="n">
        <v>1</v>
      </c>
      <c r="N198" t="n">
        <v>20</v>
      </c>
      <c r="O198" s="237">
        <f>L198*N198/100</f>
        <v/>
      </c>
      <c r="P198" s="237">
        <f>M198*O198</f>
        <v/>
      </c>
      <c r="Q198" s="208">
        <f>L198*M198</f>
        <v/>
      </c>
      <c r="R198" s="251">
        <f>L198+O198</f>
        <v/>
      </c>
      <c r="S198" s="251">
        <f>Q198+P198</f>
        <v/>
      </c>
      <c r="T198" s="35">
        <f>voranmeldefrist_vierteljaehrlich(G198)</f>
        <v/>
      </c>
      <c r="U198" s="27" t="n"/>
      <c r="V198" s="27" t="n"/>
      <c r="W198" s="210">
        <f>IF(K198=TRUE,Q198/I198,Q198)</f>
        <v/>
      </c>
      <c r="X198" s="237">
        <f>V198/100*S198</f>
        <v/>
      </c>
      <c r="Y198">
        <f>IF(AND(V198&gt;0,N198=V198),TRUE,FALSE)</f>
        <v/>
      </c>
      <c r="Z198" s="228">
        <f>IF(C198="Einnahmen",Q198,-Q198)</f>
        <v/>
      </c>
    </row>
    <row r="199">
      <c r="A199" s="53" t="n">
        <v>2019</v>
      </c>
      <c r="B199" s="53" t="n">
        <v>198</v>
      </c>
      <c r="C199" s="71" t="inlineStr">
        <is>
          <t>Ausgaben</t>
        </is>
      </c>
      <c r="D199" t="inlineStr">
        <is>
          <t>Reise- und Fahrtspesen inkl. Kilometergeld und Diäten</t>
        </is>
      </c>
      <c r="E199" s="9" t="inlineStr">
        <is>
          <t>3293000008347916</t>
        </is>
      </c>
      <c r="G199" s="1" t="n">
        <v>43784</v>
      </c>
      <c r="H199" t="inlineStr">
        <is>
          <t>car2go Österreich GmbH, Hintere Zollamtstraße 9, 1030 Wien</t>
        </is>
      </c>
      <c r="K199">
        <f>(IF(AND(I199&lt;&gt;"",AND(J199="",ABS(Q199)&gt;400)),TRUE,FALSE))</f>
        <v/>
      </c>
      <c r="L199" s="214" t="n">
        <v>7.23</v>
      </c>
      <c r="M199" s="159" t="n">
        <v>1</v>
      </c>
      <c r="N199" t="n">
        <v>20</v>
      </c>
      <c r="O199" s="237">
        <f>L199*N199/100</f>
        <v/>
      </c>
      <c r="P199" s="237">
        <f>M199*O199</f>
        <v/>
      </c>
      <c r="Q199" s="208">
        <f>L199*M199</f>
        <v/>
      </c>
      <c r="R199" s="251">
        <f>L199+O199</f>
        <v/>
      </c>
      <c r="S199" s="251">
        <f>Q199+P199</f>
        <v/>
      </c>
      <c r="T199" s="35">
        <f>voranmeldefrist_vierteljaehrlich(G199)</f>
        <v/>
      </c>
      <c r="U199" s="27" t="n"/>
      <c r="V199" s="27" t="n"/>
      <c r="W199" s="210">
        <f>IF(K199=TRUE,Q199/I199,Q199)</f>
        <v/>
      </c>
      <c r="X199" s="237">
        <f>V199/100*S199</f>
        <v/>
      </c>
      <c r="Y199">
        <f>IF(AND(V199&gt;0,N199=V199),TRUE,FALSE)</f>
        <v/>
      </c>
      <c r="Z199" s="228">
        <f>IF(C199="Einnahmen",Q199,-Q199)</f>
        <v/>
      </c>
    </row>
    <row r="200">
      <c r="A200" s="53" t="n">
        <v>2019</v>
      </c>
      <c r="B200" s="53" t="n">
        <v>199</v>
      </c>
      <c r="C200" s="71" t="inlineStr">
        <is>
          <t>Ausgaben</t>
        </is>
      </c>
      <c r="D200" t="inlineStr">
        <is>
          <t>sonstige Betriebsausgaben</t>
        </is>
      </c>
      <c r="E200" s="9" t="inlineStr">
        <is>
          <t>Maestro A0000000043060 B4C57BC8B 00CFE46</t>
        </is>
      </c>
      <c r="G200" s="1" t="n">
        <v>43714</v>
      </c>
      <c r="H200" t="inlineStr">
        <is>
          <t>Ikea Möbervertrieb OHG, Einrichtungshaus Wien Nord, Sverigestraße 1A, 1220 Wien</t>
        </is>
      </c>
      <c r="K200">
        <f>(IF(AND(I200&lt;&gt;"",AND(J200="",ABS(Q200)&gt;400)),TRUE,FALSE))</f>
        <v/>
      </c>
      <c r="L200" s="214" t="n">
        <v>95.06</v>
      </c>
      <c r="M200" s="159" t="n">
        <v>1</v>
      </c>
      <c r="N200" t="n">
        <v>20</v>
      </c>
      <c r="O200" s="237">
        <f>L200*N200/100</f>
        <v/>
      </c>
      <c r="P200" s="237">
        <f>M200*O200</f>
        <v/>
      </c>
      <c r="Q200" s="208">
        <f>L200*M200</f>
        <v/>
      </c>
      <c r="R200" s="251">
        <f>L200+O200</f>
        <v/>
      </c>
      <c r="S200" s="251">
        <f>Q200+P200</f>
        <v/>
      </c>
      <c r="T200" s="35">
        <f>voranmeldefrist_vierteljaehrlich(G200)</f>
        <v/>
      </c>
      <c r="U200" s="27" t="n"/>
      <c r="V200" s="27" t="n"/>
      <c r="W200" s="210">
        <f>IF(K200=TRUE,Q200/I200,Q200)</f>
        <v/>
      </c>
      <c r="X200" s="237">
        <f>V200/100*S200</f>
        <v/>
      </c>
      <c r="Y200">
        <f>IF(AND(V200&gt;0,N200=V200),TRUE,FALSE)</f>
        <v/>
      </c>
      <c r="Z200" s="228">
        <f>IF(C200="Einnahmen",Q200,-Q200)</f>
        <v/>
      </c>
    </row>
    <row r="201">
      <c r="A201" s="53" t="n">
        <v>2019</v>
      </c>
      <c r="B201" s="53" t="n">
        <v>200</v>
      </c>
      <c r="C201" s="71" t="inlineStr">
        <is>
          <t>Ausgaben</t>
        </is>
      </c>
      <c r="D201" t="inlineStr">
        <is>
          <t>sonstige Betriebsausgaben</t>
        </is>
      </c>
      <c r="E201" s="9" t="inlineStr">
        <is>
          <t>66860658_2</t>
        </is>
      </c>
      <c r="G201" s="1" t="n">
        <v>43787</v>
      </c>
      <c r="H201" t="inlineStr">
        <is>
          <t>MS E-COMMERCE GMBH, SCS-Bürocenter B2, 2334 Vösendorf, FN332512p</t>
        </is>
      </c>
      <c r="K201">
        <f>(IF(AND(I201&lt;&gt;"",AND(J201="",ABS(Q201)&gt;400)),TRUE,FALSE))</f>
        <v/>
      </c>
      <c r="L201" s="214">
        <f>-184.99/1.2</f>
        <v/>
      </c>
      <c r="M201" s="159" t="n">
        <v>1</v>
      </c>
      <c r="N201" t="n">
        <v>20</v>
      </c>
      <c r="O201" s="237">
        <f>L201*N201/100</f>
        <v/>
      </c>
      <c r="P201" s="237">
        <f>M201*O201</f>
        <v/>
      </c>
      <c r="Q201" s="208">
        <f>L201*M201</f>
        <v/>
      </c>
      <c r="R201" s="251">
        <f>L201+O201</f>
        <v/>
      </c>
      <c r="S201" s="251">
        <f>Q201+P201</f>
        <v/>
      </c>
      <c r="T201" s="35">
        <f>voranmeldefrist_vierteljaehrlich(G201)</f>
        <v/>
      </c>
      <c r="U201" s="27" t="n"/>
      <c r="V201" s="27" t="n"/>
      <c r="W201" s="210">
        <f>IF(K201=TRUE,Q201/I201,Q201)</f>
        <v/>
      </c>
      <c r="X201" s="237">
        <f>V201/100*S201</f>
        <v/>
      </c>
      <c r="Y201">
        <f>IF(AND(V201&gt;0,N201=V201),TRUE,FALSE)</f>
        <v/>
      </c>
      <c r="Z201" s="228">
        <f>IF(C201="Einnahmen",Q201,-Q201)</f>
        <v/>
      </c>
    </row>
    <row r="202">
      <c r="A202" s="53" t="n">
        <v>2019</v>
      </c>
      <c r="B202" s="53" t="n">
        <v>201</v>
      </c>
      <c r="C202" s="71" t="inlineStr">
        <is>
          <t>Ausgaben</t>
        </is>
      </c>
      <c r="D202" t="inlineStr">
        <is>
          <t>Reise- und Fahrtspesen inkl. Kilometergeld und Diäten</t>
        </is>
      </c>
      <c r="E202" s="9" t="inlineStr">
        <is>
          <t>3293000008372945</t>
        </is>
      </c>
      <c r="G202" s="1" t="n">
        <v>43789</v>
      </c>
      <c r="H202" t="inlineStr">
        <is>
          <t>car2go Österreich GmbH, Hintere Zollamtstraße 9, 1030 Wien</t>
        </is>
      </c>
      <c r="K202">
        <f>(IF(AND(I202&lt;&gt;"",AND(J202="",ABS(Q202)&gt;400)),TRUE,FALSE))</f>
        <v/>
      </c>
      <c r="L202" s="214" t="n">
        <v>6.09</v>
      </c>
      <c r="M202" s="159" t="n">
        <v>1</v>
      </c>
      <c r="N202" t="n">
        <v>20</v>
      </c>
      <c r="O202" s="237">
        <f>L202*N202/100</f>
        <v/>
      </c>
      <c r="P202" s="237">
        <f>M202*O202</f>
        <v/>
      </c>
      <c r="Q202" s="208">
        <f>L202*M202</f>
        <v/>
      </c>
      <c r="R202" s="251">
        <f>L202+O202</f>
        <v/>
      </c>
      <c r="S202" s="251">
        <f>Q202+P202</f>
        <v/>
      </c>
      <c r="T202" s="35">
        <f>voranmeldefrist_vierteljaehrlich(G202)</f>
        <v/>
      </c>
      <c r="U202" s="27" t="n"/>
      <c r="V202" s="27" t="n"/>
      <c r="W202" s="210">
        <f>IF(K202=TRUE,Q202/I202,Q202)</f>
        <v/>
      </c>
      <c r="X202" s="237">
        <f>V202/100*S202</f>
        <v/>
      </c>
      <c r="Y202">
        <f>IF(AND(V202&gt;0,N202=V202),TRUE,FALSE)</f>
        <v/>
      </c>
      <c r="Z202" s="228">
        <f>IF(C202="Einnahmen",Q202,-Q202)</f>
        <v/>
      </c>
    </row>
    <row r="203">
      <c r="A203" s="53" t="n">
        <v>2019</v>
      </c>
      <c r="B203" s="53" t="n">
        <v>202</v>
      </c>
      <c r="C203" s="71" t="inlineStr">
        <is>
          <t>Ausgaben</t>
        </is>
      </c>
      <c r="D203" t="inlineStr">
        <is>
          <t>Reise- und Fahrtspesen inkl. Kilometergeld und Diäten</t>
        </is>
      </c>
      <c r="E203" s="9" t="inlineStr">
        <is>
          <t>3293000008377079</t>
        </is>
      </c>
      <c r="G203" s="1" t="n">
        <v>43790</v>
      </c>
      <c r="H203" t="inlineStr">
        <is>
          <t>car2go Österreich GmbH, Hintere Zollamtstraße 9, 1030 Wien</t>
        </is>
      </c>
      <c r="K203">
        <f>(IF(AND(I203&lt;&gt;"",AND(J203="",ABS(Q203)&gt;400)),TRUE,FALSE))</f>
        <v/>
      </c>
      <c r="L203" s="214" t="n">
        <v>2.17</v>
      </c>
      <c r="M203" s="159" t="n">
        <v>1</v>
      </c>
      <c r="N203" t="n">
        <v>20</v>
      </c>
      <c r="O203" s="237">
        <f>L203*N203/100</f>
        <v/>
      </c>
      <c r="P203" s="237">
        <f>M203*O203</f>
        <v/>
      </c>
      <c r="Q203" s="208">
        <f>L203*M203</f>
        <v/>
      </c>
      <c r="R203" s="251">
        <f>L203+O203</f>
        <v/>
      </c>
      <c r="S203" s="251">
        <f>Q203+P203</f>
        <v/>
      </c>
      <c r="T203" s="35">
        <f>voranmeldefrist_vierteljaehrlich(G203)</f>
        <v/>
      </c>
      <c r="U203" s="27" t="n"/>
      <c r="V203" s="27" t="n"/>
      <c r="W203" s="210">
        <f>IF(K203=TRUE,Q203/I203,Q203)</f>
        <v/>
      </c>
      <c r="X203" s="237">
        <f>V203/100*S203</f>
        <v/>
      </c>
      <c r="Y203">
        <f>IF(AND(V203&gt;0,N203=V203),TRUE,FALSE)</f>
        <v/>
      </c>
      <c r="Z203" s="228">
        <f>IF(C203="Einnahmen",Q203,-Q203)</f>
        <v/>
      </c>
    </row>
    <row r="204">
      <c r="A204" s="53" t="n">
        <v>2019</v>
      </c>
      <c r="B204" s="53" t="n">
        <v>203</v>
      </c>
      <c r="C204" s="71" t="inlineStr">
        <is>
          <t>Ausgaben</t>
        </is>
      </c>
      <c r="D204" t="inlineStr">
        <is>
          <t>Werbe- und Repräsentationsaufwand</t>
        </is>
      </c>
      <c r="E204" s="9" t="inlineStr">
        <is>
          <t>AT2019741</t>
        </is>
      </c>
      <c r="G204" s="1" t="n">
        <v>43790</v>
      </c>
      <c r="H204" t="inlineStr">
        <is>
          <t>Flyeralarm, online Druck GmbH, Brown-Boveri-Str. 8, 2351 Wr. Neudorf</t>
        </is>
      </c>
      <c r="K204">
        <f>(IF(AND(I204&lt;&gt;"",AND(J204="",ABS(Q204)&gt;400)),TRUE,FALSE))</f>
        <v/>
      </c>
      <c r="L204" s="214" t="n">
        <v>192.96</v>
      </c>
      <c r="M204" s="159" t="n">
        <v>1</v>
      </c>
      <c r="N204" t="n">
        <v>20</v>
      </c>
      <c r="O204" s="237">
        <f>L204*N204/100</f>
        <v/>
      </c>
      <c r="P204" s="237">
        <f>M204*O204</f>
        <v/>
      </c>
      <c r="Q204" s="208">
        <f>L204*M204</f>
        <v/>
      </c>
      <c r="R204" s="251">
        <f>L204+O204</f>
        <v/>
      </c>
      <c r="S204" s="251">
        <f>Q204+P204</f>
        <v/>
      </c>
      <c r="T204" s="35">
        <f>voranmeldefrist_vierteljaehrlich(G204)</f>
        <v/>
      </c>
      <c r="U204" s="27" t="n"/>
      <c r="V204" s="27" t="n"/>
      <c r="W204" s="210">
        <f>IF(K204=TRUE,Q204/I204,Q204)</f>
        <v/>
      </c>
      <c r="X204" s="237">
        <f>V204/100*S204</f>
        <v/>
      </c>
      <c r="Y204">
        <f>IF(AND(V204&gt;0,N204=V204),TRUE,FALSE)</f>
        <v/>
      </c>
      <c r="Z204" s="228">
        <f>IF(C204="Einnahmen",Q204,-Q204)</f>
        <v/>
      </c>
    </row>
    <row r="205">
      <c r="A205" s="53" t="n">
        <v>2019</v>
      </c>
      <c r="B205" s="53" t="n">
        <v>204</v>
      </c>
      <c r="C205" s="71" t="inlineStr">
        <is>
          <t>Ausgaben</t>
        </is>
      </c>
      <c r="D205" t="inlineStr">
        <is>
          <t>Reise- und Fahrtspesen inkl. Kilometergeld und Diäten</t>
        </is>
      </c>
      <c r="E205" s="9" t="inlineStr">
        <is>
          <t>3293000008381304</t>
        </is>
      </c>
      <c r="G205" s="1" t="n">
        <v>43791</v>
      </c>
      <c r="H205" t="inlineStr">
        <is>
          <t>car2go Österreich GmbH, Hintere Zollamtstraße 9, 1030 Wien</t>
        </is>
      </c>
      <c r="K205">
        <f>(IF(AND(I205&lt;&gt;"",AND(J205="",ABS(Q205)&gt;400)),TRUE,FALSE))</f>
        <v/>
      </c>
      <c r="L205" s="214" t="n">
        <v>2.07</v>
      </c>
      <c r="M205" s="159" t="n">
        <v>1</v>
      </c>
      <c r="N205" t="n">
        <v>20</v>
      </c>
      <c r="O205" s="237">
        <f>L205*N205/100</f>
        <v/>
      </c>
      <c r="P205" s="237">
        <f>M205*O205</f>
        <v/>
      </c>
      <c r="Q205" s="208">
        <f>L205*M205</f>
        <v/>
      </c>
      <c r="R205" s="251">
        <f>L205+O205</f>
        <v/>
      </c>
      <c r="S205" s="251">
        <f>Q205+P205</f>
        <v/>
      </c>
      <c r="T205" s="35">
        <f>voranmeldefrist_vierteljaehrlich(G205)</f>
        <v/>
      </c>
      <c r="U205" s="27" t="n"/>
      <c r="V205" s="27" t="n"/>
      <c r="W205" s="210">
        <f>IF(K205=TRUE,Q205/I205,Q205)</f>
        <v/>
      </c>
      <c r="X205" s="237">
        <f>V205/100*S205</f>
        <v/>
      </c>
      <c r="Y205">
        <f>IF(AND(V205&gt;0,N205=V205),TRUE,FALSE)</f>
        <v/>
      </c>
      <c r="Z205" s="228">
        <f>IF(C205="Einnahmen",Q205,-Q205)</f>
        <v/>
      </c>
    </row>
    <row r="206">
      <c r="A206" s="53" t="n">
        <v>2019</v>
      </c>
      <c r="B206" s="53" t="n">
        <v>205</v>
      </c>
      <c r="C206" s="71" t="inlineStr">
        <is>
          <t>Ausgaben</t>
        </is>
      </c>
      <c r="D206" t="inlineStr">
        <is>
          <t>Telefon/Internet</t>
        </is>
      </c>
      <c r="E206" s="9" t="inlineStr">
        <is>
          <t>901182361119</t>
        </is>
      </c>
      <c r="G206" s="1" t="n">
        <v>43791</v>
      </c>
      <c r="H206" t="inlineStr">
        <is>
          <t>T-Mobile Austria GmbH, A-1031 Wien, Postfach 676</t>
        </is>
      </c>
      <c r="K206">
        <f>(IF(AND(I206&lt;&gt;"",AND(J206="",ABS(Q206)&gt;400)),TRUE,FALSE))</f>
        <v/>
      </c>
      <c r="L206" s="214" t="n">
        <v>99</v>
      </c>
      <c r="M206" s="159" t="n">
        <v>1</v>
      </c>
      <c r="N206" t="n">
        <v>20</v>
      </c>
      <c r="O206" s="237">
        <f>L206*N206/100</f>
        <v/>
      </c>
      <c r="P206" s="237">
        <f>M206*O206</f>
        <v/>
      </c>
      <c r="Q206" s="208">
        <f>L206*M206</f>
        <v/>
      </c>
      <c r="R206" s="251">
        <f>L206+O206</f>
        <v/>
      </c>
      <c r="S206" s="251">
        <f>Q206+P206</f>
        <v/>
      </c>
      <c r="T206" s="35">
        <f>voranmeldefrist_vierteljaehrlich(G206)</f>
        <v/>
      </c>
      <c r="U206" s="27" t="n"/>
      <c r="V206" s="27" t="n"/>
      <c r="W206" s="210">
        <f>IF(K206=TRUE,Q206/I206,Q206)</f>
        <v/>
      </c>
      <c r="X206" s="237">
        <f>V206/100*S206</f>
        <v/>
      </c>
      <c r="Y206">
        <f>IF(AND(V206&gt;0,N206=V206),TRUE,FALSE)</f>
        <v/>
      </c>
      <c r="Z206" s="228">
        <f>IF(C206="Einnahmen",Q206,-Q206)</f>
        <v/>
      </c>
    </row>
    <row r="207">
      <c r="A207" s="53" t="n">
        <v>2019</v>
      </c>
      <c r="B207" s="53" t="n">
        <v>206</v>
      </c>
      <c r="C207" s="71" t="inlineStr">
        <is>
          <t>Ausgaben</t>
        </is>
      </c>
      <c r="D207" t="inlineStr">
        <is>
          <t>Miet- und Pachtaufwand, Leasing</t>
        </is>
      </c>
      <c r="E207" s="9" t="inlineStr">
        <is>
          <t>2019/8058/14</t>
        </is>
      </c>
      <c r="G207" s="1" t="n">
        <v>43794</v>
      </c>
      <c r="H207" t="inlineStr">
        <is>
          <t>Premium Laudongasse 58 GmbH &amp; Co KG</t>
        </is>
      </c>
      <c r="K207">
        <f>(IF(AND(I207&lt;&gt;"",AND(J207="",ABS(Q207)&gt;400)),TRUE,FALSE))</f>
        <v/>
      </c>
      <c r="L207" s="214" t="n">
        <v>763.4400000000001</v>
      </c>
      <c r="M207" s="159">
        <f>Arbeitszimmer!$B$3</f>
        <v/>
      </c>
      <c r="N207" t="n">
        <v>10</v>
      </c>
      <c r="O207" s="237">
        <f>L207*N207/100</f>
        <v/>
      </c>
      <c r="P207" s="237">
        <f>M207*O207</f>
        <v/>
      </c>
      <c r="Q207" s="208">
        <f>L207*M207</f>
        <v/>
      </c>
      <c r="R207" s="251">
        <f>L207+O207</f>
        <v/>
      </c>
      <c r="S207" s="251">
        <f>Q207+P207</f>
        <v/>
      </c>
      <c r="T207" s="35">
        <f>voranmeldefrist_vierteljaehrlich(G207)</f>
        <v/>
      </c>
      <c r="U207" s="27" t="n"/>
      <c r="V207" s="27" t="n"/>
      <c r="W207" s="210">
        <f>IF(K207=TRUE,Q207/J207,Q207)</f>
        <v/>
      </c>
      <c r="X207" s="237">
        <f>V207/100*S207</f>
        <v/>
      </c>
      <c r="Y207">
        <f>IF(AND(V207&gt;0,N207=V207),TRUE,FALSE)</f>
        <v/>
      </c>
      <c r="Z207" s="228">
        <f>IF(C207="Einnahmen",Q207,-Q207)</f>
        <v/>
      </c>
    </row>
    <row r="208">
      <c r="A208" s="53" t="n">
        <v>2019</v>
      </c>
      <c r="B208" s="53" t="n">
        <v>207</v>
      </c>
      <c r="C208" s="71" t="inlineStr">
        <is>
          <t>Einnahmen</t>
        </is>
      </c>
      <c r="D208" t="inlineStr">
        <is>
          <t>Waren-/Leistungserlöse</t>
        </is>
      </c>
      <c r="E208" s="9" t="inlineStr">
        <is>
          <t>168029464</t>
        </is>
      </c>
      <c r="G208" s="1" t="n">
        <v>43795</v>
      </c>
      <c r="H208" t="inlineStr">
        <is>
          <t>Hays Österreich GmbH</t>
        </is>
      </c>
      <c r="K208">
        <f>(IF(AND(I208&lt;&gt;"",AND(J208="",ABS(Q208)&gt;400)),TRUE,FALSE))</f>
        <v/>
      </c>
      <c r="L208" s="214" t="n">
        <v>1268.5</v>
      </c>
      <c r="M208" s="159" t="n">
        <v>1</v>
      </c>
      <c r="N208" t="n">
        <v>20</v>
      </c>
      <c r="O208" s="237">
        <f>L208*N208/100</f>
        <v/>
      </c>
      <c r="P208" s="237">
        <f>M208*O208</f>
        <v/>
      </c>
      <c r="Q208" s="208">
        <f>L208*M208</f>
        <v/>
      </c>
      <c r="R208" s="251">
        <f>L208+O208</f>
        <v/>
      </c>
      <c r="S208" s="251">
        <f>Q208+P208</f>
        <v/>
      </c>
      <c r="T208" s="35">
        <f>voranmeldefrist_vierteljaehrlich(G208)</f>
        <v/>
      </c>
      <c r="U208" s="27" t="n"/>
      <c r="V208" s="27" t="n"/>
      <c r="W208" s="210">
        <f>IF(K208=TRUE,Q208/J208,Q208)</f>
        <v/>
      </c>
      <c r="X208" s="237">
        <f>V208/100*S208</f>
        <v/>
      </c>
      <c r="Y208">
        <f>IF(AND(V208&gt;0,N208=V208),TRUE,FALSE)</f>
        <v/>
      </c>
      <c r="Z208" s="228">
        <f>IF(C208="Einnahmen",Q208,-Q208)</f>
        <v/>
      </c>
    </row>
    <row r="209">
      <c r="A209" s="53" t="n">
        <v>2019</v>
      </c>
      <c r="B209" s="53" t="n">
        <v>208</v>
      </c>
      <c r="C209" s="71" t="inlineStr">
        <is>
          <t>Einnahmen</t>
        </is>
      </c>
      <c r="D209" t="inlineStr">
        <is>
          <t>Waren-/Leistungserlöse</t>
        </is>
      </c>
      <c r="E209" s="9" t="inlineStr">
        <is>
          <t>12019025</t>
        </is>
      </c>
      <c r="G209" s="1" t="n">
        <v>43797</v>
      </c>
      <c r="H209" t="inlineStr">
        <is>
          <t>Theresa Häfele-Kolbitsch, Josef-Mohrgasse 9, 2102 Bisamberg</t>
        </is>
      </c>
      <c r="K209">
        <f>(IF(AND(I209&lt;&gt;"",AND(J209="",ABS(Q209)&gt;400)),TRUE,FALSE))</f>
        <v/>
      </c>
      <c r="L209" s="214" t="n">
        <v>520.58</v>
      </c>
      <c r="M209" s="159" t="n">
        <v>1</v>
      </c>
      <c r="N209" t="n">
        <v>20</v>
      </c>
      <c r="O209" s="237">
        <f>L209*N209/100</f>
        <v/>
      </c>
      <c r="P209" s="237">
        <f>M209*O209</f>
        <v/>
      </c>
      <c r="Q209" s="208">
        <f>L209*M209</f>
        <v/>
      </c>
      <c r="R209" s="251">
        <f>L209+O209</f>
        <v/>
      </c>
      <c r="S209" s="251">
        <f>Q209+P209</f>
        <v/>
      </c>
      <c r="T209" s="35">
        <f>voranmeldefrist_vierteljaehrlich(G209)</f>
        <v/>
      </c>
      <c r="U209" s="27" t="n"/>
      <c r="V209" s="27" t="n"/>
      <c r="W209" s="210">
        <f>IF(K209=TRUE,Q209/J209,Q209)</f>
        <v/>
      </c>
      <c r="X209" s="237">
        <f>V209/100*S209</f>
        <v/>
      </c>
      <c r="Y209">
        <f>IF(AND(V209&gt;0,N209=V209),TRUE,FALSE)</f>
        <v/>
      </c>
      <c r="Z209" s="228">
        <f>IF(C209="Einnahmen",Q209,-Q209)</f>
        <v/>
      </c>
    </row>
    <row r="210">
      <c r="A210" s="53" t="n">
        <v>2019</v>
      </c>
      <c r="B210" s="53" t="n">
        <v>209</v>
      </c>
      <c r="C210" s="71" t="inlineStr">
        <is>
          <t>Ausgaben</t>
        </is>
      </c>
      <c r="D210" t="inlineStr">
        <is>
          <t>Reise- und Fahrtspesen inkl. Kilometergeld und Diäten</t>
        </is>
      </c>
      <c r="E210" s="9" t="inlineStr">
        <is>
          <t>3293000008420030</t>
        </is>
      </c>
      <c r="G210" s="1" t="n">
        <v>43797</v>
      </c>
      <c r="H210" t="inlineStr">
        <is>
          <t>car2go Österreich GmbH, Hintere Zollamtstraße 9, 1030 Wien</t>
        </is>
      </c>
      <c r="K210">
        <f>(IF(AND(I210&lt;&gt;"",AND(J210="",ABS(Q210)&gt;400)),TRUE,FALSE))</f>
        <v/>
      </c>
      <c r="L210" s="214" t="n">
        <v>5.42</v>
      </c>
      <c r="M210" s="159" t="n">
        <v>1</v>
      </c>
      <c r="N210" t="n">
        <v>20</v>
      </c>
      <c r="O210" s="237">
        <f>L210*N210/100</f>
        <v/>
      </c>
      <c r="P210" s="237">
        <f>M210*O210</f>
        <v/>
      </c>
      <c r="Q210" s="208">
        <f>L210*M210</f>
        <v/>
      </c>
      <c r="R210" s="251">
        <f>L210+O210</f>
        <v/>
      </c>
      <c r="S210" s="251">
        <f>Q210+P210</f>
        <v/>
      </c>
      <c r="T210" s="35">
        <f>voranmeldefrist_vierteljaehrlich(G210)</f>
        <v/>
      </c>
      <c r="U210" s="27" t="n"/>
      <c r="V210" s="27" t="n"/>
      <c r="W210" s="210">
        <f>IF(K210=TRUE,Q210/I210,Q210)</f>
        <v/>
      </c>
      <c r="X210" s="237">
        <f>V210/100*S210</f>
        <v/>
      </c>
      <c r="Y210">
        <f>IF(AND(V210&gt;0,N210=V210),TRUE,FALSE)</f>
        <v/>
      </c>
      <c r="Z210" s="228">
        <f>IF(C210="Einnahmen",Q210,-Q210)</f>
        <v/>
      </c>
    </row>
    <row r="211">
      <c r="A211" s="53" t="n">
        <v>2019</v>
      </c>
      <c r="B211" s="53" t="n">
        <v>210</v>
      </c>
      <c r="C211" s="71" t="inlineStr">
        <is>
          <t>Ausgaben</t>
        </is>
      </c>
      <c r="D211" t="inlineStr">
        <is>
          <t>sonstige Betriebsausgaben</t>
        </is>
      </c>
      <c r="E211" s="9" t="inlineStr">
        <is>
          <t>RE0783783</t>
        </is>
      </c>
      <c r="G211" s="1" t="n">
        <v>43798</v>
      </c>
      <c r="H211" t="inlineStr">
        <is>
          <t>easyname GmbH, Fernkorngasse 10/3/501, A-1100 Wien</t>
        </is>
      </c>
      <c r="K211">
        <f>(IF(AND(I211&lt;&gt;"",AND(J211="",ABS(Q211)&gt;400)),TRUE,FALSE))</f>
        <v/>
      </c>
      <c r="L211" s="214" t="n">
        <v>16.58</v>
      </c>
      <c r="M211" s="159" t="n">
        <v>1</v>
      </c>
      <c r="N211" t="n">
        <v>20</v>
      </c>
      <c r="O211" s="237">
        <f>L211*N211/100</f>
        <v/>
      </c>
      <c r="P211" s="237">
        <f>M211*O211</f>
        <v/>
      </c>
      <c r="Q211" s="208">
        <f>L211*M211</f>
        <v/>
      </c>
      <c r="R211" s="251">
        <f>L211+O211</f>
        <v/>
      </c>
      <c r="S211" s="251">
        <f>Q211+P211</f>
        <v/>
      </c>
      <c r="T211" s="35">
        <f>voranmeldefrist_vierteljaehrlich(G211)</f>
        <v/>
      </c>
      <c r="U211" s="27" t="n"/>
      <c r="V211" s="27" t="n"/>
      <c r="W211" s="210">
        <f>IF(K211=TRUE,Q211/J211,Q211)</f>
        <v/>
      </c>
      <c r="X211" s="237">
        <f>V211/100*S211</f>
        <v/>
      </c>
      <c r="Y211">
        <f>IF(AND(V211&gt;0,N211=V211),TRUE,FALSE)</f>
        <v/>
      </c>
      <c r="Z211" s="228">
        <f>IF(C211="Einnahmen",Q211,-Q211)</f>
        <v/>
      </c>
    </row>
    <row r="212">
      <c r="A212" s="53" t="n">
        <v>2019</v>
      </c>
      <c r="B212" s="53" t="n">
        <v>211</v>
      </c>
      <c r="C212" s="71" t="inlineStr">
        <is>
          <t>Ausgaben</t>
        </is>
      </c>
      <c r="D212" t="inlineStr">
        <is>
          <t>Werbe- und Repräsentationsaufwand</t>
        </is>
      </c>
      <c r="E212" s="9" t="inlineStr">
        <is>
          <t>PRM319110005266</t>
        </is>
      </c>
      <c r="G212" s="1" t="n">
        <v>43798</v>
      </c>
      <c r="H212" t="inlineStr">
        <is>
          <t>Xing SE, Dammtorstraße 30, 20354 Hamburg</t>
        </is>
      </c>
      <c r="K212">
        <f>(IF(AND(I212&lt;&gt;"",AND(J212="",ABS(Q212)&gt;400)),TRUE,FALSE))</f>
        <v/>
      </c>
      <c r="L212" s="214" t="n">
        <v>24.88</v>
      </c>
      <c r="M212" s="159" t="n">
        <v>1</v>
      </c>
      <c r="N212" t="n">
        <v>0</v>
      </c>
      <c r="O212" s="237">
        <f>L212*N212/100</f>
        <v/>
      </c>
      <c r="P212" s="237">
        <f>M212*O212</f>
        <v/>
      </c>
      <c r="Q212" s="208">
        <f>L212*M212</f>
        <v/>
      </c>
      <c r="R212" s="251">
        <f>L212+O212</f>
        <v/>
      </c>
      <c r="S212" s="251">
        <f>Q212+P212</f>
        <v/>
      </c>
      <c r="T212" s="35">
        <f>voranmeldefrist_vierteljaehrlich(G212)</f>
        <v/>
      </c>
      <c r="U212" s="27" t="n"/>
      <c r="V212" s="27" t="n">
        <v>20</v>
      </c>
      <c r="W212" s="210">
        <f>IF(K212=TRUE,Q212/I212,Q212)</f>
        <v/>
      </c>
      <c r="X212" s="237">
        <f>V212/100*S212</f>
        <v/>
      </c>
      <c r="Y212">
        <f>IF(AND(V212&gt;0,N212=V212),TRUE,FALSE)</f>
        <v/>
      </c>
      <c r="Z212" s="228">
        <f>IF(C212="Einnahmen",Q212,-Q212)</f>
        <v/>
      </c>
    </row>
    <row r="213">
      <c r="A213" s="53" t="n">
        <v>2019</v>
      </c>
      <c r="B213" s="53" t="n">
        <v>212</v>
      </c>
      <c r="C213" s="71" t="inlineStr">
        <is>
          <t>Ausgaben</t>
        </is>
      </c>
      <c r="D213" t="inlineStr">
        <is>
          <t>Pflichversicherungsbeiträge</t>
        </is>
      </c>
      <c r="E213" s="9" t="n">
        <v>11561270283</v>
      </c>
      <c r="G213" s="1" t="n">
        <v>43801</v>
      </c>
      <c r="H213" t="inlineStr">
        <is>
          <t>Sozialversicherung der gewerblichen Wirtshaft</t>
        </is>
      </c>
      <c r="K213">
        <f>(IF(AND(I213&lt;&gt;"",AND(J213="",ABS(Q213)&gt;400)),TRUE,FALSE))</f>
        <v/>
      </c>
      <c r="L213" s="214" t="n">
        <v>4296.6</v>
      </c>
      <c r="M213" s="159" t="n">
        <v>1</v>
      </c>
      <c r="N213" t="n">
        <v>0</v>
      </c>
      <c r="O213" s="237">
        <f>L213*N213/100</f>
        <v/>
      </c>
      <c r="P213" s="237">
        <f>M213*O213</f>
        <v/>
      </c>
      <c r="Q213" s="208">
        <f>L213*M213</f>
        <v/>
      </c>
      <c r="R213" s="251">
        <f>L213+O213</f>
        <v/>
      </c>
      <c r="S213" s="251">
        <f>Q213+P213</f>
        <v/>
      </c>
      <c r="T213" s="35">
        <f>voranmeldefrist_vierteljaehrlich(G213)</f>
        <v/>
      </c>
      <c r="U213" s="27" t="n"/>
      <c r="V213" s="27" t="n"/>
      <c r="W213" s="210">
        <f>IF(K213=TRUE,Q213/J213,Q213)</f>
        <v/>
      </c>
      <c r="X213" s="237">
        <f>V213/100*S213</f>
        <v/>
      </c>
      <c r="Y213">
        <f>IF(AND(V213&gt;0,N213=V213),TRUE,FALSE)</f>
        <v/>
      </c>
      <c r="Z213" s="228">
        <f>IF(C213="Einnahmen",Q213,-Q213)</f>
        <v/>
      </c>
    </row>
    <row r="214">
      <c r="A214" s="53" t="n">
        <v>2019</v>
      </c>
      <c r="B214" s="53" t="n">
        <v>213</v>
      </c>
      <c r="C214" s="71" t="inlineStr">
        <is>
          <t>Ausgaben</t>
        </is>
      </c>
      <c r="D214" t="inlineStr">
        <is>
          <t>Reise- und Fahrtspesen inkl. Kilometergeld und Diäten</t>
        </is>
      </c>
      <c r="E214" s="9" t="inlineStr">
        <is>
          <t>3293000008433733</t>
        </is>
      </c>
      <c r="G214" s="1" t="n">
        <v>43801</v>
      </c>
      <c r="H214" t="inlineStr">
        <is>
          <t>car2go Österreich GmbH, Hintere Zollamtstraße 9, 1030 Wien</t>
        </is>
      </c>
      <c r="K214">
        <f>(IF(AND(I214&lt;&gt;"",AND(J214="",ABS(Q214)&gt;400)),TRUE,FALSE))</f>
        <v/>
      </c>
      <c r="L214" s="214" t="n">
        <v>3.1</v>
      </c>
      <c r="M214" s="159" t="n">
        <v>1</v>
      </c>
      <c r="N214" t="n">
        <v>20</v>
      </c>
      <c r="O214" s="237">
        <f>L214*N214/100</f>
        <v/>
      </c>
      <c r="P214" s="237">
        <f>M214*O214</f>
        <v/>
      </c>
      <c r="Q214" s="208">
        <f>L214*M214</f>
        <v/>
      </c>
      <c r="R214" s="251">
        <f>L214+O214</f>
        <v/>
      </c>
      <c r="S214" s="251">
        <f>Q214+P214</f>
        <v/>
      </c>
      <c r="T214" s="35">
        <f>voranmeldefrist_vierteljaehrlich(G214)</f>
        <v/>
      </c>
      <c r="U214" s="27" t="n"/>
      <c r="V214" s="27" t="n"/>
      <c r="W214" s="210">
        <f>IF(K214=TRUE,Q214/I214,Q214)</f>
        <v/>
      </c>
      <c r="X214" s="237">
        <f>V214/100*S214</f>
        <v/>
      </c>
      <c r="Y214">
        <f>IF(AND(V214&gt;0,N214=V214),TRUE,FALSE)</f>
        <v/>
      </c>
      <c r="Z214" s="228">
        <f>IF(C214="Einnahmen",Q214,-Q214)</f>
        <v/>
      </c>
    </row>
    <row r="215">
      <c r="A215" s="53" t="n">
        <v>2019</v>
      </c>
      <c r="B215" s="53" t="n">
        <v>214</v>
      </c>
      <c r="C215" s="71" t="inlineStr">
        <is>
          <t>Ausgaben</t>
        </is>
      </c>
      <c r="D215" t="inlineStr">
        <is>
          <t>sonstige Betriebsausgaben</t>
        </is>
      </c>
      <c r="E215" s="9" t="inlineStr">
        <is>
          <t>34032524222/40/2019</t>
        </is>
      </c>
      <c r="G215" s="1" t="n">
        <v>43801</v>
      </c>
      <c r="H215" t="inlineStr">
        <is>
          <t>Verbund AG, Postfach 8400, 1011 Wien, Österreich</t>
        </is>
      </c>
      <c r="K215">
        <f>(IF(AND(I215&lt;&gt;"",AND(J215="",ABS(Q215)&gt;400)),TRUE,FALSE))</f>
        <v/>
      </c>
      <c r="L215" s="214" t="n">
        <v>164.17</v>
      </c>
      <c r="M215" s="159">
        <f>Arbeitszimmer!$B$3</f>
        <v/>
      </c>
      <c r="N215" t="n">
        <v>20</v>
      </c>
      <c r="O215" s="237">
        <f>L215*N215/100</f>
        <v/>
      </c>
      <c r="P215" s="237">
        <f>M215*O215</f>
        <v/>
      </c>
      <c r="Q215" s="208">
        <f>L215*M215</f>
        <v/>
      </c>
      <c r="R215" s="251">
        <f>L215+O215</f>
        <v/>
      </c>
      <c r="S215" s="251">
        <f>Q215+P215</f>
        <v/>
      </c>
      <c r="T215" s="35">
        <f>voranmeldefrist_vierteljaehrlich(G215)</f>
        <v/>
      </c>
      <c r="U215" s="27" t="n"/>
      <c r="V215" s="27" t="n"/>
      <c r="W215" s="210">
        <f>IF(K215=TRUE,Q215/J215,Q215)</f>
        <v/>
      </c>
      <c r="X215" s="237">
        <f>V215/100*S215</f>
        <v/>
      </c>
      <c r="Y215">
        <f>IF(AND(V215&gt;0,N215=V215),TRUE,FALSE)</f>
        <v/>
      </c>
      <c r="Z215" s="228">
        <f>IF(C215="Einnahmen",Q215,-Q215)</f>
        <v/>
      </c>
    </row>
    <row r="216">
      <c r="A216" s="53" t="n">
        <v>2019</v>
      </c>
      <c r="B216" s="53" t="n">
        <v>215</v>
      </c>
      <c r="C216" s="71" t="inlineStr">
        <is>
          <t>Ausgaben</t>
        </is>
      </c>
      <c r="D216" t="inlineStr">
        <is>
          <t>sonstige Betriebsausgaben</t>
        </is>
      </c>
      <c r="E216" s="9" t="inlineStr">
        <is>
          <t>0000225536</t>
        </is>
      </c>
      <c r="G216" s="1" t="n">
        <v>43801</v>
      </c>
      <c r="H216" t="inlineStr">
        <is>
          <t>Niederösterreische Versicherung AG, Neue Herrengasse 10, 3100 St. Pölten</t>
        </is>
      </c>
      <c r="L216" s="214" t="n">
        <v>82.90000000000001</v>
      </c>
      <c r="M216" s="159" t="n">
        <v>1</v>
      </c>
      <c r="N216" t="n">
        <v>0</v>
      </c>
      <c r="O216" s="237">
        <f>L216*N216/100</f>
        <v/>
      </c>
      <c r="P216" s="237">
        <f>M216*O216</f>
        <v/>
      </c>
      <c r="Q216" s="208">
        <f>L216*M216</f>
        <v/>
      </c>
      <c r="R216" s="251">
        <f>L216+O216</f>
        <v/>
      </c>
      <c r="S216" s="251">
        <f>Q216+P216</f>
        <v/>
      </c>
      <c r="T216" s="35">
        <f>voranmeldefrist_vierteljaehrlich(G216)</f>
        <v/>
      </c>
      <c r="U216" s="27" t="n"/>
      <c r="V216" s="27" t="n"/>
      <c r="W216" s="210">
        <f>IF(K216=TRUE,Q216/I216,Q216)</f>
        <v/>
      </c>
      <c r="X216" s="237">
        <f>V216/100*S216</f>
        <v/>
      </c>
      <c r="Y216">
        <f>IF(AND(V216&gt;0,N216=V216),TRUE,FALSE)</f>
        <v/>
      </c>
      <c r="Z216" s="228">
        <f>IF(C216="Einnahmen",Q216,-Q216)</f>
        <v/>
      </c>
    </row>
    <row r="217">
      <c r="A217" s="53" t="n">
        <v>2019</v>
      </c>
      <c r="B217" s="53" t="n">
        <v>216</v>
      </c>
      <c r="C217" s="71" t="inlineStr">
        <is>
          <t>Ausgaben</t>
        </is>
      </c>
      <c r="D217" t="inlineStr">
        <is>
          <t>Telefon/Internet</t>
        </is>
      </c>
      <c r="E217" s="9" t="inlineStr">
        <is>
          <t>6190088960</t>
        </is>
      </c>
      <c r="G217" s="1" t="n">
        <v>43802</v>
      </c>
      <c r="H217" t="inlineStr">
        <is>
          <t>Hutchison Drei Austria GmbH, Brünner Straße 52, 1210 Wien, Österreich</t>
        </is>
      </c>
      <c r="K217">
        <f>(IF(AND(I217&lt;&gt;"",AND(J217="",ABS(Q217)&gt;400)),TRUE,FALSE))</f>
        <v/>
      </c>
      <c r="L217" s="214" t="n">
        <v>15</v>
      </c>
      <c r="M217" s="159" t="n">
        <v>1</v>
      </c>
      <c r="N217" t="n">
        <v>20</v>
      </c>
      <c r="O217" s="237">
        <f>L217*N217/100</f>
        <v/>
      </c>
      <c r="P217" s="237">
        <f>M217*O217</f>
        <v/>
      </c>
      <c r="Q217" s="208">
        <f>L217*M217</f>
        <v/>
      </c>
      <c r="R217" s="251">
        <f>L217+O217</f>
        <v/>
      </c>
      <c r="S217" s="251">
        <f>Q217+P217</f>
        <v/>
      </c>
      <c r="T217" s="35">
        <f>voranmeldefrist_vierteljaehrlich(G217)</f>
        <v/>
      </c>
      <c r="U217" s="27" t="n"/>
      <c r="V217" s="27" t="n"/>
      <c r="W217" s="210">
        <f>IF(K217=TRUE,Q217/I217,Q217)</f>
        <v/>
      </c>
      <c r="X217" s="237">
        <f>V217/100*S217</f>
        <v/>
      </c>
      <c r="Y217">
        <f>IF(AND(V217&gt;0,N217=V217),TRUE,FALSE)</f>
        <v/>
      </c>
      <c r="Z217" s="228">
        <f>IF(C217="Einnahmen",Q217,-Q217)</f>
        <v/>
      </c>
    </row>
    <row r="218">
      <c r="A218" s="53" t="n">
        <v>2019</v>
      </c>
      <c r="B218" s="53" t="n">
        <v>217</v>
      </c>
      <c r="C218" s="71" t="inlineStr">
        <is>
          <t>Einnahmen</t>
        </is>
      </c>
      <c r="D218" t="inlineStr">
        <is>
          <t>Waren-/Leistungserlöse</t>
        </is>
      </c>
      <c r="E218" s="9" t="inlineStr">
        <is>
          <t>12019026</t>
        </is>
      </c>
      <c r="G218" s="1" t="n">
        <v>43802</v>
      </c>
      <c r="H218" t="inlineStr">
        <is>
          <t>vemap Einkaufsmanagement GmbH, Berggasse 31, 1080 Wien</t>
        </is>
      </c>
      <c r="K218">
        <f>(IF(AND(I218&lt;&gt;"",AND(J218="",ABS(Q218)&gt;400)),TRUE,FALSE))</f>
        <v/>
      </c>
      <c r="L218" s="214" t="n">
        <v>3517.5</v>
      </c>
      <c r="M218" s="159" t="n">
        <v>1</v>
      </c>
      <c r="N218" t="n">
        <v>20</v>
      </c>
      <c r="O218" s="237">
        <f>L218*N218/100</f>
        <v/>
      </c>
      <c r="P218" s="237">
        <f>M218*O218</f>
        <v/>
      </c>
      <c r="Q218" s="208">
        <f>L218*M218</f>
        <v/>
      </c>
      <c r="R218" s="251">
        <f>L218+O218</f>
        <v/>
      </c>
      <c r="S218" s="251">
        <f>Q218+P218</f>
        <v/>
      </c>
      <c r="T218" s="35">
        <f>voranmeldefrist_vierteljaehrlich(G218)</f>
        <v/>
      </c>
      <c r="U218" s="27" t="n"/>
      <c r="V218" s="27" t="n"/>
      <c r="W218" s="210">
        <f>IF(K218=TRUE,Q218/I218,Q218)</f>
        <v/>
      </c>
      <c r="X218" s="237">
        <f>V218/100*S218</f>
        <v/>
      </c>
      <c r="Y218">
        <f>IF(AND(V218&gt;0,N218=V218),TRUE,FALSE)</f>
        <v/>
      </c>
      <c r="Z218" s="228">
        <f>IF(C218="Einnahmen",Q218,-Q218)</f>
        <v/>
      </c>
    </row>
    <row r="219">
      <c r="A219" s="53" t="n">
        <v>2019</v>
      </c>
      <c r="B219" s="53" t="n">
        <v>218</v>
      </c>
      <c r="C219" s="71" t="inlineStr">
        <is>
          <t>Einnahmen</t>
        </is>
      </c>
      <c r="D219" t="inlineStr">
        <is>
          <t>Waren-/Leistungserlöse</t>
        </is>
      </c>
      <c r="E219" s="9" t="inlineStr">
        <is>
          <t>12019027</t>
        </is>
      </c>
      <c r="G219" s="1" t="n">
        <v>43802</v>
      </c>
      <c r="H219" t="inlineStr">
        <is>
          <t>vemap Einkaufsmanagement GmbH, Berggasse 31, 1080 Wien</t>
        </is>
      </c>
      <c r="K219">
        <f>(IF(AND(I219&lt;&gt;"",AND(J219="",ABS(Q219)&gt;400)),TRUE,FALSE))</f>
        <v/>
      </c>
      <c r="L219" s="214" t="n">
        <v>2910</v>
      </c>
      <c r="M219" s="159" t="n">
        <v>1</v>
      </c>
      <c r="N219" t="n">
        <v>20</v>
      </c>
      <c r="O219" s="237">
        <f>L219*N219/100</f>
        <v/>
      </c>
      <c r="P219" s="237">
        <f>M219*O219</f>
        <v/>
      </c>
      <c r="Q219" s="208">
        <f>L219*M219</f>
        <v/>
      </c>
      <c r="R219" s="251">
        <f>L219+O219</f>
        <v/>
      </c>
      <c r="S219" s="251">
        <f>Q219+P219</f>
        <v/>
      </c>
      <c r="T219" s="35">
        <f>voranmeldefrist_vierteljaehrlich(G219)</f>
        <v/>
      </c>
      <c r="U219" s="27" t="n"/>
      <c r="V219" s="27" t="n"/>
      <c r="W219" s="210">
        <f>IF(K219=TRUE,Q219/I219,Q219)</f>
        <v/>
      </c>
      <c r="X219" s="237">
        <f>V219/100*S219</f>
        <v/>
      </c>
      <c r="Y219">
        <f>IF(AND(V219&gt;0,N219=V219),TRUE,FALSE)</f>
        <v/>
      </c>
      <c r="Z219" s="228">
        <f>IF(C219="Einnahmen",Q219,-Q219)</f>
        <v/>
      </c>
    </row>
    <row r="220">
      <c r="A220" s="53" t="n">
        <v>2019</v>
      </c>
      <c r="B220" s="53" t="n">
        <v>219</v>
      </c>
      <c r="C220" s="71" t="inlineStr">
        <is>
          <t>Ausgaben</t>
        </is>
      </c>
      <c r="D220" t="inlineStr">
        <is>
          <t>sonstige Betriebsausgaben</t>
        </is>
      </c>
      <c r="E220" s="9" t="inlineStr">
        <is>
          <t>200000350755</t>
        </is>
      </c>
      <c r="G220" s="1" t="n">
        <v>43803</v>
      </c>
      <c r="H220" t="inlineStr">
        <is>
          <t>easy green energy</t>
        </is>
      </c>
      <c r="K220">
        <f>(IF(AND(I220&lt;&gt;"",AND(J220="",ABS(Q220)&gt;400)),TRUE,FALSE))</f>
        <v/>
      </c>
      <c r="L220" s="214">
        <f>14/1.2</f>
        <v/>
      </c>
      <c r="M220" s="159" t="n">
        <v>1</v>
      </c>
      <c r="N220" t="n">
        <v>20</v>
      </c>
      <c r="O220" s="237">
        <f>L220*N220/100</f>
        <v/>
      </c>
      <c r="P220" s="237">
        <f>M220*O220</f>
        <v/>
      </c>
      <c r="Q220" s="208">
        <f>L220*M220</f>
        <v/>
      </c>
      <c r="R220" s="251">
        <f>L220+O220</f>
        <v/>
      </c>
      <c r="S220" s="251">
        <f>Q220+P220</f>
        <v/>
      </c>
      <c r="T220" s="35">
        <f>voranmeldefrist_vierteljaehrlich(G220)</f>
        <v/>
      </c>
      <c r="U220" s="27" t="n"/>
      <c r="V220" s="27" t="n"/>
      <c r="W220" s="210">
        <f>IF(K220=TRUE,Q220/J220,Q220)</f>
        <v/>
      </c>
      <c r="X220" s="237">
        <f>V220/100*S220</f>
        <v/>
      </c>
      <c r="Y220">
        <f>IF(AND(V220&gt;0,N220=V220),TRUE,FALSE)</f>
        <v/>
      </c>
      <c r="Z220" s="228">
        <f>IF(C220="Einnahmen",Q220,-Q220)</f>
        <v/>
      </c>
    </row>
    <row r="221">
      <c r="A221" s="53" t="n">
        <v>2019</v>
      </c>
      <c r="B221" s="53" t="n">
        <v>220</v>
      </c>
      <c r="C221" s="71" t="inlineStr">
        <is>
          <t>Ausgaben</t>
        </is>
      </c>
      <c r="D221" t="inlineStr">
        <is>
          <t>Reise- und Fahrtspesen inkl. Kilometergeld und Diäten</t>
        </is>
      </c>
      <c r="E221" s="9" t="inlineStr">
        <is>
          <t>3293000008464877</t>
        </is>
      </c>
      <c r="G221" s="1" t="n">
        <v>43804</v>
      </c>
      <c r="H221" t="inlineStr">
        <is>
          <t>car2go Österreich GmbH, Hintere Zollamtstraße 9, 1030 Wien</t>
        </is>
      </c>
      <c r="K221">
        <f>(IF(AND(I221&lt;&gt;"",AND(J221="",ABS(Q221)&gt;400)),TRUE,FALSE))</f>
        <v/>
      </c>
      <c r="L221" s="214" t="n">
        <v>8.23</v>
      </c>
      <c r="M221" s="159" t="n">
        <v>1</v>
      </c>
      <c r="N221" t="n">
        <v>20</v>
      </c>
      <c r="O221" s="237">
        <f>L221*N221/100</f>
        <v/>
      </c>
      <c r="P221" s="237">
        <f>M221*O221</f>
        <v/>
      </c>
      <c r="Q221" s="208">
        <f>L221*M221</f>
        <v/>
      </c>
      <c r="R221" s="251">
        <f>L221+O221</f>
        <v/>
      </c>
      <c r="S221" s="251">
        <f>Q221+P221</f>
        <v/>
      </c>
      <c r="T221" s="35">
        <f>voranmeldefrist_vierteljaehrlich(G221)</f>
        <v/>
      </c>
      <c r="U221" s="27" t="n"/>
      <c r="V221" s="27" t="n"/>
      <c r="W221" s="210">
        <f>IF(K221=TRUE,Q221/I221,Q221)</f>
        <v/>
      </c>
      <c r="X221" s="237">
        <f>V221/100*S221</f>
        <v/>
      </c>
      <c r="Y221">
        <f>IF(AND(V221&gt;0,N221=V221),TRUE,FALSE)</f>
        <v/>
      </c>
      <c r="Z221" s="228">
        <f>IF(C221="Einnahmen",Q221,-Q221)</f>
        <v/>
      </c>
    </row>
    <row r="222">
      <c r="A222" s="53" t="n">
        <v>2019</v>
      </c>
      <c r="B222" s="53" t="n">
        <v>221</v>
      </c>
      <c r="C222" s="71" t="inlineStr">
        <is>
          <t>Ausgaben</t>
        </is>
      </c>
      <c r="D222" t="inlineStr">
        <is>
          <t>Reise- und Fahrtspesen inkl. Kilometergeld und Diäten</t>
        </is>
      </c>
      <c r="E222" s="9" t="inlineStr">
        <is>
          <t>3293000008464422</t>
        </is>
      </c>
      <c r="G222" s="1" t="n">
        <v>43805</v>
      </c>
      <c r="H222" t="inlineStr">
        <is>
          <t>car2go Österreich GmbH, Hintere Zollamtstraße 9, 1030 Wien</t>
        </is>
      </c>
      <c r="K222">
        <f>(IF(AND(I222&lt;&gt;"",AND(J222="",ABS(Q222)&gt;400)),TRUE,FALSE))</f>
        <v/>
      </c>
      <c r="L222" s="214" t="n">
        <v>3.02</v>
      </c>
      <c r="M222" s="159" t="n">
        <v>1</v>
      </c>
      <c r="N222" t="n">
        <v>20</v>
      </c>
      <c r="O222" s="237">
        <f>L222*N222/100</f>
        <v/>
      </c>
      <c r="P222" s="237">
        <f>M222*O222</f>
        <v/>
      </c>
      <c r="Q222" s="208">
        <f>L222*M222</f>
        <v/>
      </c>
      <c r="R222" s="251">
        <f>L222+O222</f>
        <v/>
      </c>
      <c r="S222" s="251">
        <f>Q222+P222</f>
        <v/>
      </c>
      <c r="T222" s="35">
        <f>voranmeldefrist_vierteljaehrlich(G222)</f>
        <v/>
      </c>
      <c r="U222" s="27" t="n"/>
      <c r="V222" s="27" t="n"/>
      <c r="W222" s="210">
        <f>IF(K222=TRUE,Q222/I222,Q222)</f>
        <v/>
      </c>
      <c r="X222" s="237">
        <f>V222/100*S222</f>
        <v/>
      </c>
      <c r="Y222">
        <f>IF(AND(V222&gt;0,N222=V222),TRUE,FALSE)</f>
        <v/>
      </c>
      <c r="Z222" s="228">
        <f>IF(C222="Einnahmen",Q222,-Q222)</f>
        <v/>
      </c>
    </row>
    <row r="223">
      <c r="A223" s="53" t="n">
        <v>2019</v>
      </c>
      <c r="B223" s="53" t="n">
        <v>222</v>
      </c>
      <c r="C223" s="71" t="inlineStr">
        <is>
          <t>Ausgaben</t>
        </is>
      </c>
      <c r="D223" t="inlineStr">
        <is>
          <t>sonstige Betriebsausgaben</t>
        </is>
      </c>
      <c r="E223" s="9" t="inlineStr">
        <is>
          <t>DT-VO/19-01-253-8936866</t>
        </is>
      </c>
      <c r="G223" s="1" t="n">
        <v>43805</v>
      </c>
      <c r="H223" t="inlineStr">
        <is>
          <t>Techem Messtechnik GmbH; Abnehmernummer 501686-0003-11-(</t>
        </is>
      </c>
      <c r="K223">
        <f>(IF(AND(I223&lt;&gt;"",AND(J223="",ABS(Q223)&gt;400)),TRUE,FALSE))</f>
        <v/>
      </c>
      <c r="L223" s="214">
        <f>43.9/1.2</f>
        <v/>
      </c>
      <c r="M223" s="159" t="n">
        <v>1</v>
      </c>
      <c r="N223" t="n">
        <v>20</v>
      </c>
      <c r="O223" s="237">
        <f>L223*N223/100</f>
        <v/>
      </c>
      <c r="P223" s="237">
        <f>M223*O223</f>
        <v/>
      </c>
      <c r="Q223" s="208">
        <f>L223*M223</f>
        <v/>
      </c>
      <c r="R223" s="251">
        <f>L223+O223</f>
        <v/>
      </c>
      <c r="S223" s="251">
        <f>Q223+P223</f>
        <v/>
      </c>
      <c r="T223" s="35">
        <f>voranmeldefrist_vierteljaehrlich(G223)</f>
        <v/>
      </c>
      <c r="U223" s="27" t="n"/>
      <c r="V223" s="27" t="n"/>
      <c r="W223" s="210">
        <f>IF(K223=TRUE,Q223/I223,Q223)</f>
        <v/>
      </c>
      <c r="X223" s="237">
        <f>V223/100*S223</f>
        <v/>
      </c>
      <c r="Y223">
        <f>IF(AND(V223&gt;0,N223=V223),TRUE,FALSE)</f>
        <v/>
      </c>
      <c r="Z223" s="228">
        <f>IF(C223="Einnahmen",Q223,-Q223)</f>
        <v/>
      </c>
    </row>
    <row r="224">
      <c r="A224" s="53" t="n">
        <v>2019</v>
      </c>
      <c r="B224" s="53" t="n">
        <v>223</v>
      </c>
      <c r="C224" s="71" t="inlineStr">
        <is>
          <t>Einnahmen</t>
        </is>
      </c>
      <c r="D224" t="inlineStr">
        <is>
          <t>Waren-/Leistungserlöse</t>
        </is>
      </c>
      <c r="E224" s="9" t="inlineStr">
        <is>
          <t>12019028</t>
        </is>
      </c>
      <c r="G224" s="1" t="n">
        <v>43808</v>
      </c>
      <c r="H224" t="inlineStr">
        <is>
          <t>foxcraft - DI Mag. Alexander Wagner, Leschetitzkygasse 30/5, 1180 Wien</t>
        </is>
      </c>
      <c r="K224">
        <f>(IF(AND(I224&lt;&gt;"",AND(J224="",ABS(Q224)&gt;400)),TRUE,FALSE))</f>
        <v/>
      </c>
      <c r="L224" s="214" t="n">
        <v>265.32</v>
      </c>
      <c r="M224" s="159" t="n">
        <v>1</v>
      </c>
      <c r="N224" t="n">
        <v>20</v>
      </c>
      <c r="O224" s="237">
        <f>L224*N224/100</f>
        <v/>
      </c>
      <c r="P224" s="237">
        <f>M224*O224</f>
        <v/>
      </c>
      <c r="Q224" s="208">
        <f>L224*M224</f>
        <v/>
      </c>
      <c r="R224" s="251">
        <f>L224+O224</f>
        <v/>
      </c>
      <c r="S224" s="251">
        <f>Q224+P224</f>
        <v/>
      </c>
      <c r="T224" s="35">
        <f>voranmeldefrist_vierteljaehrlich(G224)</f>
        <v/>
      </c>
      <c r="U224" s="27" t="n"/>
      <c r="V224" s="27" t="n"/>
      <c r="W224" s="210">
        <f>IF(K224=TRUE,Q224/I224,Q224)</f>
        <v/>
      </c>
      <c r="X224" s="237">
        <f>V224/100*S224</f>
        <v/>
      </c>
      <c r="Y224">
        <f>IF(AND(V224&gt;0,N224=V224),TRUE,FALSE)</f>
        <v/>
      </c>
      <c r="Z224" s="228">
        <f>IF(C224="Einnahmen",Q224,-Q224)</f>
        <v/>
      </c>
    </row>
    <row r="225">
      <c r="A225" s="53" t="n">
        <v>2019</v>
      </c>
      <c r="B225" s="53" t="n">
        <v>224</v>
      </c>
      <c r="C225" s="71" t="inlineStr">
        <is>
          <t>Ausgaben</t>
        </is>
      </c>
      <c r="D225" t="inlineStr">
        <is>
          <t>Reise- und Fahrtspesen inkl. Kilometergeld und Diäten</t>
        </is>
      </c>
      <c r="E225" s="9" t="inlineStr">
        <is>
          <t>3293000008500508</t>
        </is>
      </c>
      <c r="G225" s="1" t="n">
        <v>43810</v>
      </c>
      <c r="H225" t="inlineStr">
        <is>
          <t>car2go Österreich GmbH, Hintere Zollamtstraße 9, 1030 Wien</t>
        </is>
      </c>
      <c r="K225">
        <f>(IF(AND(I225&lt;&gt;"",AND(J225="",ABS(Q225)&gt;400)),TRUE,FALSE))</f>
        <v/>
      </c>
      <c r="L225" s="214" t="n">
        <v>10.03</v>
      </c>
      <c r="M225" s="159" t="n">
        <v>1</v>
      </c>
      <c r="N225" t="n">
        <v>20</v>
      </c>
      <c r="O225" s="237">
        <f>L225*N225/100</f>
        <v/>
      </c>
      <c r="P225" s="237">
        <f>M225*O225</f>
        <v/>
      </c>
      <c r="Q225" s="208">
        <f>L225*M225</f>
        <v/>
      </c>
      <c r="R225" s="251">
        <f>L225+O225</f>
        <v/>
      </c>
      <c r="S225" s="251">
        <f>Q225+P225</f>
        <v/>
      </c>
      <c r="T225" s="35">
        <f>voranmeldefrist_vierteljaehrlich(G225)</f>
        <v/>
      </c>
      <c r="U225" s="27" t="n"/>
      <c r="V225" s="27" t="n"/>
      <c r="W225" s="210">
        <f>IF(K225=TRUE,Q225/I225,Q225)</f>
        <v/>
      </c>
      <c r="X225" s="237">
        <f>V225/100*S225</f>
        <v/>
      </c>
      <c r="Y225">
        <f>IF(AND(V225&gt;0,N225=V225),TRUE,FALSE)</f>
        <v/>
      </c>
      <c r="Z225" s="228">
        <f>IF(C225="Einnahmen",Q225,-Q225)</f>
        <v/>
      </c>
    </row>
    <row r="226">
      <c r="A226" s="53" t="n">
        <v>2019</v>
      </c>
      <c r="B226" s="53" t="n">
        <v>225</v>
      </c>
      <c r="C226" s="71" t="inlineStr">
        <is>
          <t>Ausgaben</t>
        </is>
      </c>
      <c r="D226" t="inlineStr">
        <is>
          <t>Telefon/Internet</t>
        </is>
      </c>
      <c r="E226" s="9" t="inlineStr">
        <is>
          <t>177956924-00</t>
        </is>
      </c>
      <c r="G226" s="1" t="n">
        <v>43810</v>
      </c>
      <c r="H226" t="inlineStr">
        <is>
          <t>Magenta: T-Mobile Austria GmbH, A-1120 Wien, PF 47</t>
        </is>
      </c>
      <c r="K226">
        <f>(IF(AND(I226&lt;&gt;"",AND(J226="",ABS(Q226)&gt;400)),TRUE,FALSE))</f>
        <v/>
      </c>
      <c r="L226" s="214">
        <f>27.82+1.04</f>
        <v/>
      </c>
      <c r="M226" s="159">
        <f>2/3</f>
        <v/>
      </c>
      <c r="N226" t="n">
        <v>20</v>
      </c>
      <c r="O226" s="237">
        <f>L226*N226/100</f>
        <v/>
      </c>
      <c r="P226" s="237">
        <f>M226*O226</f>
        <v/>
      </c>
      <c r="Q226" s="208">
        <f>L226*M226</f>
        <v/>
      </c>
      <c r="R226" s="251">
        <f>L226+O226</f>
        <v/>
      </c>
      <c r="S226" s="251">
        <f>Q226+P226</f>
        <v/>
      </c>
      <c r="T226" s="35">
        <f>voranmeldefrist_vierteljaehrlich(G226)</f>
        <v/>
      </c>
      <c r="U226" s="27" t="n"/>
      <c r="V226" s="27" t="n"/>
      <c r="W226" s="210">
        <f>IF(K226=TRUE,Q226/J226,Q226)</f>
        <v/>
      </c>
      <c r="X226" s="237">
        <f>V226/100*S226</f>
        <v/>
      </c>
      <c r="Y226">
        <f>IF(AND(V226&gt;0,N226=V226),TRUE,FALSE)</f>
        <v/>
      </c>
      <c r="Z226" s="228">
        <f>IF(C226="Einnahmen",Q226,-Q226)</f>
        <v/>
      </c>
    </row>
    <row r="227">
      <c r="A227" s="53" t="n">
        <v>2019</v>
      </c>
      <c r="B227" s="53" t="n">
        <v>226</v>
      </c>
      <c r="C227" s="71" t="inlineStr">
        <is>
          <t>Ausgaben</t>
        </is>
      </c>
      <c r="D227" t="inlineStr">
        <is>
          <t>sonstige Betriebsausgaben</t>
        </is>
      </c>
      <c r="E227" s="9" t="inlineStr">
        <is>
          <t>R0010509288</t>
        </is>
      </c>
      <c r="G227" s="1" t="n">
        <v>43811</v>
      </c>
      <c r="H227" t="inlineStr">
        <is>
          <t>Hetzner Online GmbH, Industriestr. 25, 91710 Gunzenhausen</t>
        </is>
      </c>
      <c r="K227">
        <f>(IF(AND(I227&lt;&gt;"",AND(J227="",ABS(Q227)&gt;400)),TRUE,FALSE))</f>
        <v/>
      </c>
      <c r="L227" s="214" t="n">
        <v>49.42</v>
      </c>
      <c r="M227" s="159" t="n">
        <v>1</v>
      </c>
      <c r="N227" t="n">
        <v>0</v>
      </c>
      <c r="O227" s="237">
        <f>L227*N227/100</f>
        <v/>
      </c>
      <c r="P227" s="237">
        <f>M227*O227</f>
        <v/>
      </c>
      <c r="Q227" s="208">
        <f>L227*M227</f>
        <v/>
      </c>
      <c r="R227" s="251">
        <f>L227+O227</f>
        <v/>
      </c>
      <c r="S227" s="251">
        <f>Q227+P227</f>
        <v/>
      </c>
      <c r="T227" s="35">
        <f>voranmeldefrist_vierteljaehrlich(G227)</f>
        <v/>
      </c>
      <c r="U227" s="27" t="n"/>
      <c r="V227" s="27" t="n">
        <v>20</v>
      </c>
      <c r="W227" s="210">
        <f>IF(K227=TRUE,Q227/J227,Q227)</f>
        <v/>
      </c>
      <c r="X227" s="237">
        <f>V227/100*S227</f>
        <v/>
      </c>
      <c r="Y227">
        <f>IF(AND(V227&gt;0,N227=V227),TRUE,FALSE)</f>
        <v/>
      </c>
      <c r="Z227" s="228">
        <f>IF(C227="Einnahmen",Q227,-Q227)</f>
        <v/>
      </c>
    </row>
    <row r="228">
      <c r="A228" s="53" t="n">
        <v>2019</v>
      </c>
      <c r="B228" s="53" t="n">
        <v>227</v>
      </c>
      <c r="C228" s="71" t="inlineStr">
        <is>
          <t>Ausgaben</t>
        </is>
      </c>
      <c r="D228" t="inlineStr">
        <is>
          <t>Reise- und Fahrtspesen inkl. Kilometergeld und Diäten</t>
        </is>
      </c>
      <c r="E228" s="9" t="inlineStr">
        <is>
          <t>3293000008510050</t>
        </is>
      </c>
      <c r="G228" s="1" t="n">
        <v>43811</v>
      </c>
      <c r="H228" t="inlineStr">
        <is>
          <t>car2go Österreich GmbH, Hintere Zollamtstraße 9, 1030 Wien</t>
        </is>
      </c>
      <c r="K228">
        <f>(IF(AND(I228&lt;&gt;"",AND(J228="",ABS(Q228)&gt;400)),TRUE,FALSE))</f>
        <v/>
      </c>
      <c r="L228" s="214">
        <f>S228/1.2</f>
        <v/>
      </c>
      <c r="M228" s="159" t="n">
        <v>1</v>
      </c>
      <c r="N228" t="n">
        <v>20</v>
      </c>
      <c r="O228" s="237">
        <f>L228*N228/100</f>
        <v/>
      </c>
      <c r="P228" s="237">
        <f>M228*O228</f>
        <v/>
      </c>
      <c r="Q228" s="208">
        <f>L228*M228</f>
        <v/>
      </c>
      <c r="R228" s="251">
        <f>L228+O228</f>
        <v/>
      </c>
      <c r="S228" s="251" t="n">
        <v>3.1</v>
      </c>
      <c r="T228" s="35">
        <f>voranmeldefrist_vierteljaehrlich(G228)</f>
        <v/>
      </c>
      <c r="U228" s="27" t="n"/>
      <c r="V228" s="27" t="n"/>
      <c r="W228" s="210">
        <f>IF(K228=TRUE,Q228/I228,Q228)</f>
        <v/>
      </c>
      <c r="X228" s="237">
        <f>V228/100*S228</f>
        <v/>
      </c>
      <c r="Y228">
        <f>IF(AND(V228&gt;0,N228=V228),TRUE,FALSE)</f>
        <v/>
      </c>
      <c r="Z228" s="228">
        <f>IF(C228="Einnahmen",Q228,-Q228)</f>
        <v/>
      </c>
    </row>
    <row r="229">
      <c r="A229" s="53" t="n">
        <v>2019</v>
      </c>
      <c r="B229" s="53" t="n">
        <v>228</v>
      </c>
      <c r="C229" s="71" t="inlineStr">
        <is>
          <t>Ausgaben</t>
        </is>
      </c>
      <c r="D229" t="inlineStr">
        <is>
          <t>Reise- und Fahrtspesen inkl. Kilometergeld und Diäten</t>
        </is>
      </c>
      <c r="E229" s="9" t="inlineStr">
        <is>
          <t>3293000008513416</t>
        </is>
      </c>
      <c r="G229" s="1" t="n">
        <v>43812</v>
      </c>
      <c r="H229" t="inlineStr">
        <is>
          <t>car2go Österreich GmbH, Hintere Zollamtstraße 9, 1030 Wien</t>
        </is>
      </c>
      <c r="K229">
        <f>(IF(AND(I229&lt;&gt;"",AND(J229="",ABS(Q229)&gt;400)),TRUE,FALSE))</f>
        <v/>
      </c>
      <c r="L229" s="214" t="n">
        <v>9</v>
      </c>
      <c r="M229" s="159" t="n">
        <v>1</v>
      </c>
      <c r="N229" t="n">
        <v>20</v>
      </c>
      <c r="O229" s="237">
        <f>L229*N229/100</f>
        <v/>
      </c>
      <c r="P229" s="237">
        <f>M229*O229</f>
        <v/>
      </c>
      <c r="Q229" s="208">
        <f>L229*M229</f>
        <v/>
      </c>
      <c r="R229" s="251">
        <f>L229+O229</f>
        <v/>
      </c>
      <c r="S229" s="251">
        <f>Q229+P229</f>
        <v/>
      </c>
      <c r="T229" s="35">
        <f>voranmeldefrist_vierteljaehrlich(G229)</f>
        <v/>
      </c>
      <c r="U229" s="27" t="n"/>
      <c r="V229" s="27" t="n"/>
      <c r="W229" s="210">
        <f>IF(K229=TRUE,Q229/I229,Q229)</f>
        <v/>
      </c>
      <c r="X229" s="237">
        <f>V229/100*S229</f>
        <v/>
      </c>
      <c r="Y229">
        <f>IF(AND(V229&gt;0,N229=V229),TRUE,FALSE)</f>
        <v/>
      </c>
      <c r="Z229" s="228">
        <f>IF(C229="Einnahmen",Q229,-Q229)</f>
        <v/>
      </c>
    </row>
    <row r="230">
      <c r="A230" s="53" t="n">
        <v>2019</v>
      </c>
      <c r="B230" s="53" t="n">
        <v>229</v>
      </c>
      <c r="C230" s="71" t="inlineStr">
        <is>
          <t>Ausgaben</t>
        </is>
      </c>
      <c r="D230" t="inlineStr">
        <is>
          <t>Reise- und Fahrtspesen inkl. Kilometergeld und Diäten</t>
        </is>
      </c>
      <c r="E230" s="9" t="inlineStr">
        <is>
          <t>3293000008526646</t>
        </is>
      </c>
      <c r="G230" s="1" t="n">
        <v>43815</v>
      </c>
      <c r="H230" t="inlineStr">
        <is>
          <t>car2go Österreich GmbH, Hintere Zollamtstraße 9, 1030 Wien</t>
        </is>
      </c>
      <c r="K230">
        <f>(IF(AND(I230&lt;&gt;"",AND(J230="",ABS(Q230)&gt;400)),TRUE,FALSE))</f>
        <v/>
      </c>
      <c r="L230" s="214" t="n">
        <v>4.5</v>
      </c>
      <c r="M230" s="159" t="n">
        <v>1</v>
      </c>
      <c r="N230" t="n">
        <v>20</v>
      </c>
      <c r="O230" s="237">
        <f>L230*N230/100</f>
        <v/>
      </c>
      <c r="P230" s="237">
        <f>M230*O230</f>
        <v/>
      </c>
      <c r="Q230" s="208">
        <f>L230*M230</f>
        <v/>
      </c>
      <c r="R230" s="251">
        <f>L230+O230</f>
        <v/>
      </c>
      <c r="S230" s="251">
        <f>Q230+P230</f>
        <v/>
      </c>
      <c r="T230" s="35">
        <f>voranmeldefrist_vierteljaehrlich(G230)</f>
        <v/>
      </c>
      <c r="U230" s="27" t="n"/>
      <c r="V230" s="27" t="n"/>
      <c r="W230" s="210">
        <f>IF(K230=TRUE,Q230/I230,Q230)</f>
        <v/>
      </c>
      <c r="X230" s="237">
        <f>V230/100*S230</f>
        <v/>
      </c>
      <c r="Y230">
        <f>IF(AND(V230&gt;0,N230=V230),TRUE,FALSE)</f>
        <v/>
      </c>
      <c r="Z230" s="228">
        <f>IF(C230="Einnahmen",Q230,-Q230)</f>
        <v/>
      </c>
    </row>
    <row r="231">
      <c r="A231" s="53" t="n">
        <v>2019</v>
      </c>
      <c r="B231" s="53" t="n">
        <v>230</v>
      </c>
      <c r="C231" s="71" t="inlineStr">
        <is>
          <t>Ausgaben</t>
        </is>
      </c>
      <c r="D231" t="inlineStr">
        <is>
          <t>sonstige Betriebsausgaben</t>
        </is>
      </c>
      <c r="E231" s="9" t="inlineStr">
        <is>
          <t>14005597640</t>
        </is>
      </c>
      <c r="G231" s="1" t="n">
        <v>43815</v>
      </c>
      <c r="H231" t="inlineStr">
        <is>
          <t>Montana Energie Handel AT GmbH</t>
        </is>
      </c>
      <c r="K231">
        <f>(IF(AND(I231&lt;&gt;"",AND(J231="",ABS(Q231)&gt;400)),TRUE,FALSE))</f>
        <v/>
      </c>
      <c r="L231" s="214" t="n">
        <v>66.67</v>
      </c>
      <c r="M231" s="159">
        <f>Arbeitszimmer!$B$3</f>
        <v/>
      </c>
      <c r="N231" t="n">
        <v>20</v>
      </c>
      <c r="O231" s="237">
        <f>L231*N231/100</f>
        <v/>
      </c>
      <c r="P231" s="237">
        <f>M231*O231</f>
        <v/>
      </c>
      <c r="Q231" s="208">
        <f>L231*M231</f>
        <v/>
      </c>
      <c r="R231" s="251">
        <f>L231+O231</f>
        <v/>
      </c>
      <c r="S231" s="251">
        <f>Q231+P231</f>
        <v/>
      </c>
      <c r="T231" s="35">
        <f>voranmeldefrist_vierteljaehrlich(G231)</f>
        <v/>
      </c>
      <c r="U231" s="27" t="n"/>
      <c r="V231" s="27" t="n"/>
      <c r="W231" s="210">
        <f>IF(K231=TRUE,Q231/J231,Q231)</f>
        <v/>
      </c>
      <c r="X231" s="237">
        <f>V231/100*S231</f>
        <v/>
      </c>
      <c r="Y231">
        <f>IF(AND(V231&gt;0,N231=V231),TRUE,FALSE)</f>
        <v/>
      </c>
      <c r="Z231" s="228">
        <f>IF(C231="Einnahmen",Q231,-Q231)</f>
        <v/>
      </c>
    </row>
    <row r="232">
      <c r="A232" s="53" t="n">
        <v>2019</v>
      </c>
      <c r="B232" s="53" t="n">
        <v>231</v>
      </c>
      <c r="C232" s="71" t="inlineStr">
        <is>
          <t>Einnahmen</t>
        </is>
      </c>
      <c r="D232" t="inlineStr">
        <is>
          <t>Waren-/Leistungserlöse</t>
        </is>
      </c>
      <c r="E232" s="9" t="inlineStr">
        <is>
          <t>12019024</t>
        </is>
      </c>
      <c r="G232" s="1" t="n">
        <v>43817</v>
      </c>
      <c r="H232" t="inlineStr">
        <is>
          <t>vemap Academy GmbH, Berggasse 31, 1080 Wien</t>
        </is>
      </c>
      <c r="K232">
        <f>(IF(AND(I232&lt;&gt;"",AND(J232="",ABS(Q232)&gt;400)),TRUE,FALSE))</f>
        <v/>
      </c>
      <c r="L232" s="214">
        <f>S232/1.2</f>
        <v/>
      </c>
      <c r="M232" s="159" t="n">
        <v>1</v>
      </c>
      <c r="N232" t="n">
        <v>20</v>
      </c>
      <c r="O232" s="237">
        <f>L232*N232/100</f>
        <v/>
      </c>
      <c r="P232" s="237">
        <f>M232*O232</f>
        <v/>
      </c>
      <c r="Q232" s="208">
        <f>L232*M232</f>
        <v/>
      </c>
      <c r="R232" s="251">
        <f>L232+O232</f>
        <v/>
      </c>
      <c r="S232" s="251" t="n">
        <v>1080</v>
      </c>
      <c r="T232" s="35">
        <f>voranmeldefrist_vierteljaehrlich(G232)</f>
        <v/>
      </c>
      <c r="U232" s="27" t="n"/>
      <c r="V232" s="27" t="n"/>
      <c r="W232" s="210">
        <f>IF(K232=TRUE,Q232/I232,Q232)</f>
        <v/>
      </c>
      <c r="X232" s="237">
        <f>V232/100*S232</f>
        <v/>
      </c>
      <c r="Y232">
        <f>IF(AND(V232&gt;0,N232=V232),TRUE,FALSE)</f>
        <v/>
      </c>
      <c r="Z232" s="228">
        <f>IF(C232="Einnahmen",Q232,-Q232)</f>
        <v/>
      </c>
    </row>
    <row r="233">
      <c r="A233" s="53" t="n">
        <v>2019</v>
      </c>
      <c r="B233" s="53" t="n">
        <v>232</v>
      </c>
      <c r="C233" s="71" t="inlineStr">
        <is>
          <t>Ausgaben</t>
        </is>
      </c>
      <c r="D233" t="inlineStr">
        <is>
          <t>sonstige Betriebsausgaben</t>
        </is>
      </c>
      <c r="E233" s="9" t="inlineStr">
        <is>
          <t>220004825202</t>
        </is>
      </c>
      <c r="G233" s="1" t="n">
        <v>43818</v>
      </c>
      <c r="H233" t="inlineStr">
        <is>
          <t>Wien Energie Vertrieb GmbH &amp; Co KG, 1030 Wien, Pf 520</t>
        </is>
      </c>
      <c r="K233">
        <f>(IF(AND(I233&lt;&gt;"",AND(J233="",ABS(Q233)&gt;400)),TRUE,FALSE))</f>
        <v/>
      </c>
      <c r="L233" s="214">
        <f>S233/1.2</f>
        <v/>
      </c>
      <c r="M233" s="159" t="n">
        <v>1</v>
      </c>
      <c r="N233" t="n">
        <v>20</v>
      </c>
      <c r="O233" s="237">
        <f>L233*N233/100</f>
        <v/>
      </c>
      <c r="P233" s="237">
        <f>M233*O233</f>
        <v/>
      </c>
      <c r="Q233" s="208">
        <f>L233*M233</f>
        <v/>
      </c>
      <c r="R233" s="251">
        <f>L233+O233</f>
        <v/>
      </c>
      <c r="S233" s="251" t="n">
        <v>34.13</v>
      </c>
      <c r="T233" s="35">
        <f>voranmeldefrist_vierteljaehrlich(G233)</f>
        <v/>
      </c>
      <c r="U233" s="27" t="n"/>
      <c r="V233" s="27" t="n"/>
      <c r="W233" s="210">
        <f>IF(K233=TRUE,Q233/J233,Q233)</f>
        <v/>
      </c>
      <c r="X233" s="237">
        <f>V233/100*S233</f>
        <v/>
      </c>
      <c r="Y233">
        <f>IF(AND(V233&gt;0,N233=V233),TRUE,FALSE)</f>
        <v/>
      </c>
      <c r="Z233" s="228">
        <f>IF(C233="Einnahmen",Q233,-Q233)</f>
        <v/>
      </c>
    </row>
    <row r="234">
      <c r="A234" s="53" t="n">
        <v>2019</v>
      </c>
      <c r="B234" s="53" t="n">
        <v>233</v>
      </c>
      <c r="C234" s="71" t="inlineStr">
        <is>
          <t>Ausgaben</t>
        </is>
      </c>
      <c r="D234" t="inlineStr">
        <is>
          <t>Reise- und Fahrtspesen inkl. Kilometergeld und Diäten</t>
        </is>
      </c>
      <c r="E234" s="9" t="inlineStr">
        <is>
          <t>3293000008562171</t>
        </is>
      </c>
      <c r="G234" s="1" t="n">
        <v>43819</v>
      </c>
      <c r="H234" t="inlineStr">
        <is>
          <t>car2go Österreich GmbH, Hintere Zollamtstraße 9, 1030 Wien</t>
        </is>
      </c>
      <c r="K234">
        <f>(IF(AND(I234&lt;&gt;"",AND(J234="",ABS(Q234)&gt;400)),TRUE,FALSE))</f>
        <v/>
      </c>
      <c r="L234" s="214" t="n">
        <v>2.32</v>
      </c>
      <c r="M234" s="159" t="n">
        <v>1</v>
      </c>
      <c r="N234" t="n">
        <v>20</v>
      </c>
      <c r="O234" s="237">
        <f>L234*N234/100</f>
        <v/>
      </c>
      <c r="P234" s="237">
        <f>M234*O234</f>
        <v/>
      </c>
      <c r="Q234" s="208">
        <f>L234*M234</f>
        <v/>
      </c>
      <c r="R234" s="251">
        <f>L234+O234</f>
        <v/>
      </c>
      <c r="S234" s="251">
        <f>Q234+P234</f>
        <v/>
      </c>
      <c r="T234" s="35">
        <f>voranmeldefrist_vierteljaehrlich(G234)</f>
        <v/>
      </c>
      <c r="U234" s="27" t="n"/>
      <c r="V234" s="27" t="n"/>
      <c r="W234" s="210">
        <f>IF(K234=TRUE,Q234/I234,Q234)</f>
        <v/>
      </c>
      <c r="X234" s="237">
        <f>V234/100*S234</f>
        <v/>
      </c>
      <c r="Y234">
        <f>IF(AND(V234&gt;0,N234=V234),TRUE,FALSE)</f>
        <v/>
      </c>
      <c r="Z234" s="228">
        <f>IF(C234="Einnahmen",Q234,-Q234)</f>
        <v/>
      </c>
    </row>
    <row r="235">
      <c r="A235" s="53" t="n">
        <v>2019</v>
      </c>
      <c r="B235" s="53" t="n">
        <v>234</v>
      </c>
      <c r="C235" s="71" t="inlineStr">
        <is>
          <t>Ausgaben</t>
        </is>
      </c>
      <c r="D235" t="inlineStr">
        <is>
          <t>Reise- und Fahrtspesen inkl. Kilometergeld und Diäten</t>
        </is>
      </c>
      <c r="E235" s="9" t="inlineStr">
        <is>
          <t>3293000008559926</t>
        </is>
      </c>
      <c r="G235" s="1" t="n">
        <v>43819</v>
      </c>
      <c r="H235" t="inlineStr">
        <is>
          <t>car2go Österreich GmbH, Hintere Zollamtstraße 9, 1030 Wien</t>
        </is>
      </c>
      <c r="K235">
        <f>(IF(AND(I235&lt;&gt;"",AND(J235="",ABS(Q235)&gt;400)),TRUE,FALSE))</f>
        <v/>
      </c>
      <c r="L235" s="214" t="n">
        <v>6.07</v>
      </c>
      <c r="M235" s="159" t="n">
        <v>1</v>
      </c>
      <c r="N235" t="n">
        <v>20</v>
      </c>
      <c r="O235" s="237">
        <f>L235*N235/100</f>
        <v/>
      </c>
      <c r="P235" s="237">
        <f>M235*O235</f>
        <v/>
      </c>
      <c r="Q235" s="208">
        <f>L235*M235</f>
        <v/>
      </c>
      <c r="R235" s="251">
        <f>L235+O235</f>
        <v/>
      </c>
      <c r="S235" s="251">
        <f>Q235+P235</f>
        <v/>
      </c>
      <c r="T235" s="35">
        <f>voranmeldefrist_vierteljaehrlich(G235)</f>
        <v/>
      </c>
      <c r="U235" s="27" t="n"/>
      <c r="V235" s="27" t="n"/>
      <c r="W235" s="210">
        <f>IF(K235=TRUE,Q235/I235,Q235)</f>
        <v/>
      </c>
      <c r="X235" s="237">
        <f>V235/100*S235</f>
        <v/>
      </c>
      <c r="Y235">
        <f>IF(AND(V235&gt;0,N235=V235),TRUE,FALSE)</f>
        <v/>
      </c>
      <c r="Z235" s="228">
        <f>IF(C235="Einnahmen",Q235,-Q235)</f>
        <v/>
      </c>
    </row>
    <row r="236">
      <c r="A236" s="53" t="n">
        <v>2019</v>
      </c>
      <c r="B236" s="53" t="n">
        <v>235</v>
      </c>
      <c r="C236" s="71" t="inlineStr">
        <is>
          <t>Ausgaben</t>
        </is>
      </c>
      <c r="D236" t="inlineStr">
        <is>
          <t>sonstige Betriebsausgaben</t>
        </is>
      </c>
      <c r="E236" s="9" t="inlineStr">
        <is>
          <t>129195/100/2019</t>
        </is>
      </c>
      <c r="G236" s="1" t="n">
        <v>43822</v>
      </c>
      <c r="H236" t="inlineStr">
        <is>
          <t>easy green energy</t>
        </is>
      </c>
      <c r="K236">
        <f>(IF(AND(I236&lt;&gt;"",AND(J236="",ABS(Q236)&gt;400)),TRUE,FALSE))</f>
        <v/>
      </c>
      <c r="L236" s="214">
        <f>S236/1.2</f>
        <v/>
      </c>
      <c r="M236" s="159" t="n">
        <v>1</v>
      </c>
      <c r="N236" t="n">
        <v>20</v>
      </c>
      <c r="O236" s="237">
        <f>L236*N236/100</f>
        <v/>
      </c>
      <c r="P236" s="237">
        <f>M236*O236</f>
        <v/>
      </c>
      <c r="Q236" s="208">
        <f>L236*M236</f>
        <v/>
      </c>
      <c r="R236" s="251">
        <f>L236+O236</f>
        <v/>
      </c>
      <c r="S236" s="251" t="n">
        <v>24.78</v>
      </c>
      <c r="T236" s="35">
        <f>voranmeldefrist_vierteljaehrlich(G236)</f>
        <v/>
      </c>
      <c r="U236" s="27" t="n"/>
      <c r="V236" s="27" t="n"/>
      <c r="W236" s="210">
        <f>IF(K236=TRUE,Q236/J236,Q236)</f>
        <v/>
      </c>
      <c r="X236" s="237">
        <f>V236/100*S236</f>
        <v/>
      </c>
      <c r="Y236">
        <f>IF(AND(V236&gt;0,N236=V236),TRUE,FALSE)</f>
        <v/>
      </c>
      <c r="Z236" s="228">
        <f>IF(C236="Einnahmen",Q236,-Q236)</f>
        <v/>
      </c>
    </row>
    <row r="237">
      <c r="A237" s="53" t="n">
        <v>2019</v>
      </c>
      <c r="B237" s="53" t="n">
        <v>236</v>
      </c>
      <c r="C237" s="71" t="inlineStr">
        <is>
          <t>Ausgaben</t>
        </is>
      </c>
      <c r="D237" t="inlineStr">
        <is>
          <t>Reise- und Fahrtspesen inkl. Kilometergeld und Diäten</t>
        </is>
      </c>
      <c r="E237" s="9" t="inlineStr">
        <is>
          <t>3293000008569811</t>
        </is>
      </c>
      <c r="G237" s="1" t="n">
        <v>43822</v>
      </c>
      <c r="H237" t="inlineStr">
        <is>
          <t>car2go Österreich GmbH, Hintere Zollamtstraße 9, 1030 Wien</t>
        </is>
      </c>
      <c r="K237">
        <f>(IF(AND(I237&lt;&gt;"",AND(J237="",ABS(Q237)&gt;400)),TRUE,FALSE))</f>
        <v/>
      </c>
      <c r="L237" s="214" t="n">
        <v>2.07</v>
      </c>
      <c r="M237" s="159" t="n">
        <v>1</v>
      </c>
      <c r="N237" t="n">
        <v>20</v>
      </c>
      <c r="O237" s="237">
        <f>L237*N237/100</f>
        <v/>
      </c>
      <c r="P237" s="237">
        <f>M237*O237</f>
        <v/>
      </c>
      <c r="Q237" s="208">
        <f>L237*M237</f>
        <v/>
      </c>
      <c r="R237" s="251">
        <f>L237+O237</f>
        <v/>
      </c>
      <c r="S237" s="251">
        <f>Q237+P237</f>
        <v/>
      </c>
      <c r="T237" s="35">
        <f>voranmeldefrist_vierteljaehrlich(G237)</f>
        <v/>
      </c>
      <c r="U237" s="27" t="n"/>
      <c r="V237" s="27" t="n"/>
      <c r="W237" s="210">
        <f>IF(K237=TRUE,Q237/I237,Q237)</f>
        <v/>
      </c>
      <c r="X237" s="237">
        <f>V237/100*S237</f>
        <v/>
      </c>
      <c r="Y237">
        <f>IF(AND(V237&gt;0,N237=V237),TRUE,FALSE)</f>
        <v/>
      </c>
      <c r="Z237" s="228">
        <f>IF(C237="Einnahmen",Q237,-Q237)</f>
        <v/>
      </c>
    </row>
    <row r="238">
      <c r="A238" s="53" t="n">
        <v>2019</v>
      </c>
      <c r="B238" s="53" t="n">
        <v>237</v>
      </c>
      <c r="C238" s="71" t="inlineStr">
        <is>
          <t>Ausgaben</t>
        </is>
      </c>
      <c r="D238" t="inlineStr">
        <is>
          <t>Miet- und Pachtaufwand, Leasing</t>
        </is>
      </c>
      <c r="E238" s="9" t="inlineStr">
        <is>
          <t>2019/8058/14</t>
        </is>
      </c>
      <c r="G238" s="1" t="n">
        <v>43826</v>
      </c>
      <c r="H238" t="inlineStr">
        <is>
          <t>Premium Laudongasse 58 GmbH &amp; Co KG</t>
        </is>
      </c>
      <c r="K238">
        <f>(IF(AND(I238&lt;&gt;"",AND(J238="",ABS(Q238)&gt;400)),TRUE,FALSE))</f>
        <v/>
      </c>
      <c r="L238" s="214" t="n">
        <v>763.4400000000001</v>
      </c>
      <c r="M238" s="159">
        <f>Arbeitszimmer!$B$3</f>
        <v/>
      </c>
      <c r="N238" t="n">
        <v>10</v>
      </c>
      <c r="O238" s="237">
        <f>L238*N238/100</f>
        <v/>
      </c>
      <c r="P238" s="237">
        <f>M238*O238</f>
        <v/>
      </c>
      <c r="Q238" s="208">
        <f>L238*M238</f>
        <v/>
      </c>
      <c r="R238" s="251">
        <f>L238+O238</f>
        <v/>
      </c>
      <c r="S238" s="251">
        <f>Q238+P238</f>
        <v/>
      </c>
      <c r="T238" s="35">
        <f>voranmeldefrist_vierteljaehrlich(G238)</f>
        <v/>
      </c>
      <c r="U238" s="27" t="n"/>
      <c r="V238" s="27" t="n"/>
      <c r="W238" s="210">
        <f>IF(K238=TRUE,Q238/J238,Q238)</f>
        <v/>
      </c>
      <c r="X238" s="237">
        <f>V238/100*S238</f>
        <v/>
      </c>
      <c r="Y238">
        <f>IF(AND(V238&gt;0,N238=V238),TRUE,FALSE)</f>
        <v/>
      </c>
      <c r="Z238" s="228">
        <f>IF(C238="Einnahmen",Q238,-Q238)</f>
        <v/>
      </c>
    </row>
    <row r="239">
      <c r="A239" s="53" t="n">
        <v>2019</v>
      </c>
      <c r="B239" s="53" t="n">
        <v>238</v>
      </c>
      <c r="C239" s="71" t="inlineStr">
        <is>
          <t>Einnahmen</t>
        </is>
      </c>
      <c r="D239" t="inlineStr">
        <is>
          <t>Waren-/Leistungserlöse</t>
        </is>
      </c>
      <c r="E239" s="9" t="inlineStr">
        <is>
          <t>12019029</t>
        </is>
      </c>
      <c r="G239" s="1" t="n">
        <v>43829</v>
      </c>
      <c r="H239" t="inlineStr">
        <is>
          <t>vemap Academy GmbH, Berggasse 31, 1080 Wien</t>
        </is>
      </c>
      <c r="K239">
        <f>(IF(AND(I239&lt;&gt;"",AND(J239="",ABS(Q239)&gt;400)),TRUE,FALSE))</f>
        <v/>
      </c>
      <c r="L239" s="214" t="n">
        <v>2800</v>
      </c>
      <c r="M239" s="159" t="n">
        <v>1</v>
      </c>
      <c r="N239" t="n">
        <v>20</v>
      </c>
      <c r="O239" s="237">
        <f>L239*N239/100</f>
        <v/>
      </c>
      <c r="P239" s="237">
        <f>M239*O239</f>
        <v/>
      </c>
      <c r="Q239" s="208">
        <f>L239*M239</f>
        <v/>
      </c>
      <c r="R239" s="251">
        <f>L239+O239</f>
        <v/>
      </c>
      <c r="S239" s="251">
        <f>P239+Q239</f>
        <v/>
      </c>
      <c r="T239" s="35">
        <f>voranmeldefrist_vierteljaehrlich(G239)</f>
        <v/>
      </c>
      <c r="U239" s="27" t="n"/>
      <c r="V239" s="27" t="n"/>
      <c r="W239" s="210">
        <f>IF(K239=TRUE,Q239/I239,Q239)</f>
        <v/>
      </c>
      <c r="X239" s="237">
        <f>V239/100*S239</f>
        <v/>
      </c>
      <c r="Y239">
        <f>IF(AND(V239&gt;0,N239=V239),TRUE,FALSE)</f>
        <v/>
      </c>
      <c r="Z239" s="228">
        <f>IF(C239="Einnahmen",Q239,-Q239)</f>
        <v/>
      </c>
    </row>
    <row r="240">
      <c r="A240" s="53" t="n">
        <v>2020</v>
      </c>
      <c r="B240" s="53" t="n">
        <v>1</v>
      </c>
      <c r="C240" s="71" t="inlineStr">
        <is>
          <t>Ausgaben</t>
        </is>
      </c>
      <c r="D240" t="inlineStr">
        <is>
          <t>Miet- und Pachtaufwand, Leasing</t>
        </is>
      </c>
      <c r="E240" s="9" t="inlineStr">
        <is>
          <t>20/9801/VS00042</t>
        </is>
      </c>
      <c r="G240" s="1" t="n">
        <v>43832</v>
      </c>
      <c r="H240" t="inlineStr">
        <is>
          <t>Bontus Immobilienverwaltung GmbH, 1010 Wien, Franz Josefs Kai 65</t>
        </is>
      </c>
      <c r="K240" t="b">
        <v>0</v>
      </c>
      <c r="L240" s="214" t="n">
        <v>462.44</v>
      </c>
      <c r="M240" s="159" t="n">
        <v>1</v>
      </c>
      <c r="N240" t="n">
        <v>20</v>
      </c>
      <c r="O240" s="237">
        <f>L240*N240/100</f>
        <v/>
      </c>
      <c r="P240" s="237">
        <f>M240*O240</f>
        <v/>
      </c>
      <c r="Q240" s="208">
        <f>L240*M240</f>
        <v/>
      </c>
      <c r="R240" s="251">
        <f>L240+O240</f>
        <v/>
      </c>
      <c r="S240" s="251">
        <f>Q240+P240</f>
        <v/>
      </c>
      <c r="T240" s="35">
        <f>voranmeldefrist_vierteljaehrlich(G240)</f>
        <v/>
      </c>
      <c r="U240" s="27" t="n"/>
      <c r="V240" s="27" t="n"/>
      <c r="W240" s="210">
        <f>IF(K240=TRUE,Q240/J240,Q240)</f>
        <v/>
      </c>
      <c r="X240" s="237">
        <f>V240/100*S240</f>
        <v/>
      </c>
      <c r="Y240">
        <f>IF(AND(V240&gt;0,N240=V240),TRUE,FALSE)</f>
        <v/>
      </c>
      <c r="Z240" s="228">
        <f>IF(C240="Einnahmen",Q240,-Q240)</f>
        <v/>
      </c>
    </row>
    <row r="241">
      <c r="A241" s="53" t="n">
        <v>2020</v>
      </c>
      <c r="B241" s="53" t="n">
        <v>2</v>
      </c>
      <c r="C241" s="71" t="inlineStr">
        <is>
          <t>Ausgaben</t>
        </is>
      </c>
      <c r="D241" t="inlineStr">
        <is>
          <t>Telefon/Internet</t>
        </is>
      </c>
      <c r="E241" s="9" t="inlineStr">
        <is>
          <t>6191928426</t>
        </is>
      </c>
      <c r="G241" s="1" t="n">
        <v>43837</v>
      </c>
      <c r="H241" t="inlineStr">
        <is>
          <t>Hutchison Drei Austria GmbH, Brünner Straße 52, 1210 Wien, Österreich</t>
        </is>
      </c>
      <c r="K241">
        <f>(IF(AND(I241&lt;&gt;"",AND(J241="",ABS(Q241)&gt;400)),TRUE,FALSE))</f>
        <v/>
      </c>
      <c r="L241" s="214" t="n">
        <v>15</v>
      </c>
      <c r="M241" s="159" t="n">
        <v>1</v>
      </c>
      <c r="N241" t="n">
        <v>20</v>
      </c>
      <c r="O241" s="237">
        <f>L241*N241/100</f>
        <v/>
      </c>
      <c r="P241" s="237">
        <f>M241*O241</f>
        <v/>
      </c>
      <c r="Q241" s="208">
        <f>L241*M241</f>
        <v/>
      </c>
      <c r="R241" s="251">
        <f>L241+O241</f>
        <v/>
      </c>
      <c r="S241" s="251">
        <f>Q241+P241</f>
        <v/>
      </c>
      <c r="T241" s="35">
        <f>voranmeldefrist_vierteljaehrlich(G241)</f>
        <v/>
      </c>
      <c r="U241" s="27" t="n"/>
      <c r="V241" s="27" t="n"/>
      <c r="W241" s="210">
        <f>IF(K241=TRUE,Q241/I241,Q241)</f>
        <v/>
      </c>
      <c r="X241" s="237">
        <f>V241/100*S241</f>
        <v/>
      </c>
      <c r="Y241">
        <f>IF(AND(V241&gt;0,N241=V241),TRUE,FALSE)</f>
        <v/>
      </c>
      <c r="Z241" s="228">
        <f>IF(C241="Einnahmen",Q241,-Q241)</f>
        <v/>
      </c>
    </row>
    <row r="242">
      <c r="A242" s="53" t="n">
        <v>2020</v>
      </c>
      <c r="B242" s="53" t="n">
        <v>3</v>
      </c>
      <c r="C242" s="71" t="inlineStr">
        <is>
          <t>Ausgaben</t>
        </is>
      </c>
      <c r="D242" t="inlineStr">
        <is>
          <t>sonstige Betriebsausgaben</t>
        </is>
      </c>
      <c r="E242" s="9" t="inlineStr">
        <is>
          <t>01012020</t>
        </is>
      </c>
      <c r="G242" s="1" t="n">
        <v>43837</v>
      </c>
      <c r="H242" t="inlineStr">
        <is>
          <t>Martin Dürauer e.U., Schreinergasse 7/1, A-3100 St. Pölten</t>
        </is>
      </c>
      <c r="K242" t="b">
        <v>0</v>
      </c>
      <c r="L242" s="214" t="n">
        <v>1794</v>
      </c>
      <c r="M242" s="159" t="n">
        <v>1</v>
      </c>
      <c r="N242" t="n">
        <v>0</v>
      </c>
      <c r="O242" s="237">
        <f>L242*N242/100</f>
        <v/>
      </c>
      <c r="P242" s="237">
        <f>M242*O242</f>
        <v/>
      </c>
      <c r="Q242" s="208">
        <f>L242*M242</f>
        <v/>
      </c>
      <c r="R242" s="251">
        <f>L242+O242</f>
        <v/>
      </c>
      <c r="S242" s="251">
        <f>Q242+P242</f>
        <v/>
      </c>
      <c r="T242" s="35">
        <f>voranmeldefrist_vierteljaehrlich(G242)</f>
        <v/>
      </c>
      <c r="U242" s="27" t="n"/>
      <c r="V242" s="27" t="n"/>
      <c r="W242" s="210">
        <f>IF(K242=TRUE,Q242/I242,Q242)</f>
        <v/>
      </c>
      <c r="X242" s="237">
        <f>V242/100*S242</f>
        <v/>
      </c>
      <c r="Y242">
        <f>IF(AND(V242&gt;0,N242=V242),TRUE,FALSE)</f>
        <v/>
      </c>
      <c r="Z242" s="228">
        <f>IF(C242="Einnahmen",Q242,-Q242)</f>
        <v/>
      </c>
    </row>
    <row r="243">
      <c r="A243" s="53" t="n">
        <v>2020</v>
      </c>
      <c r="B243" s="53" t="n">
        <v>4</v>
      </c>
      <c r="C243" s="71" t="inlineStr">
        <is>
          <t>Einnahmen</t>
        </is>
      </c>
      <c r="D243" t="inlineStr">
        <is>
          <t>Waren-/Leistungserlöse</t>
        </is>
      </c>
      <c r="E243" s="9" t="inlineStr">
        <is>
          <t>12020003</t>
        </is>
      </c>
      <c r="G243" s="1" t="n">
        <v>43838</v>
      </c>
      <c r="H243" t="inlineStr">
        <is>
          <t>Theresa Häfele-Kolbitsch, Josef-Mohrgasse 9, 2102 Bisamberg</t>
        </is>
      </c>
      <c r="K243">
        <f>(IF(AND(I243&lt;&gt;"",AND(J243="",ABS(Q243)&gt;400)),TRUE,FALSE))</f>
        <v/>
      </c>
      <c r="L243" s="214" t="n">
        <v>756</v>
      </c>
      <c r="M243" s="159" t="n">
        <v>1</v>
      </c>
      <c r="N243" t="n">
        <v>20</v>
      </c>
      <c r="O243" s="237">
        <f>L243*N243/100</f>
        <v/>
      </c>
      <c r="P243" s="237">
        <f>M243*O243</f>
        <v/>
      </c>
      <c r="Q243" s="208">
        <f>L243*M243</f>
        <v/>
      </c>
      <c r="R243" s="251">
        <f>L243+O243</f>
        <v/>
      </c>
      <c r="S243" s="251">
        <f>Q243+P243</f>
        <v/>
      </c>
      <c r="T243" s="35">
        <f>voranmeldefrist_vierteljaehrlich(G243)</f>
        <v/>
      </c>
      <c r="U243" s="27" t="n"/>
      <c r="V243" s="27" t="n"/>
      <c r="W243" s="210">
        <f>IF(K243=TRUE,Q243/J243,Q243)</f>
        <v/>
      </c>
      <c r="X243" s="237">
        <f>V243/100*S243</f>
        <v/>
      </c>
      <c r="Y243">
        <f>IF(AND(V243&gt;0,N243=V243),TRUE,FALSE)</f>
        <v/>
      </c>
      <c r="Z243" s="228">
        <f>IF(C243="Einnahmen",Q243,-Q243)</f>
        <v/>
      </c>
    </row>
    <row r="244">
      <c r="A244" s="53" t="n">
        <v>2020</v>
      </c>
      <c r="B244" s="53" t="n">
        <v>5</v>
      </c>
      <c r="C244" s="71" t="inlineStr">
        <is>
          <t>Ausgaben</t>
        </is>
      </c>
      <c r="D244" t="inlineStr">
        <is>
          <t>sonstige Betriebsausgaben</t>
        </is>
      </c>
      <c r="E244" s="9" t="inlineStr">
        <is>
          <t>807693</t>
        </is>
      </c>
      <c r="G244" s="1" t="n">
        <v>43838</v>
      </c>
      <c r="H244" t="inlineStr">
        <is>
          <t>easy green energy</t>
        </is>
      </c>
      <c r="K244">
        <f>(IF(AND(I244&lt;&gt;"",AND(J244="",ABS(Q244)&gt;400)),TRUE,FALSE))</f>
        <v/>
      </c>
      <c r="L244" s="214">
        <f>S244/1.2</f>
        <v/>
      </c>
      <c r="M244" s="159" t="n">
        <v>1</v>
      </c>
      <c r="N244" t="n">
        <v>20</v>
      </c>
      <c r="O244" s="237">
        <f>L244*N244/100</f>
        <v/>
      </c>
      <c r="P244" s="237">
        <f>M244*O244</f>
        <v/>
      </c>
      <c r="Q244" s="208">
        <f>L244*M244</f>
        <v/>
      </c>
      <c r="R244" s="251">
        <f>L244+O244</f>
        <v/>
      </c>
      <c r="S244" s="251" t="n">
        <v>3</v>
      </c>
      <c r="T244" s="35">
        <f>voranmeldefrist_vierteljaehrlich(G244)</f>
        <v/>
      </c>
      <c r="U244" s="27" t="n"/>
      <c r="V244" s="27" t="n"/>
      <c r="W244" s="210">
        <f>IF(K244=TRUE,Q244/J244,Q244)</f>
        <v/>
      </c>
      <c r="X244" s="237">
        <f>V244/100*S244</f>
        <v/>
      </c>
      <c r="Y244">
        <f>IF(AND(V244&gt;0,N244=V244),TRUE,FALSE)</f>
        <v/>
      </c>
      <c r="Z244" s="228">
        <f>IF(C244="Einnahmen",Q244,-Q244)</f>
        <v/>
      </c>
    </row>
    <row r="245">
      <c r="A245" s="53" t="n">
        <v>2020</v>
      </c>
      <c r="B245" s="53" t="n">
        <v>6</v>
      </c>
      <c r="C245" s="71" t="inlineStr">
        <is>
          <t>Ausgaben</t>
        </is>
      </c>
      <c r="D245" t="inlineStr">
        <is>
          <t>sonstige Betriebsausgaben</t>
        </is>
      </c>
      <c r="E245" s="9" t="inlineStr">
        <is>
          <t>DT-VO/20-01-005-9145552</t>
        </is>
      </c>
      <c r="G245" s="1" t="n">
        <v>43838</v>
      </c>
      <c r="H245" t="inlineStr">
        <is>
          <t>Techem Messtechnik GmbH; Abnehmernummer 501686-0003-11-(</t>
        </is>
      </c>
      <c r="K245">
        <f>(IF(AND(I245&lt;&gt;"",AND(J245="",ABS(Q245)&gt;400)),TRUE,FALSE))</f>
        <v/>
      </c>
      <c r="L245" s="214">
        <f>43.9/1.2</f>
        <v/>
      </c>
      <c r="M245" s="159" t="n">
        <v>1</v>
      </c>
      <c r="N245" t="n">
        <v>20</v>
      </c>
      <c r="O245" s="237">
        <f>L245*N245/100</f>
        <v/>
      </c>
      <c r="P245" s="237">
        <f>M245*O245</f>
        <v/>
      </c>
      <c r="Q245" s="208">
        <f>L245*M245</f>
        <v/>
      </c>
      <c r="R245" s="251">
        <f>L245+O245</f>
        <v/>
      </c>
      <c r="S245" s="251">
        <f>Q245+P245</f>
        <v/>
      </c>
      <c r="T245" s="35">
        <f>voranmeldefrist_vierteljaehrlich(G245)</f>
        <v/>
      </c>
      <c r="U245" s="27" t="n"/>
      <c r="V245" s="27" t="n"/>
      <c r="W245" s="210">
        <f>IF(K245=TRUE,Q245/I245,Q245)</f>
        <v/>
      </c>
      <c r="X245" s="237">
        <f>V245/100*S245</f>
        <v/>
      </c>
      <c r="Y245">
        <f>IF(AND(V245&gt;0,N245=V245),TRUE,FALSE)</f>
        <v/>
      </c>
      <c r="Z245" s="228">
        <f>IF(C245="Einnahmen",Q245,-Q245)</f>
        <v/>
      </c>
    </row>
    <row r="246">
      <c r="A246" s="53" t="n">
        <v>2020</v>
      </c>
      <c r="B246" s="53" t="n">
        <v>7</v>
      </c>
      <c r="C246" s="71" t="inlineStr">
        <is>
          <t>Einnahmen</t>
        </is>
      </c>
      <c r="D246" t="inlineStr">
        <is>
          <t>Waren-/Leistungserlöse</t>
        </is>
      </c>
      <c r="E246" s="9" t="inlineStr">
        <is>
          <t>12020001</t>
        </is>
      </c>
      <c r="G246" s="1" t="n">
        <v>43839</v>
      </c>
      <c r="H246" t="inlineStr">
        <is>
          <t>Martin Dürauer e.U., Schreinergasse 7/1, A-3100 St. Pölten</t>
        </is>
      </c>
      <c r="K246" t="b">
        <v>0</v>
      </c>
      <c r="L246" s="214" t="n">
        <v>170</v>
      </c>
      <c r="M246" s="159" t="n">
        <v>1</v>
      </c>
      <c r="N246" t="n">
        <v>20</v>
      </c>
      <c r="O246" s="237">
        <f>L246*N246/100</f>
        <v/>
      </c>
      <c r="P246" s="237">
        <f>M246*O246</f>
        <v/>
      </c>
      <c r="Q246" s="208">
        <f>L246*M246</f>
        <v/>
      </c>
      <c r="R246" s="251">
        <f>L246+O246</f>
        <v/>
      </c>
      <c r="S246" s="251">
        <f>Q246+P246</f>
        <v/>
      </c>
      <c r="T246" s="35">
        <f>voranmeldefrist_vierteljaehrlich(G246)</f>
        <v/>
      </c>
      <c r="U246" s="27" t="n"/>
      <c r="V246" s="27" t="n"/>
      <c r="W246" s="210">
        <f>IF(K246=TRUE,Q246/I246,Q246)</f>
        <v/>
      </c>
      <c r="X246" s="237">
        <f>V246/100*S246</f>
        <v/>
      </c>
      <c r="Y246">
        <f>IF(AND(V246&gt;0,N246=V246),TRUE,FALSE)</f>
        <v/>
      </c>
      <c r="Z246" s="228">
        <f>IF(C246="Einnahmen",Q246,-Q246)</f>
        <v/>
      </c>
    </row>
    <row r="247">
      <c r="A247" s="53" t="n">
        <v>2020</v>
      </c>
      <c r="B247" s="53" t="n">
        <v>8</v>
      </c>
      <c r="C247" s="71" t="inlineStr">
        <is>
          <t>Einnahmen</t>
        </is>
      </c>
      <c r="D247" t="inlineStr">
        <is>
          <t>Waren-/Leistungserlöse</t>
        </is>
      </c>
      <c r="E247" s="9" t="inlineStr">
        <is>
          <t>12020001</t>
        </is>
      </c>
      <c r="G247" s="1" t="n">
        <v>43839</v>
      </c>
      <c r="H247" t="inlineStr">
        <is>
          <t>Martin Dürauer e.U., Schreinergasse 7/1, A-3100 St. Pölten</t>
        </is>
      </c>
      <c r="K247" t="b">
        <v>0</v>
      </c>
      <c r="L247" s="214" t="n">
        <v>100</v>
      </c>
      <c r="M247" s="159" t="n">
        <v>1</v>
      </c>
      <c r="N247" t="n">
        <v>20</v>
      </c>
      <c r="O247" s="237">
        <f>L247*N247/100</f>
        <v/>
      </c>
      <c r="P247" s="237">
        <f>M247*O247</f>
        <v/>
      </c>
      <c r="Q247" s="208">
        <f>L247*M247</f>
        <v/>
      </c>
      <c r="R247" s="251">
        <f>L247+O247</f>
        <v/>
      </c>
      <c r="S247" s="251">
        <f>Q247+P247</f>
        <v/>
      </c>
      <c r="T247" s="35">
        <f>voranmeldefrist_vierteljaehrlich(G247)</f>
        <v/>
      </c>
      <c r="U247" s="27" t="n"/>
      <c r="V247" s="27" t="n"/>
      <c r="W247" s="210">
        <f>IF(K247=TRUE,Q247/I247,Q247)</f>
        <v/>
      </c>
      <c r="X247" s="237">
        <f>V247/100*S247</f>
        <v/>
      </c>
      <c r="Y247">
        <f>IF(AND(V247&gt;0,N247=V247),TRUE,FALSE)</f>
        <v/>
      </c>
      <c r="Z247" s="228">
        <f>IF(C247="Einnahmen",Q247,-Q247)</f>
        <v/>
      </c>
    </row>
    <row r="248">
      <c r="A248" s="53" t="n">
        <v>2020</v>
      </c>
      <c r="B248" s="53" t="n">
        <v>9</v>
      </c>
      <c r="C248" s="71" t="inlineStr">
        <is>
          <t>Ausgaben</t>
        </is>
      </c>
      <c r="D248" t="inlineStr">
        <is>
          <t>Telefon/Internet</t>
        </is>
      </c>
      <c r="E248" s="9" t="inlineStr">
        <is>
          <t>178423174-00</t>
        </is>
      </c>
      <c r="G248" s="1" t="n">
        <v>43840</v>
      </c>
      <c r="H248" t="inlineStr">
        <is>
          <t>Magenta: T-Mobile Austria GmbH, A-1120 Wien, PF 47</t>
        </is>
      </c>
      <c r="K248">
        <f>(IF(AND(I248&lt;&gt;"",AND(J248="",ABS(Q248)&gt;400)),TRUE,FALSE))</f>
        <v/>
      </c>
      <c r="L248" s="214">
        <f>27.82+1.04</f>
        <v/>
      </c>
      <c r="M248" s="159">
        <f>2/3</f>
        <v/>
      </c>
      <c r="N248" t="n">
        <v>20</v>
      </c>
      <c r="O248" s="237">
        <f>L248*N248/100</f>
        <v/>
      </c>
      <c r="P248" s="237">
        <f>M248*O248</f>
        <v/>
      </c>
      <c r="Q248" s="208">
        <f>L248*M248</f>
        <v/>
      </c>
      <c r="R248" s="251">
        <f>L248+O248</f>
        <v/>
      </c>
      <c r="S248" s="251">
        <f>Q248+P248</f>
        <v/>
      </c>
      <c r="T248" s="35">
        <f>voranmeldefrist_vierteljaehrlich(G248)</f>
        <v/>
      </c>
      <c r="U248" s="27" t="n"/>
      <c r="V248" s="27" t="n"/>
      <c r="W248" s="210">
        <f>IF(K248=TRUE,Q248/J248,Q248)</f>
        <v/>
      </c>
      <c r="X248" s="237">
        <f>V248/100*S248</f>
        <v/>
      </c>
      <c r="Y248">
        <f>IF(AND(V248&gt;0,N248=V248),TRUE,FALSE)</f>
        <v/>
      </c>
      <c r="Z248" s="228">
        <f>IF(C248="Einnahmen",Q248,-Q248)</f>
        <v/>
      </c>
    </row>
    <row r="249">
      <c r="A249" s="53" t="n">
        <v>2020</v>
      </c>
      <c r="B249" s="53" t="n">
        <v>10</v>
      </c>
      <c r="C249" s="71" t="inlineStr">
        <is>
          <t>Ausgaben</t>
        </is>
      </c>
      <c r="D249" t="inlineStr">
        <is>
          <t>sonstige Betriebsausgaben</t>
        </is>
      </c>
      <c r="E249" s="9" t="inlineStr">
        <is>
          <t>5112142283</t>
        </is>
      </c>
      <c r="G249" s="1" t="n">
        <v>43840</v>
      </c>
      <c r="H249" t="inlineStr">
        <is>
          <t>Wiener Netze GmbH, Erdbergstraße 236, 1110 Wien, Postfach 422</t>
        </is>
      </c>
      <c r="K249">
        <f>(IF(AND(I249&lt;&gt;"",AND(J249="",ABS(Q249)&gt;400)),TRUE,FALSE))</f>
        <v/>
      </c>
      <c r="L249" s="214" t="n">
        <v>18.83</v>
      </c>
      <c r="M249" s="159" t="n">
        <v>1</v>
      </c>
      <c r="N249" t="n">
        <v>20</v>
      </c>
      <c r="O249" s="237">
        <f>L249*N249/100</f>
        <v/>
      </c>
      <c r="P249" s="237">
        <f>M249*O249</f>
        <v/>
      </c>
      <c r="Q249" s="208">
        <f>L249*M249</f>
        <v/>
      </c>
      <c r="R249" s="251">
        <f>L249+O249</f>
        <v/>
      </c>
      <c r="S249" s="251">
        <f>Q249+P249</f>
        <v/>
      </c>
      <c r="T249" s="35">
        <f>voranmeldefrist_vierteljaehrlich(G249)</f>
        <v/>
      </c>
      <c r="U249" s="27" t="n"/>
      <c r="V249" s="27" t="n"/>
      <c r="W249" s="210">
        <f>IF(K249=TRUE,Q249/J249,Q249)</f>
        <v/>
      </c>
      <c r="X249" s="237">
        <f>V249/100*S249</f>
        <v/>
      </c>
      <c r="Y249">
        <f>IF(AND(V249&gt;0,N249=V249),TRUE,FALSE)</f>
        <v/>
      </c>
      <c r="Z249" s="228">
        <f>IF(C249="Einnahmen",Q249,-Q249)</f>
        <v/>
      </c>
    </row>
    <row r="250">
      <c r="A250" s="53" t="n">
        <v>2020</v>
      </c>
      <c r="B250" s="53" t="n">
        <v>11</v>
      </c>
      <c r="C250" s="71" t="inlineStr">
        <is>
          <t>Ausgaben</t>
        </is>
      </c>
      <c r="D250" t="inlineStr">
        <is>
          <t>Reise- und Fahrtspesen inkl. Kilometergeld und Diäten</t>
        </is>
      </c>
      <c r="E250" s="9" t="inlineStr">
        <is>
          <t>3293000008687003</t>
        </is>
      </c>
      <c r="G250" s="1" t="n">
        <v>43843</v>
      </c>
      <c r="H250" t="inlineStr">
        <is>
          <t>car2go Österreich GmbH, Hintere Zollamtstraße 9, 1030 Wien</t>
        </is>
      </c>
      <c r="K250">
        <f>(IF(AND(I250&lt;&gt;"",AND(J250="",ABS(Q250)&gt;400)),TRUE,FALSE))</f>
        <v/>
      </c>
      <c r="L250" s="214" t="n">
        <v>2.1</v>
      </c>
      <c r="M250" s="159" t="n">
        <v>1</v>
      </c>
      <c r="N250" t="n">
        <v>20</v>
      </c>
      <c r="O250" s="237">
        <f>L250*N250/100</f>
        <v/>
      </c>
      <c r="P250" s="237">
        <f>M250*O250</f>
        <v/>
      </c>
      <c r="Q250" s="208">
        <f>L250*M250</f>
        <v/>
      </c>
      <c r="R250" s="251">
        <f>L250+O250</f>
        <v/>
      </c>
      <c r="S250" s="251">
        <f>Q250+P250</f>
        <v/>
      </c>
      <c r="T250" s="35">
        <f>voranmeldefrist_vierteljaehrlich(G250)</f>
        <v/>
      </c>
      <c r="U250" s="27" t="n"/>
      <c r="V250" s="27" t="n"/>
      <c r="W250" s="210">
        <f>IF(K250=TRUE,Q250/I250,Q250)</f>
        <v/>
      </c>
      <c r="X250" s="237">
        <f>V250/100*S250</f>
        <v/>
      </c>
      <c r="Y250">
        <f>IF(AND(V250&gt;0,N250=V250),TRUE,FALSE)</f>
        <v/>
      </c>
      <c r="Z250" s="228">
        <f>IF(C250="Einnahmen",Q250,-Q250)</f>
        <v/>
      </c>
    </row>
    <row r="251">
      <c r="A251" s="53" t="n">
        <v>2020</v>
      </c>
      <c r="B251" s="53" t="n">
        <v>12</v>
      </c>
      <c r="C251" s="71" t="inlineStr">
        <is>
          <t>Ausgaben</t>
        </is>
      </c>
      <c r="D251" t="inlineStr">
        <is>
          <t>sonstige Betriebsausgaben</t>
        </is>
      </c>
      <c r="E251" s="9" t="inlineStr">
        <is>
          <t>772063</t>
        </is>
      </c>
      <c r="G251" s="1" t="n">
        <v>43843</v>
      </c>
      <c r="H251" t="inlineStr">
        <is>
          <t>Lemon Technologies GmbH, Unterweißenbach 181, 7330 Feldbach: Toner</t>
        </is>
      </c>
      <c r="K251">
        <f>(IF(AND(I251&lt;&gt;"",AND(J251="",ABS(Q251)&gt;400)),TRUE,FALSE))</f>
        <v/>
      </c>
      <c r="L251" s="214" t="n">
        <v>241.18</v>
      </c>
      <c r="M251" s="159" t="n">
        <v>1</v>
      </c>
      <c r="N251" t="n">
        <v>20</v>
      </c>
      <c r="O251" s="237">
        <f>L251*N251/100</f>
        <v/>
      </c>
      <c r="P251" s="237">
        <f>M251*O251</f>
        <v/>
      </c>
      <c r="Q251" s="208">
        <f>L251*M251</f>
        <v/>
      </c>
      <c r="R251" s="251">
        <f>L251+O251</f>
        <v/>
      </c>
      <c r="S251" s="251">
        <f>Q251+P251</f>
        <v/>
      </c>
      <c r="T251" s="35">
        <f>voranmeldefrist_vierteljaehrlich(G251)</f>
        <v/>
      </c>
      <c r="U251" s="27" t="n"/>
      <c r="V251" s="27" t="n"/>
      <c r="W251" s="210">
        <f>IF(K251=TRUE,Q251/I251,Q251)</f>
        <v/>
      </c>
      <c r="X251" s="237">
        <f>V251/100*S251</f>
        <v/>
      </c>
      <c r="Y251">
        <f>IF(AND(V251&gt;0,N251=V251),TRUE,FALSE)</f>
        <v/>
      </c>
      <c r="Z251" s="228">
        <f>IF(C251="Einnahmen",Q251,-Q251)</f>
        <v/>
      </c>
    </row>
    <row r="252">
      <c r="A252" s="53" t="n">
        <v>2020</v>
      </c>
      <c r="B252" s="53" t="n">
        <v>13</v>
      </c>
      <c r="C252" s="71" t="inlineStr">
        <is>
          <t>Ausgaben</t>
        </is>
      </c>
      <c r="D252" t="inlineStr">
        <is>
          <t>sonstige Betriebsausgaben</t>
        </is>
      </c>
      <c r="E252" s="9" t="inlineStr">
        <is>
          <t>R0010654184</t>
        </is>
      </c>
      <c r="G252" s="1" t="n">
        <v>43843</v>
      </c>
      <c r="H252" t="inlineStr">
        <is>
          <t>Hetzner Online GmbH</t>
        </is>
      </c>
      <c r="K252">
        <f>(IF(AND(I252&lt;&gt;"",AND(J252="",ABS(Q252)&gt;400)),TRUE,FALSE))</f>
        <v/>
      </c>
      <c r="L252" s="214" t="n">
        <v>49.42</v>
      </c>
      <c r="M252" s="159" t="n">
        <v>1</v>
      </c>
      <c r="N252" t="n">
        <v>0</v>
      </c>
      <c r="O252" s="237">
        <f>L252*N252/100</f>
        <v/>
      </c>
      <c r="P252" s="237">
        <f>M252*O252</f>
        <v/>
      </c>
      <c r="Q252" s="208">
        <f>L252*M252</f>
        <v/>
      </c>
      <c r="R252" s="251">
        <f>L252+O252</f>
        <v/>
      </c>
      <c r="S252" s="251">
        <f>Q252+P252</f>
        <v/>
      </c>
      <c r="T252" s="35">
        <f>voranmeldefrist_vierteljaehrlich(G252)</f>
        <v/>
      </c>
      <c r="U252" s="27" t="n"/>
      <c r="V252" s="27" t="n">
        <v>20</v>
      </c>
      <c r="W252" s="210">
        <f>IF(K252=TRUE,Q252/J252,Q252)</f>
        <v/>
      </c>
      <c r="X252" s="237">
        <f>V252/100*S252</f>
        <v/>
      </c>
      <c r="Y252">
        <f>IF(AND(V252&gt;0,N252=V252),TRUE,FALSE)</f>
        <v/>
      </c>
      <c r="Z252" s="228">
        <f>IF(C252="Einnahmen",Q252,-Q252)</f>
        <v/>
      </c>
    </row>
    <row r="253">
      <c r="A253" s="53" t="n">
        <v>2020</v>
      </c>
      <c r="B253" s="53" t="n">
        <v>14</v>
      </c>
      <c r="C253" s="71" t="inlineStr">
        <is>
          <t>Einnahmen</t>
        </is>
      </c>
      <c r="D253" t="inlineStr">
        <is>
          <t>Waren-/Leistungserlöse</t>
        </is>
      </c>
      <c r="E253" s="9" t="inlineStr">
        <is>
          <t>12019031</t>
        </is>
      </c>
      <c r="G253" s="1" t="n">
        <v>43844</v>
      </c>
      <c r="H253" t="inlineStr">
        <is>
          <t>Schick Küchendesign e.U. Alexander Schick, Linzerstraße 247, 1140 Wien</t>
        </is>
      </c>
      <c r="K253">
        <f>(IF(AND(I253&lt;&gt;"",AND(J253="",ABS(Q253)&gt;400)),TRUE,FALSE))</f>
        <v/>
      </c>
      <c r="L253" s="214" t="n">
        <v>187.5</v>
      </c>
      <c r="M253" s="159" t="n">
        <v>1</v>
      </c>
      <c r="N253" t="n">
        <v>20</v>
      </c>
      <c r="O253" s="237">
        <f>L253*N253/100</f>
        <v/>
      </c>
      <c r="P253" s="237">
        <f>M253*O253</f>
        <v/>
      </c>
      <c r="Q253" s="208">
        <f>L253*M253</f>
        <v/>
      </c>
      <c r="R253" s="251">
        <f>L253+O253</f>
        <v/>
      </c>
      <c r="S253" s="251">
        <f>Q253+P253</f>
        <v/>
      </c>
      <c r="T253" s="35">
        <f>voranmeldefrist_vierteljaehrlich(G253)</f>
        <v/>
      </c>
      <c r="U253" s="27" t="n"/>
      <c r="V253" s="27" t="n"/>
      <c r="W253" s="210">
        <f>IF(K253=TRUE,Q253/I253,Q253)</f>
        <v/>
      </c>
      <c r="X253" s="237">
        <f>V253/100*S253</f>
        <v/>
      </c>
      <c r="Y253">
        <f>IF(AND(V253&gt;0,N253=V253),TRUE,FALSE)</f>
        <v/>
      </c>
      <c r="Z253" s="228">
        <f>IF(C253="Einnahmen",Q253,-Q253)</f>
        <v/>
      </c>
    </row>
    <row r="254">
      <c r="A254" s="53" t="n">
        <v>2020</v>
      </c>
      <c r="B254" s="53" t="n">
        <v>15</v>
      </c>
      <c r="C254" s="71" t="inlineStr">
        <is>
          <t>Einnahmen</t>
        </is>
      </c>
      <c r="D254" t="inlineStr">
        <is>
          <t>Waren-/Leistungserlöse</t>
        </is>
      </c>
      <c r="E254" s="9" t="inlineStr">
        <is>
          <t>12019033</t>
        </is>
      </c>
      <c r="G254" s="1" t="n">
        <v>43845</v>
      </c>
      <c r="H254" t="inlineStr">
        <is>
          <t>Franz Hauer GmbH + Co KG, Werksstraße 6, 3125 Statzendorf</t>
        </is>
      </c>
      <c r="K254">
        <f>(IF(AND(I254&lt;&gt;"",AND(J254="",ABS(Q254)&gt;400)),TRUE,FALSE))</f>
        <v/>
      </c>
      <c r="L254" s="214" t="n">
        <v>233.75</v>
      </c>
      <c r="M254" s="159" t="n">
        <v>1</v>
      </c>
      <c r="N254" t="n">
        <v>20</v>
      </c>
      <c r="O254" s="237">
        <f>L254*N254/100</f>
        <v/>
      </c>
      <c r="P254" s="237">
        <f>M254*O254</f>
        <v/>
      </c>
      <c r="Q254" s="208">
        <f>L254*M254</f>
        <v/>
      </c>
      <c r="R254" s="251">
        <f>L254+O254</f>
        <v/>
      </c>
      <c r="S254" s="251">
        <f>Q254+P254</f>
        <v/>
      </c>
      <c r="T254" s="35">
        <f>voranmeldefrist_vierteljaehrlich(G254)</f>
        <v/>
      </c>
      <c r="U254" s="27" t="n"/>
      <c r="V254" s="27" t="n"/>
      <c r="W254" s="210">
        <f>IF(K254=TRUE,Q254/I254,Q254)</f>
        <v/>
      </c>
      <c r="X254" s="237">
        <f>V254/100*S254</f>
        <v/>
      </c>
      <c r="Y254">
        <f>IF(AND(V254&gt;0,N254=V254),TRUE,FALSE)</f>
        <v/>
      </c>
      <c r="Z254" s="228">
        <f>IF(C254="Einnahmen",Q254,-Q254)</f>
        <v/>
      </c>
    </row>
    <row r="255">
      <c r="A255" s="53" t="n">
        <v>2020</v>
      </c>
      <c r="B255" s="53" t="n">
        <v>16</v>
      </c>
      <c r="C255" s="71" t="inlineStr">
        <is>
          <t>Ausgaben</t>
        </is>
      </c>
      <c r="D255" t="inlineStr">
        <is>
          <t>Reise- und Fahrtspesen inkl. Kilometergeld und Diäten</t>
        </is>
      </c>
      <c r="E255" s="9" t="inlineStr">
        <is>
          <t>3293000008723880</t>
        </is>
      </c>
      <c r="G255" s="1" t="n">
        <v>43847</v>
      </c>
      <c r="H255" t="inlineStr">
        <is>
          <t>car2go Österreich GmbH, Hintere Zollamtstraße 9, 1030 Wien</t>
        </is>
      </c>
      <c r="K255">
        <f>(IF(AND(I255&lt;&gt;"",AND(J255="",ABS(Q255)&gt;400)),TRUE,FALSE))</f>
        <v/>
      </c>
      <c r="L255" s="214" t="n">
        <v>8.02</v>
      </c>
      <c r="M255" s="159" t="n">
        <v>1</v>
      </c>
      <c r="N255" t="n">
        <v>20</v>
      </c>
      <c r="O255" s="237">
        <f>L255*N255/100</f>
        <v/>
      </c>
      <c r="P255" s="237">
        <f>M255*O255</f>
        <v/>
      </c>
      <c r="Q255" s="208">
        <f>L255*M255</f>
        <v/>
      </c>
      <c r="R255" s="251">
        <f>L255+O255</f>
        <v/>
      </c>
      <c r="S255" s="251">
        <f>Q255+P255</f>
        <v/>
      </c>
      <c r="T255" s="35">
        <f>voranmeldefrist_vierteljaehrlich(G255)</f>
        <v/>
      </c>
      <c r="U255" s="27" t="n"/>
      <c r="V255" s="27" t="n"/>
      <c r="W255" s="210">
        <f>IF(K255=TRUE,Q255/I255,Q255)</f>
        <v/>
      </c>
      <c r="X255" s="237">
        <f>V255/100*S255</f>
        <v/>
      </c>
      <c r="Y255">
        <f>IF(AND(V255&gt;0,N255=V255),TRUE,FALSE)</f>
        <v/>
      </c>
      <c r="Z255" s="228">
        <f>IF(C255="Einnahmen",Q255,-Q255)</f>
        <v/>
      </c>
    </row>
    <row r="256">
      <c r="A256" s="53" t="n">
        <v>2020</v>
      </c>
      <c r="B256" s="53" t="n">
        <v>17</v>
      </c>
      <c r="C256" s="71" t="inlineStr">
        <is>
          <t>Ausgaben</t>
        </is>
      </c>
      <c r="D256" t="inlineStr">
        <is>
          <t>Reise- und Fahrtspesen inkl. Kilometergeld und Diäten</t>
        </is>
      </c>
      <c r="E256" s="9" t="inlineStr">
        <is>
          <t>3293000008730029</t>
        </is>
      </c>
      <c r="G256" s="1" t="n">
        <v>43850</v>
      </c>
      <c r="H256" t="inlineStr">
        <is>
          <t>car2go Österreich GmbH, Hintere Zollamtstraße 9, 1030 Wien</t>
        </is>
      </c>
      <c r="K256">
        <f>(IF(AND(I256&lt;&gt;"",AND(J256="",ABS(Q256)&gt;400)),TRUE,FALSE))</f>
        <v/>
      </c>
      <c r="L256" s="214" t="n">
        <v>10.4</v>
      </c>
      <c r="M256" s="159" t="n">
        <v>1</v>
      </c>
      <c r="N256" t="n">
        <v>20</v>
      </c>
      <c r="O256" s="237">
        <f>L256*N256/100</f>
        <v/>
      </c>
      <c r="P256" s="237">
        <f>M256*O256</f>
        <v/>
      </c>
      <c r="Q256" s="208">
        <f>L256*M256</f>
        <v/>
      </c>
      <c r="R256" s="251">
        <f>L256+O256</f>
        <v/>
      </c>
      <c r="S256" s="251">
        <f>Q256+P256</f>
        <v/>
      </c>
      <c r="T256" s="35">
        <f>voranmeldefrist_vierteljaehrlich(G256)</f>
        <v/>
      </c>
      <c r="U256" s="27" t="n"/>
      <c r="V256" s="27" t="n"/>
      <c r="W256" s="210">
        <f>IF(K256=TRUE,Q256/I256,Q256)</f>
        <v/>
      </c>
      <c r="X256" s="237">
        <f>V256/100*S256</f>
        <v/>
      </c>
      <c r="Y256">
        <f>IF(AND(V256&gt;0,N256=V256),TRUE,FALSE)</f>
        <v/>
      </c>
      <c r="Z256" s="228">
        <f>IF(C256="Einnahmen",Q256,-Q256)</f>
        <v/>
      </c>
    </row>
    <row r="257">
      <c r="A257" s="53" t="n">
        <v>2020</v>
      </c>
      <c r="B257" s="53" t="n">
        <v>18</v>
      </c>
      <c r="C257" s="71" t="inlineStr">
        <is>
          <t>Einnahmen</t>
        </is>
      </c>
      <c r="D257" t="inlineStr">
        <is>
          <t>Waren-/Leistungserlöse</t>
        </is>
      </c>
      <c r="E257" s="9" t="inlineStr">
        <is>
          <t>12019030</t>
        </is>
      </c>
      <c r="G257" s="1" t="n">
        <v>43851</v>
      </c>
      <c r="H257" t="inlineStr">
        <is>
          <t>vemap Academy GmbH, Berggasse 31, 1080 Wien</t>
        </is>
      </c>
      <c r="K257">
        <f>(IF(AND(I257&lt;&gt;"",AND(J257="",ABS(Q257)&gt;400)),TRUE,FALSE))</f>
        <v/>
      </c>
      <c r="L257" s="214" t="n">
        <v>6480</v>
      </c>
      <c r="M257" s="159" t="n">
        <v>1</v>
      </c>
      <c r="N257" t="n">
        <v>20</v>
      </c>
      <c r="O257" s="237">
        <f>L257*N257/100</f>
        <v/>
      </c>
      <c r="P257" s="237">
        <f>M257*O257</f>
        <v/>
      </c>
      <c r="Q257" s="208">
        <f>L257*M257</f>
        <v/>
      </c>
      <c r="R257" s="251">
        <f>L257+O257</f>
        <v/>
      </c>
      <c r="S257" s="251">
        <f>Q257+P257</f>
        <v/>
      </c>
      <c r="T257" s="35">
        <f>voranmeldefrist_vierteljaehrlich(G257)</f>
        <v/>
      </c>
      <c r="U257" s="27" t="n"/>
      <c r="V257" s="27" t="n"/>
      <c r="W257" s="210">
        <f>IF(K257=TRUE,Q257/I257,Q257)</f>
        <v/>
      </c>
      <c r="X257" s="237">
        <f>V257/100*S257</f>
        <v/>
      </c>
      <c r="Y257">
        <f>IF(AND(V257&gt;0,N257=V257),TRUE,FALSE)</f>
        <v/>
      </c>
      <c r="Z257" s="228">
        <f>IF(C257="Einnahmen",Q257,-Q257)</f>
        <v/>
      </c>
    </row>
    <row r="258">
      <c r="A258" s="53" t="n">
        <v>2020</v>
      </c>
      <c r="B258" s="53" t="n">
        <v>19</v>
      </c>
      <c r="C258" s="71" t="inlineStr">
        <is>
          <t>Ausgaben</t>
        </is>
      </c>
      <c r="D258" t="inlineStr">
        <is>
          <t>Telefon/Internet</t>
        </is>
      </c>
      <c r="E258" s="9" t="inlineStr">
        <is>
          <t>901192670120</t>
        </is>
      </c>
      <c r="G258" s="1" t="n">
        <v>43853</v>
      </c>
      <c r="H258" t="inlineStr">
        <is>
          <t>Magenta: T-Mobile Austria GmbH, A-1120 Wien, PF 47</t>
        </is>
      </c>
      <c r="K258">
        <f>(IF(AND(I258&lt;&gt;"",AND(J258="",ABS(Q258)&gt;400)),TRUE,FALSE))</f>
        <v/>
      </c>
      <c r="L258" s="214" t="n">
        <v>31.92</v>
      </c>
      <c r="M258" s="159" t="n">
        <v>1</v>
      </c>
      <c r="N258" t="n">
        <v>20</v>
      </c>
      <c r="O258" s="237">
        <f>L258*N258/100</f>
        <v/>
      </c>
      <c r="P258" s="237">
        <f>M258*O258</f>
        <v/>
      </c>
      <c r="Q258" s="208">
        <f>L258*M258</f>
        <v/>
      </c>
      <c r="R258" s="251">
        <f>L258+O258</f>
        <v/>
      </c>
      <c r="S258" s="251">
        <f>Q258+P258</f>
        <v/>
      </c>
      <c r="T258" s="35">
        <f>voranmeldefrist_vierteljaehrlich(G258)</f>
        <v/>
      </c>
      <c r="U258" s="27" t="n"/>
      <c r="V258" s="27" t="n"/>
      <c r="W258" s="210">
        <f>IF(K258=TRUE,Q258/I258,Q258)</f>
        <v/>
      </c>
      <c r="X258" s="237">
        <f>V258/100*S258</f>
        <v/>
      </c>
      <c r="Y258">
        <f>IF(AND(V258&gt;0,N258=V258),TRUE,FALSE)</f>
        <v/>
      </c>
      <c r="Z258" s="228">
        <f>IF(C258="Einnahmen",Q258,-Q258)</f>
        <v/>
      </c>
    </row>
    <row r="259">
      <c r="A259" s="53" t="n">
        <v>2020</v>
      </c>
      <c r="B259" s="53" t="n">
        <v>20</v>
      </c>
      <c r="C259" s="71" t="inlineStr">
        <is>
          <t>Ausgaben</t>
        </is>
      </c>
      <c r="D259" t="inlineStr">
        <is>
          <t>sonstige Betriebsausgaben</t>
        </is>
      </c>
      <c r="E259" s="9" t="inlineStr">
        <is>
          <t>774047</t>
        </is>
      </c>
      <c r="G259" s="1" t="n">
        <v>43857</v>
      </c>
      <c r="H259" t="inlineStr">
        <is>
          <t>Lemon Technologies GmbH, Unterweißenbach 181, 7330 Feldbach: Bildschirm</t>
        </is>
      </c>
      <c r="K259">
        <f>(IF(AND(I259&lt;&gt;"",AND(J259="",ABS(Q259)&gt;400)),TRUE,FALSE))</f>
        <v/>
      </c>
      <c r="L259" s="214" t="n">
        <v>142.51</v>
      </c>
      <c r="M259" s="159" t="n">
        <v>1</v>
      </c>
      <c r="N259" t="n">
        <v>20</v>
      </c>
      <c r="O259" s="237">
        <f>L259*N259/100</f>
        <v/>
      </c>
      <c r="P259" s="237">
        <f>M259*O259</f>
        <v/>
      </c>
      <c r="Q259" s="208">
        <f>L259*M259</f>
        <v/>
      </c>
      <c r="R259" s="251">
        <f>L259+O259</f>
        <v/>
      </c>
      <c r="S259" s="251">
        <f>Q259+P259</f>
        <v/>
      </c>
      <c r="T259" s="35">
        <f>voranmeldefrist_vierteljaehrlich(G259)</f>
        <v/>
      </c>
      <c r="U259" s="27" t="n"/>
      <c r="V259" s="27" t="n"/>
      <c r="W259" s="210">
        <f>IF(K259=TRUE,Q259/I259,Q259)</f>
        <v/>
      </c>
      <c r="X259" s="237">
        <f>V259/100*S259</f>
        <v/>
      </c>
      <c r="Y259">
        <f>IF(AND(V259&gt;0,N259=V259),TRUE,FALSE)</f>
        <v/>
      </c>
      <c r="Z259" s="228">
        <f>IF(C259="Einnahmen",Q259,-Q259)</f>
        <v/>
      </c>
    </row>
    <row r="260">
      <c r="A260" s="53" t="n">
        <v>2020</v>
      </c>
      <c r="B260" s="53" t="n">
        <v>21</v>
      </c>
      <c r="C260" s="71" t="inlineStr">
        <is>
          <t>Ausgaben</t>
        </is>
      </c>
      <c r="D260" t="inlineStr">
        <is>
          <t>Reise- und Fahrtspesen inkl. Kilometergeld und Diäten</t>
        </is>
      </c>
      <c r="E260" s="9" t="inlineStr">
        <is>
          <t>3293000008770266</t>
        </is>
      </c>
      <c r="G260" s="1" t="n">
        <v>43857</v>
      </c>
      <c r="H260" t="inlineStr">
        <is>
          <t>car2go Österreich GmbH, Hintere Zollamtstraße 9, 1030 Wien</t>
        </is>
      </c>
      <c r="K260">
        <f>(IF(AND(I260&lt;&gt;"",AND(J260="",ABS(Q260)&gt;400)),TRUE,FALSE))</f>
        <v/>
      </c>
      <c r="L260" s="214" t="n">
        <v>9.300000000000001</v>
      </c>
      <c r="M260" s="159" t="n">
        <v>1</v>
      </c>
      <c r="N260" t="n">
        <v>20</v>
      </c>
      <c r="O260" s="237">
        <f>L260*N260/100</f>
        <v/>
      </c>
      <c r="P260" s="237">
        <f>M260*O260</f>
        <v/>
      </c>
      <c r="Q260" s="208">
        <f>L260*M260</f>
        <v/>
      </c>
      <c r="R260" s="251">
        <f>L260+O260</f>
        <v/>
      </c>
      <c r="S260" s="251">
        <f>Q260+P260</f>
        <v/>
      </c>
      <c r="T260" s="35">
        <f>voranmeldefrist_vierteljaehrlich(G260)</f>
        <v/>
      </c>
      <c r="U260" s="27" t="n"/>
      <c r="V260" s="27" t="n"/>
      <c r="W260" s="210">
        <f>IF(K260=TRUE,Q260/I260,Q260)</f>
        <v/>
      </c>
      <c r="X260" s="237">
        <f>V260/100*S260</f>
        <v/>
      </c>
      <c r="Y260">
        <f>IF(AND(V260&gt;0,N260=V260),TRUE,FALSE)</f>
        <v/>
      </c>
      <c r="Z260" s="228">
        <f>IF(C260="Einnahmen",Q260,-Q260)</f>
        <v/>
      </c>
    </row>
    <row r="261">
      <c r="A261" s="53" t="n">
        <v>2020</v>
      </c>
      <c r="B261" s="53" t="n">
        <v>22</v>
      </c>
      <c r="C261" s="71" t="inlineStr">
        <is>
          <t>Ausgaben</t>
        </is>
      </c>
      <c r="D261" t="inlineStr">
        <is>
          <t>Reise- und Fahrtspesen inkl. Kilometergeld und Diäten</t>
        </is>
      </c>
      <c r="E261" s="9" t="inlineStr">
        <is>
          <t>3293000008773879</t>
        </is>
      </c>
      <c r="G261" s="1" t="n">
        <v>43857</v>
      </c>
      <c r="H261" t="inlineStr">
        <is>
          <t>car2go Österreich GmbH, Hintere Zollamtstraße 9, 1030 Wien</t>
        </is>
      </c>
      <c r="K261">
        <f>(IF(AND(I261&lt;&gt;"",AND(J261="",ABS(Q261)&gt;400)),TRUE,FALSE))</f>
        <v/>
      </c>
      <c r="L261" s="214" t="n">
        <v>7.49</v>
      </c>
      <c r="M261" s="159" t="n">
        <v>1</v>
      </c>
      <c r="N261" t="n">
        <v>20</v>
      </c>
      <c r="O261" s="237">
        <f>L261*N261/100</f>
        <v/>
      </c>
      <c r="P261" s="237">
        <f>M261*O261</f>
        <v/>
      </c>
      <c r="Q261" s="208">
        <f>L261*M261</f>
        <v/>
      </c>
      <c r="R261" s="251">
        <f>L261+O261</f>
        <v/>
      </c>
      <c r="S261" s="251">
        <f>Q261+P261</f>
        <v/>
      </c>
      <c r="T261" s="35">
        <f>voranmeldefrist_vierteljaehrlich(G261)</f>
        <v/>
      </c>
      <c r="U261" s="27" t="n"/>
      <c r="V261" s="27" t="n"/>
      <c r="W261" s="210">
        <f>IF(K261=TRUE,Q261/I261,Q261)</f>
        <v/>
      </c>
      <c r="X261" s="237">
        <f>V261/100*S261</f>
        <v/>
      </c>
      <c r="Y261">
        <f>IF(AND(V261&gt;0,N261=V261),TRUE,FALSE)</f>
        <v/>
      </c>
      <c r="Z261" s="228">
        <f>IF(C261="Einnahmen",Q261,-Q261)</f>
        <v/>
      </c>
    </row>
    <row r="262">
      <c r="A262" s="53" t="n">
        <v>2020</v>
      </c>
      <c r="B262" s="53" t="n">
        <v>23</v>
      </c>
      <c r="C262" s="71" t="inlineStr">
        <is>
          <t>Ausgaben</t>
        </is>
      </c>
      <c r="D262" t="inlineStr">
        <is>
          <t>sonstige Betriebsausgaben</t>
        </is>
      </c>
      <c r="E262" s="9" t="inlineStr">
        <is>
          <t>RE0806899</t>
        </is>
      </c>
      <c r="G262" s="1" t="n">
        <v>43857</v>
      </c>
      <c r="H262" t="inlineStr">
        <is>
          <t>easyname GmbH, Fernkorngasse 10/3/501, A-1100 Wien</t>
        </is>
      </c>
      <c r="K262">
        <f>(IF(AND(I262&lt;&gt;"",AND(J262="",ABS(Q262)&gt;400)),TRUE,FALSE))</f>
        <v/>
      </c>
      <c r="L262" s="214" t="n">
        <v>16.58</v>
      </c>
      <c r="M262" s="159" t="n">
        <v>1</v>
      </c>
      <c r="N262" t="n">
        <v>20</v>
      </c>
      <c r="O262" s="237">
        <f>L262*N262/100</f>
        <v/>
      </c>
      <c r="P262" s="237">
        <f>M262*O262</f>
        <v/>
      </c>
      <c r="Q262" s="208">
        <f>L262*M262</f>
        <v/>
      </c>
      <c r="R262" s="251">
        <f>L262+O262</f>
        <v/>
      </c>
      <c r="S262" s="251">
        <f>Q262+P262</f>
        <v/>
      </c>
      <c r="T262" s="35">
        <f>voranmeldefrist_vierteljaehrlich(G262)</f>
        <v/>
      </c>
      <c r="U262" s="27" t="n"/>
      <c r="V262" s="27" t="n"/>
      <c r="W262" s="210">
        <f>IF(K262=TRUE,Q262/J262,Q262)</f>
        <v/>
      </c>
      <c r="X262" s="237">
        <f>V262/100*S262</f>
        <v/>
      </c>
      <c r="Y262">
        <f>IF(AND(V262&gt;0,N262=V262),TRUE,FALSE)</f>
        <v/>
      </c>
      <c r="Z262" s="228">
        <f>IF(C262="Einnahmen",Q262,-Q262)</f>
        <v/>
      </c>
    </row>
    <row r="263">
      <c r="A263" s="53" t="n">
        <v>2020</v>
      </c>
      <c r="B263" s="53" t="n">
        <v>24</v>
      </c>
      <c r="C263" s="71" t="inlineStr">
        <is>
          <t>Ausgaben</t>
        </is>
      </c>
      <c r="D263" t="inlineStr">
        <is>
          <t>Reise- und Fahrtspesen inkl. Kilometergeld und Diäten</t>
        </is>
      </c>
      <c r="E263" s="9" t="inlineStr">
        <is>
          <t>3293000008778470</t>
        </is>
      </c>
      <c r="G263" s="1" t="n">
        <v>43857</v>
      </c>
      <c r="H263" t="inlineStr">
        <is>
          <t>car2go Österreich GmbH, Hintere Zollamtstraße 9, 1030 Wien</t>
        </is>
      </c>
      <c r="K263">
        <f>(IF(AND(I263&lt;&gt;"",AND(J263="",ABS(Q263)&gt;400)),TRUE,FALSE))</f>
        <v/>
      </c>
      <c r="L263" s="214" t="n">
        <v>2.58</v>
      </c>
      <c r="M263" s="159" t="n">
        <v>1</v>
      </c>
      <c r="N263" t="n">
        <v>20</v>
      </c>
      <c r="O263" s="237">
        <f>L263*N263/100</f>
        <v/>
      </c>
      <c r="P263" s="237">
        <f>M263*O263</f>
        <v/>
      </c>
      <c r="Q263" s="208">
        <f>L263*M263</f>
        <v/>
      </c>
      <c r="R263" s="251">
        <f>L263+O263</f>
        <v/>
      </c>
      <c r="S263" s="251">
        <f>Q263+P263</f>
        <v/>
      </c>
      <c r="T263" s="35">
        <f>voranmeldefrist_vierteljaehrlich(G263)</f>
        <v/>
      </c>
      <c r="U263" s="27" t="n"/>
      <c r="V263" s="27" t="n"/>
      <c r="W263" s="210">
        <f>IF(K263=TRUE,Q263/I263,Q263)</f>
        <v/>
      </c>
      <c r="X263" s="237">
        <f>V263/100*S263</f>
        <v/>
      </c>
      <c r="Y263">
        <f>IF(AND(V263&gt;0,N263=V263),TRUE,FALSE)</f>
        <v/>
      </c>
      <c r="Z263" s="228">
        <f>IF(C263="Einnahmen",Q263,-Q263)</f>
        <v/>
      </c>
    </row>
    <row r="264">
      <c r="A264" s="53" t="n">
        <v>2020</v>
      </c>
      <c r="B264" s="53" t="n">
        <v>25</v>
      </c>
      <c r="C264" s="71" t="inlineStr">
        <is>
          <t>Ausgaben</t>
        </is>
      </c>
      <c r="D264" t="inlineStr">
        <is>
          <t>sonstige Betriebsausgaben</t>
        </is>
      </c>
      <c r="E264" s="9" t="inlineStr">
        <is>
          <t>ATINV20000000137701</t>
        </is>
      </c>
      <c r="G264" s="1" t="n">
        <v>43857</v>
      </c>
      <c r="H264" t="inlineStr">
        <is>
          <t>Ikea Möbelvertrieb OHG, Südring, 2334 Vösendorf</t>
        </is>
      </c>
      <c r="K264">
        <f>(IF(AND(I264&lt;&gt;"",AND(J264="",ABS(Q264)&gt;400)),TRUE,FALSE))</f>
        <v/>
      </c>
      <c r="L264" s="214" t="n">
        <v>399.92</v>
      </c>
      <c r="M264" s="159" t="n">
        <v>1</v>
      </c>
      <c r="N264" t="n">
        <v>20</v>
      </c>
      <c r="O264" s="237">
        <f>L264*N264/100</f>
        <v/>
      </c>
      <c r="P264" s="237">
        <f>M264*O264</f>
        <v/>
      </c>
      <c r="Q264" s="208">
        <f>L264*M264</f>
        <v/>
      </c>
      <c r="R264" s="251">
        <f>L264+O264</f>
        <v/>
      </c>
      <c r="S264" s="251">
        <f>Q264+P264</f>
        <v/>
      </c>
      <c r="T264" s="35">
        <f>voranmeldefrist_vierteljaehrlich(G264)</f>
        <v/>
      </c>
      <c r="U264" s="27" t="n"/>
      <c r="V264" s="27" t="n"/>
      <c r="W264" s="210">
        <f>IF(K264=TRUE,Q264/I264,Q264)</f>
        <v/>
      </c>
      <c r="X264" s="237">
        <f>V264/100*S264</f>
        <v/>
      </c>
      <c r="Y264">
        <f>IF(AND(V264&gt;0,N264=V264),TRUE,FALSE)</f>
        <v/>
      </c>
      <c r="Z264" s="228">
        <f>IF(C264="Einnahmen",Q264,-Q264)</f>
        <v/>
      </c>
    </row>
    <row r="265">
      <c r="A265" s="53" t="n">
        <v>2020</v>
      </c>
      <c r="B265" s="53" t="n">
        <v>26</v>
      </c>
      <c r="C265" s="71" t="inlineStr">
        <is>
          <t>Ausgaben</t>
        </is>
      </c>
      <c r="D265" t="inlineStr">
        <is>
          <t>Reise- und Fahrtspesen inkl. Kilometergeld und Diäten</t>
        </is>
      </c>
      <c r="E265" s="9" t="inlineStr">
        <is>
          <t>3293000008798136</t>
        </is>
      </c>
      <c r="G265" s="1" t="n">
        <v>43859</v>
      </c>
      <c r="H265" t="inlineStr">
        <is>
          <t>car2go Österreich GmbH, Hintere Zollamtstraße 9, 1030 Wien</t>
        </is>
      </c>
      <c r="K265">
        <f>(IF(AND(I265&lt;&gt;"",AND(J265="",ABS(Q265)&gt;400)),TRUE,FALSE))</f>
        <v/>
      </c>
      <c r="L265" s="214" t="n">
        <v>2.58</v>
      </c>
      <c r="M265" s="159" t="n">
        <v>1</v>
      </c>
      <c r="N265" t="n">
        <v>20</v>
      </c>
      <c r="O265" s="237">
        <f>L265*N265/100</f>
        <v/>
      </c>
      <c r="P265" s="237">
        <f>M265*O265</f>
        <v/>
      </c>
      <c r="Q265" s="208">
        <f>L265*M265</f>
        <v/>
      </c>
      <c r="R265" s="251">
        <f>L265+O265</f>
        <v/>
      </c>
      <c r="S265" s="251">
        <f>Q265+P265</f>
        <v/>
      </c>
      <c r="T265" s="35">
        <f>voranmeldefrist_vierteljaehrlich(G265)</f>
        <v/>
      </c>
      <c r="U265" s="27" t="n"/>
      <c r="V265" s="27" t="n"/>
      <c r="W265" s="210">
        <f>IF(K265=TRUE,Q265/I265,Q265)</f>
        <v/>
      </c>
      <c r="X265" s="237">
        <f>V265/100*S265</f>
        <v/>
      </c>
      <c r="Y265">
        <f>IF(AND(V265&gt;0,N265=V265),TRUE,FALSE)</f>
        <v/>
      </c>
      <c r="Z265" s="228">
        <f>IF(C265="Einnahmen",Q265,-Q265)</f>
        <v/>
      </c>
    </row>
    <row r="266">
      <c r="A266" s="53" t="n">
        <v>2020</v>
      </c>
      <c r="B266" s="53" t="n">
        <v>27</v>
      </c>
      <c r="C266" s="71" t="inlineStr">
        <is>
          <t>Ausgaben</t>
        </is>
      </c>
      <c r="D266" t="inlineStr">
        <is>
          <t>Reise- und Fahrtspesen inkl. Kilometergeld und Diäten</t>
        </is>
      </c>
      <c r="E266" s="9" t="inlineStr">
        <is>
          <t>3293000008801077</t>
        </is>
      </c>
      <c r="G266" s="1" t="n">
        <v>43860</v>
      </c>
      <c r="H266" t="inlineStr">
        <is>
          <t>car2go Österreich GmbH, Hintere Zollamtstraße 9, 1030 Wien</t>
        </is>
      </c>
      <c r="K266">
        <f>(IF(AND(I266&lt;&gt;"",AND(J266="",ABS(Q266)&gt;400)),TRUE,FALSE))</f>
        <v/>
      </c>
      <c r="L266" s="214" t="n">
        <v>2.1</v>
      </c>
      <c r="M266" s="159" t="n">
        <v>1</v>
      </c>
      <c r="N266" t="n">
        <v>20</v>
      </c>
      <c r="O266" s="237">
        <f>L266*N266/100</f>
        <v/>
      </c>
      <c r="P266" s="237">
        <f>M266*O266</f>
        <v/>
      </c>
      <c r="Q266" s="208">
        <f>L266*M266</f>
        <v/>
      </c>
      <c r="R266" s="251">
        <f>L266+O266</f>
        <v/>
      </c>
      <c r="S266" s="251">
        <f>Q266+P266</f>
        <v/>
      </c>
      <c r="T266" s="35">
        <f>voranmeldefrist_vierteljaehrlich(G266)</f>
        <v/>
      </c>
      <c r="U266" s="27" t="n"/>
      <c r="V266" s="27" t="n"/>
      <c r="W266" s="210">
        <f>IF(K266=TRUE,Q266/I266,Q266)</f>
        <v/>
      </c>
      <c r="X266" s="237">
        <f>V266/100*S266</f>
        <v/>
      </c>
      <c r="Y266">
        <f>IF(AND(V266&gt;0,N266=V266),TRUE,FALSE)</f>
        <v/>
      </c>
      <c r="Z266" s="228">
        <f>IF(C266="Einnahmen",Q266,-Q266)</f>
        <v/>
      </c>
    </row>
    <row r="267">
      <c r="A267" s="53" t="n">
        <v>2020</v>
      </c>
      <c r="B267" s="53" t="n">
        <v>28</v>
      </c>
      <c r="C267" s="71" t="inlineStr">
        <is>
          <t>Ausgaben</t>
        </is>
      </c>
      <c r="D267" t="inlineStr">
        <is>
          <t>Reise- und Fahrtspesen inkl. Kilometergeld und Diäten</t>
        </is>
      </c>
      <c r="E267" s="9" t="inlineStr">
        <is>
          <t>3293000008817893</t>
        </is>
      </c>
      <c r="G267" s="1" t="n">
        <v>43864</v>
      </c>
      <c r="H267" t="inlineStr">
        <is>
          <t>car2go Österreich GmbH, Hintere Zollamtstraße 9, 1030 Wien</t>
        </is>
      </c>
      <c r="K267">
        <f>(IF(AND(I267&lt;&gt;"",AND(J267="",ABS(Q267)&gt;400)),TRUE,FALSE))</f>
        <v/>
      </c>
      <c r="L267" s="214" t="n">
        <v>9.5</v>
      </c>
      <c r="M267" s="159" t="n">
        <v>1</v>
      </c>
      <c r="N267" t="n">
        <v>20</v>
      </c>
      <c r="O267" s="237">
        <f>L267*N267/100</f>
        <v/>
      </c>
      <c r="P267" s="237">
        <f>M267*O267</f>
        <v/>
      </c>
      <c r="Q267" s="208">
        <f>L267*M267</f>
        <v/>
      </c>
      <c r="R267" s="251">
        <f>L267+O267</f>
        <v/>
      </c>
      <c r="S267" s="251">
        <f>Q267+P267</f>
        <v/>
      </c>
      <c r="T267" s="35">
        <f>voranmeldefrist_vierteljaehrlich(G267)</f>
        <v/>
      </c>
      <c r="U267" s="27" t="n"/>
      <c r="V267" s="27" t="n"/>
      <c r="W267" s="210">
        <f>IF(K267=TRUE,Q267/I267,Q267)</f>
        <v/>
      </c>
      <c r="X267" s="237">
        <f>V267/100*S267</f>
        <v/>
      </c>
      <c r="Y267">
        <f>IF(AND(V267&gt;0,N267=V267),TRUE,FALSE)</f>
        <v/>
      </c>
      <c r="Z267" s="228">
        <f>IF(C267="Einnahmen",Q267,-Q267)</f>
        <v/>
      </c>
    </row>
    <row r="268">
      <c r="A268" s="53" t="n">
        <v>2020</v>
      </c>
      <c r="B268" s="53" t="n">
        <v>29</v>
      </c>
      <c r="C268" s="71" t="inlineStr">
        <is>
          <t>Ausgaben</t>
        </is>
      </c>
      <c r="D268" t="inlineStr">
        <is>
          <t>Reise- und Fahrtspesen inkl. Kilometergeld und Diäten</t>
        </is>
      </c>
      <c r="E268" s="9" t="inlineStr">
        <is>
          <t>3293000008813656</t>
        </is>
      </c>
      <c r="G268" s="1" t="n">
        <v>43864</v>
      </c>
      <c r="H268" t="inlineStr">
        <is>
          <t>car2go Österreich GmbH, Hintere Zollamtstraße 9, 1030 Wien</t>
        </is>
      </c>
      <c r="K268">
        <f>(IF(AND(I268&lt;&gt;"",AND(J268="",ABS(Q268)&gt;400)),TRUE,FALSE))</f>
        <v/>
      </c>
      <c r="L268" s="214" t="n">
        <v>6</v>
      </c>
      <c r="M268" s="159" t="n">
        <v>1</v>
      </c>
      <c r="N268" t="n">
        <v>20</v>
      </c>
      <c r="O268" s="237">
        <f>L268*N268/100</f>
        <v/>
      </c>
      <c r="P268" s="237">
        <f>M268*O268</f>
        <v/>
      </c>
      <c r="Q268" s="208">
        <f>L268*M268</f>
        <v/>
      </c>
      <c r="R268" s="251">
        <f>L268+O268</f>
        <v/>
      </c>
      <c r="S268" s="251">
        <f>Q268+P268</f>
        <v/>
      </c>
      <c r="T268" s="35">
        <f>voranmeldefrist_vierteljaehrlich(G268)</f>
        <v/>
      </c>
      <c r="U268" s="27" t="n"/>
      <c r="V268" s="27" t="n"/>
      <c r="W268" s="210">
        <f>IF(K268=TRUE,Q268/I268,Q268)</f>
        <v/>
      </c>
      <c r="X268" s="237">
        <f>V268/100*S268</f>
        <v/>
      </c>
      <c r="Y268">
        <f>IF(AND(V268&gt;0,N268=V268),TRUE,FALSE)</f>
        <v/>
      </c>
      <c r="Z268" s="228">
        <f>IF(C268="Einnahmen",Q268,-Q268)</f>
        <v/>
      </c>
    </row>
    <row r="269">
      <c r="A269" s="53" t="n">
        <v>2020</v>
      </c>
      <c r="B269" s="53" t="n">
        <v>30</v>
      </c>
      <c r="C269" s="71" t="inlineStr">
        <is>
          <t>Ausgaben</t>
        </is>
      </c>
      <c r="D269" t="inlineStr">
        <is>
          <t>Miet- und Pachtaufwand, Leasing</t>
        </is>
      </c>
      <c r="E269" s="9" t="inlineStr">
        <is>
          <t>20/9801/VS00043</t>
        </is>
      </c>
      <c r="G269" s="1" t="n">
        <v>43864</v>
      </c>
      <c r="H269" t="inlineStr">
        <is>
          <t>Bontus Immobilienverwaltung GmbH, 1010 Wien, Franz Josefs Kai 65</t>
        </is>
      </c>
      <c r="K269" t="b">
        <v>0</v>
      </c>
      <c r="L269" s="214" t="n">
        <v>462.44</v>
      </c>
      <c r="M269" s="159" t="n">
        <v>1</v>
      </c>
      <c r="N269" t="n">
        <v>20</v>
      </c>
      <c r="O269" s="237">
        <f>L269*N269/100</f>
        <v/>
      </c>
      <c r="P269" s="237">
        <f>M269*O269</f>
        <v/>
      </c>
      <c r="Q269" s="208">
        <f>L269*M269</f>
        <v/>
      </c>
      <c r="R269" s="251">
        <f>L269+O269</f>
        <v/>
      </c>
      <c r="S269" s="251">
        <f>Q269+P269</f>
        <v/>
      </c>
      <c r="T269" s="35">
        <f>voranmeldefrist_vierteljaehrlich(G269)</f>
        <v/>
      </c>
      <c r="U269" s="27" t="n"/>
      <c r="V269" s="27" t="n"/>
      <c r="W269" s="210">
        <f>IF(K269=TRUE,Q269/J269,Q269)</f>
        <v/>
      </c>
      <c r="X269" s="237">
        <f>V269/100*S269</f>
        <v/>
      </c>
      <c r="Y269">
        <f>IF(AND(V269&gt;0,N269=V269),TRUE,FALSE)</f>
        <v/>
      </c>
      <c r="Z269" s="228">
        <f>IF(C269="Einnahmen",Q269,-Q269)</f>
        <v/>
      </c>
    </row>
    <row r="270">
      <c r="A270" s="53" t="n">
        <v>2020</v>
      </c>
      <c r="B270" s="53" t="n">
        <v>31</v>
      </c>
      <c r="C270" s="71" t="inlineStr">
        <is>
          <t>Ausgaben</t>
        </is>
      </c>
      <c r="D270" t="inlineStr">
        <is>
          <t>Reise- und Fahrtspesen inkl. Kilometergeld und Diäten</t>
        </is>
      </c>
      <c r="E270" s="9" t="inlineStr">
        <is>
          <t>3293000008839656</t>
        </is>
      </c>
      <c r="G270" s="1" t="n">
        <v>43864</v>
      </c>
      <c r="H270" t="inlineStr">
        <is>
          <t>car2go Österreich GmbH, Hintere Zollamtstraße 9, 1030 Wien</t>
        </is>
      </c>
      <c r="K270">
        <f>(IF(AND(I270&lt;&gt;"",AND(J270="",ABS(Q270)&gt;400)),TRUE,FALSE))</f>
        <v/>
      </c>
      <c r="L270" s="214" t="n">
        <v>2.58</v>
      </c>
      <c r="M270" s="159" t="n">
        <v>1</v>
      </c>
      <c r="N270" t="n">
        <v>20</v>
      </c>
      <c r="O270" s="237">
        <f>L270*N270/100</f>
        <v/>
      </c>
      <c r="P270" s="237">
        <f>M270*O270</f>
        <v/>
      </c>
      <c r="Q270" s="208">
        <f>L270*M270</f>
        <v/>
      </c>
      <c r="R270" s="251">
        <f>L270+O270</f>
        <v/>
      </c>
      <c r="S270" s="251">
        <f>Q270+P270</f>
        <v/>
      </c>
      <c r="T270" s="35">
        <f>voranmeldefrist_vierteljaehrlich(G270)</f>
        <v/>
      </c>
      <c r="U270" s="27" t="n"/>
      <c r="V270" s="27" t="n"/>
      <c r="W270" s="210">
        <f>IF(K270=TRUE,Q270/I270,Q270)</f>
        <v/>
      </c>
      <c r="X270" s="237">
        <f>V270/100*S270</f>
        <v/>
      </c>
      <c r="Y270">
        <f>IF(AND(V270&gt;0,N270=V270),TRUE,FALSE)</f>
        <v/>
      </c>
      <c r="Z270" s="228">
        <f>IF(C270="Einnahmen",Q270,-Q270)</f>
        <v/>
      </c>
    </row>
    <row r="271">
      <c r="A271" s="53" t="n">
        <v>2020</v>
      </c>
      <c r="B271" s="53" t="n">
        <v>32</v>
      </c>
      <c r="C271" s="71" t="inlineStr">
        <is>
          <t>Ausgaben</t>
        </is>
      </c>
      <c r="D271" t="inlineStr">
        <is>
          <t>sonstige Betriebsausgaben</t>
        </is>
      </c>
      <c r="E271" s="61" t="inlineStr">
        <is>
          <t>BELEG FEHLT</t>
        </is>
      </c>
      <c r="G271" s="1" t="n">
        <v>43865</v>
      </c>
      <c r="H271" t="inlineStr">
        <is>
          <t>Aon Austria GmbH</t>
        </is>
      </c>
      <c r="K271">
        <f>(IF(AND(I271&lt;&gt;"",AND(J271="",ABS(Q271)&gt;400)),TRUE,FALSE))</f>
        <v/>
      </c>
      <c r="L271" s="214">
        <f>S271/1.2</f>
        <v/>
      </c>
      <c r="M271" s="159" t="n">
        <v>1</v>
      </c>
      <c r="N271" t="n">
        <v>20</v>
      </c>
      <c r="O271" s="237">
        <f>L271*N271/100</f>
        <v/>
      </c>
      <c r="P271" s="237">
        <f>M271*O271</f>
        <v/>
      </c>
      <c r="Q271" s="208">
        <f>L271*M271</f>
        <v/>
      </c>
      <c r="R271" s="251">
        <f>L271+O271</f>
        <v/>
      </c>
      <c r="S271" s="251" t="n">
        <v>235.6</v>
      </c>
      <c r="T271" s="35">
        <f>voranmeldefrist_vierteljaehrlich(G271)</f>
        <v/>
      </c>
      <c r="U271" s="27" t="n"/>
      <c r="V271" s="27" t="n"/>
      <c r="W271" s="210">
        <f>IF(K271=TRUE,Q271/J271,Q271)</f>
        <v/>
      </c>
      <c r="X271" s="237">
        <f>V271/100*S271</f>
        <v/>
      </c>
      <c r="Y271">
        <f>IF(AND(V271&gt;0,N271=V271),TRUE,FALSE)</f>
        <v/>
      </c>
      <c r="Z271" s="228">
        <f>IF(C271="Einnahmen",Q271,-Q271)</f>
        <v/>
      </c>
    </row>
    <row r="272">
      <c r="A272" s="53" t="n">
        <v>2020</v>
      </c>
      <c r="B272" s="53" t="n">
        <v>33</v>
      </c>
      <c r="C272" s="71" t="inlineStr">
        <is>
          <t>Ausgaben</t>
        </is>
      </c>
      <c r="D272" t="inlineStr">
        <is>
          <t>sonstige Betriebsausgaben</t>
        </is>
      </c>
      <c r="E272" s="9" t="inlineStr">
        <is>
          <t>807693</t>
        </is>
      </c>
      <c r="G272" s="1" t="n">
        <v>43866</v>
      </c>
      <c r="H272" t="inlineStr">
        <is>
          <t>easy green energy</t>
        </is>
      </c>
      <c r="K272">
        <f>(IF(AND(I272&lt;&gt;"",AND(J272="",ABS(Q272)&gt;400)),TRUE,FALSE))</f>
        <v/>
      </c>
      <c r="L272" s="214">
        <f>S272/1.2</f>
        <v/>
      </c>
      <c r="M272" s="159" t="n">
        <v>1</v>
      </c>
      <c r="N272" t="n">
        <v>20</v>
      </c>
      <c r="O272" s="237">
        <f>L272*N272/100</f>
        <v/>
      </c>
      <c r="P272" s="237">
        <f>M272*O272</f>
        <v/>
      </c>
      <c r="Q272" s="208">
        <f>L272*M272</f>
        <v/>
      </c>
      <c r="R272" s="251">
        <f>L272+O272</f>
        <v/>
      </c>
      <c r="S272" s="251" t="n">
        <v>3</v>
      </c>
      <c r="T272" s="35">
        <f>voranmeldefrist_vierteljaehrlich(G272)</f>
        <v/>
      </c>
      <c r="U272" s="27" t="n"/>
      <c r="V272" s="27" t="n"/>
      <c r="W272" s="210">
        <f>IF(K272=TRUE,Q272/J272,Q272)</f>
        <v/>
      </c>
      <c r="X272" s="237">
        <f>V272/100*S272</f>
        <v/>
      </c>
      <c r="Y272">
        <f>IF(AND(V272&gt;0,N272=V272),TRUE,FALSE)</f>
        <v/>
      </c>
      <c r="Z272" s="228">
        <f>IF(C272="Einnahmen",Q272,-Q272)</f>
        <v/>
      </c>
    </row>
    <row r="273" customFormat="1" s="93">
      <c r="A273" s="53" t="n">
        <v>2020</v>
      </c>
      <c r="B273" s="53" t="n">
        <v>34</v>
      </c>
      <c r="C273" s="71" t="inlineStr">
        <is>
          <t>Ausgaben</t>
        </is>
      </c>
      <c r="D273" t="inlineStr">
        <is>
          <t>Waren, Rohstoffe, Hilfsstoffe</t>
        </is>
      </c>
      <c r="E273" s="9" t="inlineStr">
        <is>
          <t>AEU-INV-PL-2020-610134</t>
        </is>
      </c>
      <c r="G273" s="1" t="n">
        <v>43866</v>
      </c>
      <c r="H273" t="inlineStr">
        <is>
          <t>Amazon EU S. à r.l., 38 avenue John F. Kennedy, L-1855 Luxembourg: HJEU: DVI-HDMI, Logitech Maus</t>
        </is>
      </c>
      <c r="J273" s="76" t="n"/>
      <c r="K273">
        <f>(IF(AND(I273&lt;&gt;"",AND(J273="",ABS(Q273)&gt;400)),TRUE,FALSE))</f>
        <v/>
      </c>
      <c r="L273" s="214" t="n">
        <v>6.21</v>
      </c>
      <c r="M273" s="159" t="n">
        <v>1</v>
      </c>
      <c r="N273" t="n">
        <v>0</v>
      </c>
      <c r="O273" s="237">
        <f>L273*N273/100</f>
        <v/>
      </c>
      <c r="P273" s="237">
        <f>M273*O273</f>
        <v/>
      </c>
      <c r="Q273" s="208">
        <f>L273*M273</f>
        <v/>
      </c>
      <c r="R273" s="251">
        <f>L273+O273</f>
        <v/>
      </c>
      <c r="S273" s="251">
        <f>Q273+P273</f>
        <v/>
      </c>
      <c r="T273" s="35">
        <f>voranmeldefrist_vierteljaehrlich(G273)</f>
        <v/>
      </c>
      <c r="U273" s="27" t="n"/>
      <c r="V273" s="27" t="n">
        <v>20</v>
      </c>
      <c r="W273" s="210">
        <f>IF(K273=TRUE,Q273/I273,Q273)</f>
        <v/>
      </c>
      <c r="X273" s="237">
        <f>V273/100*S273</f>
        <v/>
      </c>
      <c r="Y273">
        <f>IF(AND(V273&gt;0,N273=V273),TRUE,FALSE)</f>
        <v/>
      </c>
      <c r="Z273" s="228">
        <f>IF(C273="Einnahmen",Q273,-Q273)</f>
        <v/>
      </c>
    </row>
    <row r="274">
      <c r="A274" s="53" t="n">
        <v>2020</v>
      </c>
      <c r="B274" s="53" t="n">
        <v>35</v>
      </c>
      <c r="C274" s="71" t="inlineStr">
        <is>
          <t>Ausgaben</t>
        </is>
      </c>
      <c r="D274" t="inlineStr">
        <is>
          <t>Reise- und Fahrtspesen inkl. Kilometergeld und Diäten</t>
        </is>
      </c>
      <c r="E274" s="9" t="inlineStr">
        <is>
          <t>3293000008849768</t>
        </is>
      </c>
      <c r="G274" s="1" t="n">
        <v>43867</v>
      </c>
      <c r="H274" t="inlineStr">
        <is>
          <t>car2go Österreich GmbH, Hintere Zollamtstraße 9, 1030 Wien</t>
        </is>
      </c>
      <c r="K274">
        <f>(IF(AND(I274&lt;&gt;"",AND(J274="",ABS(Q274)&gt;400)),TRUE,FALSE))</f>
        <v/>
      </c>
      <c r="L274" s="214" t="n">
        <v>2.07</v>
      </c>
      <c r="M274" s="159" t="n">
        <v>1</v>
      </c>
      <c r="N274" t="n">
        <v>20</v>
      </c>
      <c r="O274" s="237">
        <f>L274*N274/100</f>
        <v/>
      </c>
      <c r="P274" s="237">
        <f>M274*O274</f>
        <v/>
      </c>
      <c r="Q274" s="208">
        <f>L274*M274</f>
        <v/>
      </c>
      <c r="R274" s="251">
        <f>L274+O274</f>
        <v/>
      </c>
      <c r="S274" s="251">
        <f>Q274+P274</f>
        <v/>
      </c>
      <c r="T274" s="35">
        <f>voranmeldefrist_vierteljaehrlich(G274)</f>
        <v/>
      </c>
      <c r="U274" s="27" t="n"/>
      <c r="V274" s="27" t="n"/>
      <c r="W274" s="210">
        <f>IF(K274=TRUE,Q274/I274,Q274)</f>
        <v/>
      </c>
      <c r="X274" s="237">
        <f>V274/100*S274</f>
        <v/>
      </c>
      <c r="Y274">
        <f>IF(AND(V274&gt;0,N274=V274),TRUE,FALSE)</f>
        <v/>
      </c>
      <c r="Z274" s="228">
        <f>IF(C274="Einnahmen",Q274,-Q274)</f>
        <v/>
      </c>
    </row>
    <row r="275">
      <c r="A275" s="53" t="n">
        <v>2020</v>
      </c>
      <c r="B275" s="53" t="n">
        <v>36</v>
      </c>
      <c r="C275" s="71" t="inlineStr">
        <is>
          <t>Ausgaben</t>
        </is>
      </c>
      <c r="D275" t="inlineStr">
        <is>
          <t>Reise- und Fahrtspesen inkl. Kilometergeld und Diäten</t>
        </is>
      </c>
      <c r="E275" s="9" t="inlineStr">
        <is>
          <t>3293000008843435</t>
        </is>
      </c>
      <c r="G275" s="1" t="n">
        <v>43867</v>
      </c>
      <c r="H275" t="inlineStr">
        <is>
          <t>car2go Österreich GmbH, Hintere Zollamtstraße 9, 1030 Wien</t>
        </is>
      </c>
      <c r="K275">
        <f>(IF(AND(I275&lt;&gt;"",AND(J275="",ABS(Q275)&gt;400)),TRUE,FALSE))</f>
        <v/>
      </c>
      <c r="L275" s="214" t="n">
        <v>2.07</v>
      </c>
      <c r="M275" s="159" t="n">
        <v>1</v>
      </c>
      <c r="N275" t="n">
        <v>20</v>
      </c>
      <c r="O275" s="237">
        <f>L275*N275/100</f>
        <v/>
      </c>
      <c r="P275" s="237">
        <f>M275*O275</f>
        <v/>
      </c>
      <c r="Q275" s="208">
        <f>L275*M275</f>
        <v/>
      </c>
      <c r="R275" s="251">
        <f>L275+O275</f>
        <v/>
      </c>
      <c r="S275" s="251">
        <f>Q275+P275</f>
        <v/>
      </c>
      <c r="T275" s="35">
        <f>voranmeldefrist_vierteljaehrlich(G275)</f>
        <v/>
      </c>
      <c r="U275" s="27" t="n"/>
      <c r="V275" s="27" t="n"/>
      <c r="W275" s="210">
        <f>IF(K275=TRUE,Q275/I275,Q275)</f>
        <v/>
      </c>
      <c r="X275" s="237">
        <f>V275/100*S275</f>
        <v/>
      </c>
      <c r="Y275">
        <f>IF(AND(V275&gt;0,N275=V275),TRUE,FALSE)</f>
        <v/>
      </c>
      <c r="Z275" s="228">
        <f>IF(C275="Einnahmen",Q275,-Q275)</f>
        <v/>
      </c>
    </row>
    <row r="276">
      <c r="A276" s="53" t="n">
        <v>2020</v>
      </c>
      <c r="B276" s="53" t="n">
        <v>37</v>
      </c>
      <c r="C276" s="71" t="inlineStr">
        <is>
          <t>Ausgaben</t>
        </is>
      </c>
      <c r="D276" t="inlineStr">
        <is>
          <t>sonstige Betriebsausgaben</t>
        </is>
      </c>
      <c r="E276" s="9" t="inlineStr">
        <is>
          <t>DT-VO/20-01-031-9351764</t>
        </is>
      </c>
      <c r="G276" s="1" t="n">
        <v>43867</v>
      </c>
      <c r="H276" t="inlineStr">
        <is>
          <t>Techem Messtechnik GmbH; Abnehmernummer 501686-0003-11-(</t>
        </is>
      </c>
      <c r="K276">
        <f>(IF(AND(I276&lt;&gt;"",AND(J276="",ABS(Q276)&gt;400)),TRUE,FALSE))</f>
        <v/>
      </c>
      <c r="L276" s="214">
        <f>43.9/1.2</f>
        <v/>
      </c>
      <c r="M276" s="159" t="n">
        <v>1</v>
      </c>
      <c r="N276" t="n">
        <v>20</v>
      </c>
      <c r="O276" s="237">
        <f>L276*N276/100</f>
        <v/>
      </c>
      <c r="P276" s="237">
        <f>M276*O276</f>
        <v/>
      </c>
      <c r="Q276" s="208">
        <f>L276*M276</f>
        <v/>
      </c>
      <c r="R276" s="251">
        <f>L276+O276</f>
        <v/>
      </c>
      <c r="S276" s="251">
        <f>Q276+P276</f>
        <v/>
      </c>
      <c r="T276" s="35">
        <f>voranmeldefrist_vierteljaehrlich(G276)</f>
        <v/>
      </c>
      <c r="U276" s="27" t="n"/>
      <c r="V276" s="27" t="n"/>
      <c r="W276" s="210">
        <f>IF(K276=TRUE,Q276/I276,Q276)</f>
        <v/>
      </c>
      <c r="X276" s="237">
        <f>V276/100*S276</f>
        <v/>
      </c>
      <c r="Y276">
        <f>IF(AND(V276&gt;0,N276=V276),TRUE,FALSE)</f>
        <v/>
      </c>
      <c r="Z276" s="228">
        <f>IF(C276="Einnahmen",Q276,-Q276)</f>
        <v/>
      </c>
    </row>
    <row r="277">
      <c r="A277" s="53" t="n">
        <v>2020</v>
      </c>
      <c r="B277" s="53" t="n">
        <v>38</v>
      </c>
      <c r="C277" s="71" t="inlineStr">
        <is>
          <t>Ausgaben</t>
        </is>
      </c>
      <c r="D277" t="inlineStr">
        <is>
          <t>Waren, Rohstoffe, Hilfsstoffe</t>
        </is>
      </c>
      <c r="E277" s="9" t="inlineStr">
        <is>
          <t>AEU-INV-PL-2020-630433</t>
        </is>
      </c>
      <c r="G277" s="1" t="n">
        <v>43867</v>
      </c>
      <c r="H277" t="inlineStr">
        <is>
          <t>Amazon EU S. à r.l., 38 avenue John F. Kennedy, L-1855 Luxembourg: HJEU: DVI-HDMI, Logitech Maus</t>
        </is>
      </c>
      <c r="K277">
        <f>(IF(AND(I277&lt;&gt;"",AND(J277="",ABS(Q277)&gt;400)),TRUE,FALSE))</f>
        <v/>
      </c>
      <c r="L277" s="214" t="n">
        <v>39.82</v>
      </c>
      <c r="M277" s="159" t="n">
        <v>1</v>
      </c>
      <c r="N277" t="n">
        <v>0</v>
      </c>
      <c r="O277" s="237">
        <f>L277*N277/100</f>
        <v/>
      </c>
      <c r="P277" s="237">
        <f>M277*O277</f>
        <v/>
      </c>
      <c r="Q277" s="208">
        <f>L277*M277</f>
        <v/>
      </c>
      <c r="R277" s="251">
        <f>L277+O277</f>
        <v/>
      </c>
      <c r="S277" s="251">
        <f>Q277+P277</f>
        <v/>
      </c>
      <c r="T277" s="35">
        <f>voranmeldefrist_vierteljaehrlich(G277)</f>
        <v/>
      </c>
      <c r="U277" s="27" t="n"/>
      <c r="V277" s="27" t="n">
        <v>20</v>
      </c>
      <c r="W277" s="210">
        <f>IF(K277=TRUE,Q277/I277,Q277)</f>
        <v/>
      </c>
      <c r="X277" s="237">
        <f>V277/100*S277</f>
        <v/>
      </c>
      <c r="Y277">
        <f>IF(AND(V277&gt;0,N277=V277),TRUE,FALSE)</f>
        <v/>
      </c>
      <c r="Z277" s="228">
        <f>IF(C277="Einnahmen",Q277,-Q277)</f>
        <v/>
      </c>
    </row>
    <row r="278">
      <c r="A278" s="53" t="n">
        <v>2020</v>
      </c>
      <c r="B278" s="53" t="n">
        <v>39</v>
      </c>
      <c r="C278" s="71" t="inlineStr">
        <is>
          <t>Ausgaben</t>
        </is>
      </c>
      <c r="D278" t="inlineStr">
        <is>
          <t>Telefon/Internet</t>
        </is>
      </c>
      <c r="E278" s="9" t="inlineStr">
        <is>
          <t>6193771061</t>
        </is>
      </c>
      <c r="G278" s="1" t="n">
        <v>43867</v>
      </c>
      <c r="H278" t="inlineStr">
        <is>
          <t>Hutchison Drei Austria GmbH, Brünner Straße 52, 1210 Wien, Österreich</t>
        </is>
      </c>
      <c r="K278">
        <f>(IF(AND(I278&lt;&gt;"",AND(J278="",ABS(Q278)&gt;400)),TRUE,FALSE))</f>
        <v/>
      </c>
      <c r="L278" s="214" t="n">
        <v>15.19</v>
      </c>
      <c r="M278" s="159" t="n">
        <v>1</v>
      </c>
      <c r="N278" t="n">
        <v>20</v>
      </c>
      <c r="O278" s="237">
        <f>L278*N278/100</f>
        <v/>
      </c>
      <c r="P278" s="237">
        <f>M278*O278</f>
        <v/>
      </c>
      <c r="Q278" s="208">
        <f>L278*M278</f>
        <v/>
      </c>
      <c r="R278" s="251">
        <f>L278+O278</f>
        <v/>
      </c>
      <c r="S278" s="251">
        <f>Q278+P278</f>
        <v/>
      </c>
      <c r="T278" s="35">
        <f>voranmeldefrist_vierteljaehrlich(G278)</f>
        <v/>
      </c>
      <c r="U278" s="27" t="n"/>
      <c r="V278" s="27" t="n"/>
      <c r="W278" s="210">
        <f>IF(K278=TRUE,Q278/I278,Q278)</f>
        <v/>
      </c>
      <c r="X278" s="237">
        <f>V278/100*S278</f>
        <v/>
      </c>
      <c r="Y278">
        <f>IF(AND(V278&gt;0,N278=V278),TRUE,FALSE)</f>
        <v/>
      </c>
      <c r="Z278" s="228">
        <f>IF(C278="Einnahmen",Q278,-Q278)</f>
        <v/>
      </c>
    </row>
    <row r="279">
      <c r="A279" s="53" t="n">
        <v>2020</v>
      </c>
      <c r="B279" s="53" t="n">
        <v>40</v>
      </c>
      <c r="C279" s="71" t="inlineStr">
        <is>
          <t>Ausgaben</t>
        </is>
      </c>
      <c r="D279" t="inlineStr">
        <is>
          <t>sonstige Betriebsausgaben</t>
        </is>
      </c>
      <c r="E279" s="9" t="inlineStr">
        <is>
          <t>5112142283</t>
        </is>
      </c>
      <c r="G279" s="1" t="n">
        <v>43871</v>
      </c>
      <c r="H279" t="inlineStr">
        <is>
          <t>Wiener Netze GmbH, Erdbergstraße 236, 1110 Wien, Postfach 422</t>
        </is>
      </c>
      <c r="K279">
        <f>(IF(AND(I279&lt;&gt;"",AND(J279="",ABS(Q279)&gt;400)),TRUE,FALSE))</f>
        <v/>
      </c>
      <c r="L279" s="214">
        <f>S279/1.2</f>
        <v/>
      </c>
      <c r="M279" s="159" t="n">
        <v>1</v>
      </c>
      <c r="N279" t="n">
        <v>20</v>
      </c>
      <c r="O279" s="237">
        <f>L279*N279/100</f>
        <v/>
      </c>
      <c r="P279" s="237">
        <f>M279*O279</f>
        <v/>
      </c>
      <c r="Q279" s="208">
        <f>L279*M279</f>
        <v/>
      </c>
      <c r="R279" s="251">
        <f>L279+O279</f>
        <v/>
      </c>
      <c r="S279" s="251" t="n">
        <v>34.8</v>
      </c>
      <c r="T279" s="35">
        <f>voranmeldefrist_vierteljaehrlich(G279)</f>
        <v/>
      </c>
      <c r="U279" s="27" t="n"/>
      <c r="V279" s="27" t="n"/>
      <c r="W279" s="210">
        <f>IF(K279=TRUE,Q279/J279,Q279)</f>
        <v/>
      </c>
      <c r="X279" s="237">
        <f>V279/100*S279</f>
        <v/>
      </c>
      <c r="Y279">
        <f>IF(AND(V279&gt;0,N279=V279),TRUE,FALSE)</f>
        <v/>
      </c>
      <c r="Z279" s="228">
        <f>IF(C279="Einnahmen",Q279,-Q279)</f>
        <v/>
      </c>
    </row>
    <row r="280">
      <c r="A280" s="53" t="n">
        <v>2020</v>
      </c>
      <c r="B280" s="53" t="n">
        <v>41</v>
      </c>
      <c r="C280" s="71" t="inlineStr">
        <is>
          <t>Ausgaben</t>
        </is>
      </c>
      <c r="D280" t="inlineStr">
        <is>
          <t>Reise- und Fahrtspesen inkl. Kilometergeld und Diäten</t>
        </is>
      </c>
      <c r="E280" s="9" t="inlineStr">
        <is>
          <t>3293000008864776</t>
        </is>
      </c>
      <c r="G280" s="1" t="n">
        <v>43871</v>
      </c>
      <c r="H280" t="inlineStr">
        <is>
          <t>car2go Österreich GmbH, Hintere Zollamtstraße 9, 1030 Wien</t>
        </is>
      </c>
      <c r="K280">
        <f>(IF(AND(I280&lt;&gt;"",AND(J280="",ABS(Q280)&gt;400)),TRUE,FALSE))</f>
        <v/>
      </c>
      <c r="L280" s="214" t="n">
        <v>2.87</v>
      </c>
      <c r="M280" s="159" t="n">
        <v>1</v>
      </c>
      <c r="N280" t="n">
        <v>20</v>
      </c>
      <c r="O280" s="237">
        <f>L280*N280/100</f>
        <v/>
      </c>
      <c r="P280" s="237">
        <f>M280*O280</f>
        <v/>
      </c>
      <c r="Q280" s="208">
        <f>L280*M280</f>
        <v/>
      </c>
      <c r="R280" s="251">
        <f>L280+O280</f>
        <v/>
      </c>
      <c r="S280" s="251">
        <f>Q280+P280</f>
        <v/>
      </c>
      <c r="T280" s="35">
        <f>voranmeldefrist_vierteljaehrlich(G280)</f>
        <v/>
      </c>
      <c r="U280" s="27" t="n"/>
      <c r="V280" s="27" t="n"/>
      <c r="W280" s="210">
        <f>IF(K280=TRUE,Q280/I280,Q280)</f>
        <v/>
      </c>
      <c r="X280" s="237">
        <f>V280/100*S280</f>
        <v/>
      </c>
      <c r="Y280">
        <f>IF(AND(V280&gt;0,N280=V280),TRUE,FALSE)</f>
        <v/>
      </c>
      <c r="Z280" s="228">
        <f>IF(C280="Einnahmen",Q280,-Q280)</f>
        <v/>
      </c>
    </row>
    <row r="281">
      <c r="A281" s="53" t="n">
        <v>2020</v>
      </c>
      <c r="B281" s="53" t="n">
        <v>42</v>
      </c>
      <c r="C281" s="71" t="inlineStr">
        <is>
          <t>Ausgaben</t>
        </is>
      </c>
      <c r="D281" t="inlineStr">
        <is>
          <t>Reise- und Fahrtspesen inkl. Kilometergeld und Diäten</t>
        </is>
      </c>
      <c r="E281" s="9" t="inlineStr">
        <is>
          <t>3293000008862527</t>
        </is>
      </c>
      <c r="G281" s="1" t="n">
        <v>43871</v>
      </c>
      <c r="H281" t="inlineStr">
        <is>
          <t>car2go Österreich GmbH, Hintere Zollamtstraße 9, 1030 Wien</t>
        </is>
      </c>
      <c r="K281">
        <f>(IF(AND(I281&lt;&gt;"",AND(J281="",ABS(Q281)&gt;400)),TRUE,FALSE))</f>
        <v/>
      </c>
      <c r="L281" s="214" t="n">
        <v>1.81</v>
      </c>
      <c r="M281" s="159" t="n">
        <v>1</v>
      </c>
      <c r="N281" t="n">
        <v>20</v>
      </c>
      <c r="O281" s="237">
        <f>L281*N281/100</f>
        <v/>
      </c>
      <c r="P281" s="237">
        <f>M281*O281</f>
        <v/>
      </c>
      <c r="Q281" s="208">
        <f>L281*M281</f>
        <v/>
      </c>
      <c r="R281" s="251">
        <f>L281+O281</f>
        <v/>
      </c>
      <c r="S281" s="251">
        <f>Q281+P281</f>
        <v/>
      </c>
      <c r="T281" s="35">
        <f>voranmeldefrist_vierteljaehrlich(G281)</f>
        <v/>
      </c>
      <c r="U281" s="27" t="n"/>
      <c r="V281" s="27" t="n"/>
      <c r="W281" s="210">
        <f>IF(K281=TRUE,Q281/I281,Q281)</f>
        <v/>
      </c>
      <c r="X281" s="237">
        <f>V281/100*S281</f>
        <v/>
      </c>
      <c r="Y281">
        <f>IF(AND(V281&gt;0,N281=V281),TRUE,FALSE)</f>
        <v/>
      </c>
      <c r="Z281" s="228">
        <f>IF(C281="Einnahmen",Q281,-Q281)</f>
        <v/>
      </c>
    </row>
    <row r="282">
      <c r="A282" s="53" t="n">
        <v>2020</v>
      </c>
      <c r="B282" s="53" t="n">
        <v>43</v>
      </c>
      <c r="C282" s="71" t="inlineStr">
        <is>
          <t>Ausgaben</t>
        </is>
      </c>
      <c r="D282" t="inlineStr">
        <is>
          <t>Reise- und Fahrtspesen inkl. Kilometergeld und Diäten</t>
        </is>
      </c>
      <c r="E282" s="9" t="inlineStr">
        <is>
          <t>3293000008869186</t>
        </is>
      </c>
      <c r="G282" s="1" t="n">
        <v>43871</v>
      </c>
      <c r="H282" t="inlineStr">
        <is>
          <t>car2go Österreich GmbH, Hintere Zollamtstraße 9, 1030 Wien</t>
        </is>
      </c>
      <c r="K282">
        <f>(IF(AND(I282&lt;&gt;"",AND(J282="",ABS(Q282)&gt;400)),TRUE,FALSE))</f>
        <v/>
      </c>
      <c r="L282" s="214" t="n">
        <v>1.81</v>
      </c>
      <c r="M282" s="159" t="n">
        <v>1</v>
      </c>
      <c r="N282" t="n">
        <v>20</v>
      </c>
      <c r="O282" s="237">
        <f>L282*N282/100</f>
        <v/>
      </c>
      <c r="P282" s="237">
        <f>M282*O282</f>
        <v/>
      </c>
      <c r="Q282" s="208">
        <f>L282*M282</f>
        <v/>
      </c>
      <c r="R282" s="251">
        <f>L282+O282</f>
        <v/>
      </c>
      <c r="S282" s="251">
        <f>Q282+P282</f>
        <v/>
      </c>
      <c r="T282" s="35">
        <f>voranmeldefrist_vierteljaehrlich(G282)</f>
        <v/>
      </c>
      <c r="U282" s="27" t="n"/>
      <c r="V282" s="27" t="n"/>
      <c r="W282" s="210">
        <f>IF(K282=TRUE,Q282/I282,Q282)</f>
        <v/>
      </c>
      <c r="X282" s="237">
        <f>V282/100*S282</f>
        <v/>
      </c>
      <c r="Y282">
        <f>IF(AND(V282&gt;0,N282=V282),TRUE,FALSE)</f>
        <v/>
      </c>
      <c r="Z282" s="228">
        <f>IF(C282="Einnahmen",Q282,-Q282)</f>
        <v/>
      </c>
    </row>
    <row r="283">
      <c r="A283" s="53" t="n">
        <v>2020</v>
      </c>
      <c r="B283" s="53" t="n">
        <v>44</v>
      </c>
      <c r="C283" s="71" t="inlineStr">
        <is>
          <t>Ausgaben</t>
        </is>
      </c>
      <c r="D283" t="inlineStr">
        <is>
          <t>Reise- und Fahrtspesen inkl. Kilometergeld und Diäten</t>
        </is>
      </c>
      <c r="E283" s="9" t="inlineStr">
        <is>
          <t>3293000008887530</t>
        </is>
      </c>
      <c r="G283" s="1" t="n">
        <v>43873</v>
      </c>
      <c r="H283" t="inlineStr">
        <is>
          <t>car2go Österreich GmbH, Hintere Zollamtstraße 9, 1030 Wien</t>
        </is>
      </c>
      <c r="K283">
        <f>(IF(AND(I283&lt;&gt;"",AND(J283="",ABS(Q283)&gt;400)),TRUE,FALSE))</f>
        <v/>
      </c>
      <c r="L283" s="214" t="n">
        <v>2.4</v>
      </c>
      <c r="M283" s="159" t="n">
        <v>1</v>
      </c>
      <c r="N283" t="n">
        <v>20</v>
      </c>
      <c r="O283" s="237">
        <f>L283*N283/100</f>
        <v/>
      </c>
      <c r="P283" s="237">
        <f>M283*O283</f>
        <v/>
      </c>
      <c r="Q283" s="208">
        <f>L283*M283</f>
        <v/>
      </c>
      <c r="R283" s="251">
        <f>L283+O283</f>
        <v/>
      </c>
      <c r="S283" s="251">
        <f>Q283+P283</f>
        <v/>
      </c>
      <c r="T283" s="35">
        <f>voranmeldefrist_vierteljaehrlich(G283)</f>
        <v/>
      </c>
      <c r="U283" s="27" t="n"/>
      <c r="V283" s="27" t="n"/>
      <c r="W283" s="210">
        <f>IF(K283=TRUE,Q283/I283,Q283)</f>
        <v/>
      </c>
      <c r="X283" s="237">
        <f>V283/100*S283</f>
        <v/>
      </c>
      <c r="Y283">
        <f>IF(AND(V283&gt;0,N283=V283),TRUE,FALSE)</f>
        <v/>
      </c>
      <c r="Z283" s="228">
        <f>IF(C283="Einnahmen",Q283,-Q283)</f>
        <v/>
      </c>
    </row>
    <row r="284">
      <c r="A284" s="53" t="n">
        <v>2020</v>
      </c>
      <c r="B284" s="53" t="n">
        <v>45</v>
      </c>
      <c r="C284" s="71" t="inlineStr">
        <is>
          <t>Einnahmen</t>
        </is>
      </c>
      <c r="D284" t="inlineStr">
        <is>
          <t>Waren-/Leistungserlöse</t>
        </is>
      </c>
      <c r="E284" s="9" t="inlineStr">
        <is>
          <t>12020004</t>
        </is>
      </c>
      <c r="G284" s="1" t="n">
        <v>43874</v>
      </c>
      <c r="H284" t="inlineStr">
        <is>
          <t>DCF - Digital Coding Factory GmbH, Bauernfeldgasse 4/12 1090 Wien</t>
        </is>
      </c>
      <c r="K284">
        <f>(IF(AND(I284&lt;&gt;"",AND(J284="",ABS(Q284)&gt;400)),TRUE,FALSE))</f>
        <v/>
      </c>
      <c r="L284" s="214" t="n">
        <v>647.5</v>
      </c>
      <c r="M284" s="159" t="n">
        <v>1</v>
      </c>
      <c r="N284" t="n">
        <v>20</v>
      </c>
      <c r="O284" s="237">
        <f>L284*N284/100</f>
        <v/>
      </c>
      <c r="P284" s="237">
        <f>M284*O284</f>
        <v/>
      </c>
      <c r="Q284" s="208">
        <f>L284*M284</f>
        <v/>
      </c>
      <c r="R284" s="251">
        <f>L284+O284</f>
        <v/>
      </c>
      <c r="S284" s="251">
        <f>Q284+P284</f>
        <v/>
      </c>
      <c r="T284" s="35">
        <f>voranmeldefrist_vierteljaehrlich(G284)</f>
        <v/>
      </c>
      <c r="U284" s="27" t="n"/>
      <c r="V284" s="27" t="n"/>
      <c r="W284" s="210">
        <f>IF(K284=TRUE,Q284/I284,Q284)</f>
        <v/>
      </c>
      <c r="X284" s="237">
        <f>V284/100*S284</f>
        <v/>
      </c>
      <c r="Y284">
        <f>IF(AND(V284&gt;0,N284=V284),TRUE,FALSE)</f>
        <v/>
      </c>
      <c r="Z284" s="228">
        <f>IF(C284="Einnahmen",Q284,-Q284)</f>
        <v/>
      </c>
    </row>
    <row r="285">
      <c r="A285" s="53" t="n">
        <v>2020</v>
      </c>
      <c r="B285" s="53" t="n">
        <v>46</v>
      </c>
      <c r="C285" s="71" t="inlineStr">
        <is>
          <t>Ausgaben</t>
        </is>
      </c>
      <c r="D285" t="inlineStr">
        <is>
          <t>sonstige Betriebsausgaben</t>
        </is>
      </c>
      <c r="E285" s="9" t="inlineStr">
        <is>
          <t>R0010801926</t>
        </is>
      </c>
      <c r="G285" s="1" t="n">
        <v>43874</v>
      </c>
      <c r="H285" t="inlineStr">
        <is>
          <t>Hetzner Online GmbH</t>
        </is>
      </c>
      <c r="K285">
        <f>(IF(AND(I285&lt;&gt;"",AND(J285="",ABS(Q285)&gt;400)),TRUE,FALSE))</f>
        <v/>
      </c>
      <c r="L285" s="214" t="n">
        <v>48.81</v>
      </c>
      <c r="M285" s="159" t="n">
        <v>1</v>
      </c>
      <c r="N285" t="n">
        <v>0</v>
      </c>
      <c r="O285" s="237">
        <f>L285*N285/100</f>
        <v/>
      </c>
      <c r="P285" s="237">
        <f>M285*O285</f>
        <v/>
      </c>
      <c r="Q285" s="208">
        <f>L285*M285</f>
        <v/>
      </c>
      <c r="R285" s="251">
        <f>L285+O285</f>
        <v/>
      </c>
      <c r="S285" s="251">
        <f>Q285+P285</f>
        <v/>
      </c>
      <c r="T285" s="35">
        <f>voranmeldefrist_vierteljaehrlich(G285)</f>
        <v/>
      </c>
      <c r="U285" s="27" t="n"/>
      <c r="V285" s="27" t="n">
        <v>20</v>
      </c>
      <c r="W285" s="210">
        <f>IF(K285=TRUE,Q285/J285,Q285)</f>
        <v/>
      </c>
      <c r="X285" s="237">
        <f>V285/100*S285</f>
        <v/>
      </c>
      <c r="Y285">
        <f>IF(AND(V285&gt;0,N285=V285),TRUE,FALSE)</f>
        <v/>
      </c>
      <c r="Z285" s="228">
        <f>IF(C285="Einnahmen",Q285,-Q285)</f>
        <v/>
      </c>
    </row>
    <row r="286">
      <c r="A286" s="53" t="n">
        <v>2020</v>
      </c>
      <c r="B286" s="53" t="n">
        <v>47</v>
      </c>
      <c r="C286" s="71" t="inlineStr">
        <is>
          <t>Einnahmen</t>
        </is>
      </c>
      <c r="D286" t="inlineStr">
        <is>
          <t>Waren-/Leistungserlöse</t>
        </is>
      </c>
      <c r="E286" s="9" t="inlineStr">
        <is>
          <t>12019032</t>
        </is>
      </c>
      <c r="G286" s="1" t="n">
        <v>43875</v>
      </c>
      <c r="H286" s="43" t="inlineStr">
        <is>
          <t>Wedding Avenue e.U., Mayerweckstrasse 2-8/99/1, 1210 Wien</t>
        </is>
      </c>
      <c r="K286">
        <f>(IF(AND(I286&lt;&gt;"",AND(J286="",ABS(Q286)&gt;400)),TRUE,FALSE))</f>
        <v/>
      </c>
      <c r="L286" s="214" t="n">
        <v>297.5</v>
      </c>
      <c r="M286" s="159" t="n">
        <v>1</v>
      </c>
      <c r="N286" t="n">
        <v>20</v>
      </c>
      <c r="O286" s="237">
        <f>L286*N286/100</f>
        <v/>
      </c>
      <c r="P286" s="237">
        <f>M286*O286</f>
        <v/>
      </c>
      <c r="Q286" s="208">
        <f>L286*M286</f>
        <v/>
      </c>
      <c r="R286" s="251">
        <f>L286+O286</f>
        <v/>
      </c>
      <c r="S286" s="251">
        <f>Q286+P286</f>
        <v/>
      </c>
      <c r="T286" s="35">
        <f>voranmeldefrist_vierteljaehrlich(G286)</f>
        <v/>
      </c>
      <c r="U286" s="27" t="n"/>
      <c r="V286" s="27" t="n"/>
      <c r="W286" s="210">
        <f>IF(K286=TRUE,Q286/I286,Q286)</f>
        <v/>
      </c>
      <c r="X286" s="237">
        <f>V286/100*S286</f>
        <v/>
      </c>
      <c r="Y286">
        <f>IF(AND(V286&gt;0,N286=V286),TRUE,FALSE)</f>
        <v/>
      </c>
      <c r="Z286" s="228">
        <f>IF(C286="Einnahmen",Q286,-Q286)</f>
        <v/>
      </c>
    </row>
    <row r="287">
      <c r="A287" s="53" t="n">
        <v>2020</v>
      </c>
      <c r="B287" s="53" t="n">
        <v>48</v>
      </c>
      <c r="C287" s="71" t="inlineStr">
        <is>
          <t>Ausgaben</t>
        </is>
      </c>
      <c r="D287" t="inlineStr">
        <is>
          <t>Reise- und Fahrtspesen inkl. Kilometergeld und Diäten</t>
        </is>
      </c>
      <c r="E287" s="9" t="inlineStr">
        <is>
          <t>3293000008913647</t>
        </is>
      </c>
      <c r="G287" s="1" t="n">
        <v>43878</v>
      </c>
      <c r="H287" t="inlineStr">
        <is>
          <t>car2go Österreich GmbH, Hintere Zollamtstraße 9, 1030 Wien</t>
        </is>
      </c>
      <c r="K287">
        <f>(IF(AND(I287&lt;&gt;"",AND(J287="",ABS(Q287)&gt;400)),TRUE,FALSE))</f>
        <v/>
      </c>
      <c r="L287" s="214" t="n">
        <v>2.32</v>
      </c>
      <c r="M287" s="159" t="n">
        <v>1</v>
      </c>
      <c r="N287" t="n">
        <v>20</v>
      </c>
      <c r="O287" s="237">
        <f>L287*N287/100</f>
        <v/>
      </c>
      <c r="P287" s="237">
        <f>M287*O287</f>
        <v/>
      </c>
      <c r="Q287" s="208">
        <f>L287*M287</f>
        <v/>
      </c>
      <c r="R287" s="251">
        <f>L287+O287</f>
        <v/>
      </c>
      <c r="S287" s="251">
        <f>Q287+P287</f>
        <v/>
      </c>
      <c r="T287" s="35">
        <f>voranmeldefrist_vierteljaehrlich(G287)</f>
        <v/>
      </c>
      <c r="U287" s="27" t="n"/>
      <c r="V287" s="27" t="n"/>
      <c r="W287" s="210">
        <f>IF(K287=TRUE,Q287/I287,Q287)</f>
        <v/>
      </c>
      <c r="X287" s="237">
        <f>V287/100*S287</f>
        <v/>
      </c>
      <c r="Y287">
        <f>IF(AND(V287&gt;0,N287=V287),TRUE,FALSE)</f>
        <v/>
      </c>
      <c r="Z287" s="228">
        <f>IF(C287="Einnahmen",Q287,-Q287)</f>
        <v/>
      </c>
    </row>
    <row r="288">
      <c r="A288" s="53" t="n">
        <v>2020</v>
      </c>
      <c r="B288" s="53" t="n">
        <v>49</v>
      </c>
      <c r="C288" s="71" t="inlineStr">
        <is>
          <t>Ausgaben</t>
        </is>
      </c>
      <c r="D288" t="inlineStr">
        <is>
          <t>Waren, Rohstoffe, Hilfsstoffe</t>
        </is>
      </c>
      <c r="E288" s="9" t="inlineStr">
        <is>
          <t>0755-83646571</t>
        </is>
      </c>
      <c r="G288" s="1" t="n">
        <v>43880</v>
      </c>
      <c r="H288" t="inlineStr">
        <is>
          <t>Amazon EU S. à r.l., 38 avenue John F. Kennedy, L-1855 Luxembourg: HJEU: DVI-HDMI, Logitech Maus</t>
        </is>
      </c>
      <c r="K288">
        <f>(IF(AND(I288&lt;&gt;"",AND(J288="",ABS(Q288)&gt;400)),TRUE,FALSE))</f>
        <v/>
      </c>
      <c r="L288" s="214" t="n">
        <v>19.17</v>
      </c>
      <c r="M288" s="159" t="n">
        <v>1</v>
      </c>
      <c r="N288" t="n">
        <v>0</v>
      </c>
      <c r="O288" s="237">
        <f>L288*N288/100</f>
        <v/>
      </c>
      <c r="P288" s="237">
        <f>M288*O288</f>
        <v/>
      </c>
      <c r="Q288" s="208">
        <f>L288*M288</f>
        <v/>
      </c>
      <c r="R288" s="251">
        <f>L288+O288</f>
        <v/>
      </c>
      <c r="S288" s="251">
        <f>Q288+P288</f>
        <v/>
      </c>
      <c r="T288" s="35">
        <f>voranmeldefrist_vierteljaehrlich(G288)</f>
        <v/>
      </c>
      <c r="U288" s="27" t="n"/>
      <c r="V288" s="27" t="n"/>
      <c r="W288" s="210">
        <f>IF(K288=TRUE,Q288/I288,Q288)</f>
        <v/>
      </c>
      <c r="X288" s="237">
        <f>V288/100*S288</f>
        <v/>
      </c>
      <c r="Y288">
        <f>IF(AND(V288&gt;0,N288=V288),TRUE,FALSE)</f>
        <v/>
      </c>
      <c r="Z288" s="228">
        <f>IF(C288="Einnahmen",Q288,-Q288)</f>
        <v/>
      </c>
    </row>
    <row r="289">
      <c r="A289" s="53" t="n">
        <v>2020</v>
      </c>
      <c r="B289" s="53" t="n">
        <v>50</v>
      </c>
      <c r="C289" s="71" t="inlineStr">
        <is>
          <t>Ausgaben</t>
        </is>
      </c>
      <c r="D289" t="inlineStr">
        <is>
          <t>Reise- und Fahrtspesen inkl. Kilometergeld und Diäten</t>
        </is>
      </c>
      <c r="E289" s="9" t="inlineStr">
        <is>
          <t>3293000008930885</t>
        </is>
      </c>
      <c r="G289" s="1" t="n">
        <v>43880</v>
      </c>
      <c r="H289" t="inlineStr">
        <is>
          <t>car2go Österreich GmbH, Hintere Zollamtstraße 9, 1030 Wien</t>
        </is>
      </c>
      <c r="K289">
        <f>(IF(AND(I289&lt;&gt;"",AND(J289="",ABS(Q289)&gt;400)),TRUE,FALSE))</f>
        <v/>
      </c>
      <c r="L289" s="214" t="n">
        <v>2.58</v>
      </c>
      <c r="M289" s="159" t="n">
        <v>1</v>
      </c>
      <c r="N289" t="n">
        <v>20</v>
      </c>
      <c r="O289" s="237">
        <f>L289*N289/100</f>
        <v/>
      </c>
      <c r="P289" s="237">
        <f>M289*O289</f>
        <v/>
      </c>
      <c r="Q289" s="208">
        <f>L289*M289</f>
        <v/>
      </c>
      <c r="R289" s="251">
        <f>L289+O289</f>
        <v/>
      </c>
      <c r="S289" s="251">
        <f>Q289+P289</f>
        <v/>
      </c>
      <c r="T289" s="35">
        <f>voranmeldefrist_vierteljaehrlich(G289)</f>
        <v/>
      </c>
      <c r="U289" s="27" t="n"/>
      <c r="V289" s="27" t="n"/>
      <c r="W289" s="210">
        <f>IF(K289=TRUE,Q289/I289,Q289)</f>
        <v/>
      </c>
      <c r="X289" s="237">
        <f>V289/100*S289</f>
        <v/>
      </c>
      <c r="Y289">
        <f>IF(AND(V289&gt;0,N289=V289),TRUE,FALSE)</f>
        <v/>
      </c>
      <c r="Z289" s="228">
        <f>IF(C289="Einnahmen",Q289,-Q289)</f>
        <v/>
      </c>
    </row>
    <row r="290">
      <c r="A290" s="53" t="n">
        <v>2020</v>
      </c>
      <c r="B290" s="53" t="n">
        <v>51</v>
      </c>
      <c r="C290" s="71" t="inlineStr">
        <is>
          <t>Ausgaben</t>
        </is>
      </c>
      <c r="D290" t="inlineStr">
        <is>
          <t>Reise- und Fahrtspesen inkl. Kilometergeld und Diäten</t>
        </is>
      </c>
      <c r="E290" s="9" t="inlineStr">
        <is>
          <t>3293000008928478</t>
        </is>
      </c>
      <c r="G290" s="1" t="n">
        <v>43880</v>
      </c>
      <c r="H290" t="inlineStr">
        <is>
          <t>car2go Österreich GmbH, Hintere Zollamtstraße 9, 1030 Wien</t>
        </is>
      </c>
      <c r="K290">
        <f>(IF(AND(I290&lt;&gt;"",AND(J290="",ABS(Q290)&gt;400)),TRUE,FALSE))</f>
        <v/>
      </c>
      <c r="L290" s="214" t="n">
        <v>2.4</v>
      </c>
      <c r="M290" s="159" t="n">
        <v>1</v>
      </c>
      <c r="N290" t="n">
        <v>20</v>
      </c>
      <c r="O290" s="237">
        <f>L290*N290/100</f>
        <v/>
      </c>
      <c r="P290" s="237">
        <f>M290*O290</f>
        <v/>
      </c>
      <c r="Q290" s="208">
        <f>L290*M290</f>
        <v/>
      </c>
      <c r="R290" s="251">
        <f>L290+O290</f>
        <v/>
      </c>
      <c r="S290" s="251">
        <f>Q290+P290</f>
        <v/>
      </c>
      <c r="T290" s="35">
        <f>voranmeldefrist_vierteljaehrlich(G290)</f>
        <v/>
      </c>
      <c r="U290" s="27" t="n"/>
      <c r="V290" s="27" t="n"/>
      <c r="W290" s="210">
        <f>IF(K290=TRUE,Q290/I290,Q290)</f>
        <v/>
      </c>
      <c r="X290" s="237">
        <f>V290/100*S290</f>
        <v/>
      </c>
      <c r="Y290">
        <f>IF(AND(V290&gt;0,N290=V290),TRUE,FALSE)</f>
        <v/>
      </c>
      <c r="Z290" s="228">
        <f>IF(C290="Einnahmen",Q290,-Q290)</f>
        <v/>
      </c>
    </row>
    <row r="291">
      <c r="A291" s="53" t="n">
        <v>2020</v>
      </c>
      <c r="B291" s="53" t="n">
        <v>52</v>
      </c>
      <c r="C291" s="71" t="inlineStr">
        <is>
          <t>Ausgaben</t>
        </is>
      </c>
      <c r="D291" t="inlineStr">
        <is>
          <t>Reise- und Fahrtspesen inkl. Kilometergeld und Diäten</t>
        </is>
      </c>
      <c r="E291" s="9" t="inlineStr">
        <is>
          <t>3293000008938059</t>
        </is>
      </c>
      <c r="G291" s="1" t="n">
        <v>43881</v>
      </c>
      <c r="H291" t="inlineStr">
        <is>
          <t>car2go Österreich GmbH, Hintere Zollamtstraße 9, 1030 Wien</t>
        </is>
      </c>
      <c r="K291">
        <f>(IF(AND(I291&lt;&gt;"",AND(J291="",ABS(Q291)&gt;400)),TRUE,FALSE))</f>
        <v/>
      </c>
      <c r="L291" s="214" t="n">
        <v>3.36</v>
      </c>
      <c r="M291" s="159" t="n">
        <v>1</v>
      </c>
      <c r="N291" t="n">
        <v>20</v>
      </c>
      <c r="O291" s="237">
        <f>L291*N291/100</f>
        <v/>
      </c>
      <c r="P291" s="237">
        <f>M291*O291</f>
        <v/>
      </c>
      <c r="Q291" s="208">
        <f>L291*M291</f>
        <v/>
      </c>
      <c r="R291" s="251">
        <f>L291+O291</f>
        <v/>
      </c>
      <c r="S291" s="251">
        <f>Q291+P291</f>
        <v/>
      </c>
      <c r="T291" s="35">
        <f>voranmeldefrist_vierteljaehrlich(G291)</f>
        <v/>
      </c>
      <c r="U291" s="27" t="n"/>
      <c r="V291" s="27" t="n"/>
      <c r="W291" s="210">
        <f>IF(K291=TRUE,Q291/I291,Q291)</f>
        <v/>
      </c>
      <c r="X291" s="237">
        <f>V291/100*S291</f>
        <v/>
      </c>
      <c r="Y291">
        <f>IF(AND(V291&gt;0,N291=V291),TRUE,FALSE)</f>
        <v/>
      </c>
      <c r="Z291" s="228">
        <f>IF(C291="Einnahmen",Q291,-Q291)</f>
        <v/>
      </c>
    </row>
    <row r="292">
      <c r="A292" s="53" t="n">
        <v>2020</v>
      </c>
      <c r="B292" s="53" t="n">
        <v>53</v>
      </c>
      <c r="C292" s="71" t="inlineStr">
        <is>
          <t>Ausgaben</t>
        </is>
      </c>
      <c r="D292" t="inlineStr">
        <is>
          <t>Reise- und Fahrtspesen inkl. Kilometergeld und Diäten</t>
        </is>
      </c>
      <c r="E292" s="9" t="inlineStr">
        <is>
          <t>3293000008934542</t>
        </is>
      </c>
      <c r="G292" s="1" t="n">
        <v>43881</v>
      </c>
      <c r="H292" t="inlineStr">
        <is>
          <t>car2go Österreich GmbH, Hintere Zollamtstraße 9, 1030 Wien</t>
        </is>
      </c>
      <c r="K292">
        <f>(IF(AND(I292&lt;&gt;"",AND(J292="",ABS(Q292)&gt;400)),TRUE,FALSE))</f>
        <v/>
      </c>
      <c r="L292" s="214" t="n">
        <v>2.4</v>
      </c>
      <c r="M292" s="159" t="n">
        <v>1</v>
      </c>
      <c r="N292" t="n">
        <v>20</v>
      </c>
      <c r="O292" s="237">
        <f>L292*N292/100</f>
        <v/>
      </c>
      <c r="P292" s="237">
        <f>M292*O292</f>
        <v/>
      </c>
      <c r="Q292" s="208">
        <f>L292*M292</f>
        <v/>
      </c>
      <c r="R292" s="251">
        <f>L292+O292</f>
        <v/>
      </c>
      <c r="S292" s="251">
        <f>Q292+P292</f>
        <v/>
      </c>
      <c r="T292" s="35">
        <f>voranmeldefrist_vierteljaehrlich(G292)</f>
        <v/>
      </c>
      <c r="U292" s="27" t="n"/>
      <c r="V292" s="27" t="n"/>
      <c r="W292" s="210">
        <f>IF(K292=TRUE,Q292/I292,Q292)</f>
        <v/>
      </c>
      <c r="X292" s="237">
        <f>V292/100*S292</f>
        <v/>
      </c>
      <c r="Y292">
        <f>IF(AND(V292&gt;0,N292=V292),TRUE,FALSE)</f>
        <v/>
      </c>
      <c r="Z292" s="228">
        <f>IF(C292="Einnahmen",Q292,-Q292)</f>
        <v/>
      </c>
    </row>
    <row r="293">
      <c r="A293" s="53" t="n">
        <v>2020</v>
      </c>
      <c r="B293" s="53" t="n">
        <v>54</v>
      </c>
      <c r="C293" s="71" t="inlineStr">
        <is>
          <t>Ausgaben</t>
        </is>
      </c>
      <c r="D293" t="inlineStr">
        <is>
          <t>Reise- und Fahrtspesen inkl. Kilometergeld und Diäten</t>
        </is>
      </c>
      <c r="E293" s="9" t="inlineStr">
        <is>
          <t>3293000008936157</t>
        </is>
      </c>
      <c r="G293" s="1" t="n">
        <v>43881</v>
      </c>
      <c r="H293" t="inlineStr">
        <is>
          <t>car2go Österreich GmbH, Hintere Zollamtstraße 9, 1030 Wien</t>
        </is>
      </c>
      <c r="K293">
        <f>(IF(AND(I293&lt;&gt;"",AND(J293="",ABS(Q293)&gt;400)),TRUE,FALSE))</f>
        <v/>
      </c>
      <c r="L293" s="214" t="n">
        <v>1.81</v>
      </c>
      <c r="M293" s="159" t="n">
        <v>1</v>
      </c>
      <c r="N293" t="n">
        <v>20</v>
      </c>
      <c r="O293" s="237">
        <f>L293*N293/100</f>
        <v/>
      </c>
      <c r="P293" s="237">
        <f>M293*O293</f>
        <v/>
      </c>
      <c r="Q293" s="208">
        <f>L293*M293</f>
        <v/>
      </c>
      <c r="R293" s="251">
        <f>L293+O293</f>
        <v/>
      </c>
      <c r="S293" s="251">
        <f>Q293+P293</f>
        <v/>
      </c>
      <c r="T293" s="35">
        <f>voranmeldefrist_vierteljaehrlich(G293)</f>
        <v/>
      </c>
      <c r="U293" s="27" t="n"/>
      <c r="V293" s="27" t="n"/>
      <c r="W293" s="210">
        <f>IF(K293=TRUE,Q293/I293,Q293)</f>
        <v/>
      </c>
      <c r="X293" s="237">
        <f>V293/100*S293</f>
        <v/>
      </c>
      <c r="Y293">
        <f>IF(AND(V293&gt;0,N293=V293),TRUE,FALSE)</f>
        <v/>
      </c>
      <c r="Z293" s="228">
        <f>IF(C293="Einnahmen",Q293,-Q293)</f>
        <v/>
      </c>
    </row>
    <row r="294">
      <c r="A294" s="53" t="n">
        <v>2020</v>
      </c>
      <c r="B294" s="53" t="n">
        <v>55</v>
      </c>
      <c r="C294" s="71" t="inlineStr">
        <is>
          <t>Ausgaben</t>
        </is>
      </c>
      <c r="D294" t="inlineStr">
        <is>
          <t>Reise- und Fahrtspesen inkl. Kilometergeld und Diäten</t>
        </is>
      </c>
      <c r="E294" s="9" t="inlineStr">
        <is>
          <t>3293000008953197</t>
        </is>
      </c>
      <c r="G294" s="1" t="n">
        <v>43882</v>
      </c>
      <c r="H294" t="inlineStr">
        <is>
          <t>car2go Österreich GmbH, Hintere Zollamtstraße 9, 1030 Wien</t>
        </is>
      </c>
      <c r="K294">
        <f>(IF(AND(I294&lt;&gt;"",AND(J294="",ABS(Q294)&gt;400)),TRUE,FALSE))</f>
        <v/>
      </c>
      <c r="L294" s="214" t="n">
        <v>2.7</v>
      </c>
      <c r="M294" s="159" t="n">
        <v>1</v>
      </c>
      <c r="N294" t="n">
        <v>20</v>
      </c>
      <c r="O294" s="237">
        <f>L294*N294/100</f>
        <v/>
      </c>
      <c r="P294" s="237">
        <f>M294*O294</f>
        <v/>
      </c>
      <c r="Q294" s="208">
        <f>L294*M294</f>
        <v/>
      </c>
      <c r="R294" s="251">
        <f>L294+O294</f>
        <v/>
      </c>
      <c r="S294" s="251">
        <f>Q294+P294</f>
        <v/>
      </c>
      <c r="T294" s="35">
        <f>voranmeldefrist_vierteljaehrlich(G294)</f>
        <v/>
      </c>
      <c r="U294" s="27" t="n"/>
      <c r="V294" s="27" t="n"/>
      <c r="W294" s="210">
        <f>IF(K294=TRUE,Q294/I294,Q294)</f>
        <v/>
      </c>
      <c r="X294" s="237">
        <f>V294/100*S294</f>
        <v/>
      </c>
      <c r="Y294">
        <f>IF(AND(V294&gt;0,N294=V294),TRUE,FALSE)</f>
        <v/>
      </c>
      <c r="Z294" s="228">
        <f>IF(C294="Einnahmen",Q294,-Q294)</f>
        <v/>
      </c>
    </row>
    <row r="295">
      <c r="A295" s="53" t="n">
        <v>2020</v>
      </c>
      <c r="B295" s="53" t="n">
        <v>56</v>
      </c>
      <c r="C295" s="71" t="inlineStr">
        <is>
          <t>Ausgaben</t>
        </is>
      </c>
      <c r="D295" t="inlineStr">
        <is>
          <t>Reise- und Fahrtspesen inkl. Kilometergeld und Diäten</t>
        </is>
      </c>
      <c r="E295" s="9" t="inlineStr">
        <is>
          <t>3293000008942791</t>
        </is>
      </c>
      <c r="G295" s="1" t="n">
        <v>43882</v>
      </c>
      <c r="H295" t="inlineStr">
        <is>
          <t>car2go Österreich GmbH, Hintere Zollamtstraße 9, 1030 Wien</t>
        </is>
      </c>
      <c r="K295">
        <f>(IF(AND(I295&lt;&gt;"",AND(J295="",ABS(Q295)&gt;400)),TRUE,FALSE))</f>
        <v/>
      </c>
      <c r="L295" s="214" t="n">
        <v>4.77</v>
      </c>
      <c r="M295" s="159" t="n">
        <v>1</v>
      </c>
      <c r="N295" t="n">
        <v>20</v>
      </c>
      <c r="O295" s="237">
        <f>L295*N295/100</f>
        <v/>
      </c>
      <c r="P295" s="237">
        <f>M295*O295</f>
        <v/>
      </c>
      <c r="Q295" s="208">
        <f>L295*M295</f>
        <v/>
      </c>
      <c r="R295" s="251">
        <f>L295+O295</f>
        <v/>
      </c>
      <c r="S295" s="251">
        <f>Q295+P295</f>
        <v/>
      </c>
      <c r="T295" s="35">
        <f>voranmeldefrist_vierteljaehrlich(G295)</f>
        <v/>
      </c>
      <c r="U295" s="27" t="n"/>
      <c r="V295" s="27" t="n"/>
      <c r="W295" s="210">
        <f>IF(K295=TRUE,Q295/I295,Q295)</f>
        <v/>
      </c>
      <c r="X295" s="237">
        <f>V295/100*S295</f>
        <v/>
      </c>
      <c r="Y295">
        <f>IF(AND(V295&gt;0,N295=V295),TRUE,FALSE)</f>
        <v/>
      </c>
      <c r="Z295" s="228">
        <f>IF(C295="Einnahmen",Q295,-Q295)</f>
        <v/>
      </c>
    </row>
    <row r="296">
      <c r="A296" s="53" t="n">
        <v>2020</v>
      </c>
      <c r="B296" s="53" t="n">
        <v>57</v>
      </c>
      <c r="C296" s="71" t="inlineStr">
        <is>
          <t>Ausgaben</t>
        </is>
      </c>
      <c r="D296" t="inlineStr">
        <is>
          <t>Reise- und Fahrtspesen inkl. Kilometergeld und Diäten</t>
        </is>
      </c>
      <c r="E296" s="9" t="inlineStr">
        <is>
          <t>3293000008940642</t>
        </is>
      </c>
      <c r="G296" s="1" t="n">
        <v>43882</v>
      </c>
      <c r="H296" t="inlineStr">
        <is>
          <t>car2go Österreich GmbH, Hintere Zollamtstraße 9, 1030 Wien</t>
        </is>
      </c>
      <c r="K296">
        <f>(IF(AND(I296&lt;&gt;"",AND(J296="",ABS(Q296)&gt;400)),TRUE,FALSE))</f>
        <v/>
      </c>
      <c r="L296" s="214" t="n">
        <v>5.4</v>
      </c>
      <c r="M296" s="159" t="n">
        <v>1</v>
      </c>
      <c r="N296" t="n">
        <v>20</v>
      </c>
      <c r="O296" s="237">
        <f>L296*N296/100</f>
        <v/>
      </c>
      <c r="P296" s="237">
        <f>M296*O296</f>
        <v/>
      </c>
      <c r="Q296" s="208">
        <f>L296*M296</f>
        <v/>
      </c>
      <c r="R296" s="251">
        <f>L296+O296</f>
        <v/>
      </c>
      <c r="S296" s="251">
        <f>Q296+P296</f>
        <v/>
      </c>
      <c r="T296" s="35">
        <f>voranmeldefrist_vierteljaehrlich(G296)</f>
        <v/>
      </c>
      <c r="U296" s="27" t="n"/>
      <c r="V296" s="27" t="n"/>
      <c r="W296" s="210">
        <f>IF(K296=TRUE,Q296/I296,Q296)</f>
        <v/>
      </c>
      <c r="X296" s="237">
        <f>V296/100*S296</f>
        <v/>
      </c>
      <c r="Y296">
        <f>IF(AND(V296&gt;0,N296=V296),TRUE,FALSE)</f>
        <v/>
      </c>
      <c r="Z296" s="228">
        <f>IF(C296="Einnahmen",Q296,-Q296)</f>
        <v/>
      </c>
    </row>
    <row r="297">
      <c r="A297" s="53" t="n">
        <v>2020</v>
      </c>
      <c r="B297" s="53" t="n">
        <v>58</v>
      </c>
      <c r="C297" s="71" t="inlineStr">
        <is>
          <t>Ausgaben</t>
        </is>
      </c>
      <c r="D297" t="inlineStr">
        <is>
          <t>Reise- und Fahrtspesen inkl. Kilometergeld und Diäten</t>
        </is>
      </c>
      <c r="E297" s="9" t="inlineStr">
        <is>
          <t>3293000008940557</t>
        </is>
      </c>
      <c r="G297" s="1" t="n">
        <v>43882</v>
      </c>
      <c r="H297" t="inlineStr">
        <is>
          <t>car2go Österreich GmbH, Hintere Zollamtstraße 9, 1030 Wien</t>
        </is>
      </c>
      <c r="K297">
        <f>(IF(AND(I297&lt;&gt;"",AND(J297="",ABS(Q297)&gt;400)),TRUE,FALSE))</f>
        <v/>
      </c>
      <c r="L297" s="214" t="n">
        <v>1.58</v>
      </c>
      <c r="M297" s="159" t="n">
        <v>1</v>
      </c>
      <c r="N297" t="n">
        <v>20</v>
      </c>
      <c r="O297" s="237">
        <f>L297*N297/100</f>
        <v/>
      </c>
      <c r="P297" s="237">
        <f>M297*O297</f>
        <v/>
      </c>
      <c r="Q297" s="208">
        <f>L297*M297</f>
        <v/>
      </c>
      <c r="R297" s="251">
        <f>L297+O297</f>
        <v/>
      </c>
      <c r="S297" s="251">
        <f>Q297+P297</f>
        <v/>
      </c>
      <c r="T297" s="35">
        <f>voranmeldefrist_vierteljaehrlich(G297)</f>
        <v/>
      </c>
      <c r="U297" s="27" t="n"/>
      <c r="V297" s="27" t="n"/>
      <c r="W297" s="210">
        <f>IF(K297=TRUE,Q297/I297,Q297)</f>
        <v/>
      </c>
      <c r="X297" s="237">
        <f>V297/100*S297</f>
        <v/>
      </c>
      <c r="Y297">
        <f>IF(AND(V297&gt;0,N297=V297),TRUE,FALSE)</f>
        <v/>
      </c>
      <c r="Z297" s="228">
        <f>IF(C297="Einnahmen",Q297,-Q297)</f>
        <v/>
      </c>
    </row>
    <row r="298">
      <c r="A298" s="53" t="n">
        <v>2020</v>
      </c>
      <c r="B298" s="53" t="n">
        <v>59</v>
      </c>
      <c r="C298" s="71" t="inlineStr">
        <is>
          <t>Ausgaben</t>
        </is>
      </c>
      <c r="D298" t="inlineStr">
        <is>
          <t>Telefon/Internet</t>
        </is>
      </c>
      <c r="E298" s="9" t="inlineStr">
        <is>
          <t>901196010220</t>
        </is>
      </c>
      <c r="G298" s="1" t="n">
        <v>43882</v>
      </c>
      <c r="H298" t="inlineStr">
        <is>
          <t>Magenta: T-Mobile Austria GmbH, A-1120 Wien, PF 47</t>
        </is>
      </c>
      <c r="K298">
        <f>(IF(AND(I298&lt;&gt;"",AND(J298="",ABS(Q298)&gt;400)),TRUE,FALSE))</f>
        <v/>
      </c>
      <c r="L298" s="214" t="n">
        <v>35.24</v>
      </c>
      <c r="M298" s="159">
        <f>2/3</f>
        <v/>
      </c>
      <c r="N298" t="n">
        <v>20</v>
      </c>
      <c r="O298" s="237">
        <f>L298*N298/100</f>
        <v/>
      </c>
      <c r="P298" s="237">
        <f>M298*O298</f>
        <v/>
      </c>
      <c r="Q298" s="208">
        <f>L298*M298</f>
        <v/>
      </c>
      <c r="R298" s="251">
        <f>L298+O298</f>
        <v/>
      </c>
      <c r="S298" s="251">
        <f>Q298+P298</f>
        <v/>
      </c>
      <c r="T298" s="35">
        <f>voranmeldefrist_vierteljaehrlich(G298)</f>
        <v/>
      </c>
      <c r="U298" s="27" t="n"/>
      <c r="V298" s="27" t="n"/>
      <c r="W298" s="210">
        <f>IF(K298=TRUE,Q298/J298,Q298)</f>
        <v/>
      </c>
      <c r="X298" s="237">
        <f>V298/100*S298</f>
        <v/>
      </c>
      <c r="Y298">
        <f>IF(AND(V298&gt;0,N298=V298),TRUE,FALSE)</f>
        <v/>
      </c>
      <c r="Z298" s="228">
        <f>IF(C298="Einnahmen",Q298,-Q298)</f>
        <v/>
      </c>
    </row>
    <row r="299">
      <c r="A299" s="53" t="n">
        <v>2020</v>
      </c>
      <c r="B299" s="53" t="n">
        <v>60</v>
      </c>
      <c r="C299" s="71" t="inlineStr">
        <is>
          <t>Ausgaben</t>
        </is>
      </c>
      <c r="D299" t="inlineStr">
        <is>
          <t>Büromaterial</t>
        </is>
      </c>
      <c r="E299" s="9" t="inlineStr">
        <is>
          <t>0968-20200224-02-8795</t>
        </is>
      </c>
      <c r="G299" s="1" t="n">
        <v>43885</v>
      </c>
      <c r="H299" t="inlineStr">
        <is>
          <t>Libro 1090</t>
        </is>
      </c>
      <c r="K299">
        <f>(IF(AND(I299&lt;&gt;"",AND(J299="",ABS(Q299)&gt;400)),TRUE,FALSE))</f>
        <v/>
      </c>
      <c r="L299" s="214" t="n">
        <v>4.91</v>
      </c>
      <c r="M299" s="159" t="n">
        <v>1</v>
      </c>
      <c r="N299" t="n">
        <v>20</v>
      </c>
      <c r="O299" s="237">
        <f>L299*N299/100</f>
        <v/>
      </c>
      <c r="P299" s="237">
        <f>M299*O299</f>
        <v/>
      </c>
      <c r="Q299" s="208">
        <f>L299*M299</f>
        <v/>
      </c>
      <c r="R299" s="251">
        <f>L299+O299</f>
        <v/>
      </c>
      <c r="S299" s="251">
        <f>Q299+P299</f>
        <v/>
      </c>
      <c r="T299" s="35">
        <f>voranmeldefrist_vierteljaehrlich(G299)</f>
        <v/>
      </c>
      <c r="U299" s="27" t="n"/>
      <c r="V299" s="27" t="n"/>
      <c r="W299" s="210">
        <f>IF(K299=TRUE,Q299/J299,Q299)</f>
        <v/>
      </c>
      <c r="X299" s="237">
        <f>V299/100*S299</f>
        <v/>
      </c>
      <c r="Y299">
        <f>IF(AND(V299&gt;0,N299=V299),TRUE,FALSE)</f>
        <v/>
      </c>
      <c r="Z299" s="228">
        <f>IF(C299="Einnahmen",Q299,-Q299)</f>
        <v/>
      </c>
    </row>
    <row r="300">
      <c r="A300" s="53" t="n">
        <v>2020</v>
      </c>
      <c r="B300" s="53" t="n">
        <v>61</v>
      </c>
      <c r="C300" s="71" t="inlineStr">
        <is>
          <t>Ausgaben</t>
        </is>
      </c>
      <c r="D300" t="inlineStr">
        <is>
          <t>Pflichversicherungsbeiträge</t>
        </is>
      </c>
      <c r="E300" s="9" t="n">
        <v>11561270283</v>
      </c>
      <c r="G300" s="1" t="n">
        <v>43888</v>
      </c>
      <c r="H300" t="inlineStr">
        <is>
          <t>Sozialversicherung der gewerblichen Wirtshaft</t>
        </is>
      </c>
      <c r="K300">
        <f>(IF(AND(I300&lt;&gt;"",AND(J300="",ABS(Q300)&gt;400)),TRUE,FALSE))</f>
        <v/>
      </c>
      <c r="L300" s="214" t="n">
        <v>1676.19</v>
      </c>
      <c r="M300" s="159" t="n">
        <v>1</v>
      </c>
      <c r="N300" t="n">
        <v>0</v>
      </c>
      <c r="O300" s="237">
        <f>L300*N300/100</f>
        <v/>
      </c>
      <c r="P300" s="237">
        <f>M300*O300</f>
        <v/>
      </c>
      <c r="Q300" s="208">
        <f>L300*M300</f>
        <v/>
      </c>
      <c r="R300" s="251">
        <f>L300+O300</f>
        <v/>
      </c>
      <c r="S300" s="251">
        <f>Q300+P300</f>
        <v/>
      </c>
      <c r="T300" s="35">
        <f>voranmeldefrist_vierteljaehrlich(G300)</f>
        <v/>
      </c>
      <c r="U300" s="27" t="n"/>
      <c r="V300" s="27" t="n"/>
      <c r="W300" s="210">
        <f>IF(K300=TRUE,Q300/J300,Q300)</f>
        <v/>
      </c>
      <c r="X300" s="237">
        <f>V300/100*S300</f>
        <v/>
      </c>
      <c r="Y300">
        <f>IF(AND(V300&gt;0,N300=V300),TRUE,FALSE)</f>
        <v/>
      </c>
      <c r="Z300" s="228">
        <f>IF(C300="Einnahmen",Q300,-Q300)</f>
        <v/>
      </c>
    </row>
    <row r="301">
      <c r="A301" s="53" t="n">
        <v>2020</v>
      </c>
      <c r="B301" s="53" t="n">
        <v>62</v>
      </c>
      <c r="C301" s="71" t="inlineStr">
        <is>
          <t>Ausgaben</t>
        </is>
      </c>
      <c r="D301" t="inlineStr">
        <is>
          <t>Reise- und Fahrtspesen inkl. Kilometergeld und Diäten</t>
        </is>
      </c>
      <c r="E301" s="9" t="inlineStr">
        <is>
          <t>3293000008977407</t>
        </is>
      </c>
      <c r="G301" s="1" t="n">
        <v>43888</v>
      </c>
      <c r="H301" t="inlineStr">
        <is>
          <t>car2go Österreich GmbH, Hintere Zollamtstraße 9, 1030 Wien</t>
        </is>
      </c>
      <c r="K301">
        <f>(IF(AND(I301&lt;&gt;"",AND(J301="",ABS(Q301)&gt;400)),TRUE,FALSE))</f>
        <v/>
      </c>
      <c r="L301" s="214" t="n">
        <v>2.1</v>
      </c>
      <c r="M301" s="159" t="n">
        <v>1</v>
      </c>
      <c r="N301" t="n">
        <v>20</v>
      </c>
      <c r="O301" s="237">
        <f>L301*N301/100</f>
        <v/>
      </c>
      <c r="P301" s="237">
        <f>M301*O301</f>
        <v/>
      </c>
      <c r="Q301" s="208">
        <f>L301*M301</f>
        <v/>
      </c>
      <c r="R301" s="251">
        <f>L301+O301</f>
        <v/>
      </c>
      <c r="S301" s="251">
        <f>Q301+P301</f>
        <v/>
      </c>
      <c r="T301" s="35">
        <f>voranmeldefrist_vierteljaehrlich(G301)</f>
        <v/>
      </c>
      <c r="U301" s="27" t="n"/>
      <c r="V301" s="27" t="n"/>
      <c r="W301" s="210">
        <f>IF(K301=TRUE,Q301/I301,Q301)</f>
        <v/>
      </c>
      <c r="X301" s="237">
        <f>V301/100*S301</f>
        <v/>
      </c>
      <c r="Y301">
        <f>IF(AND(V301&gt;0,N301=V301),TRUE,FALSE)</f>
        <v/>
      </c>
      <c r="Z301" s="228">
        <f>IF(C301="Einnahmen",Q301,-Q301)</f>
        <v/>
      </c>
    </row>
    <row r="302">
      <c r="A302" s="53" t="n">
        <v>2020</v>
      </c>
      <c r="B302" s="53" t="n">
        <v>63</v>
      </c>
      <c r="C302" s="71" t="inlineStr">
        <is>
          <t>Ausgaben</t>
        </is>
      </c>
      <c r="D302" t="inlineStr">
        <is>
          <t>Reise- und Fahrtspesen inkl. Kilometergeld und Diäten</t>
        </is>
      </c>
      <c r="E302" s="9" t="inlineStr">
        <is>
          <t>3293000008984322</t>
        </is>
      </c>
      <c r="G302" s="1" t="n">
        <v>43889</v>
      </c>
      <c r="H302" t="inlineStr">
        <is>
          <t>car2go Österreich GmbH, Hintere Zollamtstraße 9, 1030 Wien</t>
        </is>
      </c>
      <c r="K302">
        <f>(IF(AND(I302&lt;&gt;"",AND(J302="",ABS(Q302)&gt;400)),TRUE,FALSE))</f>
        <v/>
      </c>
      <c r="L302" s="214" t="n">
        <v>7.8</v>
      </c>
      <c r="M302" s="159" t="n">
        <v>1</v>
      </c>
      <c r="N302" t="n">
        <v>20</v>
      </c>
      <c r="O302" s="237">
        <f>L302*N302/100</f>
        <v/>
      </c>
      <c r="P302" s="237">
        <f>M302*O302</f>
        <v/>
      </c>
      <c r="Q302" s="208">
        <f>L302*M302</f>
        <v/>
      </c>
      <c r="R302" s="251">
        <f>L302+O302</f>
        <v/>
      </c>
      <c r="S302" s="251">
        <f>Q302+P302</f>
        <v/>
      </c>
      <c r="T302" s="35">
        <f>voranmeldefrist_vierteljaehrlich(G302)</f>
        <v/>
      </c>
      <c r="U302" s="27" t="n"/>
      <c r="V302" s="27" t="n"/>
      <c r="W302" s="210">
        <f>IF(K302=TRUE,Q302/I302,Q302)</f>
        <v/>
      </c>
      <c r="X302" s="237">
        <f>V302/100*S302</f>
        <v/>
      </c>
      <c r="Y302">
        <f>IF(AND(V302&gt;0,N302=V302),TRUE,FALSE)</f>
        <v/>
      </c>
      <c r="Z302" s="228">
        <f>IF(C302="Einnahmen",Q302,-Q302)</f>
        <v/>
      </c>
    </row>
    <row r="303">
      <c r="A303" s="53" t="n">
        <v>2020</v>
      </c>
      <c r="B303" s="53" t="n">
        <v>64</v>
      </c>
      <c r="C303" s="71" t="inlineStr">
        <is>
          <t>Ausgaben</t>
        </is>
      </c>
      <c r="D303" t="inlineStr">
        <is>
          <t>Reise- und Fahrtspesen inkl. Kilometergeld und Diäten</t>
        </is>
      </c>
      <c r="E303" s="9" t="inlineStr">
        <is>
          <t>3293000009002136</t>
        </is>
      </c>
      <c r="G303" s="1" t="n">
        <v>43892</v>
      </c>
      <c r="H303" t="inlineStr">
        <is>
          <t>car2go Österreich GmbH, Hintere Zollamtstraße 9, 1030 Wien</t>
        </is>
      </c>
      <c r="K303">
        <f>(IF(AND(I303&lt;&gt;"",AND(J303="",ABS(Q303)&gt;400)),TRUE,FALSE))</f>
        <v/>
      </c>
      <c r="L303" s="214" t="n">
        <v>2.07</v>
      </c>
      <c r="M303" s="159" t="n">
        <v>1</v>
      </c>
      <c r="N303" t="n">
        <v>20</v>
      </c>
      <c r="O303" s="237">
        <f>L303*N303/100</f>
        <v/>
      </c>
      <c r="P303" s="237">
        <f>M303*O303</f>
        <v/>
      </c>
      <c r="Q303" s="208">
        <f>L303*M303</f>
        <v/>
      </c>
      <c r="R303" s="251">
        <f>L303+O303</f>
        <v/>
      </c>
      <c r="S303" s="251">
        <f>Q303+P303</f>
        <v/>
      </c>
      <c r="T303" s="35">
        <f>voranmeldefrist_vierteljaehrlich(G303)</f>
        <v/>
      </c>
      <c r="U303" s="27" t="n"/>
      <c r="V303" s="27" t="n"/>
      <c r="W303" s="210">
        <f>IF(K303=TRUE,Q303/I303,Q303)</f>
        <v/>
      </c>
      <c r="X303" s="237">
        <f>V303/100*S303</f>
        <v/>
      </c>
      <c r="Y303">
        <f>IF(AND(V303&gt;0,N303=V303),TRUE,FALSE)</f>
        <v/>
      </c>
      <c r="Z303" s="228">
        <f>IF(C303="Einnahmen",Q303,-Q303)</f>
        <v/>
      </c>
    </row>
    <row r="304">
      <c r="A304" s="53" t="n">
        <v>2020</v>
      </c>
      <c r="B304" s="53" t="n">
        <v>65</v>
      </c>
      <c r="C304" s="71" t="inlineStr">
        <is>
          <t>Ausgaben</t>
        </is>
      </c>
      <c r="D304" t="inlineStr">
        <is>
          <t>Reise- und Fahrtspesen inkl. Kilometergeld und Diäten</t>
        </is>
      </c>
      <c r="E304" s="9" t="inlineStr">
        <is>
          <t>3293000008997609</t>
        </is>
      </c>
      <c r="G304" s="1" t="n">
        <v>43892</v>
      </c>
      <c r="H304" t="inlineStr">
        <is>
          <t>car2go Österreich GmbH, Hintere Zollamtstraße 9, 1030 Wien</t>
        </is>
      </c>
      <c r="K304">
        <f>(IF(AND(I304&lt;&gt;"",AND(J304="",ABS(Q304)&gt;400)),TRUE,FALSE))</f>
        <v/>
      </c>
      <c r="L304" s="214" t="n">
        <v>3.3</v>
      </c>
      <c r="M304" s="159" t="n">
        <v>1</v>
      </c>
      <c r="N304" t="n">
        <v>20</v>
      </c>
      <c r="O304" s="237">
        <f>L304*N304/100</f>
        <v/>
      </c>
      <c r="P304" s="237">
        <f>M304*O304</f>
        <v/>
      </c>
      <c r="Q304" s="208">
        <f>L304*M304</f>
        <v/>
      </c>
      <c r="R304" s="251">
        <f>L304+O304</f>
        <v/>
      </c>
      <c r="S304" s="251">
        <f>Q304+P304</f>
        <v/>
      </c>
      <c r="T304" s="35">
        <f>voranmeldefrist_vierteljaehrlich(G304)</f>
        <v/>
      </c>
      <c r="U304" s="27" t="n"/>
      <c r="V304" s="27" t="n"/>
      <c r="W304" s="210">
        <f>IF(K304=TRUE,Q304/I304,Q304)</f>
        <v/>
      </c>
      <c r="X304" s="237">
        <f>V304/100*S304</f>
        <v/>
      </c>
      <c r="Y304">
        <f>IF(AND(V304&gt;0,N304=V304),TRUE,FALSE)</f>
        <v/>
      </c>
      <c r="Z304" s="228">
        <f>IF(C304="Einnahmen",Q304,-Q304)</f>
        <v/>
      </c>
    </row>
    <row r="305">
      <c r="A305" s="53" t="n">
        <v>2020</v>
      </c>
      <c r="B305" s="53" t="n">
        <v>66</v>
      </c>
      <c r="C305" s="71" t="inlineStr">
        <is>
          <t>Ausgaben</t>
        </is>
      </c>
      <c r="D305" t="inlineStr">
        <is>
          <t>Reise- und Fahrtspesen inkl. Kilometergeld und Diäten</t>
        </is>
      </c>
      <c r="E305" s="9" t="inlineStr">
        <is>
          <t>3293000008990778</t>
        </is>
      </c>
      <c r="G305" s="1" t="n">
        <v>43892</v>
      </c>
      <c r="H305" t="inlineStr">
        <is>
          <t>car2go Österreich GmbH, Hintere Zollamtstraße 9, 1030 Wien</t>
        </is>
      </c>
      <c r="K305">
        <f>(IF(AND(I305&lt;&gt;"",AND(J305="",ABS(Q305)&gt;400)),TRUE,FALSE))</f>
        <v/>
      </c>
      <c r="L305" s="214" t="n">
        <v>1.58</v>
      </c>
      <c r="M305" s="159" t="n">
        <v>1</v>
      </c>
      <c r="N305" t="n">
        <v>20</v>
      </c>
      <c r="O305" s="237">
        <f>L305*N305/100</f>
        <v/>
      </c>
      <c r="P305" s="237">
        <f>M305*O305</f>
        <v/>
      </c>
      <c r="Q305" s="208">
        <f>L305*M305</f>
        <v/>
      </c>
      <c r="R305" s="251">
        <f>L305+O305</f>
        <v/>
      </c>
      <c r="S305" s="251">
        <f>Q305+P305</f>
        <v/>
      </c>
      <c r="T305" s="35">
        <f>voranmeldefrist_vierteljaehrlich(G305)</f>
        <v/>
      </c>
      <c r="U305" s="27" t="n"/>
      <c r="V305" s="27" t="n"/>
      <c r="W305" s="210">
        <f>IF(K305=TRUE,Q305/I305,Q305)</f>
        <v/>
      </c>
      <c r="X305" s="237">
        <f>V305/100*S305</f>
        <v/>
      </c>
      <c r="Y305">
        <f>IF(AND(V305&gt;0,N305=V305),TRUE,FALSE)</f>
        <v/>
      </c>
      <c r="Z305" s="228">
        <f>IF(C305="Einnahmen",Q305,-Q305)</f>
        <v/>
      </c>
    </row>
    <row r="306">
      <c r="A306" s="53" t="n">
        <v>2020</v>
      </c>
      <c r="B306" s="53" t="n">
        <v>67</v>
      </c>
      <c r="C306" s="71" t="inlineStr">
        <is>
          <t>Ausgaben</t>
        </is>
      </c>
      <c r="D306" t="inlineStr">
        <is>
          <t>Reise- und Fahrtspesen inkl. Kilometergeld und Diäten</t>
        </is>
      </c>
      <c r="E306" s="9" t="inlineStr">
        <is>
          <t>3293000008992918</t>
        </is>
      </c>
      <c r="G306" s="1" t="n">
        <v>43892</v>
      </c>
      <c r="H306" t="inlineStr">
        <is>
          <t>car2go Österreich GmbH, Hintere Zollamtstraße 9, 1030 Wien</t>
        </is>
      </c>
      <c r="K306">
        <f>(IF(AND(I306&lt;&gt;"",AND(J306="",ABS(Q306)&gt;400)),TRUE,FALSE))</f>
        <v/>
      </c>
      <c r="L306" s="214" t="n">
        <v>5.63</v>
      </c>
      <c r="M306" s="159" t="n">
        <v>1</v>
      </c>
      <c r="N306" t="n">
        <v>20</v>
      </c>
      <c r="O306" s="237">
        <f>L306*N306/100</f>
        <v/>
      </c>
      <c r="P306" s="237">
        <f>M306*O306</f>
        <v/>
      </c>
      <c r="Q306" s="208">
        <f>L306*M306</f>
        <v/>
      </c>
      <c r="R306" s="251">
        <f>L306+O306</f>
        <v/>
      </c>
      <c r="S306" s="251">
        <f>Q306+P306</f>
        <v/>
      </c>
      <c r="T306" s="35">
        <f>voranmeldefrist_vierteljaehrlich(G306)</f>
        <v/>
      </c>
      <c r="U306" s="27" t="n"/>
      <c r="V306" s="27" t="n"/>
      <c r="W306" s="210">
        <f>IF(K306=TRUE,Q306/I306,Q306)</f>
        <v/>
      </c>
      <c r="X306" s="237">
        <f>V306/100*S306</f>
        <v/>
      </c>
      <c r="Y306">
        <f>IF(AND(V306&gt;0,N306=V306),TRUE,FALSE)</f>
        <v/>
      </c>
      <c r="Z306" s="228">
        <f>IF(C306="Einnahmen",Q306,-Q306)</f>
        <v/>
      </c>
    </row>
    <row r="307">
      <c r="A307" s="53" t="n">
        <v>2020</v>
      </c>
      <c r="B307" s="53" t="n">
        <v>68</v>
      </c>
      <c r="C307" s="71" t="inlineStr">
        <is>
          <t>Ausgaben</t>
        </is>
      </c>
      <c r="D307" t="inlineStr">
        <is>
          <t>Reise- und Fahrtspesen inkl. Kilometergeld und Diäten</t>
        </is>
      </c>
      <c r="E307" s="9" t="inlineStr">
        <is>
          <t>3293000008990862</t>
        </is>
      </c>
      <c r="G307" s="1" t="n">
        <v>43892</v>
      </c>
      <c r="H307" t="inlineStr">
        <is>
          <t>car2go Österreich GmbH, Hintere Zollamtstraße 9, 1030 Wien</t>
        </is>
      </c>
      <c r="K307">
        <f>(IF(AND(I307&lt;&gt;"",AND(J307="",ABS(Q307)&gt;400)),TRUE,FALSE))</f>
        <v/>
      </c>
      <c r="L307" s="214" t="n">
        <v>5.7</v>
      </c>
      <c r="M307" s="159" t="n">
        <v>1</v>
      </c>
      <c r="N307" t="n">
        <v>20</v>
      </c>
      <c r="O307" s="237">
        <f>L307*N307/100</f>
        <v/>
      </c>
      <c r="P307" s="237">
        <f>M307*O307</f>
        <v/>
      </c>
      <c r="Q307" s="208">
        <f>L307*M307</f>
        <v/>
      </c>
      <c r="R307" s="251">
        <f>L307+O307</f>
        <v/>
      </c>
      <c r="S307" s="251">
        <f>Q307+P307</f>
        <v/>
      </c>
      <c r="T307" s="35">
        <f>voranmeldefrist_vierteljaehrlich(G307)</f>
        <v/>
      </c>
      <c r="U307" s="27" t="n"/>
      <c r="V307" s="27" t="n"/>
      <c r="W307" s="210">
        <f>IF(K307=TRUE,Q307/I307,Q307)</f>
        <v/>
      </c>
      <c r="X307" s="237">
        <f>V307/100*S307</f>
        <v/>
      </c>
      <c r="Y307">
        <f>IF(AND(V307&gt;0,N307=V307),TRUE,FALSE)</f>
        <v/>
      </c>
      <c r="Z307" s="228">
        <f>IF(C307="Einnahmen",Q307,-Q307)</f>
        <v/>
      </c>
    </row>
    <row r="308">
      <c r="A308" s="53" t="n">
        <v>2020</v>
      </c>
      <c r="B308" s="53" t="n">
        <v>69</v>
      </c>
      <c r="C308" s="71" t="inlineStr">
        <is>
          <t>Ausgaben</t>
        </is>
      </c>
      <c r="D308" t="inlineStr">
        <is>
          <t>Miet- und Pachtaufwand, Leasing</t>
        </is>
      </c>
      <c r="E308" s="9" t="inlineStr">
        <is>
          <t>20/9801/VS00043</t>
        </is>
      </c>
      <c r="G308" s="1" t="n">
        <v>43892</v>
      </c>
      <c r="H308" t="inlineStr">
        <is>
          <t>Bontus Immobilienverwaltung GmbH, 1010 Wien, Franz Josefs Kai 65</t>
        </is>
      </c>
      <c r="K308" t="b">
        <v>0</v>
      </c>
      <c r="L308" s="214" t="n">
        <v>462.44</v>
      </c>
      <c r="M308" s="159" t="n">
        <v>1</v>
      </c>
      <c r="N308" t="n">
        <v>20</v>
      </c>
      <c r="O308" s="237">
        <f>L308*N308/100</f>
        <v/>
      </c>
      <c r="P308" s="237">
        <f>M308*O308</f>
        <v/>
      </c>
      <c r="Q308" s="208">
        <f>L308*M308</f>
        <v/>
      </c>
      <c r="R308" s="251">
        <f>L308+O308</f>
        <v/>
      </c>
      <c r="S308" s="251">
        <f>Q308+P308</f>
        <v/>
      </c>
      <c r="T308" s="35">
        <f>voranmeldefrist_vierteljaehrlich(G308)</f>
        <v/>
      </c>
      <c r="U308" s="27" t="n"/>
      <c r="V308" s="27" t="n"/>
      <c r="W308" s="210">
        <f>IF(K308=TRUE,Q308/J308,Q308)</f>
        <v/>
      </c>
      <c r="X308" s="237">
        <f>V308/100*S308</f>
        <v/>
      </c>
      <c r="Y308">
        <f>IF(AND(V308&gt;0,N308=V308),TRUE,FALSE)</f>
        <v/>
      </c>
      <c r="Z308" s="228">
        <f>IF(C308="Einnahmen",Q308,-Q308)</f>
        <v/>
      </c>
    </row>
    <row r="309">
      <c r="A309" s="53" t="n">
        <v>2020</v>
      </c>
      <c r="B309" s="53" t="n">
        <v>70</v>
      </c>
      <c r="C309" s="71" t="inlineStr">
        <is>
          <t>Ausgaben</t>
        </is>
      </c>
      <c r="D309" t="inlineStr">
        <is>
          <t>Werbe- und Repräsentationsaufwand</t>
        </is>
      </c>
      <c r="E309" s="9" t="inlineStr">
        <is>
          <t>PRM320020005234</t>
        </is>
      </c>
      <c r="G309" s="1" t="n">
        <v>43892</v>
      </c>
      <c r="H309" t="inlineStr">
        <is>
          <t>Xing SE, Dammtorstraße 30, 20354 Hamburg</t>
        </is>
      </c>
      <c r="K309">
        <f>(IF(AND(I309&lt;&gt;"",AND(J309="",ABS(Q309)&gt;400)),TRUE,FALSE))</f>
        <v/>
      </c>
      <c r="L309" s="214" t="n">
        <v>24.88</v>
      </c>
      <c r="M309" s="159" t="n">
        <v>1</v>
      </c>
      <c r="N309" t="n">
        <v>0</v>
      </c>
      <c r="O309" s="237">
        <f>L309*N309/100</f>
        <v/>
      </c>
      <c r="P309" s="237">
        <f>M309*O309</f>
        <v/>
      </c>
      <c r="Q309" s="208">
        <f>L309*M309</f>
        <v/>
      </c>
      <c r="R309" s="251">
        <f>L309+O309</f>
        <v/>
      </c>
      <c r="S309" s="251">
        <f>Q309+P309</f>
        <v/>
      </c>
      <c r="T309" s="35">
        <f>voranmeldefrist_vierteljaehrlich(G309)</f>
        <v/>
      </c>
      <c r="U309" s="27" t="n"/>
      <c r="V309" s="27" t="n">
        <v>20</v>
      </c>
      <c r="W309" s="210">
        <f>IF(K309=TRUE,Q309/I309,Q309)</f>
        <v/>
      </c>
      <c r="X309" s="237">
        <f>V309/100*S309</f>
        <v/>
      </c>
      <c r="Y309">
        <f>IF(AND(V309&gt;0,N309=V309),TRUE,FALSE)</f>
        <v/>
      </c>
      <c r="Z309" s="228">
        <f>IF(C309="Einnahmen",Q309,-Q309)</f>
        <v/>
      </c>
    </row>
    <row r="310">
      <c r="A310" s="53" t="n">
        <v>2020</v>
      </c>
      <c r="B310" s="53" t="n">
        <v>71</v>
      </c>
      <c r="C310" s="71" t="inlineStr">
        <is>
          <t>Ausgaben</t>
        </is>
      </c>
      <c r="D310" t="inlineStr">
        <is>
          <t>Reise- und Fahrtspesen inkl. Kilometergeld und Diäten</t>
        </is>
      </c>
      <c r="E310" s="9" t="inlineStr">
        <is>
          <t>3293000009021473</t>
        </is>
      </c>
      <c r="G310" s="1" t="n">
        <v>43894</v>
      </c>
      <c r="H310" t="inlineStr">
        <is>
          <t>car2go Österreich GmbH, Hintere Zollamtstraße 9, 1030 Wien</t>
        </is>
      </c>
      <c r="K310">
        <f>(IF(AND(I310&lt;&gt;"",AND(J310="",ABS(Q310)&gt;400)),TRUE,FALSE))</f>
        <v/>
      </c>
      <c r="L310" s="214" t="n">
        <v>7.49</v>
      </c>
      <c r="M310" s="159" t="n">
        <v>1</v>
      </c>
      <c r="N310" t="n">
        <v>20</v>
      </c>
      <c r="O310" s="237">
        <f>L310*N310/100</f>
        <v/>
      </c>
      <c r="P310" s="237">
        <f>M310*O310</f>
        <v/>
      </c>
      <c r="Q310" s="208">
        <f>L310*M310</f>
        <v/>
      </c>
      <c r="R310" s="251">
        <f>L310+O310</f>
        <v/>
      </c>
      <c r="S310" s="251">
        <f>Q310+P310</f>
        <v/>
      </c>
      <c r="T310" s="35">
        <f>voranmeldefrist_vierteljaehrlich(G310)</f>
        <v/>
      </c>
      <c r="U310" s="27" t="n"/>
      <c r="V310" s="27" t="n"/>
      <c r="W310" s="210">
        <f>IF(K310=TRUE,Q310/I310,Q310)</f>
        <v/>
      </c>
      <c r="X310" s="237">
        <f>V310/100*S310</f>
        <v/>
      </c>
      <c r="Y310">
        <f>IF(AND(V310&gt;0,N310=V310),TRUE,FALSE)</f>
        <v/>
      </c>
      <c r="Z310" s="228">
        <f>IF(C310="Einnahmen",Q310,-Q310)</f>
        <v/>
      </c>
    </row>
    <row r="311">
      <c r="A311" s="53" t="n">
        <v>2020</v>
      </c>
      <c r="B311" s="53" t="n">
        <v>72</v>
      </c>
      <c r="C311" s="71" t="inlineStr">
        <is>
          <t>Ausgaben</t>
        </is>
      </c>
      <c r="D311" t="inlineStr">
        <is>
          <t>Reise- und Fahrtspesen inkl. Kilometergeld und Diäten</t>
        </is>
      </c>
      <c r="E311" s="9" t="inlineStr">
        <is>
          <t>3293000009017540</t>
        </is>
      </c>
      <c r="G311" s="1" t="n">
        <v>43894</v>
      </c>
      <c r="H311" t="inlineStr">
        <is>
          <t>car2go Österreich GmbH, Hintere Zollamtstraße 9, 1030 Wien</t>
        </is>
      </c>
      <c r="K311">
        <f>(IF(AND(I311&lt;&gt;"",AND(J311="",ABS(Q311)&gt;400)),TRUE,FALSE))</f>
        <v/>
      </c>
      <c r="L311" s="214" t="n">
        <v>5.68</v>
      </c>
      <c r="M311" s="159" t="n">
        <v>1</v>
      </c>
      <c r="N311" t="n">
        <v>20</v>
      </c>
      <c r="O311" s="237">
        <f>L311*N311/100</f>
        <v/>
      </c>
      <c r="P311" s="237">
        <f>M311*O311</f>
        <v/>
      </c>
      <c r="Q311" s="208">
        <f>L311*M311</f>
        <v/>
      </c>
      <c r="R311" s="251">
        <f>L311+O311</f>
        <v/>
      </c>
      <c r="S311" s="251">
        <f>Q311+P311</f>
        <v/>
      </c>
      <c r="T311" s="35">
        <f>voranmeldefrist_vierteljaehrlich(G311)</f>
        <v/>
      </c>
      <c r="U311" s="27" t="n"/>
      <c r="V311" s="27" t="n"/>
      <c r="W311" s="210">
        <f>IF(K311=TRUE,Q311/I311,Q311)</f>
        <v/>
      </c>
      <c r="X311" s="237">
        <f>V311/100*S311</f>
        <v/>
      </c>
      <c r="Y311">
        <f>IF(AND(V311&gt;0,N311=V311),TRUE,FALSE)</f>
        <v/>
      </c>
      <c r="Z311" s="228">
        <f>IF(C311="Einnahmen",Q311,-Q311)</f>
        <v/>
      </c>
    </row>
    <row r="312">
      <c r="A312" s="53" t="n">
        <v>2020</v>
      </c>
      <c r="B312" s="53" t="n">
        <v>73</v>
      </c>
      <c r="C312" s="71" t="inlineStr">
        <is>
          <t>Ausgaben</t>
        </is>
      </c>
      <c r="D312" t="inlineStr">
        <is>
          <t>sonstige Betriebsausgaben</t>
        </is>
      </c>
      <c r="E312" s="9" t="inlineStr">
        <is>
          <t>807693</t>
        </is>
      </c>
      <c r="G312" s="1" t="n">
        <v>43894</v>
      </c>
      <c r="H312" t="inlineStr">
        <is>
          <t>easy green energy</t>
        </is>
      </c>
      <c r="K312">
        <f>(IF(AND(I312&lt;&gt;"",AND(J312="",ABS(Q312)&gt;400)),TRUE,FALSE))</f>
        <v/>
      </c>
      <c r="L312" s="214">
        <f>S312/1.2</f>
        <v/>
      </c>
      <c r="M312" s="159" t="n">
        <v>1</v>
      </c>
      <c r="N312" t="n">
        <v>20</v>
      </c>
      <c r="O312" s="237">
        <f>L312*N312/100</f>
        <v/>
      </c>
      <c r="P312" s="237">
        <f>M312*O312</f>
        <v/>
      </c>
      <c r="Q312" s="208">
        <f>L312*M312</f>
        <v/>
      </c>
      <c r="R312" s="251">
        <f>L312+O312</f>
        <v/>
      </c>
      <c r="S312" s="251" t="n">
        <v>3</v>
      </c>
      <c r="T312" s="35">
        <f>voranmeldefrist_vierteljaehrlich(G312)</f>
        <v/>
      </c>
      <c r="U312" s="27" t="n"/>
      <c r="V312" s="27" t="n"/>
      <c r="W312" s="210">
        <f>IF(K312=TRUE,Q312/J312,Q312)</f>
        <v/>
      </c>
      <c r="X312" s="237">
        <f>V312/100*S312</f>
        <v/>
      </c>
      <c r="Y312">
        <f>IF(AND(V312&gt;0,N312=V312),TRUE,FALSE)</f>
        <v/>
      </c>
      <c r="Z312" s="228">
        <f>IF(C312="Einnahmen",Q312,-Q312)</f>
        <v/>
      </c>
    </row>
    <row r="313">
      <c r="A313" s="53" t="n">
        <v>2020</v>
      </c>
      <c r="B313" s="53" t="n">
        <v>74</v>
      </c>
      <c r="C313" s="71" t="inlineStr">
        <is>
          <t>Ausgaben</t>
        </is>
      </c>
      <c r="D313" t="inlineStr">
        <is>
          <t>Reise- und Fahrtspesen inkl. Kilometergeld und Diäten</t>
        </is>
      </c>
      <c r="E313" s="9" t="inlineStr">
        <is>
          <t>3293000009023446</t>
        </is>
      </c>
      <c r="G313" s="1" t="n">
        <v>43895</v>
      </c>
      <c r="H313" t="inlineStr">
        <is>
          <t>car2go Österreich GmbH, Hintere Zollamtstraße 9, 1030 Wien</t>
        </is>
      </c>
      <c r="K313">
        <f>(IF(AND(I313&lt;&gt;"",AND(J313="",ABS(Q313)&gt;400)),TRUE,FALSE))</f>
        <v/>
      </c>
      <c r="L313" s="214" t="n">
        <v>3</v>
      </c>
      <c r="M313" s="159" t="n">
        <v>1</v>
      </c>
      <c r="N313" t="n">
        <v>20</v>
      </c>
      <c r="O313" s="237">
        <f>L313*N313/100</f>
        <v/>
      </c>
      <c r="P313" s="237">
        <f>M313*O313</f>
        <v/>
      </c>
      <c r="Q313" s="208">
        <f>L313*M313</f>
        <v/>
      </c>
      <c r="R313" s="251">
        <f>L313+O313</f>
        <v/>
      </c>
      <c r="S313" s="251">
        <f>Q313+P313</f>
        <v/>
      </c>
      <c r="T313" s="35">
        <f>voranmeldefrist_vierteljaehrlich(G313)</f>
        <v/>
      </c>
      <c r="U313" s="27" t="n"/>
      <c r="V313" s="27" t="n"/>
      <c r="W313" s="210">
        <f>IF(K313=TRUE,Q313/I313,Q313)</f>
        <v/>
      </c>
      <c r="X313" s="237">
        <f>V313/100*S313</f>
        <v/>
      </c>
      <c r="Y313">
        <f>IF(AND(V313&gt;0,N313=V313),TRUE,FALSE)</f>
        <v/>
      </c>
      <c r="Z313" s="228">
        <f>IF(C313="Einnahmen",Q313,-Q313)</f>
        <v/>
      </c>
    </row>
    <row r="314">
      <c r="A314" s="53" t="n">
        <v>2020</v>
      </c>
      <c r="B314" s="53" t="n">
        <v>75</v>
      </c>
      <c r="C314" s="71" t="inlineStr">
        <is>
          <t>Ausgaben</t>
        </is>
      </c>
      <c r="D314" t="inlineStr">
        <is>
          <t>Reise- und Fahrtspesen inkl. Kilometergeld und Diäten</t>
        </is>
      </c>
      <c r="E314" s="9" t="inlineStr">
        <is>
          <t>3293000009027007</t>
        </is>
      </c>
      <c r="G314" s="1" t="n">
        <v>43895</v>
      </c>
      <c r="H314" t="inlineStr">
        <is>
          <t>car2go Österreich GmbH, Hintere Zollamtstraße 9, 1030 Wien</t>
        </is>
      </c>
      <c r="K314">
        <f>(IF(AND(I314&lt;&gt;"",AND(J314="",ABS(Q314)&gt;400)),TRUE,FALSE))</f>
        <v/>
      </c>
      <c r="L314" s="214" t="n">
        <v>2.58</v>
      </c>
      <c r="M314" s="159" t="n">
        <v>1</v>
      </c>
      <c r="N314" t="n">
        <v>20</v>
      </c>
      <c r="O314" s="237">
        <f>L314*N314/100</f>
        <v/>
      </c>
      <c r="P314" s="237">
        <f>M314*O314</f>
        <v/>
      </c>
      <c r="Q314" s="208">
        <f>L314*M314</f>
        <v/>
      </c>
      <c r="R314" s="251">
        <f>L314+O314</f>
        <v/>
      </c>
      <c r="S314" s="251">
        <f>Q314+P314</f>
        <v/>
      </c>
      <c r="T314" s="35">
        <f>voranmeldefrist_vierteljaehrlich(G314)</f>
        <v/>
      </c>
      <c r="U314" s="27" t="n"/>
      <c r="V314" s="27" t="n"/>
      <c r="W314" s="210">
        <f>IF(K314=TRUE,Q314/I314,Q314)</f>
        <v/>
      </c>
      <c r="X314" s="237">
        <f>V314/100*S314</f>
        <v/>
      </c>
      <c r="Y314">
        <f>IF(AND(V314&gt;0,N314=V314),TRUE,FALSE)</f>
        <v/>
      </c>
      <c r="Z314" s="228">
        <f>IF(C314="Einnahmen",Q314,-Q314)</f>
        <v/>
      </c>
    </row>
    <row r="315">
      <c r="A315" s="53" t="n">
        <v>2020</v>
      </c>
      <c r="B315" s="53" t="n">
        <v>76</v>
      </c>
      <c r="C315" s="71" t="inlineStr">
        <is>
          <t>Ausgaben</t>
        </is>
      </c>
      <c r="D315" t="inlineStr">
        <is>
          <t>Reise- und Fahrtspesen inkl. Kilometergeld und Diäten</t>
        </is>
      </c>
      <c r="E315" s="9" t="inlineStr">
        <is>
          <t>(keine RNr)</t>
        </is>
      </c>
      <c r="G315" s="1" t="n">
        <v>43895</v>
      </c>
      <c r="H315" t="inlineStr">
        <is>
          <t>Wiener Linien GmbH &amp; Co KG</t>
        </is>
      </c>
      <c r="K315">
        <f>(IF(AND(I315&lt;&gt;"",AND(J315="",ABS(Q315)&gt;400)),TRUE,FALSE))</f>
        <v/>
      </c>
      <c r="L315" s="214">
        <f>365-33.18</f>
        <v/>
      </c>
      <c r="M315" s="159" t="n">
        <v>1</v>
      </c>
      <c r="N315" t="n">
        <v>10</v>
      </c>
      <c r="O315" s="237">
        <f>L315*N315/100</f>
        <v/>
      </c>
      <c r="P315" s="237">
        <f>M315*O315</f>
        <v/>
      </c>
      <c r="Q315" s="208">
        <f>L315*M315</f>
        <v/>
      </c>
      <c r="R315" s="251">
        <f>L315+O315</f>
        <v/>
      </c>
      <c r="S315" s="251">
        <f>Q315+P315</f>
        <v/>
      </c>
      <c r="T315" s="35">
        <f>voranmeldefrist_vierteljaehrlich(G315)</f>
        <v/>
      </c>
      <c r="U315" s="27" t="n"/>
      <c r="V315" s="27" t="n"/>
      <c r="W315" s="210">
        <f>IF(K315=TRUE,Q315/I315,Q315)</f>
        <v/>
      </c>
      <c r="X315" s="237">
        <f>V315/100*S315</f>
        <v/>
      </c>
      <c r="Y315">
        <f>IF(AND(V315&gt;0,N315=V315),TRUE,FALSE)</f>
        <v/>
      </c>
      <c r="Z315" s="228">
        <f>IF(C315="Einnahmen",Q315,-Q315)</f>
        <v/>
      </c>
    </row>
    <row r="316">
      <c r="A316" s="53" t="n">
        <v>2020</v>
      </c>
      <c r="B316" s="53" t="n">
        <v>77</v>
      </c>
      <c r="C316" s="71" t="inlineStr">
        <is>
          <t>Ausgaben</t>
        </is>
      </c>
      <c r="D316" t="inlineStr">
        <is>
          <t>Telefon/Internet</t>
        </is>
      </c>
      <c r="E316" s="9" t="inlineStr">
        <is>
          <t>6197452672</t>
        </is>
      </c>
      <c r="G316" s="1" t="n">
        <v>43896</v>
      </c>
      <c r="H316" t="inlineStr">
        <is>
          <t>Hutchison Drei Austria GmbH, Brünner Straße 52, 1210 Wien, Österreich</t>
        </is>
      </c>
      <c r="K316">
        <f>(IF(AND(I316&lt;&gt;"",AND(J316="",ABS(Q316)&gt;400)),TRUE,FALSE))</f>
        <v/>
      </c>
      <c r="L316" s="214" t="n">
        <v>15</v>
      </c>
      <c r="M316" s="159" t="n">
        <v>1</v>
      </c>
      <c r="N316" t="n">
        <v>20</v>
      </c>
      <c r="O316" s="237">
        <f>L316*N316/100</f>
        <v/>
      </c>
      <c r="P316" s="237">
        <f>M316*O316</f>
        <v/>
      </c>
      <c r="Q316" s="208">
        <f>L316*M316</f>
        <v/>
      </c>
      <c r="R316" s="251">
        <f>L316+O316</f>
        <v/>
      </c>
      <c r="S316" s="251">
        <f>Q316+P316</f>
        <v/>
      </c>
      <c r="T316" s="35">
        <f>voranmeldefrist_vierteljaehrlich(G316)</f>
        <v/>
      </c>
      <c r="U316" s="27" t="n"/>
      <c r="V316" s="27" t="n"/>
      <c r="W316" s="210">
        <f>IF(K316=TRUE,Q316/I316,Q316)</f>
        <v/>
      </c>
      <c r="X316" s="237">
        <f>V316/100*S316</f>
        <v/>
      </c>
      <c r="Y316">
        <f>IF(AND(V316&gt;0,N316=V316),TRUE,FALSE)</f>
        <v/>
      </c>
      <c r="Z316" s="228">
        <f>IF(C316="Einnahmen",Q316,-Q316)</f>
        <v/>
      </c>
    </row>
    <row r="317">
      <c r="A317" s="53" t="n">
        <v>2020</v>
      </c>
      <c r="B317" s="53" t="n">
        <v>78</v>
      </c>
      <c r="C317" s="71" t="inlineStr">
        <is>
          <t>Ausgaben</t>
        </is>
      </c>
      <c r="D317" t="inlineStr">
        <is>
          <t>sonstige Betriebsausgaben</t>
        </is>
      </c>
      <c r="E317" s="9" t="inlineStr">
        <is>
          <t>VS/19-01-05428</t>
        </is>
      </c>
      <c r="G317" s="1" t="n">
        <v>43896</v>
      </c>
      <c r="H317" t="inlineStr">
        <is>
          <t>Techem Messtechnik GmbH; Abnehmernummer 501686-0003-11-(</t>
        </is>
      </c>
      <c r="K317">
        <f>(IF(AND(I317&lt;&gt;"",AND(J317="",ABS(Q317)&gt;400)),TRUE,FALSE))</f>
        <v/>
      </c>
      <c r="L317" s="214">
        <f>43.9/1.2</f>
        <v/>
      </c>
      <c r="M317" s="159" t="n">
        <v>1</v>
      </c>
      <c r="N317" t="n">
        <v>20</v>
      </c>
      <c r="O317" s="237">
        <f>L317*N317/100</f>
        <v/>
      </c>
      <c r="P317" s="237">
        <f>M317*O317</f>
        <v/>
      </c>
      <c r="Q317" s="208">
        <f>L317*M317</f>
        <v/>
      </c>
      <c r="R317" s="251">
        <f>L317+O317</f>
        <v/>
      </c>
      <c r="S317" s="251">
        <f>Q317+P317</f>
        <v/>
      </c>
      <c r="T317" s="35">
        <f>voranmeldefrist_vierteljaehrlich(G317)</f>
        <v/>
      </c>
      <c r="U317" s="27" t="n"/>
      <c r="V317" s="27" t="n"/>
      <c r="W317" s="210">
        <f>IF(K317=TRUE,Q317/I317,Q317)</f>
        <v/>
      </c>
      <c r="X317" s="237">
        <f>V317/100*S317</f>
        <v/>
      </c>
      <c r="Y317">
        <f>IF(AND(V317&gt;0,N317=V317),TRUE,FALSE)</f>
        <v/>
      </c>
      <c r="Z317" s="228">
        <f>IF(C317="Einnahmen",Q317,-Q317)</f>
        <v/>
      </c>
    </row>
    <row r="318">
      <c r="A318" s="53" t="n">
        <v>2020</v>
      </c>
      <c r="B318" s="53" t="n">
        <v>79</v>
      </c>
      <c r="C318" s="71" t="inlineStr">
        <is>
          <t>Ausgaben</t>
        </is>
      </c>
      <c r="D318" t="inlineStr">
        <is>
          <t>Reise- und Fahrtspesen inkl. Kilometergeld und Diäten</t>
        </is>
      </c>
      <c r="E318" s="9" t="inlineStr">
        <is>
          <t>3293000009034738</t>
        </is>
      </c>
      <c r="G318" s="1" t="n">
        <v>43896</v>
      </c>
      <c r="H318" t="inlineStr">
        <is>
          <t>car2go Österreich GmbH, Hintere Zollamtstraße 9, 1030 Wien</t>
        </is>
      </c>
      <c r="K318">
        <f>(IF(AND(I318&lt;&gt;"",AND(J318="",ABS(Q318)&gt;400)),TRUE,FALSE))</f>
        <v/>
      </c>
      <c r="L318" s="214" t="n">
        <v>6.2</v>
      </c>
      <c r="M318" s="159" t="n">
        <v>1</v>
      </c>
      <c r="N318" t="n">
        <v>20</v>
      </c>
      <c r="O318" s="237">
        <f>L318*N318/100</f>
        <v/>
      </c>
      <c r="P318" s="237">
        <f>M318*O318</f>
        <v/>
      </c>
      <c r="Q318" s="208">
        <f>L318*M318</f>
        <v/>
      </c>
      <c r="R318" s="251">
        <f>L318+O318</f>
        <v/>
      </c>
      <c r="S318" s="251">
        <f>Q318+P318</f>
        <v/>
      </c>
      <c r="T318" s="35">
        <f>voranmeldefrist_vierteljaehrlich(G318)</f>
        <v/>
      </c>
      <c r="U318" s="27" t="n"/>
      <c r="V318" s="27" t="n"/>
      <c r="W318" s="210">
        <f>IF(K318=TRUE,Q318/I318,Q318)</f>
        <v/>
      </c>
      <c r="X318" s="237">
        <f>V318/100*S318</f>
        <v/>
      </c>
      <c r="Y318">
        <f>IF(AND(V318&gt;0,N318=V318),TRUE,FALSE)</f>
        <v/>
      </c>
      <c r="Z318" s="228">
        <f>IF(C318="Einnahmen",Q318,-Q318)</f>
        <v/>
      </c>
    </row>
    <row r="319">
      <c r="A319" s="53" t="n">
        <v>2020</v>
      </c>
      <c r="B319" s="53" t="n">
        <v>80</v>
      </c>
      <c r="C319" s="71" t="inlineStr">
        <is>
          <t>Ausgaben</t>
        </is>
      </c>
      <c r="D319" t="inlineStr">
        <is>
          <t>Reise- und Fahrtspesen inkl. Kilometergeld und Diäten</t>
        </is>
      </c>
      <c r="E319" s="9" t="inlineStr">
        <is>
          <t>3293000009030357</t>
        </is>
      </c>
      <c r="G319" s="1" t="n">
        <v>43896</v>
      </c>
      <c r="H319" t="inlineStr">
        <is>
          <t>car2go Österreich GmbH, Hintere Zollamtstraße 9, 1030 Wien</t>
        </is>
      </c>
      <c r="K319">
        <f>(IF(AND(I319&lt;&gt;"",AND(J319="",ABS(Q319)&gt;400)),TRUE,FALSE))</f>
        <v/>
      </c>
      <c r="L319" s="214" t="n">
        <v>13.3</v>
      </c>
      <c r="M319" s="159" t="n">
        <v>1</v>
      </c>
      <c r="N319" t="n">
        <v>20</v>
      </c>
      <c r="O319" s="237">
        <f>L319*N319/100</f>
        <v/>
      </c>
      <c r="P319" s="237">
        <f>M319*O319</f>
        <v/>
      </c>
      <c r="Q319" s="208">
        <f>L319*M319</f>
        <v/>
      </c>
      <c r="R319" s="251">
        <f>L319+O319</f>
        <v/>
      </c>
      <c r="S319" s="251">
        <f>Q319+P319</f>
        <v/>
      </c>
      <c r="T319" s="35">
        <f>voranmeldefrist_vierteljaehrlich(G319)</f>
        <v/>
      </c>
      <c r="U319" s="27" t="n"/>
      <c r="V319" s="27" t="n"/>
      <c r="W319" s="210">
        <f>IF(K319=TRUE,Q319/I319,Q319)</f>
        <v/>
      </c>
      <c r="X319" s="237">
        <f>V319/100*S319</f>
        <v/>
      </c>
      <c r="Y319">
        <f>IF(AND(V319&gt;0,N319=V319),TRUE,FALSE)</f>
        <v/>
      </c>
      <c r="Z319" s="228">
        <f>IF(C319="Einnahmen",Q319,-Q319)</f>
        <v/>
      </c>
    </row>
    <row r="320">
      <c r="A320" s="53" t="n">
        <v>2020</v>
      </c>
      <c r="B320" s="53" t="n">
        <v>81</v>
      </c>
      <c r="C320" s="71" t="inlineStr">
        <is>
          <t>Ausgaben</t>
        </is>
      </c>
      <c r="D320" t="inlineStr">
        <is>
          <t>Reise- und Fahrtspesen inkl. Kilometergeld und Diäten</t>
        </is>
      </c>
      <c r="E320" s="9" t="inlineStr">
        <is>
          <t>3293000009030587</t>
        </is>
      </c>
      <c r="G320" s="1" t="n">
        <v>43896</v>
      </c>
      <c r="H320" t="inlineStr">
        <is>
          <t>car2go Österreich GmbH, Hintere Zollamtstraße 9, 1030 Wien</t>
        </is>
      </c>
      <c r="K320">
        <f>(IF(AND(I320&lt;&gt;"",AND(J320="",ABS(Q320)&gt;400)),TRUE,FALSE))</f>
        <v/>
      </c>
      <c r="L320" s="214" t="n">
        <v>2.84</v>
      </c>
      <c r="M320" s="159" t="n">
        <v>1</v>
      </c>
      <c r="N320" t="n">
        <v>20</v>
      </c>
      <c r="O320" s="237">
        <f>L320*N320/100</f>
        <v/>
      </c>
      <c r="P320" s="237">
        <f>M320*O320</f>
        <v/>
      </c>
      <c r="Q320" s="208">
        <f>L320*M320</f>
        <v/>
      </c>
      <c r="R320" s="251">
        <f>L320+O320</f>
        <v/>
      </c>
      <c r="S320" s="251">
        <f>Q320+P320</f>
        <v/>
      </c>
      <c r="T320" s="35">
        <f>voranmeldefrist_vierteljaehrlich(G320)</f>
        <v/>
      </c>
      <c r="U320" s="27" t="n"/>
      <c r="V320" s="27" t="n"/>
      <c r="W320" s="210">
        <f>IF(K320=TRUE,Q320/I320,Q320)</f>
        <v/>
      </c>
      <c r="X320" s="237">
        <f>V320/100*S320</f>
        <v/>
      </c>
      <c r="Y320">
        <f>IF(AND(V320&gt;0,N320=V320),TRUE,FALSE)</f>
        <v/>
      </c>
      <c r="Z320" s="228">
        <f>IF(C320="Einnahmen",Q320,-Q320)</f>
        <v/>
      </c>
    </row>
    <row r="321">
      <c r="A321" s="53" t="n">
        <v>2020</v>
      </c>
      <c r="B321" s="53" t="n">
        <v>82</v>
      </c>
      <c r="C321" s="71" t="inlineStr">
        <is>
          <t>Ausgaben</t>
        </is>
      </c>
      <c r="D321" t="inlineStr">
        <is>
          <t>sonstige Betriebsausgaben</t>
        </is>
      </c>
      <c r="E321" s="9" t="inlineStr">
        <is>
          <t>5112142283</t>
        </is>
      </c>
      <c r="G321" s="1" t="n">
        <v>43900</v>
      </c>
      <c r="H321" t="inlineStr">
        <is>
          <t>Wiener Netze GmbH, Erdbergstraße 236, 1110 Wien, Postfach 422</t>
        </is>
      </c>
      <c r="K321">
        <f>(IF(AND(I321&lt;&gt;"",AND(J321="",ABS(Q321)&gt;400)),TRUE,FALSE))</f>
        <v/>
      </c>
      <c r="L321" s="214">
        <f>S321/1.2</f>
        <v/>
      </c>
      <c r="M321" s="159" t="n">
        <v>1</v>
      </c>
      <c r="N321" t="n">
        <v>20</v>
      </c>
      <c r="O321" s="237">
        <f>L321*N321/100</f>
        <v/>
      </c>
      <c r="P321" s="237">
        <f>M321*O321</f>
        <v/>
      </c>
      <c r="Q321" s="208">
        <f>L321*M321</f>
        <v/>
      </c>
      <c r="R321" s="251">
        <f>L321+O321</f>
        <v/>
      </c>
      <c r="S321" s="251" t="n">
        <v>34.8</v>
      </c>
      <c r="T321" s="35">
        <f>voranmeldefrist_vierteljaehrlich(G321)</f>
        <v/>
      </c>
      <c r="U321" s="27" t="n"/>
      <c r="V321" s="27" t="n"/>
      <c r="W321" s="210">
        <f>IF(K321=TRUE,Q321/J321,Q321)</f>
        <v/>
      </c>
      <c r="X321" s="237">
        <f>V321/100*S321</f>
        <v/>
      </c>
      <c r="Y321">
        <f>IF(AND(V321&gt;0,N321=V321),TRUE,FALSE)</f>
        <v/>
      </c>
      <c r="Z321" s="228">
        <f>IF(C321="Einnahmen",Q321,-Q321)</f>
        <v/>
      </c>
    </row>
    <row r="322">
      <c r="A322" s="53" t="n">
        <v>2020</v>
      </c>
      <c r="B322" s="53" t="n">
        <v>83</v>
      </c>
      <c r="C322" s="71" t="inlineStr">
        <is>
          <t>Einnahmen</t>
        </is>
      </c>
      <c r="D322" t="inlineStr">
        <is>
          <t>Waren-/Leistungserlöse</t>
        </is>
      </c>
      <c r="E322" s="9" t="inlineStr">
        <is>
          <t>12020007</t>
        </is>
      </c>
      <c r="G322" s="1" t="n">
        <v>43900</v>
      </c>
      <c r="H322" t="inlineStr">
        <is>
          <t>DCF - Digital Coding Factory GmbH, Bauernfeldgasse 4/12 1090 Wien</t>
        </is>
      </c>
      <c r="K322">
        <f>(IF(AND(I322&lt;&gt;"",AND(J322="",ABS(Q322)&gt;400)),TRUE,FALSE))</f>
        <v/>
      </c>
      <c r="L322" s="214" t="n">
        <v>892.5</v>
      </c>
      <c r="M322" s="159" t="n">
        <v>1</v>
      </c>
      <c r="N322" t="n">
        <v>20</v>
      </c>
      <c r="O322" s="237">
        <f>L322*N322/100</f>
        <v/>
      </c>
      <c r="P322" s="237">
        <f>M322*O322</f>
        <v/>
      </c>
      <c r="Q322" s="208">
        <f>L322*M322</f>
        <v/>
      </c>
      <c r="R322" s="251">
        <f>L322+O322</f>
        <v/>
      </c>
      <c r="S322" s="251">
        <f>Q322+P322</f>
        <v/>
      </c>
      <c r="T322" s="35">
        <f>voranmeldefrist_vierteljaehrlich(G322)</f>
        <v/>
      </c>
      <c r="U322" s="27" t="n"/>
      <c r="V322" s="27" t="n"/>
      <c r="W322" s="210">
        <f>IF(K322=TRUE,Q322/I322,Q322)</f>
        <v/>
      </c>
      <c r="X322" s="237">
        <f>V322/100*S322</f>
        <v/>
      </c>
      <c r="Y322">
        <f>IF(AND(V322&gt;0,N322=V322),TRUE,FALSE)</f>
        <v/>
      </c>
      <c r="Z322" s="228">
        <f>IF(C322="Einnahmen",Q322,-Q322)</f>
        <v/>
      </c>
    </row>
    <row r="323">
      <c r="A323" s="53" t="n">
        <v>2020</v>
      </c>
      <c r="B323" s="53" t="n">
        <v>84</v>
      </c>
      <c r="C323" s="71" t="inlineStr">
        <is>
          <t>Einnahmen</t>
        </is>
      </c>
      <c r="D323" t="inlineStr">
        <is>
          <t>Waren-/Leistungserlöse</t>
        </is>
      </c>
      <c r="E323" s="9" t="inlineStr">
        <is>
          <t>12020006</t>
        </is>
      </c>
      <c r="G323" s="1" t="n">
        <v>43900</v>
      </c>
      <c r="H323" s="43" t="inlineStr">
        <is>
          <t>Wedding Avenue e.U., Mayerweckstrasse 2-8/99/1, 1210 Wien</t>
        </is>
      </c>
      <c r="K323">
        <f>(IF(AND(I323&lt;&gt;"",AND(J323="",ABS(Q323)&gt;400)),TRUE,FALSE))</f>
        <v/>
      </c>
      <c r="L323" s="214" t="n">
        <v>262.5</v>
      </c>
      <c r="M323" s="159" t="n">
        <v>1</v>
      </c>
      <c r="N323" t="n">
        <v>20</v>
      </c>
      <c r="O323" s="237">
        <f>L323*N323/100</f>
        <v/>
      </c>
      <c r="P323" s="237">
        <f>M323*O323</f>
        <v/>
      </c>
      <c r="Q323" s="208">
        <f>L323*M323</f>
        <v/>
      </c>
      <c r="R323" s="251">
        <f>L323+O323</f>
        <v/>
      </c>
      <c r="S323" s="251">
        <f>Q323+P323</f>
        <v/>
      </c>
      <c r="T323" s="35">
        <f>voranmeldefrist_vierteljaehrlich(G323)</f>
        <v/>
      </c>
      <c r="U323" s="27" t="n"/>
      <c r="V323" s="27" t="n"/>
      <c r="W323" s="210">
        <f>IF(K323=TRUE,Q323/I323,Q323)</f>
        <v/>
      </c>
      <c r="X323" s="237">
        <f>V323/100*S323</f>
        <v/>
      </c>
      <c r="Y323">
        <f>IF(AND(V323&gt;0,N323=V323),TRUE,FALSE)</f>
        <v/>
      </c>
      <c r="Z323" s="228">
        <f>IF(C323="Einnahmen",Q323,-Q323)</f>
        <v/>
      </c>
    </row>
    <row r="324">
      <c r="A324" s="53" t="n">
        <v>2020</v>
      </c>
      <c r="B324" s="53" t="n">
        <v>85</v>
      </c>
      <c r="C324" s="71" t="inlineStr">
        <is>
          <t>Ausgaben</t>
        </is>
      </c>
      <c r="D324" t="inlineStr">
        <is>
          <t>Waren, Rohstoffe, Hilfsstoffe</t>
        </is>
      </c>
      <c r="E324" s="9" t="inlineStr">
        <is>
          <t>AEU-INV-PL-2020-610134</t>
        </is>
      </c>
      <c r="G324" s="1" t="n">
        <v>43901</v>
      </c>
      <c r="H324" t="inlineStr">
        <is>
          <t>Amazon EU S. à r.l., 38 avenue John F. Kennedy, L-1855 Luxembourg: HJEU: DVI-HDMI, Logitech Maus</t>
        </is>
      </c>
      <c r="K324">
        <f>(IF(AND(I324&lt;&gt;"",AND(J324="",ABS(Q324)&gt;400)),TRUE,FALSE))</f>
        <v/>
      </c>
      <c r="L324" s="214" t="n">
        <v>6.21</v>
      </c>
      <c r="M324" s="159" t="n">
        <v>1</v>
      </c>
      <c r="N324" t="n">
        <v>0</v>
      </c>
      <c r="O324" s="237">
        <f>L324*N324/100</f>
        <v/>
      </c>
      <c r="P324" s="237">
        <f>M324*O324</f>
        <v/>
      </c>
      <c r="Q324" s="208">
        <f>L324*M324</f>
        <v/>
      </c>
      <c r="R324" s="251">
        <f>L324+O324</f>
        <v/>
      </c>
      <c r="S324" s="251">
        <f>Q324+P324</f>
        <v/>
      </c>
      <c r="T324" s="35">
        <f>voranmeldefrist_vierteljaehrlich(G324)</f>
        <v/>
      </c>
      <c r="U324" s="27" t="n"/>
      <c r="V324" s="27" t="n">
        <v>20</v>
      </c>
      <c r="W324" s="210">
        <f>IF(K324=TRUE,Q324/I324,Q324)</f>
        <v/>
      </c>
      <c r="X324" s="237">
        <f>V324/100*S324</f>
        <v/>
      </c>
      <c r="Y324">
        <f>IF(AND(V324&gt;0,N324=V324),TRUE,FALSE)</f>
        <v/>
      </c>
      <c r="Z324" s="228">
        <f>IF(C324="Einnahmen",Q324,-Q324)</f>
        <v/>
      </c>
    </row>
    <row r="325">
      <c r="A325" s="53" t="n">
        <v>2020</v>
      </c>
      <c r="B325" s="53" t="n">
        <v>86</v>
      </c>
      <c r="C325" s="71" t="inlineStr">
        <is>
          <t>Ausgaben</t>
        </is>
      </c>
      <c r="D325" t="inlineStr">
        <is>
          <t>Waren, Rohstoffe, Hilfsstoffe</t>
        </is>
      </c>
      <c r="E325" s="9" t="inlineStr">
        <is>
          <t>AEU-INV-PL-2020-630433</t>
        </is>
      </c>
      <c r="G325" s="1" t="n">
        <v>43901</v>
      </c>
      <c r="H325" t="inlineStr">
        <is>
          <t>Amazon EU S. à r.l., 38 avenue John F. Kennedy, L-1855 Luxembourg: HJEU: DVI-HDMI, Logitech Maus</t>
        </is>
      </c>
      <c r="K325">
        <f>(IF(AND(I325&lt;&gt;"",AND(J325="",ABS(Q325)&gt;400)),TRUE,FALSE))</f>
        <v/>
      </c>
      <c r="L325" s="214" t="n">
        <v>39.82</v>
      </c>
      <c r="M325" s="159" t="n">
        <v>1</v>
      </c>
      <c r="N325" t="n">
        <v>0</v>
      </c>
      <c r="O325" s="237">
        <f>L325*N325/100</f>
        <v/>
      </c>
      <c r="P325" s="237">
        <f>M325*O325</f>
        <v/>
      </c>
      <c r="Q325" s="208">
        <f>L325*M325</f>
        <v/>
      </c>
      <c r="R325" s="251">
        <f>L325+O325</f>
        <v/>
      </c>
      <c r="S325" s="251">
        <f>Q325+P325</f>
        <v/>
      </c>
      <c r="T325" s="35">
        <f>voranmeldefrist_vierteljaehrlich(G325)</f>
        <v/>
      </c>
      <c r="U325" s="27" t="n"/>
      <c r="V325" s="27" t="n">
        <v>20</v>
      </c>
      <c r="W325" s="210">
        <f>IF(K325=TRUE,Q325/I325,Q325)</f>
        <v/>
      </c>
      <c r="X325" s="237">
        <f>V325/100*S325</f>
        <v/>
      </c>
      <c r="Y325">
        <f>IF(AND(V325&gt;0,N325=V325),TRUE,FALSE)</f>
        <v/>
      </c>
      <c r="Z325" s="228">
        <f>IF(C325="Einnahmen",Q325,-Q325)</f>
        <v/>
      </c>
    </row>
    <row r="326">
      <c r="A326" s="53" t="n">
        <v>2020</v>
      </c>
      <c r="B326" s="53" t="n">
        <v>87</v>
      </c>
      <c r="C326" s="71" t="inlineStr">
        <is>
          <t>Einnahmen</t>
        </is>
      </c>
      <c r="D326" t="inlineStr">
        <is>
          <t>Waren-/Leistungserlöse</t>
        </is>
      </c>
      <c r="E326" s="9" t="inlineStr">
        <is>
          <t>12020005</t>
        </is>
      </c>
      <c r="G326" s="1" t="n">
        <v>43902</v>
      </c>
      <c r="H326" t="inlineStr">
        <is>
          <t>DCF - Digital Coding Factory GmbH, Bauernfeldgasse 4/12 1090 Wien</t>
        </is>
      </c>
      <c r="K326">
        <f>(IF(AND(I326&lt;&gt;"",AND(J326="",ABS(Q326)&gt;400)),TRUE,FALSE))</f>
        <v/>
      </c>
      <c r="L326" s="214" t="n">
        <v>6450</v>
      </c>
      <c r="M326" s="159" t="n">
        <v>1</v>
      </c>
      <c r="N326" t="n">
        <v>20</v>
      </c>
      <c r="O326" s="237">
        <f>L326*N326/100</f>
        <v/>
      </c>
      <c r="P326" s="237">
        <f>M326*O326</f>
        <v/>
      </c>
      <c r="Q326" s="208">
        <f>L326*M326</f>
        <v/>
      </c>
      <c r="R326" s="251">
        <f>L326+O326</f>
        <v/>
      </c>
      <c r="S326" s="251">
        <f>Q326+P326</f>
        <v/>
      </c>
      <c r="T326" s="35">
        <f>voranmeldefrist_vierteljaehrlich(G326)</f>
        <v/>
      </c>
      <c r="U326" s="27" t="n"/>
      <c r="V326" s="27" t="n"/>
      <c r="W326" s="210">
        <f>IF(K326=TRUE,Q326/I326,Q326)</f>
        <v/>
      </c>
      <c r="X326" s="237">
        <f>V326/100*S326</f>
        <v/>
      </c>
      <c r="Y326">
        <f>IF(AND(V326&gt;0,N326=V326),TRUE,FALSE)</f>
        <v/>
      </c>
      <c r="Z326" s="228">
        <f>IF(C326="Einnahmen",Q326,-Q326)</f>
        <v/>
      </c>
    </row>
    <row r="327">
      <c r="A327" s="53" t="n">
        <v>2020</v>
      </c>
      <c r="B327" s="53" t="n">
        <v>88</v>
      </c>
      <c r="C327" s="71" t="inlineStr">
        <is>
          <t>Ausgaben</t>
        </is>
      </c>
      <c r="D327" t="inlineStr">
        <is>
          <t>sonstige Betriebsausgaben</t>
        </is>
      </c>
      <c r="E327" s="9" t="inlineStr">
        <is>
          <t>R0010952121</t>
        </is>
      </c>
      <c r="G327" s="1" t="n">
        <v>43902</v>
      </c>
      <c r="H327" t="inlineStr">
        <is>
          <t>Hetzner Online GmbH</t>
        </is>
      </c>
      <c r="K327">
        <f>(IF(AND(I327&lt;&gt;"",AND(J327="",ABS(Q327)&gt;400)),TRUE,FALSE))</f>
        <v/>
      </c>
      <c r="L327" s="214" t="n">
        <v>46.92</v>
      </c>
      <c r="M327" s="159" t="n">
        <v>1</v>
      </c>
      <c r="N327" t="n">
        <v>0</v>
      </c>
      <c r="O327" s="237">
        <f>L327*N327/100</f>
        <v/>
      </c>
      <c r="P327" s="237">
        <f>M327*O327</f>
        <v/>
      </c>
      <c r="Q327" s="208">
        <f>L327*M327</f>
        <v/>
      </c>
      <c r="R327" s="251">
        <f>L327+O327</f>
        <v/>
      </c>
      <c r="S327" s="251">
        <f>Q327+P327</f>
        <v/>
      </c>
      <c r="T327" s="35">
        <f>voranmeldefrist_vierteljaehrlich(G327)</f>
        <v/>
      </c>
      <c r="U327" s="27" t="n"/>
      <c r="V327" s="27" t="n">
        <v>20</v>
      </c>
      <c r="W327" s="210">
        <f>IF(K327=TRUE,Q327/J327,Q327)</f>
        <v/>
      </c>
      <c r="X327" s="237">
        <f>V327/100*S327</f>
        <v/>
      </c>
      <c r="Y327">
        <f>IF(AND(V327&gt;0,N327=V327),TRUE,FALSE)</f>
        <v/>
      </c>
      <c r="Z327" s="228">
        <f>IF(C327="Einnahmen",Q327,-Q327)</f>
        <v/>
      </c>
    </row>
    <row r="328">
      <c r="A328" s="53" t="n">
        <v>2020</v>
      </c>
      <c r="B328" s="53" t="n">
        <v>89</v>
      </c>
      <c r="C328" s="71" t="inlineStr">
        <is>
          <t>Ausgaben</t>
        </is>
      </c>
      <c r="D328" t="inlineStr">
        <is>
          <t>sonstige Betriebsausgaben</t>
        </is>
      </c>
      <c r="E328" s="9" t="inlineStr">
        <is>
          <t>EIN20/0001381</t>
        </is>
      </c>
      <c r="G328" s="1" t="n">
        <v>43903</v>
      </c>
      <c r="H328" t="inlineStr">
        <is>
          <t>A-Trust Gesellschaft für Sicherheitssysteme im elektronischen Datenverkehr GmbH, Landstraßer Hauptstraße 1b, E02, A-1030 Wien: a.sign light Zertifikat Nutzung 1J, Signaturvertrag 158279472050</t>
        </is>
      </c>
      <c r="K328">
        <f>(IF(AND(I328&lt;&gt;"",AND(J328="",ABS(Q328)&gt;400)),TRUE,FALSE))</f>
        <v/>
      </c>
      <c r="L328" s="214" t="n">
        <v>12.08</v>
      </c>
      <c r="M328" s="159" t="n">
        <v>1</v>
      </c>
      <c r="N328" t="n">
        <v>20</v>
      </c>
      <c r="O328" s="237">
        <f>L328*N328/100</f>
        <v/>
      </c>
      <c r="P328" s="237">
        <f>M328*O328</f>
        <v/>
      </c>
      <c r="Q328" s="208">
        <f>L328*M328</f>
        <v/>
      </c>
      <c r="R328" s="251">
        <f>L328+O328</f>
        <v/>
      </c>
      <c r="S328" s="251">
        <f>Q328+P328</f>
        <v/>
      </c>
      <c r="T328" s="35">
        <f>voranmeldefrist_vierteljaehrlich(G328)</f>
        <v/>
      </c>
      <c r="U328" s="27" t="n"/>
      <c r="V328" s="27" t="n"/>
      <c r="W328" s="210">
        <f>IF(K328=TRUE,Q328/J328,Q328)</f>
        <v/>
      </c>
      <c r="X328" s="237">
        <f>V328/100*S328</f>
        <v/>
      </c>
      <c r="Y328">
        <f>IF(AND(V328&gt;0,N328=V328),TRUE,FALSE)</f>
        <v/>
      </c>
      <c r="Z328" s="228">
        <f>IF(C328="Einnahmen",Q328,-Q328)</f>
        <v/>
      </c>
    </row>
    <row r="329">
      <c r="A329" s="53" t="n">
        <v>2020</v>
      </c>
      <c r="B329" s="53" t="n">
        <v>90</v>
      </c>
      <c r="C329" s="71" t="inlineStr">
        <is>
          <t>Ausgaben</t>
        </is>
      </c>
      <c r="D329" t="inlineStr">
        <is>
          <t>Reise- und Fahrtspesen inkl. Kilometergeld und Diäten</t>
        </is>
      </c>
      <c r="E329" s="9" t="inlineStr">
        <is>
          <t>3293000009094304</t>
        </is>
      </c>
      <c r="G329" s="1" t="n">
        <v>43906</v>
      </c>
      <c r="H329" t="inlineStr">
        <is>
          <t>car2go Österreich GmbH, Hintere Zollamtstraße 9, 1030 Wien</t>
        </is>
      </c>
      <c r="K329">
        <f>(IF(AND(I329&lt;&gt;"",AND(J329="",ABS(Q329)&gt;400)),TRUE,FALSE))</f>
        <v/>
      </c>
      <c r="L329" s="214" t="n">
        <v>3.5</v>
      </c>
      <c r="M329" s="159" t="n">
        <v>1</v>
      </c>
      <c r="N329" t="n">
        <v>20</v>
      </c>
      <c r="O329" s="237">
        <f>L329*N329/100</f>
        <v/>
      </c>
      <c r="P329" s="237">
        <f>M329*O329</f>
        <v/>
      </c>
      <c r="Q329" s="208">
        <f>L329*M329</f>
        <v/>
      </c>
      <c r="R329" s="251">
        <f>L329+O329</f>
        <v/>
      </c>
      <c r="S329" s="251">
        <f>Q329+P329</f>
        <v/>
      </c>
      <c r="T329" s="35">
        <f>voranmeldefrist_vierteljaehrlich(G329)</f>
        <v/>
      </c>
      <c r="U329" s="27" t="n"/>
      <c r="V329" s="27" t="n"/>
      <c r="W329" s="210">
        <f>IF(K329=TRUE,Q329/I329,Q329)</f>
        <v/>
      </c>
      <c r="X329" s="237">
        <f>V329/100*S329</f>
        <v/>
      </c>
      <c r="Y329">
        <f>IF(AND(V329&gt;0,N329=V329),TRUE,FALSE)</f>
        <v/>
      </c>
      <c r="Z329" s="228">
        <f>IF(C329="Einnahmen",Q329,-Q329)</f>
        <v/>
      </c>
    </row>
    <row r="330">
      <c r="A330" s="53" t="n">
        <v>2020</v>
      </c>
      <c r="B330" s="53" t="n">
        <v>91</v>
      </c>
      <c r="C330" s="71" t="inlineStr">
        <is>
          <t>Ausgaben</t>
        </is>
      </c>
      <c r="D330" t="inlineStr">
        <is>
          <t>Reise- und Fahrtspesen inkl. Kilometergeld und Diäten</t>
        </is>
      </c>
      <c r="E330" s="9" t="inlineStr">
        <is>
          <t>3293000009089205</t>
        </is>
      </c>
      <c r="G330" s="1" t="n">
        <v>43906</v>
      </c>
      <c r="H330" t="inlineStr">
        <is>
          <t>car2go Österreich GmbH, Hintere Zollamtstraße 9, 1030 Wien</t>
        </is>
      </c>
      <c r="K330">
        <f>(IF(AND(I330&lt;&gt;"",AND(J330="",ABS(Q330)&gt;400)),TRUE,FALSE))</f>
        <v/>
      </c>
      <c r="L330" s="214" t="n">
        <v>3.62</v>
      </c>
      <c r="M330" s="159" t="n">
        <v>1</v>
      </c>
      <c r="N330" t="n">
        <v>20</v>
      </c>
      <c r="O330" s="237">
        <f>L330*N330/100</f>
        <v/>
      </c>
      <c r="P330" s="237">
        <f>M330*O330</f>
        <v/>
      </c>
      <c r="Q330" s="208">
        <f>L330*M330</f>
        <v/>
      </c>
      <c r="R330" s="251">
        <f>L330+O330</f>
        <v/>
      </c>
      <c r="S330" s="251">
        <f>Q330+P330</f>
        <v/>
      </c>
      <c r="T330" s="35">
        <f>voranmeldefrist_vierteljaehrlich(G330)</f>
        <v/>
      </c>
      <c r="U330" s="27" t="n"/>
      <c r="V330" s="27" t="n"/>
      <c r="W330" s="210">
        <f>IF(K330=TRUE,Q330/I330,Q330)</f>
        <v/>
      </c>
      <c r="X330" s="237">
        <f>V330/100*S330</f>
        <v/>
      </c>
      <c r="Y330">
        <f>IF(AND(V330&gt;0,N330=V330),TRUE,FALSE)</f>
        <v/>
      </c>
      <c r="Z330" s="228">
        <f>IF(C330="Einnahmen",Q330,-Q330)</f>
        <v/>
      </c>
    </row>
    <row r="331">
      <c r="A331" s="53" t="n">
        <v>2020</v>
      </c>
      <c r="B331" s="53" t="n">
        <v>92</v>
      </c>
      <c r="C331" s="71" t="inlineStr">
        <is>
          <t>Ausgaben</t>
        </is>
      </c>
      <c r="D331" t="inlineStr">
        <is>
          <t>Telefon/Internet</t>
        </is>
      </c>
      <c r="E331" s="9" t="inlineStr">
        <is>
          <t>901188610320</t>
        </is>
      </c>
      <c r="G331" s="1" t="n">
        <v>43910</v>
      </c>
      <c r="H331" t="inlineStr">
        <is>
          <t>Magenta: T-Mobile Austria GmbH, A-1120 Wien, PF 47</t>
        </is>
      </c>
      <c r="K331">
        <f>(IF(AND(I331&lt;&gt;"",AND(J331="",ABS(Q331)&gt;400)),TRUE,FALSE))</f>
        <v/>
      </c>
      <c r="L331" s="214" t="n">
        <v>35.24</v>
      </c>
      <c r="M331" s="159" t="n">
        <v>1</v>
      </c>
      <c r="N331" t="n">
        <v>20</v>
      </c>
      <c r="O331" s="237">
        <f>L331*N331/100</f>
        <v/>
      </c>
      <c r="P331" s="237">
        <f>M331*O331</f>
        <v/>
      </c>
      <c r="Q331" s="208">
        <f>L331*M331</f>
        <v/>
      </c>
      <c r="R331" s="251">
        <f>L331+O331</f>
        <v/>
      </c>
      <c r="S331" s="251">
        <f>Q331+P331</f>
        <v/>
      </c>
      <c r="T331" s="35">
        <f>voranmeldefrist_vierteljaehrlich(G331)</f>
        <v/>
      </c>
      <c r="U331" s="27" t="n"/>
      <c r="V331" s="27" t="n"/>
      <c r="W331" s="210">
        <f>IF(K331=TRUE,Q331/I331,Q331)</f>
        <v/>
      </c>
      <c r="X331" s="237">
        <f>V331/100*S331</f>
        <v/>
      </c>
      <c r="Y331">
        <f>IF(AND(V331&gt;0,N331=V331),TRUE,FALSE)</f>
        <v/>
      </c>
      <c r="Z331" s="228">
        <f>IF(C331="Einnahmen",Q331,-Q331)</f>
        <v/>
      </c>
    </row>
    <row r="332">
      <c r="A332" s="53" t="n">
        <v>2020</v>
      </c>
      <c r="B332" s="53" t="n">
        <v>93</v>
      </c>
      <c r="C332" s="71" t="inlineStr">
        <is>
          <t>Ausgaben</t>
        </is>
      </c>
      <c r="D332" t="inlineStr">
        <is>
          <t>sonstige Betriebsausgaben</t>
        </is>
      </c>
      <c r="E332" s="9" t="inlineStr">
        <is>
          <t>RE0828863</t>
        </is>
      </c>
      <c r="G332" s="1" t="n">
        <v>43914</v>
      </c>
      <c r="H332" t="inlineStr">
        <is>
          <t>easyname GmbH, Fernkorngasse 10/3/501, A-1100 Wien</t>
        </is>
      </c>
      <c r="K332">
        <f>(IF(AND(I332&lt;&gt;"",AND(J332="",ABS(Q332)&gt;400)),TRUE,FALSE))</f>
        <v/>
      </c>
      <c r="L332" s="214" t="n">
        <v>12.42</v>
      </c>
      <c r="M332" s="159" t="n">
        <v>1</v>
      </c>
      <c r="N332" t="n">
        <v>20</v>
      </c>
      <c r="O332" s="237">
        <f>L332*N332/100</f>
        <v/>
      </c>
      <c r="P332" s="237">
        <f>M332*O332</f>
        <v/>
      </c>
      <c r="Q332" s="208">
        <f>L332*M332</f>
        <v/>
      </c>
      <c r="R332" s="251">
        <f>L332+O332</f>
        <v/>
      </c>
      <c r="S332" s="251">
        <f>Q332+P332</f>
        <v/>
      </c>
      <c r="T332" s="35">
        <f>voranmeldefrist_vierteljaehrlich(G332)</f>
        <v/>
      </c>
      <c r="U332" s="27" t="n"/>
      <c r="V332" s="27" t="n"/>
      <c r="W332" s="210">
        <f>IF(K332=TRUE,Q332/J332,Q332)</f>
        <v/>
      </c>
      <c r="X332" s="237">
        <f>V332/100*S332</f>
        <v/>
      </c>
      <c r="Y332">
        <f>IF(AND(V332&gt;0,N332=V332),TRUE,FALSE)</f>
        <v/>
      </c>
      <c r="Z332" s="228">
        <f>IF(C332="Einnahmen",Q332,-Q332)</f>
        <v/>
      </c>
    </row>
    <row r="333">
      <c r="A333" s="53" t="n">
        <v>2020</v>
      </c>
      <c r="B333" s="53" t="n">
        <v>94</v>
      </c>
      <c r="C333" s="71" t="inlineStr">
        <is>
          <t>Ausgaben</t>
        </is>
      </c>
      <c r="D333" t="inlineStr">
        <is>
          <t>sonstige Betriebsausgaben</t>
        </is>
      </c>
      <c r="E333" s="9" t="inlineStr">
        <is>
          <t>2020/93924.A62916</t>
        </is>
      </c>
      <c r="G333" s="1" t="n">
        <v>43915</v>
      </c>
      <c r="H333" t="inlineStr">
        <is>
          <t>Syswork IT, Ein Unternehmen der Hackl KG, Neuseiersbergerstraße 115, A-8055 Graz</t>
        </is>
      </c>
      <c r="K333">
        <f>(IF(AND(I333&lt;&gt;"",AND(J333="",ABS(Q333)&gt;400)),TRUE,FALSE))</f>
        <v/>
      </c>
      <c r="L333" s="214" t="n">
        <v>27.48</v>
      </c>
      <c r="M333" s="159" t="n">
        <v>1</v>
      </c>
      <c r="N333" t="n">
        <v>20</v>
      </c>
      <c r="O333" s="237">
        <f>L333*N333/100</f>
        <v/>
      </c>
      <c r="P333" s="237">
        <f>M333*O333</f>
        <v/>
      </c>
      <c r="Q333" s="208">
        <f>L333*M333</f>
        <v/>
      </c>
      <c r="R333" s="251">
        <f>L333+O333</f>
        <v/>
      </c>
      <c r="S333" s="251">
        <f>Q333+P333</f>
        <v/>
      </c>
      <c r="T333" s="35">
        <f>voranmeldefrist_vierteljaehrlich(G333)</f>
        <v/>
      </c>
      <c r="U333" s="27" t="n"/>
      <c r="V333" s="27" t="n"/>
      <c r="W333" s="210">
        <f>IF(K333=TRUE,Q333/J333,Q333)</f>
        <v/>
      </c>
      <c r="X333" s="237">
        <f>V333/100*S333</f>
        <v/>
      </c>
      <c r="Y333">
        <f>IF(AND(V333&gt;0,N333=V333),TRUE,FALSE)</f>
        <v/>
      </c>
      <c r="Z333" s="228">
        <f>IF(C333="Einnahmen",Q333,-Q333)</f>
        <v/>
      </c>
    </row>
    <row r="334">
      <c r="A334" s="53" t="n">
        <v>2020</v>
      </c>
      <c r="B334" s="53" t="n">
        <v>95</v>
      </c>
      <c r="C334" s="71" t="inlineStr">
        <is>
          <t>Ausgaben</t>
        </is>
      </c>
      <c r="D334" t="inlineStr">
        <is>
          <t>sonstige Betriebsausgaben</t>
        </is>
      </c>
      <c r="E334" s="9" t="inlineStr">
        <is>
          <t>2020/93923.A62915</t>
        </is>
      </c>
      <c r="G334" s="1" t="n">
        <v>43915</v>
      </c>
      <c r="H334" t="inlineStr">
        <is>
          <t>Syswork IT, Ein Unternehmen der Hackl KG, Neuseiersbergerstraße 115, A-8055 Graz</t>
        </is>
      </c>
      <c r="K334">
        <f>(IF(AND(I334&lt;&gt;"",AND(J334="",ABS(Q334)&gt;400)),TRUE,FALSE))</f>
        <v/>
      </c>
      <c r="L334" s="214" t="n">
        <v>27.48</v>
      </c>
      <c r="M334" s="159" t="n">
        <v>1</v>
      </c>
      <c r="N334" t="n">
        <v>20</v>
      </c>
      <c r="O334" s="237">
        <f>L334*N334/100</f>
        <v/>
      </c>
      <c r="P334" s="237">
        <f>M334*O334</f>
        <v/>
      </c>
      <c r="Q334" s="208">
        <f>L334*M334</f>
        <v/>
      </c>
      <c r="R334" s="251">
        <f>L334+O334</f>
        <v/>
      </c>
      <c r="S334" s="251">
        <f>Q334+P334</f>
        <v/>
      </c>
      <c r="T334" s="35">
        <f>voranmeldefrist_vierteljaehrlich(G334)</f>
        <v/>
      </c>
      <c r="U334" s="27" t="n"/>
      <c r="V334" s="27" t="n"/>
      <c r="W334" s="210">
        <f>IF(K334=TRUE,Q334/J334,Q334)</f>
        <v/>
      </c>
      <c r="X334" s="237">
        <f>V334/100*S334</f>
        <v/>
      </c>
      <c r="Y334">
        <f>IF(AND(V334&gt;0,N334=V334),TRUE,FALSE)</f>
        <v/>
      </c>
      <c r="Z334" s="228">
        <f>IF(C334="Einnahmen",Q334,-Q334)</f>
        <v/>
      </c>
    </row>
    <row r="335">
      <c r="A335" s="53" t="n">
        <v>2020</v>
      </c>
      <c r="B335" s="53" t="n">
        <v>96</v>
      </c>
      <c r="C335" s="71" t="inlineStr">
        <is>
          <t>Ausgaben</t>
        </is>
      </c>
      <c r="D335" t="inlineStr">
        <is>
          <t>sonstige Betriebsausgaben</t>
        </is>
      </c>
      <c r="E335" s="9" t="inlineStr">
        <is>
          <t>2020/93929.A62920</t>
        </is>
      </c>
      <c r="G335" s="1" t="n">
        <v>43915</v>
      </c>
      <c r="H335" t="inlineStr">
        <is>
          <t>Syswork IT, Ein Unternehmen der Hackl KG, Neuseiersbergerstraße 115, A-8055 Graz</t>
        </is>
      </c>
      <c r="K335">
        <f>(IF(AND(I335&lt;&gt;"",AND(J335="",ABS(Q335)&gt;400)),TRUE,FALSE))</f>
        <v/>
      </c>
      <c r="L335" s="214" t="n">
        <v>27.48</v>
      </c>
      <c r="M335" s="159" t="n">
        <v>1</v>
      </c>
      <c r="N335" t="n">
        <v>20</v>
      </c>
      <c r="O335" s="237">
        <f>L335*N335/100</f>
        <v/>
      </c>
      <c r="P335" s="237">
        <f>M335*O335</f>
        <v/>
      </c>
      <c r="Q335" s="208">
        <f>L335*M335</f>
        <v/>
      </c>
      <c r="R335" s="251">
        <f>L335+O335</f>
        <v/>
      </c>
      <c r="S335" s="251">
        <f>Q335+P335</f>
        <v/>
      </c>
      <c r="T335" s="35">
        <f>voranmeldefrist_vierteljaehrlich(G335)</f>
        <v/>
      </c>
      <c r="U335" s="27" t="n"/>
      <c r="V335" s="27" t="n"/>
      <c r="W335" s="210">
        <f>IF(K335=TRUE,Q335/J335,Q335)</f>
        <v/>
      </c>
      <c r="X335" s="237">
        <f>V335/100*S335</f>
        <v/>
      </c>
      <c r="Y335">
        <f>IF(AND(V335&gt;0,N335=V335),TRUE,FALSE)</f>
        <v/>
      </c>
      <c r="Z335" s="228">
        <f>IF(C335="Einnahmen",Q335,-Q335)</f>
        <v/>
      </c>
    </row>
    <row r="336">
      <c r="A336" s="53" t="n">
        <v>2020</v>
      </c>
      <c r="B336" s="53" t="n">
        <v>97</v>
      </c>
      <c r="C336" s="71" t="inlineStr">
        <is>
          <t>Ausgaben</t>
        </is>
      </c>
      <c r="D336" t="inlineStr">
        <is>
          <t>sonstige Betriebsausgaben</t>
        </is>
      </c>
      <c r="E336" s="9" t="inlineStr">
        <is>
          <t>781311</t>
        </is>
      </c>
      <c r="G336" s="1" t="n">
        <v>43915</v>
      </c>
      <c r="H336" t="inlineStr">
        <is>
          <t>Lemon Technologies GmbH, Unterweißenbach 181, 7330 Feldbach: Bildschirm</t>
        </is>
      </c>
      <c r="K336">
        <f>(IF(AND(I336&lt;&gt;"",AND(J336="",ABS(Q336)&gt;400)),TRUE,FALSE))</f>
        <v/>
      </c>
      <c r="L336" s="214" t="n">
        <v>175.74</v>
      </c>
      <c r="M336" s="159" t="n">
        <v>1</v>
      </c>
      <c r="N336" t="n">
        <v>20</v>
      </c>
      <c r="O336" s="237">
        <f>L336*N336/100</f>
        <v/>
      </c>
      <c r="P336" s="237">
        <f>M336*O336</f>
        <v/>
      </c>
      <c r="Q336" s="208">
        <f>L336*M336</f>
        <v/>
      </c>
      <c r="R336" s="251">
        <f>L336+O336</f>
        <v/>
      </c>
      <c r="S336" s="251">
        <f>Q336+P336</f>
        <v/>
      </c>
      <c r="T336" s="35">
        <f>voranmeldefrist_vierteljaehrlich(G336)</f>
        <v/>
      </c>
      <c r="U336" s="27" t="n"/>
      <c r="V336" s="27" t="n"/>
      <c r="W336" s="210">
        <f>IF(K336=TRUE,Q336/I336,Q336)</f>
        <v/>
      </c>
      <c r="X336" s="237">
        <f>V336/100*S336</f>
        <v/>
      </c>
      <c r="Y336">
        <f>IF(AND(V336&gt;0,N336=V336),TRUE,FALSE)</f>
        <v/>
      </c>
      <c r="Z336" s="228">
        <f>IF(C336="Einnahmen",Q336,-Q336)</f>
        <v/>
      </c>
    </row>
    <row r="337">
      <c r="A337" s="53" t="n">
        <v>2020</v>
      </c>
      <c r="B337" s="53" t="n">
        <v>98</v>
      </c>
      <c r="C337" s="71" t="inlineStr">
        <is>
          <t>Einnahmen</t>
        </is>
      </c>
      <c r="D337" t="inlineStr">
        <is>
          <t>Waren-/Leistungserlöse</t>
        </is>
      </c>
      <c r="E337" s="9" t="inlineStr">
        <is>
          <t>12020011</t>
        </is>
      </c>
      <c r="G337" s="1" t="n">
        <v>43922</v>
      </c>
      <c r="H337" t="inlineStr">
        <is>
          <t>DCF - Digital Coding Factory GmbH, Bauernfeldgasse 4/12 1090 Wien</t>
        </is>
      </c>
      <c r="K337">
        <f>(IF(AND(I337&lt;&gt;"",AND(J337="",ABS(Q337)&gt;400)),TRUE,FALSE))</f>
        <v/>
      </c>
      <c r="L337" s="214" t="n">
        <v>2292.5</v>
      </c>
      <c r="M337" s="159" t="n">
        <v>1</v>
      </c>
      <c r="N337" t="n">
        <v>20</v>
      </c>
      <c r="O337" s="237">
        <f>L337*N337/100</f>
        <v/>
      </c>
      <c r="P337" s="237">
        <f>M337*O337</f>
        <v/>
      </c>
      <c r="Q337" s="208">
        <f>L337*M337</f>
        <v/>
      </c>
      <c r="R337" s="251">
        <f>L337+O337</f>
        <v/>
      </c>
      <c r="S337" s="251">
        <f>Q337+P337</f>
        <v/>
      </c>
      <c r="T337" s="35">
        <f>voranmeldefrist_vierteljaehrlich(G337)</f>
        <v/>
      </c>
      <c r="U337" s="27" t="n"/>
      <c r="V337" s="27" t="n"/>
      <c r="W337" s="210">
        <f>IF(K337=TRUE,Q337/I337,Q337)</f>
        <v/>
      </c>
      <c r="X337" s="237">
        <f>V337/100*S337</f>
        <v/>
      </c>
      <c r="Y337">
        <f>IF(AND(V337&gt;0,N337=V337),TRUE,FALSE)</f>
        <v/>
      </c>
      <c r="Z337" s="228">
        <f>IF(C337="Einnahmen",Q337,-Q337)</f>
        <v/>
      </c>
    </row>
    <row r="338">
      <c r="A338" s="53" t="n">
        <v>2020</v>
      </c>
      <c r="B338" s="53" t="n">
        <v>99</v>
      </c>
      <c r="C338" s="71" t="inlineStr">
        <is>
          <t>Einnahmen</t>
        </is>
      </c>
      <c r="D338" t="inlineStr">
        <is>
          <t>Waren-/Leistungserlöse</t>
        </is>
      </c>
      <c r="E338" s="9" t="inlineStr">
        <is>
          <t>12020008</t>
        </is>
      </c>
      <c r="G338" s="1" t="n">
        <v>43922</v>
      </c>
      <c r="H338" t="inlineStr">
        <is>
          <t>DCF - Digital Coding Factory GmbH, Bauernfeldgasse 4/12 1090 Wien</t>
        </is>
      </c>
      <c r="K338">
        <f>(IF(AND(I338&lt;&gt;"",AND(J338="",ABS(Q338)&gt;400)),TRUE,FALSE))</f>
        <v/>
      </c>
      <c r="L338" s="214" t="n">
        <v>9030</v>
      </c>
      <c r="M338" s="159" t="n">
        <v>1</v>
      </c>
      <c r="N338" t="n">
        <v>20</v>
      </c>
      <c r="O338" s="237">
        <f>L338*N338/100</f>
        <v/>
      </c>
      <c r="P338" s="237">
        <f>M338*O338</f>
        <v/>
      </c>
      <c r="Q338" s="208">
        <f>L338*M338</f>
        <v/>
      </c>
      <c r="R338" s="251">
        <f>L338+O338</f>
        <v/>
      </c>
      <c r="S338" s="251">
        <f>Q338+P338</f>
        <v/>
      </c>
      <c r="T338" s="35">
        <f>voranmeldefrist_vierteljaehrlich(G338)</f>
        <v/>
      </c>
      <c r="U338" s="27" t="n"/>
      <c r="V338" s="27" t="n"/>
      <c r="W338" s="210">
        <f>IF(K338=TRUE,Q338/I338,Q338)</f>
        <v/>
      </c>
      <c r="X338" s="237">
        <f>V338/100*S338</f>
        <v/>
      </c>
      <c r="Y338">
        <f>IF(AND(V338&gt;0,N338=V338),TRUE,FALSE)</f>
        <v/>
      </c>
      <c r="Z338" s="228">
        <f>IF(C338="Einnahmen",Q338,-Q338)</f>
        <v/>
      </c>
    </row>
    <row r="339">
      <c r="A339" s="53" t="n">
        <v>2020</v>
      </c>
      <c r="B339" s="53" t="n">
        <v>100</v>
      </c>
      <c r="C339" s="71" t="inlineStr">
        <is>
          <t>Ausgaben</t>
        </is>
      </c>
      <c r="D339" t="inlineStr">
        <is>
          <t>Miet- und Pachtaufwand, Leasing</t>
        </is>
      </c>
      <c r="E339" s="9" t="inlineStr">
        <is>
          <t>20/9801/VS00043</t>
        </is>
      </c>
      <c r="G339" s="1" t="n">
        <v>43922</v>
      </c>
      <c r="H339" t="inlineStr">
        <is>
          <t>Bontus Immobilienverwaltung GmbH, 1010 Wien, Franz Josefs Kai 65</t>
        </is>
      </c>
      <c r="K339" t="b">
        <v>0</v>
      </c>
      <c r="L339" s="214" t="n">
        <v>462.44</v>
      </c>
      <c r="M339" s="159" t="n">
        <v>1</v>
      </c>
      <c r="N339" t="n">
        <v>20</v>
      </c>
      <c r="O339" s="237">
        <f>L339*N339/100</f>
        <v/>
      </c>
      <c r="P339" s="237">
        <f>M339*O339</f>
        <v/>
      </c>
      <c r="Q339" s="208">
        <f>L339*M339</f>
        <v/>
      </c>
      <c r="R339" s="251">
        <f>L339+O339</f>
        <v/>
      </c>
      <c r="S339" s="251">
        <f>Q339+P339</f>
        <v/>
      </c>
      <c r="T339" s="35">
        <f>voranmeldefrist_vierteljaehrlich(G339)</f>
        <v/>
      </c>
      <c r="U339" s="27" t="n"/>
      <c r="V339" s="27" t="n"/>
      <c r="W339" s="210">
        <f>IF(K339=TRUE,Q339/J339,Q339)</f>
        <v/>
      </c>
      <c r="X339" s="237">
        <f>V339/100*S339</f>
        <v/>
      </c>
      <c r="Y339">
        <f>IF(AND(V339&gt;0,N339=V339),TRUE,FALSE)</f>
        <v/>
      </c>
      <c r="Z339" s="228">
        <f>IF(C339="Einnahmen",Q339,-Q339)</f>
        <v/>
      </c>
    </row>
    <row r="340">
      <c r="A340" s="53" t="n">
        <v>2020</v>
      </c>
      <c r="B340" s="53" t="n">
        <v>101</v>
      </c>
      <c r="C340" s="71" t="inlineStr">
        <is>
          <t>Ausgaben</t>
        </is>
      </c>
      <c r="D340" t="inlineStr">
        <is>
          <t>sonstige Betriebsausgaben</t>
        </is>
      </c>
      <c r="E340" s="9" t="inlineStr">
        <is>
          <t>807693</t>
        </is>
      </c>
      <c r="G340" s="1" t="n">
        <v>43924</v>
      </c>
      <c r="H340" t="inlineStr">
        <is>
          <t>easy green energy</t>
        </is>
      </c>
      <c r="K340">
        <f>(IF(AND(I340&lt;&gt;"",AND(J340="",ABS(Q340)&gt;400)),TRUE,FALSE))</f>
        <v/>
      </c>
      <c r="L340" s="214">
        <f>S340/1.2</f>
        <v/>
      </c>
      <c r="M340" s="159" t="n">
        <v>1</v>
      </c>
      <c r="N340" t="n">
        <v>20</v>
      </c>
      <c r="O340" s="237">
        <f>L340*N340/100</f>
        <v/>
      </c>
      <c r="P340" s="237">
        <f>M340*O340</f>
        <v/>
      </c>
      <c r="Q340" s="208">
        <f>L340*M340</f>
        <v/>
      </c>
      <c r="R340" s="251">
        <f>L340+O340</f>
        <v/>
      </c>
      <c r="S340" s="251" t="n">
        <v>3</v>
      </c>
      <c r="T340" s="35">
        <f>voranmeldefrist_vierteljaehrlich(G340)</f>
        <v/>
      </c>
      <c r="U340" s="27" t="n"/>
      <c r="V340" s="27" t="n"/>
      <c r="W340" s="210">
        <f>IF(K340=TRUE,Q340/J340,Q340)</f>
        <v/>
      </c>
      <c r="X340" s="237">
        <f>V340/100*S340</f>
        <v/>
      </c>
      <c r="Y340">
        <f>IF(AND(V340&gt;0,N340=V340),TRUE,FALSE)</f>
        <v/>
      </c>
      <c r="Z340" s="228">
        <f>IF(C340="Einnahmen",Q340,-Q340)</f>
        <v/>
      </c>
    </row>
    <row r="341">
      <c r="A341" s="53" t="n">
        <v>2020</v>
      </c>
      <c r="B341" s="53" t="n">
        <v>102</v>
      </c>
      <c r="C341" s="71" t="inlineStr">
        <is>
          <t>Ausgaben</t>
        </is>
      </c>
      <c r="D341" t="inlineStr">
        <is>
          <t>sonstige Betriebsausgaben</t>
        </is>
      </c>
      <c r="E341" s="9" t="inlineStr">
        <is>
          <t>2105969435</t>
        </is>
      </c>
      <c r="G341" s="1" t="n">
        <v>43927</v>
      </c>
      <c r="H341" t="inlineStr">
        <is>
          <t>TeamViewer Germany GmbH, Jahnstr. 30, 73037 Göppingen, Deutschland</t>
        </is>
      </c>
      <c r="K341">
        <f>(IF(AND(I341&lt;&gt;"",AND(J341="",ABS(Q341)&gt;400)),TRUE,FALSE))</f>
        <v/>
      </c>
      <c r="L341" s="214" t="n">
        <v>301.32</v>
      </c>
      <c r="M341" s="159" t="n">
        <v>1</v>
      </c>
      <c r="N341" t="n">
        <v>0</v>
      </c>
      <c r="O341" s="237">
        <f>L341*N341/100</f>
        <v/>
      </c>
      <c r="P341" s="237">
        <f>M341*O341</f>
        <v/>
      </c>
      <c r="Q341" s="208">
        <f>L341*M341</f>
        <v/>
      </c>
      <c r="R341" s="251">
        <f>L341+O341</f>
        <v/>
      </c>
      <c r="S341" s="251">
        <f>Q341+P341</f>
        <v/>
      </c>
      <c r="T341" s="35">
        <f>voranmeldefrist_vierteljaehrlich(G341)</f>
        <v/>
      </c>
      <c r="U341" s="27" t="n"/>
      <c r="V341" s="27" t="n">
        <v>20</v>
      </c>
      <c r="W341" s="210">
        <f>IF(K341=TRUE,Q341/J341,Q341)</f>
        <v/>
      </c>
      <c r="X341" s="237">
        <f>V341/100*S341</f>
        <v/>
      </c>
      <c r="Y341">
        <f>IF(AND(V341&gt;0,N341=V341),TRUE,FALSE)</f>
        <v/>
      </c>
      <c r="Z341" s="228">
        <f>IF(C341="Einnahmen",Q341,-Q341)</f>
        <v/>
      </c>
    </row>
    <row r="342">
      <c r="A342" s="53" t="n">
        <v>2020</v>
      </c>
      <c r="B342" s="53" t="n">
        <v>103</v>
      </c>
      <c r="C342" s="71" t="inlineStr">
        <is>
          <t>Ausgaben</t>
        </is>
      </c>
      <c r="D342" t="inlineStr">
        <is>
          <t>Telefon/Internet</t>
        </is>
      </c>
      <c r="E342" s="9" t="inlineStr">
        <is>
          <t>6197452672</t>
        </is>
      </c>
      <c r="G342" s="1" t="n">
        <v>43928</v>
      </c>
      <c r="H342" t="inlineStr">
        <is>
          <t>Hutchison Drei Austria GmbH, Brünner Straße 52, 1210 Wien, Österreich</t>
        </is>
      </c>
      <c r="K342">
        <f>(IF(AND(I342&lt;&gt;"",AND(J342="",ABS(Q342)&gt;400)),TRUE,FALSE))</f>
        <v/>
      </c>
      <c r="L342" s="214" t="n">
        <v>15</v>
      </c>
      <c r="M342" s="159" t="n">
        <v>1</v>
      </c>
      <c r="N342" t="n">
        <v>20</v>
      </c>
      <c r="O342" s="237">
        <f>L342*N342/100</f>
        <v/>
      </c>
      <c r="P342" s="237">
        <f>M342*O342</f>
        <v/>
      </c>
      <c r="Q342" s="208">
        <f>L342*M342</f>
        <v/>
      </c>
      <c r="R342" s="251">
        <f>L342+O342</f>
        <v/>
      </c>
      <c r="S342" s="251">
        <f>Q342+P342</f>
        <v/>
      </c>
      <c r="T342" s="35">
        <f>voranmeldefrist_vierteljaehrlich(G342)</f>
        <v/>
      </c>
      <c r="U342" s="27" t="n"/>
      <c r="V342" s="27" t="n"/>
      <c r="W342" s="210">
        <f>IF(K342=TRUE,Q342/I342,Q342)</f>
        <v/>
      </c>
      <c r="X342" s="237">
        <f>V342/100*S342</f>
        <v/>
      </c>
      <c r="Y342">
        <f>IF(AND(V342&gt;0,N342=V342),TRUE,FALSE)</f>
        <v/>
      </c>
      <c r="Z342" s="228">
        <f>IF(C342="Einnahmen",Q342,-Q342)</f>
        <v/>
      </c>
    </row>
    <row r="343">
      <c r="A343" s="53" t="n">
        <v>2020</v>
      </c>
      <c r="B343" s="53" t="n">
        <v>104</v>
      </c>
      <c r="C343" s="71" t="inlineStr">
        <is>
          <t>Einnahmen</t>
        </is>
      </c>
      <c r="D343" t="inlineStr">
        <is>
          <t>Waren-/Leistungserlöse</t>
        </is>
      </c>
      <c r="E343" s="9" t="inlineStr">
        <is>
          <t>12020010</t>
        </is>
      </c>
      <c r="G343" s="1" t="n">
        <v>43928</v>
      </c>
      <c r="H343" s="43" t="inlineStr">
        <is>
          <t>Wedding Avenue e.U., Mayerweckstrasse 2-8/99/1, 1210 Wien</t>
        </is>
      </c>
      <c r="K343" t="b">
        <v>0</v>
      </c>
      <c r="L343" s="214" t="n">
        <v>87.5</v>
      </c>
      <c r="M343" s="159" t="n">
        <v>1</v>
      </c>
      <c r="N343" t="n">
        <v>20</v>
      </c>
      <c r="O343" s="237">
        <f>L343*N343/100</f>
        <v/>
      </c>
      <c r="P343" s="237">
        <f>M343*O343</f>
        <v/>
      </c>
      <c r="Q343" s="208">
        <f>L343*M343</f>
        <v/>
      </c>
      <c r="R343" s="251">
        <f>L343+O343</f>
        <v/>
      </c>
      <c r="S343" s="251">
        <f>Q343+P343</f>
        <v/>
      </c>
      <c r="T343" s="35">
        <f>voranmeldefrist_vierteljaehrlich(G343)</f>
        <v/>
      </c>
      <c r="U343" s="27" t="n"/>
      <c r="V343" s="27" t="n"/>
      <c r="W343" s="210">
        <f>IF(K343=TRUE,Q343/I343,Q343)</f>
        <v/>
      </c>
      <c r="X343" s="237">
        <f>V343/100*S343</f>
        <v/>
      </c>
      <c r="Y343">
        <f>IF(AND(V343&gt;0,N343=V343),TRUE,FALSE)</f>
        <v/>
      </c>
      <c r="Z343" s="228">
        <f>IF(C343="Einnahmen",Q343,-Q343)</f>
        <v/>
      </c>
    </row>
    <row r="344">
      <c r="A344" s="53" t="n">
        <v>2020</v>
      </c>
      <c r="B344" s="53" t="n">
        <v>105</v>
      </c>
      <c r="C344" s="71" t="inlineStr">
        <is>
          <t>Einnahmen</t>
        </is>
      </c>
      <c r="D344" t="inlineStr">
        <is>
          <t>Waren-/Leistungserlöse</t>
        </is>
      </c>
      <c r="E344" s="9" t="inlineStr">
        <is>
          <t>12020012</t>
        </is>
      </c>
      <c r="G344" s="1" t="n">
        <v>43928</v>
      </c>
      <c r="H344" t="inlineStr">
        <is>
          <t>Theresa Häfele-Kolbitsch, Josef-Mohrgasse 9, 2102 Bisamberg</t>
        </is>
      </c>
      <c r="K344">
        <f>(IF(AND(I344&lt;&gt;"",AND(J344="",ABS(Q344)&gt;400)),TRUE,FALSE))</f>
        <v/>
      </c>
      <c r="L344" s="214" t="n">
        <v>109.38</v>
      </c>
      <c r="M344" s="159" t="n">
        <v>1</v>
      </c>
      <c r="N344" t="n">
        <v>20</v>
      </c>
      <c r="O344" s="237">
        <f>L344*N344/100</f>
        <v/>
      </c>
      <c r="P344" s="237">
        <f>M344*O344</f>
        <v/>
      </c>
      <c r="Q344" s="208">
        <f>L344*M344</f>
        <v/>
      </c>
      <c r="R344" s="251">
        <f>L344+O344</f>
        <v/>
      </c>
      <c r="S344" s="251">
        <f>Q344+P344</f>
        <v/>
      </c>
      <c r="T344" s="35">
        <f>voranmeldefrist_vierteljaehrlich(G344)</f>
        <v/>
      </c>
      <c r="U344" s="27" t="n"/>
      <c r="V344" s="27" t="n"/>
      <c r="W344" s="210">
        <f>IF(K344=TRUE,Q344/J344,Q344)</f>
        <v/>
      </c>
      <c r="X344" s="237">
        <f>V344/100*S344</f>
        <v/>
      </c>
      <c r="Y344">
        <f>IF(AND(V344&gt;0,N344=V344),TRUE,FALSE)</f>
        <v/>
      </c>
      <c r="Z344" s="228">
        <f>IF(C344="Einnahmen",Q344,-Q344)</f>
        <v/>
      </c>
    </row>
    <row r="345">
      <c r="A345" s="53" t="n">
        <v>2020</v>
      </c>
      <c r="B345" s="53" t="n">
        <v>106</v>
      </c>
      <c r="C345" s="71" t="inlineStr">
        <is>
          <t>Ausgaben</t>
        </is>
      </c>
      <c r="D345" t="inlineStr">
        <is>
          <t>sonstige Betriebsausgaben</t>
        </is>
      </c>
      <c r="E345" s="9" t="inlineStr">
        <is>
          <t>VS/19-01-05428</t>
        </is>
      </c>
      <c r="G345" s="1" t="n">
        <v>43928</v>
      </c>
      <c r="H345" t="inlineStr">
        <is>
          <t>Techem Messtechnik GmbH; Abnehmernummer 501686-0003-11-(</t>
        </is>
      </c>
      <c r="K345">
        <f>(IF(AND(I345&lt;&gt;"",AND(J345="",ABS(Q345)&gt;400)),TRUE,FALSE))</f>
        <v/>
      </c>
      <c r="L345" s="214">
        <f>43.9/1.2</f>
        <v/>
      </c>
      <c r="M345" s="159" t="n">
        <v>1</v>
      </c>
      <c r="N345" t="n">
        <v>20</v>
      </c>
      <c r="O345" s="237">
        <f>L345*N345/100</f>
        <v/>
      </c>
      <c r="P345" s="237">
        <f>M345*O345</f>
        <v/>
      </c>
      <c r="Q345" s="208">
        <f>L345*M345</f>
        <v/>
      </c>
      <c r="R345" s="251">
        <f>L345+O345</f>
        <v/>
      </c>
      <c r="S345" s="251">
        <f>Q345+P345</f>
        <v/>
      </c>
      <c r="T345" s="35">
        <f>voranmeldefrist_vierteljaehrlich(G345)</f>
        <v/>
      </c>
      <c r="U345" s="27" t="n"/>
      <c r="V345" s="27" t="n"/>
      <c r="W345" s="210">
        <f>IF(K345=TRUE,Q345/I345,Q345)</f>
        <v/>
      </c>
      <c r="X345" s="237">
        <f>V345/100*S345</f>
        <v/>
      </c>
      <c r="Y345">
        <f>IF(AND(V345&gt;0,N345=V345),TRUE,FALSE)</f>
        <v/>
      </c>
      <c r="Z345" s="228">
        <f>IF(C345="Einnahmen",Q345,-Q345)</f>
        <v/>
      </c>
    </row>
    <row r="346">
      <c r="A346" s="53" t="n">
        <v>2020</v>
      </c>
      <c r="B346" s="53" t="n">
        <v>107</v>
      </c>
      <c r="C346" s="71" t="inlineStr">
        <is>
          <t>Ausgaben</t>
        </is>
      </c>
      <c r="D346" t="inlineStr">
        <is>
          <t>sonstige Betriebsausgaben</t>
        </is>
      </c>
      <c r="E346" s="9" t="inlineStr">
        <is>
          <t>146759383120</t>
        </is>
      </c>
      <c r="G346" s="1" t="n">
        <v>43935</v>
      </c>
      <c r="H346" t="inlineStr">
        <is>
          <t>Wiener Netze GmbH, Erdbergstraße 236, 1110 Wien, Postfach 422</t>
        </is>
      </c>
      <c r="K346">
        <f>(IF(AND(I346&lt;&gt;"",AND(J346="",ABS(Q346)&gt;400)),TRUE,FALSE))</f>
        <v/>
      </c>
      <c r="L346" s="214">
        <f>S346/1.2</f>
        <v/>
      </c>
      <c r="M346" s="159" t="n">
        <v>1</v>
      </c>
      <c r="N346" t="n">
        <v>20</v>
      </c>
      <c r="O346" s="237">
        <f>L346*N346/100</f>
        <v/>
      </c>
      <c r="P346" s="237">
        <f>M346*O346</f>
        <v/>
      </c>
      <c r="Q346" s="208">
        <f>L346*M346</f>
        <v/>
      </c>
      <c r="R346" s="251">
        <f>L346+O346</f>
        <v/>
      </c>
      <c r="S346" s="251" t="n">
        <v>34.8</v>
      </c>
      <c r="T346" s="35">
        <f>voranmeldefrist_vierteljaehrlich(G346)</f>
        <v/>
      </c>
      <c r="U346" s="27" t="n"/>
      <c r="V346" s="27" t="n"/>
      <c r="W346" s="210">
        <f>IF(K346=TRUE,Q346/J346,Q346)</f>
        <v/>
      </c>
      <c r="X346" s="237">
        <f>V346/100*S346</f>
        <v/>
      </c>
      <c r="Y346">
        <f>IF(AND(V346&gt;0,N346=V346),TRUE,FALSE)</f>
        <v/>
      </c>
      <c r="Z346" s="228">
        <f>IF(C346="Einnahmen",Q346,-Q346)</f>
        <v/>
      </c>
    </row>
    <row r="347">
      <c r="A347" s="53" t="n">
        <v>2020</v>
      </c>
      <c r="B347" s="53" t="n">
        <v>108</v>
      </c>
      <c r="C347" s="71" t="inlineStr">
        <is>
          <t>Einnahmen</t>
        </is>
      </c>
      <c r="D347" t="inlineStr">
        <is>
          <t>Waren-/Leistungserlöse</t>
        </is>
      </c>
      <c r="E347" s="133" t="inlineStr">
        <is>
          <t>12020009</t>
        </is>
      </c>
      <c r="G347" s="44" t="n">
        <v>43936</v>
      </c>
      <c r="H347" t="inlineStr">
        <is>
          <t>Schick Küchendesign e.U. Alexander Schick, Linzerstraße 247, 1140 Wien</t>
        </is>
      </c>
      <c r="K347">
        <f>(IF(AND(I347&lt;&gt;"",AND(J347="",ABS(Q347)&gt;400)),TRUE,FALSE))</f>
        <v/>
      </c>
      <c r="L347" s="214" t="n">
        <v>173.25</v>
      </c>
      <c r="M347" s="159" t="n">
        <v>1</v>
      </c>
      <c r="N347" t="n">
        <v>20</v>
      </c>
      <c r="O347" s="237">
        <f>L347*N347/100</f>
        <v/>
      </c>
      <c r="P347" s="237">
        <f>M347*O347</f>
        <v/>
      </c>
      <c r="Q347" s="208">
        <f>L347*M347</f>
        <v/>
      </c>
      <c r="R347" s="251">
        <f>L347+O347</f>
        <v/>
      </c>
      <c r="S347" s="251">
        <f>Q347+P347</f>
        <v/>
      </c>
      <c r="T347" s="35">
        <f>voranmeldefrist_vierteljaehrlich(G347)</f>
        <v/>
      </c>
      <c r="U347" s="27" t="n"/>
      <c r="V347" s="27" t="n"/>
      <c r="W347" s="210">
        <f>IF(K347=TRUE,Q347/J347,Q347)</f>
        <v/>
      </c>
      <c r="X347" s="237">
        <f>V347/100*S347</f>
        <v/>
      </c>
      <c r="Y347">
        <f>IF(AND(V347&gt;0,N347=V347),TRUE,FALSE)</f>
        <v/>
      </c>
      <c r="Z347" s="228">
        <f>IF(C347="Einnahmen",Q347,-Q347)</f>
        <v/>
      </c>
    </row>
    <row r="348">
      <c r="A348" s="53" t="n">
        <v>2020</v>
      </c>
      <c r="B348" s="53" t="n">
        <v>109</v>
      </c>
      <c r="C348" s="71" t="inlineStr">
        <is>
          <t>Ausgaben</t>
        </is>
      </c>
      <c r="D348" t="inlineStr">
        <is>
          <t>sonstige Betriebsausgaben</t>
        </is>
      </c>
      <c r="E348" s="9" t="inlineStr">
        <is>
          <t>R0011106041</t>
        </is>
      </c>
      <c r="G348" s="1" t="n">
        <v>43936</v>
      </c>
      <c r="H348" t="inlineStr">
        <is>
          <t>Hetzner Online GmbH</t>
        </is>
      </c>
      <c r="K348">
        <f>(IF(AND(I348&lt;&gt;"",AND(J348="",ABS(Q348)&gt;400)),TRUE,FALSE))</f>
        <v/>
      </c>
      <c r="L348" s="214" t="n">
        <v>46.92</v>
      </c>
      <c r="M348" s="159" t="n">
        <v>1</v>
      </c>
      <c r="N348" t="n">
        <v>0</v>
      </c>
      <c r="O348" s="237">
        <f>L348*N348/100</f>
        <v/>
      </c>
      <c r="P348" s="237">
        <f>M348*O348</f>
        <v/>
      </c>
      <c r="Q348" s="208">
        <f>L348*M348</f>
        <v/>
      </c>
      <c r="R348" s="251">
        <f>L348+O348</f>
        <v/>
      </c>
      <c r="S348" s="251">
        <f>Q348+P348</f>
        <v/>
      </c>
      <c r="T348" s="35">
        <f>voranmeldefrist_vierteljaehrlich(G348)</f>
        <v/>
      </c>
      <c r="U348" s="27" t="n"/>
      <c r="V348" s="27" t="n">
        <v>20</v>
      </c>
      <c r="W348" s="210">
        <f>IF(K348=TRUE,Q348/J348,Q348)</f>
        <v/>
      </c>
      <c r="X348" s="237">
        <f>V348/100*S348</f>
        <v/>
      </c>
      <c r="Y348">
        <f>IF(AND(V348&gt;0,N348=V348),TRUE,FALSE)</f>
        <v/>
      </c>
      <c r="Z348" s="228">
        <f>IF(C348="Einnahmen",Q348,-Q348)</f>
        <v/>
      </c>
    </row>
    <row r="349">
      <c r="A349" s="53" t="n">
        <v>2020</v>
      </c>
      <c r="B349" s="53" t="n">
        <v>110</v>
      </c>
      <c r="C349" s="71" t="inlineStr">
        <is>
          <t>Ausgaben</t>
        </is>
      </c>
      <c r="D349" t="inlineStr">
        <is>
          <t>sonstige Betriebsausgaben</t>
        </is>
      </c>
      <c r="E349" s="9" t="inlineStr">
        <is>
          <t>38935847</t>
        </is>
      </c>
      <c r="G349" s="1" t="n">
        <v>43941</v>
      </c>
      <c r="H349" t="inlineStr">
        <is>
          <t>Nespresso Österreich GmbH&amp;Co OHG, Wiedner Gürtel 9, 1100 Wien</t>
        </is>
      </c>
      <c r="K349">
        <f>(IF(AND(I349&lt;&gt;"",AND(J349="",ABS(Q349)&gt;400)),TRUE,FALSE))</f>
        <v/>
      </c>
      <c r="L349" s="214" t="n">
        <v>34.17</v>
      </c>
      <c r="M349" s="159" t="n">
        <v>1</v>
      </c>
      <c r="N349" t="n">
        <v>20</v>
      </c>
      <c r="O349" s="237">
        <f>L349*N349/100</f>
        <v/>
      </c>
      <c r="P349" s="237">
        <f>M349*O349</f>
        <v/>
      </c>
      <c r="Q349" s="208">
        <f>L349*M349</f>
        <v/>
      </c>
      <c r="R349" s="251">
        <f>L349+O349</f>
        <v/>
      </c>
      <c r="S349" s="251">
        <f>Q349+P349</f>
        <v/>
      </c>
      <c r="T349" s="35">
        <f>voranmeldefrist_vierteljaehrlich(G349)</f>
        <v/>
      </c>
      <c r="U349" s="27" t="n"/>
      <c r="V349" s="27" t="n"/>
      <c r="W349" s="210">
        <f>IF(K349=TRUE,Q349/J349,Q349)</f>
        <v/>
      </c>
      <c r="X349" s="237">
        <f>V349/100*S349</f>
        <v/>
      </c>
      <c r="Y349">
        <f>IF(AND(V349&gt;0,N349=V349),TRUE,FALSE)</f>
        <v/>
      </c>
      <c r="Z349" s="228">
        <f>IF(C349="Einnahmen",Q349,-Q349)</f>
        <v/>
      </c>
    </row>
    <row r="350">
      <c r="A350" s="53" t="n">
        <v>2020</v>
      </c>
      <c r="B350" s="53" t="n">
        <v>111</v>
      </c>
      <c r="C350" s="71" t="inlineStr">
        <is>
          <t>Ausgaben</t>
        </is>
      </c>
      <c r="D350" t="inlineStr">
        <is>
          <t>Telefon/Internet</t>
        </is>
      </c>
      <c r="E350" s="9" t="inlineStr">
        <is>
          <t>901187750420</t>
        </is>
      </c>
      <c r="G350" s="1" t="n">
        <v>43942</v>
      </c>
      <c r="H350" t="inlineStr">
        <is>
          <t>Magenta: T-Mobile Austria GmbH, A-1120 Wien, PF 47</t>
        </is>
      </c>
      <c r="K350">
        <f>(IF(AND(I350&lt;&gt;"",AND(J350="",ABS(Q350)&gt;400)),TRUE,FALSE))</f>
        <v/>
      </c>
      <c r="L350" s="214" t="n">
        <v>35.24</v>
      </c>
      <c r="M350" s="159" t="n">
        <v>1</v>
      </c>
      <c r="N350" t="n">
        <v>20</v>
      </c>
      <c r="O350" s="237">
        <f>L350*N350/100</f>
        <v/>
      </c>
      <c r="P350" s="237">
        <f>M350*O350</f>
        <v/>
      </c>
      <c r="Q350" s="208">
        <f>L350*M350</f>
        <v/>
      </c>
      <c r="R350" s="251">
        <f>L350+O350</f>
        <v/>
      </c>
      <c r="S350" s="251">
        <f>Q350+P350</f>
        <v/>
      </c>
      <c r="T350" s="35">
        <f>voranmeldefrist_vierteljaehrlich(G350)</f>
        <v/>
      </c>
      <c r="U350" s="27" t="n"/>
      <c r="V350" s="27" t="n"/>
      <c r="W350" s="210">
        <f>IF(K350=TRUE,Q350/I350,Q350)</f>
        <v/>
      </c>
      <c r="X350" s="237">
        <f>V350/100*S350</f>
        <v/>
      </c>
      <c r="Y350">
        <f>IF(AND(V350&gt;0,N350=V350),TRUE,FALSE)</f>
        <v/>
      </c>
      <c r="Z350" s="228">
        <f>IF(C350="Einnahmen",Q350,-Q350)</f>
        <v/>
      </c>
    </row>
    <row r="351">
      <c r="A351" s="53" t="n">
        <v>2020</v>
      </c>
      <c r="B351" s="53" t="n">
        <v>112</v>
      </c>
      <c r="C351" s="71" t="inlineStr">
        <is>
          <t>Ausgaben</t>
        </is>
      </c>
      <c r="D351" t="inlineStr">
        <is>
          <t>Miet- und Pachtaufwand, Leasing</t>
        </is>
      </c>
      <c r="E351" s="9" t="inlineStr">
        <is>
          <t>20/9801/VS00043</t>
        </is>
      </c>
      <c r="G351" s="1" t="n">
        <v>43955</v>
      </c>
      <c r="H351" t="inlineStr">
        <is>
          <t>Bontus Immobilienverwaltung GmbH, 1010 Wien, Franz Josefs Kai 65</t>
        </is>
      </c>
      <c r="K351" t="b">
        <v>0</v>
      </c>
      <c r="L351" s="214" t="n">
        <v>462.44</v>
      </c>
      <c r="M351" s="159" t="n">
        <v>1</v>
      </c>
      <c r="N351" t="n">
        <v>20</v>
      </c>
      <c r="O351" s="237">
        <f>L351*N351/100</f>
        <v/>
      </c>
      <c r="P351" s="237">
        <f>M351*O351</f>
        <v/>
      </c>
      <c r="Q351" s="208">
        <f>L351*M351</f>
        <v/>
      </c>
      <c r="R351" s="251">
        <f>L351+O351</f>
        <v/>
      </c>
      <c r="S351" s="251">
        <f>Q351+P351</f>
        <v/>
      </c>
      <c r="T351" s="35">
        <f>voranmeldefrist_vierteljaehrlich(G351)</f>
        <v/>
      </c>
      <c r="U351" s="27" t="n"/>
      <c r="V351" s="27" t="n"/>
      <c r="W351" s="210">
        <f>IF(K351=TRUE,Q351/J351,Q351)</f>
        <v/>
      </c>
      <c r="X351" s="237">
        <f>V351/100*S351</f>
        <v/>
      </c>
      <c r="Y351">
        <f>IF(AND(V351&gt;0,N351=V351),TRUE,FALSE)</f>
        <v/>
      </c>
      <c r="Z351" s="228">
        <f>IF(C351="Einnahmen",Q351,-Q351)</f>
        <v/>
      </c>
    </row>
    <row r="352">
      <c r="A352" s="53" t="n">
        <v>2020</v>
      </c>
      <c r="B352" s="53" t="n">
        <v>113</v>
      </c>
      <c r="C352" s="71" t="inlineStr">
        <is>
          <t>Einnahmen</t>
        </is>
      </c>
      <c r="D352" t="inlineStr">
        <is>
          <t>Waren-/Leistungserlöse</t>
        </is>
      </c>
      <c r="E352" s="9" t="inlineStr">
        <is>
          <t>12020015</t>
        </is>
      </c>
      <c r="G352" s="1" t="n">
        <v>43956</v>
      </c>
      <c r="H352" s="43" t="inlineStr">
        <is>
          <t>Wedding Avenue e.U., Mayerweckstrasse 2-8/99/1, 1210 Wien</t>
        </is>
      </c>
      <c r="K352" t="b">
        <v>0</v>
      </c>
      <c r="L352" s="214" t="n">
        <v>43.75</v>
      </c>
      <c r="M352" s="159" t="n">
        <v>1</v>
      </c>
      <c r="N352" t="n">
        <v>20</v>
      </c>
      <c r="O352" s="237">
        <f>L352*N352/100</f>
        <v/>
      </c>
      <c r="P352" s="237">
        <f>M352*O352</f>
        <v/>
      </c>
      <c r="Q352" s="208">
        <f>L352*M352</f>
        <v/>
      </c>
      <c r="R352" s="251">
        <f>L352+O352</f>
        <v/>
      </c>
      <c r="S352" s="251">
        <f>Q352+P352</f>
        <v/>
      </c>
      <c r="T352" s="35">
        <f>voranmeldefrist_vierteljaehrlich(G352)</f>
        <v/>
      </c>
      <c r="U352" s="27" t="n"/>
      <c r="V352" s="27" t="n"/>
      <c r="W352" s="210">
        <f>IF(K352=TRUE,Q352/I352,Q352)</f>
        <v/>
      </c>
      <c r="X352" s="237">
        <f>V352/100*S352</f>
        <v/>
      </c>
      <c r="Y352">
        <f>IF(AND(V352&gt;0,N352=V352),TRUE,FALSE)</f>
        <v/>
      </c>
      <c r="Z352" s="228">
        <f>IF(C352="Einnahmen",Q352,-Q352)</f>
        <v/>
      </c>
    </row>
    <row r="353">
      <c r="A353" s="53" t="n">
        <v>2020</v>
      </c>
      <c r="B353" s="53" t="n">
        <v>114</v>
      </c>
      <c r="C353" s="71" t="inlineStr">
        <is>
          <t>Ausgaben</t>
        </is>
      </c>
      <c r="D353" t="inlineStr">
        <is>
          <t>sonstige Betriebsausgaben</t>
        </is>
      </c>
      <c r="E353" s="9" t="inlineStr">
        <is>
          <t>807693</t>
        </is>
      </c>
      <c r="G353" s="1" t="n">
        <v>43957</v>
      </c>
      <c r="H353" t="inlineStr">
        <is>
          <t>easy green energy GmbH &amp; Co KG</t>
        </is>
      </c>
      <c r="K353">
        <f>(IF(AND(I353&lt;&gt;"",AND(J353="",ABS(Q353)&gt;400)),TRUE,FALSE))</f>
        <v/>
      </c>
      <c r="L353" s="214">
        <f>S353/1.2</f>
        <v/>
      </c>
      <c r="M353" s="159" t="n">
        <v>1</v>
      </c>
      <c r="N353" t="n">
        <v>20</v>
      </c>
      <c r="O353" s="237">
        <f>L353*N353/100</f>
        <v/>
      </c>
      <c r="P353" s="237">
        <f>M353*O353</f>
        <v/>
      </c>
      <c r="Q353" s="208">
        <f>L353*M353</f>
        <v/>
      </c>
      <c r="R353" s="251">
        <f>L353+O353</f>
        <v/>
      </c>
      <c r="S353" s="251" t="n">
        <v>3</v>
      </c>
      <c r="T353" s="35">
        <f>voranmeldefrist_vierteljaehrlich(G353)</f>
        <v/>
      </c>
      <c r="U353" s="27" t="n"/>
      <c r="V353" s="27" t="n"/>
      <c r="W353" s="210">
        <f>IF(K353=TRUE,Q353/J353,Q353)</f>
        <v/>
      </c>
      <c r="X353" s="237">
        <f>V353/100*S353</f>
        <v/>
      </c>
      <c r="Y353">
        <f>IF(AND(V353&gt;0,N353=V353),TRUE,FALSE)</f>
        <v/>
      </c>
      <c r="Z353" s="228">
        <f>IF(C353="Einnahmen",Q353,-Q353)</f>
        <v/>
      </c>
    </row>
    <row r="354">
      <c r="A354" s="53" t="n">
        <v>2020</v>
      </c>
      <c r="B354" s="53" t="n">
        <v>115</v>
      </c>
      <c r="C354" s="71" t="inlineStr">
        <is>
          <t>Ausgaben</t>
        </is>
      </c>
      <c r="D354" t="inlineStr">
        <is>
          <t>sonstige Betriebsausgaben</t>
        </is>
      </c>
      <c r="E354" s="9" t="inlineStr">
        <is>
          <t>VS/19-01-05428</t>
        </is>
      </c>
      <c r="G354" s="1" t="n">
        <v>43957</v>
      </c>
      <c r="H354" t="inlineStr">
        <is>
          <t>Techem Messtechnik GmbH; Abnehmernummer 501686-0003-11-(</t>
        </is>
      </c>
      <c r="K354">
        <f>(IF(AND(I354&lt;&gt;"",AND(J354="",ABS(Q354)&gt;400)),TRUE,FALSE))</f>
        <v/>
      </c>
      <c r="L354" s="214">
        <f>43.9/1.2</f>
        <v/>
      </c>
      <c r="M354" s="159" t="n">
        <v>1</v>
      </c>
      <c r="N354" t="n">
        <v>20</v>
      </c>
      <c r="O354" s="237">
        <f>L354*N354/100</f>
        <v/>
      </c>
      <c r="P354" s="237">
        <f>M354*O354</f>
        <v/>
      </c>
      <c r="Q354" s="208">
        <f>L354*M354</f>
        <v/>
      </c>
      <c r="R354" s="251">
        <f>L354+O354</f>
        <v/>
      </c>
      <c r="S354" s="251">
        <f>Q354+P354</f>
        <v/>
      </c>
      <c r="T354" s="35">
        <f>voranmeldefrist_vierteljaehrlich(G354)</f>
        <v/>
      </c>
      <c r="U354" s="27" t="n"/>
      <c r="V354" s="27" t="n"/>
      <c r="W354" s="210">
        <f>IF(K354=TRUE,Q354/I354,Q354)</f>
        <v/>
      </c>
      <c r="X354" s="237">
        <f>V354/100*S354</f>
        <v/>
      </c>
      <c r="Y354">
        <f>IF(AND(V354&gt;0,N354=V354),TRUE,FALSE)</f>
        <v/>
      </c>
      <c r="Z354" s="228">
        <f>IF(C354="Einnahmen",Q354,-Q354)</f>
        <v/>
      </c>
    </row>
    <row r="355">
      <c r="A355" s="53" t="n">
        <v>2020</v>
      </c>
      <c r="B355" s="53" t="n">
        <v>116</v>
      </c>
      <c r="C355" s="71" t="inlineStr">
        <is>
          <t>Ausgaben</t>
        </is>
      </c>
      <c r="D355" t="inlineStr">
        <is>
          <t>Telefon/Internet</t>
        </is>
      </c>
      <c r="E355" s="9" t="inlineStr">
        <is>
          <t>6201122126</t>
        </is>
      </c>
      <c r="G355" s="1" t="n">
        <v>43959</v>
      </c>
      <c r="H355" t="inlineStr">
        <is>
          <t>Hutchison Drei Austria GmbH, Brünner Straße 52, 1210 Wien, Österreich</t>
        </is>
      </c>
      <c r="K355">
        <f>(IF(AND(I355&lt;&gt;"",AND(J355="",ABS(Q355)&gt;400)),TRUE,FALSE))</f>
        <v/>
      </c>
      <c r="L355" s="214" t="n">
        <v>15</v>
      </c>
      <c r="M355" s="159" t="n">
        <v>1</v>
      </c>
      <c r="N355" t="n">
        <v>20</v>
      </c>
      <c r="O355" s="237">
        <f>L355*N355/100</f>
        <v/>
      </c>
      <c r="P355" s="237">
        <f>M355*O355</f>
        <v/>
      </c>
      <c r="Q355" s="208">
        <f>L355*M355</f>
        <v/>
      </c>
      <c r="R355" s="251">
        <f>L355+O355</f>
        <v/>
      </c>
      <c r="S355" s="251">
        <f>Q355+P355</f>
        <v/>
      </c>
      <c r="T355" s="35">
        <f>voranmeldefrist_vierteljaehrlich(G355)</f>
        <v/>
      </c>
      <c r="U355" s="27" t="n"/>
      <c r="V355" s="27" t="n"/>
      <c r="W355" s="210">
        <f>IF(K355=TRUE,Q355/I355,Q355)</f>
        <v/>
      </c>
      <c r="X355" s="237">
        <f>V355/100*S355</f>
        <v/>
      </c>
      <c r="Y355">
        <f>IF(AND(V355&gt;0,N355=V355),TRUE,FALSE)</f>
        <v/>
      </c>
      <c r="Z355" s="228">
        <f>IF(C355="Einnahmen",Q355,-Q355)</f>
        <v/>
      </c>
    </row>
    <row r="356">
      <c r="A356" s="53" t="n">
        <v>2020</v>
      </c>
      <c r="B356" s="53" t="n">
        <v>117</v>
      </c>
      <c r="C356" s="71" t="inlineStr">
        <is>
          <t>Ausgaben</t>
        </is>
      </c>
      <c r="D356" t="inlineStr">
        <is>
          <t>Pflichversicherungsbeiträge</t>
        </is>
      </c>
      <c r="E356" s="134" t="n"/>
      <c r="G356" s="1" t="n">
        <v>43962</v>
      </c>
      <c r="H356" t="inlineStr">
        <is>
          <t>Sozialversicherung der gewerblichen Wirtshaft</t>
        </is>
      </c>
      <c r="K356">
        <f>(IF(AND(I356&lt;&gt;"",AND(J356="",ABS(Q356)&gt;400)),TRUE,FALSE))</f>
        <v/>
      </c>
      <c r="L356" s="214" t="n">
        <v>1678.77</v>
      </c>
      <c r="M356" s="159" t="n">
        <v>1</v>
      </c>
      <c r="N356" t="n">
        <v>0</v>
      </c>
      <c r="O356" s="237">
        <f>L356*N356/100</f>
        <v/>
      </c>
      <c r="P356" s="237">
        <f>M356*O356</f>
        <v/>
      </c>
      <c r="Q356" s="208">
        <f>L356*M356</f>
        <v/>
      </c>
      <c r="R356" s="251">
        <f>L356+O356</f>
        <v/>
      </c>
      <c r="S356" s="251">
        <f>Q356+P356</f>
        <v/>
      </c>
      <c r="T356" s="35">
        <f>voranmeldefrist_vierteljaehrlich(G356)</f>
        <v/>
      </c>
      <c r="U356" s="27" t="n"/>
      <c r="V356" s="27" t="n"/>
      <c r="W356" s="210">
        <f>IF(K356=TRUE,Q356/J356,Q356)</f>
        <v/>
      </c>
      <c r="X356" s="237">
        <f>V356/100*S356</f>
        <v/>
      </c>
      <c r="Y356">
        <f>IF(AND(V356&gt;0,N356=V356),TRUE,FALSE)</f>
        <v/>
      </c>
      <c r="Z356" s="228">
        <f>IF(C356="Einnahmen",Q356,-Q356)</f>
        <v/>
      </c>
    </row>
    <row r="357">
      <c r="A357" s="53" t="n">
        <v>2020</v>
      </c>
      <c r="B357" s="53" t="n">
        <v>118</v>
      </c>
      <c r="C357" s="71" t="inlineStr">
        <is>
          <t>Ausgaben</t>
        </is>
      </c>
      <c r="D357" t="inlineStr">
        <is>
          <t>sonstige Betriebsausgaben</t>
        </is>
      </c>
      <c r="E357" s="9" t="inlineStr">
        <is>
          <t>5112142283</t>
        </is>
      </c>
      <c r="G357" s="1" t="n">
        <v>43962</v>
      </c>
      <c r="H357" t="inlineStr">
        <is>
          <t>Wiener Netze GmbH, Erdbergstraße 236, 1110 Wien, Postfach 422</t>
        </is>
      </c>
      <c r="K357">
        <f>(IF(AND(I357&lt;&gt;"",AND(J357="",ABS(Q357)&gt;400)),TRUE,FALSE))</f>
        <v/>
      </c>
      <c r="L357" s="214">
        <f>S357/1.2</f>
        <v/>
      </c>
      <c r="M357" s="159" t="n">
        <v>1</v>
      </c>
      <c r="N357" t="n">
        <v>20</v>
      </c>
      <c r="O357" s="237">
        <f>L357*N357/100</f>
        <v/>
      </c>
      <c r="P357" s="237">
        <f>M357*O357</f>
        <v/>
      </c>
      <c r="Q357" s="208">
        <f>L357*M357</f>
        <v/>
      </c>
      <c r="R357" s="251">
        <f>L357+O357</f>
        <v/>
      </c>
      <c r="S357" s="251" t="n">
        <v>34.8</v>
      </c>
      <c r="T357" s="35">
        <f>voranmeldefrist_vierteljaehrlich(G357)</f>
        <v/>
      </c>
      <c r="U357" s="27" t="n"/>
      <c r="V357" s="27" t="n"/>
      <c r="W357" s="210">
        <f>IF(K357=TRUE,Q357/J357,Q357)</f>
        <v/>
      </c>
      <c r="X357" s="237">
        <f>V357/100*S357</f>
        <v/>
      </c>
      <c r="Y357">
        <f>IF(AND(V357&gt;0,N357=V357),TRUE,FALSE)</f>
        <v/>
      </c>
      <c r="Z357" s="228">
        <f>IF(C357="Einnahmen",Q357,-Q357)</f>
        <v/>
      </c>
    </row>
    <row r="358">
      <c r="A358" s="53" t="n">
        <v>2020</v>
      </c>
      <c r="B358" s="53" t="n">
        <v>119</v>
      </c>
      <c r="C358" s="71" t="inlineStr">
        <is>
          <t>Einnahmen</t>
        </is>
      </c>
      <c r="D358" t="inlineStr">
        <is>
          <t>Waren-/Leistungserlöse</t>
        </is>
      </c>
      <c r="E358" s="9" t="inlineStr">
        <is>
          <t>12020016</t>
        </is>
      </c>
      <c r="G358" s="1" t="n">
        <v>43963</v>
      </c>
      <c r="H358" t="inlineStr">
        <is>
          <t>DCF - Digital Coding Factory GmbH, Bauernfeldgasse 4/12 1090 Wien</t>
        </is>
      </c>
      <c r="K358">
        <f>(IF(AND(I358&lt;&gt;"",AND(J358="",ABS(Q358)&gt;400)),TRUE,FALSE))</f>
        <v/>
      </c>
      <c r="L358" s="214" t="n">
        <v>157.5</v>
      </c>
      <c r="M358" s="159" t="n">
        <v>1</v>
      </c>
      <c r="N358" t="n">
        <v>20</v>
      </c>
      <c r="O358" s="237">
        <f>L358*N358/100</f>
        <v/>
      </c>
      <c r="P358" s="237">
        <f>M358*O358</f>
        <v/>
      </c>
      <c r="Q358" s="208">
        <f>L358*M358</f>
        <v/>
      </c>
      <c r="R358" s="251">
        <f>L358+O358</f>
        <v/>
      </c>
      <c r="S358" s="251">
        <f>Q358+P358</f>
        <v/>
      </c>
      <c r="T358" s="35">
        <f>voranmeldefrist_vierteljaehrlich(G358)</f>
        <v/>
      </c>
      <c r="U358" s="27" t="n"/>
      <c r="V358" s="27" t="n"/>
      <c r="W358" s="210">
        <f>IF(K358=TRUE,Q358/I358,Q358)</f>
        <v/>
      </c>
      <c r="X358" s="237">
        <f>V358/100*S358</f>
        <v/>
      </c>
      <c r="Y358">
        <f>IF(AND(V358&gt;0,N358=V358),TRUE,FALSE)</f>
        <v/>
      </c>
      <c r="Z358" s="228">
        <f>IF(C358="Einnahmen",Q358,-Q358)</f>
        <v/>
      </c>
    </row>
    <row r="359">
      <c r="A359" s="53" t="n">
        <v>2020</v>
      </c>
      <c r="B359" s="53" t="n">
        <v>120</v>
      </c>
      <c r="C359" s="71" t="inlineStr">
        <is>
          <t>Einnahmen</t>
        </is>
      </c>
      <c r="D359" t="inlineStr">
        <is>
          <t>Waren-/Leistungserlöse</t>
        </is>
      </c>
      <c r="E359" s="9" t="inlineStr">
        <is>
          <t>12020014</t>
        </is>
      </c>
      <c r="G359" s="1" t="n">
        <v>43963</v>
      </c>
      <c r="H359" t="inlineStr">
        <is>
          <t>DCF - Digital Coding Factory GmbH, Bauernfeldgasse 4/12 1090 Wien</t>
        </is>
      </c>
      <c r="K359">
        <f>(IF(AND(I359&lt;&gt;"",AND(J359="",ABS(Q359)&gt;400)),TRUE,FALSE))</f>
        <v/>
      </c>
      <c r="L359" s="214" t="n">
        <v>7050</v>
      </c>
      <c r="M359" s="159" t="n">
        <v>1</v>
      </c>
      <c r="N359" t="n">
        <v>20</v>
      </c>
      <c r="O359" s="237">
        <f>L359*N359/100</f>
        <v/>
      </c>
      <c r="P359" s="237">
        <f>M359*O359</f>
        <v/>
      </c>
      <c r="Q359" s="208">
        <f>L359*M359</f>
        <v/>
      </c>
      <c r="R359" s="251">
        <f>L359+O359</f>
        <v/>
      </c>
      <c r="S359" s="251">
        <f>Q359+P359</f>
        <v/>
      </c>
      <c r="T359" s="35">
        <f>voranmeldefrist_vierteljaehrlich(G359)</f>
        <v/>
      </c>
      <c r="U359" s="27" t="n"/>
      <c r="V359" s="27" t="n"/>
      <c r="W359" s="210">
        <f>IF(K359=TRUE,Q359/I359,Q359)</f>
        <v/>
      </c>
      <c r="X359" s="237">
        <f>V359/100*S359</f>
        <v/>
      </c>
      <c r="Y359">
        <f>IF(AND(V359&gt;0,N359=V359),TRUE,FALSE)</f>
        <v/>
      </c>
      <c r="Z359" s="228">
        <f>IF(C359="Einnahmen",Q359,-Q359)</f>
        <v/>
      </c>
    </row>
    <row r="360">
      <c r="A360" s="53" t="n">
        <v>2020</v>
      </c>
      <c r="B360" s="53" t="n">
        <v>121</v>
      </c>
      <c r="C360" s="71" t="inlineStr">
        <is>
          <t>Ausgaben</t>
        </is>
      </c>
      <c r="D360" t="inlineStr">
        <is>
          <t>sonstige Betriebsausgaben</t>
        </is>
      </c>
      <c r="E360" s="9" t="inlineStr">
        <is>
          <t>R0011263482</t>
        </is>
      </c>
      <c r="G360" s="1" t="n">
        <v>43964</v>
      </c>
      <c r="H360" t="inlineStr">
        <is>
          <t>Hetzner Online GmbH</t>
        </is>
      </c>
      <c r="K360">
        <f>(IF(AND(I360&lt;&gt;"",AND(J360="",ABS(Q360)&gt;400)),TRUE,FALSE))</f>
        <v/>
      </c>
      <c r="L360" s="214" t="n">
        <v>46.92</v>
      </c>
      <c r="M360" s="159" t="n">
        <v>1</v>
      </c>
      <c r="N360" t="n">
        <v>0</v>
      </c>
      <c r="O360" s="237">
        <f>L360*N360/100</f>
        <v/>
      </c>
      <c r="P360" s="237">
        <f>M360*O360</f>
        <v/>
      </c>
      <c r="Q360" s="208">
        <f>L360*M360</f>
        <v/>
      </c>
      <c r="R360" s="251">
        <f>L360+O360</f>
        <v/>
      </c>
      <c r="S360" s="251">
        <f>Q360+P360</f>
        <v/>
      </c>
      <c r="T360" s="35">
        <f>voranmeldefrist_vierteljaehrlich(G360)</f>
        <v/>
      </c>
      <c r="U360" s="27" t="n"/>
      <c r="V360" s="27" t="n">
        <v>20</v>
      </c>
      <c r="W360" s="210">
        <f>IF(K360=TRUE,Q360/J360,Q360)</f>
        <v/>
      </c>
      <c r="X360" s="237">
        <f>V360/100*S360</f>
        <v/>
      </c>
      <c r="Y360">
        <f>IF(AND(V360&gt;0,N360=V360),TRUE,FALSE)</f>
        <v/>
      </c>
      <c r="Z360" s="228">
        <f>IF(C360="Einnahmen",Q360,-Q360)</f>
        <v/>
      </c>
    </row>
    <row r="361">
      <c r="A361" s="53" t="n">
        <v>2020</v>
      </c>
      <c r="B361" s="53" t="n">
        <v>122</v>
      </c>
      <c r="C361" s="71" t="inlineStr">
        <is>
          <t>Ausgaben</t>
        </is>
      </c>
      <c r="D361" t="inlineStr">
        <is>
          <t>Telefon/Internet</t>
        </is>
      </c>
      <c r="E361" s="9" t="inlineStr">
        <is>
          <t>901190720520</t>
        </is>
      </c>
      <c r="G361" s="1" t="n">
        <v>43973</v>
      </c>
      <c r="H361" t="inlineStr">
        <is>
          <t>Magenta: T-Mobile Austria GmbH, A-1120 Wien, PF 47</t>
        </is>
      </c>
      <c r="K361">
        <f>(IF(AND(I361&lt;&gt;"",AND(J361="",ABS(Q361)&gt;400)),TRUE,FALSE))</f>
        <v/>
      </c>
      <c r="L361" s="214" t="n">
        <v>35.24</v>
      </c>
      <c r="M361" s="159" t="n">
        <v>1</v>
      </c>
      <c r="N361" t="n">
        <v>20</v>
      </c>
      <c r="O361" s="237">
        <f>L361*N361/100</f>
        <v/>
      </c>
      <c r="P361" s="237">
        <f>M361*O361</f>
        <v/>
      </c>
      <c r="Q361" s="208">
        <f>L361*M361</f>
        <v/>
      </c>
      <c r="R361" s="251">
        <f>L361+O361</f>
        <v/>
      </c>
      <c r="S361" s="251">
        <f>Q361+P361</f>
        <v/>
      </c>
      <c r="T361" s="35">
        <f>voranmeldefrist_vierteljaehrlich(G361)</f>
        <v/>
      </c>
      <c r="U361" s="27" t="n"/>
      <c r="V361" s="27" t="n"/>
      <c r="W361" s="210">
        <f>IF(K361=TRUE,Q361/I361,Q361)</f>
        <v/>
      </c>
      <c r="X361" s="237">
        <f>V361/100*S361</f>
        <v/>
      </c>
      <c r="Y361">
        <f>IF(AND(V361&gt;0,N361=V361),TRUE,FALSE)</f>
        <v/>
      </c>
      <c r="Z361" s="228">
        <f>IF(C361="Einnahmen",Q361,-Q361)</f>
        <v/>
      </c>
    </row>
    <row r="362">
      <c r="A362" s="53" t="n">
        <v>2020</v>
      </c>
      <c r="B362" s="53" t="n">
        <v>123</v>
      </c>
      <c r="C362" s="71" t="inlineStr">
        <is>
          <t>Ausgaben</t>
        </is>
      </c>
      <c r="D362" t="inlineStr">
        <is>
          <t>sonstige Betriebsausgaben</t>
        </is>
      </c>
      <c r="E362" s="9" t="inlineStr">
        <is>
          <t>RE0851004</t>
        </is>
      </c>
      <c r="G362" s="1" t="n">
        <v>43976</v>
      </c>
      <c r="H362" t="inlineStr">
        <is>
          <t>easyname GmbH, Fernkorngasse 10/3/501, A-1100 Wien</t>
        </is>
      </c>
      <c r="K362">
        <f>(IF(AND(I362&lt;&gt;"",AND(J362="",ABS(Q362)&gt;400)),TRUE,FALSE))</f>
        <v/>
      </c>
      <c r="L362" s="214" t="n">
        <v>16.58</v>
      </c>
      <c r="M362" s="159" t="n">
        <v>1</v>
      </c>
      <c r="N362" t="n">
        <v>20</v>
      </c>
      <c r="O362" s="237">
        <f>L362*N362/100</f>
        <v/>
      </c>
      <c r="P362" s="237">
        <f>M362*O362</f>
        <v/>
      </c>
      <c r="Q362" s="208">
        <f>L362*M362</f>
        <v/>
      </c>
      <c r="R362" s="251">
        <f>L362+O362</f>
        <v/>
      </c>
      <c r="S362" s="251">
        <f>Q362+P362</f>
        <v/>
      </c>
      <c r="T362" s="35">
        <f>voranmeldefrist_vierteljaehrlich(G362)</f>
        <v/>
      </c>
      <c r="U362" s="27" t="n"/>
      <c r="V362" s="27" t="n"/>
      <c r="W362" s="210">
        <f>IF(K362=TRUE,Q362/J362,Q362)</f>
        <v/>
      </c>
      <c r="X362" s="237">
        <f>V362/100*S362</f>
        <v/>
      </c>
      <c r="Y362">
        <f>IF(AND(V362&gt;0,N362=V362),TRUE,FALSE)</f>
        <v/>
      </c>
      <c r="Z362" s="228">
        <f>IF(C362="Einnahmen",Q362,-Q362)</f>
        <v/>
      </c>
    </row>
    <row r="363">
      <c r="A363" s="53" t="n">
        <v>2020</v>
      </c>
      <c r="B363" s="53" t="n">
        <v>124</v>
      </c>
      <c r="C363" s="71" t="inlineStr">
        <is>
          <t>Ausgaben</t>
        </is>
      </c>
      <c r="D363" t="inlineStr">
        <is>
          <t>Werbe- und Repräsentationsaufwand</t>
        </is>
      </c>
      <c r="E363" s="9" t="inlineStr">
        <is>
          <t>PRM320050004841</t>
        </is>
      </c>
      <c r="G363" s="1" t="n">
        <v>43980</v>
      </c>
      <c r="H363" t="inlineStr">
        <is>
          <t>New Work SE, Dammtorstraße 30, 20354 Hamburg</t>
        </is>
      </c>
      <c r="K363">
        <f>(IF(AND(I363&lt;&gt;"",AND(J363="",ABS(Q363)&gt;400)),TRUE,FALSE))</f>
        <v/>
      </c>
      <c r="L363" s="214" t="n">
        <v>24.88</v>
      </c>
      <c r="M363" s="159" t="n">
        <v>1</v>
      </c>
      <c r="N363" t="n">
        <v>0</v>
      </c>
      <c r="O363" s="237">
        <f>L363*N363/100</f>
        <v/>
      </c>
      <c r="P363" s="237">
        <f>M363*O363</f>
        <v/>
      </c>
      <c r="Q363" s="208">
        <f>L363*M363</f>
        <v/>
      </c>
      <c r="R363" s="251">
        <f>L363+O363</f>
        <v/>
      </c>
      <c r="S363" s="251">
        <f>Q363+P363</f>
        <v/>
      </c>
      <c r="T363" s="35">
        <f>voranmeldefrist_vierteljaehrlich(G363)</f>
        <v/>
      </c>
      <c r="U363" s="27" t="n"/>
      <c r="V363" s="27" t="n">
        <v>20</v>
      </c>
      <c r="W363" s="210">
        <f>IF(K363=TRUE,Q363/I363,Q363)</f>
        <v/>
      </c>
      <c r="X363" s="237">
        <f>V363/100*S363</f>
        <v/>
      </c>
      <c r="Y363">
        <f>IF(AND(V363&gt;0,N363=V363),TRUE,FALSE)</f>
        <v/>
      </c>
      <c r="Z363" s="228">
        <f>IF(C363="Einnahmen",Q363,-Q363)</f>
        <v/>
      </c>
    </row>
    <row r="364">
      <c r="A364" s="53" t="n">
        <v>2020</v>
      </c>
      <c r="B364" s="53" t="n">
        <v>125</v>
      </c>
      <c r="C364" s="71" t="inlineStr">
        <is>
          <t>Ausgaben</t>
        </is>
      </c>
      <c r="D364" t="inlineStr">
        <is>
          <t>Miet- und Pachtaufwand, Leasing</t>
        </is>
      </c>
      <c r="E364" s="9" t="inlineStr">
        <is>
          <t>20/9801/VS00043</t>
        </is>
      </c>
      <c r="G364" s="1" t="n">
        <v>43984</v>
      </c>
      <c r="H364" t="inlineStr">
        <is>
          <t>Bontus Immobilienverwaltung GmbH, 1010 Wien, Franz Josefs Kai 65</t>
        </is>
      </c>
      <c r="K364" t="b">
        <v>0</v>
      </c>
      <c r="L364" s="214" t="n">
        <v>462.44</v>
      </c>
      <c r="M364" s="159" t="n">
        <v>1</v>
      </c>
      <c r="N364" t="n">
        <v>20</v>
      </c>
      <c r="O364" s="237">
        <f>L364*N364/100</f>
        <v/>
      </c>
      <c r="P364" s="237">
        <f>M364*O364</f>
        <v/>
      </c>
      <c r="Q364" s="208">
        <f>L364*M364</f>
        <v/>
      </c>
      <c r="R364" s="251">
        <f>L364+O364</f>
        <v/>
      </c>
      <c r="S364" s="251">
        <f>Q364+P364</f>
        <v/>
      </c>
      <c r="T364" s="35">
        <f>voranmeldefrist_vierteljaehrlich(G364)</f>
        <v/>
      </c>
      <c r="U364" s="27" t="n"/>
      <c r="V364" s="27" t="n"/>
      <c r="W364" s="210">
        <f>IF(K364=TRUE,Q364/J364,Q364)</f>
        <v/>
      </c>
      <c r="X364" s="237">
        <f>V364/100*S364</f>
        <v/>
      </c>
      <c r="Y364">
        <f>IF(AND(V364&gt;0,N364=V364),TRUE,FALSE)</f>
        <v/>
      </c>
      <c r="Z364" s="228">
        <f>IF(C364="Einnahmen",Q364,-Q364)</f>
        <v/>
      </c>
    </row>
    <row r="365">
      <c r="A365" s="53" t="n">
        <v>2020</v>
      </c>
      <c r="B365" s="53" t="n">
        <v>126</v>
      </c>
      <c r="C365" s="71" t="inlineStr">
        <is>
          <t>Ausgaben</t>
        </is>
      </c>
      <c r="D365" t="inlineStr">
        <is>
          <t>sonstige Betriebsausgaben</t>
        </is>
      </c>
      <c r="E365" s="9" t="inlineStr">
        <is>
          <t>807693</t>
        </is>
      </c>
      <c r="G365" s="1" t="n">
        <v>43986</v>
      </c>
      <c r="H365" t="inlineStr">
        <is>
          <t>easy green energy GmbH &amp; Co KG</t>
        </is>
      </c>
      <c r="K365">
        <f>(IF(AND(I365&lt;&gt;"",AND(J365="",ABS(Q365)&gt;400)),TRUE,FALSE))</f>
        <v/>
      </c>
      <c r="L365" s="214">
        <f>S365/1.2</f>
        <v/>
      </c>
      <c r="M365" s="159" t="n">
        <v>1</v>
      </c>
      <c r="N365" t="n">
        <v>20</v>
      </c>
      <c r="O365" s="237">
        <f>L365*N365/100</f>
        <v/>
      </c>
      <c r="P365" s="237">
        <f>M365*O365</f>
        <v/>
      </c>
      <c r="Q365" s="208">
        <f>L365*M365</f>
        <v/>
      </c>
      <c r="R365" s="251">
        <f>L365+O365</f>
        <v/>
      </c>
      <c r="S365" s="251" t="n">
        <v>3</v>
      </c>
      <c r="T365" s="35">
        <f>voranmeldefrist_vierteljaehrlich(G365)</f>
        <v/>
      </c>
      <c r="U365" s="27" t="n"/>
      <c r="V365" s="27" t="n"/>
      <c r="W365" s="210">
        <f>IF(K365=TRUE,Q365/J365,Q365)</f>
        <v/>
      </c>
      <c r="X365" s="237">
        <f>V365/100*S365</f>
        <v/>
      </c>
      <c r="Y365">
        <f>IF(AND(V365&gt;0,N365=V365),TRUE,FALSE)</f>
        <v/>
      </c>
      <c r="Z365" s="228">
        <f>IF(C365="Einnahmen",Q365,-Q365)</f>
        <v/>
      </c>
    </row>
    <row r="366">
      <c r="A366" s="53" t="n">
        <v>2020</v>
      </c>
      <c r="B366" s="53" t="n">
        <v>127</v>
      </c>
      <c r="C366" s="71" t="inlineStr">
        <is>
          <t>Ausgaben</t>
        </is>
      </c>
      <c r="D366" t="inlineStr">
        <is>
          <t>Telefon/Internet</t>
        </is>
      </c>
      <c r="E366" s="9" t="inlineStr">
        <is>
          <t>6199292916</t>
        </is>
      </c>
      <c r="G366" s="1" t="n">
        <v>43990</v>
      </c>
      <c r="H366" t="inlineStr">
        <is>
          <t>Hutchison Drei Austria GmbH, Brünner Straße 52, 1210 Wien, Österreich</t>
        </is>
      </c>
      <c r="K366">
        <f>(IF(AND(I366&lt;&gt;"",AND(J366="",ABS(Q366)&gt;400)),TRUE,FALSE))</f>
        <v/>
      </c>
      <c r="L366" s="214" t="n">
        <v>15</v>
      </c>
      <c r="M366" s="159" t="n">
        <v>1</v>
      </c>
      <c r="N366" t="n">
        <v>20</v>
      </c>
      <c r="O366" s="237">
        <f>L366*N366/100</f>
        <v/>
      </c>
      <c r="P366" s="237">
        <f>M366*O366</f>
        <v/>
      </c>
      <c r="Q366" s="208">
        <f>L366*M366</f>
        <v/>
      </c>
      <c r="R366" s="251">
        <f>L366+O366</f>
        <v/>
      </c>
      <c r="S366" s="251">
        <f>Q366+P366</f>
        <v/>
      </c>
      <c r="T366" s="35">
        <f>voranmeldefrist_vierteljaehrlich(G366)</f>
        <v/>
      </c>
      <c r="U366" s="27" t="n"/>
      <c r="V366" s="27" t="n"/>
      <c r="W366" s="210">
        <f>IF(K366=TRUE,Q366/I366,Q366)</f>
        <v/>
      </c>
      <c r="X366" s="237">
        <f>V366/100*S366</f>
        <v/>
      </c>
      <c r="Y366">
        <f>IF(AND(V366&gt;0,N366=V366),TRUE,FALSE)</f>
        <v/>
      </c>
      <c r="Z366" s="228">
        <f>IF(C366="Einnahmen",Q366,-Q366)</f>
        <v/>
      </c>
    </row>
    <row r="367">
      <c r="A367" s="53" t="n">
        <v>2020</v>
      </c>
      <c r="B367" s="53" t="n">
        <v>128</v>
      </c>
      <c r="C367" s="71" t="inlineStr">
        <is>
          <t>Ausgaben</t>
        </is>
      </c>
      <c r="D367" t="inlineStr">
        <is>
          <t>sonstige Betriebsausgaben</t>
        </is>
      </c>
      <c r="E367" s="9" t="inlineStr">
        <is>
          <t>R0011424001</t>
        </is>
      </c>
      <c r="G367" s="1" t="n">
        <v>43994</v>
      </c>
      <c r="H367" t="inlineStr">
        <is>
          <t>Hetzner Online GmbH</t>
        </is>
      </c>
      <c r="K367">
        <f>(IF(AND(I367&lt;&gt;"",AND(J367="",ABS(Q367)&gt;400)),TRUE,FALSE))</f>
        <v/>
      </c>
      <c r="L367" s="214" t="n">
        <v>46.92</v>
      </c>
      <c r="M367" s="159" t="n">
        <v>1</v>
      </c>
      <c r="N367" t="n">
        <v>0</v>
      </c>
      <c r="O367" s="237">
        <f>L367*N367/100</f>
        <v/>
      </c>
      <c r="P367" s="237">
        <f>M367*O367</f>
        <v/>
      </c>
      <c r="Q367" s="208">
        <f>L367*M367</f>
        <v/>
      </c>
      <c r="R367" s="251">
        <f>L367+O367</f>
        <v/>
      </c>
      <c r="S367" s="251">
        <f>Q367+P367</f>
        <v/>
      </c>
      <c r="T367" s="35">
        <f>voranmeldefrist_vierteljaehrlich(G367)</f>
        <v/>
      </c>
      <c r="U367" s="27" t="n"/>
      <c r="V367" s="27" t="n">
        <v>20</v>
      </c>
      <c r="W367" s="210">
        <f>IF(K367=TRUE,Q367/J367,Q367)</f>
        <v/>
      </c>
      <c r="X367" s="237">
        <f>V367/100*S367</f>
        <v/>
      </c>
      <c r="Y367">
        <f>IF(AND(V367&gt;0,N367=V367),TRUE,FALSE)</f>
        <v/>
      </c>
      <c r="Z367" s="228">
        <f>IF(C367="Einnahmen",Q367,-Q367)</f>
        <v/>
      </c>
    </row>
    <row r="368">
      <c r="A368" s="53" t="n">
        <v>2020</v>
      </c>
      <c r="B368" s="53" t="n">
        <v>129</v>
      </c>
      <c r="C368" s="71" t="inlineStr">
        <is>
          <t>Ausgaben</t>
        </is>
      </c>
      <c r="D368" t="inlineStr">
        <is>
          <t>sonstige Betriebsausgaben</t>
        </is>
      </c>
      <c r="E368" s="9" t="inlineStr">
        <is>
          <t>5104824361</t>
        </is>
      </c>
      <c r="G368" s="1" t="n">
        <v>43994</v>
      </c>
      <c r="H368" t="inlineStr">
        <is>
          <t>Woocommerce.com, 17 Shelley Road, Salt River, Cape Town 7625, South Africa</t>
        </is>
      </c>
      <c r="K368">
        <f>(IF(AND(I368&lt;&gt;"",AND(J368="",ABS(Q368)&gt;400)),TRUE,FALSE))</f>
        <v/>
      </c>
      <c r="L368" s="214" t="n">
        <v>26</v>
      </c>
      <c r="M368" s="159" t="n">
        <v>1</v>
      </c>
      <c r="N368" t="n">
        <v>0</v>
      </c>
      <c r="O368" s="237">
        <f>L368*N368/100</f>
        <v/>
      </c>
      <c r="P368" s="237">
        <f>M368*O368</f>
        <v/>
      </c>
      <c r="Q368" s="208">
        <f>L368*M368</f>
        <v/>
      </c>
      <c r="R368" s="251">
        <f>L368+O368</f>
        <v/>
      </c>
      <c r="S368" s="251">
        <f>Q368+P368</f>
        <v/>
      </c>
      <c r="T368" s="35">
        <f>voranmeldefrist_vierteljaehrlich(G368)</f>
        <v/>
      </c>
      <c r="U368" s="27" t="n"/>
      <c r="V368" s="27" t="n">
        <v>20</v>
      </c>
      <c r="W368" s="210">
        <f>IF(K368=TRUE,Q368/J368,Q368)</f>
        <v/>
      </c>
      <c r="X368" s="237">
        <f>V368/100*S368</f>
        <v/>
      </c>
      <c r="Y368">
        <f>IF(AND(V368&gt;0,N368=V368),TRUE,FALSE)</f>
        <v/>
      </c>
      <c r="Z368" s="228">
        <f>IF(C368="Einnahmen",Q368,-Q368)</f>
        <v/>
      </c>
    </row>
    <row r="369">
      <c r="A369" s="53" t="n">
        <v>2020</v>
      </c>
      <c r="B369" s="53" t="n">
        <v>130</v>
      </c>
      <c r="C369" s="71" t="inlineStr">
        <is>
          <t>Einnahmen</t>
        </is>
      </c>
      <c r="D369" t="inlineStr">
        <is>
          <t>Waren-/Leistungserlöse</t>
        </is>
      </c>
      <c r="E369" s="9" t="inlineStr">
        <is>
          <t>12020017</t>
        </is>
      </c>
      <c r="G369" s="1" t="n">
        <v>44000</v>
      </c>
      <c r="H369" t="inlineStr">
        <is>
          <t>DCF - Digital Coding Factory GmbH, Bauernfeldgasse 4/12 1090 Wien</t>
        </is>
      </c>
      <c r="K369">
        <f>(IF(AND(I369&lt;&gt;"",AND(J369="",ABS(Q369)&gt;400)),TRUE,FALSE))</f>
        <v/>
      </c>
      <c r="L369" s="214" t="n">
        <v>7560</v>
      </c>
      <c r="M369" s="159" t="n">
        <v>1</v>
      </c>
      <c r="N369" t="n">
        <v>20</v>
      </c>
      <c r="O369" s="237">
        <f>L369*N369/100</f>
        <v/>
      </c>
      <c r="P369" s="237">
        <f>M369*O369</f>
        <v/>
      </c>
      <c r="Q369" s="208">
        <f>L369*M369</f>
        <v/>
      </c>
      <c r="R369" s="251">
        <f>L369+O369</f>
        <v/>
      </c>
      <c r="S369" s="251">
        <f>Q369+P369</f>
        <v/>
      </c>
      <c r="T369" s="35">
        <f>voranmeldefrist_vierteljaehrlich(G369)</f>
        <v/>
      </c>
      <c r="U369" s="27" t="n"/>
      <c r="V369" s="27" t="n"/>
      <c r="W369" s="210">
        <f>IF(K369=TRUE,Q369/I369,Q369)</f>
        <v/>
      </c>
      <c r="X369" s="237">
        <f>V369/100*S369</f>
        <v/>
      </c>
      <c r="Y369">
        <f>IF(AND(V369&gt;0,N369=V369),TRUE,FALSE)</f>
        <v/>
      </c>
      <c r="Z369" s="228">
        <f>IF(C369="Einnahmen",Q369,-Q369)</f>
        <v/>
      </c>
    </row>
    <row r="370">
      <c r="A370" s="53" t="n">
        <v>2020</v>
      </c>
      <c r="B370" s="53" t="n">
        <v>131</v>
      </c>
      <c r="C370" s="71" t="inlineStr">
        <is>
          <t>Ausgaben</t>
        </is>
      </c>
      <c r="D370" t="inlineStr">
        <is>
          <t>sonstige Betriebsausgaben</t>
        </is>
      </c>
      <c r="E370" s="9" t="inlineStr">
        <is>
          <t>2020063</t>
        </is>
      </c>
      <c r="G370" s="1" t="n">
        <v>44001</v>
      </c>
      <c r="H370" t="inlineStr">
        <is>
          <t>3W Steuerkanzlei, Roter Hof 1a, 1080 Wien</t>
        </is>
      </c>
      <c r="K370">
        <f>(IF(AND(I370&lt;&gt;"",AND(J370="",ABS(Q370)&gt;400)),TRUE,FALSE))</f>
        <v/>
      </c>
      <c r="L370" s="214" t="n">
        <v>860</v>
      </c>
      <c r="M370" s="159" t="n">
        <v>1</v>
      </c>
      <c r="N370" t="n">
        <v>20</v>
      </c>
      <c r="O370" s="237">
        <f>L370*N370/100</f>
        <v/>
      </c>
      <c r="P370" s="237">
        <f>M370*O370</f>
        <v/>
      </c>
      <c r="Q370" s="208">
        <f>L370*M370</f>
        <v/>
      </c>
      <c r="R370" s="251">
        <f>L370+O370</f>
        <v/>
      </c>
      <c r="S370" s="251">
        <f>Q370+P370</f>
        <v/>
      </c>
      <c r="T370" s="35">
        <f>voranmeldefrist_vierteljaehrlich(G370)</f>
        <v/>
      </c>
      <c r="U370" s="27" t="n"/>
      <c r="V370" s="27" t="n"/>
      <c r="W370" s="210">
        <f>IF(K370=TRUE,Q370/J370,Q370)</f>
        <v/>
      </c>
      <c r="X370" s="237">
        <f>V370/100*S370</f>
        <v/>
      </c>
      <c r="Y370">
        <f>IF(AND(V370&gt;0,N370=V370),TRUE,FALSE)</f>
        <v/>
      </c>
      <c r="Z370" s="228">
        <f>IF(C370="Einnahmen",Q370,-Q370)</f>
        <v/>
      </c>
    </row>
    <row r="371">
      <c r="A371" s="53" t="n">
        <v>2020</v>
      </c>
      <c r="B371" s="53" t="n">
        <v>132</v>
      </c>
      <c r="C371" s="71" t="inlineStr">
        <is>
          <t>Ausgaben</t>
        </is>
      </c>
      <c r="D371" t="inlineStr">
        <is>
          <t>sonstige Betriebsausgaben</t>
        </is>
      </c>
      <c r="E371" s="9" t="inlineStr">
        <is>
          <t>25054595567</t>
        </is>
      </c>
      <c r="G371" s="1" t="n">
        <v>44004</v>
      </c>
      <c r="H371" t="inlineStr">
        <is>
          <t>Microsoft Ireland Operations Ltd. One Microsoft Place, South County, Business Park, Leopardstown, Dublin 18, D18 P521, Ireland</t>
        </is>
      </c>
      <c r="K371">
        <f>(IF(AND(I371&lt;&gt;"",AND(J371="",ABS(Q371)&gt;400)),TRUE,FALSE))</f>
        <v/>
      </c>
      <c r="L371" s="214" t="n">
        <v>69</v>
      </c>
      <c r="M371" s="159" t="n">
        <v>1</v>
      </c>
      <c r="N371" t="n">
        <v>20</v>
      </c>
      <c r="O371" s="237">
        <f>L371*N371/100</f>
        <v/>
      </c>
      <c r="P371" s="237">
        <f>M371*O371</f>
        <v/>
      </c>
      <c r="Q371" s="208">
        <f>L371*M371</f>
        <v/>
      </c>
      <c r="R371" s="251">
        <f>L371+O371</f>
        <v/>
      </c>
      <c r="S371" s="251">
        <f>Q371+P371</f>
        <v/>
      </c>
      <c r="T371" s="35">
        <f>voranmeldefrist_vierteljaehrlich(G371)</f>
        <v/>
      </c>
      <c r="U371" s="27" t="n"/>
      <c r="V371" s="27" t="n"/>
      <c r="W371" s="210">
        <f>IF(K371=TRUE,Q371/J371,Q371)</f>
        <v/>
      </c>
      <c r="X371" s="237">
        <f>V371/100*S371</f>
        <v/>
      </c>
      <c r="Y371">
        <f>IF(AND(V371&gt;0,N371=V371),TRUE,FALSE)</f>
        <v/>
      </c>
      <c r="Z371" s="228">
        <f>IF(C371="Einnahmen",Q371,-Q371)</f>
        <v/>
      </c>
    </row>
    <row r="372">
      <c r="A372" s="53" t="n">
        <v>2020</v>
      </c>
      <c r="B372" s="53" t="n">
        <v>133</v>
      </c>
      <c r="C372" s="71" t="inlineStr">
        <is>
          <t>Ausgaben</t>
        </is>
      </c>
      <c r="D372" t="inlineStr">
        <is>
          <t>Telefon/Internet</t>
        </is>
      </c>
      <c r="E372" s="9" t="inlineStr">
        <is>
          <t>901188450620</t>
        </is>
      </c>
      <c r="G372" s="1" t="n">
        <v>44004</v>
      </c>
      <c r="H372" t="inlineStr">
        <is>
          <t>Magenta: T-Mobile Austria GmbH, A-1120 Wien, PF 47</t>
        </is>
      </c>
      <c r="K372">
        <f>(IF(AND(I372&lt;&gt;"",AND(J372="",ABS(Q372)&gt;400)),TRUE,FALSE))</f>
        <v/>
      </c>
      <c r="L372" s="214" t="n">
        <v>35.24</v>
      </c>
      <c r="M372" s="159" t="n">
        <v>1</v>
      </c>
      <c r="N372" t="n">
        <v>20</v>
      </c>
      <c r="O372" s="237">
        <f>L372*N372/100</f>
        <v/>
      </c>
      <c r="P372" s="237">
        <f>M372*O372</f>
        <v/>
      </c>
      <c r="Q372" s="208">
        <f>L372*M372</f>
        <v/>
      </c>
      <c r="R372" s="251">
        <f>L372+O372</f>
        <v/>
      </c>
      <c r="S372" s="251">
        <f>Q372+P372</f>
        <v/>
      </c>
      <c r="T372" s="35">
        <f>voranmeldefrist_vierteljaehrlich(G372)</f>
        <v/>
      </c>
      <c r="U372" s="27" t="n"/>
      <c r="V372" s="27" t="n"/>
      <c r="W372" s="210">
        <f>IF(K372=TRUE,Q372/I372,Q372)</f>
        <v/>
      </c>
      <c r="X372" s="237">
        <f>V372/100*S372</f>
        <v/>
      </c>
      <c r="Y372">
        <f>IF(AND(V372&gt;0,N372=V372),TRUE,FALSE)</f>
        <v/>
      </c>
      <c r="Z372" s="228">
        <f>IF(C372="Einnahmen",Q372,-Q372)</f>
        <v/>
      </c>
    </row>
    <row r="373">
      <c r="A373" s="53" t="n">
        <v>2020</v>
      </c>
      <c r="B373" s="53" t="n">
        <v>134</v>
      </c>
      <c r="C373" s="71" t="inlineStr">
        <is>
          <t>Ausgaben</t>
        </is>
      </c>
      <c r="D373" t="inlineStr">
        <is>
          <t>Reise- und Fahrtspesen inkl. Kilometergeld und Diäten</t>
        </is>
      </c>
      <c r="E373" s="9" t="inlineStr">
        <is>
          <t>3293000009484102</t>
        </is>
      </c>
      <c r="G373" s="1" t="n">
        <v>44007</v>
      </c>
      <c r="H373" t="inlineStr">
        <is>
          <t>car2go Österreich GmbH, Hintere Zollamtstraße 9, 1030 Wien</t>
        </is>
      </c>
      <c r="K373">
        <f>(IF(AND(I373&lt;&gt;"",AND(J373="",ABS(Q373)&gt;400)),TRUE,FALSE))</f>
        <v/>
      </c>
      <c r="L373" s="214">
        <f>2.88/1.2</f>
        <v/>
      </c>
      <c r="M373" s="159" t="n">
        <v>1</v>
      </c>
      <c r="N373" t="n">
        <v>20</v>
      </c>
      <c r="O373" s="237">
        <f>L373*N373/100</f>
        <v/>
      </c>
      <c r="P373" s="237">
        <f>M373*O373</f>
        <v/>
      </c>
      <c r="Q373" s="208">
        <f>L373*M373</f>
        <v/>
      </c>
      <c r="R373" s="251">
        <f>L373+O373</f>
        <v/>
      </c>
      <c r="S373" s="251">
        <f>Q373+P373</f>
        <v/>
      </c>
      <c r="T373" s="35">
        <f>voranmeldefrist_vierteljaehrlich(G373)</f>
        <v/>
      </c>
      <c r="U373" s="27" t="n"/>
      <c r="V373" s="27" t="n"/>
      <c r="W373" s="210">
        <f>IF(K373=TRUE,Q373/I373,Q373)</f>
        <v/>
      </c>
      <c r="X373" s="237">
        <f>V373/100*S373</f>
        <v/>
      </c>
      <c r="Y373">
        <f>IF(AND(V373&gt;0,N373=V373),TRUE,FALSE)</f>
        <v/>
      </c>
      <c r="Z373" s="228">
        <f>IF(C373="Einnahmen",Q373,-Q373)</f>
        <v/>
      </c>
    </row>
    <row r="374">
      <c r="A374" s="53" t="n">
        <v>2020</v>
      </c>
      <c r="B374" s="53" t="n">
        <v>135</v>
      </c>
      <c r="C374" s="71" t="inlineStr">
        <is>
          <t>Ausgaben</t>
        </is>
      </c>
      <c r="D374" t="inlineStr">
        <is>
          <t>Miet- und Pachtaufwand, Leasing</t>
        </is>
      </c>
      <c r="E374" s="9" t="inlineStr">
        <is>
          <t>20/9801/VS00486</t>
        </is>
      </c>
      <c r="G374" s="1" t="n">
        <v>44013</v>
      </c>
      <c r="H374" t="inlineStr">
        <is>
          <t>Bontus Immobilienverwaltung GmbH, 1010 Wien, Franz Josefs Kai 65</t>
        </is>
      </c>
      <c r="K374" t="b">
        <v>0</v>
      </c>
      <c r="L374" s="214">
        <f>552.49/1.2</f>
        <v/>
      </c>
      <c r="M374" s="159" t="n">
        <v>1</v>
      </c>
      <c r="N374" t="n">
        <v>20</v>
      </c>
      <c r="O374" s="237">
        <f>L374*N374/100</f>
        <v/>
      </c>
      <c r="P374" s="237">
        <f>M374*O374</f>
        <v/>
      </c>
      <c r="Q374" s="208">
        <f>L374*M374</f>
        <v/>
      </c>
      <c r="R374" s="251">
        <f>L374+O374</f>
        <v/>
      </c>
      <c r="S374" s="251">
        <f>Q374+P374</f>
        <v/>
      </c>
      <c r="T374" s="35">
        <f>voranmeldefrist_vierteljaehrlich(G374)</f>
        <v/>
      </c>
      <c r="U374" s="27" t="n"/>
      <c r="V374" s="27" t="n"/>
      <c r="W374" s="210">
        <f>IF(K374=TRUE,Q374/J374,Q374)</f>
        <v/>
      </c>
      <c r="X374" s="237">
        <f>V374/100*S374</f>
        <v/>
      </c>
      <c r="Y374">
        <f>IF(AND(V374&gt;0,N374=V374),TRUE,FALSE)</f>
        <v/>
      </c>
      <c r="Z374" s="228">
        <f>IF(C374="Einnahmen",Q374,-Q374)</f>
        <v/>
      </c>
    </row>
    <row r="375">
      <c r="A375" s="53" t="n">
        <v>2020</v>
      </c>
      <c r="B375" s="53" t="n">
        <v>136</v>
      </c>
      <c r="C375" s="71" t="inlineStr">
        <is>
          <t>Ausgaben</t>
        </is>
      </c>
      <c r="D375" t="inlineStr">
        <is>
          <t>Reise- und Fahrtspesen inkl. Kilometergeld und Diäten</t>
        </is>
      </c>
      <c r="E375" s="9" t="inlineStr">
        <is>
          <t>4293000000016407</t>
        </is>
      </c>
      <c r="G375" s="1" t="n">
        <v>44014</v>
      </c>
      <c r="H375" t="inlineStr">
        <is>
          <t>car2go Österreich GmbH, Hintere Zollamtstraße 9, 1030 Wien</t>
        </is>
      </c>
      <c r="K375" t="b">
        <v>0</v>
      </c>
      <c r="L375" s="214" t="n">
        <v>15.5</v>
      </c>
      <c r="M375" s="159" t="n">
        <v>1</v>
      </c>
      <c r="N375" t="n">
        <v>20</v>
      </c>
      <c r="O375" s="237">
        <f>L375*N375/100</f>
        <v/>
      </c>
      <c r="P375" s="237">
        <f>M375*O375</f>
        <v/>
      </c>
      <c r="Q375" s="208">
        <f>L375*M375</f>
        <v/>
      </c>
      <c r="R375" s="251">
        <f>L375+O375</f>
        <v/>
      </c>
      <c r="S375" s="251">
        <f>Q375+P375</f>
        <v/>
      </c>
      <c r="T375" s="35">
        <f>voranmeldefrist_vierteljaehrlich(G375)</f>
        <v/>
      </c>
      <c r="U375" s="27" t="n"/>
      <c r="V375" s="27" t="n"/>
      <c r="W375" s="210">
        <f>IF(K375=TRUE,Q375/J375,Q375)</f>
        <v/>
      </c>
      <c r="X375" s="237">
        <f>V375/100*S375</f>
        <v/>
      </c>
      <c r="Y375">
        <f>IF(AND(V375&gt;0,N375=V375),TRUE,FALSE)</f>
        <v/>
      </c>
      <c r="Z375" s="228">
        <f>IF(C375="Einnahmen",Q375,-Q375)</f>
        <v/>
      </c>
    </row>
    <row r="376">
      <c r="A376" s="53" t="n">
        <v>2020</v>
      </c>
      <c r="B376" s="53" t="n">
        <v>137</v>
      </c>
      <c r="C376" s="71" t="inlineStr">
        <is>
          <t>Ausgaben</t>
        </is>
      </c>
      <c r="D376" t="inlineStr">
        <is>
          <t>sonstige Betriebsausgaben</t>
        </is>
      </c>
      <c r="E376" s="9" t="inlineStr">
        <is>
          <t>807693</t>
        </is>
      </c>
      <c r="G376" s="1" t="n">
        <v>44015</v>
      </c>
      <c r="H376" t="inlineStr">
        <is>
          <t>easy green energy GmbH &amp; Co KG</t>
        </is>
      </c>
      <c r="K376">
        <f>(IF(AND(I376&lt;&gt;"",AND(J376="",ABS(Q376)&gt;400)),TRUE,FALSE))</f>
        <v/>
      </c>
      <c r="L376" s="214">
        <f>S376/1.2</f>
        <v/>
      </c>
      <c r="M376" s="159" t="n">
        <v>1</v>
      </c>
      <c r="N376" t="n">
        <v>20</v>
      </c>
      <c r="O376" s="237">
        <f>L376*N376/100</f>
        <v/>
      </c>
      <c r="P376" s="237">
        <f>M376*O376</f>
        <v/>
      </c>
      <c r="Q376" s="208">
        <f>L376*M376</f>
        <v/>
      </c>
      <c r="R376" s="251">
        <f>L376+O376</f>
        <v/>
      </c>
      <c r="S376" s="251" t="n">
        <v>3</v>
      </c>
      <c r="T376" s="35">
        <f>voranmeldefrist_vierteljaehrlich(G376)</f>
        <v/>
      </c>
      <c r="U376" s="27" t="n"/>
      <c r="V376" s="27" t="n"/>
      <c r="W376" s="210">
        <f>IF(K376=TRUE,Q376/J376,Q376)</f>
        <v/>
      </c>
      <c r="X376" s="237">
        <f>V376/100*S376</f>
        <v/>
      </c>
      <c r="Y376">
        <f>IF(AND(V376&gt;0,N376=V376),TRUE,FALSE)</f>
        <v/>
      </c>
      <c r="Z376" s="228">
        <f>IF(C376="Einnahmen",Q376,-Q376)</f>
        <v/>
      </c>
    </row>
    <row r="377">
      <c r="A377" s="53" t="n">
        <v>2020</v>
      </c>
      <c r="B377" s="53" t="n">
        <v>138</v>
      </c>
      <c r="C377" s="71" t="inlineStr">
        <is>
          <t>Ausgaben</t>
        </is>
      </c>
      <c r="D377" t="inlineStr">
        <is>
          <t>Telefon/Internet</t>
        </is>
      </c>
      <c r="E377" s="9" t="inlineStr">
        <is>
          <t>1002325367488</t>
        </is>
      </c>
      <c r="G377" s="1" t="n">
        <v>44015</v>
      </c>
      <c r="H377" t="inlineStr">
        <is>
          <t>HoT Telekom und Service GmbH</t>
        </is>
      </c>
      <c r="K377" t="b">
        <v>0</v>
      </c>
      <c r="L377" s="214" t="n">
        <v>4.92</v>
      </c>
      <c r="M377" s="159" t="n">
        <v>1</v>
      </c>
      <c r="N377" t="n">
        <v>20</v>
      </c>
      <c r="O377" s="237">
        <f>L377*N377/100</f>
        <v/>
      </c>
      <c r="P377" s="237">
        <f>M377*O377</f>
        <v/>
      </c>
      <c r="Q377" s="208">
        <f>L377*M377</f>
        <v/>
      </c>
      <c r="R377" s="251">
        <f>L377+O377</f>
        <v/>
      </c>
      <c r="S377" s="251">
        <f>Q377+P377</f>
        <v/>
      </c>
      <c r="T377" s="35">
        <f>voranmeldefrist_vierteljaehrlich(G377)</f>
        <v/>
      </c>
      <c r="U377" s="27" t="n"/>
      <c r="V377" s="27" t="n"/>
      <c r="W377" s="210">
        <f>IF(K377=TRUE,Q377/J377,Q377)</f>
        <v/>
      </c>
      <c r="X377" s="237">
        <f>V377/100*S377</f>
        <v/>
      </c>
      <c r="Y377">
        <f>IF(AND(V377&gt;0,N377=V377),TRUE,FALSE)</f>
        <v/>
      </c>
      <c r="Z377" s="228">
        <f>IF(C377="Einnahmen",Q377,-Q377)</f>
        <v/>
      </c>
    </row>
    <row r="378">
      <c r="A378" s="53" t="n">
        <v>2020</v>
      </c>
      <c r="B378" s="53" t="n">
        <v>139</v>
      </c>
      <c r="C378" s="71" t="inlineStr">
        <is>
          <t>Ausgaben</t>
        </is>
      </c>
      <c r="D378" t="inlineStr">
        <is>
          <t>Telefon/Internet</t>
        </is>
      </c>
      <c r="E378" s="9" t="inlineStr">
        <is>
          <t>1002378950684</t>
        </is>
      </c>
      <c r="G378" s="1" t="n">
        <v>44018</v>
      </c>
      <c r="H378" t="inlineStr">
        <is>
          <t>HoT Telekom und Service GmbH</t>
        </is>
      </c>
      <c r="K378" t="b">
        <v>0</v>
      </c>
      <c r="L378" s="214" t="n">
        <v>1.67</v>
      </c>
      <c r="M378" s="159" t="n">
        <v>1</v>
      </c>
      <c r="N378" t="n">
        <v>20</v>
      </c>
      <c r="O378" s="237">
        <f>L378*N378/100</f>
        <v/>
      </c>
      <c r="P378" s="237">
        <f>M378*O378</f>
        <v/>
      </c>
      <c r="Q378" s="208">
        <f>L378*M378</f>
        <v/>
      </c>
      <c r="R378" s="251">
        <f>L378+O378</f>
        <v/>
      </c>
      <c r="S378" s="251">
        <f>Q378+P378</f>
        <v/>
      </c>
      <c r="T378" s="35">
        <f>voranmeldefrist_vierteljaehrlich(G378)</f>
        <v/>
      </c>
      <c r="U378" s="27" t="n"/>
      <c r="V378" s="27" t="n"/>
      <c r="W378" s="210">
        <f>IF(K378=TRUE,Q378/J378,Q378)</f>
        <v/>
      </c>
      <c r="X378" s="237">
        <f>V378/100*S378</f>
        <v/>
      </c>
      <c r="Y378">
        <f>IF(AND(V378&gt;0,N378=V378),TRUE,FALSE)</f>
        <v/>
      </c>
      <c r="Z378" s="228">
        <f>IF(C378="Einnahmen",Q378,-Q378)</f>
        <v/>
      </c>
    </row>
    <row r="379">
      <c r="A379" s="53" t="n">
        <v>2020</v>
      </c>
      <c r="B379" s="53" t="n">
        <v>140</v>
      </c>
      <c r="C379" s="71" t="inlineStr">
        <is>
          <t>Ausgaben</t>
        </is>
      </c>
      <c r="D379" t="inlineStr">
        <is>
          <t>sonstige Betriebsausgaben</t>
        </is>
      </c>
      <c r="E379" s="9" t="inlineStr">
        <is>
          <t>HKA/20-01-39452</t>
        </is>
      </c>
      <c r="G379" s="1" t="n">
        <v>44018</v>
      </c>
      <c r="H379" t="inlineStr">
        <is>
          <t>Techem Messtechnik GmbH; Abnehmernummer 501686-0003-11-(</t>
        </is>
      </c>
      <c r="K379">
        <f>(IF(AND(I379&lt;&gt;"",AND(J379="",ABS(Q379)&gt;400)),TRUE,FALSE))</f>
        <v/>
      </c>
      <c r="L379" s="214" t="n">
        <v>35</v>
      </c>
      <c r="M379" s="159" t="n">
        <v>1</v>
      </c>
      <c r="N379" t="n">
        <v>20</v>
      </c>
      <c r="O379" s="237">
        <f>L379*N379/100</f>
        <v/>
      </c>
      <c r="P379" s="237">
        <f>M379*O379</f>
        <v/>
      </c>
      <c r="Q379" s="208">
        <f>L379*M379</f>
        <v/>
      </c>
      <c r="R379" s="251">
        <f>L379+O379</f>
        <v/>
      </c>
      <c r="S379" s="251">
        <f>Q379+P379</f>
        <v/>
      </c>
      <c r="T379" s="35">
        <f>voranmeldefrist_vierteljaehrlich(G379)</f>
        <v/>
      </c>
      <c r="U379" s="27" t="n"/>
      <c r="V379" s="27" t="n"/>
      <c r="W379" s="210">
        <f>IF(K379=TRUE,Q379/I379,Q379)</f>
        <v/>
      </c>
      <c r="X379" s="237">
        <f>V379/100*S379</f>
        <v/>
      </c>
      <c r="Y379">
        <f>IF(AND(V379&gt;0,N379=V379),TRUE,FALSE)</f>
        <v/>
      </c>
      <c r="Z379" s="228">
        <f>IF(C379="Einnahmen",Q379,-Q379)</f>
        <v/>
      </c>
    </row>
    <row r="380">
      <c r="A380" s="53" t="n">
        <v>2020</v>
      </c>
      <c r="B380" s="53" t="n">
        <v>141</v>
      </c>
      <c r="C380" s="71" t="inlineStr">
        <is>
          <t>Ausgaben</t>
        </is>
      </c>
      <c r="D380" t="inlineStr">
        <is>
          <t>Telefon/Internet</t>
        </is>
      </c>
      <c r="E380" s="9" t="inlineStr">
        <is>
          <t>6202955483</t>
        </is>
      </c>
      <c r="G380" s="1" t="n">
        <v>44018</v>
      </c>
      <c r="H380" t="inlineStr">
        <is>
          <t>Hutchison Drei Austria GmbH, Brünner Straße 52, 1210 Wien, Österreich</t>
        </is>
      </c>
      <c r="K380">
        <f>(IF(AND(I380&lt;&gt;"",AND(J380="",ABS(Q380)&gt;400)),TRUE,FALSE))</f>
        <v/>
      </c>
      <c r="L380" s="214" t="n">
        <v>15</v>
      </c>
      <c r="M380" s="159" t="n">
        <v>1</v>
      </c>
      <c r="N380" t="n">
        <v>20</v>
      </c>
      <c r="O380" s="237">
        <f>L380*N380/100</f>
        <v/>
      </c>
      <c r="P380" s="237">
        <f>M380*O380</f>
        <v/>
      </c>
      <c r="Q380" s="208">
        <f>L380*M380</f>
        <v/>
      </c>
      <c r="R380" s="251">
        <f>L380+O380</f>
        <v/>
      </c>
      <c r="S380" s="251">
        <f>Q380+P380</f>
        <v/>
      </c>
      <c r="T380" s="35">
        <f>voranmeldefrist_vierteljaehrlich(G380)</f>
        <v/>
      </c>
      <c r="U380" s="27" t="n"/>
      <c r="V380" s="27" t="n"/>
      <c r="W380" s="210">
        <f>IF(K380=TRUE,Q380/I380,Q380)</f>
        <v/>
      </c>
      <c r="X380" s="237">
        <f>V380/100*S380</f>
        <v/>
      </c>
      <c r="Y380">
        <f>IF(AND(V380&gt;0,N380=V380),TRUE,FALSE)</f>
        <v/>
      </c>
      <c r="Z380" s="228">
        <f>IF(C380="Einnahmen",Q380,-Q380)</f>
        <v/>
      </c>
    </row>
    <row r="381">
      <c r="A381" s="53" t="n">
        <v>2020</v>
      </c>
      <c r="B381" s="53" t="n">
        <v>142</v>
      </c>
      <c r="C381" s="71" t="inlineStr">
        <is>
          <t>Einnahmen</t>
        </is>
      </c>
      <c r="D381" t="inlineStr">
        <is>
          <t>Waren-/Leistungserlöse</t>
        </is>
      </c>
      <c r="E381" s="9" t="inlineStr">
        <is>
          <t>12020023</t>
        </is>
      </c>
      <c r="G381" s="1" t="n">
        <v>44020</v>
      </c>
      <c r="H381" s="43" t="inlineStr">
        <is>
          <t>Wedding Avenue e.U., Mayerweckstrasse 2-8/99/1, 1210 Wien</t>
        </is>
      </c>
      <c r="K381" t="b">
        <v>0</v>
      </c>
      <c r="L381" s="214" t="n">
        <v>901</v>
      </c>
      <c r="M381" s="159" t="n">
        <v>1</v>
      </c>
      <c r="N381" t="n">
        <v>20</v>
      </c>
      <c r="O381" s="237">
        <f>L381*N381/100</f>
        <v/>
      </c>
      <c r="P381" s="237">
        <f>M381*O381</f>
        <v/>
      </c>
      <c r="Q381" s="208">
        <f>L381*M381</f>
        <v/>
      </c>
      <c r="R381" s="251">
        <f>L381+O381</f>
        <v/>
      </c>
      <c r="S381" s="251">
        <f>Q381+P381</f>
        <v/>
      </c>
      <c r="T381" s="35">
        <f>voranmeldefrist_vierteljaehrlich(G381)</f>
        <v/>
      </c>
      <c r="U381" s="27" t="n"/>
      <c r="V381" s="27" t="n"/>
      <c r="W381" s="210">
        <f>IF(K381=TRUE,Q381/I381,Q381)</f>
        <v/>
      </c>
      <c r="X381" s="237">
        <f>V381/100*S381</f>
        <v/>
      </c>
      <c r="Y381">
        <f>IF(AND(V381&gt;0,N381=V381),TRUE,FALSE)</f>
        <v/>
      </c>
      <c r="Z381" s="228">
        <f>IF(C381="Einnahmen",Q381,-Q381)</f>
        <v/>
      </c>
    </row>
    <row r="382">
      <c r="A382" s="53" t="n">
        <v>2020</v>
      </c>
      <c r="B382" s="53" t="n">
        <v>143</v>
      </c>
      <c r="C382" s="71" t="inlineStr">
        <is>
          <t>Ausgaben</t>
        </is>
      </c>
      <c r="D382" t="inlineStr">
        <is>
          <t>Telefon/Internet</t>
        </is>
      </c>
      <c r="E382" s="9" t="inlineStr">
        <is>
          <t>90118800720</t>
        </is>
      </c>
      <c r="F382" s="1" t="n">
        <v>43962</v>
      </c>
      <c r="G382" s="1" t="n">
        <v>44033</v>
      </c>
      <c r="H382" t="inlineStr">
        <is>
          <t>Magenta: T-Mobile Austria GmbH, A-1120 Wien, PF 47</t>
        </is>
      </c>
      <c r="K382">
        <f>(IF(AND(I382&lt;&gt;"",AND(J382="",ABS(Q382)&gt;400)),TRUE,FALSE))</f>
        <v/>
      </c>
      <c r="L382" s="214" t="n">
        <v>35.24</v>
      </c>
      <c r="M382" s="159" t="n">
        <v>1</v>
      </c>
      <c r="N382" t="n">
        <v>20</v>
      </c>
      <c r="O382" s="237">
        <f>L382*N382/100</f>
        <v/>
      </c>
      <c r="P382" s="237">
        <f>M382*O382</f>
        <v/>
      </c>
      <c r="Q382" s="208">
        <f>L382*M382</f>
        <v/>
      </c>
      <c r="R382" s="251">
        <f>L382+O382</f>
        <v/>
      </c>
      <c r="S382" s="251">
        <f>Q382+P382</f>
        <v/>
      </c>
      <c r="T382" s="35">
        <f>voranmeldefrist_vierteljaehrlich(G382)</f>
        <v/>
      </c>
      <c r="U382" s="27" t="n"/>
      <c r="V382" s="27" t="n"/>
      <c r="W382" s="210">
        <f>IF(K382=TRUE,Q382/I382,Q382)</f>
        <v/>
      </c>
      <c r="X382" s="237">
        <f>V382/100*S382</f>
        <v/>
      </c>
      <c r="Y382">
        <f>IF(AND(V382&gt;0,N382=V382),TRUE,FALSE)</f>
        <v/>
      </c>
      <c r="Z382" s="228">
        <f>IF(C382="Einnahmen",Q382,-Q382)</f>
        <v/>
      </c>
    </row>
    <row r="383">
      <c r="A383" s="53" t="n">
        <v>2020</v>
      </c>
      <c r="B383" s="53" t="n">
        <v>144</v>
      </c>
      <c r="C383" s="71" t="inlineStr">
        <is>
          <t>Ausgaben</t>
        </is>
      </c>
      <c r="D383" t="inlineStr">
        <is>
          <t>sonstige Betriebsausgaben</t>
        </is>
      </c>
      <c r="E383" s="9" t="inlineStr">
        <is>
          <t>R0011550257</t>
        </is>
      </c>
      <c r="G383" s="1" t="n">
        <v>44020</v>
      </c>
      <c r="H383" t="inlineStr">
        <is>
          <t>Hetzner Online GmbH</t>
        </is>
      </c>
      <c r="K383">
        <f>(IF(AND(I383&lt;&gt;"",AND(J383="",ABS(Q383)&gt;400)),TRUE,FALSE))</f>
        <v/>
      </c>
      <c r="L383" s="214" t="n">
        <v>2.49</v>
      </c>
      <c r="M383" s="159" t="n">
        <v>1</v>
      </c>
      <c r="N383" t="n">
        <v>0</v>
      </c>
      <c r="O383" s="237">
        <f>L383*N383/100</f>
        <v/>
      </c>
      <c r="P383" s="237">
        <f>M383*O383</f>
        <v/>
      </c>
      <c r="Q383" s="208">
        <f>L383*M383</f>
        <v/>
      </c>
      <c r="R383" s="251">
        <f>L383+O383</f>
        <v/>
      </c>
      <c r="S383" s="251">
        <f>Q383+P383</f>
        <v/>
      </c>
      <c r="T383" s="35">
        <f>voranmeldefrist_vierteljaehrlich(G383)</f>
        <v/>
      </c>
      <c r="U383" s="27" t="n"/>
      <c r="V383" s="27" t="n">
        <v>20</v>
      </c>
      <c r="W383" s="210">
        <f>IF(K383=TRUE,Q383/J383,Q383)</f>
        <v/>
      </c>
      <c r="X383" s="237">
        <f>V383/100*S383</f>
        <v/>
      </c>
      <c r="Y383">
        <f>IF(AND(V383&gt;0,N383=V383),TRUE,FALSE)</f>
        <v/>
      </c>
      <c r="Z383" s="228">
        <f>IF(C383="Einnahmen",Q383,-Q383)</f>
        <v/>
      </c>
    </row>
    <row r="384">
      <c r="A384" s="53" t="n">
        <v>2020</v>
      </c>
      <c r="B384" s="53" t="n">
        <v>145</v>
      </c>
      <c r="C384" s="71" t="inlineStr">
        <is>
          <t>Ausgaben</t>
        </is>
      </c>
      <c r="D384" t="inlineStr">
        <is>
          <t>sonstige Betriebsausgaben</t>
        </is>
      </c>
      <c r="E384" s="9" t="inlineStr">
        <is>
          <t>5112142283</t>
        </is>
      </c>
      <c r="G384" s="1" t="n">
        <v>44022</v>
      </c>
      <c r="H384" t="inlineStr">
        <is>
          <t>Wiener Netze GmbH, Erdbergstraße 236, 1110 Wien, Postfach 422</t>
        </is>
      </c>
      <c r="K384">
        <f>(IF(AND(I384&lt;&gt;"",AND(J384="",ABS(Q384)&gt;400)),TRUE,FALSE))</f>
        <v/>
      </c>
      <c r="L384" s="214">
        <f>S384/1.2</f>
        <v/>
      </c>
      <c r="M384" s="159" t="n">
        <v>1</v>
      </c>
      <c r="N384" t="n">
        <v>20</v>
      </c>
      <c r="O384" s="237">
        <f>L384*N384/100</f>
        <v/>
      </c>
      <c r="P384" s="237">
        <f>M384*O384</f>
        <v/>
      </c>
      <c r="Q384" s="208">
        <f>L384*M384</f>
        <v/>
      </c>
      <c r="R384" s="251">
        <f>L384+O384</f>
        <v/>
      </c>
      <c r="S384" s="251" t="n">
        <v>34.8</v>
      </c>
      <c r="T384" s="35">
        <f>voranmeldefrist_vierteljaehrlich(G384)</f>
        <v/>
      </c>
      <c r="U384" s="27" t="n"/>
      <c r="V384" s="27" t="n"/>
      <c r="W384" s="210">
        <f>IF(K384=TRUE,Q384/J384,Q384)</f>
        <v/>
      </c>
      <c r="X384" s="237">
        <f>V384/100*S384</f>
        <v/>
      </c>
      <c r="Y384">
        <f>IF(AND(V384&gt;0,N384=V384),TRUE,FALSE)</f>
        <v/>
      </c>
      <c r="Z384" s="228">
        <f>IF(C384="Einnahmen",Q384,-Q384)</f>
        <v/>
      </c>
    </row>
    <row r="385">
      <c r="A385" s="53" t="n">
        <v>2020</v>
      </c>
      <c r="B385" s="53" t="n">
        <v>146</v>
      </c>
      <c r="C385" s="71" t="inlineStr">
        <is>
          <t>Ausgaben</t>
        </is>
      </c>
      <c r="D385" t="inlineStr">
        <is>
          <t>sonstige Betriebsausgaben</t>
        </is>
      </c>
      <c r="E385" s="9" t="inlineStr">
        <is>
          <t>R0011586147</t>
        </is>
      </c>
      <c r="G385" s="1" t="n">
        <v>44025</v>
      </c>
      <c r="H385" t="inlineStr">
        <is>
          <t>Hetzner Online GmbH</t>
        </is>
      </c>
      <c r="K385">
        <f>(IF(AND(I385&lt;&gt;"",AND(J385="",ABS(Q385)&gt;400)),TRUE,FALSE))</f>
        <v/>
      </c>
      <c r="L385" s="214" t="n">
        <v>46.92</v>
      </c>
      <c r="M385" s="159" t="n">
        <v>1</v>
      </c>
      <c r="N385" t="n">
        <v>0</v>
      </c>
      <c r="O385" s="237">
        <f>L385*N385/100</f>
        <v/>
      </c>
      <c r="P385" s="237">
        <f>M385*O385</f>
        <v/>
      </c>
      <c r="Q385" s="208">
        <f>L385*M385</f>
        <v/>
      </c>
      <c r="R385" s="251">
        <f>L385+O385</f>
        <v/>
      </c>
      <c r="S385" s="251">
        <f>Q385+P385</f>
        <v/>
      </c>
      <c r="T385" s="35">
        <f>voranmeldefrist_vierteljaehrlich(G385)</f>
        <v/>
      </c>
      <c r="U385" s="27" t="n"/>
      <c r="V385" s="27" t="n">
        <v>20</v>
      </c>
      <c r="W385" s="210">
        <f>IF(K385=TRUE,Q385/J385,Q385)</f>
        <v/>
      </c>
      <c r="X385" s="237">
        <f>V385/100*S385</f>
        <v/>
      </c>
      <c r="Y385">
        <f>IF(AND(V385&gt;0,N385=V385),TRUE,FALSE)</f>
        <v/>
      </c>
      <c r="Z385" s="228">
        <f>IF(C385="Einnahmen",Q385,-Q385)</f>
        <v/>
      </c>
    </row>
    <row r="386">
      <c r="A386" s="53" t="n">
        <v>2020</v>
      </c>
      <c r="B386" s="53" t="n">
        <v>147</v>
      </c>
      <c r="C386" s="71" t="inlineStr">
        <is>
          <t>Einnahmen</t>
        </is>
      </c>
      <c r="D386" t="inlineStr">
        <is>
          <t>Waren-/Leistungserlöse</t>
        </is>
      </c>
      <c r="E386" s="9" t="inlineStr">
        <is>
          <t>12020022</t>
        </is>
      </c>
      <c r="G386" s="44" t="n">
        <v>44025</v>
      </c>
      <c r="H386" t="inlineStr">
        <is>
          <t>Schick Küchendesign e.U. Alexander Schick, Linzerstraße 247, 1140 Wien</t>
        </is>
      </c>
      <c r="K386">
        <f>(IF(AND(I386&lt;&gt;"",AND(J386="",ABS(Q386)&gt;400)),TRUE,FALSE))</f>
        <v/>
      </c>
      <c r="L386" s="214" t="n">
        <v>250.25</v>
      </c>
      <c r="M386" s="159" t="n">
        <v>1</v>
      </c>
      <c r="N386" t="n">
        <v>20</v>
      </c>
      <c r="O386" s="237">
        <f>L386*N386/100</f>
        <v/>
      </c>
      <c r="P386" s="237">
        <f>M386*O386</f>
        <v/>
      </c>
      <c r="Q386" s="208">
        <f>L386*M386</f>
        <v/>
      </c>
      <c r="R386" s="251">
        <f>L386+O386</f>
        <v/>
      </c>
      <c r="S386" s="251">
        <f>Q386+P386</f>
        <v/>
      </c>
      <c r="T386" s="35">
        <f>voranmeldefrist_vierteljaehrlich(G386)</f>
        <v/>
      </c>
      <c r="U386" s="27" t="n"/>
      <c r="V386" s="27" t="n"/>
      <c r="W386" s="210">
        <f>IF(K386=TRUE,Q386/J386,Q386)</f>
        <v/>
      </c>
      <c r="X386" s="237">
        <f>V386/100*S386</f>
        <v/>
      </c>
      <c r="Y386">
        <f>IF(AND(V386&gt;0,N386=V386),TRUE,FALSE)</f>
        <v/>
      </c>
      <c r="Z386" s="228">
        <f>IF(C386="Einnahmen",Q386,-Q386)</f>
        <v/>
      </c>
    </row>
    <row r="387">
      <c r="A387" s="53" t="n">
        <v>2020</v>
      </c>
      <c r="B387" s="53" t="n">
        <v>148</v>
      </c>
      <c r="C387" s="71" t="inlineStr">
        <is>
          <t>Einnahmen</t>
        </is>
      </c>
      <c r="D387" t="inlineStr">
        <is>
          <t>Waren-/Leistungserlöse</t>
        </is>
      </c>
      <c r="E387" s="9" t="inlineStr">
        <is>
          <t>12020027</t>
        </is>
      </c>
      <c r="G387" s="1" t="n">
        <v>44027</v>
      </c>
      <c r="H387" t="inlineStr">
        <is>
          <t>Musikschule Bad Vöslau, Hauptstraße 14, 2540 Bad Vöslau</t>
        </is>
      </c>
      <c r="K387">
        <f>(IF(AND(I387&lt;&gt;"",AND(J387="",ABS(Q387)&gt;400)),TRUE,FALSE))</f>
        <v/>
      </c>
      <c r="L387" s="214" t="n">
        <v>350</v>
      </c>
      <c r="M387" s="159" t="n">
        <v>1</v>
      </c>
      <c r="N387" t="n">
        <v>20</v>
      </c>
      <c r="O387" s="237">
        <f>L387*N387/100</f>
        <v/>
      </c>
      <c r="P387" s="237">
        <f>M387*O387</f>
        <v/>
      </c>
      <c r="Q387" s="208">
        <f>L387*M387</f>
        <v/>
      </c>
      <c r="R387" s="251">
        <f>L387+O387</f>
        <v/>
      </c>
      <c r="S387" s="251">
        <f>Q387+P387</f>
        <v/>
      </c>
      <c r="T387" s="35">
        <f>voranmeldefrist_vierteljaehrlich(G387)</f>
        <v/>
      </c>
      <c r="U387" s="27" t="n"/>
      <c r="V387" s="27" t="n"/>
      <c r="W387" s="210">
        <f>IF(K387=TRUE,Q387/J387,Q387)</f>
        <v/>
      </c>
      <c r="X387" s="237">
        <f>V387/100*S387</f>
        <v/>
      </c>
      <c r="Y387">
        <f>IF(AND(V387&gt;0,N387=V387),TRUE,FALSE)</f>
        <v/>
      </c>
      <c r="Z387" s="228">
        <f>IF(C387="Einnahmen",Q387,-Q387)</f>
        <v/>
      </c>
    </row>
    <row r="388">
      <c r="A388" s="53" t="n">
        <v>2020</v>
      </c>
      <c r="B388" s="53" t="n">
        <v>149</v>
      </c>
      <c r="C388" s="71" t="inlineStr">
        <is>
          <t>Einnahmen</t>
        </is>
      </c>
      <c r="D388" s="100" t="inlineStr">
        <is>
          <t>Übrige Erträge</t>
        </is>
      </c>
      <c r="E388" s="135" t="n"/>
      <c r="F388" s="100" t="n"/>
      <c r="G388" s="102" t="n">
        <v>44025</v>
      </c>
      <c r="H388" s="100" t="inlineStr">
        <is>
          <t>Wirtschaftsagentur Wien Home-Office 2020 Endauszahlung 357,8 (sonstiger Ertrag, nicht steuerbar)</t>
        </is>
      </c>
      <c r="I388" s="100" t="n"/>
      <c r="J388" s="103" t="n"/>
      <c r="K388" s="100">
        <f>(IF(AND(I388&lt;&gt;"",AND(J388="",ABS(Q388)&gt;400)),TRUE,FALSE))</f>
        <v/>
      </c>
      <c r="L388" s="252" t="n"/>
      <c r="M388" s="104" t="n"/>
      <c r="N388" s="100" t="n"/>
      <c r="O388" s="253" t="n"/>
      <c r="P388" s="253" t="n"/>
      <c r="Q388" s="253" t="n"/>
      <c r="R388" s="253" t="n"/>
      <c r="S388" s="253" t="n"/>
      <c r="T388" s="106" t="n"/>
      <c r="U388" s="100" t="n"/>
      <c r="V388" s="100" t="n"/>
      <c r="W388" s="252" t="n"/>
      <c r="X388" s="253" t="n"/>
      <c r="Y388" s="100" t="n"/>
      <c r="Z388" s="254" t="n"/>
    </row>
    <row r="389">
      <c r="A389" s="53" t="n">
        <v>2020</v>
      </c>
      <c r="B389" s="53" t="n">
        <v>150</v>
      </c>
      <c r="C389" s="71" t="inlineStr">
        <is>
          <t>Einnahmen</t>
        </is>
      </c>
      <c r="D389" t="inlineStr">
        <is>
          <t>Waren-/Leistungserlöse</t>
        </is>
      </c>
      <c r="E389" s="9" t="inlineStr">
        <is>
          <t>12020021</t>
        </is>
      </c>
      <c r="G389" s="1" t="n">
        <v>44036</v>
      </c>
      <c r="H389" t="inlineStr">
        <is>
          <t>DCF - Digital Coding Factory GmbH, Bauernfeldgasse 4/12 1090 Wien</t>
        </is>
      </c>
      <c r="K389">
        <f>(IF(AND(I389&lt;&gt;"",AND(J389="",ABS(Q389)&gt;400)),TRUE,FALSE))</f>
        <v/>
      </c>
      <c r="L389" s="214" t="n">
        <v>2250</v>
      </c>
      <c r="M389" s="159" t="n">
        <v>1</v>
      </c>
      <c r="N389" t="n">
        <v>20</v>
      </c>
      <c r="O389" s="237">
        <f>L389*N389/100</f>
        <v/>
      </c>
      <c r="P389" s="237">
        <f>M389*O389</f>
        <v/>
      </c>
      <c r="Q389" s="208">
        <f>L389*M389</f>
        <v/>
      </c>
      <c r="R389" s="251">
        <f>L389+O389</f>
        <v/>
      </c>
      <c r="S389" s="251">
        <f>Q389+P389</f>
        <v/>
      </c>
      <c r="T389" s="35">
        <f>voranmeldefrist_vierteljaehrlich(G389)</f>
        <v/>
      </c>
      <c r="U389" s="27" t="n"/>
      <c r="V389" s="27" t="n"/>
      <c r="W389" s="210">
        <f>IF(K389=TRUE,Q389/I389,Q389)</f>
        <v/>
      </c>
      <c r="X389" s="237">
        <f>V389/100*S389</f>
        <v/>
      </c>
      <c r="Y389">
        <f>IF(AND(V389&gt;0,N389=V389),TRUE,FALSE)</f>
        <v/>
      </c>
      <c r="Z389" s="228">
        <f>IF(C389="Einnahmen",Q389,-Q389)</f>
        <v/>
      </c>
    </row>
    <row r="390">
      <c r="A390" s="53" t="n">
        <v>2020</v>
      </c>
      <c r="B390" s="53" t="n">
        <v>151</v>
      </c>
      <c r="C390" s="71" t="inlineStr">
        <is>
          <t>Einnahmen</t>
        </is>
      </c>
      <c r="D390" t="inlineStr">
        <is>
          <t>Waren-/Leistungserlöse</t>
        </is>
      </c>
      <c r="E390" s="9" t="inlineStr">
        <is>
          <t>12020020</t>
        </is>
      </c>
      <c r="G390" s="1" t="n">
        <v>44036</v>
      </c>
      <c r="H390" t="inlineStr">
        <is>
          <t>DCF - Digital Coding Factory GmbH, Bauernfeldgasse 4/12 1090 Wien</t>
        </is>
      </c>
      <c r="K390">
        <f>(IF(AND(I390&lt;&gt;"",AND(J390="",ABS(Q390)&gt;400)),TRUE,FALSE))</f>
        <v/>
      </c>
      <c r="L390" s="214" t="n">
        <v>2790</v>
      </c>
      <c r="M390" s="159" t="n">
        <v>1</v>
      </c>
      <c r="N390" t="n">
        <v>20</v>
      </c>
      <c r="O390" s="237">
        <f>L390*N390/100</f>
        <v/>
      </c>
      <c r="P390" s="237">
        <f>M390*O390</f>
        <v/>
      </c>
      <c r="Q390" s="208">
        <f>L390*M390</f>
        <v/>
      </c>
      <c r="R390" s="251">
        <f>L390+O390</f>
        <v/>
      </c>
      <c r="S390" s="251">
        <f>Q390+P390</f>
        <v/>
      </c>
      <c r="T390" s="35">
        <f>voranmeldefrist_vierteljaehrlich(G390)</f>
        <v/>
      </c>
      <c r="U390" s="27" t="n"/>
      <c r="V390" s="27" t="n"/>
      <c r="W390" s="210">
        <f>IF(K390=TRUE,Q390/I390,Q390)</f>
        <v/>
      </c>
      <c r="X390" s="237">
        <f>V390/100*S390</f>
        <v/>
      </c>
      <c r="Y390">
        <f>IF(AND(V390&gt;0,N390=V390),TRUE,FALSE)</f>
        <v/>
      </c>
      <c r="Z390" s="228">
        <f>IF(C390="Einnahmen",Q390,-Q390)</f>
        <v/>
      </c>
    </row>
    <row r="391">
      <c r="A391" s="53" t="n">
        <v>2020</v>
      </c>
      <c r="B391" s="53" t="n">
        <v>152</v>
      </c>
      <c r="C391" s="71" t="inlineStr">
        <is>
          <t>Einnahmen</t>
        </is>
      </c>
      <c r="D391" t="inlineStr">
        <is>
          <t>Waren-/Leistungserlöse</t>
        </is>
      </c>
      <c r="E391" s="9" t="inlineStr">
        <is>
          <t>12020019</t>
        </is>
      </c>
      <c r="G391" s="1" t="n">
        <v>44039</v>
      </c>
      <c r="H391" t="inlineStr">
        <is>
          <t>Paperholic all bout paper e.U.</t>
        </is>
      </c>
      <c r="K391" t="b">
        <v>0</v>
      </c>
      <c r="L391" s="214" t="n">
        <v>131.25</v>
      </c>
      <c r="M391" s="159" t="n">
        <v>1</v>
      </c>
      <c r="N391" t="n">
        <v>20</v>
      </c>
      <c r="O391" s="237">
        <f>L391*N391/100</f>
        <v/>
      </c>
      <c r="P391" s="237">
        <f>M391*O391</f>
        <v/>
      </c>
      <c r="Q391" s="208">
        <f>L391*M391</f>
        <v/>
      </c>
      <c r="R391" s="251">
        <f>L391+O391</f>
        <v/>
      </c>
      <c r="S391" s="251">
        <f>Q391+P391</f>
        <v/>
      </c>
      <c r="T391" s="35">
        <f>voranmeldefrist_vierteljaehrlich(G391)</f>
        <v/>
      </c>
      <c r="U391" s="27" t="n"/>
      <c r="V391" s="27" t="n"/>
      <c r="W391" s="210">
        <f>IF(K391=TRUE,Q391/I391,Q391)</f>
        <v/>
      </c>
      <c r="X391" s="237">
        <f>V391/100*S391</f>
        <v/>
      </c>
      <c r="Y391">
        <f>IF(AND(V391&gt;0,N391=V391),TRUE,FALSE)</f>
        <v/>
      </c>
      <c r="Z391" s="228">
        <f>IF(C391="Einnahmen",Q391,-Q391)</f>
        <v/>
      </c>
    </row>
    <row r="392">
      <c r="A392" s="53" t="n">
        <v>2020</v>
      </c>
      <c r="B392" s="53" t="n">
        <v>153</v>
      </c>
      <c r="C392" s="71" t="inlineStr">
        <is>
          <t>Ausgaben</t>
        </is>
      </c>
      <c r="D392" t="inlineStr">
        <is>
          <t>Telefon/Internet</t>
        </is>
      </c>
      <c r="E392" s="9" t="inlineStr">
        <is>
          <t>1002325367488</t>
        </is>
      </c>
      <c r="G392" s="1" t="n">
        <v>44046</v>
      </c>
      <c r="H392" t="inlineStr">
        <is>
          <t>HoT Telekom und Service GmbH</t>
        </is>
      </c>
      <c r="K392" t="b">
        <v>0</v>
      </c>
      <c r="L392" s="214" t="n">
        <v>4.92</v>
      </c>
      <c r="M392" s="159" t="n">
        <v>1</v>
      </c>
      <c r="N392" t="n">
        <v>20</v>
      </c>
      <c r="O392" s="237">
        <f>L392*N392/100</f>
        <v/>
      </c>
      <c r="P392" s="237">
        <f>M392*O392</f>
        <v/>
      </c>
      <c r="Q392" s="208">
        <f>L392*M392</f>
        <v/>
      </c>
      <c r="R392" s="251">
        <f>L392+O392</f>
        <v/>
      </c>
      <c r="S392" s="251">
        <f>Q392+P392</f>
        <v/>
      </c>
      <c r="T392" s="35">
        <f>voranmeldefrist_vierteljaehrlich(G392)</f>
        <v/>
      </c>
      <c r="U392" s="27" t="n"/>
      <c r="V392" s="27" t="n"/>
      <c r="W392" s="210">
        <f>IF(K392=TRUE,Q392/J392,Q392)</f>
        <v/>
      </c>
      <c r="X392" s="237">
        <f>V392/100*S392</f>
        <v/>
      </c>
      <c r="Y392">
        <f>IF(AND(V392&gt;0,N392=V392),TRUE,FALSE)</f>
        <v/>
      </c>
      <c r="Z392" s="228">
        <f>IF(C392="Einnahmen",Q392,-Q392)</f>
        <v/>
      </c>
    </row>
    <row r="393">
      <c r="A393" s="53" t="n">
        <v>2020</v>
      </c>
      <c r="B393" s="53" t="n">
        <v>154</v>
      </c>
      <c r="C393" s="71" t="inlineStr">
        <is>
          <t>Ausgaben</t>
        </is>
      </c>
      <c r="D393" t="inlineStr">
        <is>
          <t>sonstige Betriebsausgaben</t>
        </is>
      </c>
      <c r="E393" s="9" t="inlineStr">
        <is>
          <t>HKA/20-01-39452</t>
        </is>
      </c>
      <c r="G393" s="1" t="n">
        <v>44048</v>
      </c>
      <c r="H393" t="inlineStr">
        <is>
          <t>Techem Messtechnik GmbH; Abnehmernummer 501686-0003-11-(</t>
        </is>
      </c>
      <c r="K393">
        <f>(IF(AND(I393&lt;&gt;"",AND(J393="",ABS(Q393)&gt;400)),TRUE,FALSE))</f>
        <v/>
      </c>
      <c r="L393" s="214" t="n">
        <v>143.72</v>
      </c>
      <c r="M393" s="159" t="n">
        <v>1</v>
      </c>
      <c r="N393" t="n">
        <v>20</v>
      </c>
      <c r="O393" s="237">
        <f>L393*N393/100</f>
        <v/>
      </c>
      <c r="P393" s="237">
        <f>M393*O393</f>
        <v/>
      </c>
      <c r="Q393" s="208">
        <f>L393*M393</f>
        <v/>
      </c>
      <c r="R393" s="251">
        <f>L393+O393</f>
        <v/>
      </c>
      <c r="S393" s="251">
        <f>Q393+P393</f>
        <v/>
      </c>
      <c r="T393" s="35">
        <f>voranmeldefrist_vierteljaehrlich(G393)</f>
        <v/>
      </c>
      <c r="U393" s="27" t="n"/>
      <c r="V393" s="27" t="n"/>
      <c r="W393" s="210">
        <f>IF(K393=TRUE,Q393/I393,Q393)</f>
        <v/>
      </c>
      <c r="X393" s="237">
        <f>V393/100*S393</f>
        <v/>
      </c>
      <c r="Y393">
        <f>IF(AND(V393&gt;0,N393=V393),TRUE,FALSE)</f>
        <v/>
      </c>
      <c r="Z393" s="228">
        <f>IF(C393="Einnahmen",Q393,-Q393)</f>
        <v/>
      </c>
    </row>
    <row r="394">
      <c r="A394" s="53" t="n">
        <v>2020</v>
      </c>
      <c r="B394" s="53" t="n">
        <v>155</v>
      </c>
      <c r="C394" s="71" t="inlineStr">
        <is>
          <t>Ausgaben</t>
        </is>
      </c>
      <c r="D394" t="inlineStr">
        <is>
          <t>sonstige Betriebsausgaben</t>
        </is>
      </c>
      <c r="E394" s="9" t="inlineStr">
        <is>
          <t>807693</t>
        </is>
      </c>
      <c r="G394" s="1" t="n">
        <v>44048</v>
      </c>
      <c r="H394" t="inlineStr">
        <is>
          <t>easy green energy GmbH &amp; Co KG</t>
        </is>
      </c>
      <c r="K394">
        <f>(IF(AND(I394&lt;&gt;"",AND(J394="",ABS(Q394)&gt;400)),TRUE,FALSE))</f>
        <v/>
      </c>
      <c r="L394" s="214">
        <f>S394/1.2</f>
        <v/>
      </c>
      <c r="M394" s="159" t="n">
        <v>1</v>
      </c>
      <c r="N394" t="n">
        <v>20</v>
      </c>
      <c r="O394" s="237">
        <f>L394*N394/100</f>
        <v/>
      </c>
      <c r="P394" s="237">
        <f>M394*O394</f>
        <v/>
      </c>
      <c r="Q394" s="208">
        <f>L394*M394</f>
        <v/>
      </c>
      <c r="R394" s="251">
        <f>L394+O394</f>
        <v/>
      </c>
      <c r="S394" s="251" t="n">
        <v>3</v>
      </c>
      <c r="T394" s="35">
        <f>voranmeldefrist_vierteljaehrlich(G394)</f>
        <v/>
      </c>
      <c r="U394" s="27" t="n"/>
      <c r="V394" s="27" t="n"/>
      <c r="W394" s="210">
        <f>IF(K394=TRUE,Q394/J394,Q394)</f>
        <v/>
      </c>
      <c r="X394" s="237">
        <f>V394/100*S394</f>
        <v/>
      </c>
      <c r="Y394">
        <f>IF(AND(V394&gt;0,N394=V394),TRUE,FALSE)</f>
        <v/>
      </c>
      <c r="Z394" s="228">
        <f>IF(C394="Einnahmen",Q394,-Q394)</f>
        <v/>
      </c>
    </row>
    <row r="395">
      <c r="A395" s="53" t="n">
        <v>2020</v>
      </c>
      <c r="B395" s="53" t="n">
        <v>156</v>
      </c>
      <c r="C395" s="71" t="inlineStr">
        <is>
          <t>Ausgaben</t>
        </is>
      </c>
      <c r="D395" t="inlineStr">
        <is>
          <t>Telefon/Internet</t>
        </is>
      </c>
      <c r="E395" s="9" t="n">
        <v>6204766176</v>
      </c>
      <c r="G395" s="1" t="n">
        <v>44047</v>
      </c>
      <c r="H395" t="inlineStr">
        <is>
          <t>Hutchison Drei Austria GmbH, Brünner Straße 52, 1210 Wien, Österreich</t>
        </is>
      </c>
      <c r="K395">
        <f>(IF(AND(I395&lt;&gt;"",AND(J395="",ABS(Q395)&gt;400)),TRUE,FALSE))</f>
        <v/>
      </c>
      <c r="L395" s="214" t="n">
        <v>15</v>
      </c>
      <c r="M395" s="159" t="n">
        <v>1</v>
      </c>
      <c r="N395" t="n">
        <v>20</v>
      </c>
      <c r="O395" s="237">
        <f>L395*N395/100</f>
        <v/>
      </c>
      <c r="P395" s="237">
        <f>M395*O395</f>
        <v/>
      </c>
      <c r="Q395" s="208">
        <f>L395*M395</f>
        <v/>
      </c>
      <c r="R395" s="251">
        <f>L395+O395</f>
        <v/>
      </c>
      <c r="S395" s="251">
        <f>Q395+P395</f>
        <v/>
      </c>
      <c r="T395" s="35">
        <f>voranmeldefrist_vierteljaehrlich(G395)</f>
        <v/>
      </c>
      <c r="U395" s="27" t="n"/>
      <c r="V395" s="27" t="n"/>
      <c r="W395" s="210">
        <f>IF(K395=TRUE,Q395/I395,Q395)</f>
        <v/>
      </c>
      <c r="X395" s="237">
        <f>V395/100*S395</f>
        <v/>
      </c>
      <c r="Y395">
        <f>IF(AND(V395&gt;0,N395=V395),TRUE,FALSE)</f>
        <v/>
      </c>
      <c r="Z395" s="228">
        <f>IF(C395="Einnahmen",Q395,-Q395)</f>
        <v/>
      </c>
    </row>
    <row r="396">
      <c r="A396" s="53" t="n">
        <v>2020</v>
      </c>
      <c r="B396" s="53" t="n">
        <v>157</v>
      </c>
      <c r="C396" s="71" t="inlineStr">
        <is>
          <t>Ausgaben</t>
        </is>
      </c>
      <c r="D396" t="inlineStr">
        <is>
          <t>sonstige Betriebsausgaben</t>
        </is>
      </c>
      <c r="E396" s="9" t="inlineStr">
        <is>
          <t>R0011713189</t>
        </is>
      </c>
      <c r="G396" s="1" t="n">
        <v>44049</v>
      </c>
      <c r="H396" t="inlineStr">
        <is>
          <t>Hetzner Online GmbH</t>
        </is>
      </c>
      <c r="K396">
        <f>(IF(AND(I396&lt;&gt;"",AND(J396="",ABS(Q396)&gt;400)),TRUE,FALSE))</f>
        <v/>
      </c>
      <c r="L396" s="214" t="n">
        <v>2.49</v>
      </c>
      <c r="M396" s="159" t="n">
        <v>1</v>
      </c>
      <c r="N396" t="n">
        <v>0</v>
      </c>
      <c r="O396" s="237">
        <f>L396*N396/100</f>
        <v/>
      </c>
      <c r="P396" s="237">
        <f>M396*O396</f>
        <v/>
      </c>
      <c r="Q396" s="208">
        <f>L396*M396</f>
        <v/>
      </c>
      <c r="R396" s="251">
        <f>L396+O396</f>
        <v/>
      </c>
      <c r="S396" s="251">
        <f>Q396+P396</f>
        <v/>
      </c>
      <c r="T396" s="35">
        <f>voranmeldefrist_vierteljaehrlich(G396)</f>
        <v/>
      </c>
      <c r="U396" s="27" t="n"/>
      <c r="V396" s="27" t="n">
        <v>20</v>
      </c>
      <c r="W396" s="210">
        <f>IF(K396=TRUE,Q396/J396,Q396)</f>
        <v/>
      </c>
      <c r="X396" s="237">
        <f>V396/100*S396</f>
        <v/>
      </c>
      <c r="Y396">
        <f>IF(AND(V396&gt;0,N396=V396),TRUE,FALSE)</f>
        <v/>
      </c>
      <c r="Z396" s="228">
        <f>IF(C396="Einnahmen",Q396,-Q396)</f>
        <v/>
      </c>
    </row>
    <row r="397">
      <c r="A397" s="53" t="n">
        <v>2020</v>
      </c>
      <c r="B397" s="53" t="n">
        <v>158</v>
      </c>
      <c r="C397" s="71" t="inlineStr">
        <is>
          <t>Ausgaben</t>
        </is>
      </c>
      <c r="D397" t="inlineStr">
        <is>
          <t>sonstige Betriebsausgaben</t>
        </is>
      </c>
      <c r="E397" s="9" t="inlineStr">
        <is>
          <t>5112142283</t>
        </is>
      </c>
      <c r="G397" s="1" t="n">
        <v>44053</v>
      </c>
      <c r="H397" t="inlineStr">
        <is>
          <t>Wiener Netze GmbH, Erdbergstraße 236, 1110 Wien, Postfach 422</t>
        </is>
      </c>
      <c r="K397">
        <f>(IF(AND(I397&lt;&gt;"",AND(J397="",ABS(Q397)&gt;400)),TRUE,FALSE))</f>
        <v/>
      </c>
      <c r="L397" s="214">
        <f>S397/1.2</f>
        <v/>
      </c>
      <c r="M397" s="159" t="n">
        <v>1</v>
      </c>
      <c r="N397" t="n">
        <v>20</v>
      </c>
      <c r="O397" s="237">
        <f>L397*N397/100</f>
        <v/>
      </c>
      <c r="P397" s="237">
        <f>M397*O397</f>
        <v/>
      </c>
      <c r="Q397" s="208">
        <f>L397*M397</f>
        <v/>
      </c>
      <c r="R397" s="251">
        <f>L397+O397</f>
        <v/>
      </c>
      <c r="S397" s="251" t="n">
        <v>34.8</v>
      </c>
      <c r="T397" s="35">
        <f>voranmeldefrist_vierteljaehrlich(G397)</f>
        <v/>
      </c>
      <c r="U397" s="27" t="n"/>
      <c r="V397" s="27" t="n"/>
      <c r="W397" s="210">
        <f>IF(K397=TRUE,Q397/J397,Q397)</f>
        <v/>
      </c>
      <c r="X397" s="237">
        <f>V397/100*S397</f>
        <v/>
      </c>
      <c r="Y397">
        <f>IF(AND(V397&gt;0,N397=V397),TRUE,FALSE)</f>
        <v/>
      </c>
      <c r="Z397" s="228">
        <f>IF(C397="Einnahmen",Q397,-Q397)</f>
        <v/>
      </c>
    </row>
    <row r="398">
      <c r="A398" s="53" t="n">
        <v>2020</v>
      </c>
      <c r="B398" s="53" t="n">
        <v>159</v>
      </c>
      <c r="C398" s="71" t="inlineStr">
        <is>
          <t>Ausgaben</t>
        </is>
      </c>
      <c r="D398" t="inlineStr">
        <is>
          <t>sonstige Betriebsausgaben</t>
        </is>
      </c>
      <c r="E398" s="9" t="inlineStr">
        <is>
          <t>802540</t>
        </is>
      </c>
      <c r="G398" s="1" t="n">
        <v>44053</v>
      </c>
      <c r="H398" t="inlineStr">
        <is>
          <t>Lemon Technologies GmbH, Unterweißenbach 181, 7330 Feldbach: Bildschirm</t>
        </is>
      </c>
      <c r="K398">
        <f>(IF(AND(I398&lt;&gt;"",AND(J398="",ABS(Q398)&gt;400)),TRUE,FALSE))</f>
        <v/>
      </c>
      <c r="L398" s="214" t="n">
        <v>105.23</v>
      </c>
      <c r="M398" s="159" t="n">
        <v>1</v>
      </c>
      <c r="N398" t="n">
        <v>20</v>
      </c>
      <c r="O398" s="237">
        <f>L398*N398/100</f>
        <v/>
      </c>
      <c r="P398" s="237">
        <f>M398*O398</f>
        <v/>
      </c>
      <c r="Q398" s="208">
        <f>L398*M398</f>
        <v/>
      </c>
      <c r="R398" s="251">
        <f>L398+O398</f>
        <v/>
      </c>
      <c r="S398" s="251">
        <f>Q398+P398</f>
        <v/>
      </c>
      <c r="T398" s="35">
        <f>voranmeldefrist_vierteljaehrlich(G398)</f>
        <v/>
      </c>
      <c r="U398" s="27" t="n"/>
      <c r="V398" s="27" t="n"/>
      <c r="W398" s="210">
        <f>IF(K398=TRUE,Q398/I398,Q398)</f>
        <v/>
      </c>
      <c r="X398" s="237">
        <f>V398/100*S398</f>
        <v/>
      </c>
      <c r="Y398">
        <f>IF(AND(V398&gt;0,N398=V398),TRUE,FALSE)</f>
        <v/>
      </c>
      <c r="Z398" s="228">
        <f>IF(C398="Einnahmen",Q398,-Q398)</f>
        <v/>
      </c>
    </row>
    <row r="399">
      <c r="A399" s="53" t="n">
        <v>2020</v>
      </c>
      <c r="B399" s="53" t="n">
        <v>160</v>
      </c>
      <c r="C399" s="71" t="inlineStr">
        <is>
          <t>Ausgaben</t>
        </is>
      </c>
      <c r="D399" t="inlineStr">
        <is>
          <t>sonstige Betriebsausgaben</t>
        </is>
      </c>
      <c r="E399" s="9" t="inlineStr">
        <is>
          <t>R0011750762</t>
        </is>
      </c>
      <c r="G399" s="1" t="n">
        <v>44056</v>
      </c>
      <c r="H399" t="inlineStr">
        <is>
          <t>Hetzner Online GmbH</t>
        </is>
      </c>
      <c r="K399">
        <f>(IF(AND(I399&lt;&gt;"",AND(J399="",ABS(Q399)&gt;400)),TRUE,FALSE))</f>
        <v/>
      </c>
      <c r="L399" s="214" t="n">
        <v>46.92</v>
      </c>
      <c r="M399" s="159" t="n">
        <v>1</v>
      </c>
      <c r="N399" t="n">
        <v>0</v>
      </c>
      <c r="O399" s="237">
        <f>L399*N399/100</f>
        <v/>
      </c>
      <c r="P399" s="237">
        <f>M399*O399</f>
        <v/>
      </c>
      <c r="Q399" s="208">
        <f>L399*M399</f>
        <v/>
      </c>
      <c r="R399" s="251">
        <f>L399+O399</f>
        <v/>
      </c>
      <c r="S399" s="251">
        <f>Q399+P399</f>
        <v/>
      </c>
      <c r="T399" s="35">
        <f>voranmeldefrist_vierteljaehrlich(G399)</f>
        <v/>
      </c>
      <c r="U399" s="27" t="n"/>
      <c r="V399" s="27" t="n">
        <v>20</v>
      </c>
      <c r="W399" s="210">
        <f>IF(K399=TRUE,Q399/J399,Q399)</f>
        <v/>
      </c>
      <c r="X399" s="237">
        <f>V399/100*S399</f>
        <v/>
      </c>
      <c r="Y399">
        <f>IF(AND(V399&gt;0,N399=V399),TRUE,FALSE)</f>
        <v/>
      </c>
      <c r="Z399" s="228">
        <f>IF(C399="Einnahmen",Q399,-Q399)</f>
        <v/>
      </c>
    </row>
    <row r="400">
      <c r="A400" s="53" t="n">
        <v>2020</v>
      </c>
      <c r="B400" s="53" t="n">
        <v>161</v>
      </c>
      <c r="C400" s="71" t="inlineStr">
        <is>
          <t>Einnahmen</t>
        </is>
      </c>
      <c r="D400" t="inlineStr">
        <is>
          <t>Waren-/Leistungserlöse</t>
        </is>
      </c>
      <c r="E400" s="9" t="n">
        <v>12020013</v>
      </c>
      <c r="G400" s="1" t="n">
        <v>44014</v>
      </c>
      <c r="H400" t="inlineStr">
        <is>
          <t>ZT DI Dr. Arno Kolbitsch, Gütleweg 1, 6822 Satteins</t>
        </is>
      </c>
      <c r="K400">
        <f>(IF(AND(I400&lt;&gt;"",AND(J400="",ABS(Q400)&gt;400)),TRUE,FALSE))</f>
        <v/>
      </c>
      <c r="L400" s="214" t="n">
        <v>362.4</v>
      </c>
      <c r="M400" s="159" t="n">
        <v>1</v>
      </c>
      <c r="N400" t="n">
        <v>20</v>
      </c>
      <c r="O400" s="237">
        <f>L400*N400/100</f>
        <v/>
      </c>
      <c r="P400" s="237">
        <f>M400*O400</f>
        <v/>
      </c>
      <c r="Q400" s="208">
        <f>L400*M400</f>
        <v/>
      </c>
      <c r="R400" s="251">
        <f>L400+O400</f>
        <v/>
      </c>
      <c r="S400" s="251">
        <f>Q400+P400</f>
        <v/>
      </c>
      <c r="T400" s="35">
        <f>voranmeldefrist_vierteljaehrlich(G400)</f>
        <v/>
      </c>
      <c r="U400" s="27" t="n"/>
      <c r="V400" s="27" t="n"/>
      <c r="W400" s="210">
        <f>IF(K400=TRUE,Q400/I400,Q400)</f>
        <v/>
      </c>
      <c r="X400" s="237">
        <f>V400/100*S400</f>
        <v/>
      </c>
      <c r="Y400">
        <f>IF(AND(V400&gt;0,N400=V400),TRUE,FALSE)</f>
        <v/>
      </c>
      <c r="Z400" s="228">
        <f>IF(C400="Einnahmen",Q400,-Q400)</f>
        <v/>
      </c>
    </row>
    <row r="401">
      <c r="A401" s="53" t="n">
        <v>2020</v>
      </c>
      <c r="B401" s="53" t="n">
        <v>162</v>
      </c>
      <c r="C401" s="71" t="inlineStr">
        <is>
          <t>Einnahmen</t>
        </is>
      </c>
      <c r="D401" t="inlineStr">
        <is>
          <t>Waren-/Leistungserlöse</t>
        </is>
      </c>
      <c r="E401" s="9" t="n">
        <v>12020024</v>
      </c>
      <c r="G401" s="1" t="n">
        <v>44014</v>
      </c>
      <c r="H401" t="inlineStr">
        <is>
          <t>ZT DI Dr. Arno Kolbitsch, Gütleweg 1, 6822 Satteins</t>
        </is>
      </c>
      <c r="K401">
        <f>(IF(AND(I401&lt;&gt;"",AND(J401="",ABS(Q401)&gt;400)),TRUE,FALSE))</f>
        <v/>
      </c>
      <c r="L401" s="214" t="n">
        <v>306.25</v>
      </c>
      <c r="M401" s="159" t="n">
        <v>1</v>
      </c>
      <c r="N401" t="n">
        <v>20</v>
      </c>
      <c r="O401" s="237">
        <f>L401*N401/100</f>
        <v/>
      </c>
      <c r="P401" s="237">
        <f>M401*O401</f>
        <v/>
      </c>
      <c r="Q401" s="208">
        <f>L401*M401</f>
        <v/>
      </c>
      <c r="R401" s="251">
        <f>L401+O401</f>
        <v/>
      </c>
      <c r="S401" s="251">
        <f>Q401+P401</f>
        <v/>
      </c>
      <c r="T401" s="35">
        <f>voranmeldefrist_vierteljaehrlich(G401)</f>
        <v/>
      </c>
      <c r="U401" s="27" t="n"/>
      <c r="V401" s="27" t="n"/>
      <c r="W401" s="210">
        <f>IF(K401=TRUE,Q401/I401,Q401)</f>
        <v/>
      </c>
      <c r="X401" s="237">
        <f>V401/100*S401</f>
        <v/>
      </c>
      <c r="Y401">
        <f>IF(AND(V401&gt;0,N401=V401),TRUE,FALSE)</f>
        <v/>
      </c>
      <c r="Z401" s="228">
        <f>IF(C401="Einnahmen",Q401,-Q401)</f>
        <v/>
      </c>
    </row>
    <row r="402">
      <c r="A402" s="53" t="n">
        <v>2020</v>
      </c>
      <c r="B402" s="53" t="n">
        <v>163</v>
      </c>
      <c r="C402" s="71" t="inlineStr">
        <is>
          <t>Ausgaben</t>
        </is>
      </c>
      <c r="D402" t="inlineStr">
        <is>
          <t>Pflichversicherungsbeiträge</t>
        </is>
      </c>
      <c r="G402" s="1" t="n">
        <v>44071</v>
      </c>
      <c r="H402" t="inlineStr">
        <is>
          <t>Sozialversicherung der gewerblichen Wirtshaft</t>
        </is>
      </c>
      <c r="K402">
        <f>(IF(AND(I402&lt;&gt;"",AND(J402="",ABS(Q402)&gt;400)),TRUE,FALSE))</f>
        <v/>
      </c>
      <c r="L402" s="214" t="n">
        <v>1700.07</v>
      </c>
      <c r="M402" s="159" t="n">
        <v>1</v>
      </c>
      <c r="N402" t="n">
        <v>0</v>
      </c>
      <c r="O402" s="237">
        <f>L402*N402/100</f>
        <v/>
      </c>
      <c r="P402" s="237">
        <f>M402*O402</f>
        <v/>
      </c>
      <c r="Q402" s="208">
        <f>L402*M402</f>
        <v/>
      </c>
      <c r="R402" s="251">
        <f>L402+O402</f>
        <v/>
      </c>
      <c r="S402" s="251">
        <f>Q402+P402</f>
        <v/>
      </c>
      <c r="T402" s="35">
        <f>voranmeldefrist_vierteljaehrlich(G402)</f>
        <v/>
      </c>
      <c r="U402" s="27" t="n"/>
      <c r="V402" s="27" t="n"/>
      <c r="W402" s="210">
        <f>IF(K402=TRUE,Q402/J402,Q402)</f>
        <v/>
      </c>
      <c r="X402" s="237">
        <f>V402/100*S402</f>
        <v/>
      </c>
      <c r="Y402">
        <f>IF(AND(V402&gt;0,N402=V402),TRUE,FALSE)</f>
        <v/>
      </c>
      <c r="Z402" s="228">
        <f>IF(C402="Einnahmen",Q402,-Q402)</f>
        <v/>
      </c>
    </row>
    <row r="403">
      <c r="A403" s="53" t="n">
        <v>2020</v>
      </c>
      <c r="B403" s="53" t="n">
        <v>164</v>
      </c>
      <c r="C403" s="71" t="inlineStr">
        <is>
          <t>Ausgaben</t>
        </is>
      </c>
      <c r="D403" t="inlineStr">
        <is>
          <t>Werbe- und Repräsentationsaufwand</t>
        </is>
      </c>
      <c r="E403" s="9" t="inlineStr">
        <is>
          <t>PRM320080004475</t>
        </is>
      </c>
      <c r="G403" s="1" t="n">
        <v>44074</v>
      </c>
      <c r="H403" t="inlineStr">
        <is>
          <t>New Work SE, Dammtorstraße 30, 20354 Hamburg</t>
        </is>
      </c>
      <c r="K403">
        <f>(IF(AND(I403&lt;&gt;"",AND(J403="",ABS(Q403)&gt;400)),TRUE,FALSE))</f>
        <v/>
      </c>
      <c r="L403" s="214" t="n">
        <v>24.88</v>
      </c>
      <c r="M403" s="159" t="n">
        <v>1</v>
      </c>
      <c r="N403" t="n">
        <v>0</v>
      </c>
      <c r="O403" s="237">
        <f>L403*N403/100</f>
        <v/>
      </c>
      <c r="P403" s="237">
        <f>M403*O403</f>
        <v/>
      </c>
      <c r="Q403" s="208">
        <f>L403*M403</f>
        <v/>
      </c>
      <c r="R403" s="251">
        <f>L403+O403</f>
        <v/>
      </c>
      <c r="S403" s="251">
        <f>Q403+P403</f>
        <v/>
      </c>
      <c r="T403" s="35">
        <f>voranmeldefrist_vierteljaehrlich(G403)</f>
        <v/>
      </c>
      <c r="U403" s="27" t="n"/>
      <c r="V403" s="27" t="n">
        <v>20</v>
      </c>
      <c r="W403" s="210">
        <f>IF(K403=TRUE,Q403/I403,Q403)</f>
        <v/>
      </c>
      <c r="X403" s="237">
        <f>V403/100*S403</f>
        <v/>
      </c>
      <c r="Y403">
        <f>IF(AND(V403&gt;0,N403=V403),TRUE,FALSE)</f>
        <v/>
      </c>
      <c r="Z403" s="228">
        <f>IF(C403="Einnahmen",Q403,-Q403)</f>
        <v/>
      </c>
    </row>
    <row r="404">
      <c r="A404" s="53" t="n">
        <v>2020</v>
      </c>
      <c r="B404" s="53" t="n">
        <v>165</v>
      </c>
      <c r="C404" s="71" t="inlineStr">
        <is>
          <t>Ausgaben</t>
        </is>
      </c>
      <c r="D404" t="inlineStr">
        <is>
          <t>Miet- und Pachtaufwand, Leasing</t>
        </is>
      </c>
      <c r="E404" s="9" t="inlineStr">
        <is>
          <t>20/9801/VS00486</t>
        </is>
      </c>
      <c r="G404" s="1" t="n">
        <v>44075</v>
      </c>
      <c r="H404" t="inlineStr">
        <is>
          <t>Bontus Immobilienverwaltung GmbH, 1010 Wien, Franz Josefs Kai 65</t>
        </is>
      </c>
      <c r="K404" t="b">
        <v>0</v>
      </c>
      <c r="L404" s="214" t="n">
        <v>460.41</v>
      </c>
      <c r="M404" s="159" t="n">
        <v>1</v>
      </c>
      <c r="N404" t="n">
        <v>20</v>
      </c>
      <c r="O404" s="237">
        <f>L404*N404/100</f>
        <v/>
      </c>
      <c r="P404" s="237">
        <f>M404*O404</f>
        <v/>
      </c>
      <c r="Q404" s="208">
        <f>L404*M404</f>
        <v/>
      </c>
      <c r="R404" s="251">
        <f>L404+O404</f>
        <v/>
      </c>
      <c r="S404" s="251">
        <f>Q404+P404</f>
        <v/>
      </c>
      <c r="T404" s="35">
        <f>voranmeldefrist_vierteljaehrlich(G404)</f>
        <v/>
      </c>
      <c r="U404" s="27" t="n"/>
      <c r="V404" s="27" t="n"/>
      <c r="W404" s="210">
        <f>IF(K404=TRUE,Q404/J404,Q404)</f>
        <v/>
      </c>
      <c r="X404" s="237">
        <f>V404/100*S404</f>
        <v/>
      </c>
      <c r="Y404">
        <f>IF(AND(V404&gt;0,N404=V404),TRUE,FALSE)</f>
        <v/>
      </c>
      <c r="Z404" s="228">
        <f>IF(C404="Einnahmen",Q404,-Q404)</f>
        <v/>
      </c>
    </row>
    <row r="405">
      <c r="A405" s="53" t="n">
        <v>2020</v>
      </c>
      <c r="B405" s="53" t="n">
        <v>166</v>
      </c>
      <c r="C405" s="71" t="inlineStr">
        <is>
          <t>Ausgaben</t>
        </is>
      </c>
      <c r="D405" t="inlineStr">
        <is>
          <t>Reise- und Fahrtspesen inkl. Kilometergeld und Diäten</t>
        </is>
      </c>
      <c r="E405" s="131" t="inlineStr">
        <is>
          <t>4293000000017140</t>
        </is>
      </c>
      <c r="G405" s="1" t="n">
        <v>44076</v>
      </c>
      <c r="H405" t="inlineStr">
        <is>
          <t>car2go Österreich GmbH, Hintere Zollamtstraße 9, 1030 Wien</t>
        </is>
      </c>
      <c r="K405" t="b">
        <v>0</v>
      </c>
      <c r="L405" s="214" t="n">
        <v>95.11</v>
      </c>
      <c r="M405" s="159" t="n">
        <v>1</v>
      </c>
      <c r="N405" t="n">
        <v>20</v>
      </c>
      <c r="O405" s="237">
        <f>L405*N405/100</f>
        <v/>
      </c>
      <c r="P405" s="237">
        <f>M405*O405</f>
        <v/>
      </c>
      <c r="Q405" s="208">
        <f>L405*M405</f>
        <v/>
      </c>
      <c r="R405" s="251">
        <f>L405+O405</f>
        <v/>
      </c>
      <c r="S405" s="251">
        <f>Q405+P405</f>
        <v/>
      </c>
      <c r="T405" s="35">
        <f>voranmeldefrist_vierteljaehrlich(G405)</f>
        <v/>
      </c>
      <c r="U405" s="27" t="n"/>
      <c r="V405" s="27" t="n"/>
      <c r="W405" s="210">
        <f>IF(K405=TRUE,Q405/J405,Q405)</f>
        <v/>
      </c>
      <c r="X405" s="237">
        <f>V405/100*S405</f>
        <v/>
      </c>
      <c r="Y405">
        <f>IF(AND(V405&gt;0,N405=V405),TRUE,FALSE)</f>
        <v/>
      </c>
      <c r="Z405" s="228">
        <f>IF(C405="Einnahmen",Q405,-Q405)</f>
        <v/>
      </c>
    </row>
    <row r="406">
      <c r="A406" s="53" t="n">
        <v>2020</v>
      </c>
      <c r="B406" s="53" t="n">
        <v>167</v>
      </c>
      <c r="C406" s="71" t="inlineStr">
        <is>
          <t>Ausgaben</t>
        </is>
      </c>
      <c r="D406" t="inlineStr">
        <is>
          <t>sonstige Betriebsausgaben</t>
        </is>
      </c>
      <c r="E406" s="9" t="inlineStr">
        <is>
          <t>INVCZ3082442</t>
        </is>
      </c>
      <c r="G406" s="1" t="n">
        <v>44077</v>
      </c>
      <c r="H406" t="inlineStr">
        <is>
          <t>JetBrains s.r.o, Kavci Hory Office Park, Na hrebenech II 1718/10, Praha 4- Nusle 14000, Ceska republika</t>
        </is>
      </c>
      <c r="K406" t="b">
        <v>0</v>
      </c>
      <c r="L406" s="214" t="n">
        <v>71</v>
      </c>
      <c r="M406" s="159" t="n">
        <v>1</v>
      </c>
      <c r="N406" t="n">
        <v>20</v>
      </c>
      <c r="O406" s="237">
        <f>L406*N406/100</f>
        <v/>
      </c>
      <c r="P406" s="237">
        <f>M406*O406</f>
        <v/>
      </c>
      <c r="Q406" s="208">
        <f>L406*M406</f>
        <v/>
      </c>
      <c r="R406" s="251">
        <f>L406+O406</f>
        <v/>
      </c>
      <c r="S406" s="251">
        <f>Q406+P406</f>
        <v/>
      </c>
      <c r="T406" s="35">
        <f>voranmeldefrist_vierteljaehrlich(G406)</f>
        <v/>
      </c>
      <c r="U406" s="27" t="n"/>
      <c r="V406" s="27" t="n"/>
      <c r="W406" s="210">
        <f>IF(K406=TRUE,Q406/J406,Q406)</f>
        <v/>
      </c>
      <c r="X406" s="237">
        <f>V406/100*S406</f>
        <v/>
      </c>
      <c r="Y406">
        <f>IF(AND(V406&gt;0,N406=V406),TRUE,FALSE)</f>
        <v/>
      </c>
      <c r="Z406" s="228">
        <f>IF(C406="Einnahmen",Q406,-Q406)</f>
        <v/>
      </c>
    </row>
    <row r="407">
      <c r="A407" s="53" t="n">
        <v>2020</v>
      </c>
      <c r="B407" s="53" t="n">
        <v>168</v>
      </c>
      <c r="C407" s="71" t="inlineStr">
        <is>
          <t>Ausgaben</t>
        </is>
      </c>
      <c r="D407" t="inlineStr">
        <is>
          <t>sonstige Betriebsausgaben</t>
        </is>
      </c>
      <c r="E407" s="9" t="inlineStr">
        <is>
          <t>3798454186</t>
        </is>
      </c>
      <c r="G407" s="1" t="n">
        <v>44077</v>
      </c>
      <c r="H407" t="inlineStr">
        <is>
          <t>Google Ireland Ltd, Gordon House, Barrow Street, Dublin 4, Ireland; VAT number: IE 6388047V</t>
        </is>
      </c>
      <c r="K407" t="b">
        <v>0</v>
      </c>
      <c r="L407" s="214" t="n">
        <v>9.359999999999999</v>
      </c>
      <c r="M407" s="159" t="n">
        <v>1</v>
      </c>
      <c r="N407" t="n">
        <v>0</v>
      </c>
      <c r="O407" s="237">
        <f>L407*N407/100</f>
        <v/>
      </c>
      <c r="P407" s="237">
        <f>M407*O407</f>
        <v/>
      </c>
      <c r="Q407" s="208">
        <f>L407*M407</f>
        <v/>
      </c>
      <c r="R407" s="251">
        <f>L407+O407</f>
        <v/>
      </c>
      <c r="S407" s="251">
        <f>Q407+P407</f>
        <v/>
      </c>
      <c r="T407" s="35">
        <f>voranmeldefrist_vierteljaehrlich(G407)</f>
        <v/>
      </c>
      <c r="U407" s="27" t="n"/>
      <c r="V407" s="27" t="n">
        <v>20</v>
      </c>
      <c r="W407" s="210">
        <f>IF(K407=TRUE,Q407/I407,Q407)</f>
        <v/>
      </c>
      <c r="X407" s="237">
        <f>V407/100*S407</f>
        <v/>
      </c>
      <c r="Y407">
        <f>IF(AND(V407&gt;0,N407=V407),TRUE,FALSE)</f>
        <v/>
      </c>
      <c r="Z407" s="228">
        <f>IF(C407="Einnahmen",Q407,-Q407)</f>
        <v/>
      </c>
    </row>
    <row r="408">
      <c r="A408" s="53" t="n">
        <v>2020</v>
      </c>
      <c r="B408" s="53" t="n">
        <v>169</v>
      </c>
      <c r="C408" s="71" t="inlineStr">
        <is>
          <t>Ausgaben</t>
        </is>
      </c>
      <c r="D408" t="inlineStr">
        <is>
          <t>sonstige Betriebsausgaben</t>
        </is>
      </c>
      <c r="E408" s="9" t="inlineStr">
        <is>
          <t>807693</t>
        </is>
      </c>
      <c r="G408" s="1" t="n">
        <v>44077</v>
      </c>
      <c r="H408" t="inlineStr">
        <is>
          <t>easy green energy GmbH &amp; Co KG</t>
        </is>
      </c>
      <c r="K408">
        <f>(IF(AND(I408&lt;&gt;"",AND(J408="",ABS(Q408)&gt;400)),TRUE,FALSE))</f>
        <v/>
      </c>
      <c r="L408" s="214" t="n">
        <v>2.5</v>
      </c>
      <c r="M408" s="159" t="n">
        <v>1</v>
      </c>
      <c r="N408" t="n">
        <v>20</v>
      </c>
      <c r="O408" s="237">
        <f>L408*N408/100</f>
        <v/>
      </c>
      <c r="P408" s="237">
        <f>M408*O408</f>
        <v/>
      </c>
      <c r="Q408" s="208">
        <f>L408*M408</f>
        <v/>
      </c>
      <c r="R408" s="251">
        <f>L408+O408</f>
        <v/>
      </c>
      <c r="S408" s="251" t="n">
        <v>3</v>
      </c>
      <c r="T408" s="35">
        <f>voranmeldefrist_vierteljaehrlich(G408)</f>
        <v/>
      </c>
      <c r="U408" s="27" t="n"/>
      <c r="V408" s="27" t="n"/>
      <c r="W408" s="210">
        <f>IF(K408=TRUE,Q408/J408,Q408)</f>
        <v/>
      </c>
      <c r="X408" s="237">
        <f>V408/100*S408</f>
        <v/>
      </c>
      <c r="Y408">
        <f>IF(AND(V408&gt;0,N408=V408),TRUE,FALSE)</f>
        <v/>
      </c>
      <c r="Z408" s="228">
        <f>IF(C408="Einnahmen",Q408,-Q408)</f>
        <v/>
      </c>
    </row>
    <row r="409">
      <c r="A409" s="53" t="n">
        <v>2020</v>
      </c>
      <c r="B409" s="53" t="n">
        <v>170</v>
      </c>
      <c r="C409" s="71" t="inlineStr">
        <is>
          <t>Ausgaben</t>
        </is>
      </c>
      <c r="D409" t="inlineStr">
        <is>
          <t>sonstige Betriebsausgaben</t>
        </is>
      </c>
      <c r="E409" s="9" t="inlineStr">
        <is>
          <t>79988/2183087/512753/58187</t>
        </is>
      </c>
      <c r="G409" s="1" t="n">
        <v>44077</v>
      </c>
      <c r="H409" t="inlineStr">
        <is>
          <t>Leburger Wien 1070</t>
        </is>
      </c>
      <c r="K409">
        <f>(IF(AND(I409&lt;&gt;"",AND(J409="",ABS(Q409)&gt;400)),TRUE,FALSE))</f>
        <v/>
      </c>
      <c r="L409" s="214">
        <f>73.6/1.05</f>
        <v/>
      </c>
      <c r="M409" s="159" t="n">
        <v>1</v>
      </c>
      <c r="N409" t="n">
        <v>5</v>
      </c>
      <c r="O409" s="237">
        <f>L409*N409/100</f>
        <v/>
      </c>
      <c r="P409" s="237">
        <f>M409*O409</f>
        <v/>
      </c>
      <c r="Q409" s="208">
        <f>L409*M409</f>
        <v/>
      </c>
      <c r="R409" s="251">
        <f>L409+O409</f>
        <v/>
      </c>
      <c r="S409" s="251">
        <f>Q409+P409</f>
        <v/>
      </c>
      <c r="T409" s="35">
        <f>voranmeldefrist_vierteljaehrlich(G409)</f>
        <v/>
      </c>
      <c r="U409" s="27" t="n"/>
      <c r="V409" s="27" t="n"/>
      <c r="W409" s="210">
        <f>IF(K409=TRUE,Q409/J409,Q409)</f>
        <v/>
      </c>
      <c r="X409" s="237">
        <f>V409/100*S409</f>
        <v/>
      </c>
      <c r="Y409">
        <f>IF(AND(V409&gt;0,N409=V409),TRUE,FALSE)</f>
        <v/>
      </c>
      <c r="Z409" s="228">
        <f>IF(C409="Einnahmen",Q409,-Q409)</f>
        <v/>
      </c>
    </row>
    <row r="410">
      <c r="A410" s="53" t="n">
        <v>2020</v>
      </c>
      <c r="B410" s="53" t="n">
        <v>171</v>
      </c>
      <c r="C410" s="71" t="inlineStr">
        <is>
          <t>Ausgaben</t>
        </is>
      </c>
      <c r="D410" t="inlineStr">
        <is>
          <t>Telefon/Internet</t>
        </is>
      </c>
      <c r="E410" s="9" t="n">
        <v>6206566381</v>
      </c>
      <c r="G410" s="1" t="n">
        <v>44077</v>
      </c>
      <c r="H410" t="inlineStr">
        <is>
          <t>Hutchison Drei Austria GmbH, Brünner Straße 52, 1210 Wien, Österreich</t>
        </is>
      </c>
      <c r="K410">
        <f>(IF(AND(I410&lt;&gt;"",AND(J410="",ABS(Q410)&gt;400)),TRUE,FALSE))</f>
        <v/>
      </c>
      <c r="L410" s="214" t="n">
        <v>15.25</v>
      </c>
      <c r="M410" s="159" t="n">
        <v>1</v>
      </c>
      <c r="N410" t="n">
        <v>20</v>
      </c>
      <c r="O410" s="237">
        <f>L410*N410/100</f>
        <v/>
      </c>
      <c r="P410" s="237">
        <f>M410*O410</f>
        <v/>
      </c>
      <c r="Q410" s="208">
        <f>L410*M410</f>
        <v/>
      </c>
      <c r="R410" s="251">
        <f>L410+O410</f>
        <v/>
      </c>
      <c r="S410" s="251">
        <f>Q410+P410</f>
        <v/>
      </c>
      <c r="T410" s="35">
        <f>voranmeldefrist_vierteljaehrlich(G410)</f>
        <v/>
      </c>
      <c r="U410" s="27" t="n"/>
      <c r="V410" s="27" t="n"/>
      <c r="W410" s="210">
        <f>IF(K410=TRUE,Q410/I410,Q410)</f>
        <v/>
      </c>
      <c r="X410" s="237">
        <f>V410/100*S410</f>
        <v/>
      </c>
      <c r="Y410">
        <f>IF(AND(V410&gt;0,N410=V410),TRUE,FALSE)</f>
        <v/>
      </c>
      <c r="Z410" s="228">
        <f>IF(C410="Einnahmen",Q410,-Q410)</f>
        <v/>
      </c>
    </row>
    <row r="411">
      <c r="A411" s="53" t="n">
        <v>2020</v>
      </c>
      <c r="B411" s="53" t="n">
        <v>172</v>
      </c>
      <c r="C411" s="71" t="inlineStr">
        <is>
          <t>Einnahmen</t>
        </is>
      </c>
      <c r="D411" t="inlineStr">
        <is>
          <t>Waren-/Leistungserlöse</t>
        </is>
      </c>
      <c r="E411" s="9" t="n">
        <v>12020026</v>
      </c>
      <c r="G411" s="1" t="n">
        <v>44078</v>
      </c>
      <c r="H411" t="inlineStr">
        <is>
          <t>DCF - Digital Coding Factory GmbH, Bauernfeldgasse 4/12 1090 Wien</t>
        </is>
      </c>
      <c r="K411">
        <f>(IF(AND(I411&lt;&gt;"",AND(J411="",ABS(Q411)&gt;400)),TRUE,FALSE))</f>
        <v/>
      </c>
      <c r="L411" s="214">
        <f>57*120</f>
        <v/>
      </c>
      <c r="M411" s="159" t="n">
        <v>1</v>
      </c>
      <c r="N411" t="n">
        <v>20</v>
      </c>
      <c r="O411" s="237">
        <f>L411*N411/100</f>
        <v/>
      </c>
      <c r="P411" s="237">
        <f>M411*O411</f>
        <v/>
      </c>
      <c r="Q411" s="208">
        <f>L411*M411</f>
        <v/>
      </c>
      <c r="R411" s="251">
        <f>L411+O411</f>
        <v/>
      </c>
      <c r="S411" s="251">
        <f>Q411+P411</f>
        <v/>
      </c>
      <c r="T411" s="35">
        <f>voranmeldefrist_vierteljaehrlich(G411)</f>
        <v/>
      </c>
      <c r="U411" s="27" t="n"/>
      <c r="V411" s="27" t="n"/>
      <c r="W411" s="210">
        <f>IF(K411=TRUE,Q411/I411,Q411)</f>
        <v/>
      </c>
      <c r="X411" s="237">
        <f>V411/100*S411</f>
        <v/>
      </c>
      <c r="Y411">
        <f>IF(AND(V411&gt;0,N411=V411),TRUE,FALSE)</f>
        <v/>
      </c>
      <c r="Z411" s="228">
        <f>IF(C411="Einnahmen",Q411,-Q411)</f>
        <v/>
      </c>
    </row>
    <row r="412">
      <c r="A412" s="53" t="n">
        <v>2020</v>
      </c>
      <c r="B412" s="53" t="n">
        <v>173</v>
      </c>
      <c r="C412" s="71" t="inlineStr">
        <is>
          <t>Einnahmen</t>
        </is>
      </c>
      <c r="D412" t="inlineStr">
        <is>
          <t>Waren-/Leistungserlöse</t>
        </is>
      </c>
      <c r="E412" s="9" t="n">
        <v>12020025</v>
      </c>
      <c r="G412" s="1" t="n">
        <v>44078</v>
      </c>
      <c r="H412" t="inlineStr">
        <is>
          <t>DCF - Digital Coding Factory GmbH, Bauernfeldgasse 4/12 1090 Wien</t>
        </is>
      </c>
      <c r="K412">
        <f>(IF(AND(I412&lt;&gt;"",AND(J412="",ABS(Q412)&gt;400)),TRUE,FALSE))</f>
        <v/>
      </c>
      <c r="L412" s="214" t="n">
        <v>2310</v>
      </c>
      <c r="M412" s="159" t="n">
        <v>1</v>
      </c>
      <c r="N412" t="n">
        <v>20</v>
      </c>
      <c r="O412" s="237">
        <f>L412*N412/100</f>
        <v/>
      </c>
      <c r="P412" s="237">
        <f>M412*O412</f>
        <v/>
      </c>
      <c r="Q412" s="208">
        <f>L412*M412</f>
        <v/>
      </c>
      <c r="R412" s="251">
        <f>L412+O412</f>
        <v/>
      </c>
      <c r="S412" s="251">
        <f>Q412+P412</f>
        <v/>
      </c>
      <c r="T412" s="35">
        <f>voranmeldefrist_vierteljaehrlich(G412)</f>
        <v/>
      </c>
      <c r="U412" s="27" t="n"/>
      <c r="V412" s="27" t="n"/>
      <c r="W412" s="210">
        <f>IF(K412=TRUE,Q412/I412,Q412)</f>
        <v/>
      </c>
      <c r="X412" s="237">
        <f>V412/100*S412</f>
        <v/>
      </c>
      <c r="Y412">
        <f>IF(AND(V412&gt;0,N412=V412),TRUE,FALSE)</f>
        <v/>
      </c>
      <c r="Z412" s="228">
        <f>IF(C412="Einnahmen",Q412,-Q412)</f>
        <v/>
      </c>
    </row>
    <row r="413">
      <c r="A413" s="53" t="n">
        <v>2020</v>
      </c>
      <c r="B413" s="53" t="n">
        <v>174</v>
      </c>
      <c r="C413" s="71" t="inlineStr">
        <is>
          <t>Ausgaben</t>
        </is>
      </c>
      <c r="D413" t="inlineStr">
        <is>
          <t>sonstige Betriebsausgaben</t>
        </is>
      </c>
      <c r="E413" s="9" t="inlineStr">
        <is>
          <t>HKA/20-01-39452</t>
        </is>
      </c>
      <c r="G413" s="1" t="n">
        <v>44081</v>
      </c>
      <c r="H413" t="inlineStr">
        <is>
          <t>Techem Messtechnik GmbH; Abnehmernummer 501686-0003-11-(</t>
        </is>
      </c>
      <c r="K413">
        <f>(IF(AND(I413&lt;&gt;"",AND(J413="",ABS(Q413)&gt;400)),TRUE,FALSE))</f>
        <v/>
      </c>
      <c r="L413" s="214" t="n">
        <v>35</v>
      </c>
      <c r="M413" s="159" t="n">
        <v>1</v>
      </c>
      <c r="N413" t="n">
        <v>20</v>
      </c>
      <c r="O413" s="237">
        <f>L413*N413/100</f>
        <v/>
      </c>
      <c r="P413" s="237">
        <f>M413*O413</f>
        <v/>
      </c>
      <c r="Q413" s="208">
        <f>L413*M413</f>
        <v/>
      </c>
      <c r="R413" s="251">
        <f>L413+O413</f>
        <v/>
      </c>
      <c r="S413" s="251">
        <f>Q413+P413</f>
        <v/>
      </c>
      <c r="T413" s="35">
        <f>voranmeldefrist_vierteljaehrlich(G413)</f>
        <v/>
      </c>
      <c r="U413" s="27" t="n"/>
      <c r="V413" s="27" t="n"/>
      <c r="W413" s="210">
        <f>IF(K413=TRUE,Q413/I413,Q413)</f>
        <v/>
      </c>
      <c r="X413" s="237">
        <f>V413/100*S413</f>
        <v/>
      </c>
      <c r="Y413">
        <f>IF(AND(V413&gt;0,N413=V413),TRUE,FALSE)</f>
        <v/>
      </c>
      <c r="Z413" s="228">
        <f>IF(C413="Einnahmen",Q413,-Q413)</f>
        <v/>
      </c>
    </row>
    <row r="414">
      <c r="A414" s="53" t="n">
        <v>2020</v>
      </c>
      <c r="B414" s="53" t="n">
        <v>175</v>
      </c>
      <c r="C414" s="71" t="inlineStr">
        <is>
          <t>Ausgaben</t>
        </is>
      </c>
      <c r="D414" t="inlineStr">
        <is>
          <t>sonstige Betriebsausgaben</t>
        </is>
      </c>
      <c r="E414" s="9" t="inlineStr">
        <is>
          <t>R0011878709</t>
        </is>
      </c>
      <c r="G414" s="1" t="n">
        <v>44081</v>
      </c>
      <c r="H414" t="inlineStr">
        <is>
          <t>Hetzner Online GmbH</t>
        </is>
      </c>
      <c r="K414">
        <f>(IF(AND(I414&lt;&gt;"",AND(J414="",ABS(Q414)&gt;400)),TRUE,FALSE))</f>
        <v/>
      </c>
      <c r="L414" s="214" t="n">
        <v>2.49</v>
      </c>
      <c r="M414" s="159" t="n">
        <v>1</v>
      </c>
      <c r="N414" t="n">
        <v>0</v>
      </c>
      <c r="O414" s="237">
        <f>L414*N414/100</f>
        <v/>
      </c>
      <c r="P414" s="237">
        <f>M414*O414</f>
        <v/>
      </c>
      <c r="Q414" s="208">
        <f>L414*M414</f>
        <v/>
      </c>
      <c r="R414" s="251">
        <f>L414+O414</f>
        <v/>
      </c>
      <c r="S414" s="251">
        <f>Q414+P414</f>
        <v/>
      </c>
      <c r="T414" s="35">
        <f>voranmeldefrist_vierteljaehrlich(G414)</f>
        <v/>
      </c>
      <c r="U414" s="27" t="n"/>
      <c r="V414" s="27" t="n">
        <v>20</v>
      </c>
      <c r="W414" s="210">
        <f>IF(K414=TRUE,Q414/J414,Q414)</f>
        <v/>
      </c>
      <c r="X414" s="237">
        <f>V414/100*S414</f>
        <v/>
      </c>
      <c r="Y414">
        <f>IF(AND(V414&gt;0,N414=V414),TRUE,FALSE)</f>
        <v/>
      </c>
      <c r="Z414" s="228">
        <f>IF(C414="Einnahmen",Q414,-Q414)</f>
        <v/>
      </c>
    </row>
    <row r="415">
      <c r="A415" s="53" t="n">
        <v>2020</v>
      </c>
      <c r="B415" s="53" t="n">
        <v>176</v>
      </c>
      <c r="C415" s="71" t="inlineStr">
        <is>
          <t>Ausgaben</t>
        </is>
      </c>
      <c r="D415" t="inlineStr">
        <is>
          <t>Waren, Rohstoffe, Hilfsstoffe</t>
        </is>
      </c>
      <c r="E415" s="9" t="inlineStr">
        <is>
          <t>AEU-INV-AT-2020-14459455</t>
        </is>
      </c>
      <c r="G415" s="1" t="n">
        <v>44091</v>
      </c>
      <c r="H415" t="inlineStr">
        <is>
          <t>Amazon EU S. à r.l., 38 avenue John F. Kennedy, L-1855 Luxembourg: HJEU: DVI-HDMI, Logitech Maus</t>
        </is>
      </c>
      <c r="K415">
        <f>(IF(AND(I415&lt;&gt;"",AND(J415="",ABS(Q415)&gt;400)),TRUE,FALSE))</f>
        <v/>
      </c>
      <c r="L415" s="214" t="n">
        <v>21.54</v>
      </c>
      <c r="M415" s="159" t="n">
        <v>1</v>
      </c>
      <c r="N415" t="n">
        <v>20</v>
      </c>
      <c r="O415" s="237">
        <f>L415*N415/100</f>
        <v/>
      </c>
      <c r="P415" s="237">
        <f>M415*O415</f>
        <v/>
      </c>
      <c r="Q415" s="208">
        <f>L415*M415</f>
        <v/>
      </c>
      <c r="R415" s="251">
        <f>L415+O415</f>
        <v/>
      </c>
      <c r="S415" s="251">
        <f>Q415+P415</f>
        <v/>
      </c>
      <c r="T415" s="35">
        <f>voranmeldefrist_vierteljaehrlich(G415)</f>
        <v/>
      </c>
      <c r="U415" s="27" t="n"/>
      <c r="V415" s="27" t="n"/>
      <c r="W415" s="210">
        <f>IF(K415=TRUE,Q415/I415,Q415)</f>
        <v/>
      </c>
      <c r="X415" s="237">
        <f>V415/100*S415</f>
        <v/>
      </c>
      <c r="Y415">
        <f>IF(AND(V415&gt;0,N415=V415),TRUE,FALSE)</f>
        <v/>
      </c>
      <c r="Z415" s="228">
        <f>IF(C415="Einnahmen",Q415,-Q415)</f>
        <v/>
      </c>
    </row>
    <row r="416">
      <c r="A416" s="53" t="n">
        <v>2020</v>
      </c>
      <c r="B416" s="53" t="n">
        <v>177</v>
      </c>
      <c r="C416" s="71" t="inlineStr">
        <is>
          <t>Ausgaben</t>
        </is>
      </c>
      <c r="D416" t="inlineStr">
        <is>
          <t>sonstige Betriebsausgaben</t>
        </is>
      </c>
      <c r="E416" s="9" t="inlineStr">
        <is>
          <t>5112142283</t>
        </is>
      </c>
      <c r="G416" s="1" t="n">
        <v>44084</v>
      </c>
      <c r="H416" t="inlineStr">
        <is>
          <t>Wiener Netze GmbH, Erdbergstraße 236, 1110 Wien, Postfach 422</t>
        </is>
      </c>
      <c r="K416">
        <f>(IF(AND(I416&lt;&gt;"",AND(J416="",ABS(Q416)&gt;400)),TRUE,FALSE))</f>
        <v/>
      </c>
      <c r="L416" s="214">
        <f>S416/1.2</f>
        <v/>
      </c>
      <c r="M416" s="159" t="n">
        <v>1</v>
      </c>
      <c r="N416" t="n">
        <v>20</v>
      </c>
      <c r="O416" s="237">
        <f>L416*N416/100</f>
        <v/>
      </c>
      <c r="P416" s="237">
        <f>M416*O416</f>
        <v/>
      </c>
      <c r="Q416" s="208">
        <f>L416*M416</f>
        <v/>
      </c>
      <c r="R416" s="251">
        <f>L416+O416</f>
        <v/>
      </c>
      <c r="S416" s="251" t="n">
        <v>34.8</v>
      </c>
      <c r="T416" s="35">
        <f>voranmeldefrist_vierteljaehrlich(G416)</f>
        <v/>
      </c>
      <c r="U416" s="27" t="n"/>
      <c r="V416" s="27" t="n"/>
      <c r="W416" s="210">
        <f>IF(K416=TRUE,Q416/J416,Q416)</f>
        <v/>
      </c>
      <c r="X416" s="237">
        <f>V416/100*S416</f>
        <v/>
      </c>
      <c r="Y416">
        <f>IF(AND(V416&gt;0,N416=V416),TRUE,FALSE)</f>
        <v/>
      </c>
      <c r="Z416" s="228">
        <f>IF(C416="Einnahmen",Q416,-Q416)</f>
        <v/>
      </c>
    </row>
    <row r="417">
      <c r="A417" s="53" t="n">
        <v>2020</v>
      </c>
      <c r="B417" s="53" t="n">
        <v>178</v>
      </c>
      <c r="C417" s="71" t="inlineStr">
        <is>
          <t>Ausgaben</t>
        </is>
      </c>
      <c r="D417" t="inlineStr">
        <is>
          <t>sonstige Betriebsausgaben</t>
        </is>
      </c>
      <c r="E417" s="9" t="inlineStr">
        <is>
          <t>R0011917182</t>
        </is>
      </c>
      <c r="G417" s="1" t="n">
        <v>44085</v>
      </c>
      <c r="H417" t="inlineStr">
        <is>
          <t>Hetzner Online GmbH</t>
        </is>
      </c>
      <c r="K417">
        <f>(IF(AND(I417&lt;&gt;"",AND(J417="",ABS(Q417)&gt;400)),TRUE,FALSE))</f>
        <v/>
      </c>
      <c r="L417" s="214" t="n">
        <v>46.92</v>
      </c>
      <c r="M417" s="159" t="n">
        <v>1</v>
      </c>
      <c r="N417" t="n">
        <v>0</v>
      </c>
      <c r="O417" s="237">
        <f>L417*N417/100</f>
        <v/>
      </c>
      <c r="P417" s="237">
        <f>M417*O417</f>
        <v/>
      </c>
      <c r="Q417" s="208">
        <f>L417*M417</f>
        <v/>
      </c>
      <c r="R417" s="251">
        <f>L417+O417</f>
        <v/>
      </c>
      <c r="S417" s="251">
        <f>Q417+P417</f>
        <v/>
      </c>
      <c r="T417" s="35">
        <f>voranmeldefrist_vierteljaehrlich(G417)</f>
        <v/>
      </c>
      <c r="U417" s="27" t="n"/>
      <c r="V417" s="27" t="n">
        <v>20</v>
      </c>
      <c r="W417" s="210">
        <f>IF(K417=TRUE,Q417/J417,Q417)</f>
        <v/>
      </c>
      <c r="X417" s="237">
        <f>V417/100*S417</f>
        <v/>
      </c>
      <c r="Y417">
        <f>IF(AND(V417&gt;0,N417=V417),TRUE,FALSE)</f>
        <v/>
      </c>
      <c r="Z417" s="228">
        <f>IF(C417="Einnahmen",Q417,-Q417)</f>
        <v/>
      </c>
    </row>
    <row r="418">
      <c r="A418" s="53" t="n">
        <v>2020</v>
      </c>
      <c r="B418" s="53" t="n">
        <v>179</v>
      </c>
      <c r="C418" s="71" t="inlineStr">
        <is>
          <t>Ausgaben</t>
        </is>
      </c>
      <c r="D418" t="inlineStr">
        <is>
          <t>Telefon/Internet</t>
        </is>
      </c>
      <c r="E418" s="9" t="inlineStr">
        <is>
          <t>901202900920</t>
        </is>
      </c>
      <c r="F418" s="1" t="n">
        <v>43962</v>
      </c>
      <c r="G418" s="1" t="n">
        <v>44095</v>
      </c>
      <c r="H418" t="inlineStr">
        <is>
          <t>Magenta: T-Mobile Austria GmbH, A-1120 Wien, PF 47</t>
        </is>
      </c>
      <c r="K418">
        <f>(IF(AND(I418&lt;&gt;"",AND(J418="",ABS(Q418)&gt;400)),TRUE,FALSE))</f>
        <v/>
      </c>
      <c r="L418" s="214" t="n">
        <v>35.24</v>
      </c>
      <c r="M418" s="159" t="n">
        <v>1</v>
      </c>
      <c r="N418" t="n">
        <v>20</v>
      </c>
      <c r="O418" s="237">
        <f>L418*N418/100</f>
        <v/>
      </c>
      <c r="P418" s="237">
        <f>M418*O418</f>
        <v/>
      </c>
      <c r="Q418" s="208">
        <f>L418*M418</f>
        <v/>
      </c>
      <c r="R418" s="251">
        <f>L418+O418</f>
        <v/>
      </c>
      <c r="S418" s="251">
        <f>Q418+P418</f>
        <v/>
      </c>
      <c r="T418" s="35">
        <f>voranmeldefrist_vierteljaehrlich(G418)</f>
        <v/>
      </c>
      <c r="U418" s="27" t="n"/>
      <c r="V418" s="27" t="n"/>
      <c r="W418" s="210">
        <f>IF(K418=TRUE,Q418/I418,Q418)</f>
        <v/>
      </c>
      <c r="X418" s="237">
        <f>V418/100*S418</f>
        <v/>
      </c>
      <c r="Y418">
        <f>IF(AND(V418&gt;0,N418=V418),TRUE,FALSE)</f>
        <v/>
      </c>
      <c r="Z418" s="228">
        <f>IF(C418="Einnahmen",Q418,-Q418)</f>
        <v/>
      </c>
    </row>
    <row r="419">
      <c r="A419" s="53" t="n">
        <v>2020</v>
      </c>
      <c r="B419" s="53" t="n">
        <v>180</v>
      </c>
      <c r="C419" s="71" t="inlineStr">
        <is>
          <t>Einnahmen</t>
        </is>
      </c>
      <c r="D419" t="inlineStr">
        <is>
          <t>Waren-/Leistungserlöse</t>
        </is>
      </c>
      <c r="E419" s="9" t="n">
        <v>12020028</v>
      </c>
      <c r="G419" s="1" t="n">
        <v>44097</v>
      </c>
      <c r="H419" t="inlineStr">
        <is>
          <t>Paperholic all bout paper e.U.</t>
        </is>
      </c>
      <c r="K419" t="b">
        <v>0</v>
      </c>
      <c r="L419" s="214" t="n">
        <v>175</v>
      </c>
      <c r="M419" s="159" t="n">
        <v>1</v>
      </c>
      <c r="N419" t="n">
        <v>20</v>
      </c>
      <c r="O419" s="237">
        <f>L419*N419/100</f>
        <v/>
      </c>
      <c r="P419" s="237">
        <f>M419*O419</f>
        <v/>
      </c>
      <c r="Q419" s="208">
        <f>L419*M419</f>
        <v/>
      </c>
      <c r="R419" s="251">
        <f>L419+O419</f>
        <v/>
      </c>
      <c r="S419" s="251">
        <f>Q419+P419</f>
        <v/>
      </c>
      <c r="T419" s="35">
        <f>voranmeldefrist_vierteljaehrlich(G419)</f>
        <v/>
      </c>
      <c r="U419" s="27" t="n"/>
      <c r="V419" s="27" t="n"/>
      <c r="W419" s="210">
        <f>IF(K419=TRUE,Q419/I419,Q419)</f>
        <v/>
      </c>
      <c r="X419" s="237">
        <f>V419/100*S419</f>
        <v/>
      </c>
      <c r="Y419">
        <f>IF(AND(V419&gt;0,N419=V419),TRUE,FALSE)</f>
        <v/>
      </c>
      <c r="Z419" s="228">
        <f>IF(C419="Einnahmen",Q419,-Q419)</f>
        <v/>
      </c>
    </row>
    <row r="420">
      <c r="A420" s="53" t="n">
        <v>2020</v>
      </c>
      <c r="B420" s="53" t="n">
        <v>181</v>
      </c>
      <c r="C420" s="71" t="inlineStr">
        <is>
          <t>Einnahmen</t>
        </is>
      </c>
      <c r="D420" t="inlineStr">
        <is>
          <t>Waren-/Leistungserlöse</t>
        </is>
      </c>
      <c r="E420" s="9" t="n">
        <v>12020029</v>
      </c>
      <c r="G420" s="1" t="n">
        <v>44102</v>
      </c>
      <c r="H420" t="inlineStr">
        <is>
          <t>DCF - Digital Coding Factory GmbH, Bauernfeldgasse 4/12 1090 Wien</t>
        </is>
      </c>
      <c r="K420">
        <f>(IF(AND(I420&lt;&gt;"",AND(J420="",ABS(Q420)&gt;400)),TRUE,FALSE))</f>
        <v/>
      </c>
      <c r="L420" s="214">
        <f>360.6/1.2</f>
        <v/>
      </c>
      <c r="M420" s="159" t="n">
        <v>1</v>
      </c>
      <c r="N420" t="n">
        <v>20</v>
      </c>
      <c r="O420" s="237">
        <f>L420*N420/100</f>
        <v/>
      </c>
      <c r="P420" s="237">
        <f>M420*O420</f>
        <v/>
      </c>
      <c r="Q420" s="208">
        <f>L420*M420</f>
        <v/>
      </c>
      <c r="R420" s="251">
        <f>L420+O420</f>
        <v/>
      </c>
      <c r="S420" s="251">
        <f>Q420+P420</f>
        <v/>
      </c>
      <c r="T420" s="35">
        <f>voranmeldefrist_vierteljaehrlich(G420)</f>
        <v/>
      </c>
      <c r="U420" s="27" t="n"/>
      <c r="V420" s="27" t="n"/>
      <c r="W420" s="210">
        <f>IF(K420=TRUE,Q420/I420,Q420)</f>
        <v/>
      </c>
      <c r="X420" s="237">
        <f>V420/100*S420</f>
        <v/>
      </c>
      <c r="Y420">
        <f>IF(AND(V420&gt;0,N420=V420),TRUE,FALSE)</f>
        <v/>
      </c>
      <c r="Z420" s="228">
        <f>IF(C420="Einnahmen",Q420,-Q420)</f>
        <v/>
      </c>
    </row>
    <row r="421">
      <c r="A421" s="53" t="n">
        <v>2020</v>
      </c>
      <c r="B421" s="53" t="n">
        <v>182</v>
      </c>
      <c r="C421" s="71" t="inlineStr">
        <is>
          <t>Einnahmen</t>
        </is>
      </c>
      <c r="D421" t="inlineStr">
        <is>
          <t>Waren-/Leistungserlöse</t>
        </is>
      </c>
      <c r="E421" s="9" t="n">
        <v>12020030</v>
      </c>
      <c r="G421" s="1" t="n">
        <v>44102</v>
      </c>
      <c r="H421" t="inlineStr">
        <is>
          <t>DCF - Digital Coding Factory GmbH, Bauernfeldgasse 4/12 1090 Wien</t>
        </is>
      </c>
      <c r="K421">
        <f>(IF(AND(I421&lt;&gt;"",AND(J421="",ABS(Q421)&gt;400)),TRUE,FALSE))</f>
        <v/>
      </c>
      <c r="L421" s="214" t="n">
        <v>12510</v>
      </c>
      <c r="M421" s="159" t="n">
        <v>1</v>
      </c>
      <c r="N421" t="n">
        <v>20</v>
      </c>
      <c r="O421" s="237">
        <f>L421*N421/100</f>
        <v/>
      </c>
      <c r="P421" s="237">
        <f>M421*O421</f>
        <v/>
      </c>
      <c r="Q421" s="208">
        <f>L421*M421</f>
        <v/>
      </c>
      <c r="R421" s="251">
        <f>L421+O421</f>
        <v/>
      </c>
      <c r="S421" s="251">
        <f>Q421+P421</f>
        <v/>
      </c>
      <c r="T421" s="35">
        <f>voranmeldefrist_vierteljaehrlich(G421)</f>
        <v/>
      </c>
      <c r="U421" s="27" t="n"/>
      <c r="V421" s="27" t="n"/>
      <c r="W421" s="210">
        <f>IF(K421=TRUE,Q421/I421,Q421)</f>
        <v/>
      </c>
      <c r="X421" s="237">
        <f>V421/100*S421</f>
        <v/>
      </c>
      <c r="Y421">
        <f>IF(AND(V421&gt;0,N421=V421),TRUE,FALSE)</f>
        <v/>
      </c>
      <c r="Z421" s="228">
        <f>IF(C421="Einnahmen",Q421,-Q421)</f>
        <v/>
      </c>
    </row>
    <row r="422">
      <c r="A422" s="53" t="n">
        <v>2020</v>
      </c>
      <c r="B422" s="53" t="n">
        <v>183</v>
      </c>
      <c r="C422" s="71" t="inlineStr">
        <is>
          <t>Einnahmen</t>
        </is>
      </c>
      <c r="D422" t="inlineStr">
        <is>
          <t>Waren-/Leistungserlöse</t>
        </is>
      </c>
      <c r="E422" s="9" t="n">
        <v>12020033</v>
      </c>
      <c r="G422" s="1" t="n">
        <v>44102</v>
      </c>
      <c r="H422" t="inlineStr">
        <is>
          <t>ZT DI Dr. Arno Kolbitsch, Gütleweg 1, 6822 Satteins</t>
        </is>
      </c>
      <c r="K422">
        <f>(IF(AND(I422&lt;&gt;"",AND(J422="",ABS(Q422)&gt;400)),TRUE,FALSE))</f>
        <v/>
      </c>
      <c r="L422" s="214" t="n">
        <v>2185.98</v>
      </c>
      <c r="M422" s="159" t="n">
        <v>1</v>
      </c>
      <c r="N422" t="n">
        <v>20</v>
      </c>
      <c r="O422" s="237">
        <f>L422*N422/100</f>
        <v/>
      </c>
      <c r="P422" s="237">
        <f>M422*O422</f>
        <v/>
      </c>
      <c r="Q422" s="208">
        <f>L422*M422</f>
        <v/>
      </c>
      <c r="R422" s="251">
        <f>L422+O422</f>
        <v/>
      </c>
      <c r="S422" s="251">
        <f>Q422+P422</f>
        <v/>
      </c>
      <c r="T422" s="35">
        <f>voranmeldefrist_vierteljaehrlich(G422)</f>
        <v/>
      </c>
      <c r="U422" s="27" t="n"/>
      <c r="V422" s="27" t="n"/>
      <c r="W422" s="210">
        <f>IF(K422=TRUE,Q422/I422,Q422)</f>
        <v/>
      </c>
      <c r="X422" s="237">
        <f>V422/100*S422</f>
        <v/>
      </c>
      <c r="Y422">
        <f>IF(AND(V422&gt;0,N422=V422),TRUE,FALSE)</f>
        <v/>
      </c>
      <c r="Z422" s="228">
        <f>IF(C422="Einnahmen",Q422,-Q422)</f>
        <v/>
      </c>
    </row>
    <row r="423">
      <c r="A423" s="53" t="n">
        <v>2020</v>
      </c>
      <c r="B423" s="53" t="n">
        <v>184</v>
      </c>
      <c r="C423" s="71" t="inlineStr">
        <is>
          <t>Ausgaben</t>
        </is>
      </c>
      <c r="D423" t="inlineStr">
        <is>
          <t>Waren, Rohstoffe, Hilfsstoffe</t>
        </is>
      </c>
      <c r="E423" s="9" t="inlineStr">
        <is>
          <t>INV-CZ-136954441-2020-182</t>
        </is>
      </c>
      <c r="G423" s="1" t="n">
        <v>44103</v>
      </c>
      <c r="H423" t="inlineStr">
        <is>
          <t>3FCOM, 2 BIS, RUE DE L'INDUSTRIE, DRAVEIL, France, 91210, USt-IDNr. CZ685026459</t>
        </is>
      </c>
      <c r="K423">
        <f>(IF(AND(I423&lt;&gt;"",AND(J423="",ABS(Q423)&gt;400)),TRUE,FALSE))</f>
        <v/>
      </c>
      <c r="L423" s="214" t="n">
        <v>56.38</v>
      </c>
      <c r="M423" s="159" t="n">
        <v>1</v>
      </c>
      <c r="N423" t="n">
        <v>0</v>
      </c>
      <c r="O423" s="237">
        <f>L423*N423/100</f>
        <v/>
      </c>
      <c r="P423" s="237">
        <f>M423*O423</f>
        <v/>
      </c>
      <c r="Q423" s="208">
        <f>L423*M423</f>
        <v/>
      </c>
      <c r="R423" s="251">
        <f>L423+O423</f>
        <v/>
      </c>
      <c r="S423" s="251">
        <f>Q423+P423</f>
        <v/>
      </c>
      <c r="T423" s="35">
        <f>voranmeldefrist_vierteljaehrlich(G423)</f>
        <v/>
      </c>
      <c r="U423" s="27" t="n"/>
      <c r="V423" s="27" t="n"/>
      <c r="W423" s="210">
        <f>IF(K423=TRUE,Q423/I423,Q423)</f>
        <v/>
      </c>
      <c r="X423" s="237">
        <f>V423/100*S423</f>
        <v/>
      </c>
      <c r="Y423">
        <f>IF(AND(V423&gt;0,N423=V423),TRUE,FALSE)</f>
        <v/>
      </c>
      <c r="Z423" s="228">
        <f>IF(C423="Einnahmen",Q423,-Q423)</f>
        <v/>
      </c>
    </row>
    <row r="424">
      <c r="A424" s="53" t="n">
        <v>2020</v>
      </c>
      <c r="B424" s="53" t="n">
        <v>185</v>
      </c>
      <c r="C424" s="71" t="inlineStr">
        <is>
          <t>Ausgaben</t>
        </is>
      </c>
      <c r="D424" t="inlineStr">
        <is>
          <t>Miet- und Pachtaufwand, Leasing</t>
        </is>
      </c>
      <c r="E424" s="9" t="inlineStr">
        <is>
          <t>20/9801/VS00486</t>
        </is>
      </c>
      <c r="G424" s="1" t="n">
        <v>44105</v>
      </c>
      <c r="H424" t="inlineStr">
        <is>
          <t>Bontus Immobilienverwaltung GmbH, 1010 Wien, Franz Josefs Kai 65</t>
        </is>
      </c>
      <c r="K424" t="b">
        <v>0</v>
      </c>
      <c r="L424" s="214" t="n">
        <v>462.44</v>
      </c>
      <c r="M424" s="159" t="n">
        <v>1</v>
      </c>
      <c r="N424" t="n">
        <v>20</v>
      </c>
      <c r="O424" s="237">
        <f>L424*N424/100</f>
        <v/>
      </c>
      <c r="P424" s="237">
        <f>M424*O424</f>
        <v/>
      </c>
      <c r="Q424" s="208">
        <f>L424*M424</f>
        <v/>
      </c>
      <c r="R424" s="251">
        <f>L424+O424</f>
        <v/>
      </c>
      <c r="S424" s="251">
        <f>Q424+P424</f>
        <v/>
      </c>
      <c r="T424" s="35">
        <f>voranmeldefrist_vierteljaehrlich(G424)</f>
        <v/>
      </c>
      <c r="U424" s="27" t="n"/>
      <c r="V424" s="27" t="n"/>
      <c r="W424" s="210">
        <f>IF(K424=TRUE,Q424/J424,Q424)</f>
        <v/>
      </c>
      <c r="X424" s="237">
        <f>V424/100*S424</f>
        <v/>
      </c>
      <c r="Y424">
        <f>IF(AND(V424&gt;0,N424=V424),TRUE,FALSE)</f>
        <v/>
      </c>
      <c r="Z424" s="228">
        <f>IF(C424="Einnahmen",Q424,-Q424)</f>
        <v/>
      </c>
    </row>
    <row r="425">
      <c r="A425" s="53" t="n">
        <v>2020</v>
      </c>
      <c r="B425" s="53" t="n">
        <v>186</v>
      </c>
      <c r="C425" s="71" t="inlineStr">
        <is>
          <t>Ausgaben</t>
        </is>
      </c>
      <c r="D425" t="inlineStr">
        <is>
          <t>Telefon/Internet</t>
        </is>
      </c>
      <c r="E425" s="9" t="inlineStr">
        <is>
          <t>6208395543</t>
        </is>
      </c>
      <c r="G425" s="1" t="n">
        <v>44106</v>
      </c>
      <c r="H425" t="inlineStr">
        <is>
          <t>Hutchison Drei Austria GmbH, Brünner Straße 52, 1210 Wien, Österreich</t>
        </is>
      </c>
      <c r="K425">
        <f>(IF(AND(I425&lt;&gt;"",AND(J425="",ABS(Q425)&gt;400)),TRUE,FALSE))</f>
        <v/>
      </c>
      <c r="L425" s="214" t="n">
        <v>15</v>
      </c>
      <c r="M425" s="159" t="n">
        <v>1</v>
      </c>
      <c r="N425" t="n">
        <v>20</v>
      </c>
      <c r="O425" s="237">
        <f>L425*N425/100</f>
        <v/>
      </c>
      <c r="P425" s="237">
        <f>M425*O425</f>
        <v/>
      </c>
      <c r="Q425" s="208">
        <f>L425*M425</f>
        <v/>
      </c>
      <c r="R425" s="251">
        <f>L425+O425</f>
        <v/>
      </c>
      <c r="S425" s="251">
        <f>Q425+P425</f>
        <v/>
      </c>
      <c r="T425" s="35">
        <f>voranmeldefrist_vierteljaehrlich(G425)</f>
        <v/>
      </c>
      <c r="U425" s="27" t="n"/>
      <c r="V425" s="27" t="n"/>
      <c r="W425" s="210">
        <f>IF(K425=TRUE,Q425/I425,Q425)</f>
        <v/>
      </c>
      <c r="X425" s="237">
        <f>V425/100*S425</f>
        <v/>
      </c>
      <c r="Y425">
        <f>IF(AND(V425&gt;0,N425=V425),TRUE,FALSE)</f>
        <v/>
      </c>
      <c r="Z425" s="228">
        <f>IF(C425="Einnahmen",Q425,-Q425)</f>
        <v/>
      </c>
    </row>
    <row r="426">
      <c r="A426" s="53" t="n">
        <v>2020</v>
      </c>
      <c r="B426" s="53" t="n">
        <v>187</v>
      </c>
      <c r="C426" s="71" t="inlineStr">
        <is>
          <t>Ausgaben</t>
        </is>
      </c>
      <c r="D426" t="inlineStr">
        <is>
          <t>Reise- und Fahrtspesen inkl. Kilometergeld und Diäten</t>
        </is>
      </c>
      <c r="E426" s="131" t="inlineStr">
        <is>
          <t>4293000000017710</t>
        </is>
      </c>
      <c r="G426" s="1" t="n">
        <v>44106</v>
      </c>
      <c r="H426" t="inlineStr">
        <is>
          <t>car2go Österreich GmbH, Hintere Zollamtstraße 9, 1030 Wien</t>
        </is>
      </c>
      <c r="K426" t="b">
        <v>0</v>
      </c>
      <c r="L426" s="214" t="n">
        <v>51.8</v>
      </c>
      <c r="M426" s="159" t="n">
        <v>1</v>
      </c>
      <c r="N426" t="n">
        <v>20</v>
      </c>
      <c r="O426" s="237">
        <f>L426*N426/100</f>
        <v/>
      </c>
      <c r="P426" s="237">
        <f>M426*O426</f>
        <v/>
      </c>
      <c r="Q426" s="208">
        <f>L426*M426</f>
        <v/>
      </c>
      <c r="R426" s="251">
        <f>L426+O426</f>
        <v/>
      </c>
      <c r="S426" s="251">
        <f>Q426+P426</f>
        <v/>
      </c>
      <c r="T426" s="35">
        <f>voranmeldefrist_vierteljaehrlich(G426)</f>
        <v/>
      </c>
      <c r="U426" s="27" t="n"/>
      <c r="V426" s="27" t="n"/>
      <c r="W426" s="210">
        <f>IF(K426=TRUE,Q426/J426,Q426)</f>
        <v/>
      </c>
      <c r="X426" s="237">
        <f>V426/100*S426</f>
        <v/>
      </c>
      <c r="Y426">
        <f>IF(AND(V426&gt;0,N426=V426),TRUE,FALSE)</f>
        <v/>
      </c>
      <c r="Z426" s="228">
        <f>IF(C426="Einnahmen",Q426,-Q426)</f>
        <v/>
      </c>
    </row>
    <row r="427">
      <c r="A427" s="53" t="n">
        <v>2020</v>
      </c>
      <c r="B427" s="53" t="n">
        <v>188</v>
      </c>
      <c r="C427" s="71" t="inlineStr">
        <is>
          <t>Ausgaben</t>
        </is>
      </c>
      <c r="D427" t="inlineStr">
        <is>
          <t>Telefon/Internet</t>
        </is>
      </c>
      <c r="E427" s="131" t="inlineStr">
        <is>
          <t>901202370820</t>
        </is>
      </c>
      <c r="F427" s="1" t="n">
        <v>43962</v>
      </c>
      <c r="G427" s="1" t="n">
        <v>44064</v>
      </c>
      <c r="H427" t="inlineStr">
        <is>
          <t>Magenta: T-Mobile Austria GmbH, A-1120 Wien, PF 47</t>
        </is>
      </c>
      <c r="K427">
        <f>(IF(AND(I427&lt;&gt;"",AND(J427="",ABS(Q427)&gt;400)),TRUE,FALSE))</f>
        <v/>
      </c>
      <c r="L427" s="214" t="n">
        <v>35.24</v>
      </c>
      <c r="M427" s="159" t="n">
        <v>1</v>
      </c>
      <c r="N427" t="n">
        <v>20</v>
      </c>
      <c r="O427" s="237">
        <f>L427*N427/100</f>
        <v/>
      </c>
      <c r="P427" s="237">
        <f>M427*O427</f>
        <v/>
      </c>
      <c r="Q427" s="208">
        <f>L427*M427</f>
        <v/>
      </c>
      <c r="R427" s="251">
        <f>L427+O427</f>
        <v/>
      </c>
      <c r="S427" s="251">
        <f>Q427+P427</f>
        <v/>
      </c>
      <c r="T427" s="35">
        <f>voranmeldefrist_vierteljaehrlich(G427)</f>
        <v/>
      </c>
      <c r="U427" s="27" t="n"/>
      <c r="V427" s="27" t="n"/>
      <c r="W427" s="210">
        <f>IF(K427=TRUE,Q427/I427,Q427)</f>
        <v/>
      </c>
      <c r="X427" s="237">
        <f>V427/100*S427</f>
        <v/>
      </c>
      <c r="Y427">
        <f>IF(AND(V427&gt;0,N427=V427),TRUE,FALSE)</f>
        <v/>
      </c>
      <c r="Z427" s="228">
        <f>IF(C427="Einnahmen",Q427,-Q427)</f>
        <v/>
      </c>
    </row>
    <row r="428">
      <c r="A428" s="53" t="n">
        <v>2020</v>
      </c>
      <c r="B428" s="53" t="n">
        <v>189</v>
      </c>
      <c r="C428" s="71" t="inlineStr">
        <is>
          <t>Ausgaben</t>
        </is>
      </c>
      <c r="D428" t="inlineStr">
        <is>
          <t>sonstige Betriebsausgaben</t>
        </is>
      </c>
      <c r="E428" s="9" t="inlineStr">
        <is>
          <t>3798454186</t>
        </is>
      </c>
      <c r="G428" s="1" t="n">
        <v>44109</v>
      </c>
      <c r="H428" t="inlineStr">
        <is>
          <t>Google Ireland Ltd, Gordon House, Barrow Street, Dublin 4, Ireland; VAT number: IE 6388047V</t>
        </is>
      </c>
      <c r="K428" t="b">
        <v>0</v>
      </c>
      <c r="L428" s="214" t="n">
        <v>9.359999999999999</v>
      </c>
      <c r="M428" s="159" t="n">
        <v>1</v>
      </c>
      <c r="N428" t="n">
        <v>0</v>
      </c>
      <c r="O428" s="237">
        <f>L428*N428/100</f>
        <v/>
      </c>
      <c r="P428" s="237">
        <f>M428*O428</f>
        <v/>
      </c>
      <c r="Q428" s="208">
        <f>L428*M428</f>
        <v/>
      </c>
      <c r="R428" s="251">
        <f>L428+O428</f>
        <v/>
      </c>
      <c r="S428" s="251">
        <f>Q428+P428</f>
        <v/>
      </c>
      <c r="T428" s="35">
        <f>voranmeldefrist_vierteljaehrlich(G428)</f>
        <v/>
      </c>
      <c r="U428" s="27" t="n"/>
      <c r="V428" s="27" t="n">
        <v>20</v>
      </c>
      <c r="W428" s="210">
        <f>IF(K428=TRUE,Q428/I428,Q428)</f>
        <v/>
      </c>
      <c r="X428" s="237">
        <f>V428/100*S428</f>
        <v/>
      </c>
      <c r="Y428">
        <f>IF(AND(V428&gt;0,N428=V428),TRUE,FALSE)</f>
        <v/>
      </c>
      <c r="Z428" s="228">
        <f>IF(C428="Einnahmen",Q428,-Q428)</f>
        <v/>
      </c>
    </row>
    <row r="429">
      <c r="A429" s="53" t="n">
        <v>2020</v>
      </c>
      <c r="B429" s="53" t="n">
        <v>190</v>
      </c>
      <c r="C429" s="71" t="inlineStr">
        <is>
          <t>Ausgaben</t>
        </is>
      </c>
      <c r="D429" t="inlineStr">
        <is>
          <t>sonstige Betriebsausgaben</t>
        </is>
      </c>
      <c r="E429" s="9" t="inlineStr">
        <is>
          <t>807693</t>
        </is>
      </c>
      <c r="G429" s="1" t="n">
        <v>44109</v>
      </c>
      <c r="H429" t="inlineStr">
        <is>
          <t>easy green energy GmbH &amp; Co KG</t>
        </is>
      </c>
      <c r="K429">
        <f>(IF(AND(I429&lt;&gt;"",AND(J429="",ABS(Q429)&gt;400)),TRUE,FALSE))</f>
        <v/>
      </c>
      <c r="L429" s="214" t="n">
        <v>2.5</v>
      </c>
      <c r="M429" s="159" t="n">
        <v>1</v>
      </c>
      <c r="N429" t="n">
        <v>20</v>
      </c>
      <c r="O429" s="237">
        <f>L429*N429/100</f>
        <v/>
      </c>
      <c r="P429" s="237">
        <f>M429*O429</f>
        <v/>
      </c>
      <c r="Q429" s="208">
        <f>L429*M429</f>
        <v/>
      </c>
      <c r="R429" s="251">
        <f>L429+O429</f>
        <v/>
      </c>
      <c r="S429" s="251" t="n">
        <v>3</v>
      </c>
      <c r="T429" s="35">
        <f>voranmeldefrist_vierteljaehrlich(G429)</f>
        <v/>
      </c>
      <c r="U429" s="27" t="n"/>
      <c r="V429" s="27" t="n"/>
      <c r="W429" s="210">
        <f>IF(K429=TRUE,Q429/J429,Q429)</f>
        <v/>
      </c>
      <c r="X429" s="237">
        <f>V429/100*S429</f>
        <v/>
      </c>
      <c r="Y429">
        <f>IF(AND(V429&gt;0,N429=V429),TRUE,FALSE)</f>
        <v/>
      </c>
      <c r="Z429" s="228">
        <f>IF(C429="Einnahmen",Q429,-Q429)</f>
        <v/>
      </c>
    </row>
    <row r="430">
      <c r="A430" s="53" t="n">
        <v>2020</v>
      </c>
      <c r="B430" s="53" t="n">
        <v>191</v>
      </c>
      <c r="C430" s="71" t="inlineStr">
        <is>
          <t>Ausgaben</t>
        </is>
      </c>
      <c r="D430" t="inlineStr">
        <is>
          <t>sonstige Betriebsausgaben</t>
        </is>
      </c>
      <c r="E430" s="9" t="inlineStr">
        <is>
          <t>HKA/20-01-39452</t>
        </is>
      </c>
      <c r="G430" s="1" t="n">
        <v>44110</v>
      </c>
      <c r="H430" t="inlineStr">
        <is>
          <t>Techem Messtechnik GmbH; Abnehmernummer 501686-0003-11-(</t>
        </is>
      </c>
      <c r="K430">
        <f>(IF(AND(I430&lt;&gt;"",AND(J430="",ABS(Q430)&gt;400)),TRUE,FALSE))</f>
        <v/>
      </c>
      <c r="L430" s="214" t="n">
        <v>35</v>
      </c>
      <c r="M430" s="159" t="n">
        <v>1</v>
      </c>
      <c r="N430" t="n">
        <v>20</v>
      </c>
      <c r="O430" s="237">
        <f>L430*N430/100</f>
        <v/>
      </c>
      <c r="P430" s="237">
        <f>M430*O430</f>
        <v/>
      </c>
      <c r="Q430" s="208">
        <f>L430*M430</f>
        <v/>
      </c>
      <c r="R430" s="251">
        <f>L430+O430</f>
        <v/>
      </c>
      <c r="S430" s="251">
        <f>Q430+P430</f>
        <v/>
      </c>
      <c r="T430" s="35">
        <f>voranmeldefrist_vierteljaehrlich(G430)</f>
        <v/>
      </c>
      <c r="U430" s="27" t="n"/>
      <c r="V430" s="27" t="n"/>
      <c r="W430" s="210">
        <f>IF(K430=TRUE,Q430/I430,Q430)</f>
        <v/>
      </c>
      <c r="X430" s="237">
        <f>V430/100*S430</f>
        <v/>
      </c>
      <c r="Y430">
        <f>IF(AND(V430&gt;0,N430=V430),TRUE,FALSE)</f>
        <v/>
      </c>
      <c r="Z430" s="228">
        <f>IF(C430="Einnahmen",Q430,-Q430)</f>
        <v/>
      </c>
    </row>
    <row r="431">
      <c r="A431" s="53" t="n">
        <v>2020</v>
      </c>
      <c r="B431" s="53" t="n">
        <v>192</v>
      </c>
      <c r="C431" s="71" t="inlineStr">
        <is>
          <t>Ausgaben</t>
        </is>
      </c>
      <c r="D431" t="inlineStr">
        <is>
          <t>sonstige Betriebsausgaben</t>
        </is>
      </c>
      <c r="E431" s="9" t="inlineStr">
        <is>
          <t>R0012046586</t>
        </is>
      </c>
      <c r="G431" s="1" t="n">
        <v>44111</v>
      </c>
      <c r="H431" t="inlineStr">
        <is>
          <t>Hetzner Online GmbH</t>
        </is>
      </c>
      <c r="K431">
        <f>(IF(AND(I431&lt;&gt;"",AND(J431="",ABS(Q431)&gt;400)),TRUE,FALSE))</f>
        <v/>
      </c>
      <c r="L431" s="214" t="n">
        <v>2.49</v>
      </c>
      <c r="M431" s="159" t="n">
        <v>1</v>
      </c>
      <c r="N431" t="n">
        <v>0</v>
      </c>
      <c r="O431" s="237">
        <f>L431*N431/100</f>
        <v/>
      </c>
      <c r="P431" s="237">
        <f>M431*O431</f>
        <v/>
      </c>
      <c r="Q431" s="208">
        <f>L431*M431</f>
        <v/>
      </c>
      <c r="R431" s="251">
        <f>L431+O431</f>
        <v/>
      </c>
      <c r="S431" s="251">
        <f>Q431+P431</f>
        <v/>
      </c>
      <c r="T431" s="35">
        <f>voranmeldefrist_vierteljaehrlich(G431)</f>
        <v/>
      </c>
      <c r="U431" s="27" t="n"/>
      <c r="V431" s="27" t="n">
        <v>20</v>
      </c>
      <c r="W431" s="210">
        <f>IF(K431=TRUE,Q431/J431,Q431)</f>
        <v/>
      </c>
      <c r="X431" s="237">
        <f>V431/100*S431</f>
        <v/>
      </c>
      <c r="Y431">
        <f>IF(AND(V431&gt;0,N431=V431),TRUE,FALSE)</f>
        <v/>
      </c>
      <c r="Z431" s="228">
        <f>IF(C431="Einnahmen",Q431,-Q431)</f>
        <v/>
      </c>
    </row>
    <row r="432">
      <c r="A432" s="53" t="n">
        <v>2020</v>
      </c>
      <c r="B432" s="53" t="n">
        <v>193</v>
      </c>
      <c r="C432" s="71" t="inlineStr">
        <is>
          <t>Ausgaben</t>
        </is>
      </c>
      <c r="D432" t="inlineStr">
        <is>
          <t>sonstige Betriebsausgaben</t>
        </is>
      </c>
      <c r="E432" s="9" t="inlineStr">
        <is>
          <t>5112142283</t>
        </is>
      </c>
      <c r="G432" s="1" t="n">
        <v>44116</v>
      </c>
      <c r="H432" t="inlineStr">
        <is>
          <t>Wiener Netze GmbH, Erdbergstraße 236, 1110 Wien, Postfach 422</t>
        </is>
      </c>
      <c r="K432">
        <f>(IF(AND(I432&lt;&gt;"",AND(J432="",ABS(Q432)&gt;400)),TRUE,FALSE))</f>
        <v/>
      </c>
      <c r="L432" s="214">
        <f>S432/1.2</f>
        <v/>
      </c>
      <c r="M432" s="159" t="n">
        <v>1</v>
      </c>
      <c r="N432" t="n">
        <v>20</v>
      </c>
      <c r="O432" s="237">
        <f>L432*N432/100</f>
        <v/>
      </c>
      <c r="P432" s="237">
        <f>M432*O432</f>
        <v/>
      </c>
      <c r="Q432" s="208">
        <f>L432*M432</f>
        <v/>
      </c>
      <c r="R432" s="251">
        <f>L432+O432</f>
        <v/>
      </c>
      <c r="S432" s="251" t="n">
        <v>34.8</v>
      </c>
      <c r="T432" s="35">
        <f>voranmeldefrist_vierteljaehrlich(G432)</f>
        <v/>
      </c>
      <c r="U432" s="27" t="n"/>
      <c r="V432" s="27" t="n"/>
      <c r="W432" s="210">
        <f>IF(K432=TRUE,Q432/J432,Q432)</f>
        <v/>
      </c>
      <c r="X432" s="237">
        <f>V432/100*S432</f>
        <v/>
      </c>
      <c r="Y432">
        <f>IF(AND(V432&gt;0,N432=V432),TRUE,FALSE)</f>
        <v/>
      </c>
      <c r="Z432" s="228">
        <f>IF(C432="Einnahmen",Q432,-Q432)</f>
        <v/>
      </c>
    </row>
    <row r="433">
      <c r="A433" s="53" t="n">
        <v>2020</v>
      </c>
      <c r="B433" s="53" t="n">
        <v>194</v>
      </c>
      <c r="C433" s="71" t="inlineStr">
        <is>
          <t>Ausgaben</t>
        </is>
      </c>
      <c r="D433" t="inlineStr">
        <is>
          <t>sonstige Betriebsausgaben</t>
        </is>
      </c>
      <c r="E433" s="9" t="inlineStr">
        <is>
          <t>R0012086246</t>
        </is>
      </c>
      <c r="G433" s="1" t="n">
        <v>44117</v>
      </c>
      <c r="H433" t="inlineStr">
        <is>
          <t>Hetzner Online GmbH</t>
        </is>
      </c>
      <c r="K433">
        <f>(IF(AND(I433&lt;&gt;"",AND(J433="",ABS(Q433)&gt;400)),TRUE,FALSE))</f>
        <v/>
      </c>
      <c r="L433" s="214" t="n">
        <v>46.92</v>
      </c>
      <c r="M433" s="159" t="n">
        <v>1</v>
      </c>
      <c r="N433" t="n">
        <v>0</v>
      </c>
      <c r="O433" s="237">
        <f>L433*N433/100</f>
        <v/>
      </c>
      <c r="P433" s="237">
        <f>M433*O433</f>
        <v/>
      </c>
      <c r="Q433" s="208">
        <f>L433*M433</f>
        <v/>
      </c>
      <c r="R433" s="251">
        <f>L433+O433</f>
        <v/>
      </c>
      <c r="S433" s="251">
        <f>Q433+P433</f>
        <v/>
      </c>
      <c r="T433" s="35">
        <f>voranmeldefrist_vierteljaehrlich(G433)</f>
        <v/>
      </c>
      <c r="U433" s="27" t="n"/>
      <c r="V433" s="27" t="n">
        <v>20</v>
      </c>
      <c r="W433" s="210">
        <f>IF(K433=TRUE,Q433/J433,Q433)</f>
        <v/>
      </c>
      <c r="X433" s="237">
        <f>V433/100*S433</f>
        <v/>
      </c>
      <c r="Y433">
        <f>IF(AND(V433&gt;0,N433=V433),TRUE,FALSE)</f>
        <v/>
      </c>
      <c r="Z433" s="228">
        <f>IF(C433="Einnahmen",Q433,-Q433)</f>
        <v/>
      </c>
    </row>
    <row r="434">
      <c r="A434" s="53" t="n">
        <v>2020</v>
      </c>
      <c r="B434" s="53" t="n">
        <v>195</v>
      </c>
      <c r="C434" s="71" t="inlineStr">
        <is>
          <t>Ausgaben</t>
        </is>
      </c>
      <c r="D434" t="inlineStr">
        <is>
          <t>Waren, Rohstoffe, Hilfsstoffe</t>
        </is>
      </c>
      <c r="E434" s="9" t="inlineStr">
        <is>
          <t>AEU-INV-PL-2020-5037886</t>
        </is>
      </c>
      <c r="G434" s="1" t="n">
        <v>44120</v>
      </c>
      <c r="H434" t="inlineStr">
        <is>
          <t>Amazon EU S. à r.l., 38 avenue John F. Kennedy, L-1855 Luxembourg: HJEU: DVI-HDMI, Logitech Maus</t>
        </is>
      </c>
      <c r="K434">
        <f>(IF(AND(I434&lt;&gt;"",AND(J434="",ABS(Q434)&gt;400)),TRUE,FALSE))</f>
        <v/>
      </c>
      <c r="L434" s="214" t="n">
        <v>16.14</v>
      </c>
      <c r="M434" s="159" t="n">
        <v>1</v>
      </c>
      <c r="N434" t="n">
        <v>20</v>
      </c>
      <c r="O434" s="237">
        <f>L434*N434/100</f>
        <v/>
      </c>
      <c r="P434" s="237">
        <f>M434*O434</f>
        <v/>
      </c>
      <c r="Q434" s="208">
        <f>L434*M434</f>
        <v/>
      </c>
      <c r="R434" s="251">
        <f>L434+O434</f>
        <v/>
      </c>
      <c r="S434" s="251">
        <f>Q434+P434</f>
        <v/>
      </c>
      <c r="T434" s="35">
        <f>voranmeldefrist_vierteljaehrlich(G434)</f>
        <v/>
      </c>
      <c r="U434" s="27" t="n"/>
      <c r="V434" s="27" t="n"/>
      <c r="W434" s="210">
        <f>IF(K434=TRUE,Q434/I434,Q434)</f>
        <v/>
      </c>
      <c r="X434" s="237">
        <f>V434/100*S434</f>
        <v/>
      </c>
      <c r="Y434">
        <f>IF(AND(V434&gt;0,N434=V434),TRUE,FALSE)</f>
        <v/>
      </c>
      <c r="Z434" s="228">
        <f>IF(C434="Einnahmen",Q434,-Q434)</f>
        <v/>
      </c>
    </row>
    <row r="435">
      <c r="A435" s="53" t="n">
        <v>2020</v>
      </c>
      <c r="B435" s="53" t="n">
        <v>196</v>
      </c>
      <c r="C435" s="71" t="inlineStr">
        <is>
          <t>Ausgaben</t>
        </is>
      </c>
      <c r="D435" t="inlineStr">
        <is>
          <t>Telefon/Internet</t>
        </is>
      </c>
      <c r="E435" s="131" t="inlineStr">
        <is>
          <t>901200291020</t>
        </is>
      </c>
      <c r="F435" s="1" t="n">
        <v>43962</v>
      </c>
      <c r="G435" s="1" t="n">
        <v>44125</v>
      </c>
      <c r="H435" t="inlineStr">
        <is>
          <t>Magenta: T-Mobile Austria GmbH, A-1120 Wien, PF 47</t>
        </is>
      </c>
      <c r="K435">
        <f>(IF(AND(I435&lt;&gt;"",AND(J435="",ABS(Q435)&gt;400)),TRUE,FALSE))</f>
        <v/>
      </c>
      <c r="L435" s="214" t="n">
        <v>35.24</v>
      </c>
      <c r="M435" s="159" t="n">
        <v>1</v>
      </c>
      <c r="N435" t="n">
        <v>20</v>
      </c>
      <c r="O435" s="237">
        <f>L435*N435/100</f>
        <v/>
      </c>
      <c r="P435" s="237">
        <f>M435*O435</f>
        <v/>
      </c>
      <c r="Q435" s="208">
        <f>L435*M435</f>
        <v/>
      </c>
      <c r="R435" s="251">
        <f>L435+O435</f>
        <v/>
      </c>
      <c r="S435" s="251">
        <f>Q435+P435</f>
        <v/>
      </c>
      <c r="T435" s="35">
        <f>voranmeldefrist_vierteljaehrlich(G435)</f>
        <v/>
      </c>
      <c r="U435" s="27" t="n"/>
      <c r="V435" s="27" t="n"/>
      <c r="W435" s="210">
        <f>IF(K435=TRUE,Q435/I435,Q435)</f>
        <v/>
      </c>
      <c r="X435" s="237">
        <f>V435/100*S435</f>
        <v/>
      </c>
      <c r="Y435">
        <f>IF(AND(V435&gt;0,N435=V435),TRUE,FALSE)</f>
        <v/>
      </c>
      <c r="Z435" s="228">
        <f>IF(C435="Einnahmen",Q435,-Q435)</f>
        <v/>
      </c>
    </row>
    <row r="436">
      <c r="A436" s="53" t="n">
        <v>2020</v>
      </c>
      <c r="B436" s="53" t="n">
        <v>197</v>
      </c>
      <c r="C436" s="71" t="inlineStr">
        <is>
          <t>Ausgaben</t>
        </is>
      </c>
      <c r="D436" t="inlineStr">
        <is>
          <t>sonstige Betriebsausgaben</t>
        </is>
      </c>
      <c r="E436" s="9" t="inlineStr">
        <is>
          <t>AEU-INV-PL-2020-5037886</t>
        </is>
      </c>
      <c r="G436" s="1" t="n">
        <v>44120</v>
      </c>
      <c r="H436" t="inlineStr">
        <is>
          <t>Amazon EU S. à r.l., 38 avenue John F. Kennedy, L-1855 Luxembourg: UID PL5262907815; Leitz Ordner 3er</t>
        </is>
      </c>
      <c r="K436">
        <f>(IF(AND(I436&lt;&gt;"",AND(J436="",ABS(Q436)&gt;400)),TRUE,FALSE))</f>
        <v/>
      </c>
      <c r="L436" s="214" t="n">
        <v>16.14</v>
      </c>
      <c r="M436" s="159" t="n">
        <v>1</v>
      </c>
      <c r="N436" t="n">
        <v>0</v>
      </c>
      <c r="O436" s="237">
        <f>L436*N436/100</f>
        <v/>
      </c>
      <c r="P436" s="237">
        <f>M436*O436</f>
        <v/>
      </c>
      <c r="Q436" s="208">
        <f>L436*M436</f>
        <v/>
      </c>
      <c r="R436" s="251">
        <f>L436+O436</f>
        <v/>
      </c>
      <c r="S436" s="251">
        <f>Q436+P436</f>
        <v/>
      </c>
      <c r="T436" s="35">
        <f>voranmeldefrist_vierteljaehrlich(G436)</f>
        <v/>
      </c>
      <c r="U436" s="27" t="n"/>
      <c r="V436" s="27" t="n">
        <v>20</v>
      </c>
      <c r="W436" s="210">
        <f>IF(K436=TRUE,Q436/J436,Q436)</f>
        <v/>
      </c>
      <c r="X436" s="237">
        <f>V436/100*S436</f>
        <v/>
      </c>
      <c r="Y436">
        <f>IF(AND(V436&gt;0,N436=V436),TRUE,FALSE)</f>
        <v/>
      </c>
      <c r="Z436" s="228">
        <f>IF(C436="Einnahmen",Q436,-Q436)</f>
        <v/>
      </c>
    </row>
    <row r="437">
      <c r="A437" s="53" t="n">
        <v>2020</v>
      </c>
      <c r="B437" s="53" t="n">
        <v>198</v>
      </c>
      <c r="C437" s="71" t="inlineStr">
        <is>
          <t>Ausgaben</t>
        </is>
      </c>
      <c r="D437" t="inlineStr">
        <is>
          <t>sonstige Betriebsausgaben</t>
        </is>
      </c>
      <c r="E437" s="131" t="inlineStr">
        <is>
          <t>201001871465</t>
        </is>
      </c>
      <c r="G437" s="1" t="n">
        <v>44131</v>
      </c>
      <c r="H437" t="inlineStr">
        <is>
          <t>Wirtschaftskammer Wien Grundumlagen, Straße der Wiener Wirtschaft 1, 1020 Wien: GU UBIT</t>
        </is>
      </c>
      <c r="K437" t="b">
        <v>0</v>
      </c>
      <c r="L437" s="214" t="n">
        <v>65</v>
      </c>
      <c r="M437" s="159" t="n">
        <v>1</v>
      </c>
      <c r="N437" t="n">
        <v>0</v>
      </c>
      <c r="O437" s="237">
        <f>L437*N437/100</f>
        <v/>
      </c>
      <c r="P437" s="237">
        <f>M437*O437</f>
        <v/>
      </c>
      <c r="Q437" s="208">
        <f>L437*M437</f>
        <v/>
      </c>
      <c r="R437" s="251">
        <f>L437+O437</f>
        <v/>
      </c>
      <c r="S437" s="251">
        <f>Q437+P437</f>
        <v/>
      </c>
      <c r="T437" s="35">
        <f>voranmeldefrist_vierteljaehrlich(G437)</f>
        <v/>
      </c>
      <c r="U437" s="27" t="n"/>
      <c r="V437" s="27" t="n"/>
      <c r="W437" s="210">
        <f>IF(K437=TRUE,Q437/I437,Q437)</f>
        <v/>
      </c>
      <c r="X437" s="237">
        <f>V437/100*S437</f>
        <v/>
      </c>
      <c r="Y437">
        <f>IF(AND(V437&gt;0,N437=V437),TRUE,FALSE)</f>
        <v/>
      </c>
      <c r="Z437" s="228">
        <f>IF(C437="Einnahmen",Q437,-Q437)</f>
        <v/>
      </c>
    </row>
    <row r="438">
      <c r="A438" s="53" t="n">
        <v>2020</v>
      </c>
      <c r="B438" s="53" t="n">
        <v>199</v>
      </c>
      <c r="C438" s="71" t="inlineStr">
        <is>
          <t>Ausgaben</t>
        </is>
      </c>
      <c r="D438" t="inlineStr">
        <is>
          <t>sonstige Betriebsausgaben</t>
        </is>
      </c>
      <c r="E438" s="131" t="inlineStr">
        <is>
          <t>3810095756</t>
        </is>
      </c>
      <c r="G438" s="1" t="n">
        <v>44133</v>
      </c>
      <c r="H438" t="inlineStr">
        <is>
          <t>Google Ireland Ltd, Gordon House, Barrow Street, Dublin 4, Ireland; VAT number: IE 6388047V</t>
        </is>
      </c>
      <c r="K438" t="b">
        <v>0</v>
      </c>
      <c r="L438" s="214" t="n">
        <v>9.359999999999999</v>
      </c>
      <c r="M438" s="159" t="n">
        <v>1</v>
      </c>
      <c r="N438" t="n">
        <v>0</v>
      </c>
      <c r="O438" s="237">
        <f>L438*N438/100</f>
        <v/>
      </c>
      <c r="P438" s="237">
        <f>M438*O438</f>
        <v/>
      </c>
      <c r="Q438" s="208">
        <f>L438*M438</f>
        <v/>
      </c>
      <c r="R438" s="251">
        <f>L438+O438</f>
        <v/>
      </c>
      <c r="S438" s="251">
        <f>Q438+P438</f>
        <v/>
      </c>
      <c r="T438" s="35">
        <f>voranmeldefrist_vierteljaehrlich(G438)</f>
        <v/>
      </c>
      <c r="U438" s="27" t="n"/>
      <c r="V438" s="27" t="n">
        <v>20</v>
      </c>
      <c r="W438" s="210">
        <f>IF(K438=TRUE,Q438/I438,Q438)</f>
        <v/>
      </c>
      <c r="X438" s="237">
        <f>V438/100*S438</f>
        <v/>
      </c>
      <c r="Y438">
        <f>IF(AND(V438&gt;0,N438=V438),TRUE,FALSE)</f>
        <v/>
      </c>
      <c r="Z438" s="228">
        <f>IF(C438="Einnahmen",Q438,-Q438)</f>
        <v/>
      </c>
    </row>
    <row r="439">
      <c r="A439" s="53" t="n">
        <v>2020</v>
      </c>
      <c r="B439" s="53" t="n">
        <v>200</v>
      </c>
      <c r="C439" s="71" t="inlineStr">
        <is>
          <t>Ausgaben</t>
        </is>
      </c>
      <c r="D439" t="inlineStr">
        <is>
          <t>Miet- und Pachtaufwand, Leasing</t>
        </is>
      </c>
      <c r="E439" s="9" t="inlineStr">
        <is>
          <t>20/9801/VS00486</t>
        </is>
      </c>
      <c r="G439" s="1" t="n">
        <v>44137</v>
      </c>
      <c r="H439" t="inlineStr">
        <is>
          <t>Bontus Immobilienverwaltung GmbH, 1010 Wien, Franz Josefs Kai 65</t>
        </is>
      </c>
      <c r="K439" t="b">
        <v>0</v>
      </c>
      <c r="L439" s="214" t="n">
        <v>462.44</v>
      </c>
      <c r="M439" s="159" t="n">
        <v>1</v>
      </c>
      <c r="N439" t="n">
        <v>20</v>
      </c>
      <c r="O439" s="237">
        <f>L439*N439/100</f>
        <v/>
      </c>
      <c r="P439" s="237">
        <f>M439*O439</f>
        <v/>
      </c>
      <c r="Q439" s="208">
        <f>L439*M439</f>
        <v/>
      </c>
      <c r="R439" s="251">
        <f>L439+O439</f>
        <v/>
      </c>
      <c r="S439" s="251">
        <f>Q439+P439</f>
        <v/>
      </c>
      <c r="T439" s="35">
        <f>voranmeldefrist_vierteljaehrlich(G439)</f>
        <v/>
      </c>
      <c r="U439" s="27" t="n"/>
      <c r="V439" s="27" t="n"/>
      <c r="W439" s="210">
        <f>IF(K439=TRUE,Q439/J439,Q439)</f>
        <v/>
      </c>
      <c r="X439" s="237">
        <f>V439/100*S439</f>
        <v/>
      </c>
      <c r="Y439">
        <f>IF(AND(V439&gt;0,N439=V439),TRUE,FALSE)</f>
        <v/>
      </c>
      <c r="Z439" s="228">
        <f>IF(C439="Einnahmen",Q439,-Q439)</f>
        <v/>
      </c>
    </row>
    <row r="440">
      <c r="A440" s="53" t="n">
        <v>2020</v>
      </c>
      <c r="B440" s="53" t="n">
        <v>201</v>
      </c>
      <c r="C440" s="71" t="inlineStr">
        <is>
          <t>Ausgaben</t>
        </is>
      </c>
      <c r="D440" t="inlineStr">
        <is>
          <t>Reise- und Fahrtspesen inkl. Kilometergeld und Diäten</t>
        </is>
      </c>
      <c r="E440" s="131" t="inlineStr">
        <is>
          <t>4293000000018200</t>
        </is>
      </c>
      <c r="G440" s="1" t="n">
        <v>44137</v>
      </c>
      <c r="H440" t="inlineStr">
        <is>
          <t>car2go Österreich GmbH, Hintere Zollamtstraße 9, 1030 Wien</t>
        </is>
      </c>
      <c r="K440" t="b">
        <v>0</v>
      </c>
      <c r="L440" s="214" t="n">
        <v>77.56999999999999</v>
      </c>
      <c r="M440" s="159" t="n">
        <v>1</v>
      </c>
      <c r="N440" t="n">
        <v>20</v>
      </c>
      <c r="O440" s="237" t="n">
        <v>15.54</v>
      </c>
      <c r="P440" s="237" t="n">
        <v>15.54</v>
      </c>
      <c r="Q440" s="208">
        <f>L440*M440</f>
        <v/>
      </c>
      <c r="R440" s="251">
        <f>L440+O440</f>
        <v/>
      </c>
      <c r="S440" s="251">
        <f>Q440+P440</f>
        <v/>
      </c>
      <c r="T440" s="35">
        <f>voranmeldefrist_vierteljaehrlich(G440)</f>
        <v/>
      </c>
      <c r="U440" s="27" t="n"/>
      <c r="V440" s="27" t="n"/>
      <c r="W440" s="210">
        <f>IF(K440=TRUE,Q440/J440,Q440)</f>
        <v/>
      </c>
      <c r="X440" s="237">
        <f>V440/100*S440</f>
        <v/>
      </c>
      <c r="Y440">
        <f>IF(AND(V440&gt;0,N440=V440),TRUE,FALSE)</f>
        <v/>
      </c>
      <c r="Z440" s="228">
        <f>IF(C440="Einnahmen",Q440,-Q440)</f>
        <v/>
      </c>
    </row>
    <row r="441">
      <c r="A441" s="53" t="n">
        <v>2020</v>
      </c>
      <c r="B441" s="53" t="n">
        <v>202</v>
      </c>
      <c r="C441" s="71" t="inlineStr">
        <is>
          <t>Ausgaben</t>
        </is>
      </c>
      <c r="D441" t="inlineStr">
        <is>
          <t>Telefon/Internet</t>
        </is>
      </c>
      <c r="E441" s="9" t="n">
        <v>6212001185</v>
      </c>
      <c r="G441" s="1" t="n">
        <v>44138</v>
      </c>
      <c r="H441" t="inlineStr">
        <is>
          <t>Hutchison Drei Austria GmbH, Brünner Straße 52, 1210 Wien, Österreich</t>
        </is>
      </c>
      <c r="K441">
        <f>(IF(AND(I441&lt;&gt;"",AND(J441="",ABS(Q441)&gt;400)),TRUE,FALSE))</f>
        <v/>
      </c>
      <c r="L441" s="214" t="n">
        <v>15</v>
      </c>
      <c r="M441" s="159" t="n">
        <v>1</v>
      </c>
      <c r="N441" t="n">
        <v>20</v>
      </c>
      <c r="O441" s="237">
        <f>L441*N441/100</f>
        <v/>
      </c>
      <c r="P441" s="237">
        <f>M441*O441</f>
        <v/>
      </c>
      <c r="Q441" s="208">
        <f>L441*M441</f>
        <v/>
      </c>
      <c r="R441" s="251">
        <f>L441+O441</f>
        <v/>
      </c>
      <c r="S441" s="251">
        <f>Q441+P441</f>
        <v/>
      </c>
      <c r="T441" s="35">
        <f>voranmeldefrist_vierteljaehrlich(G441)</f>
        <v/>
      </c>
      <c r="U441" s="27" t="n"/>
      <c r="V441" s="27" t="n"/>
      <c r="W441" s="210">
        <f>IF(K441=TRUE,Q441/I441,Q441)</f>
        <v/>
      </c>
      <c r="X441" s="237">
        <f>V441/100*S441</f>
        <v/>
      </c>
      <c r="Y441">
        <f>IF(AND(V441&gt;0,N441=V441),TRUE,FALSE)</f>
        <v/>
      </c>
      <c r="Z441" s="228">
        <f>IF(C441="Einnahmen",Q441,-Q441)</f>
        <v/>
      </c>
    </row>
    <row r="442">
      <c r="A442" s="53" t="n">
        <v>2020</v>
      </c>
      <c r="B442" s="53" t="n">
        <v>203</v>
      </c>
      <c r="C442" s="71" t="inlineStr">
        <is>
          <t>Ausgaben</t>
        </is>
      </c>
      <c r="D442" t="inlineStr">
        <is>
          <t>sonstige Betriebsausgaben</t>
        </is>
      </c>
      <c r="E442" s="9" t="inlineStr">
        <is>
          <t>807693</t>
        </is>
      </c>
      <c r="G442" s="1" t="n">
        <v>44139</v>
      </c>
      <c r="H442" t="inlineStr">
        <is>
          <t>easy green energy GmbH &amp; Co KG</t>
        </is>
      </c>
      <c r="K442">
        <f>(IF(AND(I442&lt;&gt;"",AND(J442="",ABS(Q442)&gt;400)),TRUE,FALSE))</f>
        <v/>
      </c>
      <c r="L442" s="214" t="n">
        <v>2.5</v>
      </c>
      <c r="M442" s="159" t="n">
        <v>1</v>
      </c>
      <c r="N442" t="n">
        <v>20</v>
      </c>
      <c r="O442" s="237">
        <f>L442*N442/100</f>
        <v/>
      </c>
      <c r="P442" s="237">
        <f>M442*O442</f>
        <v/>
      </c>
      <c r="Q442" s="208">
        <f>L442*M442</f>
        <v/>
      </c>
      <c r="R442" s="251">
        <f>L442+O442</f>
        <v/>
      </c>
      <c r="S442" s="251" t="n">
        <v>3</v>
      </c>
      <c r="T442" s="35">
        <f>voranmeldefrist_vierteljaehrlich(G442)</f>
        <v/>
      </c>
      <c r="U442" s="27" t="n"/>
      <c r="V442" s="27" t="n"/>
      <c r="W442" s="210">
        <f>IF(K442=TRUE,Q442/J442,Q442)</f>
        <v/>
      </c>
      <c r="X442" s="237">
        <f>V442/100*S442</f>
        <v/>
      </c>
      <c r="Y442">
        <f>IF(AND(V442&gt;0,N442=V442),TRUE,FALSE)</f>
        <v/>
      </c>
      <c r="Z442" s="228">
        <f>IF(C442="Einnahmen",Q442,-Q442)</f>
        <v/>
      </c>
    </row>
    <row r="443">
      <c r="A443" s="53" t="n">
        <v>2020</v>
      </c>
      <c r="B443" s="53" t="n">
        <v>204</v>
      </c>
      <c r="C443" s="71" t="inlineStr">
        <is>
          <t>Ausgaben</t>
        </is>
      </c>
      <c r="D443" t="inlineStr">
        <is>
          <t>sonstige Betriebsausgaben</t>
        </is>
      </c>
      <c r="E443" s="9" t="inlineStr">
        <is>
          <t>HKA/20-01-39452</t>
        </is>
      </c>
      <c r="G443" s="1" t="n">
        <v>44140</v>
      </c>
      <c r="H443" t="inlineStr">
        <is>
          <t>Techem Messtechnik GmbH; Abnehmernummer 501686-0003-11-(</t>
        </is>
      </c>
      <c r="K443">
        <f>(IF(AND(I443&lt;&gt;"",AND(J443="",ABS(Q443)&gt;400)),TRUE,FALSE))</f>
        <v/>
      </c>
      <c r="L443" s="214" t="n">
        <v>35</v>
      </c>
      <c r="M443" s="159" t="n">
        <v>1</v>
      </c>
      <c r="N443" t="n">
        <v>20</v>
      </c>
      <c r="O443" s="237">
        <f>L443*N443/100</f>
        <v/>
      </c>
      <c r="P443" s="237">
        <f>M443*O443</f>
        <v/>
      </c>
      <c r="Q443" s="208">
        <f>L443*M443</f>
        <v/>
      </c>
      <c r="R443" s="251">
        <f>L443+O443</f>
        <v/>
      </c>
      <c r="S443" s="251">
        <f>Q443+P443</f>
        <v/>
      </c>
      <c r="T443" s="35">
        <f>voranmeldefrist_vierteljaehrlich(G443)</f>
        <v/>
      </c>
      <c r="U443" s="27" t="n"/>
      <c r="V443" s="27" t="n"/>
      <c r="W443" s="210">
        <f>IF(K443=TRUE,Q443/I443,Q443)</f>
        <v/>
      </c>
      <c r="X443" s="237">
        <f>V443/100*S443</f>
        <v/>
      </c>
      <c r="Y443">
        <f>IF(AND(V443&gt;0,N443=V443),TRUE,FALSE)</f>
        <v/>
      </c>
      <c r="Z443" s="228">
        <f>IF(C443="Einnahmen",Q443,-Q443)</f>
        <v/>
      </c>
    </row>
    <row r="444">
      <c r="A444" s="53" t="n">
        <v>2020</v>
      </c>
      <c r="B444" s="53" t="n">
        <v>205</v>
      </c>
      <c r="C444" s="71" t="inlineStr">
        <is>
          <t>Ausgaben</t>
        </is>
      </c>
      <c r="D444" t="inlineStr">
        <is>
          <t>sonstige Betriebsausgaben</t>
        </is>
      </c>
      <c r="E444" s="9" t="inlineStr">
        <is>
          <t>R0012216893</t>
        </is>
      </c>
      <c r="G444" s="1" t="n">
        <v>44141</v>
      </c>
      <c r="H444" t="inlineStr">
        <is>
          <t>Hetzner Online GmbH</t>
        </is>
      </c>
      <c r="K444">
        <f>(IF(AND(I444&lt;&gt;"",AND(J444="",ABS(Q444)&gt;400)),TRUE,FALSE))</f>
        <v/>
      </c>
      <c r="L444" s="214" t="n">
        <v>2.49</v>
      </c>
      <c r="M444" s="159" t="n">
        <v>1</v>
      </c>
      <c r="N444" t="n">
        <v>0</v>
      </c>
      <c r="O444" s="237">
        <f>L444*N444/100</f>
        <v/>
      </c>
      <c r="P444" s="237">
        <f>M444*O444</f>
        <v/>
      </c>
      <c r="Q444" s="208">
        <f>L444*M444</f>
        <v/>
      </c>
      <c r="R444" s="251">
        <f>L444+O444</f>
        <v/>
      </c>
      <c r="S444" s="251">
        <f>Q444+P444</f>
        <v/>
      </c>
      <c r="T444" s="35">
        <f>voranmeldefrist_vierteljaehrlich(G444)</f>
        <v/>
      </c>
      <c r="U444" s="27" t="n"/>
      <c r="V444" s="27" t="n">
        <v>20</v>
      </c>
      <c r="W444" s="210">
        <f>IF(K444=TRUE,Q444/J444,Q444)</f>
        <v/>
      </c>
      <c r="X444" s="237">
        <f>V444/100*S444</f>
        <v/>
      </c>
      <c r="Y444">
        <f>IF(AND(V444&gt;0,N444=V444),TRUE,FALSE)</f>
        <v/>
      </c>
      <c r="Z444" s="228">
        <f>IF(C444="Einnahmen",Q444,-Q444)</f>
        <v/>
      </c>
    </row>
    <row r="445">
      <c r="A445" s="53" t="n">
        <v>2020</v>
      </c>
      <c r="B445" s="53" t="n">
        <v>206</v>
      </c>
      <c r="C445" s="71" t="inlineStr">
        <is>
          <t>Einnahmen</t>
        </is>
      </c>
      <c r="D445" t="inlineStr">
        <is>
          <t>Waren-/Leistungserlöse</t>
        </is>
      </c>
      <c r="E445" s="9" t="n">
        <v>12020035</v>
      </c>
      <c r="G445" s="1" t="n">
        <v>44144</v>
      </c>
      <c r="H445" t="inlineStr">
        <is>
          <t>DCF - Digital Coding Factory GmbH, Bauernfeldgasse 4/12 1090 Wien</t>
        </is>
      </c>
      <c r="K445">
        <f>(IF(AND(I445&lt;&gt;"",AND(J445="",ABS(Q445)&gt;400)),TRUE,FALSE))</f>
        <v/>
      </c>
      <c r="L445" s="214" t="n">
        <v>9810</v>
      </c>
      <c r="M445" s="159" t="n">
        <v>1</v>
      </c>
      <c r="N445" t="n">
        <v>20</v>
      </c>
      <c r="O445" s="237">
        <f>L445*N445/100</f>
        <v/>
      </c>
      <c r="P445" s="237">
        <f>M445*O445</f>
        <v/>
      </c>
      <c r="Q445" s="208">
        <f>L445*M445</f>
        <v/>
      </c>
      <c r="R445" s="251">
        <f>L445+O445</f>
        <v/>
      </c>
      <c r="S445" s="251">
        <f>Q445+P445</f>
        <v/>
      </c>
      <c r="T445" s="35">
        <f>voranmeldefrist_vierteljaehrlich(G445)</f>
        <v/>
      </c>
      <c r="U445" s="27" t="n"/>
      <c r="V445" s="27" t="n"/>
      <c r="W445" s="210">
        <f>IF(K445=TRUE,Q445/I445,Q445)</f>
        <v/>
      </c>
      <c r="X445" s="237">
        <f>V445/100*S445</f>
        <v/>
      </c>
      <c r="Y445">
        <f>IF(AND(V445&gt;0,N445=V445),TRUE,FALSE)</f>
        <v/>
      </c>
      <c r="Z445" s="228">
        <f>IF(C445="Einnahmen",Q445,-Q445)</f>
        <v/>
      </c>
    </row>
    <row r="446">
      <c r="A446" s="53" t="n">
        <v>2020</v>
      </c>
      <c r="B446" s="53" t="n">
        <v>207</v>
      </c>
      <c r="C446" s="71" t="inlineStr">
        <is>
          <t>Einnahmen</t>
        </is>
      </c>
      <c r="D446" t="inlineStr">
        <is>
          <t>Waren-/Leistungserlöse</t>
        </is>
      </c>
      <c r="E446" s="9" t="n">
        <v>12020034</v>
      </c>
      <c r="G446" s="1" t="n">
        <v>44144</v>
      </c>
      <c r="H446" t="inlineStr">
        <is>
          <t>DCF - Digital Coding Factory GmbH, Bauernfeldgasse 4/12 1090 Wien</t>
        </is>
      </c>
      <c r="K446">
        <f>(IF(AND(I446&lt;&gt;"",AND(J446="",ABS(Q446)&gt;400)),TRUE,FALSE))</f>
        <v/>
      </c>
      <c r="L446" s="214" t="n">
        <v>420</v>
      </c>
      <c r="M446" s="159" t="n">
        <v>1</v>
      </c>
      <c r="N446" t="n">
        <v>20</v>
      </c>
      <c r="O446" s="237">
        <f>L446*N446/100</f>
        <v/>
      </c>
      <c r="P446" s="237">
        <f>M446*O446</f>
        <v/>
      </c>
      <c r="Q446" s="208">
        <f>L446*M446</f>
        <v/>
      </c>
      <c r="R446" s="251">
        <f>L446+O446</f>
        <v/>
      </c>
      <c r="S446" s="251">
        <f>Q446+P446</f>
        <v/>
      </c>
      <c r="T446" s="35">
        <f>voranmeldefrist_vierteljaehrlich(G446)</f>
        <v/>
      </c>
      <c r="U446" s="27" t="n"/>
      <c r="V446" s="27" t="n"/>
      <c r="W446" s="210">
        <f>IF(K446=TRUE,Q446/I446,Q446)</f>
        <v/>
      </c>
      <c r="X446" s="237">
        <f>V446/100*S446</f>
        <v/>
      </c>
      <c r="Y446">
        <f>IF(AND(V446&gt;0,N446=V446),TRUE,FALSE)</f>
        <v/>
      </c>
      <c r="Z446" s="228">
        <f>IF(C446="Einnahmen",Q446,-Q446)</f>
        <v/>
      </c>
    </row>
    <row r="447">
      <c r="A447" s="53" t="n">
        <v>2020</v>
      </c>
      <c r="B447" s="53" t="n">
        <v>208</v>
      </c>
      <c r="C447" s="71" t="inlineStr">
        <is>
          <t>Ausgaben</t>
        </is>
      </c>
      <c r="D447" t="inlineStr">
        <is>
          <t>sonstige Betriebsausgaben</t>
        </is>
      </c>
      <c r="E447" s="9" t="inlineStr">
        <is>
          <t>5112142283</t>
        </is>
      </c>
      <c r="G447" s="1" t="n">
        <v>44145</v>
      </c>
      <c r="H447" t="inlineStr">
        <is>
          <t>Wiener Netze GmbH, Erdbergstraße 236, 1110 Wien, Postfach 422</t>
        </is>
      </c>
      <c r="K447">
        <f>(IF(AND(I447&lt;&gt;"",AND(J447="",ABS(Q447)&gt;400)),TRUE,FALSE))</f>
        <v/>
      </c>
      <c r="L447" s="214">
        <f>S447/1.2</f>
        <v/>
      </c>
      <c r="M447" s="159" t="n">
        <v>1</v>
      </c>
      <c r="N447" t="n">
        <v>20</v>
      </c>
      <c r="O447" s="237">
        <f>L447*N447/100</f>
        <v/>
      </c>
      <c r="P447" s="237">
        <f>M447*O447</f>
        <v/>
      </c>
      <c r="Q447" s="208">
        <f>L447*M447</f>
        <v/>
      </c>
      <c r="R447" s="251">
        <f>L447+O447</f>
        <v/>
      </c>
      <c r="S447" s="251" t="n">
        <v>34.8</v>
      </c>
      <c r="T447" s="35">
        <f>voranmeldefrist_vierteljaehrlich(G447)</f>
        <v/>
      </c>
      <c r="U447" s="27" t="n"/>
      <c r="V447" s="27" t="n"/>
      <c r="W447" s="210">
        <f>IF(K447=TRUE,Q447/J447,Q447)</f>
        <v/>
      </c>
      <c r="X447" s="237">
        <f>V447/100*S447</f>
        <v/>
      </c>
      <c r="Y447">
        <f>IF(AND(V447&gt;0,N447=V447),TRUE,FALSE)</f>
        <v/>
      </c>
      <c r="Z447" s="228">
        <f>IF(C447="Einnahmen",Q447,-Q447)</f>
        <v/>
      </c>
    </row>
    <row r="448">
      <c r="A448" s="53" t="n">
        <v>2020</v>
      </c>
      <c r="B448" s="53" t="n">
        <v>209</v>
      </c>
      <c r="C448" s="71" t="inlineStr">
        <is>
          <t>Einnahmen</t>
        </is>
      </c>
      <c r="D448" t="inlineStr">
        <is>
          <t>Waren-/Leistungserlöse</t>
        </is>
      </c>
      <c r="E448" s="9" t="n">
        <v>12020037</v>
      </c>
      <c r="G448" s="1" t="n">
        <v>44146</v>
      </c>
      <c r="H448" t="inlineStr">
        <is>
          <t>DCF - Digital Coding Factory GmbH, Bauernfeldgasse 4/12 1090 Wien</t>
        </is>
      </c>
      <c r="K448">
        <f>(IF(AND(I448&lt;&gt;"",AND(J448="",ABS(Q448)&gt;400)),TRUE,FALSE))</f>
        <v/>
      </c>
      <c r="L448" s="214" t="n">
        <v>14.94</v>
      </c>
      <c r="M448" s="159" t="n">
        <v>1</v>
      </c>
      <c r="N448" t="n">
        <v>20</v>
      </c>
      <c r="O448" s="237">
        <f>L448*N448/100</f>
        <v/>
      </c>
      <c r="P448" s="237">
        <f>M448*O448</f>
        <v/>
      </c>
      <c r="Q448" s="208">
        <f>L448*M448</f>
        <v/>
      </c>
      <c r="R448" s="251">
        <f>L448+O448</f>
        <v/>
      </c>
      <c r="S448" s="251">
        <f>Q448+P448</f>
        <v/>
      </c>
      <c r="T448" s="35">
        <f>voranmeldefrist_vierteljaehrlich(G448)</f>
        <v/>
      </c>
      <c r="U448" s="27" t="n"/>
      <c r="V448" s="27" t="n"/>
      <c r="W448" s="210">
        <f>IF(K448=TRUE,Q448/I448,Q448)</f>
        <v/>
      </c>
      <c r="X448" s="237">
        <f>V448/100*S448</f>
        <v/>
      </c>
      <c r="Y448">
        <f>IF(AND(V448&gt;0,N448=V448),TRUE,FALSE)</f>
        <v/>
      </c>
      <c r="Z448" s="228">
        <f>IF(C448="Einnahmen",Q448,-Q448)</f>
        <v/>
      </c>
    </row>
    <row r="449">
      <c r="A449" s="53" t="n">
        <v>2020</v>
      </c>
      <c r="B449" s="53" t="n">
        <v>210</v>
      </c>
      <c r="C449" s="71" t="inlineStr">
        <is>
          <t>Ausgaben</t>
        </is>
      </c>
      <c r="D449" t="inlineStr">
        <is>
          <t>sonstige Betriebsausgaben</t>
        </is>
      </c>
      <c r="E449" s="9" t="inlineStr">
        <is>
          <t>R0012257918</t>
        </is>
      </c>
      <c r="G449" s="1" t="n">
        <v>44147</v>
      </c>
      <c r="H449" t="inlineStr">
        <is>
          <t>Hetzner Online GmbH</t>
        </is>
      </c>
      <c r="K449">
        <f>(IF(AND(I449&lt;&gt;"",AND(J449="",ABS(Q449)&gt;400)),TRUE,FALSE))</f>
        <v/>
      </c>
      <c r="L449" s="214" t="n">
        <v>46.92</v>
      </c>
      <c r="M449" s="159" t="n">
        <v>1</v>
      </c>
      <c r="N449" t="n">
        <v>0</v>
      </c>
      <c r="O449" s="237">
        <f>L449*N449/100</f>
        <v/>
      </c>
      <c r="P449" s="237">
        <f>M449*O449</f>
        <v/>
      </c>
      <c r="Q449" s="208">
        <f>L449*M449</f>
        <v/>
      </c>
      <c r="R449" s="251">
        <f>L449+O449</f>
        <v/>
      </c>
      <c r="S449" s="251">
        <f>Q449+P449</f>
        <v/>
      </c>
      <c r="T449" s="35">
        <f>voranmeldefrist_vierteljaehrlich(G449)</f>
        <v/>
      </c>
      <c r="U449" s="27" t="n"/>
      <c r="V449" s="27" t="n">
        <v>20</v>
      </c>
      <c r="W449" s="210">
        <f>IF(K449=TRUE,Q449/J449,Q449)</f>
        <v/>
      </c>
      <c r="X449" s="237">
        <f>V449/100*S449</f>
        <v/>
      </c>
      <c r="Y449">
        <f>IF(AND(V449&gt;0,N449=V449),TRUE,FALSE)</f>
        <v/>
      </c>
      <c r="Z449" s="228">
        <f>IF(C449="Einnahmen",Q449,-Q449)</f>
        <v/>
      </c>
    </row>
    <row r="450">
      <c r="A450" s="53" t="n">
        <v>2020</v>
      </c>
      <c r="B450" s="53" t="n">
        <v>211</v>
      </c>
      <c r="C450" s="71" t="inlineStr">
        <is>
          <t>Ausgaben</t>
        </is>
      </c>
      <c r="D450" t="inlineStr">
        <is>
          <t>Seminargebühren</t>
        </is>
      </c>
      <c r="E450" s="9" t="inlineStr">
        <is>
          <t>WEB-R-2020-11-0054</t>
        </is>
      </c>
      <c r="G450" s="1" t="n">
        <v>44154</v>
      </c>
      <c r="H450" t="inlineStr">
        <is>
          <t>Software Quality Lab GmbH, Gewerbepark Urfahr 6, 4040 Linz: ISTQB CTFL online</t>
        </is>
      </c>
      <c r="K450">
        <f>(IF(AND(I450&lt;&gt;"",AND(J450="",ABS(Q450)&gt;400)),TRUE,FALSE))</f>
        <v/>
      </c>
      <c r="L450" s="214" t="n">
        <v>450</v>
      </c>
      <c r="M450" s="159" t="n">
        <v>1</v>
      </c>
      <c r="N450" t="n">
        <v>20</v>
      </c>
      <c r="O450" s="237">
        <f>L450*N450/100</f>
        <v/>
      </c>
      <c r="P450" s="237">
        <f>M450*O450</f>
        <v/>
      </c>
      <c r="Q450" s="208">
        <f>L450*M450</f>
        <v/>
      </c>
      <c r="R450" s="251">
        <f>L450+O450</f>
        <v/>
      </c>
      <c r="S450" s="251">
        <f>Q450+P450</f>
        <v/>
      </c>
      <c r="T450" s="35">
        <f>voranmeldefrist_vierteljaehrlich(G450)</f>
        <v/>
      </c>
      <c r="U450" s="27" t="n"/>
      <c r="V450" s="27" t="n"/>
      <c r="W450" s="210">
        <f>IF(K450=TRUE,Q450/J450,Q450)</f>
        <v/>
      </c>
      <c r="X450" s="237">
        <f>V450/100*S450</f>
        <v/>
      </c>
      <c r="Y450">
        <f>IF(AND(V450&gt;0,N450=V450),TRUE,FALSE)</f>
        <v/>
      </c>
      <c r="Z450" s="228">
        <f>IF(C450="Einnahmen",Q450,-Q450)</f>
        <v/>
      </c>
    </row>
    <row r="451">
      <c r="A451" s="53" t="n">
        <v>2020</v>
      </c>
      <c r="B451" s="53" t="n">
        <v>212</v>
      </c>
      <c r="C451" s="71" t="inlineStr">
        <is>
          <t>Ausgaben</t>
        </is>
      </c>
      <c r="D451" t="inlineStr">
        <is>
          <t>Telefon/Internet</t>
        </is>
      </c>
      <c r="E451" s="131" t="inlineStr">
        <is>
          <t>901194491120</t>
        </is>
      </c>
      <c r="F451" s="1" t="n">
        <v>43962</v>
      </c>
      <c r="G451" s="1" t="n">
        <v>44155</v>
      </c>
      <c r="H451" t="inlineStr">
        <is>
          <t>Magenta: T-Mobile Austria GmbH, A-1120 Wien, PF 47</t>
        </is>
      </c>
      <c r="K451">
        <f>(IF(AND(I451&lt;&gt;"",AND(J451="",ABS(Q451)&gt;400)),TRUE,FALSE))</f>
        <v/>
      </c>
      <c r="L451" s="214" t="n">
        <v>35.24</v>
      </c>
      <c r="M451" s="159" t="n">
        <v>1</v>
      </c>
      <c r="N451" t="n">
        <v>20</v>
      </c>
      <c r="O451" s="237">
        <f>L451*N451/100</f>
        <v/>
      </c>
      <c r="P451" s="237">
        <f>M451*O451</f>
        <v/>
      </c>
      <c r="Q451" s="208">
        <f>L451*M451</f>
        <v/>
      </c>
      <c r="R451" s="251">
        <f>L451+O451</f>
        <v/>
      </c>
      <c r="S451" s="251">
        <f>Q451+P451</f>
        <v/>
      </c>
      <c r="T451" s="35">
        <f>voranmeldefrist_vierteljaehrlich(G451)</f>
        <v/>
      </c>
      <c r="U451" s="27" t="n"/>
      <c r="V451" s="27" t="n"/>
      <c r="W451" s="210">
        <f>IF(K451=TRUE,Q451/I451,Q451)</f>
        <v/>
      </c>
      <c r="X451" s="237">
        <f>V451/100*S451</f>
        <v/>
      </c>
      <c r="Y451">
        <f>IF(AND(V451&gt;0,N451=V451),TRUE,FALSE)</f>
        <v/>
      </c>
      <c r="Z451" s="228">
        <f>IF(C451="Einnahmen",Q451,-Q451)</f>
        <v/>
      </c>
    </row>
    <row r="452">
      <c r="A452" s="53" t="n">
        <v>2020</v>
      </c>
      <c r="B452" s="53" t="n">
        <v>213</v>
      </c>
      <c r="C452" s="71" t="inlineStr">
        <is>
          <t>Ausgaben</t>
        </is>
      </c>
      <c r="D452" t="inlineStr">
        <is>
          <t>sonstige Betriebsausgaben</t>
        </is>
      </c>
      <c r="E452" s="9" t="inlineStr">
        <is>
          <t>RE0912489</t>
        </is>
      </c>
      <c r="G452" s="1" t="n">
        <v>44155</v>
      </c>
      <c r="H452" t="inlineStr">
        <is>
          <t>easyname GmbH, Fernkorngasse 10/3/501, A-1100 Wien</t>
        </is>
      </c>
      <c r="K452">
        <f>(IF(AND(I452&lt;&gt;"",AND(J452="",ABS(Q452)&gt;400)),TRUE,FALSE))</f>
        <v/>
      </c>
      <c r="L452" s="214" t="n">
        <v>16.58</v>
      </c>
      <c r="M452" s="159" t="n">
        <v>1</v>
      </c>
      <c r="N452" t="n">
        <v>20</v>
      </c>
      <c r="O452" s="237">
        <f>L452*N452/100</f>
        <v/>
      </c>
      <c r="P452" s="237">
        <f>M452*O452</f>
        <v/>
      </c>
      <c r="Q452" s="208">
        <f>L452*M452</f>
        <v/>
      </c>
      <c r="R452" s="251">
        <f>L452+O452</f>
        <v/>
      </c>
      <c r="S452" s="251">
        <f>Q452+P452</f>
        <v/>
      </c>
      <c r="T452" s="35">
        <f>voranmeldefrist_vierteljaehrlich(G452)</f>
        <v/>
      </c>
      <c r="U452" s="27" t="n"/>
      <c r="V452" s="27" t="n"/>
      <c r="W452" s="210">
        <f>IF(K452=TRUE,Q452/J452,Q452)</f>
        <v/>
      </c>
      <c r="X452" s="237">
        <f>V452/100*S452</f>
        <v/>
      </c>
      <c r="Y452">
        <f>IF(AND(V452&gt;0,N452=V452),TRUE,FALSE)</f>
        <v/>
      </c>
      <c r="Z452" s="228">
        <f>IF(C452="Einnahmen",Q452,-Q452)</f>
        <v/>
      </c>
    </row>
    <row r="453">
      <c r="A453" s="53" t="n">
        <v>2020</v>
      </c>
      <c r="B453" s="53" t="n">
        <v>214</v>
      </c>
      <c r="C453" s="71" t="inlineStr">
        <is>
          <t>Ausgaben</t>
        </is>
      </c>
      <c r="D453" t="inlineStr">
        <is>
          <t>sonstige Betriebsausgaben</t>
        </is>
      </c>
      <c r="E453" s="9" t="inlineStr">
        <is>
          <t>6568004907</t>
        </is>
      </c>
      <c r="G453" s="1" t="n">
        <v>44161</v>
      </c>
      <c r="H453" t="inlineStr">
        <is>
          <t>Digital River Ireland, Ltd., Dromore House, East Park, Shannon, County Clare, V14 AN23, Ireland; UID ATU66641618</t>
        </is>
      </c>
      <c r="K453">
        <f>(IF(AND(I453&lt;&gt;"",AND(J453="",ABS(Q453)&gt;400)),TRUE,FALSE))</f>
        <v/>
      </c>
      <c r="L453" s="214" t="n">
        <v>71.40000000000001</v>
      </c>
      <c r="M453" s="159" t="n">
        <v>1</v>
      </c>
      <c r="N453" t="n">
        <v>20</v>
      </c>
      <c r="O453" s="237">
        <f>L453*N453/100</f>
        <v/>
      </c>
      <c r="P453" s="237">
        <f>M453*O453</f>
        <v/>
      </c>
      <c r="Q453" s="208">
        <f>L453*M453</f>
        <v/>
      </c>
      <c r="R453" s="251">
        <f>L453+O453</f>
        <v/>
      </c>
      <c r="S453" s="251">
        <f>Q453+P453</f>
        <v/>
      </c>
      <c r="T453" s="35">
        <f>voranmeldefrist_vierteljaehrlich(G453)</f>
        <v/>
      </c>
      <c r="U453" s="27" t="n"/>
      <c r="V453" s="27" t="n"/>
      <c r="W453" s="210">
        <f>IF(K453=TRUE,Q453/J453,Q453)</f>
        <v/>
      </c>
      <c r="X453" s="237">
        <f>V453/100*S453</f>
        <v/>
      </c>
      <c r="Y453">
        <f>IF(AND(V453&gt;0,N453=V453),TRUE,FALSE)</f>
        <v/>
      </c>
      <c r="Z453" s="228">
        <f>IF(C453="Einnahmen",Q453,-Q453)</f>
        <v/>
      </c>
    </row>
    <row r="454">
      <c r="A454" s="53" t="n">
        <v>2020</v>
      </c>
      <c r="B454" s="53" t="n">
        <v>215</v>
      </c>
      <c r="C454" s="71" t="inlineStr">
        <is>
          <t>Ausgaben</t>
        </is>
      </c>
      <c r="D454" t="inlineStr">
        <is>
          <t>Pflichversicherungsbeiträge</t>
        </is>
      </c>
      <c r="G454" s="1" t="n">
        <v>44162</v>
      </c>
      <c r="H454" t="inlineStr">
        <is>
          <t>Sozialversicherung der gewerblichen Wirtshaft</t>
        </is>
      </c>
      <c r="K454">
        <f>(IF(AND(I454&lt;&gt;"",AND(J454="",ABS(Q454)&gt;400)),TRUE,FALSE))</f>
        <v/>
      </c>
      <c r="L454" s="214" t="n">
        <v>1709.58</v>
      </c>
      <c r="M454" s="159" t="n">
        <v>1</v>
      </c>
      <c r="N454" t="n">
        <v>0</v>
      </c>
      <c r="O454" s="237">
        <f>L454*N454/100</f>
        <v/>
      </c>
      <c r="P454" s="237">
        <f>M454*O454</f>
        <v/>
      </c>
      <c r="Q454" s="208">
        <f>L454*M454</f>
        <v/>
      </c>
      <c r="R454" s="251">
        <f>L454+O454</f>
        <v/>
      </c>
      <c r="S454" s="251">
        <f>Q454+P454</f>
        <v/>
      </c>
      <c r="T454" s="35">
        <f>voranmeldefrist_vierteljaehrlich(G454)</f>
        <v/>
      </c>
      <c r="U454" s="27" t="n"/>
      <c r="V454" s="27" t="n"/>
      <c r="W454" s="210">
        <f>IF(K454=TRUE,Q454/J454,Q454)</f>
        <v/>
      </c>
      <c r="X454" s="237">
        <f>V454/100*S454</f>
        <v/>
      </c>
      <c r="Y454">
        <f>IF(AND(V454&gt;0,N454=V454),TRUE,FALSE)</f>
        <v/>
      </c>
      <c r="Z454" s="228">
        <f>IF(C454="Einnahmen",Q454,-Q454)</f>
        <v/>
      </c>
    </row>
    <row r="455">
      <c r="A455" s="53" t="n">
        <v>2020</v>
      </c>
      <c r="B455" s="53" t="n">
        <v>216</v>
      </c>
      <c r="C455" s="71" t="inlineStr">
        <is>
          <t>Ausgaben</t>
        </is>
      </c>
      <c r="D455" t="inlineStr">
        <is>
          <t>Werbe- und Repräsentationsaufwand</t>
        </is>
      </c>
      <c r="E455" s="9" t="inlineStr">
        <is>
          <t>PRM320110004603</t>
        </is>
      </c>
      <c r="G455" s="1" t="n">
        <v>44166</v>
      </c>
      <c r="H455" t="inlineStr">
        <is>
          <t>New Work SE, Dammtorstraße 30, 20354 Hamburg</t>
        </is>
      </c>
      <c r="K455">
        <f>(IF(AND(I455&lt;&gt;"",AND(J455="",ABS(Q455)&gt;400)),TRUE,FALSE))</f>
        <v/>
      </c>
      <c r="L455" s="214" t="n">
        <v>24.88</v>
      </c>
      <c r="M455" s="159" t="n">
        <v>1</v>
      </c>
      <c r="N455" t="n">
        <v>0</v>
      </c>
      <c r="O455" s="237">
        <f>L455*N455/100</f>
        <v/>
      </c>
      <c r="P455" s="237">
        <f>M455*O455</f>
        <v/>
      </c>
      <c r="Q455" s="208">
        <f>L455*M455</f>
        <v/>
      </c>
      <c r="R455" s="251">
        <f>L455+O455</f>
        <v/>
      </c>
      <c r="S455" s="251">
        <f>Q455+P455</f>
        <v/>
      </c>
      <c r="T455" s="35">
        <f>voranmeldefrist_vierteljaehrlich(G455)</f>
        <v/>
      </c>
      <c r="U455" s="27" t="n"/>
      <c r="V455" s="27" t="n">
        <v>20</v>
      </c>
      <c r="W455" s="210">
        <f>IF(K455=TRUE,Q455/I455,Q455)</f>
        <v/>
      </c>
      <c r="X455" s="237">
        <f>V455/100*S455</f>
        <v/>
      </c>
      <c r="Y455">
        <f>IF(AND(V455&gt;0,N455=V455),TRUE,FALSE)</f>
        <v/>
      </c>
      <c r="Z455" s="228">
        <f>IF(C455="Einnahmen",Q455,-Q455)</f>
        <v/>
      </c>
    </row>
    <row r="456">
      <c r="A456" s="53" t="n">
        <v>2020</v>
      </c>
      <c r="B456" s="53" t="n">
        <v>217</v>
      </c>
      <c r="C456" s="71" t="inlineStr">
        <is>
          <t>Ausgaben</t>
        </is>
      </c>
      <c r="D456" t="inlineStr">
        <is>
          <t>Miet- und Pachtaufwand, Leasing</t>
        </is>
      </c>
      <c r="E456" s="9" t="inlineStr">
        <is>
          <t>20/9801/VS00486</t>
        </is>
      </c>
      <c r="G456" s="1" t="n">
        <v>44166</v>
      </c>
      <c r="H456" t="inlineStr">
        <is>
          <t>Bontus Immobilienverwaltung GmbH, 1010 Wien, Franz Josefs Kai 65</t>
        </is>
      </c>
      <c r="K456" t="b">
        <v>0</v>
      </c>
      <c r="L456" s="214" t="n">
        <v>462.44</v>
      </c>
      <c r="M456" s="159" t="n">
        <v>1</v>
      </c>
      <c r="N456" t="n">
        <v>20</v>
      </c>
      <c r="O456" s="237">
        <f>L456*N456/100</f>
        <v/>
      </c>
      <c r="P456" s="237">
        <f>M456*O456</f>
        <v/>
      </c>
      <c r="Q456" s="208">
        <f>L456*M456</f>
        <v/>
      </c>
      <c r="R456" s="251">
        <f>L456+O456</f>
        <v/>
      </c>
      <c r="S456" s="251">
        <f>Q456+P456</f>
        <v/>
      </c>
      <c r="T456" s="35">
        <f>voranmeldefrist_vierteljaehrlich(G456)</f>
        <v/>
      </c>
      <c r="U456" s="27" t="n"/>
      <c r="V456" s="27" t="n"/>
      <c r="W456" s="210">
        <f>IF(K456=TRUE,Q456/J456,Q456)</f>
        <v/>
      </c>
      <c r="X456" s="237">
        <f>V456/100*S456</f>
        <v/>
      </c>
      <c r="Y456">
        <f>IF(AND(V456&gt;0,N456=V456),TRUE,FALSE)</f>
        <v/>
      </c>
      <c r="Z456" s="228">
        <f>IF(C456="Einnahmen",Q456,-Q456)</f>
        <v/>
      </c>
    </row>
    <row r="457">
      <c r="A457" s="53" t="n">
        <v>2020</v>
      </c>
      <c r="B457" s="53" t="n">
        <v>218</v>
      </c>
      <c r="C457" s="71" t="inlineStr">
        <is>
          <t>Ausgaben</t>
        </is>
      </c>
      <c r="D457" t="inlineStr">
        <is>
          <t>sonstige Betriebsausgaben</t>
        </is>
      </c>
      <c r="E457" s="9" t="inlineStr">
        <is>
          <t>6569277447</t>
        </is>
      </c>
      <c r="G457" s="1" t="n">
        <v>44166</v>
      </c>
      <c r="H457" t="inlineStr">
        <is>
          <t>Digital River Ireland, Ltd., Dromore House, East Park, Shannon, County Clare, V14 AN23, Ireland; UID ATU66641618</t>
        </is>
      </c>
      <c r="K457">
        <f>(IF(AND(I457&lt;&gt;"",AND(J457="",ABS(Q457)&gt;400)),TRUE,FALSE))</f>
        <v/>
      </c>
      <c r="L457" s="214" t="n">
        <v>202.8</v>
      </c>
      <c r="M457" s="159" t="n">
        <v>1</v>
      </c>
      <c r="N457" t="n">
        <v>20</v>
      </c>
      <c r="O457" s="237">
        <f>L457*N457/100</f>
        <v/>
      </c>
      <c r="P457" s="237">
        <f>M457*O457</f>
        <v/>
      </c>
      <c r="Q457" s="208">
        <f>L457*M457</f>
        <v/>
      </c>
      <c r="R457" s="251">
        <f>L457+O457</f>
        <v/>
      </c>
      <c r="S457" s="251">
        <f>Q457+P457</f>
        <v/>
      </c>
      <c r="T457" s="35">
        <f>voranmeldefrist_vierteljaehrlich(G457)</f>
        <v/>
      </c>
      <c r="U457" s="27" t="n"/>
      <c r="V457" s="27" t="n"/>
      <c r="W457" s="210">
        <f>IF(K457=TRUE,Q457/J457,Q457)</f>
        <v/>
      </c>
      <c r="X457" s="237">
        <f>V457/100*S457</f>
        <v/>
      </c>
      <c r="Y457">
        <f>IF(AND(V457&gt;0,N457=V457),TRUE,FALSE)</f>
        <v/>
      </c>
      <c r="Z457" s="228">
        <f>IF(C457="Einnahmen",Q457,-Q457)</f>
        <v/>
      </c>
    </row>
    <row r="458">
      <c r="A458" s="53" t="n">
        <v>2020</v>
      </c>
      <c r="B458" s="53" t="n">
        <v>219</v>
      </c>
      <c r="C458" s="71" t="inlineStr">
        <is>
          <t>Ausgaben</t>
        </is>
      </c>
      <c r="D458" t="inlineStr">
        <is>
          <t>Reise- und Fahrtspesen inkl. Kilometergeld und Diäten</t>
        </is>
      </c>
      <c r="E458" s="131" t="inlineStr">
        <is>
          <t>4293000000018420</t>
        </is>
      </c>
      <c r="G458" s="1" t="n">
        <v>44168</v>
      </c>
      <c r="H458" t="inlineStr">
        <is>
          <t>car2go Österreich GmbH, Hintere Zollamtstraße 9, 1030 Wien</t>
        </is>
      </c>
      <c r="K458" t="b">
        <v>0</v>
      </c>
      <c r="L458" s="214">
        <f>31.47</f>
        <v/>
      </c>
      <c r="M458" s="159" t="n">
        <v>1</v>
      </c>
      <c r="N458" t="n">
        <v>20</v>
      </c>
      <c r="O458" s="237" t="n">
        <v>6.3</v>
      </c>
      <c r="P458" s="237" t="n">
        <v>6.3</v>
      </c>
      <c r="Q458" s="208">
        <f>L458*M458</f>
        <v/>
      </c>
      <c r="R458" s="251">
        <f>L458+O458</f>
        <v/>
      </c>
      <c r="S458" s="251">
        <f>Q458+P458</f>
        <v/>
      </c>
      <c r="T458" s="35">
        <f>voranmeldefrist_vierteljaehrlich(G458)</f>
        <v/>
      </c>
      <c r="U458" s="27" t="n"/>
      <c r="V458" s="27" t="n"/>
      <c r="W458" s="210">
        <f>IF(K458=TRUE,Q458/J458,Q458)</f>
        <v/>
      </c>
      <c r="X458" s="237">
        <f>V458/100*S458</f>
        <v/>
      </c>
      <c r="Y458">
        <f>IF(AND(V458&gt;0,N458=V458),TRUE,FALSE)</f>
        <v/>
      </c>
      <c r="Z458" s="228">
        <f>IF(C458="Einnahmen",Q458,-Q458)</f>
        <v/>
      </c>
    </row>
    <row r="459">
      <c r="A459" s="53" t="n">
        <v>2020</v>
      </c>
      <c r="B459" s="53" t="n">
        <v>220</v>
      </c>
      <c r="C459" s="71" t="inlineStr">
        <is>
          <t>Ausgaben</t>
        </is>
      </c>
      <c r="D459" t="inlineStr">
        <is>
          <t>Telefon/Internet</t>
        </is>
      </c>
      <c r="E459" s="9" t="n">
        <v>6212001185</v>
      </c>
      <c r="G459" s="1" t="n">
        <v>44168</v>
      </c>
      <c r="H459" t="inlineStr">
        <is>
          <t>Hutchison Drei Austria GmbH, Brünner Straße 52, 1210 Wien, Österreich</t>
        </is>
      </c>
      <c r="K459">
        <f>(IF(AND(I459&lt;&gt;"",AND(J459="",ABS(Q459)&gt;400)),TRUE,FALSE))</f>
        <v/>
      </c>
      <c r="L459" s="214" t="n">
        <v>15</v>
      </c>
      <c r="M459" s="159" t="n">
        <v>1</v>
      </c>
      <c r="N459" t="n">
        <v>20</v>
      </c>
      <c r="O459" s="237">
        <f>L459*N459/100</f>
        <v/>
      </c>
      <c r="P459" s="237">
        <f>M459*O459</f>
        <v/>
      </c>
      <c r="Q459" s="208">
        <f>L459*M459</f>
        <v/>
      </c>
      <c r="R459" s="251">
        <f>L459+O459</f>
        <v/>
      </c>
      <c r="S459" s="251">
        <f>Q459+P459</f>
        <v/>
      </c>
      <c r="T459" s="35">
        <f>voranmeldefrist_vierteljaehrlich(G459)</f>
        <v/>
      </c>
      <c r="U459" s="27" t="n"/>
      <c r="V459" s="27" t="n"/>
      <c r="W459" s="210">
        <f>IF(K459=TRUE,Q459/I459,Q459)</f>
        <v/>
      </c>
      <c r="X459" s="237">
        <f>V459/100*S459</f>
        <v/>
      </c>
      <c r="Y459">
        <f>IF(AND(V459&gt;0,N459=V459),TRUE,FALSE)</f>
        <v/>
      </c>
      <c r="Z459" s="228">
        <f>IF(C459="Einnahmen",Q459,-Q459)</f>
        <v/>
      </c>
    </row>
    <row r="460">
      <c r="A460" s="53" t="n">
        <v>2020</v>
      </c>
      <c r="B460" s="53" t="n">
        <v>221</v>
      </c>
      <c r="C460" s="71" t="inlineStr">
        <is>
          <t>Ausgaben</t>
        </is>
      </c>
      <c r="D460" t="inlineStr">
        <is>
          <t>sonstige Betriebsausgaben</t>
        </is>
      </c>
      <c r="E460" s="9" t="inlineStr">
        <is>
          <t>807693</t>
        </is>
      </c>
      <c r="G460" s="1" t="n">
        <v>44168</v>
      </c>
      <c r="H460" t="inlineStr">
        <is>
          <t>easy green energy GmbH &amp; Co KG</t>
        </is>
      </c>
      <c r="K460">
        <f>(IF(AND(I460&lt;&gt;"",AND(J460="",ABS(Q460)&gt;400)),TRUE,FALSE))</f>
        <v/>
      </c>
      <c r="L460" s="214" t="n">
        <v>2.5</v>
      </c>
      <c r="M460" s="159" t="n">
        <v>1</v>
      </c>
      <c r="N460" t="n">
        <v>20</v>
      </c>
      <c r="O460" s="237">
        <f>L460*N460/100</f>
        <v/>
      </c>
      <c r="P460" s="237">
        <f>M460*O460</f>
        <v/>
      </c>
      <c r="Q460" s="208">
        <f>L460*M460</f>
        <v/>
      </c>
      <c r="R460" s="251">
        <f>L460+O460</f>
        <v/>
      </c>
      <c r="S460" s="251" t="n">
        <v>3</v>
      </c>
      <c r="T460" s="35">
        <f>voranmeldefrist_vierteljaehrlich(G460)</f>
        <v/>
      </c>
      <c r="U460" s="27" t="n"/>
      <c r="V460" s="27" t="n"/>
      <c r="W460" s="210">
        <f>IF(K460=TRUE,Q460/J460,Q460)</f>
        <v/>
      </c>
      <c r="X460" s="237">
        <f>V460/100*S460</f>
        <v/>
      </c>
      <c r="Y460">
        <f>IF(AND(V460&gt;0,N460=V460),TRUE,FALSE)</f>
        <v/>
      </c>
      <c r="Z460" s="228">
        <f>IF(C460="Einnahmen",Q460,-Q460)</f>
        <v/>
      </c>
    </row>
    <row r="461">
      <c r="A461" s="53" t="n">
        <v>2020</v>
      </c>
      <c r="B461" s="53" t="n">
        <v>222</v>
      </c>
      <c r="C461" s="71" t="inlineStr">
        <is>
          <t>Ausgaben</t>
        </is>
      </c>
      <c r="D461" t="inlineStr">
        <is>
          <t>sonstige Betriebsausgaben</t>
        </is>
      </c>
      <c r="E461" s="9" t="inlineStr">
        <is>
          <t>HKA/20-01-39452</t>
        </is>
      </c>
      <c r="G461" s="1" t="n">
        <v>44172</v>
      </c>
      <c r="H461" t="inlineStr">
        <is>
          <t>Techem Messtechnik GmbH; Abnehmernummer 501686-0003-11-(</t>
        </is>
      </c>
      <c r="K461">
        <f>(IF(AND(I461&lt;&gt;"",AND(J461="",ABS(Q461)&gt;400)),TRUE,FALSE))</f>
        <v/>
      </c>
      <c r="L461" s="214" t="n">
        <v>35</v>
      </c>
      <c r="M461" s="159" t="n">
        <v>1</v>
      </c>
      <c r="N461" t="n">
        <v>20</v>
      </c>
      <c r="O461" s="237">
        <f>L461*N461/100</f>
        <v/>
      </c>
      <c r="P461" s="237">
        <f>M461*O461</f>
        <v/>
      </c>
      <c r="Q461" s="208">
        <f>L461*M461</f>
        <v/>
      </c>
      <c r="R461" s="251">
        <f>L461+O461</f>
        <v/>
      </c>
      <c r="S461" s="251">
        <f>Q461+P461</f>
        <v/>
      </c>
      <c r="T461" s="35">
        <f>voranmeldefrist_vierteljaehrlich(G461)</f>
        <v/>
      </c>
      <c r="U461" s="27" t="n"/>
      <c r="V461" s="27" t="n"/>
      <c r="W461" s="210">
        <f>IF(K461=TRUE,Q461/I461,Q461)</f>
        <v/>
      </c>
      <c r="X461" s="237">
        <f>V461/100*S461</f>
        <v/>
      </c>
      <c r="Y461">
        <f>IF(AND(V461&gt;0,N461=V461),TRUE,FALSE)</f>
        <v/>
      </c>
      <c r="Z461" s="228">
        <f>IF(C461="Einnahmen",Q461,-Q461)</f>
        <v/>
      </c>
    </row>
    <row r="462">
      <c r="A462" s="53" t="n">
        <v>2020</v>
      </c>
      <c r="B462" s="53" t="n">
        <v>223</v>
      </c>
      <c r="C462" s="71" t="inlineStr">
        <is>
          <t>Ausgaben</t>
        </is>
      </c>
      <c r="D462" t="inlineStr">
        <is>
          <t>sonstige Betriebsausgaben</t>
        </is>
      </c>
      <c r="E462" s="9" t="inlineStr">
        <is>
          <t>R0012390011</t>
        </is>
      </c>
      <c r="G462" s="1" t="n">
        <v>44172</v>
      </c>
      <c r="H462" t="inlineStr">
        <is>
          <t>Hetzner Online GmbH</t>
        </is>
      </c>
      <c r="K462">
        <f>(IF(AND(I462&lt;&gt;"",AND(J462="",ABS(Q462)&gt;400)),TRUE,FALSE))</f>
        <v/>
      </c>
      <c r="L462" s="214" t="n">
        <v>2.49</v>
      </c>
      <c r="M462" s="159" t="n">
        <v>1</v>
      </c>
      <c r="N462" t="n">
        <v>0</v>
      </c>
      <c r="O462" s="237">
        <f>L462*N462/100</f>
        <v/>
      </c>
      <c r="P462" s="237">
        <f>M462*O462</f>
        <v/>
      </c>
      <c r="Q462" s="208">
        <f>L462*M462</f>
        <v/>
      </c>
      <c r="R462" s="251">
        <f>L462+O462</f>
        <v/>
      </c>
      <c r="S462" s="251">
        <f>Q462+P462</f>
        <v/>
      </c>
      <c r="T462" s="35">
        <f>voranmeldefrist_vierteljaehrlich(G462)</f>
        <v/>
      </c>
      <c r="U462" s="27" t="n"/>
      <c r="V462" s="27" t="n">
        <v>20</v>
      </c>
      <c r="W462" s="210">
        <f>IF(K462=TRUE,Q462/J462,Q462)</f>
        <v/>
      </c>
      <c r="X462" s="237">
        <f>V462/100*S462</f>
        <v/>
      </c>
      <c r="Y462">
        <f>IF(AND(V462&gt;0,N462=V462),TRUE,FALSE)</f>
        <v/>
      </c>
      <c r="Z462" s="228">
        <f>IF(C462="Einnahmen",Q462,-Q462)</f>
        <v/>
      </c>
    </row>
    <row r="463">
      <c r="A463" s="53" t="n">
        <v>2020</v>
      </c>
      <c r="B463" s="53" t="n">
        <v>224</v>
      </c>
      <c r="C463" s="71" t="inlineStr">
        <is>
          <t>Ausgaben</t>
        </is>
      </c>
      <c r="D463" t="inlineStr">
        <is>
          <t>sonstige Betriebsausgaben</t>
        </is>
      </c>
      <c r="E463" s="9" t="inlineStr">
        <is>
          <t>R0012432377</t>
        </is>
      </c>
      <c r="G463" s="1" t="n">
        <v>44176</v>
      </c>
      <c r="H463" t="inlineStr">
        <is>
          <t>Hetzner Online GmbH</t>
        </is>
      </c>
      <c r="K463">
        <f>(IF(AND(I463&lt;&gt;"",AND(J463="",ABS(Q463)&gt;400)),TRUE,FALSE))</f>
        <v/>
      </c>
      <c r="L463" s="214" t="n">
        <v>46.92</v>
      </c>
      <c r="M463" s="159" t="n">
        <v>1</v>
      </c>
      <c r="N463" t="n">
        <v>0</v>
      </c>
      <c r="O463" s="237">
        <f>L463*N463/100</f>
        <v/>
      </c>
      <c r="P463" s="237">
        <f>M463*O463</f>
        <v/>
      </c>
      <c r="Q463" s="208">
        <f>L463*M463</f>
        <v/>
      </c>
      <c r="R463" s="251">
        <f>L463+O463</f>
        <v/>
      </c>
      <c r="S463" s="251">
        <f>Q463+P463</f>
        <v/>
      </c>
      <c r="T463" s="35">
        <f>voranmeldefrist_vierteljaehrlich(G463)</f>
        <v/>
      </c>
      <c r="U463" s="27" t="n"/>
      <c r="V463" s="27" t="n">
        <v>20</v>
      </c>
      <c r="W463" s="210">
        <f>IF(K463=TRUE,Q463/J463,Q463)</f>
        <v/>
      </c>
      <c r="X463" s="237">
        <f>V463/100*S463</f>
        <v/>
      </c>
      <c r="Y463">
        <f>IF(AND(V463&gt;0,N463=V463),TRUE,FALSE)</f>
        <v/>
      </c>
      <c r="Z463" s="228">
        <f>IF(C463="Einnahmen",Q463,-Q463)</f>
        <v/>
      </c>
    </row>
    <row r="464">
      <c r="A464" s="53" t="n">
        <v>2020</v>
      </c>
      <c r="B464" s="53" t="n">
        <v>225</v>
      </c>
      <c r="C464" s="71" t="inlineStr">
        <is>
          <t>Einnahmen</t>
        </is>
      </c>
      <c r="D464" t="inlineStr">
        <is>
          <t>Waren-/Leistungserlöse</t>
        </is>
      </c>
      <c r="E464" s="9" t="inlineStr">
        <is>
          <t>12020031</t>
        </is>
      </c>
      <c r="G464" s="1" t="n">
        <v>44179</v>
      </c>
      <c r="H464" t="inlineStr">
        <is>
          <t>DCF - Digital Coding Factory GmbH, Bauernfeldgasse 4/12 1090 Wien</t>
        </is>
      </c>
      <c r="K464">
        <f>(IF(AND(I464&lt;&gt;"",AND(J464="",ABS(Q464)&gt;400)),TRUE,FALSE))</f>
        <v/>
      </c>
      <c r="L464" s="214" t="n">
        <v>510</v>
      </c>
      <c r="M464" s="159" t="n">
        <v>1</v>
      </c>
      <c r="N464" t="n">
        <v>20</v>
      </c>
      <c r="O464" s="237">
        <f>L464*N464/100</f>
        <v/>
      </c>
      <c r="P464" s="237">
        <f>M464*O464</f>
        <v/>
      </c>
      <c r="Q464" s="208">
        <f>L464*M464</f>
        <v/>
      </c>
      <c r="R464" s="251">
        <f>L464+O464</f>
        <v/>
      </c>
      <c r="S464" s="251">
        <f>Q464+P464</f>
        <v/>
      </c>
      <c r="T464" s="35">
        <f>voranmeldefrist_vierteljaehrlich(G464)</f>
        <v/>
      </c>
      <c r="U464" s="27" t="n"/>
      <c r="V464" s="27" t="n"/>
      <c r="W464" s="210">
        <f>IF(K464=TRUE,Q464/I464,Q464)</f>
        <v/>
      </c>
      <c r="X464" s="237">
        <f>V464/100*S464</f>
        <v/>
      </c>
      <c r="Y464">
        <f>IF(AND(V464&gt;0,N464=V464),TRUE,FALSE)</f>
        <v/>
      </c>
      <c r="Z464" s="228">
        <f>IF(C464="Einnahmen",Q464,-Q464)</f>
        <v/>
      </c>
    </row>
    <row r="465">
      <c r="A465" s="53" t="n">
        <v>2020</v>
      </c>
      <c r="B465" s="53" t="n">
        <v>226</v>
      </c>
      <c r="C465" s="71" t="inlineStr">
        <is>
          <t>Einnahmen</t>
        </is>
      </c>
      <c r="D465" t="inlineStr">
        <is>
          <t>Waren-/Leistungserlöse</t>
        </is>
      </c>
      <c r="E465" s="9" t="n">
        <v>12020032</v>
      </c>
      <c r="G465" s="1" t="n">
        <v>44179</v>
      </c>
      <c r="H465" t="inlineStr">
        <is>
          <t>DCF - Digital Coding Factory GmbH, Bauernfeldgasse 4/12 1090 Wien</t>
        </is>
      </c>
      <c r="K465">
        <f>(IF(AND(I465&lt;&gt;"",AND(J465="",ABS(Q465)&gt;400)),TRUE,FALSE))</f>
        <v/>
      </c>
      <c r="L465" s="214" t="n">
        <v>7260</v>
      </c>
      <c r="M465" s="159" t="n">
        <v>1</v>
      </c>
      <c r="N465" t="n">
        <v>20</v>
      </c>
      <c r="O465" s="237">
        <f>L465*N465/100</f>
        <v/>
      </c>
      <c r="P465" s="237">
        <f>M465*O465</f>
        <v/>
      </c>
      <c r="Q465" s="208">
        <f>L465*M465</f>
        <v/>
      </c>
      <c r="R465" s="251">
        <f>L465+O465</f>
        <v/>
      </c>
      <c r="S465" s="251">
        <f>Q465+P465</f>
        <v/>
      </c>
      <c r="T465" s="35">
        <f>voranmeldefrist_vierteljaehrlich(G465)</f>
        <v/>
      </c>
      <c r="U465" s="27" t="n"/>
      <c r="V465" s="27" t="n"/>
      <c r="W465" s="210">
        <f>IF(K465=TRUE,Q465/I465,Q465)</f>
        <v/>
      </c>
      <c r="X465" s="237">
        <f>V465/100*S465</f>
        <v/>
      </c>
      <c r="Y465">
        <f>IF(AND(V465&gt;0,N465=V465),TRUE,FALSE)</f>
        <v/>
      </c>
      <c r="Z465" s="228">
        <f>IF(C465="Einnahmen",Q465,-Q465)</f>
        <v/>
      </c>
    </row>
    <row r="466">
      <c r="A466" s="53" t="n">
        <v>2020</v>
      </c>
      <c r="B466" s="53" t="n">
        <v>227</v>
      </c>
      <c r="C466" s="71" t="inlineStr">
        <is>
          <t>Ausgaben</t>
        </is>
      </c>
      <c r="D466" t="inlineStr">
        <is>
          <t>Telefon/Internet</t>
        </is>
      </c>
      <c r="E466" s="9" t="inlineStr">
        <is>
          <t>901201021220</t>
        </is>
      </c>
      <c r="F466" s="1" t="n">
        <v>43962</v>
      </c>
      <c r="G466" s="1" t="n">
        <v>44186</v>
      </c>
      <c r="H466" t="inlineStr">
        <is>
          <t>Magenta: T-Mobile Austria GmbH, A-1120 Wien, PF 47</t>
        </is>
      </c>
      <c r="K466">
        <f>(IF(AND(I466&lt;&gt;"",AND(J466="",ABS(Q466)&gt;400)),TRUE,FALSE))</f>
        <v/>
      </c>
      <c r="L466" s="214" t="n">
        <v>35.24</v>
      </c>
      <c r="M466" s="159" t="n">
        <v>1</v>
      </c>
      <c r="N466" t="n">
        <v>20</v>
      </c>
      <c r="O466" s="237">
        <f>L466*N466/100</f>
        <v/>
      </c>
      <c r="P466" s="237">
        <f>M466*O466</f>
        <v/>
      </c>
      <c r="Q466" s="208">
        <f>L466*M466</f>
        <v/>
      </c>
      <c r="R466" s="251">
        <f>L466+O466</f>
        <v/>
      </c>
      <c r="S466" s="251">
        <f>Q466+P466</f>
        <v/>
      </c>
      <c r="T466" s="35">
        <f>voranmeldefrist_vierteljaehrlich(G466)</f>
        <v/>
      </c>
      <c r="U466" s="27" t="n"/>
      <c r="V466" s="27" t="n"/>
      <c r="W466" s="210">
        <f>IF(K466=TRUE,Q466/I466,Q466)</f>
        <v/>
      </c>
      <c r="X466" s="237">
        <f>V466/100*S466</f>
        <v/>
      </c>
      <c r="Y466">
        <f>IF(AND(V466&gt;0,N466=V466),TRUE,FALSE)</f>
        <v/>
      </c>
      <c r="Z466" s="228">
        <f>IF(C466="Einnahmen",Q466,-Q466)</f>
        <v/>
      </c>
    </row>
    <row r="467">
      <c r="A467" s="53" t="n">
        <v>2020</v>
      </c>
      <c r="B467" s="53" t="n">
        <v>228</v>
      </c>
      <c r="C467" s="71" t="inlineStr">
        <is>
          <t>Ausgaben</t>
        </is>
      </c>
      <c r="D467" t="inlineStr">
        <is>
          <t>sonstige Betriebsausgaben</t>
        </is>
      </c>
      <c r="E467" s="9" t="inlineStr">
        <is>
          <t>VS/19-01-05428</t>
        </is>
      </c>
      <c r="G467" s="1" t="n">
        <v>43987</v>
      </c>
      <c r="H467" t="inlineStr">
        <is>
          <t>Techem Messtechnik GmbH; Abnehmernummer 501686-0003-11-( (NACHTRAG 25.12.)</t>
        </is>
      </c>
      <c r="K467">
        <f>(IF(AND(I467&lt;&gt;"",AND(J467="",ABS(Q467)&gt;400)),TRUE,FALSE))</f>
        <v/>
      </c>
      <c r="L467" s="214" t="n">
        <v>36.58</v>
      </c>
      <c r="M467" s="159" t="n">
        <v>1</v>
      </c>
      <c r="N467" t="n">
        <v>20</v>
      </c>
      <c r="O467" s="237">
        <f>L467*N467/100</f>
        <v/>
      </c>
      <c r="P467" s="237">
        <f>M467*O467</f>
        <v/>
      </c>
      <c r="Q467" s="208">
        <f>L467*M467</f>
        <v/>
      </c>
      <c r="R467" s="251">
        <f>L467+O467</f>
        <v/>
      </c>
      <c r="S467" s="251">
        <f>Q467+P467</f>
        <v/>
      </c>
      <c r="T467" s="35">
        <f>voranmeldefrist_vierteljaehrlich(G467)</f>
        <v/>
      </c>
      <c r="U467" s="27" t="n"/>
      <c r="V467" s="27" t="n"/>
      <c r="W467" s="210">
        <f>IF(K467=TRUE,Q467/I467,Q467)</f>
        <v/>
      </c>
      <c r="X467" s="237">
        <f>V467/100*S467</f>
        <v/>
      </c>
      <c r="Y467">
        <f>IF(AND(V467&gt;0,N467=V467),TRUE,FALSE)</f>
        <v/>
      </c>
      <c r="Z467" s="228">
        <f>IF(C467="Einnahmen",Q467,-Q467)</f>
        <v/>
      </c>
    </row>
    <row r="468">
      <c r="A468" s="53" t="n">
        <v>2020</v>
      </c>
      <c r="B468" s="53" t="n">
        <v>229</v>
      </c>
      <c r="C468" s="71" t="inlineStr">
        <is>
          <t>Ausgaben</t>
        </is>
      </c>
      <c r="D468" t="inlineStr">
        <is>
          <t>Pflichversicherungsbeiträge</t>
        </is>
      </c>
      <c r="E468" s="9" t="inlineStr">
        <is>
          <t>GSVG-Rechner</t>
        </is>
      </c>
      <c r="G468" s="1" t="n">
        <v>44190</v>
      </c>
      <c r="H468" t="inlineStr">
        <is>
          <t>Sozialversicherung der gewerblichen Wirtshaft</t>
        </is>
      </c>
      <c r="K468" t="b">
        <v>0</v>
      </c>
      <c r="L468" s="214" t="n">
        <v>13124.8</v>
      </c>
      <c r="M468" s="159" t="n">
        <v>1</v>
      </c>
      <c r="N468" t="n">
        <v>0</v>
      </c>
      <c r="O468" s="237">
        <f>L468*N468/100</f>
        <v/>
      </c>
      <c r="P468" s="237">
        <f>M468*O468</f>
        <v/>
      </c>
      <c r="Q468" s="208">
        <f>L468*M468</f>
        <v/>
      </c>
      <c r="R468" s="251">
        <f>L468+O468</f>
        <v/>
      </c>
      <c r="S468" s="251">
        <f>Q468+P468</f>
        <v/>
      </c>
      <c r="T468" s="35">
        <f>voranmeldefrist_vierteljaehrlich(G468)</f>
        <v/>
      </c>
      <c r="U468" s="27" t="n"/>
      <c r="V468" s="27" t="n"/>
      <c r="W468" s="210">
        <f>IF(K468=TRUE,Q468/J468,Q468)</f>
        <v/>
      </c>
      <c r="X468" s="237">
        <f>V468/100*S468</f>
        <v/>
      </c>
      <c r="Y468">
        <f>IF(AND(V468&gt;0,N468=V468),TRUE,FALSE)</f>
        <v/>
      </c>
      <c r="Z468" s="228">
        <f>IF(C468="Einnahmen",Q468,-Q468)</f>
        <v/>
      </c>
    </row>
    <row r="469">
      <c r="A469" s="53" t="n">
        <v>2020</v>
      </c>
      <c r="B469" s="53" t="n">
        <v>230</v>
      </c>
      <c r="C469" s="71" t="inlineStr">
        <is>
          <t>Ausgaben</t>
        </is>
      </c>
      <c r="D469" t="inlineStr">
        <is>
          <t>sonstige Betriebsausgaben</t>
        </is>
      </c>
      <c r="E469" s="9" t="inlineStr">
        <is>
          <t>I200002565115</t>
        </is>
      </c>
      <c r="G469" s="1" t="n">
        <v>44193</v>
      </c>
      <c r="H469" t="inlineStr">
        <is>
          <t>Hetzner Online GmbH</t>
        </is>
      </c>
      <c r="K469">
        <f>(IF(AND(I469&lt;&gt;"",AND(J469="",ABS(Q469)&gt;400)),TRUE,FALSE))</f>
        <v/>
      </c>
      <c r="L469" s="214" t="n">
        <v>10</v>
      </c>
      <c r="M469" s="159" t="n">
        <v>1</v>
      </c>
      <c r="N469" t="n">
        <v>0</v>
      </c>
      <c r="O469" s="237">
        <f>L469*N469/100</f>
        <v/>
      </c>
      <c r="P469" s="237">
        <f>M469*O469</f>
        <v/>
      </c>
      <c r="Q469" s="208">
        <f>L469*M469</f>
        <v/>
      </c>
      <c r="R469" s="251">
        <f>L469+O469</f>
        <v/>
      </c>
      <c r="S469" s="251">
        <f>Q469+P469</f>
        <v/>
      </c>
      <c r="T469" s="35">
        <f>voranmeldefrist_vierteljaehrlich(G469)</f>
        <v/>
      </c>
      <c r="U469" s="27" t="n"/>
      <c r="V469" s="27" t="n">
        <v>20</v>
      </c>
      <c r="W469" s="210">
        <f>IF(K469=TRUE,Q469/J469,Q469)</f>
        <v/>
      </c>
      <c r="X469" s="237">
        <f>V469/100*S469</f>
        <v/>
      </c>
      <c r="Y469">
        <f>IF(AND(V469&gt;0,N469=V469),TRUE,FALSE)</f>
        <v/>
      </c>
      <c r="Z469" s="228">
        <f>IF(C469="Einnahmen",Q469,-Q469)</f>
        <v/>
      </c>
    </row>
    <row r="470">
      <c r="A470" s="53" t="n">
        <v>2020</v>
      </c>
      <c r="B470" s="53" t="n">
        <v>231</v>
      </c>
      <c r="C470" s="71" t="inlineStr">
        <is>
          <t>Ausgaben</t>
        </is>
      </c>
      <c r="D470" t="inlineStr">
        <is>
          <t>sonstige Betriebsausgaben</t>
        </is>
      </c>
      <c r="E470" s="9" t="inlineStr">
        <is>
          <t>6573659633</t>
        </is>
      </c>
      <c r="G470" s="1" t="n">
        <v>44193</v>
      </c>
      <c r="H470" t="inlineStr">
        <is>
          <t>Digital River Ireland, Ltd., Dromore House, East Park, Shannon, County Clare, V14 AN23, Ireland; UID ATU66641618</t>
        </is>
      </c>
      <c r="I470" t="n">
        <v>3</v>
      </c>
      <c r="K470">
        <f>(IF(AND(I470&lt;&gt;"",AND(J470="",ABS(Q470)&gt;400)),TRUE,FALSE))</f>
        <v/>
      </c>
      <c r="L470" s="214" t="n">
        <v>2046.38</v>
      </c>
      <c r="M470" s="159" t="n">
        <v>1</v>
      </c>
      <c r="N470" t="n">
        <v>20</v>
      </c>
      <c r="O470" s="237">
        <f>L470*N470/100</f>
        <v/>
      </c>
      <c r="P470" s="237">
        <f>M470*O470</f>
        <v/>
      </c>
      <c r="Q470" s="208">
        <f>L470*M470</f>
        <v/>
      </c>
      <c r="R470" s="251">
        <f>L470+O470</f>
        <v/>
      </c>
      <c r="S470" s="251">
        <f>Q470+P470</f>
        <v/>
      </c>
      <c r="T470" s="35">
        <f>voranmeldefrist_vierteljaehrlich(G470)</f>
        <v/>
      </c>
      <c r="U470" s="27" t="n"/>
      <c r="V470" s="27" t="n"/>
      <c r="W470" s="210">
        <f>IF(K470=TRUE,Q470/J470,Q470)</f>
        <v/>
      </c>
      <c r="X470" s="237">
        <f>V470/100*S470</f>
        <v/>
      </c>
      <c r="Y470">
        <f>IF(AND(V470&gt;0,N470=V470),TRUE,FALSE)</f>
        <v/>
      </c>
      <c r="Z470" s="228">
        <f>IF(C470="Einnahmen",Q470,-Q470)</f>
        <v/>
      </c>
    </row>
    <row r="471">
      <c r="A471" s="53" t="n">
        <v>2020</v>
      </c>
      <c r="B471" s="53" t="n">
        <v>232</v>
      </c>
      <c r="C471" s="71" t="inlineStr">
        <is>
          <t>Ausgaben</t>
        </is>
      </c>
      <c r="D471" t="inlineStr">
        <is>
          <t>sonstige Betriebsausgaben</t>
        </is>
      </c>
      <c r="E471" s="9" t="inlineStr">
        <is>
          <t>5137082649</t>
        </is>
      </c>
      <c r="G471" s="1" t="n">
        <v>44193</v>
      </c>
      <c r="H471" t="inlineStr">
        <is>
          <t>Wiener Netze GmbH, Erdbergstraße 236, 1110 Wien, Postfach 422; Jahresabrechnung vom 17.12.20: GUTSCHRIFT</t>
        </is>
      </c>
      <c r="K471">
        <f>(IF(AND(I471&lt;&gt;"",AND(J471="",ABS(Q471)&gt;400)),TRUE,FALSE))</f>
        <v/>
      </c>
      <c r="L471" s="214" t="n">
        <v>-193.69</v>
      </c>
      <c r="M471" s="159" t="n">
        <v>1</v>
      </c>
      <c r="N471" t="n">
        <v>0</v>
      </c>
      <c r="O471" s="237">
        <f>L471*N471/100</f>
        <v/>
      </c>
      <c r="P471" s="237">
        <f>M471*O471</f>
        <v/>
      </c>
      <c r="Q471" s="208">
        <f>L471*M471</f>
        <v/>
      </c>
      <c r="R471" s="251">
        <f>L471+O471</f>
        <v/>
      </c>
      <c r="S471" s="251">
        <f>Q471+P471</f>
        <v/>
      </c>
      <c r="T471" s="35">
        <f>voranmeldefrist_vierteljaehrlich(G471)</f>
        <v/>
      </c>
      <c r="U471" s="27" t="n"/>
      <c r="V471" s="27" t="n"/>
      <c r="W471" s="210">
        <f>IF(K471=TRUE,Q471/J471,Q471)</f>
        <v/>
      </c>
      <c r="X471" s="237">
        <f>V471/100*S471</f>
        <v/>
      </c>
      <c r="Y471">
        <f>IF(AND(V471&gt;0,N471=V471),TRUE,FALSE)</f>
        <v/>
      </c>
      <c r="Z471" s="228">
        <f>IF(C471="Einnahmen",Q471,-Q471)</f>
        <v/>
      </c>
    </row>
    <row r="472">
      <c r="A472" s="53" t="n">
        <v>2020</v>
      </c>
      <c r="B472" s="53" t="n">
        <v>233</v>
      </c>
      <c r="C472" s="71" t="inlineStr">
        <is>
          <t>Ausgaben</t>
        </is>
      </c>
      <c r="D472" t="inlineStr">
        <is>
          <t>Abschreibung Anlagevermögen</t>
        </is>
      </c>
      <c r="E472" s="131" t="n">
        <v>0</v>
      </c>
      <c r="G472" s="1" t="n">
        <v>44196</v>
      </c>
      <c r="H472" s="111" t="inlineStr">
        <is>
          <t>AfA 2020 - im letzten Jahr gab es diesen Posten nicht?</t>
        </is>
      </c>
      <c r="K472" t="b">
        <v>0</v>
      </c>
      <c r="L472" s="214" t="n">
        <v>0</v>
      </c>
      <c r="M472" s="159" t="n">
        <v>1</v>
      </c>
      <c r="N472" t="n">
        <v>0</v>
      </c>
      <c r="O472" s="237">
        <f>L472*N472/100</f>
        <v/>
      </c>
      <c r="P472" s="237">
        <f>M472*O472</f>
        <v/>
      </c>
      <c r="Q472" s="208" t="n"/>
      <c r="R472" s="251">
        <f>L472+O472</f>
        <v/>
      </c>
      <c r="S472" s="251" t="n"/>
      <c r="T472" s="35" t="n"/>
      <c r="U472" s="27" t="n"/>
      <c r="V472" s="27" t="n"/>
      <c r="W472" s="210" t="n"/>
      <c r="X472" s="237" t="n"/>
      <c r="Y472">
        <f>IF(AND(V472&gt;0,N472=V472),TRUE,FALSE)</f>
        <v/>
      </c>
    </row>
    <row r="473">
      <c r="A473" s="53" t="n">
        <v>2020</v>
      </c>
      <c r="B473" s="53" t="n">
        <v>234</v>
      </c>
      <c r="C473" s="71" t="inlineStr">
        <is>
          <t>Einnahmen</t>
        </is>
      </c>
      <c r="D473" t="inlineStr">
        <is>
          <t>Waren-/Leistungserlöse</t>
        </is>
      </c>
      <c r="E473" s="131" t="n">
        <v>12020018</v>
      </c>
      <c r="G473" s="1" t="n">
        <v>43992</v>
      </c>
      <c r="H473" s="115" t="inlineStr">
        <is>
          <t>Nacherfassung</t>
        </is>
      </c>
      <c r="K473" t="b">
        <v>0</v>
      </c>
      <c r="L473" s="255" t="n">
        <v>2130</v>
      </c>
      <c r="M473" s="159" t="n">
        <v>1</v>
      </c>
      <c r="N473" t="n">
        <v>20</v>
      </c>
      <c r="O473" s="237">
        <f>L473*N473/100</f>
        <v/>
      </c>
      <c r="P473" s="237">
        <f>M473*O473</f>
        <v/>
      </c>
      <c r="Q473" s="208">
        <f>L473*M473</f>
        <v/>
      </c>
      <c r="R473" s="251">
        <f>L473+O473</f>
        <v/>
      </c>
      <c r="S473" s="251">
        <f>Q473+P473</f>
        <v/>
      </c>
      <c r="T473" s="35">
        <f>voranmeldefrist_vierteljaehrlich(G473)</f>
        <v/>
      </c>
      <c r="U473" s="27" t="n"/>
      <c r="V473" s="27" t="n"/>
      <c r="W473" s="210">
        <f>IF(K473=TRUE,Q473/I473,Q473)</f>
        <v/>
      </c>
      <c r="X473" s="237">
        <f>V473/100*S473</f>
        <v/>
      </c>
      <c r="Y473">
        <f>IF(AND(V473&gt;0,N473=V473),TRUE,FALSE)</f>
        <v/>
      </c>
      <c r="Z473" s="228">
        <f>IF(C473="Einnahmen",Q473,-Q473)</f>
        <v/>
      </c>
    </row>
    <row r="474">
      <c r="A474" s="53" t="n">
        <v>2021</v>
      </c>
      <c r="B474" s="53" t="n">
        <v>1</v>
      </c>
      <c r="C474" s="71" t="inlineStr">
        <is>
          <t>Ausgaben</t>
        </is>
      </c>
      <c r="D474" t="inlineStr">
        <is>
          <t>Miet- und Pachtaufwand, Leasing</t>
        </is>
      </c>
      <c r="E474" s="9" t="inlineStr">
        <is>
          <t>21/9801/VS00037</t>
        </is>
      </c>
      <c r="G474" s="1" t="n">
        <v>44200</v>
      </c>
      <c r="H474" t="inlineStr">
        <is>
          <t>Bontus Immobilienverwaltung GmbH, 1010 Wien, Franz Josefs Kai 65</t>
        </is>
      </c>
      <c r="K474" t="b">
        <v>0</v>
      </c>
      <c r="L474" s="214" t="n">
        <v>462.44</v>
      </c>
      <c r="M474" s="159" t="n">
        <v>1</v>
      </c>
      <c r="N474" t="n">
        <v>20</v>
      </c>
      <c r="O474" s="237">
        <f>L474*N474/100</f>
        <v/>
      </c>
      <c r="P474" s="237">
        <f>M474*O474</f>
        <v/>
      </c>
      <c r="Q474" s="208">
        <f>L474*M474</f>
        <v/>
      </c>
      <c r="R474" s="251">
        <f>L474+O474</f>
        <v/>
      </c>
      <c r="S474" s="251">
        <f>Q474+P474</f>
        <v/>
      </c>
      <c r="T474" s="35">
        <f>voranmeldefrist_vierteljaehrlich(G474)</f>
        <v/>
      </c>
      <c r="U474" s="27" t="n"/>
      <c r="V474" s="27" t="n"/>
      <c r="W474" s="210">
        <f>IF(K474=TRUE,Q474/J474,Q474)</f>
        <v/>
      </c>
      <c r="X474" s="237">
        <f>V474/100*S474</f>
        <v/>
      </c>
      <c r="Y474">
        <f>IF(AND(V474&gt;0,N474=V474),TRUE,FALSE)</f>
        <v/>
      </c>
      <c r="Z474" s="228">
        <f>IF(C474="Einnahmen",Q474,-Q474)</f>
        <v/>
      </c>
    </row>
    <row r="475">
      <c r="A475" s="53" t="n">
        <v>2021</v>
      </c>
      <c r="B475" s="53" t="n">
        <v>2</v>
      </c>
      <c r="C475" s="71" t="inlineStr">
        <is>
          <t>Ausgaben</t>
        </is>
      </c>
      <c r="D475" t="inlineStr">
        <is>
          <t>Reise- und Fahrtspesen inkl. Kilometergeld und Diäten</t>
        </is>
      </c>
      <c r="E475" s="131" t="inlineStr">
        <is>
          <t>4293000000018420</t>
        </is>
      </c>
      <c r="G475" s="1" t="n">
        <v>44200</v>
      </c>
      <c r="H475" t="inlineStr">
        <is>
          <t>car2go Österreich GmbH, Hintere Zollamtstraße 9, 1030 Wien</t>
        </is>
      </c>
      <c r="K475" t="b">
        <v>0</v>
      </c>
      <c r="L475" s="214">
        <f>31.47</f>
        <v/>
      </c>
      <c r="M475" s="159" t="n">
        <v>1</v>
      </c>
      <c r="N475" t="n">
        <v>20</v>
      </c>
      <c r="O475" s="237" t="n">
        <v>6.3</v>
      </c>
      <c r="P475" s="237" t="n">
        <v>6.3</v>
      </c>
      <c r="Q475" s="208">
        <f>L475*M475</f>
        <v/>
      </c>
      <c r="R475" s="251">
        <f>L475+O475</f>
        <v/>
      </c>
      <c r="S475" s="251">
        <f>Q475+P475</f>
        <v/>
      </c>
      <c r="T475" s="35">
        <f>voranmeldefrist_vierteljaehrlich(G475)</f>
        <v/>
      </c>
      <c r="U475" s="27" t="n"/>
      <c r="V475" s="27" t="n"/>
      <c r="W475" s="210">
        <f>IF(K475=TRUE,Q475/J475,Q475)</f>
        <v/>
      </c>
      <c r="X475" s="237">
        <f>V475/100*S475</f>
        <v/>
      </c>
      <c r="Y475">
        <f>IF(AND(V475&gt;0,N475=V475),TRUE,FALSE)</f>
        <v/>
      </c>
      <c r="Z475" s="228">
        <f>IF(C475="Einnahmen",Q475,-Q475)</f>
        <v/>
      </c>
    </row>
    <row r="476">
      <c r="A476" s="53" t="n">
        <v>2021</v>
      </c>
      <c r="B476" s="53" t="n">
        <v>3</v>
      </c>
      <c r="C476" s="71" t="inlineStr">
        <is>
          <t>Ausgaben</t>
        </is>
      </c>
      <c r="D476" t="inlineStr">
        <is>
          <t>sonstige Betriebsausgaben</t>
        </is>
      </c>
      <c r="E476" s="143" t="inlineStr">
        <is>
          <t>32000220113-4027678-0001714</t>
        </is>
      </c>
      <c r="G476" s="1" t="n">
        <v>44200</v>
      </c>
      <c r="H476" t="inlineStr">
        <is>
          <t>Aon Austria GmbH</t>
        </is>
      </c>
      <c r="K476">
        <f>(IF(AND(I476&lt;&gt;"",AND(J476="",ABS(Q476)&gt;400)),TRUE,FALSE))</f>
        <v/>
      </c>
      <c r="L476" s="214">
        <f>S476/1.2</f>
        <v/>
      </c>
      <c r="M476" s="159" t="n">
        <v>1</v>
      </c>
      <c r="N476" t="n">
        <v>20</v>
      </c>
      <c r="O476" s="237">
        <f>L476*N476/100</f>
        <v/>
      </c>
      <c r="P476" s="237">
        <f>M476*O476</f>
        <v/>
      </c>
      <c r="Q476" s="208">
        <f>L476*M476</f>
        <v/>
      </c>
      <c r="R476" s="251">
        <f>L476+O476</f>
        <v/>
      </c>
      <c r="S476" s="251" t="n">
        <v>235.6</v>
      </c>
      <c r="T476" s="35">
        <f>voranmeldefrist_vierteljaehrlich(G476)</f>
        <v/>
      </c>
      <c r="U476" s="27" t="n"/>
      <c r="V476" s="27" t="n"/>
      <c r="W476" s="210">
        <f>IF(K476=TRUE,Q476/J476,Q476)</f>
        <v/>
      </c>
      <c r="X476" s="237">
        <f>V476/100*S476</f>
        <v/>
      </c>
      <c r="Y476">
        <f>IF(AND(V476&gt;0,N476=V476),TRUE,FALSE)</f>
        <v/>
      </c>
      <c r="Z476" s="228">
        <f>IF(C476="Einnahmen",Q476,-Q476)</f>
        <v/>
      </c>
    </row>
    <row r="477">
      <c r="A477" s="53" t="n">
        <v>2021</v>
      </c>
      <c r="B477" s="53" t="n">
        <v>4</v>
      </c>
      <c r="C477" s="71" t="inlineStr">
        <is>
          <t>Ausgaben</t>
        </is>
      </c>
      <c r="D477" t="inlineStr">
        <is>
          <t>sonstige Betriebsausgaben</t>
        </is>
      </c>
      <c r="E477" s="9" t="inlineStr">
        <is>
          <t>VS/19-01-05428</t>
        </is>
      </c>
      <c r="G477" s="1" t="n">
        <v>44201</v>
      </c>
      <c r="H477" t="inlineStr">
        <is>
          <t>Techem Messtechnik GmbH; Abnehmernummer 501686-0003-11-( (NACHTRAG 25.12.)</t>
        </is>
      </c>
      <c r="K477">
        <f>(IF(AND(I477&lt;&gt;"",AND(J477="",ABS(Q477)&gt;400)),TRUE,FALSE))</f>
        <v/>
      </c>
      <c r="L477" s="214" t="n">
        <v>35</v>
      </c>
      <c r="M477" s="159" t="n">
        <v>1</v>
      </c>
      <c r="N477" t="n">
        <v>20</v>
      </c>
      <c r="O477" s="237">
        <f>L477*N477/100</f>
        <v/>
      </c>
      <c r="P477" s="237">
        <f>M477*O477</f>
        <v/>
      </c>
      <c r="Q477" s="208">
        <f>L477*M477</f>
        <v/>
      </c>
      <c r="R477" s="251">
        <f>L477+O477</f>
        <v/>
      </c>
      <c r="S477" s="251">
        <f>Q477+P477</f>
        <v/>
      </c>
      <c r="T477" s="35">
        <f>voranmeldefrist_vierteljaehrlich(G477)</f>
        <v/>
      </c>
      <c r="U477" s="27" t="n"/>
      <c r="V477" s="27" t="n"/>
      <c r="W477" s="210">
        <f>IF(K477=TRUE,Q477/I477,Q477)</f>
        <v/>
      </c>
      <c r="X477" s="237">
        <f>V477/100*S477</f>
        <v/>
      </c>
      <c r="Y477">
        <f>IF(AND(V477&gt;0,N477=V477),TRUE,FALSE)</f>
        <v/>
      </c>
      <c r="Z477" s="228">
        <f>IF(C477="Einnahmen",Q477,-Q477)</f>
        <v/>
      </c>
    </row>
    <row r="478">
      <c r="A478" s="53" t="n">
        <v>2021</v>
      </c>
      <c r="B478" s="53" t="n">
        <v>5</v>
      </c>
      <c r="C478" s="71" t="inlineStr">
        <is>
          <t>Einnahmen</t>
        </is>
      </c>
      <c r="D478" t="inlineStr">
        <is>
          <t>Waren-/Leistungserlöse</t>
        </is>
      </c>
      <c r="E478" s="9" t="inlineStr">
        <is>
          <t>12021001</t>
        </is>
      </c>
      <c r="G478" s="1" t="n">
        <v>44203</v>
      </c>
      <c r="H478" t="inlineStr">
        <is>
          <t>ZT DI Dr. Arno Kolbitsch, Gütleweg 1, 6822 Satteins</t>
        </is>
      </c>
      <c r="K478">
        <f>(IF(AND(I478&lt;&gt;"",AND(J478="",ABS(Q478)&gt;400)),TRUE,FALSE))</f>
        <v/>
      </c>
      <c r="L478" s="214" t="n">
        <v>8600</v>
      </c>
      <c r="M478" s="159" t="n">
        <v>1</v>
      </c>
      <c r="N478" t="n">
        <v>20</v>
      </c>
      <c r="O478" s="237">
        <f>L478*N478/100</f>
        <v/>
      </c>
      <c r="P478" s="237">
        <f>M478*O478</f>
        <v/>
      </c>
      <c r="Q478" s="208">
        <f>L478*M478</f>
        <v/>
      </c>
      <c r="R478" s="251">
        <f>L478+O478</f>
        <v/>
      </c>
      <c r="S478" s="251">
        <f>Q478+P478</f>
        <v/>
      </c>
      <c r="T478" s="35">
        <f>voranmeldefrist_vierteljaehrlich(G478)</f>
        <v/>
      </c>
      <c r="U478" s="27" t="n"/>
      <c r="V478" s="27" t="n"/>
      <c r="W478" s="210">
        <f>IF(K478=TRUE,Q478/I478,Q478)</f>
        <v/>
      </c>
      <c r="X478" s="237">
        <f>V478/100*S478</f>
        <v/>
      </c>
      <c r="Y478">
        <f>IF(AND(V478&gt;0,N478=V478),TRUE,FALSE)</f>
        <v/>
      </c>
      <c r="Z478" s="228">
        <f>IF(C478="Einnahmen",Q478,-Q478)</f>
        <v/>
      </c>
      <c r="AB478">
        <f>L478*1.2=R478</f>
        <v/>
      </c>
      <c r="AC478">
        <f>L478*1.2=S478</f>
        <v/>
      </c>
    </row>
    <row r="479">
      <c r="A479" s="53" t="n">
        <v>2021</v>
      </c>
      <c r="B479" s="53" t="n">
        <v>6</v>
      </c>
      <c r="C479" s="71" t="inlineStr">
        <is>
          <t>Ausgaben</t>
        </is>
      </c>
      <c r="D479" t="inlineStr">
        <is>
          <t>sonstige Betriebsausgaben</t>
        </is>
      </c>
      <c r="E479" s="9" t="inlineStr">
        <is>
          <t>R0012565330</t>
        </is>
      </c>
      <c r="G479" s="1" t="n">
        <v>44203</v>
      </c>
      <c r="H479" t="inlineStr">
        <is>
          <t>Hetzner Online GmbH</t>
        </is>
      </c>
      <c r="J479" s="76" t="inlineStr">
        <is>
          <t>ja</t>
        </is>
      </c>
      <c r="K479">
        <f>(IF(AND(I479&lt;&gt;"",AND(J479="",ABS(Q479)&gt;400)),TRUE,FALSE))</f>
        <v/>
      </c>
      <c r="L479" s="214" t="n">
        <v>2.49</v>
      </c>
      <c r="M479" s="159" t="n">
        <v>1</v>
      </c>
      <c r="N479" t="n">
        <v>0</v>
      </c>
      <c r="O479" s="237">
        <f>L479*N479/100</f>
        <v/>
      </c>
      <c r="P479" s="237">
        <f>M479*O479</f>
        <v/>
      </c>
      <c r="Q479" s="208">
        <f>L479*M479</f>
        <v/>
      </c>
      <c r="R479" s="251">
        <f>L479+O479</f>
        <v/>
      </c>
      <c r="S479" s="251">
        <f>Q479+P479</f>
        <v/>
      </c>
      <c r="T479" s="35">
        <f>voranmeldefrist_vierteljaehrlich(G479)</f>
        <v/>
      </c>
      <c r="U479" s="27" t="n"/>
      <c r="V479" s="27" t="n">
        <v>20</v>
      </c>
      <c r="W479" s="210">
        <f>IF(K479=TRUE,Q479/J479,Q479)</f>
        <v/>
      </c>
      <c r="X479" s="237">
        <f>V479/100*S479</f>
        <v/>
      </c>
      <c r="Y479">
        <f>IF(AND(V479&gt;0,N479=V479),TRUE,FALSE)</f>
        <v/>
      </c>
      <c r="Z479" s="228">
        <f>IF(C479="Einnahmen",Q479,-Q479)</f>
        <v/>
      </c>
    </row>
    <row r="480">
      <c r="A480" s="53" t="n">
        <v>2021</v>
      </c>
      <c r="B480" s="53" t="n">
        <v>7</v>
      </c>
      <c r="C480" s="71" t="inlineStr">
        <is>
          <t>Einnahmen</t>
        </is>
      </c>
      <c r="D480" t="inlineStr">
        <is>
          <t>Waren-/Leistungserlöse</t>
        </is>
      </c>
      <c r="E480" s="9" t="inlineStr">
        <is>
          <t>12021007</t>
        </is>
      </c>
      <c r="G480" s="1" t="n">
        <v>44204</v>
      </c>
      <c r="H480" t="inlineStr">
        <is>
          <t>Theresa Häfele-Kolbitsch, Josef-Mohrgasse 9, 2102 Bisamberg</t>
        </is>
      </c>
      <c r="K480">
        <f>(IF(AND(I480&lt;&gt;"",AND(J480="",ABS(Q480)&gt;400)),TRUE,FALSE))</f>
        <v/>
      </c>
      <c r="L480" s="214" t="n">
        <v>235.33</v>
      </c>
      <c r="M480" s="159" t="n">
        <v>1</v>
      </c>
      <c r="N480" t="n">
        <v>20</v>
      </c>
      <c r="O480" s="237">
        <f>L480*N480/100</f>
        <v/>
      </c>
      <c r="P480" s="237">
        <f>M480*O480</f>
        <v/>
      </c>
      <c r="Q480" s="208">
        <f>L480*M480</f>
        <v/>
      </c>
      <c r="R480" s="251">
        <f>L480+O480</f>
        <v/>
      </c>
      <c r="S480" s="251">
        <f>Q480+P480</f>
        <v/>
      </c>
      <c r="T480" s="35">
        <f>voranmeldefrist_vierteljaehrlich(G480)</f>
        <v/>
      </c>
      <c r="U480" s="27" t="n"/>
      <c r="V480" s="27" t="n"/>
      <c r="W480" s="210">
        <f>IF(K480=TRUE,Q480/J480,Q480)</f>
        <v/>
      </c>
      <c r="X480" s="237">
        <f>V480/100*S480</f>
        <v/>
      </c>
      <c r="Y480">
        <f>IF(AND(V480&gt;0,N480=V480),TRUE,FALSE)</f>
        <v/>
      </c>
      <c r="Z480" s="228">
        <f>IF(C480="Einnahmen",Q480,-Q480)</f>
        <v/>
      </c>
      <c r="AB480">
        <f>L480*1.2=R480</f>
        <v/>
      </c>
      <c r="AC480">
        <f>L480*1.2=S480</f>
        <v/>
      </c>
    </row>
    <row r="481">
      <c r="A481" s="53" t="n">
        <v>2021</v>
      </c>
      <c r="B481" s="53" t="n">
        <v>8</v>
      </c>
      <c r="C481" s="71" t="inlineStr">
        <is>
          <t>Ausgaben</t>
        </is>
      </c>
      <c r="D481" t="inlineStr">
        <is>
          <t>sonstige Betriebsausgaben</t>
        </is>
      </c>
      <c r="E481" s="9" t="inlineStr">
        <is>
          <t>60793/100/2021</t>
        </is>
      </c>
      <c r="G481" s="1" t="n">
        <v>44204</v>
      </c>
      <c r="H481" t="inlineStr">
        <is>
          <t>easy green energy GmbH &amp; Co KG</t>
        </is>
      </c>
      <c r="K481">
        <f>(IF(AND(I481&lt;&gt;"",AND(J481="",ABS(Q481)&gt;400)),TRUE,FALSE))</f>
        <v/>
      </c>
      <c r="L481" s="214" t="n">
        <v>2.5</v>
      </c>
      <c r="M481" s="159" t="n">
        <v>1</v>
      </c>
      <c r="N481" t="n">
        <v>20</v>
      </c>
      <c r="O481" s="237">
        <f>L481*N481/100</f>
        <v/>
      </c>
      <c r="P481" s="237">
        <f>M481*O481</f>
        <v/>
      </c>
      <c r="Q481" s="208">
        <f>L481*M481</f>
        <v/>
      </c>
      <c r="R481" s="251">
        <f>L481+O481</f>
        <v/>
      </c>
      <c r="S481" s="251" t="n">
        <v>3</v>
      </c>
      <c r="T481" s="35">
        <f>voranmeldefrist_vierteljaehrlich(G481)</f>
        <v/>
      </c>
      <c r="U481" s="27" t="n"/>
      <c r="V481" s="27" t="n"/>
      <c r="W481" s="210">
        <f>IF(K481=TRUE,Q481/J481,Q481)</f>
        <v/>
      </c>
      <c r="X481" s="237">
        <f>V481/100*S481</f>
        <v/>
      </c>
      <c r="Y481">
        <f>IF(AND(V481&gt;0,N481=V481),TRUE,FALSE)</f>
        <v/>
      </c>
      <c r="Z481" s="228">
        <f>IF(C481="Einnahmen",Q481,-Q481)</f>
        <v/>
      </c>
    </row>
    <row r="482">
      <c r="A482" s="53" t="n">
        <v>2021</v>
      </c>
      <c r="B482" s="53" t="n">
        <v>9</v>
      </c>
      <c r="C482" s="71" t="inlineStr">
        <is>
          <t>Einnahmen</t>
        </is>
      </c>
      <c r="D482" t="inlineStr">
        <is>
          <t>Waren-/Leistungserlöse</t>
        </is>
      </c>
      <c r="E482" s="9" t="inlineStr">
        <is>
          <t>12020038</t>
        </is>
      </c>
      <c r="G482" s="1" t="n">
        <v>44207</v>
      </c>
      <c r="H482" t="inlineStr">
        <is>
          <t>foxcraft - DI Mag. Alexander Wagner, Leschetitzkygasse 30/5, 1180 Wien</t>
        </is>
      </c>
      <c r="K482">
        <f>(IF(AND(I482&lt;&gt;"",AND(J482="",ABS(Q482)&gt;400)),TRUE,FALSE))</f>
        <v/>
      </c>
      <c r="L482" s="214" t="n">
        <v>218.78</v>
      </c>
      <c r="M482" s="159" t="n">
        <v>1</v>
      </c>
      <c r="N482" t="n">
        <v>20</v>
      </c>
      <c r="O482" s="237">
        <f>L482*N482/100</f>
        <v/>
      </c>
      <c r="P482" s="237">
        <f>M482*O482</f>
        <v/>
      </c>
      <c r="Q482" s="208">
        <f>L482*M482</f>
        <v/>
      </c>
      <c r="R482" s="251">
        <f>L482+O482</f>
        <v/>
      </c>
      <c r="S482" s="251">
        <f>Q482+P482</f>
        <v/>
      </c>
      <c r="T482" s="35">
        <f>voranmeldefrist_vierteljaehrlich(G482)</f>
        <v/>
      </c>
      <c r="U482" s="27" t="n"/>
      <c r="V482" s="27" t="n"/>
      <c r="W482" s="210">
        <f>IF(K482=TRUE,Q482/I482,Q482)</f>
        <v/>
      </c>
      <c r="X482" s="237">
        <f>V482/100*S482</f>
        <v/>
      </c>
      <c r="Y482">
        <f>IF(AND(V482&gt;0,N482=V482),TRUE,FALSE)</f>
        <v/>
      </c>
      <c r="Z482" s="228">
        <f>IF(C482="Einnahmen",Q482,-Q482)</f>
        <v/>
      </c>
      <c r="AB482">
        <f>L482*1.2=R482</f>
        <v/>
      </c>
      <c r="AC482">
        <f>L482*1.2=S482</f>
        <v/>
      </c>
    </row>
    <row r="483">
      <c r="A483" s="53" t="n">
        <v>2021</v>
      </c>
      <c r="B483" s="53" t="n">
        <v>10</v>
      </c>
      <c r="C483" s="71" t="inlineStr">
        <is>
          <t>Einnahmen</t>
        </is>
      </c>
      <c r="D483" t="inlineStr">
        <is>
          <t>Waren-/Leistungserlöse</t>
        </is>
      </c>
      <c r="E483" s="9" t="n">
        <v>12018015</v>
      </c>
      <c r="G483" s="1" t="n">
        <v>44208</v>
      </c>
      <c r="H483" t="inlineStr">
        <is>
          <t>H. Jaros e.U., Kohlmarkt 16/2/2/15a, 1010 Wien</t>
        </is>
      </c>
      <c r="K483">
        <f>(IF(AND(I483&lt;&gt;"",AND(J483="",ABS(Q483)&gt;400)),TRUE,FALSE))</f>
        <v/>
      </c>
      <c r="L483" s="214" t="n">
        <v>350</v>
      </c>
      <c r="M483" s="159" t="n">
        <v>1</v>
      </c>
      <c r="N483" t="n">
        <v>20</v>
      </c>
      <c r="O483" s="237">
        <f>L483*N483/100</f>
        <v/>
      </c>
      <c r="P483" s="237">
        <f>M483*O483</f>
        <v/>
      </c>
      <c r="Q483" s="208">
        <f>L483*M483</f>
        <v/>
      </c>
      <c r="R483" s="251">
        <f>L483+O483</f>
        <v/>
      </c>
      <c r="S483" s="251">
        <f>Q483+P483</f>
        <v/>
      </c>
      <c r="T483" s="35">
        <f>voranmeldefrist_vierteljaehrlich(G483)</f>
        <v/>
      </c>
      <c r="U483" s="27" t="n"/>
      <c r="V483" s="27" t="n"/>
      <c r="W483" s="210">
        <f>IF(K483=TRUE,Q483/J483,Q483)</f>
        <v/>
      </c>
      <c r="X483" s="237">
        <f>V483/100*S483</f>
        <v/>
      </c>
      <c r="Y483">
        <f>IF(AND(V483&gt;0,N483=V483),TRUE,FALSE)</f>
        <v/>
      </c>
      <c r="Z483" s="228">
        <f>IF(C483="Einnahmen",Q483,-Q483)</f>
        <v/>
      </c>
      <c r="AB483">
        <f>L483*1.2=R483</f>
        <v/>
      </c>
      <c r="AC483">
        <f>L483*1.2=S483</f>
        <v/>
      </c>
    </row>
    <row r="484">
      <c r="A484" s="53" t="n">
        <v>2021</v>
      </c>
      <c r="B484" s="53" t="n">
        <v>11</v>
      </c>
      <c r="C484" s="71" t="inlineStr">
        <is>
          <t>Ausgaben</t>
        </is>
      </c>
      <c r="D484" t="inlineStr">
        <is>
          <t>Telefon/Internet</t>
        </is>
      </c>
      <c r="E484" s="9" t="inlineStr">
        <is>
          <t>6213824128</t>
        </is>
      </c>
      <c r="G484" s="1" t="n">
        <v>44208</v>
      </c>
      <c r="H484" t="inlineStr">
        <is>
          <t>Hutchison Drei Austria GmbH, Brünner Straße 52, 1210 Wien, Österreich</t>
        </is>
      </c>
      <c r="K484">
        <f>(IF(AND(I484&lt;&gt;"",AND(J484="",ABS(Q484)&gt;400)),TRUE,FALSE))</f>
        <v/>
      </c>
      <c r="L484" s="214" t="n">
        <v>15</v>
      </c>
      <c r="M484" s="159" t="n">
        <v>1</v>
      </c>
      <c r="N484" t="n">
        <v>20</v>
      </c>
      <c r="O484" s="237">
        <f>L484*N484/100</f>
        <v/>
      </c>
      <c r="P484" s="237">
        <f>M484*O484</f>
        <v/>
      </c>
      <c r="Q484" s="208">
        <f>L484*M484</f>
        <v/>
      </c>
      <c r="R484" s="251">
        <f>L484+O484</f>
        <v/>
      </c>
      <c r="S484" s="251">
        <f>Q484+P484</f>
        <v/>
      </c>
      <c r="T484" s="35">
        <f>voranmeldefrist_vierteljaehrlich(G484)</f>
        <v/>
      </c>
      <c r="U484" s="27" t="n"/>
      <c r="V484" s="27" t="n"/>
      <c r="W484" s="210">
        <f>IF(K484=TRUE,Q484/I484,Q484)</f>
        <v/>
      </c>
      <c r="X484" s="237">
        <f>V484/100*S484</f>
        <v/>
      </c>
      <c r="Y484">
        <f>IF(AND(V484&gt;0,N484=V484),TRUE,FALSE)</f>
        <v/>
      </c>
      <c r="Z484" s="228">
        <f>IF(C484="Einnahmen",Q484,-Q484)</f>
        <v/>
      </c>
    </row>
    <row r="485">
      <c r="A485" s="53" t="n">
        <v>2021</v>
      </c>
      <c r="B485" s="53" t="n">
        <v>12</v>
      </c>
      <c r="C485" s="71" t="inlineStr">
        <is>
          <t>Ausgaben</t>
        </is>
      </c>
      <c r="D485" t="inlineStr">
        <is>
          <t>sonstige Betriebsausgaben</t>
        </is>
      </c>
      <c r="E485" s="9" t="inlineStr">
        <is>
          <t>R012609412</t>
        </is>
      </c>
      <c r="G485" s="1" t="n">
        <v>44209</v>
      </c>
      <c r="H485" t="inlineStr">
        <is>
          <t>Hetzner Online GmbH</t>
        </is>
      </c>
      <c r="K485">
        <f>(IF(AND(I485&lt;&gt;"",AND(J485="",ABS(Q485)&gt;400)),TRUE,FALSE))</f>
        <v/>
      </c>
      <c r="L485" s="214" t="n">
        <v>46.92</v>
      </c>
      <c r="M485" s="159" t="n">
        <v>1</v>
      </c>
      <c r="N485" t="n">
        <v>0</v>
      </c>
      <c r="O485" s="237">
        <f>L485*N485/100</f>
        <v/>
      </c>
      <c r="P485" s="237">
        <f>M485*O485</f>
        <v/>
      </c>
      <c r="Q485" s="208">
        <f>L485*M485</f>
        <v/>
      </c>
      <c r="R485" s="251">
        <f>L485+O485</f>
        <v/>
      </c>
      <c r="S485" s="251">
        <f>Q485+P485</f>
        <v/>
      </c>
      <c r="T485" s="35">
        <f>voranmeldefrist_vierteljaehrlich(G485)</f>
        <v/>
      </c>
      <c r="U485" s="27" t="n"/>
      <c r="V485" s="27" t="n">
        <v>20</v>
      </c>
      <c r="W485" s="210">
        <f>IF(K485=TRUE,Q485/J485,Q485)</f>
        <v/>
      </c>
      <c r="X485" s="237">
        <f>V485/100*S485</f>
        <v/>
      </c>
      <c r="Y485">
        <f>IF(AND(V485&gt;0,N485=V485),TRUE,FALSE)</f>
        <v/>
      </c>
      <c r="Z485" s="228">
        <f>IF(C485="Einnahmen",Q485,-Q485)</f>
        <v/>
      </c>
    </row>
    <row r="486">
      <c r="A486" s="53" t="n">
        <v>2021</v>
      </c>
      <c r="B486" s="53" t="n">
        <v>13</v>
      </c>
      <c r="C486" s="71" t="inlineStr">
        <is>
          <t>Ausgaben</t>
        </is>
      </c>
      <c r="D486" t="inlineStr">
        <is>
          <t>Werbe- und Repräsentationsaufwand</t>
        </is>
      </c>
      <c r="E486" s="9" t="inlineStr">
        <is>
          <t>415468190</t>
        </is>
      </c>
      <c r="G486" s="1" t="n">
        <v>44214</v>
      </c>
      <c r="H486" t="inlineStr">
        <is>
          <t>Adler Werbegeschenke Vertriebsgessellschaft &amp; Co KG</t>
        </is>
      </c>
      <c r="K486" t="b">
        <v>0</v>
      </c>
      <c r="L486" s="214" t="n">
        <v>95.98999999999999</v>
      </c>
      <c r="M486" s="159" t="n">
        <v>1</v>
      </c>
      <c r="N486" t="n">
        <v>20</v>
      </c>
      <c r="O486" s="237">
        <f>L486*N486/100</f>
        <v/>
      </c>
      <c r="P486" s="237">
        <f>M486*O486</f>
        <v/>
      </c>
      <c r="Q486" s="208">
        <f>L486*M486</f>
        <v/>
      </c>
      <c r="R486" s="251">
        <f>L486+O486</f>
        <v/>
      </c>
      <c r="S486" s="251">
        <f>Q486+P486</f>
        <v/>
      </c>
      <c r="T486" s="35">
        <f>voranmeldefrist_vierteljaehrlich(G486)</f>
        <v/>
      </c>
      <c r="U486" s="27" t="n"/>
      <c r="V486" s="27" t="n"/>
      <c r="W486" s="210">
        <f>IF(K486=TRUE,Q486/J486,Q486)</f>
        <v/>
      </c>
      <c r="X486" s="237">
        <f>V486/100*S486</f>
        <v/>
      </c>
      <c r="Y486">
        <f>IF(AND(V486&gt;0,N486=V486),TRUE,FALSE)</f>
        <v/>
      </c>
      <c r="Z486" s="228">
        <f>IF(C486="Einnahmen",Q486,-Q486)</f>
        <v/>
      </c>
    </row>
    <row r="487">
      <c r="A487" s="53" t="n">
        <v>2021</v>
      </c>
      <c r="B487" s="53" t="n">
        <v>14</v>
      </c>
      <c r="C487" s="71" t="inlineStr">
        <is>
          <t>Ausgaben</t>
        </is>
      </c>
      <c r="D487" t="inlineStr">
        <is>
          <t>Telefon/Internet</t>
        </is>
      </c>
      <c r="E487" s="9" t="inlineStr">
        <is>
          <t>901201021220</t>
        </is>
      </c>
      <c r="F487" s="1" t="n">
        <v>43962</v>
      </c>
      <c r="G487" s="1" t="n">
        <v>44218</v>
      </c>
      <c r="H487" t="inlineStr">
        <is>
          <t>Magenta: T-Mobile Austria GmbH, A-1120 Wien, PF 47</t>
        </is>
      </c>
      <c r="K487">
        <f>(IF(AND(I487&lt;&gt;"",AND(J487="",ABS(Q487)&gt;400)),TRUE,FALSE))</f>
        <v/>
      </c>
      <c r="L487" s="214" t="n">
        <v>35.24</v>
      </c>
      <c r="M487" s="159" t="n">
        <v>1</v>
      </c>
      <c r="N487" t="n">
        <v>20</v>
      </c>
      <c r="O487" s="237">
        <f>L487*N487/100</f>
        <v/>
      </c>
      <c r="P487" s="237">
        <f>M487*O487</f>
        <v/>
      </c>
      <c r="Q487" s="208">
        <f>L487*M487</f>
        <v/>
      </c>
      <c r="R487" s="251">
        <f>L487+O487</f>
        <v/>
      </c>
      <c r="S487" s="251">
        <f>Q487+P487</f>
        <v/>
      </c>
      <c r="T487" s="35">
        <f>voranmeldefrist_vierteljaehrlich(G487)</f>
        <v/>
      </c>
      <c r="U487" s="27" t="n"/>
      <c r="V487" s="27" t="n"/>
      <c r="W487" s="210">
        <f>IF(K487=TRUE,Q487/I487,Q487)</f>
        <v/>
      </c>
      <c r="X487" s="237">
        <f>V487/100*S487</f>
        <v/>
      </c>
      <c r="Y487">
        <f>IF(AND(V487&gt;0,N487=V487),TRUE,FALSE)</f>
        <v/>
      </c>
      <c r="Z487" s="228">
        <f>IF(C487="Einnahmen",Q487,-Q487)</f>
        <v/>
      </c>
    </row>
    <row r="488">
      <c r="A488" s="53" t="n">
        <v>2021</v>
      </c>
      <c r="B488" s="53" t="n">
        <v>15</v>
      </c>
      <c r="C488" s="71" t="inlineStr">
        <is>
          <t>Einnahmen</t>
        </is>
      </c>
      <c r="D488" t="inlineStr">
        <is>
          <t>Waren-/Leistungserlöse</t>
        </is>
      </c>
      <c r="E488" s="9" t="inlineStr">
        <is>
          <t>12021004</t>
        </is>
      </c>
      <c r="G488" s="1" t="n">
        <v>44218</v>
      </c>
      <c r="H488" t="inlineStr">
        <is>
          <t>Schick Küchendesign e.U. Alexander Schick, Linzerstraße 247, 1140 Wien</t>
        </is>
      </c>
      <c r="K488">
        <f>(IF(AND(I488&lt;&gt;"",AND(J488="",ABS(Q488)&gt;400)),TRUE,FALSE))</f>
        <v/>
      </c>
      <c r="L488" s="214" t="n">
        <v>404.25</v>
      </c>
      <c r="M488" s="159" t="n">
        <v>1</v>
      </c>
      <c r="N488" t="n">
        <v>20</v>
      </c>
      <c r="O488" s="237">
        <f>L488*N488/100</f>
        <v/>
      </c>
      <c r="P488" s="237">
        <f>M488*O488</f>
        <v/>
      </c>
      <c r="Q488" s="208">
        <f>L488*M488</f>
        <v/>
      </c>
      <c r="R488" s="251">
        <f>L488+O488</f>
        <v/>
      </c>
      <c r="S488" s="251">
        <f>Q488+P488</f>
        <v/>
      </c>
      <c r="T488" s="35">
        <f>voranmeldefrist_vierteljaehrlich(G488)</f>
        <v/>
      </c>
      <c r="U488" s="27" t="n"/>
      <c r="V488" s="27" t="n"/>
      <c r="W488" s="210">
        <f>IF(K488=TRUE,Q488/J488,Q488)</f>
        <v/>
      </c>
      <c r="X488" s="237">
        <f>V488/100*S488</f>
        <v/>
      </c>
      <c r="Y488">
        <f>IF(AND(V488&gt;0,N488=V488),TRUE,FALSE)</f>
        <v/>
      </c>
      <c r="Z488" s="228">
        <f>IF(C488="Einnahmen",Q488,-Q488)</f>
        <v/>
      </c>
      <c r="AB488">
        <f>L488*1.2=R488</f>
        <v/>
      </c>
      <c r="AC488">
        <f>L488*1.2=S488</f>
        <v/>
      </c>
    </row>
    <row r="489">
      <c r="A489" s="53" t="n">
        <v>2021</v>
      </c>
      <c r="B489" s="53" t="n">
        <v>16</v>
      </c>
      <c r="C489" s="71" t="inlineStr">
        <is>
          <t>Einnahmen</t>
        </is>
      </c>
      <c r="D489" t="inlineStr">
        <is>
          <t>Waren-/Leistungserlöse</t>
        </is>
      </c>
      <c r="E489" s="9" t="inlineStr">
        <is>
          <t>12021008</t>
        </is>
      </c>
      <c r="G489" s="1" t="n">
        <v>44221</v>
      </c>
      <c r="H489" t="inlineStr">
        <is>
          <t>Martin Dürauer e.U., Schreinergasse 7/1, A-3100 St. Pölten</t>
        </is>
      </c>
      <c r="K489" t="b">
        <v>0</v>
      </c>
      <c r="L489" s="214" t="n">
        <v>100</v>
      </c>
      <c r="M489" s="159" t="n">
        <v>1</v>
      </c>
      <c r="N489" t="n">
        <v>20</v>
      </c>
      <c r="O489" s="237">
        <f>L489*N489/100</f>
        <v/>
      </c>
      <c r="P489" s="237">
        <f>M489*O489</f>
        <v/>
      </c>
      <c r="Q489" s="208">
        <f>L489*M489</f>
        <v/>
      </c>
      <c r="R489" s="251">
        <f>L489+O489</f>
        <v/>
      </c>
      <c r="S489" s="251">
        <f>Q489+P489</f>
        <v/>
      </c>
      <c r="T489" s="35">
        <f>voranmeldefrist_vierteljaehrlich(G489)</f>
        <v/>
      </c>
      <c r="U489" s="27" t="n"/>
      <c r="V489" s="27" t="n"/>
      <c r="W489" s="210">
        <f>IF(K489=TRUE,Q489/I489,Q489)</f>
        <v/>
      </c>
      <c r="X489" s="237">
        <f>V489/100*S489</f>
        <v/>
      </c>
      <c r="Y489">
        <f>IF(AND(V489&gt;0,N489=V489),TRUE,FALSE)</f>
        <v/>
      </c>
      <c r="Z489" s="228">
        <f>IF(C489="Einnahmen",Q489,-Q489)</f>
        <v/>
      </c>
      <c r="AB489">
        <f>L489*1.2=R489</f>
        <v/>
      </c>
      <c r="AC489">
        <f>L489*1.2=S489</f>
        <v/>
      </c>
    </row>
    <row r="490">
      <c r="A490" s="53" t="n">
        <v>2021</v>
      </c>
      <c r="B490" s="53" t="n">
        <v>17</v>
      </c>
      <c r="C490" s="71" t="inlineStr">
        <is>
          <t>Ausgaben</t>
        </is>
      </c>
      <c r="D490" t="inlineStr">
        <is>
          <t>sonstige Betriebsausgaben</t>
        </is>
      </c>
      <c r="E490" s="9" t="inlineStr">
        <is>
          <t>RE0939549</t>
        </is>
      </c>
      <c r="G490" s="1" t="n">
        <v>44222</v>
      </c>
      <c r="H490" t="inlineStr">
        <is>
          <t>easyname GmbH, Fernkorngasse 10/3/501, A-1100 Wien</t>
        </is>
      </c>
      <c r="K490">
        <f>(IF(AND(I490&lt;&gt;"",AND(J490="",ABS(Q490)&gt;400)),TRUE,FALSE))</f>
        <v/>
      </c>
      <c r="L490" s="214" t="n">
        <v>19.9</v>
      </c>
      <c r="M490" s="159" t="n">
        <v>1</v>
      </c>
      <c r="N490" t="n">
        <v>20</v>
      </c>
      <c r="O490" s="237">
        <f>L490*N490/100</f>
        <v/>
      </c>
      <c r="P490" s="237">
        <f>M490*O490</f>
        <v/>
      </c>
      <c r="Q490" s="208">
        <f>L490*M490</f>
        <v/>
      </c>
      <c r="R490" s="251">
        <f>L490+O490</f>
        <v/>
      </c>
      <c r="S490" s="251">
        <f>Q490+P490</f>
        <v/>
      </c>
      <c r="T490" s="35">
        <f>voranmeldefrist_vierteljaehrlich(G490)</f>
        <v/>
      </c>
      <c r="U490" s="27" t="n"/>
      <c r="V490" s="27" t="n"/>
      <c r="W490" s="210">
        <f>IF(K490=TRUE,Q490/J490,Q490)</f>
        <v/>
      </c>
      <c r="X490" s="237">
        <f>V490/100*S490</f>
        <v/>
      </c>
      <c r="Y490">
        <f>IF(AND(V490&gt;0,N490=V490),TRUE,FALSE)</f>
        <v/>
      </c>
      <c r="Z490" s="228">
        <f>IF(C490="Einnahmen",Q490,-Q490)</f>
        <v/>
      </c>
    </row>
    <row r="491">
      <c r="A491" s="53" t="n">
        <v>2021</v>
      </c>
      <c r="B491" s="53" t="n">
        <v>18</v>
      </c>
      <c r="C491" s="71" t="inlineStr">
        <is>
          <t>Einnahmen</t>
        </is>
      </c>
      <c r="D491" t="inlineStr">
        <is>
          <t>Waren-/Leistungserlöse</t>
        </is>
      </c>
      <c r="E491" s="9" t="inlineStr">
        <is>
          <t>12021003</t>
        </is>
      </c>
      <c r="G491" s="1" t="n">
        <v>44203</v>
      </c>
      <c r="H491" t="inlineStr">
        <is>
          <t>Musikschule Bad Vöslau, Hauptstraße 14, 2540 Bad Vöslau</t>
        </is>
      </c>
      <c r="K491">
        <f>(IF(AND(I491&lt;&gt;"",AND(J491="",ABS(Q491)&gt;400)),TRUE,FALSE))</f>
        <v/>
      </c>
      <c r="L491" s="214" t="n">
        <v>131.25</v>
      </c>
      <c r="M491" s="159" t="n">
        <v>1</v>
      </c>
      <c r="N491" t="n">
        <v>20</v>
      </c>
      <c r="O491" s="237">
        <f>L491*N491/100</f>
        <v/>
      </c>
      <c r="P491" s="237">
        <f>M491*O491</f>
        <v/>
      </c>
      <c r="Q491" s="208">
        <f>L491*M491</f>
        <v/>
      </c>
      <c r="R491" s="251">
        <f>L491+O491</f>
        <v/>
      </c>
      <c r="S491" s="251">
        <f>Q491+P491</f>
        <v/>
      </c>
      <c r="T491" s="35">
        <f>voranmeldefrist_vierteljaehrlich(G491)</f>
        <v/>
      </c>
      <c r="U491" s="27" t="n"/>
      <c r="V491" s="27" t="n"/>
      <c r="W491" s="210">
        <f>IF(K491=TRUE,Q491/J491,Q491)</f>
        <v/>
      </c>
      <c r="X491" s="237">
        <f>V491/100*S491</f>
        <v/>
      </c>
      <c r="Y491">
        <f>IF(AND(V491&gt;0,N491=V491),TRUE,FALSE)</f>
        <v/>
      </c>
      <c r="Z491" s="228">
        <f>IF(C491="Einnahmen",Q491,-Q491)</f>
        <v/>
      </c>
      <c r="AB491">
        <f>L491*1.2=R491</f>
        <v/>
      </c>
      <c r="AC491">
        <f>L491*1.2=S491</f>
        <v/>
      </c>
    </row>
    <row r="492">
      <c r="A492" s="53" t="n">
        <v>2021</v>
      </c>
      <c r="B492" s="53" t="n">
        <v>19</v>
      </c>
      <c r="C492" s="71" t="inlineStr">
        <is>
          <t>Ausgaben</t>
        </is>
      </c>
      <c r="D492" t="inlineStr">
        <is>
          <t>Waren, Rohstoffe, Hilfsstoffe</t>
        </is>
      </c>
      <c r="E492" s="9" t="inlineStr">
        <is>
          <t>13499319</t>
        </is>
      </c>
      <c r="G492" s="1" t="n">
        <v>44224</v>
      </c>
      <c r="H492" t="inlineStr">
        <is>
          <t>Primus Office Products Handelsgesmbh,&amp; Co. KG, Margaretengürtel 44, 1050 Wien</t>
        </is>
      </c>
      <c r="J492" s="76" t="inlineStr">
        <is>
          <t>ja</t>
        </is>
      </c>
      <c r="K492">
        <f>(IF(AND(I492&lt;&gt;"",AND(J492="",ABS(Q492)&gt;400)),TRUE,FALSE))</f>
        <v/>
      </c>
      <c r="L492" s="214" t="n">
        <v>265.67</v>
      </c>
      <c r="M492" s="159" t="n">
        <v>1</v>
      </c>
      <c r="N492" t="n">
        <v>20</v>
      </c>
      <c r="O492" s="237">
        <f>L492*N492/100</f>
        <v/>
      </c>
      <c r="P492" s="237">
        <f>M492*O492</f>
        <v/>
      </c>
      <c r="Q492" s="208">
        <f>L492*M492</f>
        <v/>
      </c>
      <c r="R492" s="251">
        <f>L492+O492</f>
        <v/>
      </c>
      <c r="S492" s="251">
        <f>Q492+P492</f>
        <v/>
      </c>
      <c r="T492" s="35">
        <f>voranmeldefrist_vierteljaehrlich(G492)</f>
        <v/>
      </c>
      <c r="U492" s="27" t="n"/>
      <c r="V492" s="27" t="n"/>
      <c r="W492" s="210">
        <f>IF(K492=TRUE,Q492/I492,Q492)</f>
        <v/>
      </c>
      <c r="X492" s="237">
        <f>V492/100*S492</f>
        <v/>
      </c>
      <c r="Y492">
        <f>IF(AND(V492&gt;0,N492=V492),TRUE,FALSE)</f>
        <v/>
      </c>
      <c r="Z492" s="228">
        <f>IF(C492="Einnahmen",Q492,-Q492)</f>
        <v/>
      </c>
    </row>
    <row r="493">
      <c r="A493" s="53" t="n">
        <v>2021</v>
      </c>
      <c r="B493" s="53" t="n">
        <v>20</v>
      </c>
      <c r="C493" s="71" t="inlineStr">
        <is>
          <t>Einnahmen</t>
        </is>
      </c>
      <c r="D493" t="inlineStr">
        <is>
          <t>Waren-/Leistungserlöse</t>
        </is>
      </c>
      <c r="E493" s="9" t="inlineStr">
        <is>
          <t>12021006</t>
        </is>
      </c>
      <c r="G493" s="1" t="n">
        <v>44228</v>
      </c>
      <c r="H493" t="inlineStr">
        <is>
          <t>Franz Hauer GmbH + Co KG</t>
        </is>
      </c>
      <c r="K493">
        <f>(IF(AND(I493&lt;&gt;"",AND(J493="",ABS(Q493)&gt;400)),TRUE,FALSE))</f>
        <v/>
      </c>
      <c r="L493" s="214" t="n">
        <v>196.88</v>
      </c>
      <c r="M493" s="159" t="n">
        <v>1</v>
      </c>
      <c r="N493" t="n">
        <v>20</v>
      </c>
      <c r="O493" s="237">
        <f>L493*N493/100</f>
        <v/>
      </c>
      <c r="P493" s="237">
        <f>M493*O493</f>
        <v/>
      </c>
      <c r="Q493" s="208">
        <f>L493*M493</f>
        <v/>
      </c>
      <c r="R493" s="251">
        <f>L493+O493</f>
        <v/>
      </c>
      <c r="S493" s="251">
        <f>Q493+P493</f>
        <v/>
      </c>
      <c r="T493" s="35">
        <f>voranmeldefrist_vierteljaehrlich(G493)</f>
        <v/>
      </c>
      <c r="U493" s="27" t="n"/>
      <c r="V493" s="27" t="n"/>
      <c r="W493" s="210">
        <f>IF(K493=TRUE,Q493/J493,Q493)</f>
        <v/>
      </c>
      <c r="X493" s="237">
        <f>V493/100*S493</f>
        <v/>
      </c>
      <c r="Y493">
        <f>IF(AND(V493&gt;0,N493=V493),TRUE,FALSE)</f>
        <v/>
      </c>
      <c r="Z493" s="228">
        <f>IF(C493="Einnahmen",Q493,-Q493)</f>
        <v/>
      </c>
      <c r="AB493">
        <f>L493*1.2=R493</f>
        <v/>
      </c>
      <c r="AC493">
        <f>L493*1.2=S493</f>
        <v/>
      </c>
    </row>
    <row r="494">
      <c r="A494" s="53" t="n">
        <v>2021</v>
      </c>
      <c r="B494" s="53" t="n">
        <v>21</v>
      </c>
      <c r="C494" s="71" t="inlineStr">
        <is>
          <t>Ausgaben</t>
        </is>
      </c>
      <c r="D494" t="inlineStr">
        <is>
          <t>Miet- und Pachtaufwand, Leasing</t>
        </is>
      </c>
      <c r="E494" s="9" t="inlineStr">
        <is>
          <t>21/9801/VS00038</t>
        </is>
      </c>
      <c r="G494" s="1" t="n">
        <v>44228</v>
      </c>
      <c r="H494" t="inlineStr">
        <is>
          <t>Bontus Immobilienverwaltung GmbH, 1010 Wien, Franz Josefs Kai 65</t>
        </is>
      </c>
      <c r="K494" t="b">
        <v>0</v>
      </c>
      <c r="L494" s="214" t="n">
        <v>462.44</v>
      </c>
      <c r="M494" s="159" t="n">
        <v>1</v>
      </c>
      <c r="N494" t="n">
        <v>20</v>
      </c>
      <c r="O494" s="237">
        <f>L494*N494/100</f>
        <v/>
      </c>
      <c r="P494" s="237">
        <f>M494*O494</f>
        <v/>
      </c>
      <c r="Q494" s="208">
        <f>L494*M494</f>
        <v/>
      </c>
      <c r="R494" s="251">
        <f>L494+O494</f>
        <v/>
      </c>
      <c r="S494" s="251">
        <f>Q494+P494</f>
        <v/>
      </c>
      <c r="T494" s="35">
        <f>voranmeldefrist_vierteljaehrlich(G494)</f>
        <v/>
      </c>
      <c r="U494" s="27" t="n"/>
      <c r="V494" s="27" t="n"/>
      <c r="W494" s="210">
        <f>IF(K494=TRUE,Q494/J494,Q494)</f>
        <v/>
      </c>
      <c r="X494" s="237">
        <f>V494/100*S494</f>
        <v/>
      </c>
      <c r="Y494">
        <f>IF(AND(V494&gt;0,N494=V494),TRUE,FALSE)</f>
        <v/>
      </c>
      <c r="Z494" s="228">
        <f>IF(C494="Einnahmen",Q494,-Q494)</f>
        <v/>
      </c>
    </row>
    <row r="495">
      <c r="A495" s="53" t="n">
        <v>2021</v>
      </c>
      <c r="B495" s="53" t="n">
        <v>22</v>
      </c>
      <c r="C495" s="71" t="inlineStr">
        <is>
          <t>Ausgaben</t>
        </is>
      </c>
      <c r="D495" t="inlineStr">
        <is>
          <t>Reise- und Fahrtspesen inkl. Kilometergeld und Diäten</t>
        </is>
      </c>
      <c r="E495" s="131" t="inlineStr">
        <is>
          <t>4293000000019290</t>
        </is>
      </c>
      <c r="G495" s="1" t="n">
        <v>44229</v>
      </c>
      <c r="H495" t="inlineStr">
        <is>
          <t>car2go Österreich GmbH, Hintere Zollamtstraße 9, 1030 Wien</t>
        </is>
      </c>
      <c r="K495" t="b">
        <v>0</v>
      </c>
      <c r="L495" s="214" t="n">
        <v>34.87</v>
      </c>
      <c r="M495" s="159" t="n">
        <v>1</v>
      </c>
      <c r="N495" t="n">
        <v>20</v>
      </c>
      <c r="O495" s="237">
        <f>L495*N495/100</f>
        <v/>
      </c>
      <c r="P495" s="237">
        <f>M495*O495</f>
        <v/>
      </c>
      <c r="Q495" s="208">
        <f>L495*M495</f>
        <v/>
      </c>
      <c r="R495" s="251">
        <f>L495+O495</f>
        <v/>
      </c>
      <c r="S495" s="251">
        <f>Q495+P495</f>
        <v/>
      </c>
      <c r="T495" s="35">
        <f>voranmeldefrist_vierteljaehrlich(G495)</f>
        <v/>
      </c>
      <c r="U495" s="27" t="n"/>
      <c r="V495" s="27" t="n"/>
      <c r="W495" s="210">
        <f>IF(K495=TRUE,Q495/J495,Q495)</f>
        <v/>
      </c>
      <c r="X495" s="237">
        <f>V495/100*S495</f>
        <v/>
      </c>
      <c r="Y495">
        <f>IF(AND(V495&gt;0,N495=V495),TRUE,FALSE)</f>
        <v/>
      </c>
      <c r="Z495" s="228">
        <f>IF(C495="Einnahmen",Q495,-Q495)</f>
        <v/>
      </c>
    </row>
    <row r="496">
      <c r="A496" s="53" t="n">
        <v>2021</v>
      </c>
      <c r="B496" s="53" t="n">
        <v>23</v>
      </c>
      <c r="C496" s="71" t="inlineStr">
        <is>
          <t>Einnahmen</t>
        </is>
      </c>
      <c r="D496" t="inlineStr">
        <is>
          <t>Waren-/Leistungserlöse</t>
        </is>
      </c>
      <c r="E496" s="9" t="n">
        <v>12020036</v>
      </c>
      <c r="G496" s="1" t="n">
        <v>44229</v>
      </c>
      <c r="H496" t="inlineStr">
        <is>
          <t>DCF - Digital Coding Factory GmbH, Bauernfeldgasse 4/12 1090 Wien</t>
        </is>
      </c>
      <c r="K496">
        <f>(IF(AND(I496&lt;&gt;"",AND(J496="",ABS(Q496)&gt;400)),TRUE,FALSE))</f>
        <v/>
      </c>
      <c r="L496" s="214" t="n">
        <v>8340</v>
      </c>
      <c r="M496" s="159" t="n">
        <v>1</v>
      </c>
      <c r="N496" t="n">
        <v>20</v>
      </c>
      <c r="O496" s="237">
        <f>L496*N496/100</f>
        <v/>
      </c>
      <c r="P496" s="237">
        <f>M496*O496</f>
        <v/>
      </c>
      <c r="Q496" s="208">
        <f>L496*M496</f>
        <v/>
      </c>
      <c r="R496" s="251">
        <f>L496+O496</f>
        <v/>
      </c>
      <c r="S496" s="251">
        <f>Q496+P496</f>
        <v/>
      </c>
      <c r="T496" s="35">
        <f>voranmeldefrist_vierteljaehrlich(G496)</f>
        <v/>
      </c>
      <c r="U496" s="27" t="n"/>
      <c r="V496" s="27" t="n"/>
      <c r="W496" s="210">
        <f>IF(K496=TRUE,Q496/I496,Q496)</f>
        <v/>
      </c>
      <c r="X496" s="237">
        <f>V496/100*S496</f>
        <v/>
      </c>
      <c r="Y496">
        <f>IF(AND(V496&gt;0,N496=V496),TRUE,FALSE)</f>
        <v/>
      </c>
      <c r="Z496" s="228">
        <f>IF(C496="Einnahmen",Q496,-Q496)</f>
        <v/>
      </c>
      <c r="AB496">
        <f>L496*1.2=R496</f>
        <v/>
      </c>
      <c r="AC496">
        <f>L496*1.2=S496</f>
        <v/>
      </c>
    </row>
    <row r="497">
      <c r="A497" s="53" t="n">
        <v>2021</v>
      </c>
      <c r="B497" s="53" t="n">
        <v>24</v>
      </c>
      <c r="C497" s="71" t="inlineStr">
        <is>
          <t>Ausgaben</t>
        </is>
      </c>
      <c r="D497" t="inlineStr">
        <is>
          <t>sonstige Betriebsausgaben</t>
        </is>
      </c>
      <c r="E497" s="9" t="inlineStr">
        <is>
          <t>60793/100/2021</t>
        </is>
      </c>
      <c r="G497" s="1" t="n">
        <v>44204</v>
      </c>
      <c r="H497" t="inlineStr">
        <is>
          <t>easy green energy GmbH &amp; Co KG</t>
        </is>
      </c>
      <c r="K497">
        <f>(IF(AND(I497&lt;&gt;"",AND(J497="",ABS(Q497)&gt;400)),TRUE,FALSE))</f>
        <v/>
      </c>
      <c r="L497" s="214" t="n">
        <v>2.5</v>
      </c>
      <c r="M497" s="159" t="n">
        <v>1</v>
      </c>
      <c r="N497" t="n">
        <v>20</v>
      </c>
      <c r="O497" s="237">
        <f>L497*N497/100</f>
        <v/>
      </c>
      <c r="P497" s="237">
        <f>M497*O497</f>
        <v/>
      </c>
      <c r="Q497" s="208">
        <f>L497*M497</f>
        <v/>
      </c>
      <c r="R497" s="251">
        <f>L497+O497</f>
        <v/>
      </c>
      <c r="S497" s="251" t="n">
        <v>3</v>
      </c>
      <c r="T497" s="35">
        <f>voranmeldefrist_vierteljaehrlich(G497)</f>
        <v/>
      </c>
      <c r="U497" s="27" t="n"/>
      <c r="V497" s="27" t="n"/>
      <c r="W497" s="210">
        <f>IF(K497=TRUE,Q497/J497,Q497)</f>
        <v/>
      </c>
      <c r="X497" s="237">
        <f>V497/100*S497</f>
        <v/>
      </c>
      <c r="Y497">
        <f>IF(AND(V497&gt;0,N497=V497),TRUE,FALSE)</f>
        <v/>
      </c>
      <c r="Z497" s="228">
        <f>IF(C497="Einnahmen",Q497,-Q497)</f>
        <v/>
      </c>
    </row>
    <row r="498">
      <c r="A498" s="53" t="n">
        <v>2021</v>
      </c>
      <c r="B498" s="53" t="n">
        <v>25</v>
      </c>
      <c r="C498" s="71" t="inlineStr">
        <is>
          <t>Ausgaben</t>
        </is>
      </c>
      <c r="D498" t="inlineStr">
        <is>
          <t>Telefon/Internet</t>
        </is>
      </c>
      <c r="E498" s="9" t="inlineStr">
        <is>
          <t>6215644767</t>
        </is>
      </c>
      <c r="G498" s="1" t="n">
        <v>44231</v>
      </c>
      <c r="H498" t="inlineStr">
        <is>
          <t>Hutchison Drei Austria GmbH, Brünner Straße 52, 1210 Wien, Österreich</t>
        </is>
      </c>
      <c r="K498">
        <f>(IF(AND(I498&lt;&gt;"",AND(J498="",ABS(Q498)&gt;400)),TRUE,FALSE))</f>
        <v/>
      </c>
      <c r="L498" s="214" t="n">
        <v>15</v>
      </c>
      <c r="M498" s="159" t="n">
        <v>1</v>
      </c>
      <c r="N498" t="n">
        <v>20</v>
      </c>
      <c r="O498" s="237">
        <f>L498*N498/100</f>
        <v/>
      </c>
      <c r="P498" s="237">
        <f>M498*O498</f>
        <v/>
      </c>
      <c r="Q498" s="208">
        <f>L498*M498</f>
        <v/>
      </c>
      <c r="R498" s="251">
        <f>L498+O498</f>
        <v/>
      </c>
      <c r="S498" s="251">
        <f>Q498+P498</f>
        <v/>
      </c>
      <c r="T498" s="35">
        <f>voranmeldefrist_vierteljaehrlich(G498)</f>
        <v/>
      </c>
      <c r="U498" s="27" t="n"/>
      <c r="V498" s="27" t="n"/>
      <c r="W498" s="210">
        <f>IF(K498=TRUE,Q498/I498,Q498)</f>
        <v/>
      </c>
      <c r="X498" s="237">
        <f>V498/100*S498</f>
        <v/>
      </c>
      <c r="Y498">
        <f>IF(AND(V498&gt;0,N498=V498),TRUE,FALSE)</f>
        <v/>
      </c>
      <c r="Z498" s="228">
        <f>IF(C498="Einnahmen",Q498,-Q498)</f>
        <v/>
      </c>
    </row>
    <row r="499">
      <c r="A499" s="53" t="n">
        <v>2021</v>
      </c>
      <c r="B499" s="53" t="n">
        <v>26</v>
      </c>
      <c r="C499" s="71" t="inlineStr">
        <is>
          <t>Ausgaben</t>
        </is>
      </c>
      <c r="D499" t="inlineStr">
        <is>
          <t>sonstige Betriebsausgaben</t>
        </is>
      </c>
      <c r="E499" s="9" t="inlineStr">
        <is>
          <t>VS/19-01-05428</t>
        </is>
      </c>
      <c r="G499" s="1" t="n">
        <v>44232</v>
      </c>
      <c r="H499" t="inlineStr">
        <is>
          <t>Techem Messtechnik GmbH; Abnehmernummer 501686-0003-11-( (NACHTRAG 25.12.)</t>
        </is>
      </c>
      <c r="K499">
        <f>(IF(AND(I499&lt;&gt;"",AND(J499="",ABS(Q499)&gt;400)),TRUE,FALSE))</f>
        <v/>
      </c>
      <c r="L499" s="214" t="n">
        <v>35</v>
      </c>
      <c r="M499" s="159" t="n">
        <v>1</v>
      </c>
      <c r="N499" t="n">
        <v>20</v>
      </c>
      <c r="O499" s="237">
        <f>L499*N499/100</f>
        <v/>
      </c>
      <c r="P499" s="237">
        <f>M499*O499</f>
        <v/>
      </c>
      <c r="Q499" s="208">
        <f>L499*M499</f>
        <v/>
      </c>
      <c r="R499" s="251">
        <f>L499+O499</f>
        <v/>
      </c>
      <c r="S499" s="251">
        <f>Q499+P499</f>
        <v/>
      </c>
      <c r="T499" s="35">
        <f>voranmeldefrist_vierteljaehrlich(G499)</f>
        <v/>
      </c>
      <c r="U499" s="27" t="n"/>
      <c r="V499" s="27" t="n"/>
      <c r="W499" s="210">
        <f>IF(K499=TRUE,Q499/I499,Q499)</f>
        <v/>
      </c>
      <c r="X499" s="237">
        <f>V499/100*S499</f>
        <v/>
      </c>
      <c r="Y499">
        <f>IF(AND(V499&gt;0,N499=V499),TRUE,FALSE)</f>
        <v/>
      </c>
      <c r="Z499" s="228">
        <f>IF(C499="Einnahmen",Q499,-Q499)</f>
        <v/>
      </c>
    </row>
    <row r="500">
      <c r="A500" s="53" t="n">
        <v>2021</v>
      </c>
      <c r="B500" s="53" t="n">
        <v>27</v>
      </c>
      <c r="C500" s="71" t="inlineStr">
        <is>
          <t>Ausgaben</t>
        </is>
      </c>
      <c r="D500" t="inlineStr">
        <is>
          <t>Lizenzgebühren</t>
        </is>
      </c>
      <c r="E500" s="131" t="n">
        <v>10204</v>
      </c>
      <c r="G500" s="1" t="n">
        <v>44232</v>
      </c>
      <c r="H500" t="inlineStr">
        <is>
          <t>Ryan Cramer Design, LLC, 204 Clarion Ave, Decatur, GA 30030, USA: ProcessWire ProCache Dev License for USD 169,00</t>
        </is>
      </c>
      <c r="K500">
        <f>(IF(AND(I500&lt;&gt;"",AND(J500="",ABS(Q500)&gt;400)),TRUE,FALSE))</f>
        <v/>
      </c>
      <c r="L500" s="214" t="n">
        <v>142.92</v>
      </c>
      <c r="M500" s="159" t="n">
        <v>1</v>
      </c>
      <c r="N500" t="n">
        <v>0</v>
      </c>
      <c r="O500" s="237">
        <f>L500*N500/100</f>
        <v/>
      </c>
      <c r="P500" s="237">
        <f>M500*O500</f>
        <v/>
      </c>
      <c r="Q500" s="208">
        <f>L500*M500</f>
        <v/>
      </c>
      <c r="R500" s="251">
        <f>L500+O500</f>
        <v/>
      </c>
      <c r="S500" s="251">
        <f>Q500+P500</f>
        <v/>
      </c>
      <c r="T500" s="35">
        <f>voranmeldefrist_vierteljaehrlich(G500)</f>
        <v/>
      </c>
      <c r="U500" s="27" t="n"/>
      <c r="V500" s="27" t="n"/>
      <c r="W500" s="210">
        <f>IF(K500=TRUE,Q500/J500,Q500)</f>
        <v/>
      </c>
      <c r="X500" s="237">
        <f>V500/100*S500</f>
        <v/>
      </c>
      <c r="Y500">
        <f>IF(AND(V500&gt;0,N500=V500),TRUE,FALSE)</f>
        <v/>
      </c>
      <c r="Z500" s="228">
        <f>IF(C500="Einnahmen",Q500,-Q500)</f>
        <v/>
      </c>
    </row>
    <row r="501">
      <c r="A501" s="53" t="n">
        <v>2021</v>
      </c>
      <c r="B501" s="53" t="n">
        <v>28</v>
      </c>
      <c r="C501" s="71" t="inlineStr">
        <is>
          <t>Einnahmen</t>
        </is>
      </c>
      <c r="D501" t="inlineStr">
        <is>
          <t>Waren-/Leistungserlöse</t>
        </is>
      </c>
      <c r="E501" s="9" t="inlineStr">
        <is>
          <t>12021002</t>
        </is>
      </c>
      <c r="G501" s="1" t="n">
        <v>44235</v>
      </c>
      <c r="H501" t="inlineStr">
        <is>
          <t>Paperholic all bout paper e.U.</t>
        </is>
      </c>
      <c r="K501" t="b">
        <v>0</v>
      </c>
      <c r="L501" s="214" t="n">
        <v>459.38</v>
      </c>
      <c r="M501" s="159" t="n">
        <v>1</v>
      </c>
      <c r="N501" t="n">
        <v>20</v>
      </c>
      <c r="O501" s="237">
        <f>L501*N501/100</f>
        <v/>
      </c>
      <c r="P501" s="237">
        <f>M501*O501</f>
        <v/>
      </c>
      <c r="Q501" s="208">
        <f>L501*M501</f>
        <v/>
      </c>
      <c r="R501" s="251">
        <f>L501+O501</f>
        <v/>
      </c>
      <c r="S501" s="251">
        <f>Q501+P501</f>
        <v/>
      </c>
      <c r="T501" s="35">
        <f>voranmeldefrist_vierteljaehrlich(G501)</f>
        <v/>
      </c>
      <c r="U501" s="27" t="n"/>
      <c r="V501" s="27" t="n"/>
      <c r="W501" s="210">
        <f>IF(K501=TRUE,Q501/I501,Q501)</f>
        <v/>
      </c>
      <c r="X501" s="237">
        <f>V501/100*S501</f>
        <v/>
      </c>
      <c r="Y501">
        <f>IF(AND(V501&gt;0,N501=V501),TRUE,FALSE)</f>
        <v/>
      </c>
      <c r="Z501" s="228">
        <f>IF(C501="Einnahmen",Q501,-Q501)</f>
        <v/>
      </c>
      <c r="AB501">
        <f>L501*1.2=R501</f>
        <v/>
      </c>
      <c r="AC501">
        <f>L501*1.2=S501</f>
        <v/>
      </c>
    </row>
    <row r="502">
      <c r="A502" s="53" t="n">
        <v>2021</v>
      </c>
      <c r="B502" s="53" t="n">
        <v>29</v>
      </c>
      <c r="C502" s="71" t="inlineStr">
        <is>
          <t>Ausgaben</t>
        </is>
      </c>
      <c r="D502" t="inlineStr">
        <is>
          <t>sonstige Betriebsausgaben</t>
        </is>
      </c>
      <c r="E502" s="9" t="inlineStr">
        <is>
          <t>R0012743958</t>
        </is>
      </c>
      <c r="G502" s="1" t="n">
        <v>44235</v>
      </c>
      <c r="H502" t="inlineStr">
        <is>
          <t>Hetzner Online GmbH</t>
        </is>
      </c>
      <c r="J502" s="76" t="inlineStr">
        <is>
          <t>ja</t>
        </is>
      </c>
      <c r="K502">
        <f>(IF(AND(I502&lt;&gt;"",AND(J502="",ABS(Q502)&gt;400)),TRUE,FALSE))</f>
        <v/>
      </c>
      <c r="L502" s="214" t="n">
        <v>2.49</v>
      </c>
      <c r="M502" s="159" t="n">
        <v>1</v>
      </c>
      <c r="N502" t="n">
        <v>0</v>
      </c>
      <c r="O502" s="237">
        <f>L502*N502/100</f>
        <v/>
      </c>
      <c r="P502" s="237">
        <f>M502*O502</f>
        <v/>
      </c>
      <c r="Q502" s="208">
        <f>L502*M502</f>
        <v/>
      </c>
      <c r="R502" s="251">
        <f>L502+O502</f>
        <v/>
      </c>
      <c r="S502" s="251">
        <f>Q502+P502</f>
        <v/>
      </c>
      <c r="T502" s="35">
        <f>voranmeldefrist_vierteljaehrlich(G502)</f>
        <v/>
      </c>
      <c r="U502" s="27" t="n"/>
      <c r="V502" s="27" t="n">
        <v>20</v>
      </c>
      <c r="W502" s="210">
        <f>IF(K502=TRUE,Q502/J502,Q502)</f>
        <v/>
      </c>
      <c r="X502" s="237">
        <f>V502/100*S502</f>
        <v/>
      </c>
      <c r="Y502">
        <f>IF(AND(V502&gt;0,N502=V502),TRUE,FALSE)</f>
        <v/>
      </c>
      <c r="Z502" s="228">
        <f>IF(C502="Einnahmen",Q502,-Q502)</f>
        <v/>
      </c>
    </row>
    <row r="503">
      <c r="A503" s="53" t="n">
        <v>2021</v>
      </c>
      <c r="B503" s="53" t="n">
        <v>30</v>
      </c>
      <c r="C503" s="71" t="inlineStr">
        <is>
          <t>Ausgaben</t>
        </is>
      </c>
      <c r="D503" t="inlineStr">
        <is>
          <t>sonstige Betriebsausgaben</t>
        </is>
      </c>
      <c r="E503" s="9" t="inlineStr">
        <is>
          <t>5137082649</t>
        </is>
      </c>
      <c r="G503" s="1" t="n">
        <v>44237</v>
      </c>
      <c r="H503" t="inlineStr">
        <is>
          <t>Wiener Netze GmbH, Erdbergstraße 236, 1110 Wien, Postfach 422; Jahresabrechnung vom 17.12.20: GUTSCHRIFT</t>
        </is>
      </c>
      <c r="K503">
        <f>(IF(AND(I503&lt;&gt;"",AND(J503="",ABS(Q503)&gt;400)),TRUE,FALSE))</f>
        <v/>
      </c>
      <c r="L503" s="214" t="n">
        <v>13</v>
      </c>
      <c r="M503" s="159" t="n">
        <v>1</v>
      </c>
      <c r="N503" t="n">
        <v>20</v>
      </c>
      <c r="O503" s="237">
        <f>L503*N503/100</f>
        <v/>
      </c>
      <c r="P503" s="237">
        <f>M503*O503</f>
        <v/>
      </c>
      <c r="Q503" s="208">
        <f>L503*M503</f>
        <v/>
      </c>
      <c r="R503" s="251">
        <f>L503+O503</f>
        <v/>
      </c>
      <c r="S503" s="251">
        <f>Q503+P503</f>
        <v/>
      </c>
      <c r="T503" s="35">
        <f>voranmeldefrist_vierteljaehrlich(G503)</f>
        <v/>
      </c>
      <c r="U503" s="27" t="n"/>
      <c r="V503" s="27" t="n"/>
      <c r="W503" s="210">
        <f>IF(K503=TRUE,Q503/J503,Q503)</f>
        <v/>
      </c>
      <c r="X503" s="237">
        <f>V503/100*S503</f>
        <v/>
      </c>
      <c r="Y503">
        <f>IF(AND(V503&gt;0,N503=V503),TRUE,FALSE)</f>
        <v/>
      </c>
      <c r="Z503" s="228">
        <f>IF(C503="Einnahmen",Q503,-Q503)</f>
        <v/>
      </c>
    </row>
    <row r="504">
      <c r="A504" s="53" t="n">
        <v>2021</v>
      </c>
      <c r="B504" s="53" t="n">
        <v>31</v>
      </c>
      <c r="C504" s="71" t="inlineStr">
        <is>
          <t>Ausgaben</t>
        </is>
      </c>
      <c r="D504" t="inlineStr">
        <is>
          <t>sonstige Betriebsausgaben</t>
        </is>
      </c>
      <c r="E504" s="9" t="inlineStr">
        <is>
          <t>R0012789151</t>
        </is>
      </c>
      <c r="G504" s="1" t="n">
        <v>44238</v>
      </c>
      <c r="H504" t="inlineStr">
        <is>
          <t>Hetzner Online GmbH</t>
        </is>
      </c>
      <c r="K504">
        <f>(IF(AND(I504&lt;&gt;"",AND(J504="",ABS(Q504)&gt;400)),TRUE,FALSE))</f>
        <v/>
      </c>
      <c r="L504" s="214" t="n">
        <v>46.9168</v>
      </c>
      <c r="M504" s="159" t="n">
        <v>1</v>
      </c>
      <c r="N504" t="n">
        <v>0</v>
      </c>
      <c r="O504" s="237">
        <f>L504*N504/100</f>
        <v/>
      </c>
      <c r="P504" s="237">
        <f>M504*O504</f>
        <v/>
      </c>
      <c r="Q504" s="208">
        <f>L504*M504</f>
        <v/>
      </c>
      <c r="R504" s="251">
        <f>L504+O504</f>
        <v/>
      </c>
      <c r="S504" s="251">
        <f>Q504+P504</f>
        <v/>
      </c>
      <c r="T504" s="35">
        <f>voranmeldefrist_vierteljaehrlich(G504)</f>
        <v/>
      </c>
      <c r="U504" s="27" t="n"/>
      <c r="V504" s="27" t="n">
        <v>20</v>
      </c>
      <c r="W504" s="210">
        <f>IF(K504=TRUE,Q504/J504,Q504)</f>
        <v/>
      </c>
      <c r="X504" s="237">
        <f>V504/100*S504</f>
        <v/>
      </c>
      <c r="Y504">
        <f>IF(AND(V504&gt;0,N504=V504),TRUE,FALSE)</f>
        <v/>
      </c>
      <c r="Z504" s="228">
        <f>IF(C504="Einnahmen",Q504,-Q504)</f>
        <v/>
      </c>
    </row>
    <row r="505">
      <c r="A505" s="53" t="n">
        <v>2021</v>
      </c>
      <c r="B505" s="53" t="n">
        <v>32</v>
      </c>
      <c r="C505" s="71" t="inlineStr">
        <is>
          <t>Ausgaben</t>
        </is>
      </c>
      <c r="D505" t="inlineStr">
        <is>
          <t>sonstige Betriebsausgaben</t>
        </is>
      </c>
      <c r="E505" s="9" t="inlineStr">
        <is>
          <t>60793/100/2021</t>
        </is>
      </c>
      <c r="G505" s="1" t="n">
        <v>44242</v>
      </c>
      <c r="H505" t="inlineStr">
        <is>
          <t>easy green energy GmbH &amp; Co KG</t>
        </is>
      </c>
      <c r="K505">
        <f>(IF(AND(I505&lt;&gt;"",AND(J505="",ABS(Q505)&gt;400)),TRUE,FALSE))</f>
        <v/>
      </c>
      <c r="L505" s="214" t="n">
        <v>-10.33</v>
      </c>
      <c r="M505" s="159" t="n">
        <v>1</v>
      </c>
      <c r="N505" t="n">
        <v>20</v>
      </c>
      <c r="O505" s="237">
        <f>L505*N505/100</f>
        <v/>
      </c>
      <c r="P505" s="237">
        <f>M505*O505</f>
        <v/>
      </c>
      <c r="Q505" s="208">
        <f>L505*M505</f>
        <v/>
      </c>
      <c r="R505" s="251">
        <f>L505+O505</f>
        <v/>
      </c>
      <c r="S505" s="251">
        <f>Q505+P505</f>
        <v/>
      </c>
      <c r="T505" s="35">
        <f>voranmeldefrist_vierteljaehrlich(G505)</f>
        <v/>
      </c>
      <c r="U505" s="27" t="n"/>
      <c r="V505" s="27" t="n"/>
      <c r="W505" s="210">
        <f>IF(K505=TRUE,Q505/J505,Q505)</f>
        <v/>
      </c>
      <c r="X505" s="237">
        <f>V505/100*S505</f>
        <v/>
      </c>
      <c r="Y505">
        <f>IF(AND(V505&gt;0,N505=V505),TRUE,FALSE)</f>
        <v/>
      </c>
      <c r="Z505" s="228">
        <f>IF(C505="Einnahmen",Q505,-Q505)</f>
        <v/>
      </c>
    </row>
    <row r="506">
      <c r="A506" s="53" t="n">
        <v>2021</v>
      </c>
      <c r="B506" s="53" t="n">
        <v>33</v>
      </c>
      <c r="C506" s="71" t="inlineStr">
        <is>
          <t>Ausgaben</t>
        </is>
      </c>
      <c r="D506" t="inlineStr">
        <is>
          <t>sonstige Betriebsausgaben</t>
        </is>
      </c>
      <c r="E506" s="9" t="inlineStr">
        <is>
          <t>EIN21/0001210</t>
        </is>
      </c>
      <c r="F506" s="1" t="n">
        <v>43962</v>
      </c>
      <c r="G506" s="1" t="n">
        <v>44244</v>
      </c>
      <c r="H506" t="inlineStr">
        <is>
          <t>A-Trust Gesellschaft für Sicherheitssysteme im elektronischen Datenverkehr GmbH, Landstraßer Hauptstraße 1b, E02, A-1030 Wien: a.sign light Zertifikat Nutzung 1J, Signaturvertrag 158279472050</t>
        </is>
      </c>
      <c r="K506">
        <f>(IF(AND(I506&lt;&gt;"",AND(J506="",ABS(Q506)&gt;400)),TRUE,FALSE))</f>
        <v/>
      </c>
      <c r="L506" s="214" t="n">
        <v>12.08</v>
      </c>
      <c r="M506" s="159" t="n">
        <v>1</v>
      </c>
      <c r="N506" t="n">
        <v>20</v>
      </c>
      <c r="O506" s="237">
        <f>L506*N506/100</f>
        <v/>
      </c>
      <c r="P506" s="237">
        <f>M506*O506</f>
        <v/>
      </c>
      <c r="Q506" s="208">
        <f>L506*M506</f>
        <v/>
      </c>
      <c r="R506" s="251">
        <f>L506+O506</f>
        <v/>
      </c>
      <c r="S506" s="251">
        <f>Q506+P506</f>
        <v/>
      </c>
      <c r="T506" s="35">
        <f>voranmeldefrist_vierteljaehrlich(G506)</f>
        <v/>
      </c>
      <c r="U506" s="27" t="n"/>
      <c r="V506" s="27" t="n"/>
      <c r="W506" s="210">
        <f>IF(K506=TRUE,Q506/I506,Q506)</f>
        <v/>
      </c>
      <c r="X506" s="237">
        <f>V506/100*S506</f>
        <v/>
      </c>
      <c r="Y506">
        <f>IF(AND(V506&gt;0,N506=V506),TRUE,FALSE)</f>
        <v/>
      </c>
      <c r="Z506" s="228">
        <f>IF(C506="Einnahmen",Q506,-Q506)</f>
        <v/>
      </c>
    </row>
    <row r="507">
      <c r="A507" s="53" t="n">
        <v>2021</v>
      </c>
      <c r="B507" s="53" t="n">
        <v>34</v>
      </c>
      <c r="C507" s="71" t="inlineStr">
        <is>
          <t>Ausgaben</t>
        </is>
      </c>
      <c r="D507" t="inlineStr">
        <is>
          <t>Telefon/Internet</t>
        </is>
      </c>
      <c r="E507" s="9" t="inlineStr">
        <is>
          <t>901195220221</t>
        </is>
      </c>
      <c r="F507" s="1" t="n">
        <v>43962</v>
      </c>
      <c r="G507" s="1" t="n">
        <v>44246</v>
      </c>
      <c r="H507" t="inlineStr">
        <is>
          <t>Magenta: T-Mobile Austria GmbH, A-1120 Wien, PF 47</t>
        </is>
      </c>
      <c r="K507">
        <f>(IF(AND(I507&lt;&gt;"",AND(J507="",ABS(Q507)&gt;400)),TRUE,FALSE))</f>
        <v/>
      </c>
      <c r="L507" s="214" t="n">
        <v>10.71</v>
      </c>
      <c r="M507" s="159" t="n">
        <v>1</v>
      </c>
      <c r="N507" t="n">
        <v>20</v>
      </c>
      <c r="O507" s="237">
        <f>L507*N507/100</f>
        <v/>
      </c>
      <c r="P507" s="237">
        <f>M507*O507</f>
        <v/>
      </c>
      <c r="Q507" s="208">
        <f>L507*M507</f>
        <v/>
      </c>
      <c r="R507" s="251">
        <f>L507+O507</f>
        <v/>
      </c>
      <c r="S507" s="251">
        <f>Q507+P507</f>
        <v/>
      </c>
      <c r="T507" s="35">
        <f>voranmeldefrist_vierteljaehrlich(G507)</f>
        <v/>
      </c>
      <c r="U507" s="27" t="n"/>
      <c r="V507" s="27" t="n"/>
      <c r="W507" s="210">
        <f>IF(K507=TRUE,Q507/I507,Q507)</f>
        <v/>
      </c>
      <c r="X507" s="237">
        <f>V507/100*S507</f>
        <v/>
      </c>
      <c r="Y507">
        <f>IF(AND(V507&gt;0,N507=V507),TRUE,FALSE)</f>
        <v/>
      </c>
      <c r="Z507" s="228">
        <f>IF(C507="Einnahmen",Q507,-Q507)</f>
        <v/>
      </c>
    </row>
    <row r="508">
      <c r="A508" s="53" t="n">
        <v>2021</v>
      </c>
      <c r="B508" s="53" t="n">
        <v>35</v>
      </c>
      <c r="C508" s="71" t="inlineStr">
        <is>
          <t>Ausgaben</t>
        </is>
      </c>
      <c r="D508" t="inlineStr">
        <is>
          <t>Miet- und Pachtaufwand, Leasing</t>
        </is>
      </c>
      <c r="E508" s="9" t="inlineStr">
        <is>
          <t>21/9801/VS00039</t>
        </is>
      </c>
      <c r="G508" s="1" t="n">
        <v>44256</v>
      </c>
      <c r="H508" t="inlineStr">
        <is>
          <t>Bontus Immobilienverwaltung GmbH, 1010 Wien, Franz Josefs Kai 65</t>
        </is>
      </c>
      <c r="K508" t="b">
        <v>0</v>
      </c>
      <c r="L508" s="214" t="n">
        <v>462.44</v>
      </c>
      <c r="M508" s="159" t="n">
        <v>1</v>
      </c>
      <c r="N508" t="n">
        <v>20</v>
      </c>
      <c r="O508" s="237">
        <f>L508*N508/100</f>
        <v/>
      </c>
      <c r="P508" s="237">
        <f>M508*O508</f>
        <v/>
      </c>
      <c r="Q508" s="208">
        <f>L508*M508</f>
        <v/>
      </c>
      <c r="R508" s="251">
        <f>L508+O508</f>
        <v/>
      </c>
      <c r="S508" s="251">
        <f>Q508+P508</f>
        <v/>
      </c>
      <c r="T508" s="35">
        <f>voranmeldefrist_vierteljaehrlich(G508)</f>
        <v/>
      </c>
      <c r="U508" s="27" t="n"/>
      <c r="V508" s="27" t="n"/>
      <c r="W508" s="210">
        <f>IF(K508=TRUE,Q508/J508,Q508)</f>
        <v/>
      </c>
      <c r="X508" s="237">
        <f>V508/100*S508</f>
        <v/>
      </c>
      <c r="Y508">
        <f>IF(AND(V508&gt;0,N508=V508),TRUE,FALSE)</f>
        <v/>
      </c>
      <c r="Z508" s="228">
        <f>IF(C508="Einnahmen",Q508,-Q508)</f>
        <v/>
      </c>
    </row>
    <row r="509">
      <c r="A509" s="53" t="n">
        <v>2021</v>
      </c>
      <c r="B509" s="53" t="n">
        <v>36</v>
      </c>
      <c r="C509" s="71" t="inlineStr">
        <is>
          <t>Ausgaben</t>
        </is>
      </c>
      <c r="D509" t="inlineStr">
        <is>
          <t>Reise- und Fahrtspesen inkl. Kilometergeld und Diäten</t>
        </is>
      </c>
      <c r="E509" s="9" t="inlineStr">
        <is>
          <t>223168</t>
        </is>
      </c>
      <c r="G509" s="1" t="n">
        <v>44257</v>
      </c>
      <c r="H509" t="inlineStr">
        <is>
          <t>Wiener Linien GmbH &amp; Co KG: 8-Tage-Klimakarte</t>
        </is>
      </c>
      <c r="K509" t="b">
        <v>0</v>
      </c>
      <c r="L509" s="214">
        <f>40.8/1.1</f>
        <v/>
      </c>
      <c r="M509" s="159" t="n">
        <v>1</v>
      </c>
      <c r="N509" t="n">
        <v>10</v>
      </c>
      <c r="O509" s="237">
        <f>L509*N509/100</f>
        <v/>
      </c>
      <c r="P509" s="237">
        <f>M509*O509</f>
        <v/>
      </c>
      <c r="Q509" s="208">
        <f>L509*M509</f>
        <v/>
      </c>
      <c r="R509" s="251">
        <f>L509+O509</f>
        <v/>
      </c>
      <c r="S509" s="251">
        <f>Q509+P509</f>
        <v/>
      </c>
      <c r="T509" s="35">
        <f>voranmeldefrist_vierteljaehrlich(G509)</f>
        <v/>
      </c>
      <c r="U509" s="27" t="n"/>
      <c r="V509" s="27" t="n"/>
      <c r="W509" s="210">
        <f>IF(K509=TRUE,Q509/I509,Q509)</f>
        <v/>
      </c>
      <c r="X509" s="237">
        <f>V509/100*S509</f>
        <v/>
      </c>
      <c r="Y509">
        <f>IF(AND(V509&gt;0,N509=V509),TRUE,FALSE)</f>
        <v/>
      </c>
      <c r="Z509" s="228">
        <f>IF(C509="Einnahmen",Q509,-Q509)</f>
        <v/>
      </c>
    </row>
    <row r="510">
      <c r="A510" s="53" t="n">
        <v>2021</v>
      </c>
      <c r="B510" s="53" t="n">
        <v>37</v>
      </c>
      <c r="C510" s="71" t="inlineStr">
        <is>
          <t>Ausgaben</t>
        </is>
      </c>
      <c r="D510" t="inlineStr">
        <is>
          <t>Reise- und Fahrtspesen inkl. Kilometergeld und Diäten</t>
        </is>
      </c>
      <c r="E510" s="9" t="inlineStr">
        <is>
          <t>223166</t>
        </is>
      </c>
      <c r="G510" s="1" t="n">
        <v>44257</v>
      </c>
      <c r="H510" t="inlineStr">
        <is>
          <t>Wiener Linien GmbH &amp; Co KG: 8-Tage-Klimakarte</t>
        </is>
      </c>
      <c r="K510" t="b">
        <v>0</v>
      </c>
      <c r="L510" s="214">
        <f>2.4/1.1</f>
        <v/>
      </c>
      <c r="M510" s="159" t="n">
        <v>1</v>
      </c>
      <c r="N510" t="n">
        <v>10</v>
      </c>
      <c r="O510" s="237">
        <f>L510*N510/100</f>
        <v/>
      </c>
      <c r="P510" s="237">
        <f>M510*O510</f>
        <v/>
      </c>
      <c r="Q510" s="208">
        <f>L510*M510</f>
        <v/>
      </c>
      <c r="R510" s="251">
        <f>L510+O510</f>
        <v/>
      </c>
      <c r="S510" s="251">
        <f>Q510+P510</f>
        <v/>
      </c>
      <c r="T510" s="35">
        <f>voranmeldefrist_vierteljaehrlich(G510)</f>
        <v/>
      </c>
      <c r="U510" s="27" t="n"/>
      <c r="V510" s="27" t="n"/>
      <c r="W510" s="210">
        <f>IF(K510=TRUE,Q510/I510,Q510)</f>
        <v/>
      </c>
      <c r="X510" s="237">
        <f>V510/100*S510</f>
        <v/>
      </c>
      <c r="Y510">
        <f>IF(AND(V510&gt;0,N510=V510),TRUE,FALSE)</f>
        <v/>
      </c>
      <c r="Z510" s="228">
        <f>IF(C510="Einnahmen",Q510,-Q510)</f>
        <v/>
      </c>
    </row>
    <row r="511">
      <c r="A511" s="53" t="n">
        <v>2021</v>
      </c>
      <c r="B511" s="53" t="n">
        <v>38</v>
      </c>
      <c r="C511" s="71" t="inlineStr">
        <is>
          <t>Ausgaben</t>
        </is>
      </c>
      <c r="D511" t="inlineStr">
        <is>
          <t>Reise- und Fahrtspesen inkl. Kilometergeld und Diäten</t>
        </is>
      </c>
      <c r="E511" s="131" t="inlineStr">
        <is>
          <t>4293000000019830</t>
        </is>
      </c>
      <c r="G511" s="1" t="n">
        <v>44257</v>
      </c>
      <c r="H511" t="inlineStr">
        <is>
          <t>car2go Österreich GmbH, Hintere Zollamtstraße 9, 1030 Wien</t>
        </is>
      </c>
      <c r="K511" t="b">
        <v>0</v>
      </c>
      <c r="L511" s="214" t="n">
        <v>49.19</v>
      </c>
      <c r="M511" s="159" t="n">
        <v>1</v>
      </c>
      <c r="N511" t="n">
        <v>20</v>
      </c>
      <c r="O511" s="237">
        <f>L511*N511/100</f>
        <v/>
      </c>
      <c r="P511" s="237">
        <f>M511*O511</f>
        <v/>
      </c>
      <c r="Q511" s="208">
        <f>L511*M511</f>
        <v/>
      </c>
      <c r="R511" s="251">
        <f>L511+O511</f>
        <v/>
      </c>
      <c r="S511" s="251">
        <f>Q511+P511</f>
        <v/>
      </c>
      <c r="T511" s="35">
        <f>voranmeldefrist_vierteljaehrlich(G511)</f>
        <v/>
      </c>
      <c r="U511" s="27" t="n"/>
      <c r="V511" s="27" t="n"/>
      <c r="W511" s="210">
        <f>IF(K511=TRUE,Q511/J511,Q511)</f>
        <v/>
      </c>
      <c r="X511" s="237">
        <f>V511/100*S511</f>
        <v/>
      </c>
      <c r="Y511">
        <f>IF(AND(V511&gt;0,N511=V511),TRUE,FALSE)</f>
        <v/>
      </c>
      <c r="Z511" s="228">
        <f>IF(C511="Einnahmen",Q511,-Q511)</f>
        <v/>
      </c>
    </row>
    <row r="512">
      <c r="A512" s="53" t="n">
        <v>2021</v>
      </c>
      <c r="B512" s="53" t="n">
        <v>39</v>
      </c>
      <c r="C512" s="71" t="inlineStr">
        <is>
          <t>Ausgaben</t>
        </is>
      </c>
      <c r="D512" t="inlineStr">
        <is>
          <t>sonstige Betriebsausgaben</t>
        </is>
      </c>
      <c r="E512" s="9" t="inlineStr">
        <is>
          <t>60793/100/2021</t>
        </is>
      </c>
      <c r="G512" s="1" t="n">
        <v>44258</v>
      </c>
      <c r="H512" t="inlineStr">
        <is>
          <t>easy green energy GmbH &amp; Co KG</t>
        </is>
      </c>
      <c r="K512">
        <f>(IF(AND(I512&lt;&gt;"",AND(J512="",ABS(Q512)&gt;400)),TRUE,FALSE))</f>
        <v/>
      </c>
      <c r="L512" s="214">
        <f>3/1.2</f>
        <v/>
      </c>
      <c r="M512" s="159" t="n">
        <v>1</v>
      </c>
      <c r="N512" t="n">
        <v>20</v>
      </c>
      <c r="O512" s="237">
        <f>L512*N512/100</f>
        <v/>
      </c>
      <c r="P512" s="237">
        <f>M512*O512</f>
        <v/>
      </c>
      <c r="Q512" s="208">
        <f>L512*M512</f>
        <v/>
      </c>
      <c r="R512" s="251">
        <f>L512+O512</f>
        <v/>
      </c>
      <c r="S512" s="251" t="n">
        <v>3</v>
      </c>
      <c r="T512" s="35">
        <f>voranmeldefrist_vierteljaehrlich(G512)</f>
        <v/>
      </c>
      <c r="U512" s="27" t="n"/>
      <c r="V512" s="27" t="n"/>
      <c r="W512" s="210">
        <f>IF(K512=TRUE,Q512/J512,Q512)</f>
        <v/>
      </c>
      <c r="X512" s="237">
        <f>V512/100*S512</f>
        <v/>
      </c>
      <c r="Y512">
        <f>IF(AND(V512&gt;0,N512=V512),TRUE,FALSE)</f>
        <v/>
      </c>
      <c r="Z512" s="228">
        <f>IF(C512="Einnahmen",Q512,-Q512)</f>
        <v/>
      </c>
    </row>
    <row r="513">
      <c r="A513" s="53" t="n">
        <v>2021</v>
      </c>
      <c r="B513" s="53" t="n">
        <v>40</v>
      </c>
      <c r="C513" s="71" t="inlineStr">
        <is>
          <t>Ausgaben</t>
        </is>
      </c>
      <c r="D513" t="inlineStr">
        <is>
          <t>sonstige Betriebsausgaben</t>
        </is>
      </c>
      <c r="E513" s="131" t="inlineStr">
        <is>
          <t>211001871465</t>
        </is>
      </c>
      <c r="G513" s="1" t="n">
        <v>44258</v>
      </c>
      <c r="H513" t="inlineStr">
        <is>
          <t>Wirtschaftskammer Wien Grundumlagen, Straße der Wiener Wirtschaft 1, 1020 Wien: GU UBIT</t>
        </is>
      </c>
      <c r="K513" t="b">
        <v>0</v>
      </c>
      <c r="L513" s="214" t="n">
        <v>65</v>
      </c>
      <c r="M513" s="159" t="n">
        <v>1</v>
      </c>
      <c r="N513" t="n">
        <v>0</v>
      </c>
      <c r="O513" s="237">
        <f>L513*N513/100</f>
        <v/>
      </c>
      <c r="P513" s="237">
        <f>M513*O513</f>
        <v/>
      </c>
      <c r="Q513" s="208">
        <f>L513*M513</f>
        <v/>
      </c>
      <c r="R513" s="251">
        <f>L513+O513</f>
        <v/>
      </c>
      <c r="S513" s="251">
        <f>Q513+P513</f>
        <v/>
      </c>
      <c r="T513" s="35">
        <f>voranmeldefrist_vierteljaehrlich(G513)</f>
        <v/>
      </c>
      <c r="U513" s="27" t="n"/>
      <c r="V513" s="27" t="n"/>
      <c r="W513" s="210">
        <f>IF(K513=TRUE,Q513/I513,Q513)</f>
        <v/>
      </c>
      <c r="X513" s="237">
        <f>V513/100*S513</f>
        <v/>
      </c>
      <c r="Y513">
        <f>IF(AND(V513&gt;0,N513=V513),TRUE,FALSE)</f>
        <v/>
      </c>
      <c r="Z513" s="228">
        <f>IF(C513="Einnahmen",Q513,-Q513)</f>
        <v/>
      </c>
    </row>
    <row r="514">
      <c r="A514" s="53" t="n">
        <v>2021</v>
      </c>
      <c r="B514" s="53" t="n">
        <v>41</v>
      </c>
      <c r="C514" s="71" t="inlineStr">
        <is>
          <t>Ausgaben</t>
        </is>
      </c>
      <c r="D514" t="inlineStr">
        <is>
          <t>Werbe- und Repräsentationsaufwand</t>
        </is>
      </c>
      <c r="E514" s="9" t="inlineStr">
        <is>
          <t>PRM321020004603</t>
        </is>
      </c>
      <c r="G514" s="1" t="n">
        <v>44258</v>
      </c>
      <c r="H514" t="inlineStr">
        <is>
          <t>New Work SE, Dammtorstraße 30, 20354 Hamburg</t>
        </is>
      </c>
      <c r="K514">
        <f>(IF(AND(I514&lt;&gt;"",AND(J514="",ABS(Q514)&gt;400)),TRUE,FALSE))</f>
        <v/>
      </c>
      <c r="L514" s="214" t="n">
        <v>24.88</v>
      </c>
      <c r="M514" s="159" t="n">
        <v>1</v>
      </c>
      <c r="N514" t="n">
        <v>0</v>
      </c>
      <c r="O514" s="237">
        <f>L514*N514/100</f>
        <v/>
      </c>
      <c r="P514" s="237">
        <f>M514*O514</f>
        <v/>
      </c>
      <c r="Q514" s="208">
        <f>L514*M514</f>
        <v/>
      </c>
      <c r="R514" s="251">
        <f>L514+O514</f>
        <v/>
      </c>
      <c r="S514" s="251">
        <f>Q514+P514</f>
        <v/>
      </c>
      <c r="T514" s="35">
        <f>voranmeldefrist_vierteljaehrlich(G514)</f>
        <v/>
      </c>
      <c r="U514" s="27" t="n"/>
      <c r="V514" s="27" t="n">
        <v>20</v>
      </c>
      <c r="W514" s="210">
        <f>IF(K514=TRUE,Q514/I514,Q514)</f>
        <v/>
      </c>
      <c r="X514" s="237">
        <f>V514/100*S514</f>
        <v/>
      </c>
      <c r="Y514">
        <f>IF(AND(V514&gt;0,N514=V514),TRUE,FALSE)</f>
        <v/>
      </c>
      <c r="Z514" s="228">
        <f>IF(C514="Einnahmen",Q514,-Q514)</f>
        <v/>
      </c>
    </row>
    <row r="515">
      <c r="A515" s="53" t="n">
        <v>2021</v>
      </c>
      <c r="B515" s="53" t="n">
        <v>42</v>
      </c>
      <c r="C515" s="71" t="inlineStr">
        <is>
          <t>Ausgaben</t>
        </is>
      </c>
      <c r="D515" t="inlineStr">
        <is>
          <t>Telefon/Internet</t>
        </is>
      </c>
      <c r="E515" s="9" t="inlineStr">
        <is>
          <t>6217432904</t>
        </is>
      </c>
      <c r="G515" s="1" t="n">
        <v>44259</v>
      </c>
      <c r="H515" t="inlineStr">
        <is>
          <t>Hutchison Drei Austria GmbH, Brünner Straße 52, 1210 Wien, Österreich</t>
        </is>
      </c>
      <c r="K515">
        <f>(IF(AND(I515&lt;&gt;"",AND(J515="",ABS(Q515)&gt;400)),TRUE,FALSE))</f>
        <v/>
      </c>
      <c r="L515" s="214" t="n">
        <v>15</v>
      </c>
      <c r="M515" s="159" t="n">
        <v>1</v>
      </c>
      <c r="N515" t="n">
        <v>20</v>
      </c>
      <c r="O515" s="237">
        <f>L515*N515/100</f>
        <v/>
      </c>
      <c r="P515" s="237">
        <f>M515*O515</f>
        <v/>
      </c>
      <c r="Q515" s="208">
        <f>L515*M515</f>
        <v/>
      </c>
      <c r="R515" s="251">
        <f>L515+O515</f>
        <v/>
      </c>
      <c r="S515" s="251">
        <f>Q515+P515</f>
        <v/>
      </c>
      <c r="T515" s="35">
        <f>voranmeldefrist_vierteljaehrlich(G515)</f>
        <v/>
      </c>
      <c r="U515" s="27" t="n"/>
      <c r="V515" s="27" t="n"/>
      <c r="W515" s="210">
        <f>IF(K515=TRUE,Q515/I515,Q515)</f>
        <v/>
      </c>
      <c r="X515" s="237">
        <f>V515/100*S515</f>
        <v/>
      </c>
      <c r="Y515">
        <f>IF(AND(V515&gt;0,N515=V515),TRUE,FALSE)</f>
        <v/>
      </c>
      <c r="Z515" s="228">
        <f>IF(C515="Einnahmen",Q515,-Q515)</f>
        <v/>
      </c>
    </row>
    <row r="516">
      <c r="A516" s="53" t="n">
        <v>2021</v>
      </c>
      <c r="B516" s="53" t="n">
        <v>43</v>
      </c>
      <c r="C516" s="71" t="inlineStr">
        <is>
          <t>Ausgaben</t>
        </is>
      </c>
      <c r="D516" t="inlineStr">
        <is>
          <t>sonstige Betriebsausgaben</t>
        </is>
      </c>
      <c r="E516" s="9" t="inlineStr">
        <is>
          <t>VS/19-01-05428</t>
        </is>
      </c>
      <c r="G516" s="1" t="n">
        <v>44260</v>
      </c>
      <c r="H516" t="inlineStr">
        <is>
          <t>Techem Messtechnik GmbH; Abnehmernummer 501686-0003-11-( (NACHTRAG 25.12.)</t>
        </is>
      </c>
      <c r="K516">
        <f>(IF(AND(I516&lt;&gt;"",AND(J516="",ABS(Q516)&gt;400)),TRUE,FALSE))</f>
        <v/>
      </c>
      <c r="L516" s="214" t="n">
        <v>35</v>
      </c>
      <c r="M516" s="159" t="n">
        <v>1</v>
      </c>
      <c r="N516" t="n">
        <v>20</v>
      </c>
      <c r="O516" s="237">
        <f>L516*N516/100</f>
        <v/>
      </c>
      <c r="P516" s="237">
        <f>M516*O516</f>
        <v/>
      </c>
      <c r="Q516" s="208">
        <f>L516*M516</f>
        <v/>
      </c>
      <c r="R516" s="251">
        <f>L516+O516</f>
        <v/>
      </c>
      <c r="S516" s="251">
        <f>Q516+P516</f>
        <v/>
      </c>
      <c r="T516" s="35">
        <f>voranmeldefrist_vierteljaehrlich(G516)</f>
        <v/>
      </c>
      <c r="U516" s="27" t="n"/>
      <c r="V516" s="27" t="n"/>
      <c r="W516" s="210">
        <f>IF(K516=TRUE,Q516/I516,Q516)</f>
        <v/>
      </c>
      <c r="X516" s="237">
        <f>V516/100*S516</f>
        <v/>
      </c>
      <c r="Y516">
        <f>IF(AND(V516&gt;0,N516=V516),TRUE,FALSE)</f>
        <v/>
      </c>
      <c r="Z516" s="228">
        <f>IF(C516="Einnahmen",Q516,-Q516)</f>
        <v/>
      </c>
    </row>
    <row r="517">
      <c r="A517" s="53" t="n">
        <v>2021</v>
      </c>
      <c r="B517" s="53" t="n">
        <v>44</v>
      </c>
      <c r="C517" s="71" t="inlineStr">
        <is>
          <t>Ausgaben</t>
        </is>
      </c>
      <c r="D517" t="inlineStr">
        <is>
          <t>sonstige Betriebsausgaben</t>
        </is>
      </c>
      <c r="E517" s="9" t="inlineStr">
        <is>
          <t>R0012925195</t>
        </is>
      </c>
      <c r="G517" s="1" t="n">
        <v>44263</v>
      </c>
      <c r="H517" t="inlineStr">
        <is>
          <t>Hetzner Online GmbH</t>
        </is>
      </c>
      <c r="J517" s="76" t="inlineStr">
        <is>
          <t>ja</t>
        </is>
      </c>
      <c r="K517">
        <f>(IF(AND(I517&lt;&gt;"",AND(J517="",ABS(Q517)&gt;400)),TRUE,FALSE))</f>
        <v/>
      </c>
      <c r="L517" s="214" t="n">
        <v>2.49</v>
      </c>
      <c r="M517" s="159" t="n">
        <v>1</v>
      </c>
      <c r="N517" t="n">
        <v>0</v>
      </c>
      <c r="O517" s="237">
        <f>L517*N517/100</f>
        <v/>
      </c>
      <c r="P517" s="237">
        <f>M517*O517</f>
        <v/>
      </c>
      <c r="Q517" s="208">
        <f>L517*M517</f>
        <v/>
      </c>
      <c r="R517" s="251">
        <f>L517+O517</f>
        <v/>
      </c>
      <c r="S517" s="251">
        <f>Q517+P517</f>
        <v/>
      </c>
      <c r="T517" s="35">
        <f>voranmeldefrist_vierteljaehrlich(G517)</f>
        <v/>
      </c>
      <c r="U517" s="27" t="n"/>
      <c r="V517" s="27" t="n">
        <v>20</v>
      </c>
      <c r="W517" s="210">
        <f>IF(K517=TRUE,Q517/J517,Q517)</f>
        <v/>
      </c>
      <c r="X517" s="237">
        <f>V517/100*S517</f>
        <v/>
      </c>
      <c r="Y517">
        <f>IF(AND(V517&gt;0,N517=V517),TRUE,FALSE)</f>
        <v/>
      </c>
      <c r="Z517" s="228">
        <f>IF(C517="Einnahmen",Q517,-Q517)</f>
        <v/>
      </c>
    </row>
    <row r="518">
      <c r="A518" s="53" t="n">
        <v>2021</v>
      </c>
      <c r="B518" s="53" t="n">
        <v>45</v>
      </c>
      <c r="C518" s="71" t="inlineStr">
        <is>
          <t>Ausgaben</t>
        </is>
      </c>
      <c r="D518" t="inlineStr">
        <is>
          <t>sonstige Betriebsausgaben</t>
        </is>
      </c>
      <c r="E518" s="9" t="inlineStr">
        <is>
          <t>5137082649</t>
        </is>
      </c>
      <c r="G518" s="1" t="n">
        <v>44265</v>
      </c>
      <c r="H518" t="inlineStr">
        <is>
          <t>Wiener Netze GmbH, Erdbergstraße 236, 1110 Wien, Postfach 422; Jahresabrechnung vom 17.12.20: GUTSCHRIFT</t>
        </is>
      </c>
      <c r="K518">
        <f>(IF(AND(I518&lt;&gt;"",AND(J518="",ABS(Q518)&gt;400)),TRUE,FALSE))</f>
        <v/>
      </c>
      <c r="L518" s="214" t="n">
        <v>13</v>
      </c>
      <c r="M518" s="159" t="n">
        <v>1</v>
      </c>
      <c r="N518" t="n">
        <v>20</v>
      </c>
      <c r="O518" s="237">
        <f>L518*N518/100</f>
        <v/>
      </c>
      <c r="P518" s="237">
        <f>M518*O518</f>
        <v/>
      </c>
      <c r="Q518" s="208">
        <f>L518*M518</f>
        <v/>
      </c>
      <c r="R518" s="251">
        <f>L518+O518</f>
        <v/>
      </c>
      <c r="S518" s="251">
        <f>Q518+P518</f>
        <v/>
      </c>
      <c r="T518" s="35">
        <f>voranmeldefrist_vierteljaehrlich(G518)</f>
        <v/>
      </c>
      <c r="U518" s="27" t="n"/>
      <c r="V518" s="27" t="n"/>
      <c r="W518" s="210">
        <f>IF(K518=TRUE,Q518/J518,Q518)</f>
        <v/>
      </c>
      <c r="X518" s="237">
        <f>V518/100*S518</f>
        <v/>
      </c>
      <c r="Y518">
        <f>IF(AND(V518&gt;0,N518=V518),TRUE,FALSE)</f>
        <v/>
      </c>
      <c r="Z518" s="228">
        <f>IF(C518="Einnahmen",Q518,-Q518)</f>
        <v/>
      </c>
    </row>
    <row r="519">
      <c r="A519" s="53" t="n">
        <v>2021</v>
      </c>
      <c r="B519" s="53" t="n">
        <v>46</v>
      </c>
      <c r="C519" s="71" t="inlineStr">
        <is>
          <t>Ausgaben</t>
        </is>
      </c>
      <c r="D519" t="inlineStr">
        <is>
          <t>sonstige Betriebsausgaben</t>
        </is>
      </c>
      <c r="E519" s="9" t="inlineStr">
        <is>
          <t>R0012972046</t>
        </is>
      </c>
      <c r="G519" s="1" t="n">
        <v>44266</v>
      </c>
      <c r="H519" t="inlineStr">
        <is>
          <t>Hetzner Online GmbH</t>
        </is>
      </c>
      <c r="K519">
        <f>(IF(AND(I519&lt;&gt;"",AND(J519="",ABS(Q519)&gt;400)),TRUE,FALSE))</f>
        <v/>
      </c>
      <c r="L519" s="214" t="n">
        <v>46.9168</v>
      </c>
      <c r="M519" s="159" t="n">
        <v>1</v>
      </c>
      <c r="N519" t="n">
        <v>0</v>
      </c>
      <c r="O519" s="237">
        <f>L519*N519/100</f>
        <v/>
      </c>
      <c r="P519" s="237">
        <f>M519*O519</f>
        <v/>
      </c>
      <c r="Q519" s="208">
        <f>L519*M519</f>
        <v/>
      </c>
      <c r="R519" s="251">
        <f>L519+O519</f>
        <v/>
      </c>
      <c r="S519" s="251">
        <f>Q519+P519</f>
        <v/>
      </c>
      <c r="T519" s="35">
        <f>voranmeldefrist_vierteljaehrlich(G519)</f>
        <v/>
      </c>
      <c r="U519" s="27" t="n"/>
      <c r="V519" s="27" t="n">
        <v>20</v>
      </c>
      <c r="W519" s="210">
        <f>IF(K519=TRUE,Q519/J519,Q519)</f>
        <v/>
      </c>
      <c r="X519" s="237">
        <f>V519/100*S519</f>
        <v/>
      </c>
      <c r="Y519">
        <f>IF(AND(V519&gt;0,N519=V519),TRUE,FALSE)</f>
        <v/>
      </c>
      <c r="Z519" s="228">
        <f>IF(C519="Einnahmen",Q519,-Q519)</f>
        <v/>
      </c>
    </row>
    <row r="520">
      <c r="A520" s="53" t="n">
        <v>2021</v>
      </c>
      <c r="B520" s="53" t="n">
        <v>47</v>
      </c>
      <c r="C520" s="71" t="inlineStr">
        <is>
          <t>Ausgaben</t>
        </is>
      </c>
      <c r="D520" t="inlineStr">
        <is>
          <t>Waren, Rohstoffe, Hilfsstoffe</t>
        </is>
      </c>
      <c r="E520" s="9" t="inlineStr">
        <is>
          <t>831938</t>
        </is>
      </c>
      <c r="G520" s="1" t="n">
        <v>44272</v>
      </c>
      <c r="H520" t="inlineStr">
        <is>
          <t>Lemon Technologies GmbH, Unterweißenbach 181, 7330 Feldbach: Bildschirm</t>
        </is>
      </c>
      <c r="J520" s="76" t="inlineStr">
        <is>
          <t>ja</t>
        </is>
      </c>
      <c r="K520">
        <f>(IF(AND(I520&lt;&gt;"",AND(J520="",ABS(Q520)&gt;400)),TRUE,FALSE))</f>
        <v/>
      </c>
      <c r="L520" s="214" t="n">
        <v>532.5599999999999</v>
      </c>
      <c r="M520" s="159" t="n">
        <v>1</v>
      </c>
      <c r="N520" t="n">
        <v>20</v>
      </c>
      <c r="O520" s="237">
        <f>L520*N520/100</f>
        <v/>
      </c>
      <c r="P520" s="237">
        <f>M520*O520</f>
        <v/>
      </c>
      <c r="Q520" s="208">
        <f>L520*M520</f>
        <v/>
      </c>
      <c r="R520" s="251">
        <f>L520+O520</f>
        <v/>
      </c>
      <c r="S520" s="251">
        <f>Q520+P520</f>
        <v/>
      </c>
      <c r="T520" s="35">
        <f>voranmeldefrist_vierteljaehrlich(G520)</f>
        <v/>
      </c>
      <c r="U520" s="27" t="n"/>
      <c r="V520" s="27" t="n"/>
      <c r="W520" s="210">
        <f>IF(K520=TRUE,Q520/I520,Q520)</f>
        <v/>
      </c>
      <c r="X520" s="237">
        <f>V520/100*S520</f>
        <v/>
      </c>
      <c r="Y520">
        <f>IF(AND(V520&gt;0,N520=V520),TRUE,FALSE)</f>
        <v/>
      </c>
      <c r="Z520" s="228">
        <f>IF(C520="Einnahmen",Q520,-Q520)</f>
        <v/>
      </c>
    </row>
    <row r="521">
      <c r="A521" s="53" t="n">
        <v>2021</v>
      </c>
      <c r="B521" s="53" t="n">
        <v>48</v>
      </c>
      <c r="C521" s="71" t="inlineStr">
        <is>
          <t>Ausgaben</t>
        </is>
      </c>
      <c r="D521" t="inlineStr">
        <is>
          <t>Telefon/Internet</t>
        </is>
      </c>
      <c r="E521" s="9" t="inlineStr">
        <is>
          <t>901197380321</t>
        </is>
      </c>
      <c r="F521" s="1" t="n">
        <v>43962</v>
      </c>
      <c r="G521" s="1" t="n">
        <v>44274</v>
      </c>
      <c r="H521" t="inlineStr">
        <is>
          <t>Magenta: T-Mobile Austria GmbH, A-1120 Wien, PF 47</t>
        </is>
      </c>
      <c r="K521">
        <f>(IF(AND(I521&lt;&gt;"",AND(J521="",ABS(Q521)&gt;400)),TRUE,FALSE))</f>
        <v/>
      </c>
      <c r="L521" s="214" t="n">
        <v>31.92</v>
      </c>
      <c r="M521" s="159" t="n">
        <v>1</v>
      </c>
      <c r="N521" t="n">
        <v>20</v>
      </c>
      <c r="O521" s="237">
        <f>L521*N521/100</f>
        <v/>
      </c>
      <c r="P521" s="237">
        <f>M521*O521</f>
        <v/>
      </c>
      <c r="Q521" s="208">
        <f>L521*M521</f>
        <v/>
      </c>
      <c r="R521" s="251">
        <f>L521+O521</f>
        <v/>
      </c>
      <c r="S521" s="251">
        <f>Q521+P521</f>
        <v/>
      </c>
      <c r="T521" s="35">
        <f>voranmeldefrist_vierteljaehrlich(G521)</f>
        <v/>
      </c>
      <c r="U521" s="27" t="n"/>
      <c r="V521" s="27" t="n"/>
      <c r="W521" s="210">
        <f>IF(K521=TRUE,Q521/I521,Q521)</f>
        <v/>
      </c>
      <c r="X521" s="237">
        <f>V521/100*S521</f>
        <v/>
      </c>
      <c r="Y521">
        <f>IF(AND(V521&gt;0,N521=V521),TRUE,FALSE)</f>
        <v/>
      </c>
      <c r="Z521" s="228">
        <f>IF(C521="Einnahmen",Q521,-Q521)</f>
        <v/>
      </c>
    </row>
    <row r="522">
      <c r="A522" s="53" t="n">
        <v>2021</v>
      </c>
      <c r="B522" s="53" t="n">
        <v>49</v>
      </c>
      <c r="C522" s="71" t="inlineStr">
        <is>
          <t>Ausgaben</t>
        </is>
      </c>
      <c r="D522" t="inlineStr">
        <is>
          <t>sonstige Betriebsausgaben</t>
        </is>
      </c>
      <c r="E522" s="9" t="inlineStr">
        <is>
          <t>RE0964139</t>
        </is>
      </c>
      <c r="G522" s="1" t="n">
        <v>44279</v>
      </c>
      <c r="H522" t="inlineStr">
        <is>
          <t>easyname GmbH, Fernkorngasse 10/3/501, A-1100 Wien</t>
        </is>
      </c>
      <c r="K522">
        <f>(IF(AND(I522&lt;&gt;"",AND(J522="",ABS(Q522)&gt;400)),TRUE,FALSE))</f>
        <v/>
      </c>
      <c r="L522" s="214" t="n">
        <v>12.42</v>
      </c>
      <c r="M522" s="159" t="n">
        <v>1</v>
      </c>
      <c r="N522" t="n">
        <v>20</v>
      </c>
      <c r="O522" s="237">
        <f>L522*N522/100</f>
        <v/>
      </c>
      <c r="P522" s="237">
        <f>M522*O522</f>
        <v/>
      </c>
      <c r="Q522" s="208">
        <f>L522*M522</f>
        <v/>
      </c>
      <c r="R522" s="251">
        <f>L522+O522</f>
        <v/>
      </c>
      <c r="S522" s="251">
        <f>Q522+P522</f>
        <v/>
      </c>
      <c r="T522" s="35">
        <f>voranmeldefrist_vierteljaehrlich(G522)</f>
        <v/>
      </c>
      <c r="U522" s="27" t="n"/>
      <c r="V522" s="27" t="n"/>
      <c r="W522" s="210">
        <f>IF(K522=TRUE,Q522/J522,Q522)</f>
        <v/>
      </c>
      <c r="X522" s="237">
        <f>V522/100*S522</f>
        <v/>
      </c>
      <c r="Y522">
        <f>IF(AND(V522&gt;0,N522=V522),TRUE,FALSE)</f>
        <v/>
      </c>
      <c r="Z522" s="228">
        <f>IF(C522="Einnahmen",Q522,-Q522)</f>
        <v/>
      </c>
    </row>
    <row r="523">
      <c r="A523" s="53" t="n">
        <v>2021</v>
      </c>
      <c r="B523" s="53" t="n">
        <v>50</v>
      </c>
      <c r="C523" s="71" t="inlineStr">
        <is>
          <t>Ausgaben</t>
        </is>
      </c>
      <c r="D523" t="inlineStr">
        <is>
          <t>Telefon/Internet</t>
        </is>
      </c>
      <c r="E523" s="9" t="inlineStr">
        <is>
          <t>Kontoauszug 01.03.21-31.03.21</t>
        </is>
      </c>
      <c r="G523" s="1" t="n">
        <v>44285</v>
      </c>
      <c r="H523" t="inlineStr">
        <is>
          <t>HoT Telekom und Service GmbH</t>
        </is>
      </c>
      <c r="K523">
        <f>(IF(AND(I523&lt;&gt;"",AND(J523="",ABS(Q523)&gt;400)),TRUE,FALSE))</f>
        <v/>
      </c>
      <c r="L523" s="214">
        <f>5.9*2/1.2</f>
        <v/>
      </c>
      <c r="M523" s="159" t="n">
        <v>1</v>
      </c>
      <c r="N523" t="n">
        <v>20</v>
      </c>
      <c r="O523" s="237">
        <f>L523*N523/100</f>
        <v/>
      </c>
      <c r="P523" s="237">
        <f>M523*O523</f>
        <v/>
      </c>
      <c r="Q523" s="208">
        <f>L523*M523</f>
        <v/>
      </c>
      <c r="R523" s="251">
        <f>L523+O523</f>
        <v/>
      </c>
      <c r="S523" s="251">
        <f>Q523+P523</f>
        <v/>
      </c>
      <c r="T523" s="35">
        <f>voranmeldefrist_vierteljaehrlich(G523)</f>
        <v/>
      </c>
      <c r="U523" s="27" t="n"/>
      <c r="V523" s="27" t="n"/>
      <c r="W523" s="210">
        <f>IF(K523=TRUE,Q523/J523,Q523)</f>
        <v/>
      </c>
      <c r="X523" s="237">
        <f>V523/100*S523</f>
        <v/>
      </c>
      <c r="Y523">
        <f>IF(AND(V523&gt;0,N523=V523),TRUE,FALSE)</f>
        <v/>
      </c>
      <c r="Z523" s="228">
        <f>IF(C523="Einnahmen",Q523,-Q523)</f>
        <v/>
      </c>
    </row>
    <row r="524">
      <c r="A524" s="53" t="n">
        <v>2021</v>
      </c>
      <c r="B524" s="53" t="n">
        <v>51</v>
      </c>
      <c r="C524" s="71" t="inlineStr">
        <is>
          <t>Ausgaben</t>
        </is>
      </c>
      <c r="D524" t="inlineStr">
        <is>
          <t>Miet- und Pachtaufwand, Leasing</t>
        </is>
      </c>
      <c r="E524" s="9" t="inlineStr">
        <is>
          <t>21/9801/VS00040</t>
        </is>
      </c>
      <c r="G524" s="1" t="n">
        <v>44287</v>
      </c>
      <c r="H524" t="inlineStr">
        <is>
          <t>Bontus Immobilienverwaltung GmbH, 1010 Wien, Franz Josefs Kai 65</t>
        </is>
      </c>
      <c r="K524" t="b">
        <v>0</v>
      </c>
      <c r="L524" s="214" t="n">
        <v>462.44</v>
      </c>
      <c r="M524" s="159" t="n">
        <v>1</v>
      </c>
      <c r="N524" t="n">
        <v>20</v>
      </c>
      <c r="O524" s="237">
        <f>L524*N524/100</f>
        <v/>
      </c>
      <c r="P524" s="237">
        <f>M524*O524</f>
        <v/>
      </c>
      <c r="Q524" s="208">
        <f>L524*M524</f>
        <v/>
      </c>
      <c r="R524" s="251">
        <f>L524+O524</f>
        <v/>
      </c>
      <c r="S524" s="251">
        <f>Q524+P524</f>
        <v/>
      </c>
      <c r="T524" s="35">
        <f>voranmeldefrist_vierteljaehrlich(G524)</f>
        <v/>
      </c>
      <c r="U524" s="27" t="n"/>
      <c r="V524" s="27" t="n"/>
      <c r="W524" s="210">
        <f>IF(K524=TRUE,Q524/J524,Q524)</f>
        <v/>
      </c>
      <c r="X524" s="237">
        <f>V524/100*S524</f>
        <v/>
      </c>
      <c r="Y524">
        <f>IF(AND(V524&gt;0,N524=V524),TRUE,FALSE)</f>
        <v/>
      </c>
      <c r="Z524" s="228">
        <f>IF(C524="Einnahmen",Q524,-Q524)</f>
        <v/>
      </c>
    </row>
    <row r="525">
      <c r="A525" s="53" t="n">
        <v>2021</v>
      </c>
      <c r="B525" s="53" t="n">
        <v>52</v>
      </c>
      <c r="C525" s="71" t="inlineStr">
        <is>
          <t>Einnahmen</t>
        </is>
      </c>
      <c r="D525" t="inlineStr">
        <is>
          <t>Waren-/Leistungserlöse</t>
        </is>
      </c>
      <c r="E525" s="9" t="inlineStr">
        <is>
          <t>12021013</t>
        </is>
      </c>
      <c r="G525" s="1" t="n">
        <v>44287</v>
      </c>
      <c r="H525" t="inlineStr">
        <is>
          <t>Kolbitsch Engineering &amp; Consulting KNr 45</t>
        </is>
      </c>
      <c r="K525" t="b">
        <v>0</v>
      </c>
      <c r="L525" s="214" t="n">
        <v>801</v>
      </c>
      <c r="M525" s="159" t="n">
        <v>1</v>
      </c>
      <c r="N525" t="n">
        <v>20</v>
      </c>
      <c r="O525" s="237">
        <f>L525*N525/100</f>
        <v/>
      </c>
      <c r="P525" s="237">
        <f>M525*O525</f>
        <v/>
      </c>
      <c r="Q525" s="208">
        <f>L525*M525</f>
        <v/>
      </c>
      <c r="R525" s="251">
        <f>L525+O525</f>
        <v/>
      </c>
      <c r="S525" s="251">
        <f>Q525+P525</f>
        <v/>
      </c>
      <c r="T525" s="35">
        <f>voranmeldefrist_vierteljaehrlich(G525)</f>
        <v/>
      </c>
      <c r="U525" s="27" t="n"/>
      <c r="V525" s="27" t="n"/>
      <c r="W525" s="210">
        <f>IF(K525=TRUE,Q525/J525,Q525)</f>
        <v/>
      </c>
      <c r="X525" s="237">
        <f>V525/100*S525</f>
        <v/>
      </c>
      <c r="Y525">
        <f>IF(AND(V525&gt;0,N525=V525),TRUE,FALSE)</f>
        <v/>
      </c>
      <c r="Z525" s="228">
        <f>IF(C525="Einnahmen",Q525,-Q525)</f>
        <v/>
      </c>
      <c r="AB525">
        <f>L525*1.2=R525</f>
        <v/>
      </c>
      <c r="AC525">
        <f>L525*1.2=S525</f>
        <v/>
      </c>
    </row>
    <row r="526">
      <c r="A526" s="53" t="n">
        <v>2021</v>
      </c>
      <c r="B526" s="53" t="n">
        <v>53</v>
      </c>
      <c r="C526" s="71" t="inlineStr">
        <is>
          <t>Einnahmen</t>
        </is>
      </c>
      <c r="D526" t="inlineStr">
        <is>
          <t>Waren-/Leistungserlöse</t>
        </is>
      </c>
      <c r="E526" s="9" t="inlineStr">
        <is>
          <t>12021009</t>
        </is>
      </c>
      <c r="G526" s="1" t="n">
        <v>44287</v>
      </c>
      <c r="H526" t="inlineStr">
        <is>
          <t>ZT DI Dr. Arno Kolbitsch, Gütleweg 1, 6822 Satteins</t>
        </is>
      </c>
      <c r="K526">
        <f>(IF(AND(I526&lt;&gt;"",AND(J526="",ABS(Q526)&gt;400)),TRUE,FALSE))</f>
        <v/>
      </c>
      <c r="L526" s="214" t="n">
        <v>8140.37</v>
      </c>
      <c r="M526" s="159" t="n">
        <v>1</v>
      </c>
      <c r="N526" t="n">
        <v>20</v>
      </c>
      <c r="O526" s="237">
        <f>L526*N526/100</f>
        <v/>
      </c>
      <c r="P526" s="237">
        <f>M526*O526</f>
        <v/>
      </c>
      <c r="Q526" s="208">
        <f>L526*M526</f>
        <v/>
      </c>
      <c r="R526" s="251">
        <f>L526+O526</f>
        <v/>
      </c>
      <c r="S526" s="251">
        <f>Q526+P526</f>
        <v/>
      </c>
      <c r="T526" s="35">
        <f>voranmeldefrist_vierteljaehrlich(G526)</f>
        <v/>
      </c>
      <c r="U526" s="27" t="n"/>
      <c r="V526" s="27" t="n"/>
      <c r="W526" s="210">
        <f>IF(K526=TRUE,Q526/I526,Q526)</f>
        <v/>
      </c>
      <c r="X526" s="237">
        <f>V526/100*S526</f>
        <v/>
      </c>
      <c r="Y526">
        <f>IF(AND(V526&gt;0,N526=V526),TRUE,FALSE)</f>
        <v/>
      </c>
      <c r="Z526" s="228">
        <f>IF(C526="Einnahmen",Q526,-Q526)</f>
        <v/>
      </c>
      <c r="AB526">
        <f>L526*1.2=R526</f>
        <v/>
      </c>
      <c r="AC526">
        <f>L526*1.2=S526</f>
        <v/>
      </c>
    </row>
    <row r="527">
      <c r="A527" s="53" t="n">
        <v>2021</v>
      </c>
      <c r="B527" s="53" t="n">
        <v>54</v>
      </c>
      <c r="C527" s="71" t="inlineStr">
        <is>
          <t>Ausgaben</t>
        </is>
      </c>
      <c r="D527" t="inlineStr">
        <is>
          <t>Lizenzgebühren</t>
        </is>
      </c>
      <c r="E527" s="9" t="inlineStr">
        <is>
          <t>R00640873</t>
        </is>
      </c>
      <c r="G527" s="1" t="n">
        <v>44292</v>
      </c>
      <c r="H527" t="inlineStr">
        <is>
          <t>TeamViewer Germany GmbH, Jahnstr. 30, 73037 Göppingen, Deutschland</t>
        </is>
      </c>
      <c r="K527">
        <f>(IF(AND(I527&lt;&gt;"",AND(J527="",ABS(Q527)&gt;400)),TRUE,FALSE))</f>
        <v/>
      </c>
      <c r="L527" s="214" t="n">
        <v>334.8</v>
      </c>
      <c r="M527" s="159" t="n">
        <v>1</v>
      </c>
      <c r="N527" t="n">
        <v>0</v>
      </c>
      <c r="O527" s="237">
        <f>L527*N527/100</f>
        <v/>
      </c>
      <c r="P527" s="237">
        <f>M527*O527</f>
        <v/>
      </c>
      <c r="Q527" s="208">
        <f>L527*M527</f>
        <v/>
      </c>
      <c r="R527" s="251">
        <f>L527+O527</f>
        <v/>
      </c>
      <c r="S527" s="251">
        <f>Q527+P527</f>
        <v/>
      </c>
      <c r="T527" s="35">
        <f>voranmeldefrist_vierteljaehrlich(G527)</f>
        <v/>
      </c>
      <c r="U527" s="27" t="n"/>
      <c r="V527" s="27" t="n">
        <v>20</v>
      </c>
      <c r="W527" s="210">
        <f>IF(K527=TRUE,Q527/I527,Q527)</f>
        <v/>
      </c>
      <c r="X527" s="237">
        <f>V527/100*S527</f>
        <v/>
      </c>
      <c r="Y527">
        <f>IF(AND(V527&gt;0,N527=V527),TRUE,FALSE)</f>
        <v/>
      </c>
      <c r="Z527" s="228">
        <f>IF(C527="Einnahmen",Q527,-Q527)</f>
        <v/>
      </c>
    </row>
    <row r="528">
      <c r="A528" s="53" t="n">
        <v>2021</v>
      </c>
      <c r="B528" s="53" t="n">
        <v>55</v>
      </c>
      <c r="C528" s="71" t="inlineStr">
        <is>
          <t>Ausgaben</t>
        </is>
      </c>
      <c r="D528" t="inlineStr">
        <is>
          <t>Telefon/Internet</t>
        </is>
      </c>
      <c r="E528" s="9" t="n">
        <v>6219245070</v>
      </c>
      <c r="G528" s="1" t="n">
        <v>44292</v>
      </c>
      <c r="H528" t="inlineStr">
        <is>
          <t>Hutchison Drei Austria GmbH, Brünner Straße 52, 1210 Wien, Österreich</t>
        </is>
      </c>
      <c r="K528">
        <f>(IF(AND(I528&lt;&gt;"",AND(J528="",ABS(Q528)&gt;400)),TRUE,FALSE))</f>
        <v/>
      </c>
      <c r="L528" s="214" t="n">
        <v>15</v>
      </c>
      <c r="M528" s="159" t="n">
        <v>1</v>
      </c>
      <c r="N528" t="n">
        <v>20</v>
      </c>
      <c r="O528" s="237">
        <f>L528*N528/100</f>
        <v/>
      </c>
      <c r="P528" s="237">
        <f>M528*O528</f>
        <v/>
      </c>
      <c r="Q528" s="208">
        <f>L528*M528</f>
        <v/>
      </c>
      <c r="R528" s="251">
        <f>L528+O528</f>
        <v/>
      </c>
      <c r="S528" s="251">
        <f>Q528+P528</f>
        <v/>
      </c>
      <c r="T528" s="35">
        <f>voranmeldefrist_vierteljaehrlich(G528)</f>
        <v/>
      </c>
      <c r="U528" s="27" t="n"/>
      <c r="V528" s="27" t="n"/>
      <c r="W528" s="210">
        <f>IF(K528=TRUE,Q528/I528,Q528)</f>
        <v/>
      </c>
      <c r="X528" s="237">
        <f>V528/100*S528</f>
        <v/>
      </c>
      <c r="Y528">
        <f>IF(AND(V528&gt;0,N528=V528),TRUE,FALSE)</f>
        <v/>
      </c>
      <c r="Z528" s="228">
        <f>IF(C528="Einnahmen",Q528,-Q528)</f>
        <v/>
      </c>
    </row>
    <row r="529">
      <c r="A529" s="53" t="n">
        <v>2021</v>
      </c>
      <c r="B529" s="53" t="n">
        <v>56</v>
      </c>
      <c r="C529" s="71" t="inlineStr">
        <is>
          <t>Ausgaben</t>
        </is>
      </c>
      <c r="D529" t="inlineStr">
        <is>
          <t>Reise- und Fahrtspesen inkl. Kilometergeld und Diäten</t>
        </is>
      </c>
      <c r="E529" s="131" t="inlineStr">
        <is>
          <t>4293000000020110</t>
        </is>
      </c>
      <c r="G529" s="1" t="n">
        <v>44292</v>
      </c>
      <c r="H529" t="inlineStr">
        <is>
          <t>car2go Österreich GmbH, Hintere Zollamtstraße 9, 1030 Wien</t>
        </is>
      </c>
      <c r="K529" t="b">
        <v>0</v>
      </c>
      <c r="L529" s="214" t="n">
        <v>46.12</v>
      </c>
      <c r="M529" s="159" t="n">
        <v>1</v>
      </c>
      <c r="N529" t="n">
        <v>20</v>
      </c>
      <c r="O529" s="237">
        <f>L529*N529/100</f>
        <v/>
      </c>
      <c r="P529" s="237">
        <f>M529*O529</f>
        <v/>
      </c>
      <c r="Q529" s="208">
        <f>L529*M529</f>
        <v/>
      </c>
      <c r="R529" s="251">
        <f>L529+O529</f>
        <v/>
      </c>
      <c r="S529" s="251">
        <f>Q529+P529</f>
        <v/>
      </c>
      <c r="T529" s="35">
        <f>voranmeldefrist_vierteljaehrlich(G529)</f>
        <v/>
      </c>
      <c r="U529" s="27" t="n"/>
      <c r="V529" s="27" t="n"/>
      <c r="W529" s="210">
        <f>IF(K529=TRUE,Q529/J529,Q529)</f>
        <v/>
      </c>
      <c r="X529" s="237">
        <f>V529/100*S529</f>
        <v/>
      </c>
      <c r="Y529">
        <f>IF(AND(V529&gt;0,N529=V529),TRUE,FALSE)</f>
        <v/>
      </c>
      <c r="Z529" s="228">
        <f>IF(C529="Einnahmen",Q529,-Q529)</f>
        <v/>
      </c>
    </row>
    <row r="530">
      <c r="A530" s="53" t="n">
        <v>2021</v>
      </c>
      <c r="B530" s="53" t="n">
        <v>57</v>
      </c>
      <c r="C530" s="71" t="inlineStr">
        <is>
          <t>Ausgaben</t>
        </is>
      </c>
      <c r="D530" t="inlineStr">
        <is>
          <t>sonstige Betriebsausgaben</t>
        </is>
      </c>
      <c r="E530" s="9" t="inlineStr">
        <is>
          <t>60793/100/2021</t>
        </is>
      </c>
      <c r="G530" s="1" t="n">
        <v>44293</v>
      </c>
      <c r="H530" t="inlineStr">
        <is>
          <t>easy green energy GmbH &amp; Co KG</t>
        </is>
      </c>
      <c r="K530">
        <f>(IF(AND(I530&lt;&gt;"",AND(J530="",ABS(Q530)&gt;400)),TRUE,FALSE))</f>
        <v/>
      </c>
      <c r="L530" s="214" t="n">
        <v>2.5</v>
      </c>
      <c r="M530" s="159" t="n">
        <v>1</v>
      </c>
      <c r="N530" t="n">
        <v>20</v>
      </c>
      <c r="O530" s="237">
        <f>L530*N530/100</f>
        <v/>
      </c>
      <c r="P530" s="237">
        <f>M530*O530</f>
        <v/>
      </c>
      <c r="Q530" s="208">
        <f>L530*M530</f>
        <v/>
      </c>
      <c r="R530" s="251">
        <f>L530+O530</f>
        <v/>
      </c>
      <c r="S530" s="251" t="n">
        <v>3</v>
      </c>
      <c r="T530" s="35">
        <f>voranmeldefrist_vierteljaehrlich(G530)</f>
        <v/>
      </c>
      <c r="U530" s="27" t="n"/>
      <c r="V530" s="27" t="n"/>
      <c r="W530" s="210">
        <f>IF(K530=TRUE,Q530/J530,Q530)</f>
        <v/>
      </c>
      <c r="X530" s="237">
        <f>V530/100*S530</f>
        <v/>
      </c>
      <c r="Y530">
        <f>IF(AND(V530&gt;0,N530=V530),TRUE,FALSE)</f>
        <v/>
      </c>
      <c r="Z530" s="228">
        <f>IF(C530="Einnahmen",Q530,-Q530)</f>
        <v/>
      </c>
    </row>
    <row r="531">
      <c r="A531" s="53" t="n">
        <v>2021</v>
      </c>
      <c r="B531" s="53" t="n">
        <v>58</v>
      </c>
      <c r="C531" s="71" t="inlineStr">
        <is>
          <t>Einnahmen</t>
        </is>
      </c>
      <c r="D531" t="inlineStr">
        <is>
          <t>Waren-/Leistungserlöse</t>
        </is>
      </c>
      <c r="E531" s="9" t="inlineStr">
        <is>
          <t>12021011</t>
        </is>
      </c>
      <c r="G531" s="1" t="n">
        <v>44293</v>
      </c>
      <c r="H531" t="inlineStr">
        <is>
          <t>Theresa Häfele-Kolbitsch, Josef-Mohrgasse 9, 2102 Bisamberg</t>
        </is>
      </c>
      <c r="K531">
        <f>(IF(AND(I531&lt;&gt;"",AND(J531="",ABS(Q531)&gt;400)),TRUE,FALSE))</f>
        <v/>
      </c>
      <c r="L531" s="214" t="n">
        <v>489.5</v>
      </c>
      <c r="M531" s="159" t="n">
        <v>1</v>
      </c>
      <c r="N531" t="n">
        <v>20</v>
      </c>
      <c r="O531" s="237">
        <f>L531*N531/100</f>
        <v/>
      </c>
      <c r="P531" s="237">
        <f>M531*O531</f>
        <v/>
      </c>
      <c r="Q531" s="208">
        <f>L531*M531</f>
        <v/>
      </c>
      <c r="R531" s="251">
        <f>L531+O531</f>
        <v/>
      </c>
      <c r="S531" s="251">
        <f>Q531+P531</f>
        <v/>
      </c>
      <c r="T531" s="35">
        <f>voranmeldefrist_vierteljaehrlich(G531)</f>
        <v/>
      </c>
      <c r="U531" s="27" t="n"/>
      <c r="V531" s="27" t="n"/>
      <c r="W531" s="210">
        <f>IF(K531=TRUE,Q531/J531,Q531)</f>
        <v/>
      </c>
      <c r="X531" s="237">
        <f>V531/100*S531</f>
        <v/>
      </c>
      <c r="Y531">
        <f>IF(AND(V531&gt;0,N531=V531),TRUE,FALSE)</f>
        <v/>
      </c>
      <c r="Z531" s="228">
        <f>IF(C531="Einnahmen",Q531,-Q531)</f>
        <v/>
      </c>
      <c r="AB531">
        <f>L531*1.2=R531</f>
        <v/>
      </c>
      <c r="AC531">
        <f>L531*1.2=S531</f>
        <v/>
      </c>
    </row>
    <row r="532">
      <c r="A532" s="53" t="n">
        <v>2021</v>
      </c>
      <c r="B532" s="53" t="n">
        <v>59</v>
      </c>
      <c r="C532" s="71" t="inlineStr">
        <is>
          <t>Ausgaben</t>
        </is>
      </c>
      <c r="D532" t="inlineStr">
        <is>
          <t>sonstige Betriebsausgaben</t>
        </is>
      </c>
      <c r="E532" s="9" t="inlineStr">
        <is>
          <t>VS/19-01-05428</t>
        </is>
      </c>
      <c r="G532" s="1" t="n">
        <v>44293</v>
      </c>
      <c r="H532" t="inlineStr">
        <is>
          <t>Techem Messtechnik GmbH; Abnehmernummer 501686-0003-11-( (NACHTRAG 25.12.)</t>
        </is>
      </c>
      <c r="K532">
        <f>(IF(AND(I532&lt;&gt;"",AND(J532="",ABS(Q532)&gt;400)),TRUE,FALSE))</f>
        <v/>
      </c>
      <c r="L532" s="214" t="n">
        <v>35</v>
      </c>
      <c r="M532" s="159" t="n">
        <v>1</v>
      </c>
      <c r="N532" t="n">
        <v>20</v>
      </c>
      <c r="O532" s="237">
        <f>L532*N532/100</f>
        <v/>
      </c>
      <c r="P532" s="237">
        <f>M532*O532</f>
        <v/>
      </c>
      <c r="Q532" s="208">
        <f>L532*M532</f>
        <v/>
      </c>
      <c r="R532" s="251">
        <f>L532+O532</f>
        <v/>
      </c>
      <c r="S532" s="251">
        <f>Q532+P532</f>
        <v/>
      </c>
      <c r="T532" s="35">
        <f>voranmeldefrist_vierteljaehrlich(G532)</f>
        <v/>
      </c>
      <c r="U532" s="27" t="n"/>
      <c r="V532" s="27" t="n"/>
      <c r="W532" s="210">
        <f>IF(K532=TRUE,Q532/I532,Q532)</f>
        <v/>
      </c>
      <c r="X532" s="237">
        <f>V532/100*S532</f>
        <v/>
      </c>
      <c r="Y532">
        <f>IF(AND(V532&gt;0,N532=V532),TRUE,FALSE)</f>
        <v/>
      </c>
      <c r="Z532" s="228">
        <f>IF(C532="Einnahmen",Q532,-Q532)</f>
        <v/>
      </c>
    </row>
    <row r="533">
      <c r="A533" s="53" t="n">
        <v>2021</v>
      </c>
      <c r="B533" s="53" t="n">
        <v>60</v>
      </c>
      <c r="C533" s="71" t="inlineStr">
        <is>
          <t>Ausgaben</t>
        </is>
      </c>
      <c r="D533" t="inlineStr">
        <is>
          <t>sonstige Betriebsausgaben</t>
        </is>
      </c>
      <c r="E533" s="9" t="inlineStr">
        <is>
          <t>2021160</t>
        </is>
      </c>
      <c r="G533" s="1" t="n">
        <v>44293</v>
      </c>
      <c r="H533" t="inlineStr">
        <is>
          <t>3W Steuerkanzlei, Roter Hof 1a, 1080 Wien</t>
        </is>
      </c>
      <c r="K533">
        <f>(IF(AND(I533&lt;&gt;"",AND(J533="",ABS(Q533)&gt;400)),TRUE,FALSE))</f>
        <v/>
      </c>
      <c r="L533" s="214" t="n">
        <v>865</v>
      </c>
      <c r="M533" s="159" t="n">
        <v>1</v>
      </c>
      <c r="N533" t="n">
        <v>20</v>
      </c>
      <c r="O533" s="237">
        <f>L533*N533/100</f>
        <v/>
      </c>
      <c r="P533" s="237">
        <f>M533*O533</f>
        <v/>
      </c>
      <c r="Q533" s="208">
        <f>L533*M533</f>
        <v/>
      </c>
      <c r="R533" s="251">
        <f>L533+O533</f>
        <v/>
      </c>
      <c r="S533" s="251">
        <f>Q533+P533</f>
        <v/>
      </c>
      <c r="T533" s="35">
        <f>voranmeldefrist_vierteljaehrlich(G533)</f>
        <v/>
      </c>
      <c r="U533" s="27" t="n"/>
      <c r="V533" s="27" t="n"/>
      <c r="W533" s="210">
        <f>IF(K533=TRUE,Q533/I533,Q533)</f>
        <v/>
      </c>
      <c r="X533" s="237">
        <f>V533/100*S533</f>
        <v/>
      </c>
      <c r="Y533">
        <f>IF(AND(V533&gt;0,N533=V533),TRUE,FALSE)</f>
        <v/>
      </c>
      <c r="Z533" s="228">
        <f>IF(C533="Einnahmen",Q533,-Q533)</f>
        <v/>
      </c>
    </row>
    <row r="534">
      <c r="A534" s="53" t="n">
        <v>2021</v>
      </c>
      <c r="B534" s="53" t="n">
        <v>61</v>
      </c>
      <c r="C534" s="71" t="inlineStr">
        <is>
          <t>Ausgaben</t>
        </is>
      </c>
      <c r="D534" t="inlineStr">
        <is>
          <t>sonstige Betriebsausgaben</t>
        </is>
      </c>
      <c r="E534" s="9" t="inlineStr">
        <is>
          <t>R0013110660</t>
        </is>
      </c>
      <c r="G534" s="1" t="n">
        <v>44294</v>
      </c>
      <c r="H534" t="inlineStr">
        <is>
          <t>Hetzner Online GmbH</t>
        </is>
      </c>
      <c r="J534" s="76" t="inlineStr">
        <is>
          <t>ja</t>
        </is>
      </c>
      <c r="K534">
        <f>(IF(AND(I534&lt;&gt;"",AND(J534="",ABS(Q534)&gt;400)),TRUE,FALSE))</f>
        <v/>
      </c>
      <c r="L534" s="214" t="n">
        <v>2.49</v>
      </c>
      <c r="M534" s="159" t="n">
        <v>1</v>
      </c>
      <c r="N534" t="n">
        <v>0</v>
      </c>
      <c r="O534" s="237">
        <f>L534*N534/100</f>
        <v/>
      </c>
      <c r="P534" s="237">
        <f>M534*O534</f>
        <v/>
      </c>
      <c r="Q534" s="208">
        <f>L534*M534</f>
        <v/>
      </c>
      <c r="R534" s="251">
        <f>L534+O534</f>
        <v/>
      </c>
      <c r="S534" s="251">
        <f>Q534+P534</f>
        <v/>
      </c>
      <c r="T534" s="35">
        <f>voranmeldefrist_vierteljaehrlich(G534)</f>
        <v/>
      </c>
      <c r="U534" s="27" t="n"/>
      <c r="V534" s="27" t="n">
        <v>20</v>
      </c>
      <c r="W534" s="210">
        <f>IF(K534=TRUE,Q534/J534,Q534)</f>
        <v/>
      </c>
      <c r="X534" s="237">
        <f>V534/100*S534</f>
        <v/>
      </c>
      <c r="Y534">
        <f>IF(AND(V534&gt;0,N534=V534),TRUE,FALSE)</f>
        <v/>
      </c>
      <c r="Z534" s="228">
        <f>IF(C534="Einnahmen",Q534,-Q534)</f>
        <v/>
      </c>
    </row>
    <row r="535">
      <c r="A535" s="53" t="n">
        <v>2021</v>
      </c>
      <c r="B535" s="53" t="n">
        <v>62</v>
      </c>
      <c r="C535" s="71" t="inlineStr">
        <is>
          <t>Einnahmen</t>
        </is>
      </c>
      <c r="D535" t="inlineStr">
        <is>
          <t>Waren-/Leistungserlöse</t>
        </is>
      </c>
      <c r="E535" s="9" t="inlineStr">
        <is>
          <t>12021010</t>
        </is>
      </c>
      <c r="G535" s="1" t="n">
        <v>44295</v>
      </c>
      <c r="H535" t="inlineStr">
        <is>
          <t>Schick Küchendesign e.U. Alexander Schick, Linzerstraße 247, 1140 Wien</t>
        </is>
      </c>
      <c r="K535">
        <f>(IF(AND(I535&lt;&gt;"",AND(J535="",ABS(Q535)&gt;400)),TRUE,FALSE))</f>
        <v/>
      </c>
      <c r="L535" s="214" t="n">
        <v>1959.56</v>
      </c>
      <c r="M535" s="159" t="n">
        <v>1</v>
      </c>
      <c r="N535" t="n">
        <v>20</v>
      </c>
      <c r="O535" s="237">
        <f>L535*N535/100</f>
        <v/>
      </c>
      <c r="P535" s="237">
        <f>M535*O535</f>
        <v/>
      </c>
      <c r="Q535" s="208">
        <f>L535*M535</f>
        <v/>
      </c>
      <c r="R535" s="251">
        <f>L535+O535</f>
        <v/>
      </c>
      <c r="S535" s="251">
        <f>Q535+P535</f>
        <v/>
      </c>
      <c r="T535" s="35">
        <f>voranmeldefrist_vierteljaehrlich(G535)</f>
        <v/>
      </c>
      <c r="U535" s="27" t="n"/>
      <c r="V535" s="27" t="n"/>
      <c r="W535" s="210">
        <f>IF(K535=TRUE,Q535/J535,Q535)</f>
        <v/>
      </c>
      <c r="X535" s="237">
        <f>V535/100*S535</f>
        <v/>
      </c>
      <c r="Y535">
        <f>IF(AND(V535&gt;0,N535=V535),TRUE,FALSE)</f>
        <v/>
      </c>
      <c r="Z535" s="228">
        <f>IF(C535="Einnahmen",Q535,-Q535)</f>
        <v/>
      </c>
      <c r="AB535">
        <f>L535*1.2=R535</f>
        <v/>
      </c>
      <c r="AC535">
        <f>L535*1.2=S535</f>
        <v/>
      </c>
    </row>
    <row r="536">
      <c r="A536" s="53" t="n">
        <v>2021</v>
      </c>
      <c r="B536" s="53" t="n">
        <v>63</v>
      </c>
      <c r="C536" s="71" t="inlineStr">
        <is>
          <t>Ausgaben</t>
        </is>
      </c>
      <c r="D536" t="inlineStr">
        <is>
          <t>sonstige Betriebsausgaben</t>
        </is>
      </c>
      <c r="E536" s="9" t="inlineStr">
        <is>
          <t>5137082649</t>
        </is>
      </c>
      <c r="G536" s="1" t="n">
        <v>44298</v>
      </c>
      <c r="H536" t="inlineStr">
        <is>
          <t>Wiener Netze GmbH, Erdbergstraße 236, 1110 Wien, Postfach 422; Jahresabrechnung vom 17.12.20: GUTSCHRIFT</t>
        </is>
      </c>
      <c r="K536">
        <f>(IF(AND(I536&lt;&gt;"",AND(J536="",ABS(Q536)&gt;400)),TRUE,FALSE))</f>
        <v/>
      </c>
      <c r="L536" s="214" t="n">
        <v>13</v>
      </c>
      <c r="M536" s="159" t="n">
        <v>1</v>
      </c>
      <c r="N536" t="n">
        <v>20</v>
      </c>
      <c r="O536" s="237">
        <f>L536*N536/100</f>
        <v/>
      </c>
      <c r="P536" s="237">
        <f>M536*O536</f>
        <v/>
      </c>
      <c r="Q536" s="208">
        <f>L536*M536</f>
        <v/>
      </c>
      <c r="R536" s="251">
        <f>L536+O536</f>
        <v/>
      </c>
      <c r="S536" s="251">
        <f>Q536+P536</f>
        <v/>
      </c>
      <c r="T536" s="35">
        <f>voranmeldefrist_vierteljaehrlich(G536)</f>
        <v/>
      </c>
      <c r="U536" s="27" t="n"/>
      <c r="V536" s="27" t="n"/>
      <c r="W536" s="210">
        <f>IF(K536=TRUE,Q536/J536,Q536)</f>
        <v/>
      </c>
      <c r="X536" s="237">
        <f>V536/100*S536</f>
        <v/>
      </c>
      <c r="Y536">
        <f>IF(AND(V536&gt;0,N536=V536),TRUE,FALSE)</f>
        <v/>
      </c>
      <c r="Z536" s="228">
        <f>IF(C536="Einnahmen",Q536,-Q536)</f>
        <v/>
      </c>
    </row>
    <row r="537">
      <c r="A537" s="53" t="n">
        <v>2021</v>
      </c>
      <c r="B537" s="53" t="n">
        <v>64</v>
      </c>
      <c r="C537" s="71" t="inlineStr">
        <is>
          <t>Ausgaben</t>
        </is>
      </c>
      <c r="D537" t="inlineStr">
        <is>
          <t>sonstige Betriebsausgaben</t>
        </is>
      </c>
      <c r="E537" s="9" t="inlineStr">
        <is>
          <t>R0013159645</t>
        </is>
      </c>
      <c r="G537" s="1" t="n">
        <v>44299</v>
      </c>
      <c r="H537" t="inlineStr">
        <is>
          <t>Hetzner Online GmbH</t>
        </is>
      </c>
      <c r="K537">
        <f>(IF(AND(I537&lt;&gt;"",AND(J537="",ABS(Q537)&gt;400)),TRUE,FALSE))</f>
        <v/>
      </c>
      <c r="L537" s="214" t="n">
        <v>46.9168</v>
      </c>
      <c r="M537" s="159" t="n">
        <v>1</v>
      </c>
      <c r="N537" t="n">
        <v>0</v>
      </c>
      <c r="O537" s="237">
        <f>L537*N537/100</f>
        <v/>
      </c>
      <c r="P537" s="237">
        <f>M537*O537</f>
        <v/>
      </c>
      <c r="Q537" s="208">
        <f>L537*M537</f>
        <v/>
      </c>
      <c r="R537" s="251">
        <f>L537+O537</f>
        <v/>
      </c>
      <c r="S537" s="251">
        <f>Q537+P537</f>
        <v/>
      </c>
      <c r="T537" s="35">
        <f>voranmeldefrist_vierteljaehrlich(G537)</f>
        <v/>
      </c>
      <c r="U537" s="27" t="n"/>
      <c r="V537" s="27" t="n">
        <v>20</v>
      </c>
      <c r="W537" s="210">
        <f>IF(K537=TRUE,Q537/J537,Q537)</f>
        <v/>
      </c>
      <c r="X537" s="237">
        <f>V537/100*S537</f>
        <v/>
      </c>
      <c r="Y537">
        <f>IF(AND(V537&gt;0,N537=V537),TRUE,FALSE)</f>
        <v/>
      </c>
      <c r="Z537" s="228">
        <f>IF(C537="Einnahmen",Q537,-Q537)</f>
        <v/>
      </c>
    </row>
    <row r="538">
      <c r="A538" s="53" t="n">
        <v>2021</v>
      </c>
      <c r="B538" s="53" t="n">
        <v>65</v>
      </c>
      <c r="C538" s="71" t="inlineStr">
        <is>
          <t>Ausgaben</t>
        </is>
      </c>
      <c r="D538" t="inlineStr">
        <is>
          <t>sonstige Betriebsausgaben</t>
        </is>
      </c>
      <c r="E538" s="9" t="inlineStr">
        <is>
          <t>174264207124-1, 174264207124-2</t>
        </is>
      </c>
      <c r="G538" s="1" t="n">
        <v>44305</v>
      </c>
      <c r="H538" t="inlineStr">
        <is>
          <t>Google Ireland Ltd., Gordon House, Barrow Street, Dublin 4, Ireland; VAT ID: IE 6388047V</t>
        </is>
      </c>
      <c r="K538">
        <f>(IF(AND(I538&lt;&gt;"",AND(J538="",ABS(Q538)&gt;400)),TRUE,FALSE))</f>
        <v/>
      </c>
      <c r="L538" s="214" t="n">
        <v>54.07</v>
      </c>
      <c r="M538" s="159" t="n">
        <v>1</v>
      </c>
      <c r="N538" t="n">
        <v>0</v>
      </c>
      <c r="O538" s="237">
        <f>L538*N538/100</f>
        <v/>
      </c>
      <c r="P538" s="237">
        <f>M538*O538</f>
        <v/>
      </c>
      <c r="Q538" s="208">
        <f>L538*M538</f>
        <v/>
      </c>
      <c r="R538" s="251">
        <f>L538+O538</f>
        <v/>
      </c>
      <c r="S538" s="251">
        <f>Q538+P538</f>
        <v/>
      </c>
      <c r="T538" s="35">
        <f>voranmeldefrist_vierteljaehrlich(G538)</f>
        <v/>
      </c>
      <c r="U538" s="27" t="n"/>
      <c r="V538" s="27" t="n">
        <v>20</v>
      </c>
      <c r="W538" s="210">
        <f>IF(K538=TRUE,Q538/J538,Q538)</f>
        <v/>
      </c>
      <c r="X538" s="237">
        <f>V538/100*S538</f>
        <v/>
      </c>
      <c r="Y538">
        <f>IF(AND(V538&gt;0,N538=V538),TRUE,FALSE)</f>
        <v/>
      </c>
      <c r="Z538" s="228">
        <f>IF(C538="Einnahmen",Q538,-Q538)</f>
        <v/>
      </c>
    </row>
    <row r="539">
      <c r="A539" s="53" t="n">
        <v>2021</v>
      </c>
      <c r="B539" s="53" t="n">
        <v>66</v>
      </c>
      <c r="C539" s="71" t="inlineStr">
        <is>
          <t>Ausgaben</t>
        </is>
      </c>
      <c r="D539" t="inlineStr">
        <is>
          <t>Miet- und Pachtaufwand, Leasing</t>
        </is>
      </c>
      <c r="E539" s="9" t="inlineStr">
        <is>
          <t>Mahnung</t>
        </is>
      </c>
      <c r="G539" s="1" t="n">
        <v>44309</v>
      </c>
      <c r="H539" t="inlineStr">
        <is>
          <t>Bontus Immobilienverwaltung GmbH, 1010 Wien, Franz Josefs Kai 65 Mahnsaldo 23.4.21</t>
        </is>
      </c>
      <c r="K539" t="b">
        <v>0</v>
      </c>
      <c r="L539" s="214">
        <f>9.63/1.2</f>
        <v/>
      </c>
      <c r="M539" s="159" t="n">
        <v>1</v>
      </c>
      <c r="N539" t="n">
        <v>20</v>
      </c>
      <c r="O539" s="237">
        <f>L539*N539/100</f>
        <v/>
      </c>
      <c r="P539" s="237">
        <f>M539*O539</f>
        <v/>
      </c>
      <c r="Q539" s="208">
        <f>L539*M539</f>
        <v/>
      </c>
      <c r="R539" s="251">
        <f>L539+O539</f>
        <v/>
      </c>
      <c r="S539" s="251">
        <f>Q539+P539</f>
        <v/>
      </c>
      <c r="T539" s="35">
        <f>voranmeldefrist_vierteljaehrlich(G539)</f>
        <v/>
      </c>
      <c r="U539" s="27" t="n"/>
      <c r="V539" s="27" t="n"/>
      <c r="W539" s="210">
        <f>IF(K539=TRUE,Q539/J539,Q539)</f>
        <v/>
      </c>
      <c r="X539" s="237">
        <f>V539/100*S539</f>
        <v/>
      </c>
      <c r="Y539">
        <f>IF(AND(V539&gt;0,N539=V539),TRUE,FALSE)</f>
        <v/>
      </c>
      <c r="Z539" s="228">
        <f>IF(C539="Einnahmen",Q539,-Q539)</f>
        <v/>
      </c>
    </row>
    <row r="540">
      <c r="A540" s="53" t="n">
        <v>2021</v>
      </c>
      <c r="B540" s="53" t="n">
        <v>67</v>
      </c>
      <c r="C540" s="71" t="inlineStr">
        <is>
          <t>Ausgaben</t>
        </is>
      </c>
      <c r="D540" t="inlineStr">
        <is>
          <t>Miet- und Pachtaufwand, Leasing</t>
        </is>
      </c>
      <c r="E540" s="9" t="inlineStr">
        <is>
          <t>Mahnung</t>
        </is>
      </c>
      <c r="G540" s="1" t="n">
        <v>44309</v>
      </c>
      <c r="H540" t="inlineStr">
        <is>
          <t>Bontus Immobilienverwaltung GmbH, 1010 Wien, Franz Josefs Kai 65 Mahngebühr 23.4.21</t>
        </is>
      </c>
      <c r="K540" t="b">
        <v>0</v>
      </c>
      <c r="L540" s="214" t="n">
        <v>8</v>
      </c>
      <c r="M540" s="159" t="n">
        <v>1</v>
      </c>
      <c r="N540" t="n">
        <v>0</v>
      </c>
      <c r="O540" s="237">
        <f>L540*N540/100</f>
        <v/>
      </c>
      <c r="P540" s="237">
        <f>M540*O540</f>
        <v/>
      </c>
      <c r="Q540" s="208">
        <f>L540*M540</f>
        <v/>
      </c>
      <c r="R540" s="251">
        <f>L540+O540</f>
        <v/>
      </c>
      <c r="S540" s="251">
        <f>Q540+P540</f>
        <v/>
      </c>
      <c r="T540" s="35">
        <f>voranmeldefrist_vierteljaehrlich(G540)</f>
        <v/>
      </c>
      <c r="U540" s="27" t="n"/>
      <c r="V540" s="27" t="n"/>
      <c r="W540" s="210">
        <f>IF(K540=TRUE,Q540/J540,Q540)</f>
        <v/>
      </c>
      <c r="X540" s="237">
        <f>V540/100*S540</f>
        <v/>
      </c>
      <c r="Y540">
        <f>IF(AND(V540&gt;0,N540=V540),TRUE,FALSE)</f>
        <v/>
      </c>
      <c r="Z540" s="228">
        <f>IF(C540="Einnahmen",Q540,-Q540)</f>
        <v/>
      </c>
    </row>
    <row r="541">
      <c r="A541" s="53" t="n">
        <v>2021</v>
      </c>
      <c r="B541" s="53" t="n">
        <v>68</v>
      </c>
      <c r="C541" s="71" t="inlineStr">
        <is>
          <t>Ausgaben</t>
        </is>
      </c>
      <c r="D541" t="inlineStr">
        <is>
          <t>Telefon/Internet</t>
        </is>
      </c>
      <c r="E541" s="136" t="inlineStr">
        <is>
          <t>901200150421</t>
        </is>
      </c>
      <c r="F541" s="1" t="n">
        <v>43962</v>
      </c>
      <c r="G541" s="1" t="n">
        <v>44314</v>
      </c>
      <c r="H541" t="inlineStr">
        <is>
          <t>Magenta: T-Mobile Austria GmbH, A-1120 Wien, PF 47</t>
        </is>
      </c>
      <c r="K541">
        <f>(IF(AND(I541&lt;&gt;"",AND(J541="",ABS(Q541)&gt;400)),TRUE,FALSE))</f>
        <v/>
      </c>
      <c r="L541" s="214" t="n">
        <v>31.92</v>
      </c>
      <c r="M541" s="159" t="n">
        <v>1</v>
      </c>
      <c r="N541" t="n">
        <v>20</v>
      </c>
      <c r="O541" s="237">
        <f>L541*N541/100</f>
        <v/>
      </c>
      <c r="P541" s="237">
        <f>M541*O541</f>
        <v/>
      </c>
      <c r="Q541" s="208">
        <f>L541*M541</f>
        <v/>
      </c>
      <c r="R541" s="251">
        <f>L541+O541</f>
        <v/>
      </c>
      <c r="S541" s="251">
        <f>Q541+P541</f>
        <v/>
      </c>
      <c r="T541" s="35">
        <f>voranmeldefrist_vierteljaehrlich(G541)</f>
        <v/>
      </c>
      <c r="U541" s="27" t="n"/>
      <c r="V541" s="27" t="n"/>
      <c r="W541" s="210">
        <f>IF(K541=TRUE,Q541/I541,Q541)</f>
        <v/>
      </c>
      <c r="X541" s="237">
        <f>V541/100*S541</f>
        <v/>
      </c>
      <c r="Y541">
        <f>IF(AND(V541&gt;0,N541=V541),TRUE,FALSE)</f>
        <v/>
      </c>
      <c r="Z541" s="228">
        <f>IF(C541="Einnahmen",Q541,-Q541)</f>
        <v/>
      </c>
    </row>
    <row r="542">
      <c r="A542" s="53" t="n">
        <v>2021</v>
      </c>
      <c r="B542" s="53" t="n">
        <v>69</v>
      </c>
      <c r="C542" s="71" t="inlineStr">
        <is>
          <t>Einnahmen</t>
        </is>
      </c>
      <c r="D542" t="inlineStr">
        <is>
          <t>Waren-/Leistungserlöse</t>
        </is>
      </c>
      <c r="E542" s="9" t="inlineStr">
        <is>
          <t>R12021012</t>
        </is>
      </c>
      <c r="G542" s="1" t="n">
        <v>44316</v>
      </c>
      <c r="H542" t="inlineStr">
        <is>
          <t>Musikschule Bad Vöslau, Hauptstraße 14, 2540 Bad Vöslau</t>
        </is>
      </c>
      <c r="K542">
        <f>(IF(AND(I542&lt;&gt;"",AND(J542="",ABS(Q542)&gt;400)),TRUE,FALSE))</f>
        <v/>
      </c>
      <c r="L542" s="214" t="n">
        <v>44.5</v>
      </c>
      <c r="M542" s="159" t="n">
        <v>1</v>
      </c>
      <c r="N542" t="n">
        <v>20</v>
      </c>
      <c r="O542" s="237">
        <f>L542*N542/100</f>
        <v/>
      </c>
      <c r="P542" s="237">
        <f>M542*O542</f>
        <v/>
      </c>
      <c r="Q542" s="208">
        <f>L542*M542</f>
        <v/>
      </c>
      <c r="R542" s="251">
        <f>L542+O542</f>
        <v/>
      </c>
      <c r="S542" s="251">
        <f>Q542+P542</f>
        <v/>
      </c>
      <c r="T542" s="35">
        <f>voranmeldefrist_vierteljaehrlich(G542)</f>
        <v/>
      </c>
      <c r="U542" s="27" t="n"/>
      <c r="V542" s="27" t="n"/>
      <c r="W542" s="210">
        <f>IF(K542=TRUE,Q542/I542,Q542)</f>
        <v/>
      </c>
      <c r="X542" s="237">
        <f>V542/100*S542</f>
        <v/>
      </c>
      <c r="Y542">
        <f>IF(AND(V542&gt;0,N542=V542),TRUE,FALSE)</f>
        <v/>
      </c>
      <c r="Z542" s="228">
        <f>IF(C542="Einnahmen",Q542,-Q542)</f>
        <v/>
      </c>
      <c r="AB542">
        <f>L542*1.2=R542</f>
        <v/>
      </c>
      <c r="AC542">
        <f>L542*1.2=S542</f>
        <v/>
      </c>
    </row>
    <row r="543">
      <c r="A543" s="53" t="n">
        <v>2021</v>
      </c>
      <c r="B543" s="53" t="n">
        <v>70</v>
      </c>
      <c r="C543" s="71" t="inlineStr">
        <is>
          <t>Ausgaben</t>
        </is>
      </c>
      <c r="D543" t="inlineStr">
        <is>
          <t>Telefon/Internet</t>
        </is>
      </c>
      <c r="E543" s="9" t="inlineStr">
        <is>
          <t>6221032088</t>
        </is>
      </c>
      <c r="G543" s="1" t="n">
        <v>44319</v>
      </c>
      <c r="H543" t="inlineStr">
        <is>
          <t>Hutchison Drei Austria GmbH, Brünner Straße 52, 1210 Wien, Österreich</t>
        </is>
      </c>
      <c r="K543">
        <f>(IF(AND(I543&lt;&gt;"",AND(J543="",ABS(Q543)&gt;400)),TRUE,FALSE))</f>
        <v/>
      </c>
      <c r="L543" s="214" t="n">
        <v>15</v>
      </c>
      <c r="M543" s="159" t="n">
        <v>1</v>
      </c>
      <c r="N543" t="n">
        <v>20</v>
      </c>
      <c r="O543" s="237">
        <f>L543*N543/100</f>
        <v/>
      </c>
      <c r="P543" s="237">
        <f>M543*O543</f>
        <v/>
      </c>
      <c r="Q543" s="208">
        <f>L543*M543</f>
        <v/>
      </c>
      <c r="R543" s="251">
        <f>L543+O543</f>
        <v/>
      </c>
      <c r="S543" s="251">
        <f>Q543+P543</f>
        <v/>
      </c>
      <c r="T543" s="35">
        <f>voranmeldefrist_vierteljaehrlich(G543)</f>
        <v/>
      </c>
      <c r="U543" s="27" t="n"/>
      <c r="V543" s="27" t="n"/>
      <c r="W543" s="210">
        <f>IF(K543=TRUE,Q543/I543,Q543)</f>
        <v/>
      </c>
      <c r="X543" s="237">
        <f>V543/100*S543</f>
        <v/>
      </c>
      <c r="Y543">
        <f>IF(AND(V543&gt;0,N543=V543),TRUE,FALSE)</f>
        <v/>
      </c>
      <c r="Z543" s="228">
        <f>IF(C543="Einnahmen",Q543,-Q543)</f>
        <v/>
      </c>
    </row>
    <row r="544">
      <c r="A544" s="53" t="n">
        <v>2021</v>
      </c>
      <c r="B544" s="53" t="n">
        <v>71</v>
      </c>
      <c r="C544" s="71" t="inlineStr">
        <is>
          <t>Ausgaben</t>
        </is>
      </c>
      <c r="D544" t="inlineStr">
        <is>
          <t>Miet- und Pachtaufwand, Leasing</t>
        </is>
      </c>
      <c r="E544" s="136" t="inlineStr">
        <is>
          <t>21/9801/VS00412</t>
        </is>
      </c>
      <c r="G544" s="1" t="n">
        <v>44319</v>
      </c>
      <c r="H544" t="inlineStr">
        <is>
          <t>Bontus Immobilienverwaltung GmbH, 1010 Wien, Franz Josefs Kai 65</t>
        </is>
      </c>
      <c r="K544" t="b">
        <v>0</v>
      </c>
      <c r="L544" s="214">
        <f>564.56/1.2</f>
        <v/>
      </c>
      <c r="M544" s="159" t="n">
        <v>1</v>
      </c>
      <c r="N544" t="n">
        <v>20</v>
      </c>
      <c r="O544" s="237">
        <f>L544*N544/100</f>
        <v/>
      </c>
      <c r="P544" s="237">
        <f>M544*O544</f>
        <v/>
      </c>
      <c r="Q544" s="208">
        <f>L544*M544</f>
        <v/>
      </c>
      <c r="R544" s="251">
        <f>L544+O544</f>
        <v/>
      </c>
      <c r="S544" s="251">
        <f>Q544+P544</f>
        <v/>
      </c>
      <c r="T544" s="35">
        <f>voranmeldefrist_vierteljaehrlich(G544)</f>
        <v/>
      </c>
      <c r="U544" s="27" t="n"/>
      <c r="V544" s="27" t="n"/>
      <c r="W544" s="210">
        <f>IF(K544=TRUE,Q544/J544,Q544)</f>
        <v/>
      </c>
      <c r="X544" s="237">
        <f>V544/100*S544</f>
        <v/>
      </c>
      <c r="Y544">
        <f>IF(AND(V544&gt;0,N544=V544),TRUE,FALSE)</f>
        <v/>
      </c>
      <c r="Z544" s="228">
        <f>IF(C544="Einnahmen",Q544,-Q544)</f>
        <v/>
      </c>
    </row>
    <row r="545">
      <c r="A545" s="53" t="n">
        <v>2021</v>
      </c>
      <c r="B545" s="53" t="n">
        <v>72</v>
      </c>
      <c r="C545" s="71" t="inlineStr">
        <is>
          <t>Ausgaben</t>
        </is>
      </c>
      <c r="D545" t="inlineStr">
        <is>
          <t>Reise- und Fahrtspesen inkl. Kilometergeld und Diäten</t>
        </is>
      </c>
      <c r="E545" s="131" t="inlineStr">
        <is>
          <t>4293000000020500</t>
        </is>
      </c>
      <c r="G545" s="1" t="n">
        <v>44319</v>
      </c>
      <c r="H545" t="inlineStr">
        <is>
          <t>car2go Österreich GmbH, Hintere Zollamtstraße 9, 1030 Wien</t>
        </is>
      </c>
      <c r="K545" t="b">
        <v>0</v>
      </c>
      <c r="L545" s="214" t="n">
        <v>30.73</v>
      </c>
      <c r="M545" s="159" t="n">
        <v>1</v>
      </c>
      <c r="N545" t="n">
        <v>20</v>
      </c>
      <c r="O545" s="237">
        <f>L545*N545/100</f>
        <v/>
      </c>
      <c r="P545" s="237">
        <f>M545*O545</f>
        <v/>
      </c>
      <c r="Q545" s="208">
        <f>L545*M545</f>
        <v/>
      </c>
      <c r="R545" s="251">
        <f>L545+O545</f>
        <v/>
      </c>
      <c r="S545" s="251">
        <f>Q545+P545</f>
        <v/>
      </c>
      <c r="T545" s="35">
        <f>voranmeldefrist_vierteljaehrlich(G545)</f>
        <v/>
      </c>
      <c r="U545" s="27" t="n"/>
      <c r="V545" s="27" t="n"/>
      <c r="W545" s="210">
        <f>IF(K545=TRUE,Q545/J545,Q545)</f>
        <v/>
      </c>
      <c r="X545" s="237">
        <f>V545/100*S545</f>
        <v/>
      </c>
      <c r="Y545">
        <f>IF(AND(V545&gt;0,N545=V545),TRUE,FALSE)</f>
        <v/>
      </c>
      <c r="Z545" s="228">
        <f>IF(C545="Einnahmen",Q545,-Q545)</f>
        <v/>
      </c>
    </row>
    <row r="546">
      <c r="A546" s="53" t="n">
        <v>2021</v>
      </c>
      <c r="B546" s="53" t="n">
        <v>73</v>
      </c>
      <c r="C546" s="71" t="inlineStr">
        <is>
          <t>Ausgaben</t>
        </is>
      </c>
      <c r="D546" t="inlineStr">
        <is>
          <t>sonstige Betriebsausgaben</t>
        </is>
      </c>
      <c r="E546" s="9" t="inlineStr">
        <is>
          <t>60793/100/2021</t>
        </is>
      </c>
      <c r="G546" s="1" t="n">
        <v>44321</v>
      </c>
      <c r="H546" t="inlineStr">
        <is>
          <t>easy green energy GmbH &amp; Co KG</t>
        </is>
      </c>
      <c r="K546">
        <f>(IF(AND(I546&lt;&gt;"",AND(J546="",ABS(Q546)&gt;400)),TRUE,FALSE))</f>
        <v/>
      </c>
      <c r="L546" s="214" t="n">
        <v>2.5</v>
      </c>
      <c r="M546" s="159" t="n">
        <v>1</v>
      </c>
      <c r="N546" t="n">
        <v>20</v>
      </c>
      <c r="O546" s="237">
        <f>L546*N546/100</f>
        <v/>
      </c>
      <c r="P546" s="237">
        <f>M546*O546</f>
        <v/>
      </c>
      <c r="Q546" s="208">
        <f>L546*M546</f>
        <v/>
      </c>
      <c r="R546" s="251">
        <f>L546+O546</f>
        <v/>
      </c>
      <c r="S546" s="251" t="n">
        <v>3</v>
      </c>
      <c r="T546" s="35">
        <f>voranmeldefrist_vierteljaehrlich(G546)</f>
        <v/>
      </c>
      <c r="U546" s="27" t="n"/>
      <c r="V546" s="27" t="n"/>
      <c r="W546" s="210">
        <f>IF(K546=TRUE,Q546/J546,Q546)</f>
        <v/>
      </c>
      <c r="X546" s="237">
        <f>V546/100*S546</f>
        <v/>
      </c>
      <c r="Y546">
        <f>IF(AND(V546&gt;0,N546=V546),TRUE,FALSE)</f>
        <v/>
      </c>
      <c r="Z546" s="228">
        <f>IF(C546="Einnahmen",Q546,-Q546)</f>
        <v/>
      </c>
    </row>
    <row r="547">
      <c r="A547" s="53" t="n">
        <v>2021</v>
      </c>
      <c r="B547" s="53" t="n">
        <v>74</v>
      </c>
      <c r="C547" s="71" t="inlineStr">
        <is>
          <t>Ausgaben</t>
        </is>
      </c>
      <c r="D547" t="inlineStr">
        <is>
          <t>sonstige Betriebsausgaben</t>
        </is>
      </c>
      <c r="E547" s="9" t="inlineStr">
        <is>
          <t>VS/19-01-05428</t>
        </is>
      </c>
      <c r="G547" s="1" t="n">
        <v>44321</v>
      </c>
      <c r="H547" t="inlineStr">
        <is>
          <t>Techem Messtechnik GmbH; Abnehmernummer 501686-0003-11-( (NACHTRAG 25.12.)</t>
        </is>
      </c>
      <c r="K547">
        <f>(IF(AND(I547&lt;&gt;"",AND(J547="",ABS(Q547)&gt;400)),TRUE,FALSE))</f>
        <v/>
      </c>
      <c r="L547" s="214" t="n">
        <v>35</v>
      </c>
      <c r="M547" s="159" t="n">
        <v>1</v>
      </c>
      <c r="N547" t="n">
        <v>20</v>
      </c>
      <c r="O547" s="237">
        <f>L547*N547/100</f>
        <v/>
      </c>
      <c r="P547" s="237">
        <f>M547*O547</f>
        <v/>
      </c>
      <c r="Q547" s="208">
        <f>L547*M547</f>
        <v/>
      </c>
      <c r="R547" s="251">
        <f>L547+O547</f>
        <v/>
      </c>
      <c r="S547" s="251">
        <f>Q547+P547</f>
        <v/>
      </c>
      <c r="T547" s="35">
        <f>voranmeldefrist_vierteljaehrlich(G547)</f>
        <v/>
      </c>
      <c r="U547" s="27" t="n"/>
      <c r="V547" s="27" t="n"/>
      <c r="W547" s="210">
        <f>IF(K547=TRUE,Q547/I547,Q547)</f>
        <v/>
      </c>
      <c r="X547" s="237">
        <f>V547/100*S547</f>
        <v/>
      </c>
      <c r="Y547">
        <f>IF(AND(V547&gt;0,N547=V547),TRUE,FALSE)</f>
        <v/>
      </c>
      <c r="Z547" s="228">
        <f>IF(C547="Einnahmen",Q547,-Q547)</f>
        <v/>
      </c>
    </row>
    <row r="548">
      <c r="A548" s="53" t="n">
        <v>2021</v>
      </c>
      <c r="B548" s="53" t="n">
        <v>75</v>
      </c>
      <c r="C548" s="71" t="inlineStr">
        <is>
          <t>Ausgaben</t>
        </is>
      </c>
      <c r="D548" t="inlineStr">
        <is>
          <t>sonstige Betriebsausgaben</t>
        </is>
      </c>
      <c r="E548" s="9" t="inlineStr">
        <is>
          <t>R0013299838</t>
        </is>
      </c>
      <c r="G548" s="1" t="n">
        <v>44322</v>
      </c>
      <c r="H548" t="inlineStr">
        <is>
          <t>Hetzner Online GmbH</t>
        </is>
      </c>
      <c r="J548" s="76" t="inlineStr">
        <is>
          <t>ja</t>
        </is>
      </c>
      <c r="K548">
        <f>(IF(AND(I548&lt;&gt;"",AND(J548="",ABS(Q548)&gt;400)),TRUE,FALSE))</f>
        <v/>
      </c>
      <c r="L548" s="214" t="n">
        <v>2.49</v>
      </c>
      <c r="M548" s="159" t="n">
        <v>1</v>
      </c>
      <c r="N548" t="n">
        <v>0</v>
      </c>
      <c r="O548" s="237">
        <f>L548*N548/100</f>
        <v/>
      </c>
      <c r="P548" s="237">
        <f>M548*O548</f>
        <v/>
      </c>
      <c r="Q548" s="208">
        <f>L548*M548</f>
        <v/>
      </c>
      <c r="R548" s="251">
        <f>L548+O548</f>
        <v/>
      </c>
      <c r="S548" s="251">
        <f>Q548+P548</f>
        <v/>
      </c>
      <c r="T548" s="35">
        <f>voranmeldefrist_vierteljaehrlich(G548)</f>
        <v/>
      </c>
      <c r="U548" s="27" t="n"/>
      <c r="V548" s="27" t="n">
        <v>20</v>
      </c>
      <c r="W548" s="210">
        <f>IF(K548=TRUE,Q548/J548,Q548)</f>
        <v/>
      </c>
      <c r="X548" s="237">
        <f>V548/100*S548</f>
        <v/>
      </c>
      <c r="Y548">
        <f>IF(AND(V548&gt;0,N548=V548),TRUE,FALSE)</f>
        <v/>
      </c>
      <c r="Z548" s="228">
        <f>IF(C548="Einnahmen",Q548,-Q548)</f>
        <v/>
      </c>
    </row>
    <row r="549">
      <c r="A549" s="53" t="n">
        <v>2021</v>
      </c>
      <c r="B549" s="53" t="n">
        <v>76</v>
      </c>
      <c r="C549" s="71" t="inlineStr">
        <is>
          <t>Ausgaben</t>
        </is>
      </c>
      <c r="D549" t="inlineStr">
        <is>
          <t>sonstige Betriebsausgaben</t>
        </is>
      </c>
      <c r="E549" s="9" t="inlineStr">
        <is>
          <t>5137082649</t>
        </is>
      </c>
      <c r="G549" s="1" t="n">
        <v>44326</v>
      </c>
      <c r="H549" t="inlineStr">
        <is>
          <t>Wiener Netze GmbH, Erdbergstraße 236, 1110 Wien, Postfach 422; Jahresabrechnung vom 17.12.20: GUTSCHRIFT</t>
        </is>
      </c>
      <c r="K549">
        <f>(IF(AND(I549&lt;&gt;"",AND(J549="",ABS(Q549)&gt;400)),TRUE,FALSE))</f>
        <v/>
      </c>
      <c r="L549" s="214" t="n">
        <v>13</v>
      </c>
      <c r="M549" s="159" t="n">
        <v>1</v>
      </c>
      <c r="N549" t="n">
        <v>20</v>
      </c>
      <c r="O549" s="237">
        <f>L549*N549/100</f>
        <v/>
      </c>
      <c r="P549" s="237">
        <f>M549*O549</f>
        <v/>
      </c>
      <c r="Q549" s="208">
        <f>L549*M549</f>
        <v/>
      </c>
      <c r="R549" s="251">
        <f>L549+O549</f>
        <v/>
      </c>
      <c r="S549" s="251">
        <f>Q549+P549</f>
        <v/>
      </c>
      <c r="T549" s="35">
        <f>voranmeldefrist_vierteljaehrlich(G549)</f>
        <v/>
      </c>
      <c r="U549" s="27" t="n"/>
      <c r="V549" s="27" t="n"/>
      <c r="W549" s="210">
        <f>IF(K549=TRUE,Q549/J549,Q549)</f>
        <v/>
      </c>
      <c r="X549" s="237">
        <f>V549/100*S549</f>
        <v/>
      </c>
      <c r="Y549">
        <f>IF(AND(V549&gt;0,N549=V549),TRUE,FALSE)</f>
        <v/>
      </c>
      <c r="Z549" s="228">
        <f>IF(C549="Einnahmen",Q549,-Q549)</f>
        <v/>
      </c>
    </row>
    <row r="550">
      <c r="A550" s="53" t="n">
        <v>2021</v>
      </c>
      <c r="B550" s="53" t="n">
        <v>77</v>
      </c>
      <c r="C550" s="71" t="inlineStr">
        <is>
          <t>Ausgaben</t>
        </is>
      </c>
      <c r="D550" t="inlineStr">
        <is>
          <t>sonstige Betriebsausgaben</t>
        </is>
      </c>
      <c r="E550" s="9" t="inlineStr">
        <is>
          <t>R0013350626</t>
        </is>
      </c>
      <c r="G550" s="1" t="n">
        <v>44330</v>
      </c>
      <c r="H550" t="inlineStr">
        <is>
          <t>Hetzner Online GmbH</t>
        </is>
      </c>
      <c r="K550">
        <f>(IF(AND(I550&lt;&gt;"",AND(J550="",ABS(Q550)&gt;400)),TRUE,FALSE))</f>
        <v/>
      </c>
      <c r="L550" s="214" t="n">
        <v>46.9168</v>
      </c>
      <c r="M550" s="159" t="n">
        <v>1</v>
      </c>
      <c r="N550" t="n">
        <v>0</v>
      </c>
      <c r="O550" s="237">
        <f>L550*N550/100</f>
        <v/>
      </c>
      <c r="P550" s="237">
        <f>M550*O550</f>
        <v/>
      </c>
      <c r="Q550" s="208">
        <f>L550*M550</f>
        <v/>
      </c>
      <c r="R550" s="251">
        <f>L550+O550</f>
        <v/>
      </c>
      <c r="S550" s="251">
        <f>Q550+P550</f>
        <v/>
      </c>
      <c r="T550" s="35">
        <f>voranmeldefrist_vierteljaehrlich(G550)</f>
        <v/>
      </c>
      <c r="U550" s="27" t="n"/>
      <c r="V550" s="27" t="n">
        <v>20</v>
      </c>
      <c r="W550" s="210">
        <f>IF(K550=TRUE,Q550/J550,Q550)</f>
        <v/>
      </c>
      <c r="X550" s="237">
        <f>V550/100*S550</f>
        <v/>
      </c>
      <c r="Y550">
        <f>IF(AND(V550&gt;0,N550=V550),TRUE,FALSE)</f>
        <v/>
      </c>
      <c r="Z550" s="228">
        <f>IF(C550="Einnahmen",Q550,-Q550)</f>
        <v/>
      </c>
    </row>
    <row r="551">
      <c r="A551" s="53" t="n">
        <v>2021</v>
      </c>
      <c r="B551" s="53" t="n">
        <v>78</v>
      </c>
      <c r="C551" s="71" t="inlineStr">
        <is>
          <t>Ausgaben</t>
        </is>
      </c>
      <c r="D551" t="inlineStr">
        <is>
          <t>Telefon/Internet</t>
        </is>
      </c>
      <c r="E551" s="136" t="inlineStr">
        <is>
          <t>901191780521</t>
        </is>
      </c>
      <c r="F551" s="1" t="n">
        <v>43962</v>
      </c>
      <c r="G551" s="1" t="n">
        <v>44337</v>
      </c>
      <c r="H551" t="inlineStr">
        <is>
          <t>Magenta: T-Mobile Austria GmbH, A-1120 Wien, PF 47</t>
        </is>
      </c>
      <c r="K551">
        <f>(IF(AND(I551&lt;&gt;"",AND(J551="",ABS(Q551)&gt;400)),TRUE,FALSE))</f>
        <v/>
      </c>
      <c r="L551" s="214" t="n">
        <v>31.92</v>
      </c>
      <c r="M551" s="159" t="n">
        <v>1</v>
      </c>
      <c r="N551" t="n">
        <v>20</v>
      </c>
      <c r="O551" s="237">
        <f>L551*N551/100</f>
        <v/>
      </c>
      <c r="P551" s="237">
        <f>M551*O551</f>
        <v/>
      </c>
      <c r="Q551" s="208">
        <f>L551*M551</f>
        <v/>
      </c>
      <c r="R551" s="251">
        <f>L551+O551</f>
        <v/>
      </c>
      <c r="S551" s="251">
        <f>Q551+P551</f>
        <v/>
      </c>
      <c r="T551" s="35">
        <f>voranmeldefrist_vierteljaehrlich(G551)</f>
        <v/>
      </c>
      <c r="U551" s="27" t="n"/>
      <c r="V551" s="27" t="n"/>
      <c r="W551" s="210">
        <f>IF(K551=TRUE,Q551/I551,Q551)</f>
        <v/>
      </c>
      <c r="X551" s="237">
        <f>V551/100*S551</f>
        <v/>
      </c>
      <c r="Y551">
        <f>IF(AND(V551&gt;0,N551=V551),TRUE,FALSE)</f>
        <v/>
      </c>
      <c r="Z551" s="228">
        <f>IF(C551="Einnahmen",Q551,-Q551)</f>
        <v/>
      </c>
    </row>
    <row r="552">
      <c r="A552" s="53" t="n">
        <v>2021</v>
      </c>
      <c r="B552" s="53" t="n">
        <v>79</v>
      </c>
      <c r="C552" s="71" t="inlineStr">
        <is>
          <t>Ausgaben</t>
        </is>
      </c>
      <c r="D552" t="inlineStr">
        <is>
          <t>Reise- und Fahrtspesen inkl. Kilometergeld und Diäten</t>
        </is>
      </c>
      <c r="E552" s="143" t="inlineStr">
        <is>
          <t>201112105252ALB-00016VG017S0</t>
        </is>
      </c>
      <c r="G552" s="1" t="n">
        <v>44341</v>
      </c>
      <c r="H552" t="inlineStr">
        <is>
          <t>Wiener Linien 1010</t>
        </is>
      </c>
      <c r="K552">
        <f>(IF(AND(I552&lt;&gt;"",AND(J552="",ABS(Q552)&gt;400)),TRUE,FALSE))</f>
        <v/>
      </c>
      <c r="L552" s="256">
        <f>2.4/1.1</f>
        <v/>
      </c>
      <c r="M552" s="146" t="n">
        <v>1</v>
      </c>
      <c r="N552" s="147" t="n">
        <v>10</v>
      </c>
      <c r="O552" s="237">
        <f>L552*N552/100</f>
        <v/>
      </c>
      <c r="P552" s="237">
        <f>M552*O552</f>
        <v/>
      </c>
      <c r="Q552" s="208">
        <f>L552*M552</f>
        <v/>
      </c>
      <c r="R552" s="251">
        <f>L552+O552</f>
        <v/>
      </c>
      <c r="S552" s="251">
        <f>Q552+P552</f>
        <v/>
      </c>
      <c r="T552" s="35">
        <f>voranmeldefrist_vierteljaehrlich(G552)</f>
        <v/>
      </c>
      <c r="U552" s="27" t="n"/>
      <c r="V552" s="27" t="n"/>
      <c r="W552" s="210">
        <f>IF(K552=TRUE,Q552/I552,Q552)</f>
        <v/>
      </c>
      <c r="X552" s="237">
        <f>V552/100*S552</f>
        <v/>
      </c>
      <c r="Y552">
        <f>IF(AND(V552&gt;0,N552=V552),TRUE,FALSE)</f>
        <v/>
      </c>
      <c r="Z552" s="228">
        <f>IF(C552="Einnahmen",Q552,-Q552)</f>
        <v/>
      </c>
    </row>
    <row r="553">
      <c r="A553" s="53" t="n">
        <v>2021</v>
      </c>
      <c r="B553" s="53" t="n">
        <v>80</v>
      </c>
      <c r="C553" s="71" t="inlineStr">
        <is>
          <t>Ausgaben</t>
        </is>
      </c>
      <c r="D553" t="inlineStr">
        <is>
          <t>Telefon/Internet</t>
        </is>
      </c>
      <c r="E553" s="9" t="inlineStr">
        <is>
          <t>6222766899</t>
        </is>
      </c>
      <c r="G553" s="1" t="n">
        <v>44347</v>
      </c>
      <c r="H553" t="inlineStr">
        <is>
          <t>Hutchison Drei Austria GmbH, Brünner Straße 52, 1210 Wien, Österreich</t>
        </is>
      </c>
      <c r="K553">
        <f>(IF(AND(I553&lt;&gt;"",AND(J553="",ABS(Q553)&gt;400)),TRUE,FALSE))</f>
        <v/>
      </c>
      <c r="L553" s="214" t="n">
        <v>15</v>
      </c>
      <c r="M553" s="159" t="n">
        <v>1</v>
      </c>
      <c r="N553" t="n">
        <v>20</v>
      </c>
      <c r="O553" s="237">
        <f>L553*N553/100</f>
        <v/>
      </c>
      <c r="P553" s="237">
        <f>M553*O553</f>
        <v/>
      </c>
      <c r="Q553" s="208">
        <f>L553*M553</f>
        <v/>
      </c>
      <c r="R553" s="251">
        <f>L553+O553</f>
        <v/>
      </c>
      <c r="S553" s="251">
        <f>Q553+P553</f>
        <v/>
      </c>
      <c r="T553" s="35">
        <f>voranmeldefrist_vierteljaehrlich(G553)</f>
        <v/>
      </c>
      <c r="U553" s="27" t="n"/>
      <c r="V553" s="27" t="n"/>
      <c r="W553" s="210">
        <f>IF(K553=TRUE,Q553/I553,Q553)</f>
        <v/>
      </c>
      <c r="X553" s="237">
        <f>V553/100*S553</f>
        <v/>
      </c>
      <c r="Y553">
        <f>IF(AND(V553&gt;0,N553=V553),TRUE,FALSE)</f>
        <v/>
      </c>
      <c r="Z553" s="228">
        <f>IF(C553="Einnahmen",Q553,-Q553)</f>
        <v/>
      </c>
    </row>
    <row r="554">
      <c r="A554" s="53" t="n">
        <v>2021</v>
      </c>
      <c r="B554" s="53" t="n">
        <v>81</v>
      </c>
      <c r="C554" s="71" t="inlineStr">
        <is>
          <t>Ausgaben</t>
        </is>
      </c>
      <c r="D554" t="inlineStr">
        <is>
          <t>Werbe- und Repräsentationsaufwand</t>
        </is>
      </c>
      <c r="E554" s="9" t="inlineStr">
        <is>
          <t>PRM321050004109</t>
        </is>
      </c>
      <c r="G554" s="1" t="n">
        <v>44347</v>
      </c>
      <c r="H554" t="inlineStr">
        <is>
          <t>New Work SE, Dammtorstraße 30, 20354 Hamburg</t>
        </is>
      </c>
      <c r="K554">
        <f>(IF(AND(I554&lt;&gt;"",AND(J554="",ABS(Q554)&gt;400)),TRUE,FALSE))</f>
        <v/>
      </c>
      <c r="L554" s="214" t="n">
        <v>24.88</v>
      </c>
      <c r="M554" s="159" t="n">
        <v>1</v>
      </c>
      <c r="N554" t="n">
        <v>0</v>
      </c>
      <c r="O554" s="237">
        <f>L554*N554/100</f>
        <v/>
      </c>
      <c r="P554" s="237">
        <f>M554*O554</f>
        <v/>
      </c>
      <c r="Q554" s="208">
        <f>L554*M554</f>
        <v/>
      </c>
      <c r="R554" s="251">
        <f>L554+O554</f>
        <v/>
      </c>
      <c r="S554" s="251">
        <f>Q554+P554</f>
        <v/>
      </c>
      <c r="T554" s="35">
        <f>voranmeldefrist_vierteljaehrlich(G554)</f>
        <v/>
      </c>
      <c r="U554" s="27" t="n"/>
      <c r="V554" s="27" t="n">
        <v>20</v>
      </c>
      <c r="W554" s="210">
        <f>IF(K554=TRUE,Q554/I554,Q554)</f>
        <v/>
      </c>
      <c r="X554" s="237">
        <f>V554/100*S554</f>
        <v/>
      </c>
      <c r="Y554">
        <f>IF(AND(V554&gt;0,N554=V554),TRUE,FALSE)</f>
        <v/>
      </c>
      <c r="Z554" s="228">
        <f>IF(C554="Einnahmen",Q554,-Q554)</f>
        <v/>
      </c>
    </row>
    <row r="555">
      <c r="A555" s="53" t="n">
        <v>2021</v>
      </c>
      <c r="B555" s="53" t="n">
        <v>82</v>
      </c>
      <c r="C555" s="71" t="inlineStr">
        <is>
          <t>Ausgaben</t>
        </is>
      </c>
      <c r="D555" t="inlineStr">
        <is>
          <t>Miet- und Pachtaufwand, Leasing</t>
        </is>
      </c>
      <c r="E555" s="136" t="inlineStr">
        <is>
          <t>21/9801/VS00413</t>
        </is>
      </c>
      <c r="G555" s="1" t="n">
        <v>44348</v>
      </c>
      <c r="H555" t="inlineStr">
        <is>
          <t>Bontus Immobilienverwaltung GmbH, 1010 Wien, Franz Josefs Kai 65</t>
        </is>
      </c>
      <c r="K555" t="b">
        <v>0</v>
      </c>
      <c r="L555" s="214">
        <f>564.56/1.2</f>
        <v/>
      </c>
      <c r="M555" s="159" t="n">
        <v>1</v>
      </c>
      <c r="N555" t="n">
        <v>20</v>
      </c>
      <c r="O555" s="237">
        <f>L555*N555/100</f>
        <v/>
      </c>
      <c r="P555" s="237">
        <f>M555*O555</f>
        <v/>
      </c>
      <c r="Q555" s="208">
        <f>L555*M555</f>
        <v/>
      </c>
      <c r="R555" s="251">
        <f>L555+O555</f>
        <v/>
      </c>
      <c r="S555" s="251">
        <f>Q555+P555</f>
        <v/>
      </c>
      <c r="T555" s="35">
        <f>voranmeldefrist_vierteljaehrlich(G555)</f>
        <v/>
      </c>
      <c r="U555" s="27" t="n"/>
      <c r="V555" s="27" t="n"/>
      <c r="W555" s="210">
        <f>IF(K555=TRUE,Q555/J555,Q555)</f>
        <v/>
      </c>
      <c r="X555" s="237">
        <f>V555/100*S555</f>
        <v/>
      </c>
      <c r="Y555">
        <f>IF(AND(V555&gt;0,N555=V555),TRUE,FALSE)</f>
        <v/>
      </c>
      <c r="Z555" s="228">
        <f>IF(C555="Einnahmen",Q555,-Q555)</f>
        <v/>
      </c>
    </row>
    <row r="556">
      <c r="A556" s="53" t="n">
        <v>2021</v>
      </c>
      <c r="B556" s="53" t="n">
        <v>83</v>
      </c>
      <c r="C556" s="71" t="inlineStr">
        <is>
          <t>Ausgaben</t>
        </is>
      </c>
      <c r="D556" t="inlineStr">
        <is>
          <t>Reise- und Fahrtspesen inkl. Kilometergeld und Diäten</t>
        </is>
      </c>
      <c r="E556" s="131" t="inlineStr">
        <is>
          <t>4293000000020970</t>
        </is>
      </c>
      <c r="G556" s="1" t="n">
        <v>44349</v>
      </c>
      <c r="H556" t="inlineStr">
        <is>
          <t>car2go Österreich GmbH, Hintere Zollamtstraße 9, 1030 Wien</t>
        </is>
      </c>
      <c r="K556" t="b">
        <v>0</v>
      </c>
      <c r="L556" s="214">
        <f>34.14/1.2</f>
        <v/>
      </c>
      <c r="M556" s="159" t="n">
        <v>1</v>
      </c>
      <c r="N556" t="n">
        <v>20</v>
      </c>
      <c r="O556" s="237">
        <f>L556*N556/100</f>
        <v/>
      </c>
      <c r="P556" s="237">
        <f>M556*O556</f>
        <v/>
      </c>
      <c r="Q556" s="208">
        <f>L556*M556</f>
        <v/>
      </c>
      <c r="R556" s="251">
        <f>L556+O556</f>
        <v/>
      </c>
      <c r="S556" s="251">
        <f>Q556+P556</f>
        <v/>
      </c>
      <c r="T556" s="35">
        <f>voranmeldefrist_vierteljaehrlich(G556)</f>
        <v/>
      </c>
      <c r="U556" s="27" t="n"/>
      <c r="V556" s="27" t="n"/>
      <c r="W556" s="210">
        <f>IF(K556=TRUE,Q556/J556,Q556)</f>
        <v/>
      </c>
      <c r="X556" s="237">
        <f>V556/100*S556</f>
        <v/>
      </c>
      <c r="Y556">
        <f>IF(AND(V556&gt;0,N556=V556),TRUE,FALSE)</f>
        <v/>
      </c>
      <c r="Z556" s="228">
        <f>IF(C556="Einnahmen",Q556,-Q556)</f>
        <v/>
      </c>
    </row>
    <row r="557">
      <c r="A557" s="53" t="n">
        <v>2021</v>
      </c>
      <c r="B557" s="53" t="n">
        <v>84</v>
      </c>
      <c r="C557" s="71" t="inlineStr">
        <is>
          <t>Ausgaben</t>
        </is>
      </c>
      <c r="D557" t="inlineStr">
        <is>
          <t>sonstige Betriebsausgaben</t>
        </is>
      </c>
      <c r="E557" s="9" t="inlineStr">
        <is>
          <t>60793/100/2021</t>
        </is>
      </c>
      <c r="G557" s="1" t="n">
        <v>44351</v>
      </c>
      <c r="H557" t="inlineStr">
        <is>
          <t>easy green energy GmbH &amp; Co KG</t>
        </is>
      </c>
      <c r="K557">
        <f>(IF(AND(I557&lt;&gt;"",AND(J557="",ABS(Q557)&gt;400)),TRUE,FALSE))</f>
        <v/>
      </c>
      <c r="L557" s="214" t="n">
        <v>2.5</v>
      </c>
      <c r="M557" s="159" t="n">
        <v>1</v>
      </c>
      <c r="N557" t="n">
        <v>20</v>
      </c>
      <c r="O557" s="237">
        <f>L557*N557/100</f>
        <v/>
      </c>
      <c r="P557" s="237">
        <f>M557*O557</f>
        <v/>
      </c>
      <c r="Q557" s="208">
        <f>L557*M557</f>
        <v/>
      </c>
      <c r="R557" s="251">
        <f>L557+O557</f>
        <v/>
      </c>
      <c r="S557" s="251" t="n">
        <v>3</v>
      </c>
      <c r="T557" s="35">
        <f>voranmeldefrist_vierteljaehrlich(G557)</f>
        <v/>
      </c>
      <c r="U557" s="27" t="n"/>
      <c r="V557" s="27" t="n"/>
      <c r="W557" s="210">
        <f>IF(K557=TRUE,Q557/J557,Q557)</f>
        <v/>
      </c>
      <c r="X557" s="237">
        <f>V557/100*S557</f>
        <v/>
      </c>
      <c r="Y557">
        <f>IF(AND(V557&gt;0,N557=V557),TRUE,FALSE)</f>
        <v/>
      </c>
      <c r="Z557" s="228">
        <f>IF(C557="Einnahmen",Q557,-Q557)</f>
        <v/>
      </c>
    </row>
    <row r="558">
      <c r="A558" s="53" t="n">
        <v>2021</v>
      </c>
      <c r="B558" s="53" t="n">
        <v>85</v>
      </c>
      <c r="C558" s="71" t="inlineStr">
        <is>
          <t>Ausgaben</t>
        </is>
      </c>
      <c r="D558" t="inlineStr">
        <is>
          <t>sonstige Betriebsausgaben</t>
        </is>
      </c>
      <c r="E558" s="9" t="inlineStr">
        <is>
          <t>VS/19-01-05428</t>
        </is>
      </c>
      <c r="G558" s="1" t="n">
        <v>44354</v>
      </c>
      <c r="H558" t="inlineStr">
        <is>
          <t>Techem Messtechnik GmbH; Abnehmernummer 501686-0003-11-( (NACHTRAG 25.12.)</t>
        </is>
      </c>
      <c r="K558">
        <f>(IF(AND(I558&lt;&gt;"",AND(J558="",ABS(Q558)&gt;400)),TRUE,FALSE))</f>
        <v/>
      </c>
      <c r="L558" s="214" t="n">
        <v>35</v>
      </c>
      <c r="M558" s="159" t="n">
        <v>1</v>
      </c>
      <c r="N558" t="n">
        <v>20</v>
      </c>
      <c r="O558" s="237">
        <f>L558*N558/100</f>
        <v/>
      </c>
      <c r="P558" s="237">
        <f>M558*O558</f>
        <v/>
      </c>
      <c r="Q558" s="208">
        <f>L558*M558</f>
        <v/>
      </c>
      <c r="R558" s="251">
        <f>L558+O558</f>
        <v/>
      </c>
      <c r="S558" s="251">
        <f>Q558+P558</f>
        <v/>
      </c>
      <c r="T558" s="35">
        <f>voranmeldefrist_vierteljaehrlich(G558)</f>
        <v/>
      </c>
      <c r="U558" s="27" t="n"/>
      <c r="V558" s="27" t="n"/>
      <c r="W558" s="210">
        <f>IF(K558=TRUE,Q558/I558,Q558)</f>
        <v/>
      </c>
      <c r="X558" s="237">
        <f>V558/100*S558</f>
        <v/>
      </c>
      <c r="Y558">
        <f>IF(AND(V558&gt;0,N558=V558),TRUE,FALSE)</f>
        <v/>
      </c>
      <c r="Z558" s="228">
        <f>IF(C558="Einnahmen",Q558,-Q558)</f>
        <v/>
      </c>
    </row>
    <row r="559">
      <c r="A559" s="53" t="n">
        <v>2021</v>
      </c>
      <c r="B559" s="53" t="n">
        <v>86</v>
      </c>
      <c r="C559" s="71" t="inlineStr">
        <is>
          <t>Einnahmen</t>
        </is>
      </c>
      <c r="D559" t="inlineStr">
        <is>
          <t>Waren-/Leistungserlöse</t>
        </is>
      </c>
      <c r="E559" s="9" t="n">
        <v>12021014</v>
      </c>
      <c r="G559" s="1" t="n">
        <v>44354</v>
      </c>
      <c r="H559" t="inlineStr">
        <is>
          <t>DCF - Digital Coding Factory GmbH, Bauernfeldgasse 4/12 1090 Wien</t>
        </is>
      </c>
      <c r="K559">
        <f>(IF(AND(I559&lt;&gt;"",AND(J559="",ABS(Q559)&gt;400)),TRUE,FALSE))</f>
        <v/>
      </c>
      <c r="L559" s="214" t="n">
        <v>14.94</v>
      </c>
      <c r="M559" s="159" t="n">
        <v>1</v>
      </c>
      <c r="N559" t="n">
        <v>20</v>
      </c>
      <c r="O559" s="237">
        <f>L559*N559/100</f>
        <v/>
      </c>
      <c r="P559" s="237">
        <f>M559*O559</f>
        <v/>
      </c>
      <c r="Q559" s="208">
        <f>L559*M559</f>
        <v/>
      </c>
      <c r="R559" s="251">
        <f>L559+O559</f>
        <v/>
      </c>
      <c r="S559" s="251">
        <f>Q559+P559</f>
        <v/>
      </c>
      <c r="T559" s="35">
        <f>voranmeldefrist_vierteljaehrlich(G559)</f>
        <v/>
      </c>
      <c r="U559" s="27" t="n"/>
      <c r="V559" s="27" t="n"/>
      <c r="W559" s="210">
        <f>IF(K559=TRUE,Q559/I559,Q559)</f>
        <v/>
      </c>
      <c r="X559" s="237">
        <f>V559/100*S559</f>
        <v/>
      </c>
      <c r="Y559">
        <f>IF(AND(V559&gt;0,N559=V559),TRUE,FALSE)</f>
        <v/>
      </c>
      <c r="Z559" s="228">
        <f>IF(C559="Einnahmen",Q559,-Q559)</f>
        <v/>
      </c>
      <c r="AB559">
        <f>L559*1.2=R559</f>
        <v/>
      </c>
      <c r="AC559">
        <f>L559*1.2=S559</f>
        <v/>
      </c>
    </row>
    <row r="560">
      <c r="A560" s="53" t="n">
        <v>2021</v>
      </c>
      <c r="B560" s="53" t="n">
        <v>87</v>
      </c>
      <c r="C560" s="71" t="inlineStr">
        <is>
          <t>Ausgaben</t>
        </is>
      </c>
      <c r="D560" t="inlineStr">
        <is>
          <t>sonstige Betriebsausgaben</t>
        </is>
      </c>
      <c r="E560" s="9" t="inlineStr">
        <is>
          <t>R0013491644</t>
        </is>
      </c>
      <c r="G560" s="1" t="n">
        <v>44354</v>
      </c>
      <c r="H560" t="inlineStr">
        <is>
          <t>Hetzner Online GmbH</t>
        </is>
      </c>
      <c r="J560" s="76" t="inlineStr">
        <is>
          <t>ja</t>
        </is>
      </c>
      <c r="K560">
        <f>(IF(AND(I560&lt;&gt;"",AND(J560="",ABS(Q560)&gt;400)),TRUE,FALSE))</f>
        <v/>
      </c>
      <c r="L560" s="214" t="n">
        <v>2.49</v>
      </c>
      <c r="M560" s="159" t="n">
        <v>1</v>
      </c>
      <c r="N560" t="n">
        <v>0</v>
      </c>
      <c r="O560" s="237">
        <f>L560*N560/100</f>
        <v/>
      </c>
      <c r="P560" s="237">
        <f>M560*O560</f>
        <v/>
      </c>
      <c r="Q560" s="208">
        <f>L560*M560</f>
        <v/>
      </c>
      <c r="R560" s="251">
        <f>L560+O560</f>
        <v/>
      </c>
      <c r="S560" s="251">
        <f>Q560+P560</f>
        <v/>
      </c>
      <c r="T560" s="35">
        <f>voranmeldefrist_vierteljaehrlich(G560)</f>
        <v/>
      </c>
      <c r="U560" s="27" t="n"/>
      <c r="V560" s="27" t="n">
        <v>20</v>
      </c>
      <c r="W560" s="210">
        <f>IF(K560=TRUE,Q560/J560,Q560)</f>
        <v/>
      </c>
      <c r="X560" s="237">
        <f>V560/100*S560</f>
        <v/>
      </c>
      <c r="Y560">
        <f>IF(AND(V560&gt;0,N560=V560),TRUE,FALSE)</f>
        <v/>
      </c>
      <c r="Z560" s="228">
        <f>IF(C560="Einnahmen",Q560,-Q560)</f>
        <v/>
      </c>
    </row>
    <row r="561">
      <c r="A561" s="53" t="n">
        <v>2021</v>
      </c>
      <c r="B561" s="53" t="n">
        <v>88</v>
      </c>
      <c r="C561" s="71" t="inlineStr">
        <is>
          <t>Ausgaben</t>
        </is>
      </c>
      <c r="D561" t="inlineStr">
        <is>
          <t>sonstige Betriebsausgaben</t>
        </is>
      </c>
      <c r="E561" s="9" t="inlineStr">
        <is>
          <t>5137082649</t>
        </is>
      </c>
      <c r="G561" s="1" t="n">
        <v>44357</v>
      </c>
      <c r="H561" t="inlineStr">
        <is>
          <t>Wiener Netze GmbH, Erdbergstraße 236, 1110 Wien, Postfach 422; Jahresabrechnung vom 17.12.20: GUTSCHRIFT</t>
        </is>
      </c>
      <c r="K561">
        <f>(IF(AND(I561&lt;&gt;"",AND(J561="",ABS(Q561)&gt;400)),TRUE,FALSE))</f>
        <v/>
      </c>
      <c r="L561" s="214" t="n">
        <v>13</v>
      </c>
      <c r="M561" s="159" t="n">
        <v>1</v>
      </c>
      <c r="N561" t="n">
        <v>20</v>
      </c>
      <c r="O561" s="237">
        <f>L561*N561/100</f>
        <v/>
      </c>
      <c r="P561" s="237">
        <f>M561*O561</f>
        <v/>
      </c>
      <c r="Q561" s="208">
        <f>L561*M561</f>
        <v/>
      </c>
      <c r="R561" s="251">
        <f>L561+O561</f>
        <v/>
      </c>
      <c r="S561" s="251">
        <f>Q561+P561</f>
        <v/>
      </c>
      <c r="T561" s="35">
        <f>voranmeldefrist_vierteljaehrlich(G561)</f>
        <v/>
      </c>
      <c r="U561" s="27" t="n"/>
      <c r="V561" s="27" t="n"/>
      <c r="W561" s="210">
        <f>IF(K561=TRUE,Q561/J561,Q561)</f>
        <v/>
      </c>
      <c r="X561" s="237">
        <f>V561/100*S561</f>
        <v/>
      </c>
      <c r="Y561">
        <f>IF(AND(V561&gt;0,N561=V561),TRUE,FALSE)</f>
        <v/>
      </c>
      <c r="Z561" s="228">
        <f>IF(C561="Einnahmen",Q561,-Q561)</f>
        <v/>
      </c>
    </row>
    <row r="562">
      <c r="A562" s="53" t="n">
        <v>2021</v>
      </c>
      <c r="B562" s="53" t="n">
        <v>89</v>
      </c>
      <c r="C562" s="71" t="inlineStr">
        <is>
          <t>Ausgaben</t>
        </is>
      </c>
      <c r="D562" t="inlineStr">
        <is>
          <t>sonstige Betriebsausgaben</t>
        </is>
      </c>
      <c r="E562" s="9" t="inlineStr">
        <is>
          <t>R0013543327</t>
        </is>
      </c>
      <c r="G562" s="1" t="n">
        <v>44358</v>
      </c>
      <c r="H562" t="inlineStr">
        <is>
          <t>Hetzner Online GmbH</t>
        </is>
      </c>
      <c r="K562">
        <f>(IF(AND(I562&lt;&gt;"",AND(J562="",ABS(Q562)&gt;400)),TRUE,FALSE))</f>
        <v/>
      </c>
      <c r="L562" s="214" t="n">
        <v>46.9168</v>
      </c>
      <c r="M562" s="159" t="n">
        <v>1</v>
      </c>
      <c r="N562" t="n">
        <v>0</v>
      </c>
      <c r="O562" s="237">
        <f>L562*N562/100</f>
        <v/>
      </c>
      <c r="P562" s="237">
        <f>M562*O562</f>
        <v/>
      </c>
      <c r="Q562" s="208">
        <f>L562*M562</f>
        <v/>
      </c>
      <c r="R562" s="251">
        <f>L562+O562</f>
        <v/>
      </c>
      <c r="S562" s="251">
        <f>Q562+P562</f>
        <v/>
      </c>
      <c r="T562" s="35">
        <f>voranmeldefrist_vierteljaehrlich(G562)</f>
        <v/>
      </c>
      <c r="U562" s="27" t="n"/>
      <c r="V562" s="27" t="n">
        <v>20</v>
      </c>
      <c r="W562" s="210">
        <f>IF(K562=TRUE,Q562/J562,Q562)</f>
        <v/>
      </c>
      <c r="X562" s="237">
        <f>V562/100*S562</f>
        <v/>
      </c>
      <c r="Y562">
        <f>IF(AND(V562&gt;0,N562=V562),TRUE,FALSE)</f>
        <v/>
      </c>
      <c r="Z562" s="228">
        <f>IF(C562="Einnahmen",Q562,-Q562)</f>
        <v/>
      </c>
    </row>
    <row r="563">
      <c r="A563" s="53" t="n">
        <v>2021</v>
      </c>
      <c r="B563" s="53" t="n">
        <v>90</v>
      </c>
      <c r="C563" s="71" t="inlineStr">
        <is>
          <t>Ausgaben</t>
        </is>
      </c>
      <c r="D563" t="inlineStr">
        <is>
          <t>sonstige Betriebsausgaben</t>
        </is>
      </c>
      <c r="E563" s="9" t="inlineStr">
        <is>
          <t>AT2020-1130</t>
        </is>
      </c>
      <c r="G563" s="1" t="n">
        <v>44358</v>
      </c>
      <c r="H563" t="inlineStr">
        <is>
          <t>Woocommerce.com, 17 Shelley Road, Salt River, Cape Town 7625, South Africa</t>
        </is>
      </c>
      <c r="J563" s="76" t="inlineStr">
        <is>
          <t>ja</t>
        </is>
      </c>
      <c r="K563">
        <f>(IF(AND(I563&lt;&gt;"",AND(J563="",ABS(Q563)&gt;400)),TRUE,FALSE))</f>
        <v/>
      </c>
      <c r="L563" s="214" t="n">
        <v>24.19</v>
      </c>
      <c r="M563" s="159" t="n">
        <v>1</v>
      </c>
      <c r="N563" t="n">
        <v>0</v>
      </c>
      <c r="O563" s="237">
        <f>L563*N563/100</f>
        <v/>
      </c>
      <c r="P563" s="237">
        <f>M563*O563</f>
        <v/>
      </c>
      <c r="Q563" s="208">
        <f>L563*M563</f>
        <v/>
      </c>
      <c r="R563" s="251">
        <f>L563+O563</f>
        <v/>
      </c>
      <c r="S563" s="251">
        <f>Q563+P563</f>
        <v/>
      </c>
      <c r="T563" s="35">
        <f>voranmeldefrist_vierteljaehrlich(G563)</f>
        <v/>
      </c>
      <c r="U563" s="27" t="n"/>
      <c r="V563" s="27" t="n">
        <v>20</v>
      </c>
      <c r="W563" s="210">
        <f>IF(K563=TRUE,Q563/J563,Q563)</f>
        <v/>
      </c>
      <c r="X563" s="237">
        <f>V563/100*S563</f>
        <v/>
      </c>
      <c r="Y563">
        <f>IF(AND(V563&gt;0,N563=V563),TRUE,FALSE)</f>
        <v/>
      </c>
      <c r="Z563" s="228">
        <f>IF(C563="Einnahmen",Q563,-Q563)</f>
        <v/>
      </c>
    </row>
    <row r="564">
      <c r="A564" s="53" t="n">
        <v>2021</v>
      </c>
      <c r="B564" s="53" t="n">
        <v>91</v>
      </c>
      <c r="C564" s="71" t="inlineStr">
        <is>
          <t>Ausgaben</t>
        </is>
      </c>
      <c r="D564" t="inlineStr">
        <is>
          <t>sonstige Betriebsausgaben</t>
        </is>
      </c>
      <c r="E564" s="136" t="inlineStr">
        <is>
          <t>34466948189</t>
        </is>
      </c>
      <c r="G564" s="1" t="n">
        <v>44368</v>
      </c>
      <c r="H564" t="inlineStr">
        <is>
          <t>Microsoft Ireland Operations Ltd. One Microsoft Place, South County, Business Park, Leopardstown, Dublin 18, D18 P521, Ireland</t>
        </is>
      </c>
      <c r="K564">
        <f>(IF(AND(I564&lt;&gt;"",AND(J564="",ABS(Q564)&gt;400)),TRUE,FALSE))</f>
        <v/>
      </c>
      <c r="L564" s="214" t="n">
        <v>69</v>
      </c>
      <c r="M564" s="159" t="n">
        <v>1</v>
      </c>
      <c r="N564" t="n">
        <v>0</v>
      </c>
      <c r="O564" s="237">
        <f>L564*N564/100</f>
        <v/>
      </c>
      <c r="P564" s="237">
        <f>M564*O564</f>
        <v/>
      </c>
      <c r="Q564" s="208">
        <f>L564*M564</f>
        <v/>
      </c>
      <c r="R564" s="251">
        <f>L564+O564</f>
        <v/>
      </c>
      <c r="S564" s="251">
        <f>Q564+P564</f>
        <v/>
      </c>
      <c r="T564" s="35">
        <f>voranmeldefrist_vierteljaehrlich(G564)</f>
        <v/>
      </c>
      <c r="U564" s="27" t="n"/>
      <c r="V564" s="27" t="n">
        <v>20</v>
      </c>
      <c r="W564" s="210">
        <f>IF(K564=TRUE,Q564/J564,Q564)</f>
        <v/>
      </c>
      <c r="X564" s="237">
        <f>V564/100*S564</f>
        <v/>
      </c>
      <c r="Y564">
        <f>IF(AND(V564&gt;0,N564=V564),TRUE,FALSE)</f>
        <v/>
      </c>
      <c r="Z564" s="228">
        <f>IF(C564="Einnahmen",Q564,-Q564)</f>
        <v/>
      </c>
    </row>
    <row r="565">
      <c r="A565" s="53" t="n">
        <v>2021</v>
      </c>
      <c r="B565" s="53" t="n">
        <v>92</v>
      </c>
      <c r="C565" s="71" t="inlineStr">
        <is>
          <t>Ausgaben</t>
        </is>
      </c>
      <c r="D565" t="inlineStr">
        <is>
          <t>sonstige Betriebsausgaben</t>
        </is>
      </c>
      <c r="E565" s="136" t="inlineStr">
        <is>
          <t>MP-2021-33591</t>
        </is>
      </c>
      <c r="G565" s="1" t="n">
        <v>44368</v>
      </c>
      <c r="H565" s="3" t="inlineStr">
        <is>
          <t>Marketpress GmbH</t>
        </is>
      </c>
      <c r="J565" s="76" t="inlineStr">
        <is>
          <t>ja</t>
        </is>
      </c>
      <c r="K565">
        <f>(IF(AND(I565&lt;&gt;"",AND(J565="",ABS(Q565)&gt;400)),TRUE,FALSE))</f>
        <v/>
      </c>
      <c r="L565" s="214" t="n">
        <v>45.83</v>
      </c>
      <c r="M565" s="159" t="n">
        <v>1</v>
      </c>
      <c r="N565" t="n">
        <v>0</v>
      </c>
      <c r="O565" s="237">
        <f>L565*N565/100</f>
        <v/>
      </c>
      <c r="P565" s="237">
        <f>M565*O565</f>
        <v/>
      </c>
      <c r="Q565" s="208">
        <f>L565*M565</f>
        <v/>
      </c>
      <c r="R565" s="251">
        <f>L565+O565</f>
        <v/>
      </c>
      <c r="S565" s="251">
        <f>Q565+P565</f>
        <v/>
      </c>
      <c r="T565" s="35">
        <f>voranmeldefrist_vierteljaehrlich(G565)</f>
        <v/>
      </c>
      <c r="U565" s="27" t="n"/>
      <c r="V565" s="27" t="n">
        <v>20</v>
      </c>
      <c r="W565" s="210">
        <f>IF(K565=TRUE,Q565/J565,Q565)</f>
        <v/>
      </c>
      <c r="X565" s="237">
        <f>V565/100*S565</f>
        <v/>
      </c>
      <c r="Y565">
        <f>IF(AND(V565&gt;0,N565=V565),TRUE,FALSE)</f>
        <v/>
      </c>
      <c r="Z565" s="228">
        <f>IF(C565="Einnahmen",Q565,-Q565)</f>
        <v/>
      </c>
    </row>
    <row r="566">
      <c r="A566" s="53" t="n">
        <v>2021</v>
      </c>
      <c r="B566" s="53" t="n">
        <v>93</v>
      </c>
      <c r="C566" s="71" t="inlineStr">
        <is>
          <t>Ausgaben</t>
        </is>
      </c>
      <c r="D566" t="inlineStr">
        <is>
          <t>Telefon/Internet</t>
        </is>
      </c>
      <c r="E566" s="136" t="inlineStr">
        <is>
          <t>901208980621</t>
        </is>
      </c>
      <c r="G566" s="1" t="n">
        <v>44369</v>
      </c>
      <c r="H566" t="inlineStr">
        <is>
          <t>Magenta: T-Mobile Austria GmbH, A-1120 Wien, PF 47</t>
        </is>
      </c>
      <c r="K566">
        <f>(IF(AND(I566&lt;&gt;"",AND(J566="",ABS(Q566)&gt;400)),TRUE,FALSE))</f>
        <v/>
      </c>
      <c r="L566" s="214" t="n">
        <v>31.92</v>
      </c>
      <c r="M566" s="159" t="n">
        <v>1</v>
      </c>
      <c r="N566" t="n">
        <v>20</v>
      </c>
      <c r="O566" s="237">
        <f>L566*N566/100</f>
        <v/>
      </c>
      <c r="P566" s="237">
        <f>M566*O566</f>
        <v/>
      </c>
      <c r="Q566" s="208">
        <f>L566*M566</f>
        <v/>
      </c>
      <c r="R566" s="251">
        <f>L566+O566</f>
        <v/>
      </c>
      <c r="S566" s="251">
        <f>Q566+P566</f>
        <v/>
      </c>
      <c r="T566" s="35">
        <f>voranmeldefrist_vierteljaehrlich(G566)</f>
        <v/>
      </c>
      <c r="U566" s="27" t="n"/>
      <c r="V566" s="27" t="n"/>
      <c r="W566" s="210">
        <f>IF(K566=TRUE,Q566/I566,Q566)</f>
        <v/>
      </c>
      <c r="X566" s="237">
        <f>V566/100*S566</f>
        <v/>
      </c>
      <c r="Y566">
        <f>IF(AND(V566&gt;0,N566=V566),TRUE,FALSE)</f>
        <v/>
      </c>
      <c r="Z566" s="228">
        <f>IF(C566="Einnahmen",Q566,-Q566)</f>
        <v/>
      </c>
    </row>
    <row r="567">
      <c r="A567" s="53" t="n">
        <v>2021</v>
      </c>
      <c r="B567" s="53" t="n">
        <v>94</v>
      </c>
      <c r="C567" s="71" t="inlineStr">
        <is>
          <t>Ausgaben</t>
        </is>
      </c>
      <c r="D567" t="inlineStr">
        <is>
          <t>Waren, Rohstoffe, Hilfsstoffe</t>
        </is>
      </c>
      <c r="E567" s="136" t="inlineStr">
        <is>
          <t>842661</t>
        </is>
      </c>
      <c r="G567" s="1" t="n">
        <v>44372</v>
      </c>
      <c r="H567" t="inlineStr">
        <is>
          <t>Lemon Technologies GmbH, Unterweißenbach 181, 7330 Feldbach: Bildschirm</t>
        </is>
      </c>
      <c r="J567" s="76" t="inlineStr">
        <is>
          <t>ja</t>
        </is>
      </c>
      <c r="K567">
        <f>(IF(AND(I567&lt;&gt;"",AND(J567="",ABS(Q567)&gt;400)),TRUE,FALSE))</f>
        <v/>
      </c>
      <c r="L567" s="214" t="n">
        <v>107.42</v>
      </c>
      <c r="M567" s="159" t="n">
        <v>1</v>
      </c>
      <c r="N567" t="n">
        <v>20</v>
      </c>
      <c r="O567" s="237">
        <f>L567*N567/100</f>
        <v/>
      </c>
      <c r="P567" s="237">
        <f>M567*O567</f>
        <v/>
      </c>
      <c r="Q567" s="208">
        <f>L567*M567</f>
        <v/>
      </c>
      <c r="R567" s="251">
        <f>L567+O567</f>
        <v/>
      </c>
      <c r="S567" s="251">
        <f>Q567+P567</f>
        <v/>
      </c>
      <c r="T567" s="35">
        <f>voranmeldefrist_vierteljaehrlich(G567)</f>
        <v/>
      </c>
      <c r="U567" s="27" t="n"/>
      <c r="V567" s="27" t="n"/>
      <c r="W567" s="210">
        <f>IF(K567=TRUE,Q567/I567,Q567)</f>
        <v/>
      </c>
      <c r="X567" s="237">
        <f>V567/100*S567</f>
        <v/>
      </c>
      <c r="Y567">
        <f>IF(AND(V567&gt;0,N567=V567),TRUE,FALSE)</f>
        <v/>
      </c>
      <c r="Z567" s="228">
        <f>IF(C567="Einnahmen",Q567,-Q567)</f>
        <v/>
      </c>
    </row>
    <row r="568">
      <c r="A568" s="53" t="n">
        <v>2021</v>
      </c>
      <c r="B568" s="53" t="n">
        <v>95</v>
      </c>
      <c r="C568" s="71" t="inlineStr">
        <is>
          <t>Ausgaben</t>
        </is>
      </c>
      <c r="D568" t="inlineStr">
        <is>
          <t>Telefon/Internet</t>
        </is>
      </c>
      <c r="E568" s="9" t="inlineStr">
        <is>
          <t>6222766899</t>
        </is>
      </c>
      <c r="G568" s="1" t="n">
        <v>44377</v>
      </c>
      <c r="H568" t="inlineStr">
        <is>
          <t>Hutchison Drei Austria GmbH, Brünner Straße 52, 1210 Wien, Österreich</t>
        </is>
      </c>
      <c r="K568">
        <f>(IF(AND(I568&lt;&gt;"",AND(J568="",ABS(Q568)&gt;400)),TRUE,FALSE))</f>
        <v/>
      </c>
      <c r="L568" s="214" t="n">
        <v>15</v>
      </c>
      <c r="M568" s="159" t="n">
        <v>1</v>
      </c>
      <c r="N568" t="n">
        <v>20</v>
      </c>
      <c r="O568" s="237">
        <f>L568*N568/100</f>
        <v/>
      </c>
      <c r="P568" s="237">
        <f>M568*O568</f>
        <v/>
      </c>
      <c r="Q568" s="208">
        <f>L568*M568</f>
        <v/>
      </c>
      <c r="R568" s="251">
        <f>L568+O568</f>
        <v/>
      </c>
      <c r="S568" s="251">
        <f>Q568+P568</f>
        <v/>
      </c>
      <c r="T568" s="35">
        <f>voranmeldefrist_vierteljaehrlich(G568)</f>
        <v/>
      </c>
      <c r="U568" s="27" t="n"/>
      <c r="V568" s="27" t="n"/>
      <c r="W568" s="210">
        <f>IF(K568=TRUE,Q568/I568,Q568)</f>
        <v/>
      </c>
      <c r="X568" s="237">
        <f>V568/100*S568</f>
        <v/>
      </c>
      <c r="Y568">
        <f>IF(AND(V568&gt;0,N568=V568),TRUE,FALSE)</f>
        <v/>
      </c>
      <c r="Z568" s="228">
        <f>IF(C568="Einnahmen",Q568,-Q568)</f>
        <v/>
      </c>
    </row>
    <row r="569">
      <c r="A569" s="53" t="n">
        <v>2021</v>
      </c>
      <c r="B569" s="53" t="n">
        <v>96</v>
      </c>
      <c r="C569" s="71" t="inlineStr">
        <is>
          <t>Ausgaben</t>
        </is>
      </c>
      <c r="D569" t="inlineStr">
        <is>
          <t>Miet- und Pachtaufwand, Leasing</t>
        </is>
      </c>
      <c r="E569" s="136" t="inlineStr">
        <is>
          <t>21/9801/VS00471</t>
        </is>
      </c>
      <c r="G569" s="1" t="n">
        <v>44378</v>
      </c>
      <c r="H569" t="inlineStr">
        <is>
          <t>Bontus Immobilienverwaltung GmbH, 1010 Wien, Franz Josefs Kai 65</t>
        </is>
      </c>
      <c r="K569" t="b">
        <v>0</v>
      </c>
      <c r="L569" s="214">
        <f>564.56/1.2</f>
        <v/>
      </c>
      <c r="M569" s="159" t="n">
        <v>1</v>
      </c>
      <c r="N569" t="n">
        <v>20</v>
      </c>
      <c r="O569" s="237">
        <f>L569*N569/100</f>
        <v/>
      </c>
      <c r="P569" s="237">
        <f>M569*O569</f>
        <v/>
      </c>
      <c r="Q569" s="208">
        <f>L569*M569</f>
        <v/>
      </c>
      <c r="R569" s="251">
        <f>L569+O569</f>
        <v/>
      </c>
      <c r="S569" s="251">
        <f>Q569+P569</f>
        <v/>
      </c>
      <c r="T569" s="35">
        <f>voranmeldefrist_vierteljaehrlich(G569)</f>
        <v/>
      </c>
      <c r="U569" s="27" t="n"/>
      <c r="V569" s="27" t="n"/>
      <c r="W569" s="210">
        <f>IF(K569=TRUE,Q569/J569,Q569)</f>
        <v/>
      </c>
      <c r="X569" s="237">
        <f>V569/100*S569</f>
        <v/>
      </c>
      <c r="Y569">
        <f>IF(AND(V569&gt;0,N569=V569),TRUE,FALSE)</f>
        <v/>
      </c>
      <c r="Z569" s="228">
        <f>IF(C569="Einnahmen",Q569,-Q569)</f>
        <v/>
      </c>
    </row>
    <row r="570">
      <c r="A570" s="53" t="n">
        <v>2021</v>
      </c>
      <c r="B570" s="53" t="n">
        <v>97</v>
      </c>
      <c r="C570" s="71" t="inlineStr">
        <is>
          <t>Einnahmen</t>
        </is>
      </c>
      <c r="D570" t="inlineStr">
        <is>
          <t>Waren-/Leistungserlöse</t>
        </is>
      </c>
      <c r="E570" s="9" t="inlineStr">
        <is>
          <t>12021020</t>
        </is>
      </c>
      <c r="G570" s="1" t="n">
        <v>44378</v>
      </c>
      <c r="H570" t="inlineStr">
        <is>
          <t>Kolbitsch Engineering &amp; Consulting KNr 45</t>
        </is>
      </c>
      <c r="K570" t="b">
        <v>0</v>
      </c>
      <c r="L570" s="214" t="n">
        <v>89</v>
      </c>
      <c r="M570" s="159" t="n">
        <v>1</v>
      </c>
      <c r="N570" t="n">
        <v>20</v>
      </c>
      <c r="O570" s="237">
        <f>L570*N570/100</f>
        <v/>
      </c>
      <c r="P570" s="237">
        <f>M570*O570</f>
        <v/>
      </c>
      <c r="Q570" s="208">
        <f>L570*M570</f>
        <v/>
      </c>
      <c r="R570" s="251">
        <f>L570+O570</f>
        <v/>
      </c>
      <c r="S570" s="251">
        <f>Q570+P570</f>
        <v/>
      </c>
      <c r="T570" s="35">
        <f>voranmeldefrist_vierteljaehrlich(G570)</f>
        <v/>
      </c>
      <c r="U570" s="27" t="n"/>
      <c r="V570" s="27" t="n"/>
      <c r="W570" s="210">
        <f>IF(K570=TRUE,Q570/J570,Q570)</f>
        <v/>
      </c>
      <c r="X570" s="237">
        <f>V570/100*S570</f>
        <v/>
      </c>
      <c r="Y570">
        <f>IF(AND(V570&gt;0,N570=V570),TRUE,FALSE)</f>
        <v/>
      </c>
      <c r="Z570" s="228">
        <f>IF(C570="Einnahmen",Q570,-Q570)</f>
        <v/>
      </c>
      <c r="AB570">
        <f>L570*1.2=R570</f>
        <v/>
      </c>
      <c r="AC570">
        <f>L570*1.2=S570</f>
        <v/>
      </c>
    </row>
    <row r="571">
      <c r="A571" s="53" t="n">
        <v>2021</v>
      </c>
      <c r="B571" s="53" t="n">
        <v>98</v>
      </c>
      <c r="C571" s="71" t="inlineStr">
        <is>
          <t>Einnahmen</t>
        </is>
      </c>
      <c r="D571" t="inlineStr">
        <is>
          <t>Waren-/Leistungserlöse</t>
        </is>
      </c>
      <c r="E571" s="9" t="inlineStr">
        <is>
          <t>12021009</t>
        </is>
      </c>
      <c r="G571" s="1" t="n">
        <v>44378</v>
      </c>
      <c r="H571" t="inlineStr">
        <is>
          <t>ZT DI Dr. Arno Kolbitsch, Gütleweg 1, 6822 Satteins</t>
        </is>
      </c>
      <c r="K571">
        <f>(IF(AND(I571&lt;&gt;"",AND(J571="",ABS(Q571)&gt;400)),TRUE,FALSE))</f>
        <v/>
      </c>
      <c r="L571" s="214" t="n">
        <v>18500</v>
      </c>
      <c r="M571" s="159" t="n">
        <v>1</v>
      </c>
      <c r="N571" t="n">
        <v>20</v>
      </c>
      <c r="O571" s="237">
        <f>L571*N571/100</f>
        <v/>
      </c>
      <c r="P571" s="237">
        <f>M571*O571</f>
        <v/>
      </c>
      <c r="Q571" s="208">
        <f>L571*M571</f>
        <v/>
      </c>
      <c r="R571" s="251">
        <f>L571+O571</f>
        <v/>
      </c>
      <c r="S571" s="251">
        <f>Q571+P571</f>
        <v/>
      </c>
      <c r="T571" s="35">
        <f>voranmeldefrist_vierteljaehrlich(G571)</f>
        <v/>
      </c>
      <c r="U571" s="27" t="n"/>
      <c r="V571" s="27" t="n"/>
      <c r="W571" s="210">
        <f>IF(K571=TRUE,Q571/I571,Q571)</f>
        <v/>
      </c>
      <c r="X571" s="237">
        <f>V571/100*S571</f>
        <v/>
      </c>
      <c r="Y571">
        <f>IF(AND(V571&gt;0,N571=V571),TRUE,FALSE)</f>
        <v/>
      </c>
      <c r="Z571" s="228">
        <f>IF(C571="Einnahmen",Q571,-Q571)</f>
        <v/>
      </c>
      <c r="AB571">
        <f>L571*1.2=R571</f>
        <v/>
      </c>
      <c r="AC571">
        <f>L571*1.2=S571</f>
        <v/>
      </c>
    </row>
    <row r="572">
      <c r="A572" s="53" t="n">
        <v>2021</v>
      </c>
      <c r="B572" s="53" t="n">
        <v>99</v>
      </c>
      <c r="C572" s="71" t="inlineStr">
        <is>
          <t>Einnahmen</t>
        </is>
      </c>
      <c r="D572" t="inlineStr">
        <is>
          <t>Waren-/Leistungserlöse</t>
        </is>
      </c>
      <c r="E572" s="9" t="inlineStr">
        <is>
          <t>12021016</t>
        </is>
      </c>
      <c r="G572" s="1" t="n">
        <v>44379</v>
      </c>
      <c r="H572" t="inlineStr">
        <is>
          <t>H. Jaros e.U., Kohlmarkt 16/2/2/15a, 1010 Wien</t>
        </is>
      </c>
      <c r="K572">
        <f>(IF(AND(I572&lt;&gt;"",AND(J572="",ABS(Q572)&gt;400)),TRUE,FALSE))</f>
        <v/>
      </c>
      <c r="L572" s="214" t="n">
        <v>175</v>
      </c>
      <c r="M572" s="159" t="n">
        <v>1</v>
      </c>
      <c r="N572" t="n">
        <v>20</v>
      </c>
      <c r="O572" s="237">
        <f>L572*N572/100</f>
        <v/>
      </c>
      <c r="P572" s="237">
        <f>M572*O572</f>
        <v/>
      </c>
      <c r="Q572" s="208">
        <f>L572*M572</f>
        <v/>
      </c>
      <c r="R572" s="251">
        <f>L572+O572</f>
        <v/>
      </c>
      <c r="S572" s="251">
        <f>Q572+P572</f>
        <v/>
      </c>
      <c r="T572" s="35">
        <f>voranmeldefrist_vierteljaehrlich(G572)</f>
        <v/>
      </c>
      <c r="U572" s="27" t="n"/>
      <c r="V572" s="27" t="n"/>
      <c r="W572" s="210">
        <f>IF(K572=TRUE,Q572/J572,Q572)</f>
        <v/>
      </c>
      <c r="X572" s="237">
        <f>V572/100*S572</f>
        <v/>
      </c>
      <c r="Y572">
        <f>IF(AND(V572&gt;0,N572=V572),TRUE,FALSE)</f>
        <v/>
      </c>
      <c r="Z572" s="228">
        <f>IF(C572="Einnahmen",Q572,-Q572)</f>
        <v/>
      </c>
      <c r="AB572">
        <f>L572*1.2=R572</f>
        <v/>
      </c>
      <c r="AC572">
        <f>L572*1.2=S572</f>
        <v/>
      </c>
    </row>
    <row r="573">
      <c r="A573" s="53" t="n">
        <v>2021</v>
      </c>
      <c r="B573" s="53" t="n">
        <v>100</v>
      </c>
      <c r="C573" s="71" t="inlineStr">
        <is>
          <t>Ausgaben</t>
        </is>
      </c>
      <c r="D573" t="inlineStr">
        <is>
          <t>Reise- und Fahrtspesen inkl. Kilometergeld und Diäten</t>
        </is>
      </c>
      <c r="E573" s="131" t="inlineStr">
        <is>
          <t>4293000000021290</t>
        </is>
      </c>
      <c r="G573" s="1" t="n">
        <v>44379</v>
      </c>
      <c r="H573" t="inlineStr">
        <is>
          <t>car2go Österreich GmbH, Hintere Zollamtstraße 9, 1030 Wien</t>
        </is>
      </c>
      <c r="K573" t="b">
        <v>0</v>
      </c>
      <c r="L573" s="214">
        <f>13.35/1.2</f>
        <v/>
      </c>
      <c r="M573" s="159" t="n">
        <v>1</v>
      </c>
      <c r="N573" t="n">
        <v>20</v>
      </c>
      <c r="O573" s="237">
        <f>L573*N573/100</f>
        <v/>
      </c>
      <c r="P573" s="237">
        <f>M573*O573</f>
        <v/>
      </c>
      <c r="Q573" s="208">
        <f>L573*M573</f>
        <v/>
      </c>
      <c r="R573" s="251">
        <f>L573+O573</f>
        <v/>
      </c>
      <c r="S573" s="251">
        <f>Q573+P573</f>
        <v/>
      </c>
      <c r="T573" s="35">
        <f>voranmeldefrist_vierteljaehrlich(G573)</f>
        <v/>
      </c>
      <c r="U573" s="27" t="n"/>
      <c r="V573" s="27" t="n"/>
      <c r="W573" s="210">
        <f>IF(K573=TRUE,Q573/J573,Q573)</f>
        <v/>
      </c>
      <c r="X573" s="237">
        <f>V573/100*S573</f>
        <v/>
      </c>
      <c r="Y573">
        <f>IF(AND(V573&gt;0,N573=V573),TRUE,FALSE)</f>
        <v/>
      </c>
      <c r="Z573" s="228">
        <f>IF(C573="Einnahmen",Q573,-Q573)</f>
        <v/>
      </c>
    </row>
    <row r="574">
      <c r="A574" s="53" t="n">
        <v>2021</v>
      </c>
      <c r="B574" s="53" t="n">
        <v>101</v>
      </c>
      <c r="C574" s="71" t="inlineStr">
        <is>
          <t>Einnahmen</t>
        </is>
      </c>
      <c r="D574" t="inlineStr">
        <is>
          <t>Waren-/Leistungserlöse</t>
        </is>
      </c>
      <c r="E574" s="9" t="inlineStr">
        <is>
          <t>12021017</t>
        </is>
      </c>
      <c r="G574" s="1" t="n">
        <v>44382</v>
      </c>
      <c r="H574" t="inlineStr">
        <is>
          <t>Martin Dürauer e.U., Schreinergasse 7/1, A-3100 St. Pölten</t>
        </is>
      </c>
      <c r="K574" t="b">
        <v>0</v>
      </c>
      <c r="L574" s="214" t="n">
        <v>100</v>
      </c>
      <c r="M574" s="159" t="n">
        <v>1</v>
      </c>
      <c r="N574" t="n">
        <v>20</v>
      </c>
      <c r="O574" s="237">
        <f>L574*N574/100</f>
        <v/>
      </c>
      <c r="P574" s="237">
        <f>M574*O574</f>
        <v/>
      </c>
      <c r="Q574" s="208">
        <f>L574*M574</f>
        <v/>
      </c>
      <c r="R574" s="251">
        <f>L574+O574</f>
        <v/>
      </c>
      <c r="S574" s="251">
        <f>Q574+P574</f>
        <v/>
      </c>
      <c r="T574" s="35">
        <f>voranmeldefrist_vierteljaehrlich(G574)</f>
        <v/>
      </c>
      <c r="U574" s="27" t="n"/>
      <c r="V574" s="27" t="n"/>
      <c r="W574" s="210">
        <f>IF(K574=TRUE,Q574/I574,Q574)</f>
        <v/>
      </c>
      <c r="X574" s="237">
        <f>V574/100*S574</f>
        <v/>
      </c>
      <c r="Y574">
        <f>IF(AND(V574&gt;0,N574=V574),TRUE,FALSE)</f>
        <v/>
      </c>
      <c r="Z574" s="228">
        <f>IF(C574="Einnahmen",Q574,-Q574)</f>
        <v/>
      </c>
      <c r="AB574">
        <f>L574*1.2=R574</f>
        <v/>
      </c>
      <c r="AC574">
        <f>L574*1.2=S574</f>
        <v/>
      </c>
    </row>
    <row r="575">
      <c r="A575" s="53" t="n">
        <v>2021</v>
      </c>
      <c r="B575" s="53" t="n">
        <v>102</v>
      </c>
      <c r="C575" s="71" t="inlineStr">
        <is>
          <t>Ausgaben</t>
        </is>
      </c>
      <c r="D575" t="inlineStr">
        <is>
          <t>sonstige Betriebsausgaben</t>
        </is>
      </c>
      <c r="E575" s="9" t="inlineStr">
        <is>
          <t>60793/100/2021</t>
        </is>
      </c>
      <c r="G575" s="1" t="n">
        <v>44382</v>
      </c>
      <c r="H575" t="inlineStr">
        <is>
          <t>easy green energy GmbH &amp; Co KG</t>
        </is>
      </c>
      <c r="K575">
        <f>(IF(AND(I575&lt;&gt;"",AND(J575="",ABS(Q575)&gt;400)),TRUE,FALSE))</f>
        <v/>
      </c>
      <c r="L575" s="214" t="n">
        <v>2.5</v>
      </c>
      <c r="M575" s="159" t="n">
        <v>1</v>
      </c>
      <c r="N575" t="n">
        <v>20</v>
      </c>
      <c r="O575" s="237">
        <f>L575*N575/100</f>
        <v/>
      </c>
      <c r="P575" s="237">
        <f>M575*O575</f>
        <v/>
      </c>
      <c r="Q575" s="208">
        <f>L575*M575</f>
        <v/>
      </c>
      <c r="R575" s="251">
        <f>L575+O575</f>
        <v/>
      </c>
      <c r="S575" s="251" t="n">
        <v>3</v>
      </c>
      <c r="T575" s="35">
        <f>voranmeldefrist_vierteljaehrlich(G575)</f>
        <v/>
      </c>
      <c r="U575" s="27" t="n"/>
      <c r="V575" s="27" t="n"/>
      <c r="W575" s="210">
        <f>IF(K575=TRUE,Q575/J575,Q575)</f>
        <v/>
      </c>
      <c r="X575" s="237">
        <f>V575/100*S575</f>
        <v/>
      </c>
      <c r="Y575">
        <f>IF(AND(V575&gt;0,N575=V575),TRUE,FALSE)</f>
        <v/>
      </c>
      <c r="Z575" s="228">
        <f>IF(C575="Einnahmen",Q575,-Q575)</f>
        <v/>
      </c>
    </row>
    <row r="576">
      <c r="A576" s="53" t="n">
        <v>2021</v>
      </c>
      <c r="B576" s="53" t="n">
        <v>103</v>
      </c>
      <c r="C576" s="71" t="inlineStr">
        <is>
          <t>Ausgaben</t>
        </is>
      </c>
      <c r="D576" t="inlineStr">
        <is>
          <t>sonstige Betriebsausgaben</t>
        </is>
      </c>
      <c r="E576" s="9" t="inlineStr">
        <is>
          <t>HKA/20-01-58835</t>
        </is>
      </c>
      <c r="G576" s="1" t="n">
        <v>44382</v>
      </c>
      <c r="H576" t="inlineStr">
        <is>
          <t>Techem Messtechnik GmbH; Abnehmernummer 501686-0003-11-( (NACHTRAG 25.12.)</t>
        </is>
      </c>
      <c r="K576">
        <f>(IF(AND(I576&lt;&gt;"",AND(J576="",ABS(Q576)&gt;400)),TRUE,FALSE))</f>
        <v/>
      </c>
      <c r="L576" s="214" t="n">
        <v>74</v>
      </c>
      <c r="M576" s="159" t="n">
        <v>1</v>
      </c>
      <c r="N576" t="n">
        <v>20</v>
      </c>
      <c r="O576" s="237">
        <f>L576*N576/100</f>
        <v/>
      </c>
      <c r="P576" s="237">
        <f>M576*O576</f>
        <v/>
      </c>
      <c r="Q576" s="208">
        <f>L576*M576</f>
        <v/>
      </c>
      <c r="R576" s="251">
        <f>L576+O576</f>
        <v/>
      </c>
      <c r="S576" s="251">
        <f>Q576+P576</f>
        <v/>
      </c>
      <c r="T576" s="35">
        <f>voranmeldefrist_vierteljaehrlich(G576)</f>
        <v/>
      </c>
      <c r="U576" s="27" t="n"/>
      <c r="V576" s="27" t="n"/>
      <c r="W576" s="210">
        <f>IF(K576=TRUE,Q576/I576,Q576)</f>
        <v/>
      </c>
      <c r="X576" s="237">
        <f>V576/100*S576</f>
        <v/>
      </c>
      <c r="Y576">
        <f>IF(AND(V576&gt;0,N576=V576),TRUE,FALSE)</f>
        <v/>
      </c>
      <c r="Z576" s="228">
        <f>IF(C576="Einnahmen",Q576,-Q576)</f>
        <v/>
      </c>
    </row>
    <row r="577">
      <c r="A577" s="53" t="n">
        <v>2021</v>
      </c>
      <c r="B577" s="53" t="n">
        <v>104</v>
      </c>
      <c r="C577" s="71" t="inlineStr">
        <is>
          <t>Ausgaben</t>
        </is>
      </c>
      <c r="D577" t="inlineStr">
        <is>
          <t>sonstige Betriebsausgaben</t>
        </is>
      </c>
      <c r="E577" s="9" t="inlineStr">
        <is>
          <t>R0013684276</t>
        </is>
      </c>
      <c r="G577" s="1" t="n">
        <v>44384</v>
      </c>
      <c r="H577" t="inlineStr">
        <is>
          <t>Hetzner Online GmbH</t>
        </is>
      </c>
      <c r="J577" s="76" t="inlineStr">
        <is>
          <t>ja</t>
        </is>
      </c>
      <c r="K577">
        <f>(IF(AND(I577&lt;&gt;"",AND(J577="",ABS(Q577)&gt;400)),TRUE,FALSE))</f>
        <v/>
      </c>
      <c r="L577" s="214" t="n">
        <v>2.49</v>
      </c>
      <c r="M577" s="159" t="n">
        <v>1</v>
      </c>
      <c r="N577" t="n">
        <v>0</v>
      </c>
      <c r="O577" s="237">
        <f>L577*N577/100</f>
        <v/>
      </c>
      <c r="P577" s="237">
        <f>M577*O577</f>
        <v/>
      </c>
      <c r="Q577" s="208">
        <f>L577*M577</f>
        <v/>
      </c>
      <c r="R577" s="251">
        <f>L577+O577</f>
        <v/>
      </c>
      <c r="S577" s="251">
        <f>Q577+P577</f>
        <v/>
      </c>
      <c r="T577" s="35">
        <f>voranmeldefrist_vierteljaehrlich(G577)</f>
        <v/>
      </c>
      <c r="U577" s="27" t="n"/>
      <c r="V577" s="27" t="n">
        <v>20</v>
      </c>
      <c r="W577" s="210">
        <f>IF(K577=TRUE,Q577/J577,Q577)</f>
        <v/>
      </c>
      <c r="X577" s="237">
        <f>V577/100*S577</f>
        <v/>
      </c>
      <c r="Y577">
        <f>IF(AND(V577&gt;0,N577=V577),TRUE,FALSE)</f>
        <v/>
      </c>
      <c r="Z577" s="228">
        <f>IF(C577="Einnahmen",Q577,-Q577)</f>
        <v/>
      </c>
    </row>
    <row r="578">
      <c r="A578" s="53" t="n">
        <v>2021</v>
      </c>
      <c r="B578" s="53" t="n">
        <v>105</v>
      </c>
      <c r="C578" s="71" t="inlineStr">
        <is>
          <t>Ausgaben</t>
        </is>
      </c>
      <c r="D578" t="inlineStr">
        <is>
          <t>sonstige Betriebsausgaben</t>
        </is>
      </c>
      <c r="E578" s="9" t="inlineStr">
        <is>
          <t>5137082649</t>
        </is>
      </c>
      <c r="G578" s="1" t="n">
        <v>44389</v>
      </c>
      <c r="H578" t="inlineStr">
        <is>
          <t>Wiener Netze GmbH, Erdbergstraße 236, 1110 Wien, Postfach 422; Jahresabrechnung vom 17.12.20: GUTSCHRIFT</t>
        </is>
      </c>
      <c r="K578">
        <f>(IF(AND(I578&lt;&gt;"",AND(J578="",ABS(Q578)&gt;400)),TRUE,FALSE))</f>
        <v/>
      </c>
      <c r="L578" s="214" t="n">
        <v>13</v>
      </c>
      <c r="M578" s="159" t="n">
        <v>1</v>
      </c>
      <c r="N578" t="n">
        <v>20</v>
      </c>
      <c r="O578" s="237">
        <f>L578*N578/100</f>
        <v/>
      </c>
      <c r="P578" s="237">
        <f>M578*O578</f>
        <v/>
      </c>
      <c r="Q578" s="208">
        <f>L578*M578</f>
        <v/>
      </c>
      <c r="R578" s="251">
        <f>L578+O578</f>
        <v/>
      </c>
      <c r="S578" s="251">
        <f>Q578+P578</f>
        <v/>
      </c>
      <c r="T578" s="35">
        <f>voranmeldefrist_vierteljaehrlich(G578)</f>
        <v/>
      </c>
      <c r="U578" s="27" t="n"/>
      <c r="V578" s="27" t="n"/>
      <c r="W578" s="210">
        <f>IF(K578=TRUE,Q578/J578,Q578)</f>
        <v/>
      </c>
      <c r="X578" s="237">
        <f>V578/100*S578</f>
        <v/>
      </c>
      <c r="Y578">
        <f>IF(AND(V578&gt;0,N578=V578),TRUE,FALSE)</f>
        <v/>
      </c>
      <c r="Z578" s="228">
        <f>IF(C578="Einnahmen",Q578,-Q578)</f>
        <v/>
      </c>
    </row>
    <row r="579">
      <c r="A579" s="53" t="n">
        <v>2021</v>
      </c>
      <c r="B579" s="53" t="n">
        <v>106</v>
      </c>
      <c r="C579" s="71" t="inlineStr">
        <is>
          <t>Ausgaben</t>
        </is>
      </c>
      <c r="D579" t="inlineStr">
        <is>
          <t>sonstige Betriebsausgaben</t>
        </is>
      </c>
      <c r="E579" s="9" t="inlineStr">
        <is>
          <t>R0013736658</t>
        </is>
      </c>
      <c r="G579" s="1" t="n">
        <v>44390</v>
      </c>
      <c r="H579" t="inlineStr">
        <is>
          <t>Hetzner Online GmbH</t>
        </is>
      </c>
      <c r="K579">
        <f>(IF(AND(I579&lt;&gt;"",AND(J579="",ABS(Q579)&gt;400)),TRUE,FALSE))</f>
        <v/>
      </c>
      <c r="L579" s="214" t="n">
        <v>46.9168</v>
      </c>
      <c r="M579" s="159" t="n">
        <v>1</v>
      </c>
      <c r="N579" t="n">
        <v>0</v>
      </c>
      <c r="O579" s="237">
        <f>L579*N579/100</f>
        <v/>
      </c>
      <c r="P579" s="237">
        <f>M579*O579</f>
        <v/>
      </c>
      <c r="Q579" s="208">
        <f>L579*M579</f>
        <v/>
      </c>
      <c r="R579" s="251">
        <f>L579+O579</f>
        <v/>
      </c>
      <c r="S579" s="251">
        <f>Q579+P579</f>
        <v/>
      </c>
      <c r="T579" s="35">
        <f>voranmeldefrist_vierteljaehrlich(G579)</f>
        <v/>
      </c>
      <c r="U579" s="27" t="n"/>
      <c r="V579" s="27" t="n">
        <v>20</v>
      </c>
      <c r="W579" s="210">
        <f>IF(K579=TRUE,Q579/J579,Q579)</f>
        <v/>
      </c>
      <c r="X579" s="237">
        <f>V579/100*S579</f>
        <v/>
      </c>
      <c r="Y579">
        <f>IF(AND(V579&gt;0,N579=V579),TRUE,FALSE)</f>
        <v/>
      </c>
      <c r="Z579" s="228">
        <f>IF(C579="Einnahmen",Q579,-Q579)</f>
        <v/>
      </c>
    </row>
    <row r="580">
      <c r="A580" s="53" t="n">
        <v>2021</v>
      </c>
      <c r="B580" s="53" t="n">
        <v>107</v>
      </c>
      <c r="C580" s="71" t="inlineStr">
        <is>
          <t>Einnahmen</t>
        </is>
      </c>
      <c r="D580" t="inlineStr">
        <is>
          <t>Waren-/Leistungserlöse</t>
        </is>
      </c>
      <c r="E580" s="9" t="inlineStr">
        <is>
          <t>12021019</t>
        </is>
      </c>
      <c r="G580" s="1" t="n">
        <v>44391</v>
      </c>
      <c r="H580" t="inlineStr">
        <is>
          <t>Musikschule Bad Vöslau, Hauptstraße 14, 2540 Bad Vöslau</t>
        </is>
      </c>
      <c r="K580">
        <f>(IF(AND(I580&lt;&gt;"",AND(J580="",ABS(Q580)&gt;400)),TRUE,FALSE))</f>
        <v/>
      </c>
      <c r="L580" s="214" t="n">
        <v>44.5</v>
      </c>
      <c r="M580" s="159" t="n">
        <v>1</v>
      </c>
      <c r="N580" t="n">
        <v>20</v>
      </c>
      <c r="O580" s="237">
        <f>L580*N580/100</f>
        <v/>
      </c>
      <c r="P580" s="237">
        <f>M580*O580</f>
        <v/>
      </c>
      <c r="Q580" s="208">
        <f>L580*M580</f>
        <v/>
      </c>
      <c r="R580" s="251">
        <f>L580+O580</f>
        <v/>
      </c>
      <c r="S580" s="251">
        <f>Q580+P580</f>
        <v/>
      </c>
      <c r="T580" s="35">
        <f>voranmeldefrist_vierteljaehrlich(G580)</f>
        <v/>
      </c>
      <c r="U580" s="27" t="n"/>
      <c r="V580" s="27" t="n"/>
      <c r="W580" s="210">
        <f>IF(K580=TRUE,Q580/J580,Q580)</f>
        <v/>
      </c>
      <c r="X580" s="237">
        <f>V580/100*S580</f>
        <v/>
      </c>
      <c r="Y580">
        <f>IF(AND(V580&gt;0,N580=V580),TRUE,FALSE)</f>
        <v/>
      </c>
      <c r="Z580" s="228">
        <f>IF(C580="Einnahmen",Q580,-Q580)</f>
        <v/>
      </c>
      <c r="AB580">
        <f>L580*1.2=R580</f>
        <v/>
      </c>
      <c r="AC580">
        <f>L580*1.2=S580</f>
        <v/>
      </c>
    </row>
    <row r="581">
      <c r="A581" s="53" t="n">
        <v>2021</v>
      </c>
      <c r="B581" s="53" t="n">
        <v>108</v>
      </c>
      <c r="C581" s="71" t="inlineStr">
        <is>
          <t>Ausgaben</t>
        </is>
      </c>
      <c r="D581" t="inlineStr">
        <is>
          <t>sonstige Betriebsausgaben</t>
        </is>
      </c>
      <c r="E581" s="9" t="inlineStr">
        <is>
          <t>AEU-INV-AT-2021-24480518</t>
        </is>
      </c>
      <c r="G581" s="1" t="n">
        <v>44392</v>
      </c>
      <c r="H581" t="inlineStr">
        <is>
          <t>Amazon EU S. à r.l., 38 avenue John F. Kennedy, L-1855 Luxembourg: HJEU: DVI-HDMI, Logitech Maus</t>
        </is>
      </c>
      <c r="K581">
        <f>(IF(AND(I581&lt;&gt;"",AND(J581="",ABS(Q581)&gt;400)),TRUE,FALSE))</f>
        <v/>
      </c>
      <c r="L581" s="214">
        <f>32.34*2</f>
        <v/>
      </c>
      <c r="M581" s="159" t="n">
        <v>1</v>
      </c>
      <c r="N581" t="n">
        <v>20</v>
      </c>
      <c r="O581" s="237">
        <f>L581*N581/100</f>
        <v/>
      </c>
      <c r="P581" s="237">
        <f>M581*O581</f>
        <v/>
      </c>
      <c r="Q581" s="208">
        <f>L581*M581</f>
        <v/>
      </c>
      <c r="R581" s="251">
        <f>L581+O581</f>
        <v/>
      </c>
      <c r="S581" s="251">
        <f>Q581+P581</f>
        <v/>
      </c>
      <c r="T581" s="35">
        <f>voranmeldefrist_vierteljaehrlich(G581)</f>
        <v/>
      </c>
      <c r="U581" s="27" t="n"/>
      <c r="V581" s="27" t="n"/>
      <c r="W581" s="210">
        <f>IF(K581=TRUE,Q581/I581,Q581)</f>
        <v/>
      </c>
      <c r="X581" s="237">
        <f>V581/100*S581</f>
        <v/>
      </c>
      <c r="Y581">
        <f>IF(AND(V581&gt;0,N581=V581),TRUE,FALSE)</f>
        <v/>
      </c>
      <c r="Z581" s="228">
        <f>IF(C581="Einnahmen",Q581,-Q581)</f>
        <v/>
      </c>
    </row>
    <row r="582">
      <c r="A582" s="53" t="n">
        <v>2021</v>
      </c>
      <c r="B582" s="53" t="n">
        <v>109</v>
      </c>
      <c r="C582" s="71" t="inlineStr">
        <is>
          <t>Einnahmen</t>
        </is>
      </c>
      <c r="D582" t="inlineStr">
        <is>
          <t>Waren-/Leistungserlöse</t>
        </is>
      </c>
      <c r="E582" s="9" t="inlineStr">
        <is>
          <t>12021021</t>
        </is>
      </c>
      <c r="G582" s="1" t="n">
        <v>44393</v>
      </c>
      <c r="H582" t="inlineStr">
        <is>
          <t>immo 360 grad gmbh, Feldgasse 6-8, 1080 Wien; ATU51729508</t>
        </is>
      </c>
      <c r="K582">
        <f>(IF(AND(I582&lt;&gt;"",AND(J582="",ABS(Q582)&gt;400)),TRUE,FALSE))</f>
        <v/>
      </c>
      <c r="L582" s="214" t="n">
        <v>475</v>
      </c>
      <c r="M582" s="159" t="n">
        <v>1</v>
      </c>
      <c r="N582" t="n">
        <v>20</v>
      </c>
      <c r="O582" s="237">
        <f>L582*N582/100</f>
        <v/>
      </c>
      <c r="P582" s="237">
        <f>M582*O582</f>
        <v/>
      </c>
      <c r="Q582" s="208">
        <f>L582*M582</f>
        <v/>
      </c>
      <c r="R582" s="251">
        <f>L582+O582</f>
        <v/>
      </c>
      <c r="S582" s="251">
        <f>Q582+P582</f>
        <v/>
      </c>
      <c r="T582" s="35">
        <f>voranmeldefrist_vierteljaehrlich(G582)</f>
        <v/>
      </c>
      <c r="U582" s="27" t="n"/>
      <c r="V582" s="27" t="n"/>
      <c r="W582" s="210">
        <f>IF(K582=TRUE,Q582/I582,Q582)</f>
        <v/>
      </c>
      <c r="X582" s="237">
        <f>V582/100*S582</f>
        <v/>
      </c>
      <c r="Y582">
        <f>IF(AND(V582&gt;0,N582=V582),TRUE,FALSE)</f>
        <v/>
      </c>
      <c r="Z582" s="228">
        <f>IF(C582="Einnahmen",Q582,-Q582)</f>
        <v/>
      </c>
      <c r="AB582">
        <f>L582*1.2=R582</f>
        <v/>
      </c>
      <c r="AC582">
        <f>L582*1.2=S582</f>
        <v/>
      </c>
    </row>
    <row r="583">
      <c r="A583" s="53" t="n">
        <v>2021</v>
      </c>
      <c r="B583" s="53" t="n">
        <v>110</v>
      </c>
      <c r="C583" s="71" t="inlineStr">
        <is>
          <t>Ausgaben</t>
        </is>
      </c>
      <c r="D583" t="inlineStr">
        <is>
          <t>Telefon/Internet</t>
        </is>
      </c>
      <c r="E583" s="136" t="inlineStr">
        <is>
          <t>901190590721</t>
        </is>
      </c>
      <c r="G583" s="1" t="n">
        <v>44398</v>
      </c>
      <c r="H583" t="inlineStr">
        <is>
          <t>Magenta: T-Mobile Austria GmbH, A-1120 Wien, PF 47</t>
        </is>
      </c>
      <c r="K583">
        <f>(IF(AND(I583&lt;&gt;"",AND(J583="",ABS(Q583)&gt;400)),TRUE,FALSE))</f>
        <v/>
      </c>
      <c r="L583" s="214" t="n">
        <v>31.92</v>
      </c>
      <c r="M583" s="159" t="n">
        <v>1</v>
      </c>
      <c r="N583" t="n">
        <v>20</v>
      </c>
      <c r="O583" s="237">
        <f>L583*N583/100</f>
        <v/>
      </c>
      <c r="P583" s="237">
        <f>M583*O583</f>
        <v/>
      </c>
      <c r="Q583" s="208">
        <f>L583*M583</f>
        <v/>
      </c>
      <c r="R583" s="251">
        <f>L583+O583</f>
        <v/>
      </c>
      <c r="S583" s="251">
        <f>Q583+P583</f>
        <v/>
      </c>
      <c r="T583" s="35">
        <f>voranmeldefrist_vierteljaehrlich(G583)</f>
        <v/>
      </c>
      <c r="U583" s="27" t="n"/>
      <c r="V583" s="27" t="n"/>
      <c r="W583" s="210">
        <f>IF(K583=TRUE,Q583/I583,Q583)</f>
        <v/>
      </c>
      <c r="X583" s="237">
        <f>V583/100*S583</f>
        <v/>
      </c>
      <c r="Y583">
        <f>IF(AND(V583&gt;0,N583=V583),TRUE,FALSE)</f>
        <v/>
      </c>
      <c r="Z583" s="228">
        <f>IF(C583="Einnahmen",Q583,-Q583)</f>
        <v/>
      </c>
    </row>
    <row r="584">
      <c r="A584" s="53" t="n">
        <v>2021</v>
      </c>
      <c r="B584" s="53" t="n">
        <v>111</v>
      </c>
      <c r="C584" s="71" t="inlineStr">
        <is>
          <t>Ausgaben</t>
        </is>
      </c>
      <c r="D584" t="inlineStr">
        <is>
          <t>Miet- und Pachtaufwand, Leasing</t>
        </is>
      </c>
      <c r="E584" s="9" t="inlineStr">
        <is>
          <t>HKA/20-01-58835</t>
        </is>
      </c>
      <c r="G584" s="1" t="n">
        <v>44405</v>
      </c>
      <c r="H584" t="inlineStr">
        <is>
          <t>Techem Messtechnik GmbH; Abnehmernummer 501686-0003-11-</t>
        </is>
      </c>
      <c r="K584" t="b">
        <v>0</v>
      </c>
      <c r="L584" s="214" t="n">
        <v>377.8</v>
      </c>
      <c r="M584" s="159" t="n">
        <v>1</v>
      </c>
      <c r="N584" t="n">
        <v>20</v>
      </c>
      <c r="O584" s="237">
        <f>L584*N584/100</f>
        <v/>
      </c>
      <c r="P584" s="237">
        <f>M584*O584</f>
        <v/>
      </c>
      <c r="Q584" s="208">
        <f>L584*M584</f>
        <v/>
      </c>
      <c r="R584" s="251">
        <f>L584+O584</f>
        <v/>
      </c>
      <c r="S584" s="251">
        <f>Q584+P584</f>
        <v/>
      </c>
      <c r="T584" s="35">
        <f>voranmeldefrist_vierteljaehrlich(G584)</f>
        <v/>
      </c>
      <c r="U584" s="27" t="n"/>
      <c r="V584" s="27" t="n"/>
      <c r="W584" s="210">
        <f>IF(K584=TRUE,Q584/J584,Q584)</f>
        <v/>
      </c>
      <c r="X584" s="237">
        <f>V584/100*S584</f>
        <v/>
      </c>
      <c r="Y584">
        <f>IF(AND(V584&gt;0,N584=V584),TRUE,FALSE)</f>
        <v/>
      </c>
      <c r="Z584" s="228">
        <f>IF(C584="Einnahmen",Q584,-Q584)</f>
        <v/>
      </c>
    </row>
    <row r="585">
      <c r="A585" s="53" t="n">
        <v>2021</v>
      </c>
      <c r="B585" s="53" t="n">
        <v>112</v>
      </c>
      <c r="C585" s="71" t="inlineStr">
        <is>
          <t>Ausgaben</t>
        </is>
      </c>
      <c r="D585" t="inlineStr">
        <is>
          <t>Miet- und Pachtaufwand, Leasing</t>
        </is>
      </c>
      <c r="E585" s="136" t="inlineStr">
        <is>
          <t>21/9801/JA03121</t>
        </is>
      </c>
      <c r="G585" s="1" t="n">
        <v>44407</v>
      </c>
      <c r="H585" t="inlineStr">
        <is>
          <t>Bontus Immobilienverwaltung GmbH, 1010 Wien, Franz Josefs Kai 65</t>
        </is>
      </c>
      <c r="K585" t="b">
        <v>0</v>
      </c>
      <c r="L585" s="214">
        <f>3.82/1.2</f>
        <v/>
      </c>
      <c r="M585" s="159" t="n">
        <v>1</v>
      </c>
      <c r="N585" t="n">
        <v>20</v>
      </c>
      <c r="O585" s="237">
        <f>L585*N585/100</f>
        <v/>
      </c>
      <c r="P585" s="237">
        <f>M585*O585</f>
        <v/>
      </c>
      <c r="Q585" s="208">
        <f>L585*M585</f>
        <v/>
      </c>
      <c r="R585" s="251">
        <f>L585+O585</f>
        <v/>
      </c>
      <c r="S585" s="251">
        <f>Q585+P585</f>
        <v/>
      </c>
      <c r="T585" s="35">
        <f>voranmeldefrist_vierteljaehrlich(G585)</f>
        <v/>
      </c>
      <c r="U585" s="27" t="n"/>
      <c r="V585" s="27" t="n"/>
      <c r="W585" s="210">
        <f>IF(K585=TRUE,Q585/J585,Q585)</f>
        <v/>
      </c>
      <c r="X585" s="237">
        <f>V585/100*S585</f>
        <v/>
      </c>
      <c r="Y585">
        <f>IF(AND(V585&gt;0,N585=V585),TRUE,FALSE)</f>
        <v/>
      </c>
      <c r="Z585" s="228">
        <f>IF(C585="Einnahmen",Q585,-Q585)</f>
        <v/>
      </c>
    </row>
    <row r="586">
      <c r="A586" s="53" t="n">
        <v>2021</v>
      </c>
      <c r="B586" s="53" t="n">
        <v>113</v>
      </c>
      <c r="C586" s="71" t="inlineStr">
        <is>
          <t>Ausgaben</t>
        </is>
      </c>
      <c r="D586" t="inlineStr">
        <is>
          <t>Miet- und Pachtaufwand, Leasing</t>
        </is>
      </c>
      <c r="E586" s="136" t="inlineStr">
        <is>
          <t>21/9801(VS00372</t>
        </is>
      </c>
      <c r="G586" s="1" t="n">
        <v>44410</v>
      </c>
      <c r="H586" t="inlineStr">
        <is>
          <t>Bontus Immobilienverwaltung GmbH, 1010 Wien, Franz Josefs Kai 65</t>
        </is>
      </c>
      <c r="K586" t="b">
        <v>0</v>
      </c>
      <c r="L586" s="214">
        <f>564.56/1.2</f>
        <v/>
      </c>
      <c r="M586" s="159" t="n">
        <v>1</v>
      </c>
      <c r="N586" t="n">
        <v>20</v>
      </c>
      <c r="O586" s="237">
        <f>L586*N586/100</f>
        <v/>
      </c>
      <c r="P586" s="237">
        <f>M586*O586</f>
        <v/>
      </c>
      <c r="Q586" s="208">
        <f>L586*M586</f>
        <v/>
      </c>
      <c r="R586" s="251">
        <f>L586+O586</f>
        <v/>
      </c>
      <c r="S586" s="251">
        <f>Q586+P586</f>
        <v/>
      </c>
      <c r="T586" s="35">
        <f>voranmeldefrist_vierteljaehrlich(G586)</f>
        <v/>
      </c>
      <c r="U586" s="27" t="n"/>
      <c r="V586" s="27" t="n"/>
      <c r="W586" s="210">
        <f>IF(K586=TRUE,Q586/J586,Q586)</f>
        <v/>
      </c>
      <c r="X586" s="237">
        <f>V586/100*S586</f>
        <v/>
      </c>
      <c r="Y586">
        <f>IF(AND(V586&gt;0,N586=V586),TRUE,FALSE)</f>
        <v/>
      </c>
      <c r="Z586" s="228">
        <f>IF(C586="Einnahmen",Q586,-Q586)</f>
        <v/>
      </c>
    </row>
    <row r="587">
      <c r="A587" s="53" t="n">
        <v>2021</v>
      </c>
      <c r="B587" s="53" t="n">
        <v>114</v>
      </c>
      <c r="C587" s="71" t="inlineStr">
        <is>
          <t>Ausgaben</t>
        </is>
      </c>
      <c r="D587" t="inlineStr">
        <is>
          <t>Telefon/Internet</t>
        </is>
      </c>
      <c r="E587" s="9" t="inlineStr">
        <is>
          <t>6226243184</t>
        </is>
      </c>
      <c r="G587" s="1" t="n">
        <v>44411</v>
      </c>
      <c r="H587" t="inlineStr">
        <is>
          <t>Hutchison Drei Austria GmbH, Brünner Straße 52, 1210 Wien, Österreich</t>
        </is>
      </c>
      <c r="K587">
        <f>(IF(AND(I587&lt;&gt;"",AND(J587="",ABS(Q587)&gt;400)),TRUE,FALSE))</f>
        <v/>
      </c>
      <c r="L587" s="214" t="n">
        <v>15</v>
      </c>
      <c r="M587" s="159" t="n">
        <v>1</v>
      </c>
      <c r="N587" t="n">
        <v>20</v>
      </c>
      <c r="O587" s="237">
        <f>L587*N587/100</f>
        <v/>
      </c>
      <c r="P587" s="237">
        <f>M587*O587</f>
        <v/>
      </c>
      <c r="Q587" s="208">
        <f>L587*M587</f>
        <v/>
      </c>
      <c r="R587" s="251">
        <f>L587+O587</f>
        <v/>
      </c>
      <c r="S587" s="251">
        <f>Q587+P587</f>
        <v/>
      </c>
      <c r="T587" s="35">
        <f>voranmeldefrist_vierteljaehrlich(G587)</f>
        <v/>
      </c>
      <c r="U587" s="27" t="n"/>
      <c r="V587" s="27" t="n"/>
      <c r="W587" s="210">
        <f>IF(K587=TRUE,Q587/I587,Q587)</f>
        <v/>
      </c>
      <c r="X587" s="237">
        <f>V587/100*S587</f>
        <v/>
      </c>
      <c r="Y587">
        <f>IF(AND(V587&gt;0,N587=V587),TRUE,FALSE)</f>
        <v/>
      </c>
      <c r="Z587" s="228">
        <f>IF(C587="Einnahmen",Q587,-Q587)</f>
        <v/>
      </c>
    </row>
    <row r="588">
      <c r="A588" s="53" t="n">
        <v>2021</v>
      </c>
      <c r="B588" s="53" t="n">
        <v>115</v>
      </c>
      <c r="C588" s="71" t="inlineStr">
        <is>
          <t>Einnahmen</t>
        </is>
      </c>
      <c r="D588" t="inlineStr">
        <is>
          <t>Waren-/Leistungserlöse</t>
        </is>
      </c>
      <c r="E588" s="9" t="n">
        <v>12021018</v>
      </c>
      <c r="G588" s="1" t="n">
        <v>44411</v>
      </c>
      <c r="H588" t="inlineStr">
        <is>
          <t>Paperholic all bout paper e.U.</t>
        </is>
      </c>
      <c r="K588" t="b">
        <v>0</v>
      </c>
      <c r="L588" s="214" t="n">
        <v>660.65</v>
      </c>
      <c r="M588" s="159" t="n">
        <v>1</v>
      </c>
      <c r="N588" t="n">
        <v>20</v>
      </c>
      <c r="O588" s="237">
        <f>L588*N588/100</f>
        <v/>
      </c>
      <c r="P588" s="237">
        <f>M588*O588</f>
        <v/>
      </c>
      <c r="Q588" s="208">
        <f>L588*M588</f>
        <v/>
      </c>
      <c r="R588" s="251">
        <f>L588+O588</f>
        <v/>
      </c>
      <c r="S588" s="251">
        <f>Q588+P588</f>
        <v/>
      </c>
      <c r="T588" s="35">
        <f>voranmeldefrist_vierteljaehrlich(G588)</f>
        <v/>
      </c>
      <c r="U588" s="27" t="n"/>
      <c r="V588" s="27" t="n"/>
      <c r="W588" s="210">
        <f>IF(K588=TRUE,Q588/I588,Q588)</f>
        <v/>
      </c>
      <c r="X588" s="237">
        <f>V588/100*S588</f>
        <v/>
      </c>
      <c r="Y588">
        <f>IF(AND(V588&gt;0,N588=V588),TRUE,FALSE)</f>
        <v/>
      </c>
      <c r="Z588" s="228">
        <f>IF(C588="Einnahmen",Q588,-Q588)</f>
        <v/>
      </c>
      <c r="AB588">
        <f>L588*1.2=R588</f>
        <v/>
      </c>
      <c r="AC588">
        <f>L588*1.2=S588</f>
        <v/>
      </c>
    </row>
    <row r="589">
      <c r="A589" s="53" t="n">
        <v>2021</v>
      </c>
      <c r="B589" s="53" t="n">
        <v>116</v>
      </c>
      <c r="C589" s="71" t="inlineStr">
        <is>
          <t>Ausgaben</t>
        </is>
      </c>
      <c r="D589" t="inlineStr">
        <is>
          <t>sonstige Betriebsausgaben</t>
        </is>
      </c>
      <c r="E589" s="9" t="inlineStr">
        <is>
          <t>60793/100/2021</t>
        </is>
      </c>
      <c r="G589" s="1" t="n">
        <v>44412</v>
      </c>
      <c r="H589" t="inlineStr">
        <is>
          <t>easy green energy GmbH &amp; Co KG</t>
        </is>
      </c>
      <c r="K589">
        <f>(IF(AND(I589&lt;&gt;"",AND(J589="",ABS(Q589)&gt;400)),TRUE,FALSE))</f>
        <v/>
      </c>
      <c r="L589" s="214" t="n">
        <v>2.5</v>
      </c>
      <c r="M589" s="159" t="n">
        <v>1</v>
      </c>
      <c r="N589" t="n">
        <v>20</v>
      </c>
      <c r="O589" s="237">
        <f>L589*N589/100</f>
        <v/>
      </c>
      <c r="P589" s="237">
        <f>M589*O589</f>
        <v/>
      </c>
      <c r="Q589" s="208">
        <f>L589*M589</f>
        <v/>
      </c>
      <c r="R589" s="251">
        <f>L589+O589</f>
        <v/>
      </c>
      <c r="S589" s="251" t="n">
        <v>3</v>
      </c>
      <c r="T589" s="35">
        <f>voranmeldefrist_vierteljaehrlich(G589)</f>
        <v/>
      </c>
      <c r="U589" s="27" t="n"/>
      <c r="V589" s="27" t="n"/>
      <c r="W589" s="210">
        <f>IF(K589=TRUE,Q589/J589,Q589)</f>
        <v/>
      </c>
      <c r="X589" s="237">
        <f>V589/100*S589</f>
        <v/>
      </c>
      <c r="Y589">
        <f>IF(AND(V589&gt;0,N589=V589),TRUE,FALSE)</f>
        <v/>
      </c>
      <c r="Z589" s="228">
        <f>IF(C589="Einnahmen",Q589,-Q589)</f>
        <v/>
      </c>
    </row>
    <row r="590">
      <c r="A590" s="53" t="n">
        <v>2021</v>
      </c>
      <c r="B590" s="53" t="n">
        <v>117</v>
      </c>
      <c r="C590" s="71" t="inlineStr">
        <is>
          <t>Ausgaben</t>
        </is>
      </c>
      <c r="D590" t="inlineStr">
        <is>
          <t>sonstige Betriebsausgaben</t>
        </is>
      </c>
      <c r="E590" s="9" t="n">
        <v>3947026044</v>
      </c>
      <c r="G590" s="1" t="n">
        <v>44412</v>
      </c>
      <c r="H590" t="inlineStr">
        <is>
          <t>Google Ireland Ltd, Gordon House, Barrow Street, Dublin 4, Ireland; VAT number: IE 6388047V</t>
        </is>
      </c>
      <c r="K590" t="b">
        <v>0</v>
      </c>
      <c r="L590" s="214" t="n">
        <v>9.359999999999999</v>
      </c>
      <c r="M590" s="159" t="n">
        <v>1</v>
      </c>
      <c r="N590" t="n">
        <v>0</v>
      </c>
      <c r="O590" s="237">
        <f>L590*N590/100</f>
        <v/>
      </c>
      <c r="P590" s="237">
        <f>M590*O590</f>
        <v/>
      </c>
      <c r="Q590" s="208">
        <f>L590*M590</f>
        <v/>
      </c>
      <c r="R590" s="251">
        <f>L590+O590</f>
        <v/>
      </c>
      <c r="S590" s="251">
        <f>Q590+P590</f>
        <v/>
      </c>
      <c r="T590" s="35">
        <f>voranmeldefrist_vierteljaehrlich(G590)</f>
        <v/>
      </c>
      <c r="U590" s="27" t="n"/>
      <c r="V590" s="27" t="n">
        <v>20</v>
      </c>
      <c r="W590" s="210">
        <f>IF(K590=TRUE,Q590/I590,Q590)</f>
        <v/>
      </c>
      <c r="X590" s="237">
        <f>V590/100*S590</f>
        <v/>
      </c>
      <c r="Y590">
        <f>IF(AND(V590&gt;0,N590=V590),TRUE,FALSE)</f>
        <v/>
      </c>
      <c r="Z590" s="228">
        <f>IF(C590="Einnahmen",Q590,-Q590)</f>
        <v/>
      </c>
    </row>
    <row r="591">
      <c r="A591" s="53" t="n">
        <v>2021</v>
      </c>
      <c r="B591" s="53" t="n">
        <v>118</v>
      </c>
      <c r="C591" s="71" t="inlineStr">
        <is>
          <t>Ausgaben</t>
        </is>
      </c>
      <c r="D591" t="inlineStr">
        <is>
          <t>Waren, Rohstoffe, Hilfsstoffe</t>
        </is>
      </c>
      <c r="E591" s="9" t="inlineStr">
        <is>
          <t>845629</t>
        </is>
      </c>
      <c r="G591" s="1" t="n">
        <v>44412</v>
      </c>
      <c r="H591" t="inlineStr">
        <is>
          <t>Lemon Technologies GmbH, Unterweißenbach 181, 7330 Feldbach: Bildschirm</t>
        </is>
      </c>
      <c r="J591" s="76" t="inlineStr">
        <is>
          <t>ja</t>
        </is>
      </c>
      <c r="K591">
        <f>(IF(AND(I591&lt;&gt;"",AND(J591="",ABS(Q591)&gt;400)),TRUE,FALSE))</f>
        <v/>
      </c>
      <c r="L591" s="214" t="n">
        <v>2924.14</v>
      </c>
      <c r="M591" s="159" t="n">
        <v>1</v>
      </c>
      <c r="N591" t="n">
        <v>20</v>
      </c>
      <c r="O591" s="237">
        <f>L591*N591/100</f>
        <v/>
      </c>
      <c r="P591" s="237">
        <f>M591*O591</f>
        <v/>
      </c>
      <c r="Q591" s="208">
        <f>L591*M591</f>
        <v/>
      </c>
      <c r="R591" s="251">
        <f>L591+O591</f>
        <v/>
      </c>
      <c r="S591" s="251">
        <f>Q591+P591</f>
        <v/>
      </c>
      <c r="T591" s="35">
        <f>voranmeldefrist_vierteljaehrlich(G591)</f>
        <v/>
      </c>
      <c r="U591" s="27" t="n"/>
      <c r="V591" s="27" t="n"/>
      <c r="W591" s="210">
        <f>IF(K591=TRUE,Q591/I591,Q591)</f>
        <v/>
      </c>
      <c r="X591" s="237">
        <f>V591/100*S591</f>
        <v/>
      </c>
      <c r="Y591">
        <f>IF(AND(V591&gt;0,N591=V591),TRUE,FALSE)</f>
        <v/>
      </c>
      <c r="Z591" s="228">
        <f>IF(C591="Einnahmen",Q591,-Q591)</f>
        <v/>
      </c>
    </row>
    <row r="592">
      <c r="A592" s="53" t="n">
        <v>2021</v>
      </c>
      <c r="B592" s="53" t="n">
        <v>119</v>
      </c>
      <c r="C592" s="71" t="inlineStr">
        <is>
          <t>Ausgaben</t>
        </is>
      </c>
      <c r="D592" t="inlineStr">
        <is>
          <t>Miet- und Pachtaufwand, Leasing</t>
        </is>
      </c>
      <c r="E592" s="9" t="inlineStr">
        <is>
          <t>HKA/20-01-58835</t>
        </is>
      </c>
      <c r="G592" s="1" t="n">
        <v>44413</v>
      </c>
      <c r="H592" t="inlineStr">
        <is>
          <t>Techem Messtechnik GmbH; Abnehmernummer 501686-0003-11-</t>
        </is>
      </c>
      <c r="K592" t="b">
        <v>0</v>
      </c>
      <c r="L592" s="214" t="n">
        <v>74</v>
      </c>
      <c r="M592" s="159" t="n">
        <v>1</v>
      </c>
      <c r="N592" t="n">
        <v>20</v>
      </c>
      <c r="O592" s="237">
        <f>L592*N592/100</f>
        <v/>
      </c>
      <c r="P592" s="237">
        <f>M592*O592</f>
        <v/>
      </c>
      <c r="Q592" s="208">
        <f>L592*M592</f>
        <v/>
      </c>
      <c r="R592" s="251">
        <f>L592+O592</f>
        <v/>
      </c>
      <c r="S592" s="251">
        <f>Q592+P592</f>
        <v/>
      </c>
      <c r="T592" s="35">
        <f>voranmeldefrist_vierteljaehrlich(G592)</f>
        <v/>
      </c>
      <c r="U592" s="27" t="n"/>
      <c r="V592" s="27" t="n"/>
      <c r="W592" s="210">
        <f>IF(K592=TRUE,Q592/J592,Q592)</f>
        <v/>
      </c>
      <c r="X592" s="237">
        <f>V592/100*S592</f>
        <v/>
      </c>
      <c r="Y592">
        <f>IF(AND(V592&gt;0,N592=V592),TRUE,FALSE)</f>
        <v/>
      </c>
      <c r="Z592" s="228">
        <f>IF(C592="Einnahmen",Q592,-Q592)</f>
        <v/>
      </c>
    </row>
    <row r="593">
      <c r="A593" s="53" t="n">
        <v>2021</v>
      </c>
      <c r="B593" s="53" t="n">
        <v>120</v>
      </c>
      <c r="C593" s="71" t="inlineStr">
        <is>
          <t>Einnahmen</t>
        </is>
      </c>
      <c r="D593" t="inlineStr">
        <is>
          <t>Waren-/Leistungserlöse</t>
        </is>
      </c>
      <c r="E593" s="9" t="n">
        <v>12021015</v>
      </c>
      <c r="G593" s="1" t="n">
        <v>44414</v>
      </c>
      <c r="H593" t="inlineStr">
        <is>
          <t>Schick Küchendesign e.U. Alexander Schick, Linzerstraße 247, 1140 Wien</t>
        </is>
      </c>
      <c r="K593">
        <f>(IF(AND(I593&lt;&gt;"",AND(J593="",ABS(Q593)&gt;400)),TRUE,FALSE))</f>
        <v/>
      </c>
      <c r="L593" s="214" t="n">
        <v>1170</v>
      </c>
      <c r="M593" s="159" t="n">
        <v>1</v>
      </c>
      <c r="N593" t="n">
        <v>20</v>
      </c>
      <c r="O593" s="237">
        <f>L593*N593/100</f>
        <v/>
      </c>
      <c r="P593" s="237">
        <f>M593*O593</f>
        <v/>
      </c>
      <c r="Q593" s="208">
        <f>L593*M593</f>
        <v/>
      </c>
      <c r="R593" s="251">
        <f>L593+O593</f>
        <v/>
      </c>
      <c r="S593" s="251">
        <f>Q593+P593</f>
        <v/>
      </c>
      <c r="T593" s="35">
        <f>voranmeldefrist_vierteljaehrlich(G593)</f>
        <v/>
      </c>
      <c r="U593" s="27" t="n"/>
      <c r="V593" s="27" t="n"/>
      <c r="W593" s="210">
        <f>IF(K593=TRUE,Q593/J593,Q593)</f>
        <v/>
      </c>
      <c r="X593" s="237">
        <f>V593/100*S593</f>
        <v/>
      </c>
      <c r="Y593">
        <f>IF(AND(V593&gt;0,N593=V593),TRUE,FALSE)</f>
        <v/>
      </c>
      <c r="Z593" s="228">
        <f>IF(C593="Einnahmen",Q593,-Q593)</f>
        <v/>
      </c>
      <c r="AB593">
        <f>L593*1.2=R593</f>
        <v/>
      </c>
      <c r="AC593">
        <f>L593*1.2=S593</f>
        <v/>
      </c>
    </row>
    <row r="594">
      <c r="A594" s="53" t="n">
        <v>2021</v>
      </c>
      <c r="B594" s="53" t="n">
        <v>121</v>
      </c>
      <c r="C594" s="71" t="inlineStr">
        <is>
          <t>Ausgaben</t>
        </is>
      </c>
      <c r="D594" t="inlineStr">
        <is>
          <t>sonstige Betriebsausgaben</t>
        </is>
      </c>
      <c r="E594" s="9" t="inlineStr">
        <is>
          <t>R0013878641</t>
        </is>
      </c>
      <c r="G594" s="1" t="n">
        <v>44414</v>
      </c>
      <c r="H594" t="inlineStr">
        <is>
          <t>Hetzner Online GmbH</t>
        </is>
      </c>
      <c r="J594" s="76" t="inlineStr">
        <is>
          <t>ja</t>
        </is>
      </c>
      <c r="K594">
        <f>(IF(AND(I594&lt;&gt;"",AND(J594="",ABS(Q594)&gt;400)),TRUE,FALSE))</f>
        <v/>
      </c>
      <c r="L594" s="214" t="n">
        <v>2.49</v>
      </c>
      <c r="M594" s="159" t="n">
        <v>1</v>
      </c>
      <c r="N594" t="n">
        <v>0</v>
      </c>
      <c r="O594" s="237">
        <f>L594*N594/100</f>
        <v/>
      </c>
      <c r="P594" s="237">
        <f>M594*O594</f>
        <v/>
      </c>
      <c r="Q594" s="208">
        <f>L594*M594</f>
        <v/>
      </c>
      <c r="R594" s="251">
        <f>L594+O594</f>
        <v/>
      </c>
      <c r="S594" s="251">
        <f>Q594+P594</f>
        <v/>
      </c>
      <c r="T594" s="35">
        <f>voranmeldefrist_vierteljaehrlich(G594)</f>
        <v/>
      </c>
      <c r="U594" s="27" t="n"/>
      <c r="V594" s="27" t="n">
        <v>20</v>
      </c>
      <c r="W594" s="210">
        <f>IF(K594=TRUE,Q594/J594,Q594)</f>
        <v/>
      </c>
      <c r="X594" s="237">
        <f>V594/100*S594</f>
        <v/>
      </c>
      <c r="Y594">
        <f>IF(AND(V594&gt;0,N594=V594),TRUE,FALSE)</f>
        <v/>
      </c>
      <c r="Z594" s="228">
        <f>IF(C594="Einnahmen",Q594,-Q594)</f>
        <v/>
      </c>
    </row>
    <row r="595">
      <c r="A595" s="53" t="n">
        <v>2021</v>
      </c>
      <c r="B595" s="53" t="n">
        <v>122</v>
      </c>
      <c r="C595" s="71" t="inlineStr">
        <is>
          <t>Ausgaben</t>
        </is>
      </c>
      <c r="D595" t="inlineStr">
        <is>
          <t>sonstige Betriebsausgaben</t>
        </is>
      </c>
      <c r="E595" s="9" t="inlineStr">
        <is>
          <t>AT177AHAEUI</t>
        </is>
      </c>
      <c r="G595" s="1" t="n">
        <v>44414</v>
      </c>
      <c r="H595" t="inlineStr">
        <is>
          <t>Amazon EU S. à r.l., 38 avenue John F. Kennedy, L-1855 Luxembourg: HJEU: DVI-HDMI, Logitech Maus</t>
        </is>
      </c>
      <c r="K595">
        <f>(IF(AND(I595&lt;&gt;"",AND(J595="",ABS(Q595)&gt;400)),TRUE,FALSE))</f>
        <v/>
      </c>
      <c r="L595" s="214" t="n">
        <v>20.12</v>
      </c>
      <c r="M595" s="159" t="n">
        <v>1</v>
      </c>
      <c r="N595" t="n">
        <v>20</v>
      </c>
      <c r="O595" s="237">
        <f>L595*N595/100</f>
        <v/>
      </c>
      <c r="P595" s="237">
        <f>M595*O595</f>
        <v/>
      </c>
      <c r="Q595" s="208">
        <f>L595*M595</f>
        <v/>
      </c>
      <c r="R595" s="251">
        <f>L595+O595</f>
        <v/>
      </c>
      <c r="S595" s="251">
        <f>Q595+P595</f>
        <v/>
      </c>
      <c r="T595" s="35">
        <f>voranmeldefrist_vierteljaehrlich(G595)</f>
        <v/>
      </c>
      <c r="U595" s="27" t="n"/>
      <c r="V595" s="27" t="n"/>
      <c r="W595" s="210">
        <f>IF(K595=TRUE,Q595/I595,Q595)</f>
        <v/>
      </c>
      <c r="X595" s="237">
        <f>V595/100*S595</f>
        <v/>
      </c>
      <c r="Y595">
        <f>IF(AND(V595&gt;0,N595=V595),TRUE,FALSE)</f>
        <v/>
      </c>
      <c r="Z595" s="228">
        <f>IF(C595="Einnahmen",Q595,-Q595)</f>
        <v/>
      </c>
    </row>
    <row r="596">
      <c r="A596" s="53" t="n">
        <v>2021</v>
      </c>
      <c r="B596" s="53" t="n">
        <v>123</v>
      </c>
      <c r="C596" s="71" t="inlineStr">
        <is>
          <t>Ausgaben</t>
        </is>
      </c>
      <c r="D596" t="inlineStr">
        <is>
          <t>sonstige Betriebsausgaben</t>
        </is>
      </c>
      <c r="E596" s="9" t="inlineStr">
        <is>
          <t>5137082649</t>
        </is>
      </c>
      <c r="G596" s="1" t="n">
        <v>44418</v>
      </c>
      <c r="H596" t="inlineStr">
        <is>
          <t>Wiener Netze GmbH, Erdbergstraße 236, 1110 Wien, Postfach 422; Jahresabrechnung vom 17.12.20: GUTSCHRIFT</t>
        </is>
      </c>
      <c r="K596">
        <f>(IF(AND(I596&lt;&gt;"",AND(J596="",ABS(Q596)&gt;400)),TRUE,FALSE))</f>
        <v/>
      </c>
      <c r="L596" s="214" t="n">
        <v>13</v>
      </c>
      <c r="M596" s="159" t="n">
        <v>1</v>
      </c>
      <c r="N596" t="n">
        <v>20</v>
      </c>
      <c r="O596" s="237">
        <f>L596*N596/100</f>
        <v/>
      </c>
      <c r="P596" s="237">
        <f>M596*O596</f>
        <v/>
      </c>
      <c r="Q596" s="208">
        <f>L596*M596</f>
        <v/>
      </c>
      <c r="R596" s="251">
        <f>L596+O596</f>
        <v/>
      </c>
      <c r="S596" s="251">
        <f>Q596+P596</f>
        <v/>
      </c>
      <c r="T596" s="35">
        <f>voranmeldefrist_vierteljaehrlich(G596)</f>
        <v/>
      </c>
      <c r="U596" s="27" t="n"/>
      <c r="V596" s="27" t="n"/>
      <c r="W596" s="210">
        <f>IF(K596=TRUE,Q596/J596,Q596)</f>
        <v/>
      </c>
      <c r="X596" s="237">
        <f>V596/100*S596</f>
        <v/>
      </c>
      <c r="Y596">
        <f>IF(AND(V596&gt;0,N596=V596),TRUE,FALSE)</f>
        <v/>
      </c>
      <c r="Z596" s="228">
        <f>IF(C596="Einnahmen",Q596,-Q596)</f>
        <v/>
      </c>
    </row>
    <row r="597">
      <c r="A597" s="53" t="n">
        <v>2021</v>
      </c>
      <c r="B597" s="53" t="n">
        <v>124</v>
      </c>
      <c r="C597" s="71" t="inlineStr">
        <is>
          <t>Ausgaben</t>
        </is>
      </c>
      <c r="D597" t="inlineStr">
        <is>
          <t>sonstige Betriebsausgaben</t>
        </is>
      </c>
      <c r="E597" s="9" t="inlineStr">
        <is>
          <t>R0013736658</t>
        </is>
      </c>
      <c r="G597" s="1" t="n">
        <v>44420</v>
      </c>
      <c r="H597" t="inlineStr">
        <is>
          <t>Hetzner Online GmbH</t>
        </is>
      </c>
      <c r="K597">
        <f>(IF(AND(I597&lt;&gt;"",AND(J597="",ABS(Q597)&gt;400)),TRUE,FALSE))</f>
        <v/>
      </c>
      <c r="L597" s="214" t="n">
        <v>46.9168</v>
      </c>
      <c r="M597" s="159" t="n">
        <v>1</v>
      </c>
      <c r="N597" t="n">
        <v>0</v>
      </c>
      <c r="O597" s="237">
        <f>L597*N597/100</f>
        <v/>
      </c>
      <c r="P597" s="237">
        <f>M597*O597</f>
        <v/>
      </c>
      <c r="Q597" s="208">
        <f>L597*M597</f>
        <v/>
      </c>
      <c r="R597" s="251">
        <f>L597+O597</f>
        <v/>
      </c>
      <c r="S597" s="251">
        <f>Q597+P597</f>
        <v/>
      </c>
      <c r="T597" s="35">
        <f>voranmeldefrist_vierteljaehrlich(G597)</f>
        <v/>
      </c>
      <c r="U597" s="27" t="n"/>
      <c r="V597" s="27" t="n">
        <v>20</v>
      </c>
      <c r="W597" s="210">
        <f>IF(K597=TRUE,Q597/J597,Q597)</f>
        <v/>
      </c>
      <c r="X597" s="237">
        <f>V597/100*S597</f>
        <v/>
      </c>
      <c r="Y597">
        <f>IF(AND(V597&gt;0,N597=V597),TRUE,FALSE)</f>
        <v/>
      </c>
      <c r="Z597" s="228">
        <f>IF(C597="Einnahmen",Q597,-Q597)</f>
        <v/>
      </c>
    </row>
    <row r="598">
      <c r="A598" s="53" t="n">
        <v>2021</v>
      </c>
      <c r="B598" s="53" t="n">
        <v>125</v>
      </c>
      <c r="C598" s="71" t="inlineStr">
        <is>
          <t>Ausgaben</t>
        </is>
      </c>
      <c r="D598" t="inlineStr">
        <is>
          <t>sonstige Betriebsausgaben</t>
        </is>
      </c>
      <c r="E598" s="9" t="inlineStr">
        <is>
          <t>AT1PXC9AEUI</t>
        </is>
      </c>
      <c r="G598" s="1" t="n">
        <v>44424</v>
      </c>
      <c r="H598" t="inlineStr">
        <is>
          <t>Amazon EU S. à r.l., 38 avenue John F. Kennedy, L-1855 Luxembourg: HJEU: DVI-HDMI, Logitech Maus</t>
        </is>
      </c>
      <c r="K598">
        <f>(IF(AND(I598&lt;&gt;"",AND(J598="",ABS(Q598)&gt;400)),TRUE,FALSE))</f>
        <v/>
      </c>
      <c r="L598" s="214" t="n">
        <v>57.14</v>
      </c>
      <c r="M598" s="159" t="n">
        <v>1</v>
      </c>
      <c r="N598" t="n">
        <v>20</v>
      </c>
      <c r="O598" s="237">
        <f>L598*N598/100</f>
        <v/>
      </c>
      <c r="P598" s="237">
        <f>M598*O598</f>
        <v/>
      </c>
      <c r="Q598" s="208">
        <f>L598*M598</f>
        <v/>
      </c>
      <c r="R598" s="251">
        <f>L598+O598</f>
        <v/>
      </c>
      <c r="S598" s="251">
        <f>Q598+P598</f>
        <v/>
      </c>
      <c r="T598" s="35">
        <f>voranmeldefrist_vierteljaehrlich(G598)</f>
        <v/>
      </c>
      <c r="U598" s="27" t="n"/>
      <c r="V598" s="27" t="n"/>
      <c r="W598" s="210">
        <f>IF(K598=TRUE,Q598/I598,Q598)</f>
        <v/>
      </c>
      <c r="X598" s="237">
        <f>V598/100*S598</f>
        <v/>
      </c>
      <c r="Y598">
        <f>IF(AND(V598&gt;0,N598=V598),TRUE,FALSE)</f>
        <v/>
      </c>
      <c r="Z598" s="228">
        <f>IF(C598="Einnahmen",Q598,-Q598)</f>
        <v/>
      </c>
    </row>
    <row r="599">
      <c r="A599" s="53" t="n">
        <v>2021</v>
      </c>
      <c r="B599" s="53" t="n">
        <v>126</v>
      </c>
      <c r="C599" s="71" t="inlineStr">
        <is>
          <t>Ausgaben</t>
        </is>
      </c>
      <c r="D599" t="inlineStr">
        <is>
          <t>Telefon/Internet</t>
        </is>
      </c>
      <c r="E599" s="131" t="inlineStr">
        <is>
          <t>901190380821</t>
        </is>
      </c>
      <c r="G599" s="1" t="n">
        <v>44431</v>
      </c>
      <c r="H599" t="inlineStr">
        <is>
          <t>Magenta: T-Mobile Austria GmbH, A-1120 Wien, PF 47</t>
        </is>
      </c>
      <c r="K599">
        <f>(IF(AND(I599&lt;&gt;"",AND(J599="",ABS(Q599)&gt;400)),TRUE,FALSE))</f>
        <v/>
      </c>
      <c r="L599" s="214" t="n">
        <v>31.92</v>
      </c>
      <c r="M599" s="159" t="n">
        <v>1</v>
      </c>
      <c r="N599" t="n">
        <v>20</v>
      </c>
      <c r="O599" s="237">
        <f>L599*N599/100</f>
        <v/>
      </c>
      <c r="P599" s="237">
        <f>M599*O599</f>
        <v/>
      </c>
      <c r="Q599" s="208">
        <f>L599*M599</f>
        <v/>
      </c>
      <c r="R599" s="251">
        <f>L599+O599</f>
        <v/>
      </c>
      <c r="S599" s="251">
        <f>Q599+P599</f>
        <v/>
      </c>
      <c r="T599" s="35">
        <f>voranmeldefrist_vierteljaehrlich(G599)</f>
        <v/>
      </c>
      <c r="U599" s="27" t="n"/>
      <c r="V599" s="27" t="n"/>
      <c r="W599" s="210">
        <f>IF(K599=TRUE,Q599/I599,Q599)</f>
        <v/>
      </c>
      <c r="X599" s="237">
        <f>V599/100*S599</f>
        <v/>
      </c>
      <c r="Y599">
        <f>IF(AND(V599&gt;0,N599=V599),TRUE,FALSE)</f>
        <v/>
      </c>
      <c r="Z599" s="228">
        <f>IF(C599="Einnahmen",Q599,-Q599)</f>
        <v/>
      </c>
    </row>
    <row r="600">
      <c r="A600" s="53" t="n">
        <v>2021</v>
      </c>
      <c r="B600" s="53" t="n">
        <v>127</v>
      </c>
      <c r="C600" s="71" t="inlineStr">
        <is>
          <t>Ausgaben</t>
        </is>
      </c>
      <c r="D600" t="inlineStr">
        <is>
          <t>Waren, Rohstoffe, Hilfsstoffe</t>
        </is>
      </c>
      <c r="E600" s="9" t="n">
        <v>847269</v>
      </c>
      <c r="G600" s="1" t="n">
        <v>44433</v>
      </c>
      <c r="H600" t="inlineStr">
        <is>
          <t>Lemon Technologies GmbH, Unterweißenbach 181, 7330 Feldbach: Bildschirm</t>
        </is>
      </c>
      <c r="J600" s="76" t="inlineStr">
        <is>
          <t>ja</t>
        </is>
      </c>
      <c r="K600">
        <f>(IF(AND(I600&lt;&gt;"",AND(J600="",ABS(Q600)&gt;400)),TRUE,FALSE))</f>
        <v/>
      </c>
      <c r="L600" s="214" t="n">
        <v>139.17</v>
      </c>
      <c r="M600" s="159" t="n">
        <v>1</v>
      </c>
      <c r="N600" t="n">
        <v>20</v>
      </c>
      <c r="O600" s="237">
        <f>L600*N600/100</f>
        <v/>
      </c>
      <c r="P600" s="237">
        <f>M600*O600</f>
        <v/>
      </c>
      <c r="Q600" s="208">
        <f>L600*M600</f>
        <v/>
      </c>
      <c r="R600" s="251">
        <f>L600+O600</f>
        <v/>
      </c>
      <c r="S600" s="251">
        <f>Q600+P600</f>
        <v/>
      </c>
      <c r="T600" s="35">
        <f>voranmeldefrist_vierteljaehrlich(G600)</f>
        <v/>
      </c>
      <c r="U600" s="27" t="n"/>
      <c r="V600" s="27" t="n"/>
      <c r="W600" s="210">
        <f>IF(K600=TRUE,Q600/I600,Q600)</f>
        <v/>
      </c>
      <c r="X600" s="237">
        <f>V600/100*S600</f>
        <v/>
      </c>
      <c r="Y600">
        <f>IF(AND(V600&gt;0,N600=V600),TRUE,FALSE)</f>
        <v/>
      </c>
      <c r="Z600" s="228">
        <f>IF(C600="Einnahmen",Q600,-Q600)</f>
        <v/>
      </c>
    </row>
    <row r="601">
      <c r="A601" s="53" t="n">
        <v>2021</v>
      </c>
      <c r="B601" s="53" t="n">
        <v>128</v>
      </c>
      <c r="C601" s="71" t="inlineStr">
        <is>
          <t>Ausgaben</t>
        </is>
      </c>
      <c r="D601" t="inlineStr">
        <is>
          <t>Werbe- und Repräsentationsaufwand</t>
        </is>
      </c>
      <c r="E601" s="9" t="inlineStr">
        <is>
          <t>PRM321080003319</t>
        </is>
      </c>
      <c r="G601" s="1" t="n">
        <v>44439</v>
      </c>
      <c r="H601" t="inlineStr">
        <is>
          <t>New Work SE, Dammtorstraße 30, 20354 Hamburg</t>
        </is>
      </c>
      <c r="K601">
        <f>(IF(AND(I601&lt;&gt;"",AND(J601="",ABS(Q601)&gt;400)),TRUE,FALSE))</f>
        <v/>
      </c>
      <c r="L601" s="214" t="n">
        <v>24.88</v>
      </c>
      <c r="M601" s="159" t="n">
        <v>1</v>
      </c>
      <c r="N601" t="n">
        <v>0</v>
      </c>
      <c r="O601" s="237">
        <f>L601*N601/100</f>
        <v/>
      </c>
      <c r="P601" s="237">
        <f>M601*O601</f>
        <v/>
      </c>
      <c r="Q601" s="208">
        <f>L601*M601</f>
        <v/>
      </c>
      <c r="R601" s="251">
        <f>L601+O601</f>
        <v/>
      </c>
      <c r="S601" s="251">
        <f>Q601+P601</f>
        <v/>
      </c>
      <c r="T601" s="35">
        <f>voranmeldefrist_vierteljaehrlich(G601)</f>
        <v/>
      </c>
      <c r="U601" s="27" t="n"/>
      <c r="V601" s="27" t="n">
        <v>20</v>
      </c>
      <c r="W601" s="210">
        <f>IF(K601=TRUE,Q601/I601,Q601)</f>
        <v/>
      </c>
      <c r="X601" s="237">
        <f>V601/100*S601</f>
        <v/>
      </c>
      <c r="Y601">
        <f>IF(AND(V601&gt;0,N601=V601),TRUE,FALSE)</f>
        <v/>
      </c>
      <c r="Z601" s="228">
        <f>IF(C601="Einnahmen",Q601,-Q601)</f>
        <v/>
      </c>
    </row>
    <row r="602">
      <c r="A602" s="53" t="n">
        <v>2021</v>
      </c>
      <c r="B602" s="53" t="n">
        <v>129</v>
      </c>
      <c r="C602" s="71" t="inlineStr">
        <is>
          <t>Ausgaben</t>
        </is>
      </c>
      <c r="D602" t="inlineStr">
        <is>
          <t>Miet- und Pachtaufwand, Leasing</t>
        </is>
      </c>
      <c r="E602" s="9" t="inlineStr">
        <is>
          <t>21/9801/VS00473</t>
        </is>
      </c>
      <c r="G602" s="1" t="n">
        <v>44440</v>
      </c>
      <c r="H602" t="inlineStr">
        <is>
          <t>Bontus Immobilienverwaltung GmbH, 1010 Wien, Franz Josefs Kai 65</t>
        </is>
      </c>
      <c r="K602" t="b">
        <v>0</v>
      </c>
      <c r="L602" s="214">
        <f>564.56/1.2</f>
        <v/>
      </c>
      <c r="M602" s="159" t="n">
        <v>1</v>
      </c>
      <c r="N602" t="n">
        <v>20</v>
      </c>
      <c r="O602" s="237">
        <f>L602*N602/100</f>
        <v/>
      </c>
      <c r="P602" s="237">
        <f>M602*O602</f>
        <v/>
      </c>
      <c r="Q602" s="208">
        <f>L602*M602</f>
        <v/>
      </c>
      <c r="R602" s="251">
        <f>L602+O602</f>
        <v/>
      </c>
      <c r="S602" s="251">
        <f>Q602+P602</f>
        <v/>
      </c>
      <c r="T602" s="35">
        <f>voranmeldefrist_vierteljaehrlich(G602)</f>
        <v/>
      </c>
      <c r="U602" s="27" t="n"/>
      <c r="V602" s="27" t="n"/>
      <c r="W602" s="210">
        <f>IF(K602=TRUE,Q602/J602,Q602)</f>
        <v/>
      </c>
      <c r="X602" s="237">
        <f>V602/100*S602</f>
        <v/>
      </c>
      <c r="Y602">
        <f>IF(AND(V602&gt;0,N602=V602),TRUE,FALSE)</f>
        <v/>
      </c>
      <c r="Z602" s="228">
        <f>IF(C602="Einnahmen",Q602,-Q602)</f>
        <v/>
      </c>
    </row>
    <row r="603">
      <c r="A603" s="53" t="n">
        <v>2021</v>
      </c>
      <c r="B603" s="53" t="n">
        <v>130</v>
      </c>
      <c r="C603" s="71" t="inlineStr">
        <is>
          <t>Ausgaben</t>
        </is>
      </c>
      <c r="D603" t="inlineStr">
        <is>
          <t>Telefon/Internet</t>
        </is>
      </c>
      <c r="E603" s="9" t="inlineStr">
        <is>
          <t>6227980180</t>
        </is>
      </c>
      <c r="G603" s="1" t="n">
        <v>44441</v>
      </c>
      <c r="H603" t="inlineStr">
        <is>
          <t>Hutchison Drei Austria GmbH, Brünner Straße 52, 1210 Wien, Österreich</t>
        </is>
      </c>
      <c r="K603">
        <f>(IF(AND(I603&lt;&gt;"",AND(J603="",ABS(Q603)&gt;400)),TRUE,FALSE))</f>
        <v/>
      </c>
      <c r="L603" s="214" t="n">
        <v>15</v>
      </c>
      <c r="M603" s="159" t="n">
        <v>1</v>
      </c>
      <c r="N603" t="n">
        <v>20</v>
      </c>
      <c r="O603" s="237">
        <f>L603*N603/100</f>
        <v/>
      </c>
      <c r="P603" s="237">
        <f>M603*O603</f>
        <v/>
      </c>
      <c r="Q603" s="208">
        <f>L603*M603</f>
        <v/>
      </c>
      <c r="R603" s="251">
        <f>L603+O603</f>
        <v/>
      </c>
      <c r="S603" s="251">
        <f>Q603+P603</f>
        <v/>
      </c>
      <c r="T603" s="35">
        <f>voranmeldefrist_vierteljaehrlich(G603)</f>
        <v/>
      </c>
      <c r="U603" s="27" t="n"/>
      <c r="V603" s="27" t="n"/>
      <c r="W603" s="210">
        <f>IF(K603=TRUE,Q603/I603,Q603)</f>
        <v/>
      </c>
      <c r="X603" s="237">
        <f>V603/100*S603</f>
        <v/>
      </c>
      <c r="Y603">
        <f>IF(AND(V603&gt;0,N603=V603),TRUE,FALSE)</f>
        <v/>
      </c>
      <c r="Z603" s="228">
        <f>IF(C603="Einnahmen",Q603,-Q603)</f>
        <v/>
      </c>
    </row>
    <row r="604">
      <c r="A604" s="53" t="n">
        <v>2021</v>
      </c>
      <c r="B604" s="53" t="n">
        <v>131</v>
      </c>
      <c r="C604" s="71" t="inlineStr">
        <is>
          <t>Ausgaben</t>
        </is>
      </c>
      <c r="D604" t="inlineStr">
        <is>
          <t>sonstige Betriebsausgaben</t>
        </is>
      </c>
      <c r="E604" s="9" t="inlineStr">
        <is>
          <t>60793/100/2021</t>
        </is>
      </c>
      <c r="G604" s="1" t="n">
        <v>44442</v>
      </c>
      <c r="H604" t="inlineStr">
        <is>
          <t>easy green energy GmbH &amp; Co KG</t>
        </is>
      </c>
      <c r="K604">
        <f>(IF(AND(I604&lt;&gt;"",AND(J604="",ABS(Q604)&gt;400)),TRUE,FALSE))</f>
        <v/>
      </c>
      <c r="L604" s="214" t="n">
        <v>2.5</v>
      </c>
      <c r="M604" s="159" t="n">
        <v>1</v>
      </c>
      <c r="N604" t="n">
        <v>20</v>
      </c>
      <c r="O604" s="237">
        <f>L604*N604/100</f>
        <v/>
      </c>
      <c r="P604" s="237">
        <f>M604*O604</f>
        <v/>
      </c>
      <c r="Q604" s="208">
        <f>L604*M604</f>
        <v/>
      </c>
      <c r="R604" s="251">
        <f>L604+O604</f>
        <v/>
      </c>
      <c r="S604" s="251" t="n">
        <v>3</v>
      </c>
      <c r="T604" s="35">
        <f>voranmeldefrist_vierteljaehrlich(G604)</f>
        <v/>
      </c>
      <c r="U604" s="27" t="n"/>
      <c r="V604" s="27" t="n"/>
      <c r="W604" s="210">
        <f>IF(K604=TRUE,Q604/J604,Q604)</f>
        <v/>
      </c>
      <c r="X604" s="237">
        <f>V604/100*S604</f>
        <v/>
      </c>
      <c r="Y604">
        <f>IF(AND(V604&gt;0,N604=V604),TRUE,FALSE)</f>
        <v/>
      </c>
      <c r="Z604" s="228">
        <f>IF(C604="Einnahmen",Q604,-Q604)</f>
        <v/>
      </c>
    </row>
    <row r="605">
      <c r="A605" s="53" t="n">
        <v>2021</v>
      </c>
      <c r="B605" s="53" t="n">
        <v>132</v>
      </c>
      <c r="C605" s="71" t="inlineStr">
        <is>
          <t>Ausgaben</t>
        </is>
      </c>
      <c r="D605" t="inlineStr">
        <is>
          <t>Lizenzgebühren</t>
        </is>
      </c>
      <c r="E605" s="9" t="inlineStr">
        <is>
          <t>INVCZ4061060</t>
        </is>
      </c>
      <c r="G605" s="1" t="n">
        <v>44442</v>
      </c>
      <c r="H605" t="inlineStr">
        <is>
          <t>JetBrains s.r.o, Kavci Hory Office Park, Na hrebenech II 1718/10, Praha 4- Nusle 14000, Ceska republika</t>
        </is>
      </c>
      <c r="K605" t="b">
        <v>0</v>
      </c>
      <c r="L605" s="214" t="n">
        <v>53</v>
      </c>
      <c r="M605" s="159" t="n">
        <v>1</v>
      </c>
      <c r="N605" t="n">
        <v>20</v>
      </c>
      <c r="O605" s="237">
        <f>L605*N605/100</f>
        <v/>
      </c>
      <c r="P605" s="237">
        <f>M605*O605</f>
        <v/>
      </c>
      <c r="Q605" s="208">
        <f>L605*M605</f>
        <v/>
      </c>
      <c r="R605" s="251">
        <f>L605+O605</f>
        <v/>
      </c>
      <c r="S605" s="251">
        <f>Q605+P605</f>
        <v/>
      </c>
      <c r="T605" s="35">
        <f>voranmeldefrist_vierteljaehrlich(G605)</f>
        <v/>
      </c>
      <c r="U605" s="27" t="n"/>
      <c r="V605" s="27" t="n"/>
      <c r="W605" s="210">
        <f>IF(K605=TRUE,Q605/J605,Q605)</f>
        <v/>
      </c>
      <c r="X605" s="237">
        <f>V605/100*S605</f>
        <v/>
      </c>
      <c r="Y605">
        <f>IF(AND(V605&gt;0,N605=V605),TRUE,FALSE)</f>
        <v/>
      </c>
      <c r="Z605" s="228">
        <f>IF(C605="Einnahmen",Q605,-Q605)</f>
        <v/>
      </c>
    </row>
    <row r="606">
      <c r="A606" s="53" t="n">
        <v>2021</v>
      </c>
      <c r="B606" s="53" t="n">
        <v>133</v>
      </c>
      <c r="C606" s="71" t="inlineStr">
        <is>
          <t>Ausgaben</t>
        </is>
      </c>
      <c r="D606" t="inlineStr">
        <is>
          <t>Miet- und Pachtaufwand, Leasing</t>
        </is>
      </c>
      <c r="E606" s="9" t="inlineStr">
        <is>
          <t>HKA/20-01-58835</t>
        </is>
      </c>
      <c r="G606" s="1" t="n">
        <v>44445</v>
      </c>
      <c r="H606" t="inlineStr">
        <is>
          <t>Techem Messtechnik GmbH; Abnehmernummer 501686-0003-11-</t>
        </is>
      </c>
      <c r="K606" t="b">
        <v>0</v>
      </c>
      <c r="L606" s="214" t="n">
        <v>74</v>
      </c>
      <c r="M606" s="159" t="n">
        <v>1</v>
      </c>
      <c r="N606" t="n">
        <v>20</v>
      </c>
      <c r="O606" s="237">
        <f>L606*N606/100</f>
        <v/>
      </c>
      <c r="P606" s="237">
        <f>M606*O606</f>
        <v/>
      </c>
      <c r="Q606" s="208">
        <f>L606*M606</f>
        <v/>
      </c>
      <c r="R606" s="251">
        <f>L606+O606</f>
        <v/>
      </c>
      <c r="S606" s="251">
        <f>Q606+P606</f>
        <v/>
      </c>
      <c r="T606" s="35">
        <f>voranmeldefrist_vierteljaehrlich(G606)</f>
        <v/>
      </c>
      <c r="U606" s="27" t="n"/>
      <c r="V606" s="27" t="n"/>
      <c r="W606" s="210">
        <f>IF(K606=TRUE,Q606/J606,Q606)</f>
        <v/>
      </c>
      <c r="X606" s="237">
        <f>V606/100*S606</f>
        <v/>
      </c>
      <c r="Y606">
        <f>IF(AND(V606&gt;0,N606=V606),TRUE,FALSE)</f>
        <v/>
      </c>
      <c r="Z606" s="228">
        <f>IF(C606="Einnahmen",Q606,-Q606)</f>
        <v/>
      </c>
    </row>
    <row r="607">
      <c r="A607" s="53" t="n">
        <v>2021</v>
      </c>
      <c r="B607" s="53" t="n">
        <v>134</v>
      </c>
      <c r="C607" s="71" t="inlineStr">
        <is>
          <t>Ausgaben</t>
        </is>
      </c>
      <c r="D607" t="inlineStr">
        <is>
          <t>sonstige Betriebsausgaben</t>
        </is>
      </c>
      <c r="E607" s="9" t="inlineStr">
        <is>
          <t>3965149853</t>
        </is>
      </c>
      <c r="G607" s="1" t="n">
        <v>44445</v>
      </c>
      <c r="H607" t="inlineStr">
        <is>
          <t>Google Ireland Ltd, Gordon House, Barrow Street, Dublin 4, Ireland; VAT number: IE 6388047V</t>
        </is>
      </c>
      <c r="K607" t="b">
        <v>0</v>
      </c>
      <c r="L607" s="214" t="n">
        <v>10.04</v>
      </c>
      <c r="M607" s="159" t="n">
        <v>1</v>
      </c>
      <c r="N607" t="n">
        <v>0</v>
      </c>
      <c r="O607" s="237">
        <f>L607*N607/100</f>
        <v/>
      </c>
      <c r="P607" s="237">
        <f>M607*O607</f>
        <v/>
      </c>
      <c r="Q607" s="208">
        <f>L607*M607</f>
        <v/>
      </c>
      <c r="R607" s="251">
        <f>L607+O607</f>
        <v/>
      </c>
      <c r="S607" s="251">
        <f>Q607+P607</f>
        <v/>
      </c>
      <c r="T607" s="35">
        <f>voranmeldefrist_vierteljaehrlich(G607)</f>
        <v/>
      </c>
      <c r="U607" s="27" t="n"/>
      <c r="V607" s="27" t="n">
        <v>20</v>
      </c>
      <c r="W607" s="210">
        <f>IF(K607=TRUE,Q607/I607,Q607)</f>
        <v/>
      </c>
      <c r="X607" s="237">
        <f>V607/100*S607</f>
        <v/>
      </c>
      <c r="Y607">
        <f>IF(AND(V607&gt;0,N607=V607),TRUE,FALSE)</f>
        <v/>
      </c>
      <c r="Z607" s="228">
        <f>IF(C607="Einnahmen",Q607,-Q607)</f>
        <v/>
      </c>
    </row>
    <row r="608">
      <c r="A608" s="53" t="n">
        <v>2021</v>
      </c>
      <c r="B608" s="53" t="n">
        <v>135</v>
      </c>
      <c r="C608" s="71" t="inlineStr">
        <is>
          <t>Ausgaben</t>
        </is>
      </c>
      <c r="D608" t="inlineStr">
        <is>
          <t>sonstige Betriebsausgaben</t>
        </is>
      </c>
      <c r="E608" s="9" t="inlineStr">
        <is>
          <t>R0014075709</t>
        </is>
      </c>
      <c r="G608" s="1" t="n">
        <v>44447</v>
      </c>
      <c r="H608" t="inlineStr">
        <is>
          <t>Hetzner Online GmbH</t>
        </is>
      </c>
      <c r="J608" s="76" t="inlineStr">
        <is>
          <t>ja</t>
        </is>
      </c>
      <c r="K608">
        <f>(IF(AND(I608&lt;&gt;"",AND(J608="",ABS(Q608)&gt;400)),TRUE,FALSE))</f>
        <v/>
      </c>
      <c r="L608" s="214" t="n">
        <v>2.49</v>
      </c>
      <c r="M608" s="159" t="n">
        <v>1</v>
      </c>
      <c r="N608" t="n">
        <v>0</v>
      </c>
      <c r="O608" s="237">
        <f>L608*N608/100</f>
        <v/>
      </c>
      <c r="P608" s="237">
        <f>M608*O608</f>
        <v/>
      </c>
      <c r="Q608" s="208">
        <f>L608*M608</f>
        <v/>
      </c>
      <c r="R608" s="251">
        <f>L608+O608</f>
        <v/>
      </c>
      <c r="S608" s="251">
        <f>Q608+P608</f>
        <v/>
      </c>
      <c r="T608" s="35">
        <f>voranmeldefrist_vierteljaehrlich(G608)</f>
        <v/>
      </c>
      <c r="U608" s="27" t="n"/>
      <c r="V608" s="27" t="n">
        <v>20</v>
      </c>
      <c r="W608" s="210">
        <f>IF(K608=TRUE,Q608/J608,Q608)</f>
        <v/>
      </c>
      <c r="X608" s="237">
        <f>V608/100*S608</f>
        <v/>
      </c>
      <c r="Y608">
        <f>IF(AND(V608&gt;0,N608=V608),TRUE,FALSE)</f>
        <v/>
      </c>
      <c r="Z608" s="228">
        <f>IF(C608="Einnahmen",Q608,-Q608)</f>
        <v/>
      </c>
    </row>
    <row r="609">
      <c r="A609" s="53" t="n">
        <v>2021</v>
      </c>
      <c r="B609" s="53" t="n">
        <v>136</v>
      </c>
      <c r="C609" s="71" t="inlineStr">
        <is>
          <t>Ausgaben</t>
        </is>
      </c>
      <c r="D609" t="inlineStr">
        <is>
          <t>sonstige Betriebsausgaben</t>
        </is>
      </c>
      <c r="E609" s="9" t="inlineStr">
        <is>
          <t>5137082649</t>
        </is>
      </c>
      <c r="G609" s="1" t="n">
        <v>44449</v>
      </c>
      <c r="H609" t="inlineStr">
        <is>
          <t>Wiener Netze GmbH, Erdbergstraße 236, 1110 Wien, Postfach 422; Jahresabrechnung vom 17.12.20: GUTSCHRIFT</t>
        </is>
      </c>
      <c r="K609">
        <f>(IF(AND(I609&lt;&gt;"",AND(J609="",ABS(Q609)&gt;400)),TRUE,FALSE))</f>
        <v/>
      </c>
      <c r="L609" s="214" t="n">
        <v>13</v>
      </c>
      <c r="M609" s="159" t="n">
        <v>1</v>
      </c>
      <c r="N609" t="n">
        <v>20</v>
      </c>
      <c r="O609" s="237">
        <f>L609*N609/100</f>
        <v/>
      </c>
      <c r="P609" s="237">
        <f>M609*O609</f>
        <v/>
      </c>
      <c r="Q609" s="208">
        <f>L609*M609</f>
        <v/>
      </c>
      <c r="R609" s="251">
        <f>L609+O609</f>
        <v/>
      </c>
      <c r="S609" s="251">
        <f>Q609+P609</f>
        <v/>
      </c>
      <c r="T609" s="35">
        <f>voranmeldefrist_vierteljaehrlich(G609)</f>
        <v/>
      </c>
      <c r="U609" s="27" t="n"/>
      <c r="V609" s="27" t="n"/>
      <c r="W609" s="210">
        <f>IF(K609=TRUE,Q609/J609,Q609)</f>
        <v/>
      </c>
      <c r="X609" s="237">
        <f>V609/100*S609</f>
        <v/>
      </c>
      <c r="Y609">
        <f>IF(AND(V609&gt;0,N609=V609),TRUE,FALSE)</f>
        <v/>
      </c>
      <c r="Z609" s="228">
        <f>IF(C609="Einnahmen",Q609,-Q609)</f>
        <v/>
      </c>
    </row>
    <row r="610">
      <c r="A610" s="53" t="n">
        <v>2021</v>
      </c>
      <c r="B610" s="53" t="n">
        <v>137</v>
      </c>
      <c r="C610" s="71" t="inlineStr">
        <is>
          <t>Ausgaben</t>
        </is>
      </c>
      <c r="D610" t="inlineStr">
        <is>
          <t>sonstige Betriebsausgaben</t>
        </is>
      </c>
      <c r="E610" s="9" t="inlineStr">
        <is>
          <t>R0014130118</t>
        </is>
      </c>
      <c r="G610" s="1" t="n">
        <v>44452</v>
      </c>
      <c r="H610" t="inlineStr">
        <is>
          <t>Hetzner Online GmbH</t>
        </is>
      </c>
      <c r="K610">
        <f>(IF(AND(I610&lt;&gt;"",AND(J610="",ABS(Q610)&gt;400)),TRUE,FALSE))</f>
        <v/>
      </c>
      <c r="L610" s="214" t="n">
        <v>46.9168</v>
      </c>
      <c r="M610" s="159" t="n">
        <v>1</v>
      </c>
      <c r="N610" t="n">
        <v>0</v>
      </c>
      <c r="O610" s="237">
        <f>L610*N610/100</f>
        <v/>
      </c>
      <c r="P610" s="237">
        <f>M610*O610</f>
        <v/>
      </c>
      <c r="Q610" s="208">
        <f>L610*M610</f>
        <v/>
      </c>
      <c r="R610" s="251">
        <f>L610+O610</f>
        <v/>
      </c>
      <c r="S610" s="251">
        <f>Q610+P610</f>
        <v/>
      </c>
      <c r="T610" s="35">
        <f>voranmeldefrist_vierteljaehrlich(G610)</f>
        <v/>
      </c>
      <c r="U610" s="27" t="n"/>
      <c r="V610" s="27" t="n">
        <v>20</v>
      </c>
      <c r="W610" s="210">
        <f>IF(K610=TRUE,Q610/J610,Q610)</f>
        <v/>
      </c>
      <c r="X610" s="237">
        <f>V610/100*S610</f>
        <v/>
      </c>
      <c r="Y610">
        <f>IF(AND(V610&gt;0,N610=V610),TRUE,FALSE)</f>
        <v/>
      </c>
      <c r="Z610" s="228">
        <f>IF(C610="Einnahmen",Q610,-Q610)</f>
        <v/>
      </c>
    </row>
    <row r="611">
      <c r="A611" s="53" t="n">
        <v>2021</v>
      </c>
      <c r="B611" s="53" t="n">
        <v>138</v>
      </c>
      <c r="C611" s="71" t="inlineStr">
        <is>
          <t>Ausgaben</t>
        </is>
      </c>
      <c r="D611" t="inlineStr">
        <is>
          <t>Telefon/Internet</t>
        </is>
      </c>
      <c r="E611" s="131" t="inlineStr">
        <is>
          <t>901185470921</t>
        </is>
      </c>
      <c r="G611" s="1" t="n">
        <v>44460</v>
      </c>
      <c r="H611" t="inlineStr">
        <is>
          <t>Magenta: T-Mobile Austria GmbH, A-1120 Wien, PF 47</t>
        </is>
      </c>
      <c r="K611">
        <f>(IF(AND(I611&lt;&gt;"",AND(J611="",ABS(Q611)&gt;400)),TRUE,FALSE))</f>
        <v/>
      </c>
      <c r="L611" s="214" t="n">
        <v>31.92</v>
      </c>
      <c r="M611" s="159" t="n">
        <v>1</v>
      </c>
      <c r="N611" t="n">
        <v>20</v>
      </c>
      <c r="O611" s="237">
        <f>L611*N611/100</f>
        <v/>
      </c>
      <c r="P611" s="237">
        <f>M611*O611</f>
        <v/>
      </c>
      <c r="Q611" s="208">
        <f>L611*M611</f>
        <v/>
      </c>
      <c r="R611" s="251">
        <f>L611+O611</f>
        <v/>
      </c>
      <c r="S611" s="251">
        <f>Q611+P611</f>
        <v/>
      </c>
      <c r="T611" s="35">
        <f>voranmeldefrist_vierteljaehrlich(G611)</f>
        <v/>
      </c>
      <c r="U611" s="27" t="n"/>
      <c r="V611" s="27" t="n"/>
      <c r="W611" s="210">
        <f>IF(K611=TRUE,Q611/I611,Q611)</f>
        <v/>
      </c>
      <c r="X611" s="237">
        <f>V611/100*S611</f>
        <v/>
      </c>
      <c r="Y611">
        <f>IF(AND(V611&gt;0,N611=V611),TRUE,FALSE)</f>
        <v/>
      </c>
      <c r="Z611" s="228">
        <f>IF(C611="Einnahmen",Q611,-Q611)</f>
        <v/>
      </c>
    </row>
    <row r="612">
      <c r="A612" s="53" t="n">
        <v>2021</v>
      </c>
      <c r="B612" s="53" t="n">
        <v>139</v>
      </c>
      <c r="C612" s="71" t="inlineStr">
        <is>
          <t>Ausgaben</t>
        </is>
      </c>
      <c r="D612" t="inlineStr">
        <is>
          <t>Miet- und Pachtaufwand, Leasing</t>
        </is>
      </c>
      <c r="E612" s="9" t="inlineStr">
        <is>
          <t>21/9801/VS00474</t>
        </is>
      </c>
      <c r="G612" s="1" t="n">
        <v>44470</v>
      </c>
      <c r="H612" t="inlineStr">
        <is>
          <t>Bontus Immobilienverwaltung GmbH, 1010 Wien, Franz Josefs Kai 65</t>
        </is>
      </c>
      <c r="K612" t="b">
        <v>0</v>
      </c>
      <c r="L612" s="214">
        <f>564.56/1.2</f>
        <v/>
      </c>
      <c r="M612" s="159" t="n">
        <v>1</v>
      </c>
      <c r="N612" t="n">
        <v>20</v>
      </c>
      <c r="O612" s="237">
        <f>L612*N612/100</f>
        <v/>
      </c>
      <c r="P612" s="237">
        <f>M612*O612</f>
        <v/>
      </c>
      <c r="Q612" s="208">
        <f>L612*M612</f>
        <v/>
      </c>
      <c r="R612" s="251">
        <f>L612+O612</f>
        <v/>
      </c>
      <c r="S612" s="251">
        <f>Q612+P612</f>
        <v/>
      </c>
      <c r="T612" s="35">
        <f>voranmeldefrist_vierteljaehrlich(G612)</f>
        <v/>
      </c>
      <c r="U612" s="27" t="n"/>
      <c r="V612" s="27" t="n"/>
      <c r="W612" s="210">
        <f>IF(K612=TRUE,Q612/J612,Q612)</f>
        <v/>
      </c>
      <c r="X612" s="237">
        <f>V612/100*S612</f>
        <v/>
      </c>
      <c r="Y612">
        <f>IF(AND(V612&gt;0,N612=V612),TRUE,FALSE)</f>
        <v/>
      </c>
      <c r="Z612" s="228">
        <f>IF(C612="Einnahmen",Q612,-Q612)</f>
        <v/>
      </c>
    </row>
    <row r="613">
      <c r="A613" s="53" t="n">
        <v>2021</v>
      </c>
      <c r="B613" s="53" t="n">
        <v>140</v>
      </c>
      <c r="C613" s="71" t="inlineStr">
        <is>
          <t>Ausgaben</t>
        </is>
      </c>
      <c r="D613" t="inlineStr">
        <is>
          <t>Telefon/Internet</t>
        </is>
      </c>
      <c r="E613" s="9" t="inlineStr">
        <is>
          <t>6229698678</t>
        </is>
      </c>
      <c r="G613" s="1" t="n">
        <v>44470</v>
      </c>
      <c r="H613" t="inlineStr">
        <is>
          <t>Hutchison Drei Austria GmbH, Brünner Straße 52, 1210 Wien, Österreich</t>
        </is>
      </c>
      <c r="K613">
        <f>(IF(AND(I613&lt;&gt;"",AND(J613="",ABS(Q613)&gt;400)),TRUE,FALSE))</f>
        <v/>
      </c>
      <c r="L613" s="214" t="n">
        <v>15</v>
      </c>
      <c r="M613" s="159" t="n">
        <v>1</v>
      </c>
      <c r="N613" t="n">
        <v>20</v>
      </c>
      <c r="O613" s="237">
        <f>L613*N613/100</f>
        <v/>
      </c>
      <c r="P613" s="237">
        <f>M613*O613</f>
        <v/>
      </c>
      <c r="Q613" s="208">
        <f>L613*M613</f>
        <v/>
      </c>
      <c r="R613" s="251">
        <f>L613+O613</f>
        <v/>
      </c>
      <c r="S613" s="251">
        <f>Q613+P613</f>
        <v/>
      </c>
      <c r="T613" s="35">
        <f>voranmeldefrist_vierteljaehrlich(G613)</f>
        <v/>
      </c>
      <c r="U613" s="27" t="n"/>
      <c r="V613" s="27" t="n"/>
      <c r="W613" s="210">
        <f>IF(K613=TRUE,Q613/I613,Q613)</f>
        <v/>
      </c>
      <c r="X613" s="237">
        <f>V613/100*S613</f>
        <v/>
      </c>
      <c r="Y613">
        <f>IF(AND(V613&gt;0,N613=V613),TRUE,FALSE)</f>
        <v/>
      </c>
      <c r="Z613" s="228">
        <f>IF(C613="Einnahmen",Q613,-Q613)</f>
        <v/>
      </c>
    </row>
    <row r="614">
      <c r="A614" s="53" t="n">
        <v>2021</v>
      </c>
      <c r="B614" s="53" t="n">
        <v>141</v>
      </c>
      <c r="C614" s="71" t="inlineStr">
        <is>
          <t>Ausgaben</t>
        </is>
      </c>
      <c r="D614" t="inlineStr">
        <is>
          <t>Reise- und Fahrtspesen inkl. Kilometergeld und Diäten</t>
        </is>
      </c>
      <c r="E614" s="131" t="inlineStr">
        <is>
          <t>4293000000022560</t>
        </is>
      </c>
      <c r="G614" s="1" t="n">
        <v>44470</v>
      </c>
      <c r="H614" t="inlineStr">
        <is>
          <t>car2go Österreich GmbH, Hintere Zollamtstraße 9, 1030 Wien</t>
        </is>
      </c>
      <c r="K614" t="b">
        <v>0</v>
      </c>
      <c r="L614" s="214" t="n">
        <v>8.77</v>
      </c>
      <c r="M614" s="159" t="n">
        <v>1</v>
      </c>
      <c r="N614" t="n">
        <v>20</v>
      </c>
      <c r="O614" s="237">
        <f>L614*N614/100</f>
        <v/>
      </c>
      <c r="P614" s="237">
        <f>M614*O614</f>
        <v/>
      </c>
      <c r="Q614" s="208">
        <f>L614*M614</f>
        <v/>
      </c>
      <c r="R614" s="251">
        <f>L614+O614</f>
        <v/>
      </c>
      <c r="S614" s="251">
        <f>Q614+P614</f>
        <v/>
      </c>
      <c r="T614" s="35">
        <f>voranmeldefrist_vierteljaehrlich(G614)</f>
        <v/>
      </c>
      <c r="U614" s="27" t="n"/>
      <c r="V614" s="27" t="n"/>
      <c r="W614" s="210">
        <f>IF(K614=TRUE,Q614/J614,Q614)</f>
        <v/>
      </c>
      <c r="X614" s="237">
        <f>V614/100*S614</f>
        <v/>
      </c>
      <c r="Y614">
        <f>IF(AND(V614&gt;0,N614=V614),TRUE,FALSE)</f>
        <v/>
      </c>
      <c r="Z614" s="228">
        <f>IF(C614="Einnahmen",Q614,-Q614)</f>
        <v/>
      </c>
    </row>
    <row r="615">
      <c r="A615" s="53" t="n">
        <v>2021</v>
      </c>
      <c r="B615" s="53" t="n">
        <v>142</v>
      </c>
      <c r="C615" s="71" t="inlineStr">
        <is>
          <t>Einnahmen</t>
        </is>
      </c>
      <c r="D615" t="inlineStr">
        <is>
          <t>Waren-/Leistungserlöse</t>
        </is>
      </c>
      <c r="E615" s="9" t="n">
        <v>12021025</v>
      </c>
      <c r="G615" s="1" t="n">
        <v>44470</v>
      </c>
      <c r="H615" t="inlineStr">
        <is>
          <t>Kolbitsch Engineering &amp; Consulting KNr 45</t>
        </is>
      </c>
      <c r="K615" t="b">
        <v>0</v>
      </c>
      <c r="L615" s="214" t="n">
        <v>400.5</v>
      </c>
      <c r="M615" s="159" t="n">
        <v>1</v>
      </c>
      <c r="N615" t="n">
        <v>20</v>
      </c>
      <c r="O615" s="237">
        <f>L615*N615/100</f>
        <v/>
      </c>
      <c r="P615" s="237">
        <f>M615*O615</f>
        <v/>
      </c>
      <c r="Q615" s="208">
        <f>L615*M615</f>
        <v/>
      </c>
      <c r="R615" s="251">
        <f>L615+O615</f>
        <v/>
      </c>
      <c r="S615" s="251">
        <f>Q615+P615</f>
        <v/>
      </c>
      <c r="T615" s="35">
        <f>voranmeldefrist_vierteljaehrlich(G615)</f>
        <v/>
      </c>
      <c r="U615" s="27" t="n"/>
      <c r="V615" s="27" t="n"/>
      <c r="W615" s="210">
        <f>IF(K615=TRUE,Q615/J615,Q615)</f>
        <v/>
      </c>
      <c r="X615" s="237">
        <f>V615/100*S615</f>
        <v/>
      </c>
      <c r="Y615">
        <f>IF(AND(V615&gt;0,N615=V615),TRUE,FALSE)</f>
        <v/>
      </c>
      <c r="Z615" s="228">
        <f>IF(C615="Einnahmen",Q615,-Q615)</f>
        <v/>
      </c>
      <c r="AB615">
        <f>L615*1.2=R615</f>
        <v/>
      </c>
      <c r="AC615">
        <f>L615*1.2=S615</f>
        <v/>
      </c>
    </row>
    <row r="616">
      <c r="A616" s="53" t="n">
        <v>2021</v>
      </c>
      <c r="B616" s="53" t="n">
        <v>143</v>
      </c>
      <c r="C616" s="71" t="inlineStr">
        <is>
          <t>Einnahmen</t>
        </is>
      </c>
      <c r="D616" t="inlineStr">
        <is>
          <t>Waren-/Leistungserlöse</t>
        </is>
      </c>
      <c r="E616" s="9" t="n">
        <v>12021024</v>
      </c>
      <c r="G616" s="1" t="n">
        <v>44470</v>
      </c>
      <c r="H616" t="inlineStr">
        <is>
          <t>ZT DI Dr. Arno Kolbitsch, Gütleweg 1, 6822 Satteins</t>
        </is>
      </c>
      <c r="K616">
        <f>(IF(AND(I616&lt;&gt;"",AND(J616="",ABS(Q616)&gt;400)),TRUE,FALSE))</f>
        <v/>
      </c>
      <c r="L616" s="214" t="n">
        <v>14035.92</v>
      </c>
      <c r="M616" s="159" t="n">
        <v>1</v>
      </c>
      <c r="N616" t="n">
        <v>20</v>
      </c>
      <c r="O616" s="237">
        <f>L616*N616/100</f>
        <v/>
      </c>
      <c r="P616" s="237">
        <f>M616*O616</f>
        <v/>
      </c>
      <c r="Q616" s="208">
        <f>L616*M616</f>
        <v/>
      </c>
      <c r="R616" s="251">
        <f>L616+O616</f>
        <v/>
      </c>
      <c r="S616" s="251">
        <f>Q616+P616</f>
        <v/>
      </c>
      <c r="T616" s="35">
        <f>voranmeldefrist_vierteljaehrlich(G616)</f>
        <v/>
      </c>
      <c r="U616" s="27" t="n"/>
      <c r="V616" s="27" t="n"/>
      <c r="W616" s="210">
        <f>IF(K616=TRUE,Q616/I616,Q616)</f>
        <v/>
      </c>
      <c r="X616" s="237">
        <f>V616/100*S616</f>
        <v/>
      </c>
      <c r="Y616">
        <f>IF(AND(V616&gt;0,N616=V616),TRUE,FALSE)</f>
        <v/>
      </c>
      <c r="Z616" s="228">
        <f>IF(C616="Einnahmen",Q616,-Q616)</f>
        <v/>
      </c>
      <c r="AB616">
        <f>L616*1.2=R616</f>
        <v/>
      </c>
      <c r="AC616">
        <f>L616*1.2=S616</f>
        <v/>
      </c>
    </row>
    <row r="617">
      <c r="A617" s="53" t="n">
        <v>2021</v>
      </c>
      <c r="B617" s="53" t="n">
        <v>144</v>
      </c>
      <c r="C617" s="71" t="inlineStr">
        <is>
          <t>Ausgaben</t>
        </is>
      </c>
      <c r="D617" t="inlineStr">
        <is>
          <t>sonstige Betriebsausgaben</t>
        </is>
      </c>
      <c r="E617" s="144" t="inlineStr">
        <is>
          <t>3996373128</t>
        </is>
      </c>
      <c r="G617" s="1" t="n">
        <v>44473</v>
      </c>
      <c r="H617" t="inlineStr">
        <is>
          <t>Google Ireland Ltd, Gordon House, Barrow Street, Dublin 4, Ireland; VAT number: IE 6388047V</t>
        </is>
      </c>
      <c r="K617" t="b">
        <v>0</v>
      </c>
      <c r="L617" s="256" t="n">
        <v>10.4</v>
      </c>
      <c r="M617" s="159" t="n">
        <v>1</v>
      </c>
      <c r="N617" t="n">
        <v>0</v>
      </c>
      <c r="O617" s="237">
        <f>L617*N617/100</f>
        <v/>
      </c>
      <c r="P617" s="237">
        <f>M617*O617</f>
        <v/>
      </c>
      <c r="Q617" s="208">
        <f>L617*M617</f>
        <v/>
      </c>
      <c r="R617" s="251">
        <f>L617+O617</f>
        <v/>
      </c>
      <c r="S617" s="251">
        <f>Q617+P617</f>
        <v/>
      </c>
      <c r="T617" s="35">
        <f>voranmeldefrist_vierteljaehrlich(G617)</f>
        <v/>
      </c>
      <c r="U617" s="27" t="n"/>
      <c r="V617" s="27" t="n">
        <v>20</v>
      </c>
      <c r="W617" s="210">
        <f>IF(K617=TRUE,Q617/I617,Q617)</f>
        <v/>
      </c>
      <c r="X617" s="237">
        <f>V617/100*S617</f>
        <v/>
      </c>
      <c r="Y617">
        <f>IF(AND(V617&gt;0,N617=V617),TRUE,FALSE)</f>
        <v/>
      </c>
      <c r="Z617" s="228">
        <f>IF(C617="Einnahmen",Q617,-Q617)</f>
        <v/>
      </c>
    </row>
    <row r="618">
      <c r="A618" s="53" t="n">
        <v>2021</v>
      </c>
      <c r="B618" s="53" t="n">
        <v>145</v>
      </c>
      <c r="C618" s="71" t="inlineStr">
        <is>
          <t>Ausgaben</t>
        </is>
      </c>
      <c r="D618" t="inlineStr">
        <is>
          <t>sonstige Betriebsausgaben</t>
        </is>
      </c>
      <c r="E618" s="9" t="inlineStr">
        <is>
          <t>R0014275284</t>
        </is>
      </c>
      <c r="G618" s="1" t="n">
        <v>44474</v>
      </c>
      <c r="H618" t="inlineStr">
        <is>
          <t>Hetzner Online GmbH</t>
        </is>
      </c>
      <c r="J618" s="76" t="inlineStr">
        <is>
          <t>ja</t>
        </is>
      </c>
      <c r="K618">
        <f>(IF(AND(I618&lt;&gt;"",AND(J618="",ABS(Q618)&gt;400)),TRUE,FALSE))</f>
        <v/>
      </c>
      <c r="L618" s="214" t="n">
        <v>2.49</v>
      </c>
      <c r="M618" s="159" t="n">
        <v>1</v>
      </c>
      <c r="N618" t="n">
        <v>0</v>
      </c>
      <c r="O618" s="237">
        <f>L618*N618/100</f>
        <v/>
      </c>
      <c r="P618" s="237">
        <f>M618*O618</f>
        <v/>
      </c>
      <c r="Q618" s="208">
        <f>L618*M618</f>
        <v/>
      </c>
      <c r="R618" s="251">
        <f>L618+O618</f>
        <v/>
      </c>
      <c r="S618" s="251">
        <f>Q618+P618</f>
        <v/>
      </c>
      <c r="T618" s="35">
        <f>voranmeldefrist_vierteljaehrlich(G618)</f>
        <v/>
      </c>
      <c r="U618" s="27" t="n"/>
      <c r="V618" s="27" t="n">
        <v>20</v>
      </c>
      <c r="W618" s="210">
        <f>IF(K618=TRUE,Q618/J618,Q618)</f>
        <v/>
      </c>
      <c r="X618" s="237">
        <f>V618/100*S618</f>
        <v/>
      </c>
      <c r="Y618">
        <f>IF(AND(V618&gt;0,N618=V618),TRUE,FALSE)</f>
        <v/>
      </c>
      <c r="Z618" s="228">
        <f>IF(C618="Einnahmen",Q618,-Q618)</f>
        <v/>
      </c>
    </row>
    <row r="619">
      <c r="A619" s="53" t="n">
        <v>2021</v>
      </c>
      <c r="B619" s="53" t="n">
        <v>146</v>
      </c>
      <c r="C619" s="71" t="inlineStr">
        <is>
          <t>Ausgaben</t>
        </is>
      </c>
      <c r="D619" t="inlineStr">
        <is>
          <t>sonstige Betriebsausgaben</t>
        </is>
      </c>
      <c r="E619" s="9" t="inlineStr">
        <is>
          <t>60793/100/2021</t>
        </is>
      </c>
      <c r="G619" s="1" t="n">
        <v>44474</v>
      </c>
      <c r="H619" t="inlineStr">
        <is>
          <t>easy green energy GmbH &amp; Co KG</t>
        </is>
      </c>
      <c r="K619">
        <f>(IF(AND(I619&lt;&gt;"",AND(J619="",ABS(Q619)&gt;400)),TRUE,FALSE))</f>
        <v/>
      </c>
      <c r="L619" s="214" t="n">
        <v>2.5</v>
      </c>
      <c r="M619" s="159" t="n">
        <v>1</v>
      </c>
      <c r="N619" t="n">
        <v>20</v>
      </c>
      <c r="O619" s="237">
        <f>L619*N619/100</f>
        <v/>
      </c>
      <c r="P619" s="237">
        <f>M619*O619</f>
        <v/>
      </c>
      <c r="Q619" s="208">
        <f>L619*M619</f>
        <v/>
      </c>
      <c r="R619" s="251">
        <f>L619+O619</f>
        <v/>
      </c>
      <c r="S619" s="251" t="n">
        <v>3</v>
      </c>
      <c r="T619" s="35">
        <f>voranmeldefrist_vierteljaehrlich(G619)</f>
        <v/>
      </c>
      <c r="U619" s="27" t="n"/>
      <c r="V619" s="27" t="n"/>
      <c r="W619" s="210">
        <f>IF(K619=TRUE,Q619/J619,Q619)</f>
        <v/>
      </c>
      <c r="X619" s="237">
        <f>V619/100*S619</f>
        <v/>
      </c>
      <c r="Y619">
        <f>IF(AND(V619&gt;0,N619=V619),TRUE,FALSE)</f>
        <v/>
      </c>
      <c r="Z619" s="228">
        <f>IF(C619="Einnahmen",Q619,-Q619)</f>
        <v/>
      </c>
    </row>
    <row r="620">
      <c r="A620" s="53" t="n">
        <v>2021</v>
      </c>
      <c r="B620" s="53" t="n">
        <v>147</v>
      </c>
      <c r="C620" s="71" t="inlineStr">
        <is>
          <t>Ausgaben</t>
        </is>
      </c>
      <c r="D620" t="inlineStr">
        <is>
          <t>Miet- und Pachtaufwand, Leasing</t>
        </is>
      </c>
      <c r="E620" s="9" t="inlineStr">
        <is>
          <t>HKA/20-01-58835</t>
        </is>
      </c>
      <c r="G620" s="1" t="n">
        <v>44474</v>
      </c>
      <c r="H620" t="inlineStr">
        <is>
          <t>Techem Messtechnik GmbH; Abnehmernummer 501686-0003-11-</t>
        </is>
      </c>
      <c r="K620" t="b">
        <v>0</v>
      </c>
      <c r="L620" s="214" t="n">
        <v>74</v>
      </c>
      <c r="M620" s="159" t="n">
        <v>1</v>
      </c>
      <c r="N620" t="n">
        <v>20</v>
      </c>
      <c r="O620" s="237">
        <f>L620*N620/100</f>
        <v/>
      </c>
      <c r="P620" s="237">
        <f>M620*O620</f>
        <v/>
      </c>
      <c r="Q620" s="208">
        <f>L620*M620</f>
        <v/>
      </c>
      <c r="R620" s="251">
        <f>L620+O620</f>
        <v/>
      </c>
      <c r="S620" s="251">
        <f>Q620+P620</f>
        <v/>
      </c>
      <c r="T620" s="35">
        <f>voranmeldefrist_vierteljaehrlich(G620)</f>
        <v/>
      </c>
      <c r="U620" s="27" t="n"/>
      <c r="V620" s="27" t="n"/>
      <c r="W620" s="210">
        <f>IF(K620=TRUE,Q620/J620,Q620)</f>
        <v/>
      </c>
      <c r="X620" s="237">
        <f>V620/100*S620</f>
        <v/>
      </c>
      <c r="Y620">
        <f>IF(AND(V620&gt;0,N620=V620),TRUE,FALSE)</f>
        <v/>
      </c>
      <c r="Z620" s="228">
        <f>IF(C620="Einnahmen",Q620,-Q620)</f>
        <v/>
      </c>
    </row>
    <row r="621">
      <c r="A621" s="53" t="n">
        <v>2021</v>
      </c>
      <c r="B621" s="53" t="n">
        <v>148</v>
      </c>
      <c r="C621" s="71" t="inlineStr">
        <is>
          <t>Ausgaben</t>
        </is>
      </c>
      <c r="D621" t="inlineStr">
        <is>
          <t>sonstige Betriebsausgaben</t>
        </is>
      </c>
      <c r="E621" s="9" t="inlineStr">
        <is>
          <t>5137082649</t>
        </is>
      </c>
      <c r="G621" s="1" t="n">
        <v>44480</v>
      </c>
      <c r="H621" t="inlineStr">
        <is>
          <t>Wiener Netze GmbH, Erdbergstraße 236, 1110 Wien, Postfach 422; Jahresabrechnung vom 17.12.20: GUTSCHRIFT</t>
        </is>
      </c>
      <c r="K621">
        <f>(IF(AND(I621&lt;&gt;"",AND(J621="",ABS(Q621)&gt;400)),TRUE,FALSE))</f>
        <v/>
      </c>
      <c r="L621" s="214" t="n">
        <v>13</v>
      </c>
      <c r="M621" s="159" t="n">
        <v>1</v>
      </c>
      <c r="N621" t="n">
        <v>20</v>
      </c>
      <c r="O621" s="237">
        <f>L621*N621/100</f>
        <v/>
      </c>
      <c r="P621" s="237">
        <f>M621*O621</f>
        <v/>
      </c>
      <c r="Q621" s="208">
        <f>L621*M621</f>
        <v/>
      </c>
      <c r="R621" s="251">
        <f>L621+O621</f>
        <v/>
      </c>
      <c r="S621" s="251">
        <f>Q621+P621</f>
        <v/>
      </c>
      <c r="T621" s="35">
        <f>voranmeldefrist_vierteljaehrlich(G621)</f>
        <v/>
      </c>
      <c r="U621" s="27" t="n"/>
      <c r="V621" s="27" t="n"/>
      <c r="W621" s="210">
        <f>IF(K621=TRUE,Q621/J621,Q621)</f>
        <v/>
      </c>
      <c r="X621" s="237">
        <f>V621/100*S621</f>
        <v/>
      </c>
      <c r="Y621">
        <f>IF(AND(V621&gt;0,N621=V621),TRUE,FALSE)</f>
        <v/>
      </c>
      <c r="Z621" s="228">
        <f>IF(C621="Einnahmen",Q621,-Q621)</f>
        <v/>
      </c>
    </row>
    <row r="622">
      <c r="A622" s="53" t="n">
        <v>2021</v>
      </c>
      <c r="B622" s="53" t="n">
        <v>149</v>
      </c>
      <c r="C622" s="71" t="inlineStr">
        <is>
          <t>Ausgaben</t>
        </is>
      </c>
      <c r="D622" t="inlineStr">
        <is>
          <t>Reise- und Fahrtspesen inkl. Kilometergeld und Diäten</t>
        </is>
      </c>
      <c r="E622" s="131" t="inlineStr">
        <is>
          <t>3293000011885509</t>
        </is>
      </c>
      <c r="G622" s="1" t="n">
        <v>44480</v>
      </c>
      <c r="H622" t="inlineStr">
        <is>
          <t>car2go Österreich GmbH, Hintere Zollamtstraße 9, 1030 Wien</t>
        </is>
      </c>
      <c r="K622" t="b">
        <v>0</v>
      </c>
      <c r="L622" s="214">
        <f>4.92/1.2</f>
        <v/>
      </c>
      <c r="M622" s="159" t="n">
        <v>1</v>
      </c>
      <c r="N622" t="n">
        <v>20</v>
      </c>
      <c r="O622" s="237">
        <f>L622*N622/100</f>
        <v/>
      </c>
      <c r="P622" s="237">
        <f>M622*O622</f>
        <v/>
      </c>
      <c r="Q622" s="208">
        <f>L622*M622</f>
        <v/>
      </c>
      <c r="R622" s="251">
        <f>L622+O622</f>
        <v/>
      </c>
      <c r="S622" s="251">
        <f>Q622+P622</f>
        <v/>
      </c>
      <c r="T622" s="35">
        <f>voranmeldefrist_vierteljaehrlich(G622)</f>
        <v/>
      </c>
      <c r="U622" s="27" t="n"/>
      <c r="V622" s="27" t="n"/>
      <c r="W622" s="210">
        <f>IF(K622=TRUE,Q622/J622,Q622)</f>
        <v/>
      </c>
      <c r="X622" s="237">
        <f>V622/100*S622</f>
        <v/>
      </c>
      <c r="Y622">
        <f>IF(AND(V622&gt;0,N622=V622),TRUE,FALSE)</f>
        <v/>
      </c>
      <c r="Z622" s="228">
        <f>IF(C622="Einnahmen",Q622,-Q622)</f>
        <v/>
      </c>
    </row>
    <row r="623">
      <c r="A623" s="53" t="n">
        <v>2021</v>
      </c>
      <c r="B623" s="53" t="n">
        <v>150</v>
      </c>
      <c r="C623" s="71" t="inlineStr">
        <is>
          <t>Einnahmen</t>
        </is>
      </c>
      <c r="D623" t="inlineStr">
        <is>
          <t>Waren-/Leistungserlöse</t>
        </is>
      </c>
      <c r="E623" s="9" t="n">
        <v>12021026</v>
      </c>
      <c r="G623" s="1" t="n">
        <v>44482</v>
      </c>
      <c r="H623" t="inlineStr">
        <is>
          <t>Musikschule Bad Vöslau, Hauptstraße 14, 2540 Bad Vöslau</t>
        </is>
      </c>
      <c r="K623">
        <f>(IF(AND(I623&lt;&gt;"",AND(J623="",ABS(Q623)&gt;400)),TRUE,FALSE))</f>
        <v/>
      </c>
      <c r="L623" s="214" t="n">
        <v>1620</v>
      </c>
      <c r="M623" s="159" t="n">
        <v>1</v>
      </c>
      <c r="N623" t="n">
        <v>20</v>
      </c>
      <c r="O623" s="237">
        <f>L623*N623/100</f>
        <v/>
      </c>
      <c r="P623" s="237">
        <f>M623*O623</f>
        <v/>
      </c>
      <c r="Q623" s="208">
        <f>L623*M623</f>
        <v/>
      </c>
      <c r="R623" s="251">
        <f>L623+O623</f>
        <v/>
      </c>
      <c r="S623" s="251">
        <f>Q623+P623</f>
        <v/>
      </c>
      <c r="T623" s="35">
        <f>voranmeldefrist_vierteljaehrlich(G623)</f>
        <v/>
      </c>
      <c r="U623" s="27" t="n"/>
      <c r="V623" s="27" t="n"/>
      <c r="W623" s="210">
        <f>IF(K623=TRUE,Q623/J623,Q623)</f>
        <v/>
      </c>
      <c r="X623" s="237">
        <f>V623/100*S623</f>
        <v/>
      </c>
      <c r="Y623">
        <f>IF(AND(V623&gt;0,N623=V623),TRUE,FALSE)</f>
        <v/>
      </c>
      <c r="Z623" s="228">
        <f>IF(C623="Einnahmen",Q623,-Q623)</f>
        <v/>
      </c>
      <c r="AB623">
        <f>L623*1.2=R623</f>
        <v/>
      </c>
      <c r="AC623">
        <f>L623*1.2=S623</f>
        <v/>
      </c>
    </row>
    <row r="624">
      <c r="A624" s="53" t="n">
        <v>2021</v>
      </c>
      <c r="B624" s="53" t="n">
        <v>151</v>
      </c>
      <c r="C624" s="71" t="inlineStr">
        <is>
          <t>Ausgaben</t>
        </is>
      </c>
      <c r="D624" t="inlineStr">
        <is>
          <t>sonstige Betriebsausgaben</t>
        </is>
      </c>
      <c r="E624" s="9" t="inlineStr">
        <is>
          <t>R0014331001</t>
        </is>
      </c>
      <c r="G624" s="1" t="n">
        <v>44482</v>
      </c>
      <c r="H624" t="inlineStr">
        <is>
          <t>Hetzner Online GmbH</t>
        </is>
      </c>
      <c r="K624">
        <f>(IF(AND(I624&lt;&gt;"",AND(J624="",ABS(Q624)&gt;400)),TRUE,FALSE))</f>
        <v/>
      </c>
      <c r="L624" s="214" t="n">
        <v>46.9168</v>
      </c>
      <c r="M624" s="159" t="n">
        <v>1</v>
      </c>
      <c r="N624" t="n">
        <v>0</v>
      </c>
      <c r="O624" s="237">
        <f>L624*N624/100</f>
        <v/>
      </c>
      <c r="P624" s="237">
        <f>M624*O624</f>
        <v/>
      </c>
      <c r="Q624" s="208">
        <f>L624*M624</f>
        <v/>
      </c>
      <c r="R624" s="251">
        <f>L624+O624</f>
        <v/>
      </c>
      <c r="S624" s="251">
        <f>Q624+P624</f>
        <v/>
      </c>
      <c r="T624" s="35">
        <f>voranmeldefrist_vierteljaehrlich(G624)</f>
        <v/>
      </c>
      <c r="U624" s="27" t="n"/>
      <c r="V624" s="27" t="n">
        <v>20</v>
      </c>
      <c r="W624" s="210">
        <f>IF(K624=TRUE,Q624/J624,Q624)</f>
        <v/>
      </c>
      <c r="X624" s="237">
        <f>V624/100*S624</f>
        <v/>
      </c>
      <c r="Y624">
        <f>IF(AND(V624&gt;0,N624=V624),TRUE,FALSE)</f>
        <v/>
      </c>
      <c r="Z624" s="228">
        <f>IF(C624="Einnahmen",Q624,-Q624)</f>
        <v/>
      </c>
    </row>
    <row r="625">
      <c r="A625" s="53" t="n">
        <v>2021</v>
      </c>
      <c r="B625" s="53" t="n">
        <v>152</v>
      </c>
      <c r="C625" s="71" t="inlineStr">
        <is>
          <t>Ausgaben</t>
        </is>
      </c>
      <c r="D625" t="inlineStr">
        <is>
          <t>Lizenzgebühren</t>
        </is>
      </c>
      <c r="E625" s="9" t="inlineStr">
        <is>
          <t>67723833</t>
        </is>
      </c>
      <c r="G625" s="1" t="n">
        <v>44490</v>
      </c>
      <c r="H625" t="inlineStr">
        <is>
          <t>Fontspring, 1813 Marsh Road, Suite H, Wilmington, DE 19810, USA; 105 USD</t>
        </is>
      </c>
      <c r="J625" s="76" t="inlineStr">
        <is>
          <t>ja</t>
        </is>
      </c>
      <c r="K625" t="b">
        <v>0</v>
      </c>
      <c r="L625" s="214" t="n">
        <v>92.11</v>
      </c>
      <c r="M625" s="159" t="n">
        <v>1</v>
      </c>
      <c r="N625" t="n">
        <v>0</v>
      </c>
      <c r="O625" s="237">
        <f>L625*N625/100</f>
        <v/>
      </c>
      <c r="P625" s="237">
        <f>M625*O625</f>
        <v/>
      </c>
      <c r="Q625" s="208">
        <f>L625*M625</f>
        <v/>
      </c>
      <c r="R625" s="251">
        <f>L625+O625</f>
        <v/>
      </c>
      <c r="S625" s="251">
        <f>Q625+P625</f>
        <v/>
      </c>
      <c r="T625" s="35">
        <f>voranmeldefrist_vierteljaehrlich(G625)</f>
        <v/>
      </c>
      <c r="U625" s="27" t="n"/>
      <c r="V625" s="27" t="n"/>
      <c r="W625" s="210">
        <f>IF(K625=TRUE,Q625/J625,Q625)</f>
        <v/>
      </c>
      <c r="X625" s="237">
        <f>V625/100*S625</f>
        <v/>
      </c>
      <c r="Y625">
        <f>IF(AND(V625&gt;0,N625=V625),TRUE,FALSE)</f>
        <v/>
      </c>
      <c r="Z625" s="228">
        <f>IF(C625="Einnahmen",Q625,-Q625)</f>
        <v/>
      </c>
    </row>
    <row r="626">
      <c r="A626" s="53" t="n">
        <v>2021</v>
      </c>
      <c r="B626" s="53" t="n">
        <v>153</v>
      </c>
      <c r="C626" s="71" t="inlineStr">
        <is>
          <t>Ausgaben</t>
        </is>
      </c>
      <c r="D626" t="inlineStr">
        <is>
          <t>Telefon/Internet</t>
        </is>
      </c>
      <c r="E626" s="131" t="inlineStr">
        <is>
          <t>901188321021</t>
        </is>
      </c>
      <c r="G626" s="1" t="n">
        <v>44490</v>
      </c>
      <c r="H626" t="inlineStr">
        <is>
          <t>Magenta: T-Mobile Austria GmbH, A-1120 Wien, PF 47</t>
        </is>
      </c>
      <c r="K626">
        <f>(IF(AND(I626&lt;&gt;"",AND(J626="",ABS(Q626)&gt;400)),TRUE,FALSE))</f>
        <v/>
      </c>
      <c r="L626" s="214" t="n">
        <v>31.92</v>
      </c>
      <c r="M626" s="159" t="n">
        <v>1</v>
      </c>
      <c r="N626" t="n">
        <v>20</v>
      </c>
      <c r="O626" s="237">
        <f>L626*N626/100</f>
        <v/>
      </c>
      <c r="P626" s="237">
        <f>M626*O626</f>
        <v/>
      </c>
      <c r="Q626" s="208">
        <f>L626*M626</f>
        <v/>
      </c>
      <c r="R626" s="251">
        <f>L626+O626</f>
        <v/>
      </c>
      <c r="S626" s="251">
        <f>Q626+P626</f>
        <v/>
      </c>
      <c r="T626" s="35">
        <f>voranmeldefrist_vierteljaehrlich(G626)</f>
        <v/>
      </c>
      <c r="U626" s="27" t="n"/>
      <c r="V626" s="27" t="n"/>
      <c r="W626" s="210">
        <f>IF(K626=TRUE,Q626/I626,Q626)</f>
        <v/>
      </c>
      <c r="X626" s="237">
        <f>V626/100*S626</f>
        <v/>
      </c>
      <c r="Y626">
        <f>IF(AND(V626&gt;0,N626=V626),TRUE,FALSE)</f>
        <v/>
      </c>
      <c r="Z626" s="228">
        <f>IF(C626="Einnahmen",Q626,-Q626)</f>
        <v/>
      </c>
    </row>
    <row r="627">
      <c r="A627" s="53" t="n">
        <v>2021</v>
      </c>
      <c r="B627" s="53" t="n">
        <v>154</v>
      </c>
      <c r="C627" s="71" t="inlineStr">
        <is>
          <t>Ausgaben</t>
        </is>
      </c>
      <c r="D627" t="inlineStr">
        <is>
          <t>Reise- und Fahrtspesen inkl. Kilometergeld und Diäten</t>
        </is>
      </c>
      <c r="E627" s="131" t="inlineStr">
        <is>
          <t>3293000011951610</t>
        </is>
      </c>
      <c r="G627" s="1" t="n">
        <v>44494</v>
      </c>
      <c r="H627" t="inlineStr">
        <is>
          <t>car2go Österreich GmbH, Hintere Zollamtstraße 9, 1030 Wien</t>
        </is>
      </c>
      <c r="K627" t="b">
        <v>0</v>
      </c>
      <c r="L627" s="214" t="n">
        <v>1.81</v>
      </c>
      <c r="M627" s="159" t="n">
        <v>1</v>
      </c>
      <c r="N627" t="n">
        <v>20</v>
      </c>
      <c r="O627" s="237">
        <f>L627*N627/100</f>
        <v/>
      </c>
      <c r="P627" s="237">
        <f>M627*O627</f>
        <v/>
      </c>
      <c r="Q627" s="208">
        <f>L627*M627</f>
        <v/>
      </c>
      <c r="R627" s="251">
        <f>L627+O627</f>
        <v/>
      </c>
      <c r="S627" s="251">
        <f>Q627+P627</f>
        <v/>
      </c>
      <c r="T627" s="35">
        <f>voranmeldefrist_vierteljaehrlich(G627)</f>
        <v/>
      </c>
      <c r="U627" s="27" t="n"/>
      <c r="V627" s="27" t="n"/>
      <c r="W627" s="210">
        <f>IF(K627=TRUE,Q627/J627,Q627)</f>
        <v/>
      </c>
      <c r="X627" s="237">
        <f>V627/100*S627</f>
        <v/>
      </c>
      <c r="Y627">
        <f>IF(AND(V627&gt;0,N627=V627),TRUE,FALSE)</f>
        <v/>
      </c>
      <c r="Z627" s="228">
        <f>IF(C627="Einnahmen",Q627,-Q627)</f>
        <v/>
      </c>
    </row>
    <row r="628">
      <c r="A628" s="53" t="n">
        <v>2021</v>
      </c>
      <c r="B628" s="53" t="n">
        <v>155</v>
      </c>
      <c r="C628" s="71" t="inlineStr">
        <is>
          <t>Ausgaben</t>
        </is>
      </c>
      <c r="D628" t="inlineStr">
        <is>
          <t>Lizenzgebühren</t>
        </is>
      </c>
      <c r="E628" s="9" t="inlineStr">
        <is>
          <t>IEE2021009286377</t>
        </is>
      </c>
      <c r="G628" s="1" t="n">
        <v>44496</v>
      </c>
      <c r="H628" t="inlineStr">
        <is>
          <t>Adobe Systems Software Ireland Ltd., 4-6 Riverwalk, Citywest Business Park, Dublin 24, Ireland, VAT ID IE6364992H</t>
        </is>
      </c>
      <c r="K628" t="b">
        <v>0</v>
      </c>
      <c r="L628" s="214" t="n">
        <v>20.28</v>
      </c>
      <c r="M628" s="159" t="n">
        <v>1</v>
      </c>
      <c r="N628" t="n">
        <v>0</v>
      </c>
      <c r="O628" s="237">
        <f>L628*N628/100</f>
        <v/>
      </c>
      <c r="P628" s="237">
        <f>M628*O628</f>
        <v/>
      </c>
      <c r="Q628" s="208">
        <f>L628*M628</f>
        <v/>
      </c>
      <c r="R628" s="251">
        <f>L628+O628</f>
        <v/>
      </c>
      <c r="S628" s="251">
        <f>Q628+P628</f>
        <v/>
      </c>
      <c r="T628" s="35">
        <f>voranmeldefrist_vierteljaehrlich(G628)</f>
        <v/>
      </c>
      <c r="U628" s="27" t="n"/>
      <c r="V628" s="27" t="n">
        <v>20</v>
      </c>
      <c r="W628" s="210">
        <f>IF(K628=TRUE,Q628/J628,Q628)</f>
        <v/>
      </c>
      <c r="X628" s="237">
        <f>V628/100*S628</f>
        <v/>
      </c>
      <c r="Y628">
        <f>IF(AND(V628&gt;0,N628=V628),TRUE,FALSE)</f>
        <v/>
      </c>
      <c r="Z628" s="228">
        <f>IF(C628="Einnahmen",Q628,-Q628)</f>
        <v/>
      </c>
    </row>
    <row r="629">
      <c r="A629" s="53" t="n">
        <v>2021</v>
      </c>
      <c r="B629" s="53" t="n">
        <v>156</v>
      </c>
      <c r="C629" s="71" t="inlineStr">
        <is>
          <t>Ausgaben</t>
        </is>
      </c>
      <c r="D629" t="inlineStr">
        <is>
          <t>sonstige Betriebsausgaben</t>
        </is>
      </c>
      <c r="E629" s="9" t="inlineStr">
        <is>
          <t>4005917408</t>
        </is>
      </c>
      <c r="G629" s="1" t="n">
        <v>44502</v>
      </c>
      <c r="H629" t="inlineStr">
        <is>
          <t>Google Ireland Ltd, Gordon House, Barrow Street, Dublin 4, Ireland; VAT number: IE 6388047V</t>
        </is>
      </c>
      <c r="K629" t="b">
        <v>0</v>
      </c>
      <c r="L629" s="214" t="n">
        <v>10.4</v>
      </c>
      <c r="M629" s="159" t="n">
        <v>1</v>
      </c>
      <c r="N629" t="n">
        <v>0</v>
      </c>
      <c r="O629" s="237">
        <f>L629*N629/100</f>
        <v/>
      </c>
      <c r="P629" s="237">
        <f>M629*O629</f>
        <v/>
      </c>
      <c r="Q629" s="208">
        <f>L629*M629</f>
        <v/>
      </c>
      <c r="R629" s="251">
        <f>L629+O629</f>
        <v/>
      </c>
      <c r="S629" s="251">
        <f>Q629+P629</f>
        <v/>
      </c>
      <c r="T629" s="35">
        <f>voranmeldefrist_vierteljaehrlich(G629)</f>
        <v/>
      </c>
      <c r="U629" s="27" t="n"/>
      <c r="V629" s="27" t="n">
        <v>20</v>
      </c>
      <c r="W629" s="210">
        <f>IF(K629=TRUE,Q629/I629,Q629)</f>
        <v/>
      </c>
      <c r="X629" s="237">
        <f>V629/100*S629</f>
        <v/>
      </c>
      <c r="Y629">
        <f>IF(AND(V629&gt;0,N629=V629),TRUE,FALSE)</f>
        <v/>
      </c>
      <c r="Z629" s="228">
        <f>IF(C629="Einnahmen",Q629,-Q629)</f>
        <v/>
      </c>
    </row>
    <row r="630">
      <c r="A630" s="53" t="n">
        <v>2021</v>
      </c>
      <c r="B630" s="53" t="n">
        <v>157</v>
      </c>
      <c r="C630" s="71" t="inlineStr">
        <is>
          <t>Ausgaben</t>
        </is>
      </c>
      <c r="D630" t="inlineStr">
        <is>
          <t>Miet- und Pachtaufwand, Leasing</t>
        </is>
      </c>
      <c r="E630" s="9" t="inlineStr">
        <is>
          <t>21/9801/VS00475</t>
        </is>
      </c>
      <c r="G630" s="1" t="n">
        <v>44502</v>
      </c>
      <c r="H630" t="inlineStr">
        <is>
          <t>Bontus Immobilienverwaltung GmbH, 1010 Wien, Franz Josefs Kai 65</t>
        </is>
      </c>
      <c r="K630" t="b">
        <v>0</v>
      </c>
      <c r="L630" s="214">
        <f>564.56/1.2</f>
        <v/>
      </c>
      <c r="M630" s="159" t="n">
        <v>1</v>
      </c>
      <c r="N630" t="n">
        <v>20</v>
      </c>
      <c r="O630" s="237">
        <f>L630*N630/100</f>
        <v/>
      </c>
      <c r="P630" s="237">
        <f>M630*O630</f>
        <v/>
      </c>
      <c r="Q630" s="208">
        <f>L630*M630</f>
        <v/>
      </c>
      <c r="R630" s="251">
        <f>L630+O630</f>
        <v/>
      </c>
      <c r="S630" s="251">
        <f>Q630+P630</f>
        <v/>
      </c>
      <c r="T630" s="35">
        <f>voranmeldefrist_vierteljaehrlich(G630)</f>
        <v/>
      </c>
      <c r="U630" s="27" t="n"/>
      <c r="V630" s="27" t="n"/>
      <c r="W630" s="210">
        <f>IF(K630=TRUE,Q630/J630,Q630)</f>
        <v/>
      </c>
      <c r="X630" s="237">
        <f>V630/100*S630</f>
        <v/>
      </c>
      <c r="Y630">
        <f>IF(AND(V630&gt;0,N630=V630),TRUE,FALSE)</f>
        <v/>
      </c>
      <c r="Z630" s="228">
        <f>IF(C630="Einnahmen",Q630,-Q630)</f>
        <v/>
      </c>
    </row>
    <row r="631">
      <c r="A631" s="53" t="n">
        <v>2021</v>
      </c>
      <c r="B631" s="53" t="n">
        <v>158</v>
      </c>
      <c r="C631" s="71" t="inlineStr">
        <is>
          <t>Ausgaben</t>
        </is>
      </c>
      <c r="D631" t="inlineStr">
        <is>
          <t>Telefon/Internet</t>
        </is>
      </c>
      <c r="E631" s="9" t="inlineStr">
        <is>
          <t>6231435320</t>
        </is>
      </c>
      <c r="G631" s="1" t="n">
        <v>44502</v>
      </c>
      <c r="H631" t="inlineStr">
        <is>
          <t>Hutchison Drei Austria GmbH, Brünner Straße 52, 1210 Wien, Österreich</t>
        </is>
      </c>
      <c r="K631">
        <f>(IF(AND(I631&lt;&gt;"",AND(J631="",ABS(Q631)&gt;400)),TRUE,FALSE))</f>
        <v/>
      </c>
      <c r="L631" s="214" t="n">
        <v>15</v>
      </c>
      <c r="M631" s="159" t="n">
        <v>1</v>
      </c>
      <c r="N631" t="n">
        <v>20</v>
      </c>
      <c r="O631" s="237">
        <f>L631*N631/100</f>
        <v/>
      </c>
      <c r="P631" s="237">
        <f>M631*O631</f>
        <v/>
      </c>
      <c r="Q631" s="208">
        <f>L631*M631</f>
        <v/>
      </c>
      <c r="R631" s="251">
        <f>L631+O631</f>
        <v/>
      </c>
      <c r="S631" s="251">
        <f>Q631+P631</f>
        <v/>
      </c>
      <c r="T631" s="35">
        <f>voranmeldefrist_vierteljaehrlich(G631)</f>
        <v/>
      </c>
      <c r="U631" s="27" t="n"/>
      <c r="V631" s="27" t="n"/>
      <c r="W631" s="210">
        <f>IF(K631=TRUE,Q631/I631,Q631)</f>
        <v/>
      </c>
      <c r="X631" s="237">
        <f>V631/100*S631</f>
        <v/>
      </c>
      <c r="Y631">
        <f>IF(AND(V631&gt;0,N631=V631),TRUE,FALSE)</f>
        <v/>
      </c>
      <c r="Z631" s="228">
        <f>IF(C631="Einnahmen",Q631,-Q631)</f>
        <v/>
      </c>
    </row>
    <row r="632">
      <c r="A632" s="53" t="n">
        <v>2021</v>
      </c>
      <c r="B632" s="53" t="n">
        <v>159</v>
      </c>
      <c r="C632" s="71" t="inlineStr">
        <is>
          <t>Ausgaben</t>
        </is>
      </c>
      <c r="D632" t="inlineStr">
        <is>
          <t>Reise- und Fahrtspesen inkl. Kilometergeld und Diäten</t>
        </is>
      </c>
      <c r="E632" s="131" t="inlineStr">
        <is>
          <t>4293000000022460</t>
        </is>
      </c>
      <c r="G632" s="1" t="n">
        <v>44502</v>
      </c>
      <c r="H632" t="inlineStr">
        <is>
          <t>car2go Österreich GmbH, Hintere Zollamtstraße 9, 1030 Wien</t>
        </is>
      </c>
      <c r="K632" t="b">
        <v>0</v>
      </c>
      <c r="L632" s="214" t="n">
        <v>3.62</v>
      </c>
      <c r="M632" s="159" t="n">
        <v>1</v>
      </c>
      <c r="N632" t="n">
        <v>20</v>
      </c>
      <c r="O632" s="237">
        <f>L632*N632/100</f>
        <v/>
      </c>
      <c r="P632" s="237">
        <f>M632*O632</f>
        <v/>
      </c>
      <c r="Q632" s="208">
        <f>L632*M632</f>
        <v/>
      </c>
      <c r="R632" s="251">
        <f>L632+O632</f>
        <v/>
      </c>
      <c r="S632" s="251">
        <f>Q632+P632</f>
        <v/>
      </c>
      <c r="T632" s="35">
        <f>voranmeldefrist_vierteljaehrlich(G632)</f>
        <v/>
      </c>
      <c r="U632" s="27" t="n"/>
      <c r="V632" s="27" t="n"/>
      <c r="W632" s="210">
        <f>IF(K632=TRUE,Q632/J632,Q632)</f>
        <v/>
      </c>
      <c r="X632" s="237">
        <f>V632/100*S632</f>
        <v/>
      </c>
      <c r="Y632">
        <f>IF(AND(V632&gt;0,N632=V632),TRUE,FALSE)</f>
        <v/>
      </c>
      <c r="Z632" s="228">
        <f>IF(C632="Einnahmen",Q632,-Q632)</f>
        <v/>
      </c>
    </row>
    <row r="633">
      <c r="A633" s="53" t="n">
        <v>2021</v>
      </c>
      <c r="B633" s="53" t="n">
        <v>160</v>
      </c>
      <c r="C633" s="71" t="inlineStr">
        <is>
          <t>Ausgaben</t>
        </is>
      </c>
      <c r="D633" t="inlineStr">
        <is>
          <t>Reise- und Fahrtspesen inkl. Kilometergeld und Diäten</t>
        </is>
      </c>
      <c r="E633" s="131" t="inlineStr">
        <is>
          <t>4293000000022463</t>
        </is>
      </c>
      <c r="G633" s="1" t="n">
        <v>44503</v>
      </c>
      <c r="H633" t="inlineStr">
        <is>
          <t>car2go Österreich GmbH, Hintere Zollamtstraße 9, 1030 Wien</t>
        </is>
      </c>
      <c r="K633" t="b">
        <v>0</v>
      </c>
      <c r="L633" s="214" t="n">
        <v>2.7</v>
      </c>
      <c r="M633" s="159" t="n">
        <v>1</v>
      </c>
      <c r="N633" t="n">
        <v>20</v>
      </c>
      <c r="O633" s="237">
        <f>L633*N633/100</f>
        <v/>
      </c>
      <c r="P633" s="237">
        <f>M633*O633</f>
        <v/>
      </c>
      <c r="Q633" s="208">
        <f>L633*M633</f>
        <v/>
      </c>
      <c r="R633" s="251">
        <f>L633+O633</f>
        <v/>
      </c>
      <c r="S633" s="251">
        <f>Q633+P633</f>
        <v/>
      </c>
      <c r="T633" s="35">
        <f>voranmeldefrist_vierteljaehrlich(G633)</f>
        <v/>
      </c>
      <c r="U633" s="27" t="n"/>
      <c r="V633" s="27" t="n"/>
      <c r="W633" s="210">
        <f>IF(K633=TRUE,Q633/J633,Q633)</f>
        <v/>
      </c>
      <c r="X633" s="237">
        <f>V633/100*S633</f>
        <v/>
      </c>
      <c r="Y633">
        <f>IF(AND(V633&gt;0,N633=V633),TRUE,FALSE)</f>
        <v/>
      </c>
      <c r="Z633" s="228">
        <f>IF(C633="Einnahmen",Q633,-Q633)</f>
        <v/>
      </c>
    </row>
    <row r="634">
      <c r="A634" s="53" t="n">
        <v>2021</v>
      </c>
      <c r="B634" s="53" t="n">
        <v>161</v>
      </c>
      <c r="C634" s="71" t="inlineStr">
        <is>
          <t>Ausgaben</t>
        </is>
      </c>
      <c r="D634" t="inlineStr">
        <is>
          <t>sonstige Betriebsausgaben</t>
        </is>
      </c>
      <c r="E634" s="9" t="inlineStr">
        <is>
          <t>60793/100/2021</t>
        </is>
      </c>
      <c r="G634" s="1" t="n">
        <v>44504</v>
      </c>
      <c r="H634" t="inlineStr">
        <is>
          <t>easy green energy GmbH &amp; Co KG</t>
        </is>
      </c>
      <c r="K634">
        <f>(IF(AND(I634&lt;&gt;"",AND(J634="",ABS(Q634)&gt;400)),TRUE,FALSE))</f>
        <v/>
      </c>
      <c r="L634" s="214" t="n">
        <v>2.5</v>
      </c>
      <c r="M634" s="159" t="n">
        <v>1</v>
      </c>
      <c r="N634" t="n">
        <v>20</v>
      </c>
      <c r="O634" s="237">
        <f>L634*N634/100</f>
        <v/>
      </c>
      <c r="P634" s="237">
        <f>M634*O634</f>
        <v/>
      </c>
      <c r="Q634" s="208">
        <f>L634*M634</f>
        <v/>
      </c>
      <c r="R634" s="251">
        <f>L634+O634</f>
        <v/>
      </c>
      <c r="S634" s="251" t="n">
        <v>3</v>
      </c>
      <c r="T634" s="35">
        <f>voranmeldefrist_vierteljaehrlich(G634)</f>
        <v/>
      </c>
      <c r="U634" s="27" t="n"/>
      <c r="V634" s="27" t="n"/>
      <c r="W634" s="210">
        <f>IF(K634=TRUE,Q634/J634,Q634)</f>
        <v/>
      </c>
      <c r="X634" s="237">
        <f>V634/100*S634</f>
        <v/>
      </c>
      <c r="Y634">
        <f>IF(AND(V634&gt;0,N634=V634),TRUE,FALSE)</f>
        <v/>
      </c>
      <c r="Z634" s="228">
        <f>IF(C634="Einnahmen",Q634,-Q634)</f>
        <v/>
      </c>
    </row>
    <row r="635">
      <c r="A635" s="53" t="n">
        <v>2021</v>
      </c>
      <c r="B635" s="53" t="n">
        <v>162</v>
      </c>
      <c r="C635" s="71" t="inlineStr">
        <is>
          <t>Ausgaben</t>
        </is>
      </c>
      <c r="D635" t="inlineStr">
        <is>
          <t>Miet- und Pachtaufwand, Leasing</t>
        </is>
      </c>
      <c r="E635" s="9" t="inlineStr">
        <is>
          <t>HKA/20-01-58835</t>
        </is>
      </c>
      <c r="G635" s="1" t="n">
        <v>44505</v>
      </c>
      <c r="H635" t="inlineStr">
        <is>
          <t>Techem Messtechnik GmbH; Abnehmernummer 501686-0003-11-</t>
        </is>
      </c>
      <c r="K635" t="b">
        <v>0</v>
      </c>
      <c r="L635" s="214" t="n">
        <v>74</v>
      </c>
      <c r="M635" s="159" t="n">
        <v>1</v>
      </c>
      <c r="N635" t="n">
        <v>20</v>
      </c>
      <c r="O635" s="237">
        <f>L635*N635/100</f>
        <v/>
      </c>
      <c r="P635" s="237">
        <f>M635*O635</f>
        <v/>
      </c>
      <c r="Q635" s="208">
        <f>L635*M635</f>
        <v/>
      </c>
      <c r="R635" s="251">
        <f>L635+O635</f>
        <v/>
      </c>
      <c r="S635" s="251">
        <f>Q635+P635</f>
        <v/>
      </c>
      <c r="T635" s="35">
        <f>voranmeldefrist_vierteljaehrlich(G635)</f>
        <v/>
      </c>
      <c r="U635" s="27" t="n"/>
      <c r="V635" s="27" t="n"/>
      <c r="W635" s="210">
        <f>IF(K635=TRUE,Q635/J635,Q635)</f>
        <v/>
      </c>
      <c r="X635" s="237">
        <f>V635/100*S635</f>
        <v/>
      </c>
      <c r="Y635">
        <f>IF(AND(V635&gt;0,N635=V635),TRUE,FALSE)</f>
        <v/>
      </c>
      <c r="Z635" s="228">
        <f>IF(C635="Einnahmen",Q635,-Q635)</f>
        <v/>
      </c>
    </row>
    <row r="636">
      <c r="A636" s="53" t="n">
        <v>2021</v>
      </c>
      <c r="B636" s="53" t="n">
        <v>163</v>
      </c>
      <c r="C636" s="71" t="inlineStr">
        <is>
          <t>Ausgaben</t>
        </is>
      </c>
      <c r="D636" t="inlineStr">
        <is>
          <t>Reise- und Fahrtspesen inkl. Kilometergeld und Diäten</t>
        </is>
      </c>
      <c r="E636" s="131" t="inlineStr">
        <is>
          <t>3293000012017639</t>
        </is>
      </c>
      <c r="G636" s="1" t="n">
        <v>44505</v>
      </c>
      <c r="H636" t="inlineStr">
        <is>
          <t>car2go Österreich GmbH, Hintere Zollamtstraße 9, 1030 Wien</t>
        </is>
      </c>
      <c r="K636" t="b">
        <v>0</v>
      </c>
      <c r="L636" s="214" t="n">
        <v>3.36</v>
      </c>
      <c r="M636" s="159" t="n">
        <v>1</v>
      </c>
      <c r="N636" t="n">
        <v>20</v>
      </c>
      <c r="O636" s="237">
        <f>L636*N636/100</f>
        <v/>
      </c>
      <c r="P636" s="237">
        <f>M636*O636</f>
        <v/>
      </c>
      <c r="Q636" s="208">
        <f>L636*M636</f>
        <v/>
      </c>
      <c r="R636" s="251">
        <f>L636+O636</f>
        <v/>
      </c>
      <c r="S636" s="251">
        <f>Q636+P636</f>
        <v/>
      </c>
      <c r="T636" s="35">
        <f>voranmeldefrist_vierteljaehrlich(G636)</f>
        <v/>
      </c>
      <c r="U636" s="27" t="n"/>
      <c r="V636" s="27" t="n"/>
      <c r="W636" s="210">
        <f>IF(K636=TRUE,Q636/J636,Q636)</f>
        <v/>
      </c>
      <c r="X636" s="237">
        <f>V636/100*S636</f>
        <v/>
      </c>
      <c r="Y636">
        <f>IF(AND(V636&gt;0,N636=V636),TRUE,FALSE)</f>
        <v/>
      </c>
      <c r="Z636" s="228">
        <f>IF(C636="Einnahmen",Q636,-Q636)</f>
        <v/>
      </c>
    </row>
    <row r="637">
      <c r="A637" s="53" t="n">
        <v>2021</v>
      </c>
      <c r="B637" s="53" t="n">
        <v>164</v>
      </c>
      <c r="C637" s="71" t="inlineStr">
        <is>
          <t>Ausgaben</t>
        </is>
      </c>
      <c r="D637" t="inlineStr">
        <is>
          <t>sonstige Betriebsausgaben</t>
        </is>
      </c>
      <c r="E637" s="6" t="inlineStr">
        <is>
          <t>R0014477126</t>
        </is>
      </c>
      <c r="G637" s="1" t="n">
        <v>44508</v>
      </c>
      <c r="H637" t="inlineStr">
        <is>
          <t>Hetzner Online GmbH</t>
        </is>
      </c>
      <c r="J637" s="76" t="inlineStr">
        <is>
          <t>ja</t>
        </is>
      </c>
      <c r="K637">
        <f>(IF(AND(I637&lt;&gt;"",AND(J637="",ABS(Q637)&gt;400)),TRUE,FALSE))</f>
        <v/>
      </c>
      <c r="L637" s="214" t="n">
        <v>2.49</v>
      </c>
      <c r="M637" s="159" t="n">
        <v>1</v>
      </c>
      <c r="N637" t="n">
        <v>0</v>
      </c>
      <c r="O637" s="237">
        <f>L637*N637/100</f>
        <v/>
      </c>
      <c r="P637" s="237">
        <f>M637*O637</f>
        <v/>
      </c>
      <c r="Q637" s="208">
        <f>L637*M637</f>
        <v/>
      </c>
      <c r="R637" s="251">
        <f>L637+O637</f>
        <v/>
      </c>
      <c r="S637" s="251">
        <f>Q637+P637</f>
        <v/>
      </c>
      <c r="T637" s="35">
        <f>voranmeldefrist_vierteljaehrlich(G637)</f>
        <v/>
      </c>
      <c r="U637" s="27" t="n"/>
      <c r="V637" s="27" t="n">
        <v>20</v>
      </c>
      <c r="W637" s="210">
        <f>IF(K637=TRUE,Q637/J637,Q637)</f>
        <v/>
      </c>
      <c r="X637" s="237">
        <f>V637/100*S637</f>
        <v/>
      </c>
      <c r="Y637">
        <f>IF(AND(V637&gt;0,N637=V637),TRUE,FALSE)</f>
        <v/>
      </c>
      <c r="Z637" s="228">
        <f>IF(C637="Einnahmen",Q637,-Q637)</f>
        <v/>
      </c>
    </row>
    <row r="638">
      <c r="A638" s="53" t="n">
        <v>2021</v>
      </c>
      <c r="B638" s="53" t="n">
        <v>165</v>
      </c>
      <c r="C638" s="71" t="inlineStr">
        <is>
          <t>Ausgaben</t>
        </is>
      </c>
      <c r="D638" t="inlineStr">
        <is>
          <t>sonstige Betriebsausgaben</t>
        </is>
      </c>
      <c r="E638" s="9" t="inlineStr">
        <is>
          <t>5137082649</t>
        </is>
      </c>
      <c r="G638" s="1" t="n">
        <v>44510</v>
      </c>
      <c r="H638" t="inlineStr">
        <is>
          <t>Wiener Netze GmbH, Erdbergstraße 236, 1110 Wien, Postfach 422; Jahresabrechnung vom 17.12.20: GUTSCHRIFT</t>
        </is>
      </c>
      <c r="K638">
        <f>(IF(AND(I638&lt;&gt;"",AND(J638="",ABS(Q638)&gt;400)),TRUE,FALSE))</f>
        <v/>
      </c>
      <c r="L638" s="214" t="n">
        <v>13</v>
      </c>
      <c r="M638" s="159" t="n">
        <v>1</v>
      </c>
      <c r="N638" t="n">
        <v>20</v>
      </c>
      <c r="O638" s="237">
        <f>L638*N638/100</f>
        <v/>
      </c>
      <c r="P638" s="237">
        <f>M638*O638</f>
        <v/>
      </c>
      <c r="Q638" s="208">
        <f>L638*M638</f>
        <v/>
      </c>
      <c r="R638" s="251">
        <f>L638+O638</f>
        <v/>
      </c>
      <c r="S638" s="251">
        <f>Q638+P638</f>
        <v/>
      </c>
      <c r="T638" s="35">
        <f>voranmeldefrist_vierteljaehrlich(G638)</f>
        <v/>
      </c>
      <c r="U638" s="27" t="n"/>
      <c r="V638" s="27" t="n"/>
      <c r="W638" s="210">
        <f>IF(K638=TRUE,Q638/J638,Q638)</f>
        <v/>
      </c>
      <c r="X638" s="237">
        <f>V638/100*S638</f>
        <v/>
      </c>
      <c r="Y638">
        <f>IF(AND(V638&gt;0,N638=V638),TRUE,FALSE)</f>
        <v/>
      </c>
      <c r="Z638" s="228">
        <f>IF(C638="Einnahmen",Q638,-Q638)</f>
        <v/>
      </c>
    </row>
    <row r="639">
      <c r="A639" s="53" t="n">
        <v>2021</v>
      </c>
      <c r="B639" s="53" t="n">
        <v>166</v>
      </c>
      <c r="C639" s="71" t="inlineStr">
        <is>
          <t>Ausgaben</t>
        </is>
      </c>
      <c r="D639" t="inlineStr">
        <is>
          <t>sonstige Betriebsausgaben</t>
        </is>
      </c>
      <c r="E639" s="9" t="inlineStr">
        <is>
          <t>R0014533637</t>
        </is>
      </c>
      <c r="G639" s="1" t="n">
        <v>44511</v>
      </c>
      <c r="H639" t="inlineStr">
        <is>
          <t>Hetzner Online GmbH</t>
        </is>
      </c>
      <c r="K639">
        <f>(IF(AND(I639&lt;&gt;"",AND(J639="",ABS(Q639)&gt;400)),TRUE,FALSE))</f>
        <v/>
      </c>
      <c r="L639" s="214" t="n">
        <v>46.9168</v>
      </c>
      <c r="M639" s="159" t="n">
        <v>1</v>
      </c>
      <c r="N639" t="n">
        <v>0</v>
      </c>
      <c r="O639" s="237">
        <f>L639*N639/100</f>
        <v/>
      </c>
      <c r="P639" s="237">
        <f>M639*O639</f>
        <v/>
      </c>
      <c r="Q639" s="208">
        <f>L639*M639</f>
        <v/>
      </c>
      <c r="R639" s="251">
        <f>L639+O639</f>
        <v/>
      </c>
      <c r="S639" s="251">
        <f>Q639+P639</f>
        <v/>
      </c>
      <c r="T639" s="35">
        <f>voranmeldefrist_vierteljaehrlich(G639)</f>
        <v/>
      </c>
      <c r="U639" s="27" t="n"/>
      <c r="V639" s="27" t="n">
        <v>20</v>
      </c>
      <c r="W639" s="210">
        <f>IF(K639=TRUE,Q639/J639,Q639)</f>
        <v/>
      </c>
      <c r="X639" s="237">
        <f>V639/100*S639</f>
        <v/>
      </c>
      <c r="Y639">
        <f>IF(AND(V639&gt;0,N639=V639),TRUE,FALSE)</f>
        <v/>
      </c>
      <c r="Z639" s="228">
        <f>IF(C639="Einnahmen",Q639,-Q639)</f>
        <v/>
      </c>
    </row>
    <row r="640">
      <c r="A640" s="53" t="n">
        <v>2021</v>
      </c>
      <c r="B640" s="53" t="n">
        <v>167</v>
      </c>
      <c r="C640" s="71" t="inlineStr">
        <is>
          <t>Ausgaben</t>
        </is>
      </c>
      <c r="D640" t="inlineStr">
        <is>
          <t>Porto/Gebühren</t>
        </is>
      </c>
      <c r="E640" s="9" t="inlineStr">
        <is>
          <t>SRB20211110154912056</t>
        </is>
      </c>
      <c r="G640" s="1" t="n">
        <v>44515</v>
      </c>
      <c r="H640" t="inlineStr">
        <is>
          <t>LPD Wien</t>
        </is>
      </c>
      <c r="K640">
        <f>(IF(AND(I640&lt;&gt;"",AND(J640="",ABS(Q640)&gt;400)),TRUE,FALSE))</f>
        <v/>
      </c>
      <c r="L640" s="214" t="n">
        <v>10.7</v>
      </c>
      <c r="M640" s="159" t="n">
        <v>1</v>
      </c>
      <c r="N640" t="n">
        <v>0</v>
      </c>
      <c r="O640" s="237">
        <f>L640*N640/100</f>
        <v/>
      </c>
      <c r="P640" s="237">
        <f>M640*O640</f>
        <v/>
      </c>
      <c r="Q640" s="208">
        <f>L640*M640</f>
        <v/>
      </c>
      <c r="R640" s="251">
        <f>L640+O640</f>
        <v/>
      </c>
      <c r="S640" s="251">
        <f>Q640+P640</f>
        <v/>
      </c>
      <c r="T640" s="35">
        <f>voranmeldefrist_vierteljaehrlich(G640)</f>
        <v/>
      </c>
      <c r="U640" s="27" t="n"/>
      <c r="V640" s="27" t="n"/>
      <c r="W640" s="210">
        <f>IF(K640=TRUE,Q640/J640,Q640)</f>
        <v/>
      </c>
      <c r="X640" s="237">
        <f>V640/100*S640</f>
        <v/>
      </c>
      <c r="Y640">
        <f>IF(AND(V640&gt;0,N640=V640),TRUE,FALSE)</f>
        <v/>
      </c>
      <c r="Z640" s="228">
        <f>IF(C640="Einnahmen",Q640,-Q640)</f>
        <v/>
      </c>
    </row>
    <row r="641">
      <c r="A641" s="53" t="n">
        <v>2021</v>
      </c>
      <c r="B641" s="53" t="n">
        <v>168</v>
      </c>
      <c r="C641" s="71" t="inlineStr">
        <is>
          <t>Ausgaben</t>
        </is>
      </c>
      <c r="D641" t="inlineStr">
        <is>
          <t>Reise- und Fahrtspesen inkl. Kilometergeld und Diäten</t>
        </is>
      </c>
      <c r="E641" s="131" t="inlineStr">
        <is>
          <t>3293000012088420</t>
        </is>
      </c>
      <c r="G641" s="1" t="n">
        <v>44519</v>
      </c>
      <c r="H641" t="inlineStr">
        <is>
          <t>car2go Österreich GmbH, Hintere Zollamtstraße 9, 1030 Wien</t>
        </is>
      </c>
      <c r="K641" t="b">
        <v>0</v>
      </c>
      <c r="L641" s="214" t="n">
        <v>4.78</v>
      </c>
      <c r="M641" s="159" t="n">
        <v>1</v>
      </c>
      <c r="N641" t="n">
        <v>20</v>
      </c>
      <c r="O641" s="237">
        <f>L641*N641/100</f>
        <v/>
      </c>
      <c r="P641" s="237">
        <f>M641*O641</f>
        <v/>
      </c>
      <c r="Q641" s="208">
        <f>L641*M641</f>
        <v/>
      </c>
      <c r="R641" s="251">
        <f>L641+O641</f>
        <v/>
      </c>
      <c r="S641" s="251">
        <f>Q641+P641</f>
        <v/>
      </c>
      <c r="T641" s="35">
        <f>voranmeldefrist_vierteljaehrlich(G641)</f>
        <v/>
      </c>
      <c r="U641" s="27" t="n"/>
      <c r="V641" s="27" t="n"/>
      <c r="W641" s="210">
        <f>IF(K641=TRUE,Q641/J641,Q641)</f>
        <v/>
      </c>
      <c r="X641" s="237">
        <f>V641/100*S641</f>
        <v/>
      </c>
      <c r="Y641">
        <f>IF(AND(V641&gt;0,N641=V641),TRUE,FALSE)</f>
        <v/>
      </c>
      <c r="Z641" s="228">
        <f>IF(C641="Einnahmen",Q641,-Q641)</f>
        <v/>
      </c>
    </row>
    <row r="642">
      <c r="A642" s="53" t="n">
        <v>2021</v>
      </c>
      <c r="B642" s="53" t="n">
        <v>169</v>
      </c>
      <c r="C642" s="71" t="inlineStr">
        <is>
          <t>Einnahmen</t>
        </is>
      </c>
      <c r="D642" t="inlineStr">
        <is>
          <t>Waren-/Leistungserlöse</t>
        </is>
      </c>
      <c r="E642" s="6" t="n">
        <v>12021023</v>
      </c>
      <c r="G642" s="1" t="n">
        <v>44519</v>
      </c>
      <c r="H642" t="inlineStr">
        <is>
          <t>Schick Küchendesign e.U. Alexander Schick, Linzerstraße 247, 1140 Wien</t>
        </is>
      </c>
      <c r="K642">
        <f>(IF(AND(I642&lt;&gt;"",AND(J642="",ABS(Q642)&gt;400)),TRUE,FALSE))</f>
        <v/>
      </c>
      <c r="L642" s="214" t="n">
        <v>585</v>
      </c>
      <c r="M642" s="159" t="n">
        <v>1</v>
      </c>
      <c r="N642" t="n">
        <v>20</v>
      </c>
      <c r="O642" s="237">
        <f>L642*N642/100</f>
        <v/>
      </c>
      <c r="P642" s="237">
        <f>M642*O642</f>
        <v/>
      </c>
      <c r="Q642" s="208">
        <f>L642*M642</f>
        <v/>
      </c>
      <c r="R642" s="251">
        <f>L642+O642</f>
        <v/>
      </c>
      <c r="S642" s="251">
        <f>Q642+P642</f>
        <v/>
      </c>
      <c r="T642" s="35">
        <f>voranmeldefrist_vierteljaehrlich(G642)</f>
        <v/>
      </c>
      <c r="U642" s="27" t="n"/>
      <c r="V642" s="27" t="n"/>
      <c r="W642" s="210">
        <f>IF(K642=TRUE,Q642/J642,Q642)</f>
        <v/>
      </c>
      <c r="X642" s="237">
        <f>V642/100*S642</f>
        <v/>
      </c>
      <c r="Y642">
        <f>IF(AND(V642&gt;0,N642=V642),TRUE,FALSE)</f>
        <v/>
      </c>
      <c r="Z642" s="228">
        <f>IF(C642="Einnahmen",Q642,-Q642)</f>
        <v/>
      </c>
      <c r="AB642">
        <f>L642*1.2=R642</f>
        <v/>
      </c>
      <c r="AC642">
        <f>L642*1.2=S642</f>
        <v/>
      </c>
    </row>
    <row r="643">
      <c r="A643" s="53" t="n">
        <v>2021</v>
      </c>
      <c r="B643" s="53" t="n">
        <v>170</v>
      </c>
      <c r="C643" s="71" t="inlineStr">
        <is>
          <t>Ausgaben</t>
        </is>
      </c>
      <c r="D643" t="inlineStr">
        <is>
          <t>Telefon/Internet</t>
        </is>
      </c>
      <c r="E643" s="131" t="inlineStr">
        <is>
          <t>901189031121</t>
        </is>
      </c>
      <c r="G643" s="1" t="n">
        <v>44522</v>
      </c>
      <c r="H643" t="inlineStr">
        <is>
          <t>Magenta: T-Mobile Austria GmbH, A-1120 Wien, PF 47</t>
        </is>
      </c>
      <c r="K643">
        <f>(IF(AND(I643&lt;&gt;"",AND(J643="",ABS(Q643)&gt;400)),TRUE,FALSE))</f>
        <v/>
      </c>
      <c r="L643" s="214" t="n">
        <v>31.92</v>
      </c>
      <c r="M643" s="159" t="n">
        <v>1</v>
      </c>
      <c r="N643" t="n">
        <v>20</v>
      </c>
      <c r="O643" s="237">
        <f>L643*N643/100</f>
        <v/>
      </c>
      <c r="P643" s="237">
        <f>M643*O643</f>
        <v/>
      </c>
      <c r="Q643" s="208">
        <f>L643*M643</f>
        <v/>
      </c>
      <c r="R643" s="251">
        <f>L643+O643</f>
        <v/>
      </c>
      <c r="S643" s="251">
        <f>Q643+P643</f>
        <v/>
      </c>
      <c r="T643" s="35">
        <f>voranmeldefrist_vierteljaehrlich(G643)</f>
        <v/>
      </c>
      <c r="U643" s="27" t="n"/>
      <c r="V643" s="27" t="n"/>
      <c r="W643" s="210">
        <f>IF(K643=TRUE,Q643/I643,Q643)</f>
        <v/>
      </c>
      <c r="X643" s="237">
        <f>V643/100*S643</f>
        <v/>
      </c>
      <c r="Y643">
        <f>IF(AND(V643&gt;0,N643=V643),TRUE,FALSE)</f>
        <v/>
      </c>
      <c r="Z643" s="228">
        <f>IF(C643="Einnahmen",Q643,-Q643)</f>
        <v/>
      </c>
    </row>
    <row r="644">
      <c r="A644" s="53" t="n">
        <v>2021</v>
      </c>
      <c r="B644" s="53" t="n">
        <v>171</v>
      </c>
      <c r="C644" s="71" t="inlineStr">
        <is>
          <t>Ausgaben</t>
        </is>
      </c>
      <c r="D644" t="inlineStr">
        <is>
          <t>sonstige Betriebsausgaben</t>
        </is>
      </c>
      <c r="E644" s="6" t="inlineStr">
        <is>
          <t>AT184F1UAEUI</t>
        </is>
      </c>
      <c r="G644" s="1" t="n">
        <v>44525</v>
      </c>
      <c r="H644" t="inlineStr">
        <is>
          <t>Amazon EU S. à r.l., 38 avenue John F. Kennedy, L-1855 Luxembourg: HJEU: DVI-HDMI, Logitech Maus</t>
        </is>
      </c>
      <c r="K644">
        <f>(IF(AND(I644&lt;&gt;"",AND(J644="",ABS(Q644)&gt;400)),TRUE,FALSE))</f>
        <v/>
      </c>
      <c r="L644" s="214" t="n">
        <v>26.21</v>
      </c>
      <c r="M644" s="159" t="n">
        <v>1</v>
      </c>
      <c r="N644" t="n">
        <v>20</v>
      </c>
      <c r="O644" s="237">
        <f>L644*N644/100</f>
        <v/>
      </c>
      <c r="P644" s="237">
        <f>M644*O644</f>
        <v/>
      </c>
      <c r="Q644" s="208">
        <f>L644*M644</f>
        <v/>
      </c>
      <c r="R644" s="251">
        <f>L644+O644</f>
        <v/>
      </c>
      <c r="S644" s="251">
        <f>Q644+P644</f>
        <v/>
      </c>
      <c r="T644" s="35">
        <f>voranmeldefrist_vierteljaehrlich(G644)</f>
        <v/>
      </c>
      <c r="U644" s="27" t="n"/>
      <c r="V644" s="27" t="n"/>
      <c r="W644" s="210">
        <f>IF(K644=TRUE,Q644/I644,Q644)</f>
        <v/>
      </c>
      <c r="X644" s="237">
        <f>V644/100*S644</f>
        <v/>
      </c>
      <c r="Y644">
        <f>IF(AND(V644&gt;0,N644=V644),TRUE,FALSE)</f>
        <v/>
      </c>
      <c r="Z644" s="228">
        <f>IF(C644="Einnahmen",Q644,-Q644)</f>
        <v/>
      </c>
    </row>
    <row r="645">
      <c r="A645" s="53" t="n">
        <v>2021</v>
      </c>
      <c r="B645" s="53" t="n">
        <v>172</v>
      </c>
      <c r="C645" s="71" t="inlineStr">
        <is>
          <t>Einnahmen</t>
        </is>
      </c>
      <c r="D645" t="inlineStr">
        <is>
          <t>Waren-/Leistungserlöse</t>
        </is>
      </c>
      <c r="E645" s="6" t="n">
        <v>12021027</v>
      </c>
      <c r="G645" s="1" t="n">
        <v>44526</v>
      </c>
      <c r="H645" t="inlineStr">
        <is>
          <t>Musikschule Bad Vöslau, Hauptstraße 14, 2540 Bad Vöslau</t>
        </is>
      </c>
      <c r="K645">
        <f>(IF(AND(I645&lt;&gt;"",AND(J645="",ABS(Q645)&gt;400)),TRUE,FALSE))</f>
        <v/>
      </c>
      <c r="L645" s="214" t="n">
        <v>3780</v>
      </c>
      <c r="M645" s="159" t="n">
        <v>1</v>
      </c>
      <c r="N645" t="n">
        <v>20</v>
      </c>
      <c r="O645" s="237">
        <f>L645*N645/100</f>
        <v/>
      </c>
      <c r="P645" s="237">
        <f>M645*O645</f>
        <v/>
      </c>
      <c r="Q645" s="208">
        <f>L645*M645</f>
        <v/>
      </c>
      <c r="R645" s="251">
        <f>L645+O645</f>
        <v/>
      </c>
      <c r="S645" s="251">
        <f>Q645+P645</f>
        <v/>
      </c>
      <c r="T645" s="35">
        <f>voranmeldefrist_vierteljaehrlich(G645)</f>
        <v/>
      </c>
      <c r="U645" s="27" t="n"/>
      <c r="V645" s="27" t="n"/>
      <c r="W645" s="210">
        <f>IF(K645=TRUE,Q645/J645,Q645)</f>
        <v/>
      </c>
      <c r="X645" s="237">
        <f>V645/100*S645</f>
        <v/>
      </c>
      <c r="Y645">
        <f>IF(AND(V645&gt;0,N645=V645),TRUE,FALSE)</f>
        <v/>
      </c>
      <c r="Z645" s="228">
        <f>IF(C645="Einnahmen",Q645,-Q645)</f>
        <v/>
      </c>
      <c r="AB645">
        <f>L645*1.2=R645</f>
        <v/>
      </c>
      <c r="AC645">
        <f>L645*1.2=S645</f>
        <v/>
      </c>
    </row>
    <row r="646">
      <c r="A646" s="53" t="n">
        <v>2021</v>
      </c>
      <c r="B646" s="53" t="n">
        <v>173</v>
      </c>
      <c r="C646" s="71" t="inlineStr">
        <is>
          <t>Ausgaben</t>
        </is>
      </c>
      <c r="D646" t="inlineStr">
        <is>
          <t>Reise- und Fahrtspesen inkl. Kilometergeld und Diäten</t>
        </is>
      </c>
      <c r="E646" s="131" t="inlineStr">
        <is>
          <t>3293000012123132</t>
        </is>
      </c>
      <c r="G646" s="1" t="n">
        <v>44526</v>
      </c>
      <c r="H646" t="inlineStr">
        <is>
          <t>car2go Österreich GmbH, Hintere Zollamtstraße 9, 1030 Wien</t>
        </is>
      </c>
      <c r="K646" t="b">
        <v>0</v>
      </c>
      <c r="L646" s="214" t="n">
        <v>3.08</v>
      </c>
      <c r="M646" s="159" t="n">
        <v>1</v>
      </c>
      <c r="N646" t="n">
        <v>20</v>
      </c>
      <c r="O646" s="237">
        <f>L646*N646/100</f>
        <v/>
      </c>
      <c r="P646" s="237">
        <f>M646*O646</f>
        <v/>
      </c>
      <c r="Q646" s="208">
        <f>L646*M646</f>
        <v/>
      </c>
      <c r="R646" s="251">
        <f>L646+O646</f>
        <v/>
      </c>
      <c r="S646" s="251">
        <f>Q646+P646</f>
        <v/>
      </c>
      <c r="T646" s="35">
        <f>voranmeldefrist_vierteljaehrlich(G646)</f>
        <v/>
      </c>
      <c r="U646" s="27" t="n"/>
      <c r="V646" s="27" t="n"/>
      <c r="W646" s="210">
        <f>IF(K646=TRUE,Q646/J646,Q646)</f>
        <v/>
      </c>
      <c r="X646" s="237">
        <f>V646/100*S646</f>
        <v/>
      </c>
      <c r="Y646">
        <f>IF(AND(V646&gt;0,N646=V646),TRUE,FALSE)</f>
        <v/>
      </c>
      <c r="Z646" s="228">
        <f>IF(C646="Einnahmen",Q646,-Q646)</f>
        <v/>
      </c>
    </row>
    <row r="647">
      <c r="A647" s="53" t="n">
        <v>2021</v>
      </c>
      <c r="B647" s="53" t="n">
        <v>174</v>
      </c>
      <c r="C647" s="71" t="inlineStr">
        <is>
          <t>Ausgaben</t>
        </is>
      </c>
      <c r="D647" t="inlineStr">
        <is>
          <t>Reise- und Fahrtspesen inkl. Kilometergeld und Diäten</t>
        </is>
      </c>
      <c r="E647" s="131" t="inlineStr">
        <is>
          <t>3293000012142740</t>
        </is>
      </c>
      <c r="G647" s="1" t="n">
        <v>44531</v>
      </c>
      <c r="H647" t="inlineStr">
        <is>
          <t>car2go Österreich GmbH, Hintere Zollamtstraße 9, 1030 Wien</t>
        </is>
      </c>
      <c r="K647" t="b">
        <v>0</v>
      </c>
      <c r="L647" s="214" t="n">
        <v>3.48</v>
      </c>
      <c r="M647" s="159" t="n">
        <v>1</v>
      </c>
      <c r="N647" t="n">
        <v>20</v>
      </c>
      <c r="O647" s="237">
        <f>L647*N647/100</f>
        <v/>
      </c>
      <c r="P647" s="237">
        <f>M647*O647</f>
        <v/>
      </c>
      <c r="Q647" s="208">
        <f>L647*M647</f>
        <v/>
      </c>
      <c r="R647" s="251">
        <f>L647+O647</f>
        <v/>
      </c>
      <c r="S647" s="251">
        <f>Q647+P647</f>
        <v/>
      </c>
      <c r="T647" s="35">
        <f>voranmeldefrist_vierteljaehrlich(G647)</f>
        <v/>
      </c>
      <c r="U647" s="27" t="n"/>
      <c r="V647" s="27" t="n"/>
      <c r="W647" s="210">
        <f>IF(K647=TRUE,Q647/J647,Q647)</f>
        <v/>
      </c>
      <c r="X647" s="237">
        <f>V647/100*S647</f>
        <v/>
      </c>
      <c r="Y647">
        <f>IF(AND(V647&gt;0,N647=V647),TRUE,FALSE)</f>
        <v/>
      </c>
      <c r="Z647" s="228">
        <f>IF(C647="Einnahmen",Q647,-Q647)</f>
        <v/>
      </c>
    </row>
    <row r="648">
      <c r="A648" s="53" t="n">
        <v>2021</v>
      </c>
      <c r="B648" s="53" t="n">
        <v>175</v>
      </c>
      <c r="C648" s="71" t="inlineStr">
        <is>
          <t>Ausgaben</t>
        </is>
      </c>
      <c r="D648" t="inlineStr">
        <is>
          <t>Waren, Rohstoffe, Hilfsstoffe</t>
        </is>
      </c>
      <c r="E648" s="6" t="n">
        <v>855501</v>
      </c>
      <c r="G648" s="1" t="n">
        <v>44531</v>
      </c>
      <c r="H648" t="inlineStr">
        <is>
          <t>Lemon Technologies GmbH, Unterweißenbach 181, 7330 Feldbach: Bildschirm</t>
        </is>
      </c>
      <c r="J648" s="76" t="inlineStr">
        <is>
          <t>ja</t>
        </is>
      </c>
      <c r="K648">
        <f>(IF(AND(I648&lt;&gt;"",AND(J648="",ABS(Q648)&gt;400)),TRUE,FALSE))</f>
        <v/>
      </c>
      <c r="L648" s="214" t="n">
        <v>45.66</v>
      </c>
      <c r="M648" s="159" t="n">
        <v>1</v>
      </c>
      <c r="N648" t="n">
        <v>20</v>
      </c>
      <c r="O648" s="237">
        <f>L648*N648/100</f>
        <v/>
      </c>
      <c r="P648" s="237">
        <f>M648*O648</f>
        <v/>
      </c>
      <c r="Q648" s="208">
        <f>L648*M648</f>
        <v/>
      </c>
      <c r="R648" s="251">
        <f>L648+O648</f>
        <v/>
      </c>
      <c r="S648" s="251">
        <f>Q648+P648</f>
        <v/>
      </c>
      <c r="T648" s="35">
        <f>voranmeldefrist_vierteljaehrlich(G648)</f>
        <v/>
      </c>
      <c r="U648" s="27" t="n"/>
      <c r="V648" s="27" t="n"/>
      <c r="W648" s="210">
        <f>IF(K648=TRUE,Q648/I648,Q648)</f>
        <v/>
      </c>
      <c r="X648" s="237">
        <f>V648/100*S648</f>
        <v/>
      </c>
      <c r="Y648">
        <f>IF(AND(V648&gt;0,N648=V648),TRUE,FALSE)</f>
        <v/>
      </c>
      <c r="Z648" s="228">
        <f>IF(C648="Einnahmen",Q648,-Q648)</f>
        <v/>
      </c>
    </row>
    <row r="649">
      <c r="A649" s="53" t="n">
        <v>2021</v>
      </c>
      <c r="B649" s="53" t="n">
        <v>176</v>
      </c>
      <c r="C649" s="71" t="inlineStr">
        <is>
          <t>Ausgaben</t>
        </is>
      </c>
      <c r="D649" t="inlineStr">
        <is>
          <t>Miet- und Pachtaufwand, Leasing</t>
        </is>
      </c>
      <c r="E649" s="9" t="inlineStr">
        <is>
          <t>21/9801/VS00476</t>
        </is>
      </c>
      <c r="G649" s="1" t="n">
        <v>44531</v>
      </c>
      <c r="H649" t="inlineStr">
        <is>
          <t>Bontus Immobilienverwaltung GmbH, 1010 Wien, Franz Josefs Kai 65</t>
        </is>
      </c>
      <c r="K649" t="b">
        <v>0</v>
      </c>
      <c r="L649" s="214">
        <f>564.56/1.2</f>
        <v/>
      </c>
      <c r="M649" s="159" t="n">
        <v>1</v>
      </c>
      <c r="N649" t="n">
        <v>20</v>
      </c>
      <c r="O649" s="237">
        <f>L649*N649/100</f>
        <v/>
      </c>
      <c r="P649" s="237">
        <f>M649*O649</f>
        <v/>
      </c>
      <c r="Q649" s="208">
        <f>L649*M649</f>
        <v/>
      </c>
      <c r="R649" s="251">
        <f>L649+O649</f>
        <v/>
      </c>
      <c r="S649" s="251">
        <f>Q649+P649</f>
        <v/>
      </c>
      <c r="T649" s="35">
        <f>voranmeldefrist_vierteljaehrlich(G649)</f>
        <v/>
      </c>
      <c r="U649" s="27" t="n"/>
      <c r="V649" s="27" t="n"/>
      <c r="W649" s="210">
        <f>IF(K649=TRUE,Q649/J649,Q649)</f>
        <v/>
      </c>
      <c r="X649" s="237">
        <f>V649/100*S649</f>
        <v/>
      </c>
      <c r="Y649">
        <f>IF(AND(V649&gt;0,N649=V649),TRUE,FALSE)</f>
        <v/>
      </c>
      <c r="Z649" s="228">
        <f>IF(C649="Einnahmen",Q649,-Q649)</f>
        <v/>
      </c>
    </row>
    <row r="650">
      <c r="A650" s="53" t="n">
        <v>2021</v>
      </c>
      <c r="B650" s="53" t="n">
        <v>177</v>
      </c>
      <c r="C650" s="71" t="inlineStr">
        <is>
          <t>Ausgaben</t>
        </is>
      </c>
      <c r="D650" t="inlineStr">
        <is>
          <t>sonstige Betriebsausgaben</t>
        </is>
      </c>
      <c r="E650" s="9" t="inlineStr">
        <is>
          <t>4027980636</t>
        </is>
      </c>
      <c r="G650" s="1" t="n">
        <v>44532</v>
      </c>
      <c r="H650" t="inlineStr">
        <is>
          <t>Google Ireland Ltd, Gordon House, Barrow Street, Dublin 4, Ireland; VAT number: IE 6388047V</t>
        </is>
      </c>
      <c r="K650" t="b">
        <v>0</v>
      </c>
      <c r="L650" s="214" t="n">
        <v>10.4</v>
      </c>
      <c r="M650" s="159" t="n">
        <v>1</v>
      </c>
      <c r="N650" t="n">
        <v>0</v>
      </c>
      <c r="O650" s="237">
        <f>L650*N650/100</f>
        <v/>
      </c>
      <c r="P650" s="237">
        <f>M650*O650</f>
        <v/>
      </c>
      <c r="Q650" s="208">
        <f>L650*M650</f>
        <v/>
      </c>
      <c r="R650" s="251">
        <f>L650+O650</f>
        <v/>
      </c>
      <c r="S650" s="251">
        <f>Q650+P650</f>
        <v/>
      </c>
      <c r="T650" s="35">
        <f>voranmeldefrist_vierteljaehrlich(G650)</f>
        <v/>
      </c>
      <c r="U650" s="27" t="n"/>
      <c r="V650" s="27" t="n">
        <v>20</v>
      </c>
      <c r="W650" s="210">
        <f>IF(K650=TRUE,Q650/I650,Q650)</f>
        <v/>
      </c>
      <c r="X650" s="237">
        <f>V650/100*S650</f>
        <v/>
      </c>
      <c r="Y650">
        <f>IF(AND(V650&gt;0,N650=V650),TRUE,FALSE)</f>
        <v/>
      </c>
      <c r="Z650" s="228">
        <f>IF(C650="Einnahmen",Q650,-Q650)</f>
        <v/>
      </c>
    </row>
    <row r="651">
      <c r="A651" s="53" t="n">
        <v>2021</v>
      </c>
      <c r="B651" s="53" t="n">
        <v>178</v>
      </c>
      <c r="C651" s="71" t="inlineStr">
        <is>
          <t>Ausgaben</t>
        </is>
      </c>
      <c r="D651" t="inlineStr">
        <is>
          <t>Telefon/Internet</t>
        </is>
      </c>
      <c r="E651" s="9" t="inlineStr">
        <is>
          <t>6233151878</t>
        </is>
      </c>
      <c r="G651" s="1" t="n">
        <v>44532</v>
      </c>
      <c r="H651" t="inlineStr">
        <is>
          <t>Hutchison Drei Austria GmbH, Brünner Straße 52, 1210 Wien, Österreich</t>
        </is>
      </c>
      <c r="K651">
        <f>(IF(AND(I651&lt;&gt;"",AND(J651="",ABS(Q651)&gt;400)),TRUE,FALSE))</f>
        <v/>
      </c>
      <c r="L651" s="214" t="n">
        <v>15</v>
      </c>
      <c r="M651" s="159" t="n">
        <v>1</v>
      </c>
      <c r="N651" t="n">
        <v>20</v>
      </c>
      <c r="O651" s="237">
        <f>L651*N651/100</f>
        <v/>
      </c>
      <c r="P651" s="237">
        <f>M651*O651</f>
        <v/>
      </c>
      <c r="Q651" s="208">
        <f>L651*M651</f>
        <v/>
      </c>
      <c r="R651" s="251">
        <f>L651+O651</f>
        <v/>
      </c>
      <c r="S651" s="251">
        <f>Q651+P651</f>
        <v/>
      </c>
      <c r="T651" s="35">
        <f>voranmeldefrist_vierteljaehrlich(G651)</f>
        <v/>
      </c>
      <c r="U651" s="27" t="n"/>
      <c r="V651" s="27" t="n"/>
      <c r="W651" s="210">
        <f>IF(K651=TRUE,Q651/I651,Q651)</f>
        <v/>
      </c>
      <c r="X651" s="237">
        <f>V651/100*S651</f>
        <v/>
      </c>
      <c r="Y651">
        <f>IF(AND(V651&gt;0,N651=V651),TRUE,FALSE)</f>
        <v/>
      </c>
      <c r="Z651" s="228">
        <f>IF(C651="Einnahmen",Q651,-Q651)</f>
        <v/>
      </c>
    </row>
    <row r="652">
      <c r="A652" s="53" t="n">
        <v>2021</v>
      </c>
      <c r="B652" s="53" t="n">
        <v>179</v>
      </c>
      <c r="C652" s="71" t="inlineStr">
        <is>
          <t>Ausgaben</t>
        </is>
      </c>
      <c r="D652" t="inlineStr">
        <is>
          <t>sonstige Betriebsausgaben</t>
        </is>
      </c>
      <c r="E652" s="9" t="inlineStr">
        <is>
          <t>60793/100/2021</t>
        </is>
      </c>
      <c r="G652" s="1" t="n">
        <v>44533</v>
      </c>
      <c r="H652" t="inlineStr">
        <is>
          <t>easy green energy GmbH &amp; Co KG</t>
        </is>
      </c>
      <c r="K652">
        <f>(IF(AND(I652&lt;&gt;"",AND(J652="",ABS(Q652)&gt;400)),TRUE,FALSE))</f>
        <v/>
      </c>
      <c r="L652" s="214" t="n">
        <v>2.5</v>
      </c>
      <c r="M652" s="159" t="n">
        <v>1</v>
      </c>
      <c r="N652" t="n">
        <v>20</v>
      </c>
      <c r="O652" s="237">
        <f>L652*N652/100</f>
        <v/>
      </c>
      <c r="P652" s="237">
        <f>M652*O652</f>
        <v/>
      </c>
      <c r="Q652" s="208">
        <f>L652*M652</f>
        <v/>
      </c>
      <c r="R652" s="251">
        <f>L652+O652</f>
        <v/>
      </c>
      <c r="S652" s="251" t="n">
        <v>3</v>
      </c>
      <c r="T652" s="35">
        <f>voranmeldefrist_vierteljaehrlich(G652)</f>
        <v/>
      </c>
      <c r="U652" s="27" t="n"/>
      <c r="V652" s="27" t="n"/>
      <c r="W652" s="210">
        <f>IF(K652=TRUE,Q652/J652,Q652)</f>
        <v/>
      </c>
      <c r="X652" s="237">
        <f>V652/100*S652</f>
        <v/>
      </c>
      <c r="Y652">
        <f>IF(AND(V652&gt;0,N652=V652),TRUE,FALSE)</f>
        <v/>
      </c>
      <c r="Z652" s="228">
        <f>IF(C652="Einnahmen",Q652,-Q652)</f>
        <v/>
      </c>
    </row>
    <row r="653">
      <c r="A653" s="53" t="n">
        <v>2021</v>
      </c>
      <c r="B653" s="53" t="n">
        <v>180</v>
      </c>
      <c r="C653" s="71" t="inlineStr">
        <is>
          <t>Ausgaben</t>
        </is>
      </c>
      <c r="D653" t="inlineStr">
        <is>
          <t>Miet- und Pachtaufwand, Leasing</t>
        </is>
      </c>
      <c r="E653" s="9" t="inlineStr">
        <is>
          <t>HKA/20-01-58835</t>
        </is>
      </c>
      <c r="G653" s="1" t="n">
        <v>44536</v>
      </c>
      <c r="H653" t="inlineStr">
        <is>
          <t>Techem Messtechnik GmbH; Abnehmernummer 501686-0003-11-</t>
        </is>
      </c>
      <c r="K653" t="b">
        <v>0</v>
      </c>
      <c r="L653" s="214" t="n">
        <v>74</v>
      </c>
      <c r="M653" s="159" t="n">
        <v>1</v>
      </c>
      <c r="N653" t="n">
        <v>20</v>
      </c>
      <c r="O653" s="237">
        <f>L653*N653/100</f>
        <v/>
      </c>
      <c r="P653" s="237">
        <f>M653*O653</f>
        <v/>
      </c>
      <c r="Q653" s="208">
        <f>L653*M653</f>
        <v/>
      </c>
      <c r="R653" s="251">
        <f>L653+O653</f>
        <v/>
      </c>
      <c r="S653" s="251">
        <f>Q653+P653</f>
        <v/>
      </c>
      <c r="T653" s="35">
        <f>voranmeldefrist_vierteljaehrlich(G653)</f>
        <v/>
      </c>
      <c r="U653" s="27" t="n"/>
      <c r="V653" s="27" t="n"/>
      <c r="W653" s="210">
        <f>IF(K653=TRUE,Q653/J653,Q653)</f>
        <v/>
      </c>
      <c r="X653" s="237">
        <f>V653/100*S653</f>
        <v/>
      </c>
      <c r="Y653">
        <f>IF(AND(V653&gt;0,N653=V653),TRUE,FALSE)</f>
        <v/>
      </c>
      <c r="Z653" s="228">
        <f>IF(C653="Einnahmen",Q653,-Q653)</f>
        <v/>
      </c>
    </row>
    <row r="654">
      <c r="A654" s="53" t="n">
        <v>2021</v>
      </c>
      <c r="B654" s="53" t="n">
        <v>181</v>
      </c>
      <c r="C654" s="71" t="inlineStr">
        <is>
          <t>Einnahmen</t>
        </is>
      </c>
      <c r="D654" t="inlineStr">
        <is>
          <t>Waren-/Leistungserlöse</t>
        </is>
      </c>
      <c r="E654" s="6" t="n">
        <v>12021028</v>
      </c>
      <c r="G654" s="1" t="n">
        <v>44537</v>
      </c>
      <c r="H654" t="inlineStr">
        <is>
          <t>foxcraft - DI Mag. Alexander Wagner, Leschetitzkygasse 30/5, 1180 Wien</t>
        </is>
      </c>
      <c r="K654">
        <f>(IF(AND(I654&lt;&gt;"",AND(J654="",ABS(Q654)&gt;400)),TRUE,FALSE))</f>
        <v/>
      </c>
      <c r="L654" s="214" t="n">
        <v>150.78</v>
      </c>
      <c r="M654" s="159" t="n">
        <v>1</v>
      </c>
      <c r="N654" t="n">
        <v>20</v>
      </c>
      <c r="O654" s="237">
        <f>L654*N654/100</f>
        <v/>
      </c>
      <c r="P654" s="237">
        <f>M654*O654</f>
        <v/>
      </c>
      <c r="Q654" s="208">
        <f>L654*M654</f>
        <v/>
      </c>
      <c r="R654" s="251">
        <f>L654+O654</f>
        <v/>
      </c>
      <c r="S654" s="251">
        <f>Q654+P654</f>
        <v/>
      </c>
      <c r="T654" s="35">
        <f>voranmeldefrist_vierteljaehrlich(G654)</f>
        <v/>
      </c>
      <c r="U654" s="27" t="n"/>
      <c r="V654" s="27" t="n"/>
      <c r="W654" s="210">
        <f>IF(K654=TRUE,Q654/I654,Q654)</f>
        <v/>
      </c>
      <c r="X654" s="237">
        <f>V654/100*S654</f>
        <v/>
      </c>
      <c r="Y654">
        <f>IF(AND(V654&gt;0,N654=V654),TRUE,FALSE)</f>
        <v/>
      </c>
      <c r="Z654" s="228">
        <f>IF(C654="Einnahmen",Q654,-Q654)</f>
        <v/>
      </c>
      <c r="AB654">
        <f>L654*1.2=R654</f>
        <v/>
      </c>
      <c r="AC654">
        <f>L654*1.2=S654</f>
        <v/>
      </c>
    </row>
    <row r="655">
      <c r="A655" s="53" t="n">
        <v>2021</v>
      </c>
      <c r="B655" s="53" t="n">
        <v>182</v>
      </c>
      <c r="C655" s="71" t="inlineStr">
        <is>
          <t>Ausgaben</t>
        </is>
      </c>
      <c r="D655" t="inlineStr">
        <is>
          <t>sonstige Betriebsausgaben</t>
        </is>
      </c>
      <c r="E655" s="6" t="inlineStr">
        <is>
          <t>R0014682501</t>
        </is>
      </c>
      <c r="G655" s="1" t="n">
        <v>44539</v>
      </c>
      <c r="H655" t="inlineStr">
        <is>
          <t>Hetzner Online GmbH</t>
        </is>
      </c>
      <c r="J655" s="76" t="inlineStr">
        <is>
          <t>ja</t>
        </is>
      </c>
      <c r="K655">
        <f>(IF(AND(I655&lt;&gt;"",AND(J655="",ABS(Q655)&gt;400)),TRUE,FALSE))</f>
        <v/>
      </c>
      <c r="L655" s="214" t="n">
        <v>2.49</v>
      </c>
      <c r="M655" s="159" t="n">
        <v>1</v>
      </c>
      <c r="N655" t="n">
        <v>0</v>
      </c>
      <c r="O655" s="237">
        <f>L655*N655/100</f>
        <v/>
      </c>
      <c r="P655" s="237">
        <f>M655*O655</f>
        <v/>
      </c>
      <c r="Q655" s="208">
        <f>L655*M655</f>
        <v/>
      </c>
      <c r="R655" s="251">
        <f>L655+O655</f>
        <v/>
      </c>
      <c r="S655" s="251">
        <f>Q655+P655</f>
        <v/>
      </c>
      <c r="T655" s="35">
        <f>voranmeldefrist_vierteljaehrlich(G655)</f>
        <v/>
      </c>
      <c r="U655" s="27" t="n"/>
      <c r="V655" s="27" t="n">
        <v>20</v>
      </c>
      <c r="W655" s="210">
        <f>IF(K655=TRUE,Q655/J655,Q655)</f>
        <v/>
      </c>
      <c r="X655" s="237">
        <f>V655/100*S655</f>
        <v/>
      </c>
      <c r="Y655">
        <f>IF(AND(V655&gt;0,N655=V655),TRUE,FALSE)</f>
        <v/>
      </c>
      <c r="Z655" s="228">
        <f>IF(C655="Einnahmen",Q655,-Q655)</f>
        <v/>
      </c>
    </row>
    <row r="656">
      <c r="A656" s="53" t="n">
        <v>2021</v>
      </c>
      <c r="B656" s="53" t="n">
        <v>183</v>
      </c>
      <c r="C656" s="71" t="inlineStr">
        <is>
          <t>Ausgaben</t>
        </is>
      </c>
      <c r="D656" t="inlineStr">
        <is>
          <t>sonstige Betriebsausgaben</t>
        </is>
      </c>
      <c r="E656" s="9" t="inlineStr">
        <is>
          <t>R0014740755</t>
        </is>
      </c>
      <c r="G656" s="1" t="n">
        <v>44543</v>
      </c>
      <c r="H656" t="inlineStr">
        <is>
          <t>Hetzner Online GmbH</t>
        </is>
      </c>
      <c r="K656">
        <f>(IF(AND(I656&lt;&gt;"",AND(J656="",ABS(Q656)&gt;400)),TRUE,FALSE))</f>
        <v/>
      </c>
      <c r="L656" s="214" t="n">
        <v>46.9168</v>
      </c>
      <c r="M656" s="159" t="n">
        <v>1</v>
      </c>
      <c r="N656" t="n">
        <v>0</v>
      </c>
      <c r="O656" s="237">
        <f>L656*N656/100</f>
        <v/>
      </c>
      <c r="P656" s="237">
        <f>M656*O656</f>
        <v/>
      </c>
      <c r="Q656" s="208">
        <f>L656*M656</f>
        <v/>
      </c>
      <c r="R656" s="251">
        <f>L656+O656</f>
        <v/>
      </c>
      <c r="S656" s="251">
        <f>Q656+P656</f>
        <v/>
      </c>
      <c r="T656" s="35">
        <f>voranmeldefrist_vierteljaehrlich(G656)</f>
        <v/>
      </c>
      <c r="U656" s="27" t="n"/>
      <c r="V656" s="27" t="n">
        <v>20</v>
      </c>
      <c r="W656" s="210">
        <f>IF(K656=TRUE,Q656/J656,Q656)</f>
        <v/>
      </c>
      <c r="X656" s="237">
        <f>V656/100*S656</f>
        <v/>
      </c>
      <c r="Y656">
        <f>IF(AND(V656&gt;0,N656=V656),TRUE,FALSE)</f>
        <v/>
      </c>
      <c r="Z656" s="228">
        <f>IF(C656="Einnahmen",Q656,-Q656)</f>
        <v/>
      </c>
    </row>
    <row r="657">
      <c r="A657" s="53" t="n">
        <v>2021</v>
      </c>
      <c r="B657" s="53" t="n">
        <v>184</v>
      </c>
      <c r="C657" s="71" t="inlineStr">
        <is>
          <t>Ausgaben</t>
        </is>
      </c>
      <c r="D657" t="inlineStr">
        <is>
          <t>sonstige Betriebsausgaben</t>
        </is>
      </c>
      <c r="E657" s="6" t="inlineStr">
        <is>
          <t>AT1B8GA1AEUI</t>
        </is>
      </c>
      <c r="G657" s="1" t="n">
        <v>44546</v>
      </c>
      <c r="H657" t="inlineStr">
        <is>
          <t>Amazon EU S. à r.l., 38 avenue John F. Kennedy, L-1855 Luxembourg: HJEU: DVI-HDMI, Logitech Maus</t>
        </is>
      </c>
      <c r="K657">
        <f>(IF(AND(I657&lt;&gt;"",AND(J657="",ABS(Q657)&gt;400)),TRUE,FALSE))</f>
        <v/>
      </c>
      <c r="L657" s="214" t="n">
        <v>29.4</v>
      </c>
      <c r="M657" s="159" t="n">
        <v>1</v>
      </c>
      <c r="N657" t="n">
        <v>20</v>
      </c>
      <c r="O657" s="237">
        <f>L657*N657/100</f>
        <v/>
      </c>
      <c r="P657" s="237">
        <f>M657*O657</f>
        <v/>
      </c>
      <c r="Q657" s="208">
        <f>L657*M657</f>
        <v/>
      </c>
      <c r="R657" s="251">
        <f>L657+O657</f>
        <v/>
      </c>
      <c r="S657" s="251">
        <f>Q657+P657</f>
        <v/>
      </c>
      <c r="T657" s="35">
        <f>voranmeldefrist_vierteljaehrlich(G657)</f>
        <v/>
      </c>
      <c r="U657" s="27" t="n"/>
      <c r="V657" s="27" t="n"/>
      <c r="W657" s="210">
        <f>IF(K657=TRUE,Q657/I657,Q657)</f>
        <v/>
      </c>
      <c r="X657" s="237">
        <f>V657/100*S657</f>
        <v/>
      </c>
      <c r="Y657">
        <f>IF(AND(V657&gt;0,N657=V657),TRUE,FALSE)</f>
        <v/>
      </c>
      <c r="Z657" s="228">
        <f>IF(C657="Einnahmen",Q657,-Q657)</f>
        <v/>
      </c>
    </row>
    <row r="658">
      <c r="A658" s="53" t="n">
        <v>2021</v>
      </c>
      <c r="B658" s="53" t="n">
        <v>185</v>
      </c>
      <c r="C658" s="71" t="inlineStr">
        <is>
          <t>Ausgaben</t>
        </is>
      </c>
      <c r="D658" t="inlineStr">
        <is>
          <t>sonstige Betriebsausgaben</t>
        </is>
      </c>
      <c r="E658" s="131" t="inlineStr">
        <is>
          <t>AT1B4K7KAEUI</t>
        </is>
      </c>
      <c r="G658" s="1" t="n">
        <v>44546</v>
      </c>
      <c r="H658" t="inlineStr">
        <is>
          <t>Amazon EU S. à r.l., 38 avenue John F. Kennedy, L-1855 Luxembourg: HJEU: DVI-HDMI, Logitech Maus</t>
        </is>
      </c>
      <c r="K658">
        <f>(IF(AND(I658&lt;&gt;"",AND(J658="",ABS(Q658)&gt;400)),TRUE,FALSE))</f>
        <v/>
      </c>
      <c r="L658" s="214" t="n">
        <v>25.87</v>
      </c>
      <c r="M658" s="159" t="n">
        <v>1</v>
      </c>
      <c r="N658" t="n">
        <v>20</v>
      </c>
      <c r="O658" s="237">
        <f>L658*N658/100</f>
        <v/>
      </c>
      <c r="P658" s="237">
        <f>M658*O658</f>
        <v/>
      </c>
      <c r="Q658" s="208">
        <f>L658*M658</f>
        <v/>
      </c>
      <c r="R658" s="251">
        <f>L658+O658</f>
        <v/>
      </c>
      <c r="S658" s="251">
        <f>Q658+P658</f>
        <v/>
      </c>
      <c r="T658" s="35">
        <f>voranmeldefrist_vierteljaehrlich(G658)</f>
        <v/>
      </c>
      <c r="U658" s="27" t="n"/>
      <c r="V658" s="27" t="n"/>
      <c r="W658" s="210">
        <f>IF(K658=TRUE,Q658/I658,Q658)</f>
        <v/>
      </c>
      <c r="X658" s="237">
        <f>V658/100*S658</f>
        <v/>
      </c>
      <c r="Y658">
        <f>IF(AND(V658&gt;0,N658=V658),TRUE,FALSE)</f>
        <v/>
      </c>
      <c r="Z658" s="228">
        <f>IF(C658="Einnahmen",Q658,-Q658)</f>
        <v/>
      </c>
    </row>
    <row r="659">
      <c r="A659" s="53" t="n">
        <v>2021</v>
      </c>
      <c r="B659" s="53" t="n">
        <v>186</v>
      </c>
      <c r="C659" s="71" t="inlineStr">
        <is>
          <t>Ausgaben</t>
        </is>
      </c>
      <c r="D659" t="inlineStr">
        <is>
          <t>Telefon/Internet</t>
        </is>
      </c>
      <c r="E659" s="131" t="inlineStr">
        <is>
          <t>901209161221</t>
        </is>
      </c>
      <c r="G659" s="1" t="n">
        <v>44551</v>
      </c>
      <c r="H659" t="inlineStr">
        <is>
          <t>Magenta: T-Mobile Austria GmbH, A-1120 Wien, PF 47</t>
        </is>
      </c>
      <c r="K659">
        <f>(IF(AND(I659&lt;&gt;"",AND(J659="",ABS(Q659)&gt;400)),TRUE,FALSE))</f>
        <v/>
      </c>
      <c r="L659" s="214" t="n">
        <v>31.92</v>
      </c>
      <c r="M659" s="159" t="n">
        <v>1</v>
      </c>
      <c r="N659" t="n">
        <v>20</v>
      </c>
      <c r="O659" s="237">
        <f>L659*N659/100</f>
        <v/>
      </c>
      <c r="P659" s="237">
        <f>M659*O659</f>
        <v/>
      </c>
      <c r="Q659" s="208">
        <f>L659*M659</f>
        <v/>
      </c>
      <c r="R659" s="251">
        <f>L659+O659</f>
        <v/>
      </c>
      <c r="S659" s="251">
        <f>Q659+P659</f>
        <v/>
      </c>
      <c r="T659" s="35">
        <f>voranmeldefrist_vierteljaehrlich(G659)</f>
        <v/>
      </c>
      <c r="U659" s="27" t="n"/>
      <c r="V659" s="27" t="n"/>
      <c r="W659" s="210">
        <f>IF(K659=TRUE,Q659/I659,Q659)</f>
        <v/>
      </c>
      <c r="X659" s="237">
        <f>V659/100*S659</f>
        <v/>
      </c>
      <c r="Y659">
        <f>IF(AND(V659&gt;0,N659=V659),TRUE,FALSE)</f>
        <v/>
      </c>
      <c r="Z659" s="228">
        <f>IF(C659="Einnahmen",Q659,-Q659)</f>
        <v/>
      </c>
    </row>
    <row r="660">
      <c r="A660" s="53" t="n">
        <v>2021</v>
      </c>
      <c r="B660" s="53" t="n">
        <v>187</v>
      </c>
      <c r="C660" s="71" t="inlineStr">
        <is>
          <t>Einnahmen</t>
        </is>
      </c>
      <c r="D660" t="inlineStr">
        <is>
          <t>Waren-/Leistungserlöse</t>
        </is>
      </c>
      <c r="E660" s="6" t="n">
        <v>12021030</v>
      </c>
      <c r="G660" s="1" t="n">
        <v>44551</v>
      </c>
      <c r="H660" t="inlineStr">
        <is>
          <t>ZT DI Dr. Arno Kolbitsch, Gütleweg 1, 6822 Satteins</t>
        </is>
      </c>
      <c r="K660">
        <f>(IF(AND(I660&lt;&gt;"",AND(J660="",ABS(Q660)&gt;400)),TRUE,FALSE))</f>
        <v/>
      </c>
      <c r="L660" s="214" t="n">
        <v>6351.81</v>
      </c>
      <c r="M660" s="159" t="n">
        <v>1</v>
      </c>
      <c r="N660" t="n">
        <v>20</v>
      </c>
      <c r="O660" s="237">
        <f>L660*N660/100</f>
        <v/>
      </c>
      <c r="P660" s="237">
        <f>M660*O660</f>
        <v/>
      </c>
      <c r="Q660" s="208">
        <f>L660*M660</f>
        <v/>
      </c>
      <c r="R660" s="251">
        <f>L660+O660</f>
        <v/>
      </c>
      <c r="S660" s="251">
        <f>Q660+P660</f>
        <v/>
      </c>
      <c r="T660" s="35">
        <f>voranmeldefrist_vierteljaehrlich(G660)</f>
        <v/>
      </c>
      <c r="U660" s="27" t="n"/>
      <c r="V660" s="27" t="n"/>
      <c r="W660" s="210">
        <f>IF(K660=TRUE,Q660/I660,Q660)</f>
        <v/>
      </c>
      <c r="X660" s="237">
        <f>V660/100*S660</f>
        <v/>
      </c>
      <c r="Y660">
        <f>IF(AND(V660&gt;0,N660=V660),TRUE,FALSE)</f>
        <v/>
      </c>
      <c r="Z660" s="228">
        <f>IF(C660="Einnahmen",Q660,-Q660)</f>
        <v/>
      </c>
      <c r="AB660">
        <f>L660*1.2=R660</f>
        <v/>
      </c>
      <c r="AC660">
        <f>L660*1.2=S660</f>
        <v/>
      </c>
    </row>
    <row r="661">
      <c r="A661" s="53" t="n">
        <v>2021</v>
      </c>
      <c r="B661" s="53" t="n">
        <v>188</v>
      </c>
      <c r="C661" s="71" t="inlineStr">
        <is>
          <t>Ausgaben</t>
        </is>
      </c>
      <c r="D661" t="inlineStr">
        <is>
          <t>sonstige Betriebsausgaben</t>
        </is>
      </c>
      <c r="E661" s="6" t="inlineStr">
        <is>
          <t>E0600GXXZJ</t>
        </is>
      </c>
      <c r="G661" s="1" t="n">
        <v>44551</v>
      </c>
      <c r="H661" t="inlineStr">
        <is>
          <t>Microsoft Ireland Operations Ltd. One Microsoft Place, South County, Business Park, Leopardstown, Dublin 18, D18 P521, Ireland</t>
        </is>
      </c>
      <c r="K661">
        <f>(IF(AND(I661&lt;&gt;"",AND(J661="",ABS(Q661)&gt;400)),TRUE,FALSE))</f>
        <v/>
      </c>
      <c r="L661" s="214" t="n">
        <v>10.5</v>
      </c>
      <c r="M661" s="159" t="n">
        <v>1</v>
      </c>
      <c r="N661" t="n">
        <v>0</v>
      </c>
      <c r="O661" s="237">
        <f>L661*N661/100</f>
        <v/>
      </c>
      <c r="P661" s="237">
        <f>M661*O661</f>
        <v/>
      </c>
      <c r="Q661" s="208">
        <f>L661*M661</f>
        <v/>
      </c>
      <c r="R661" s="251">
        <f>L661+O661</f>
        <v/>
      </c>
      <c r="S661" s="251">
        <f>Q661+P661</f>
        <v/>
      </c>
      <c r="T661" s="35">
        <f>voranmeldefrist_vierteljaehrlich(G661)</f>
        <v/>
      </c>
      <c r="U661" s="27" t="n"/>
      <c r="V661" s="27" t="n">
        <v>20</v>
      </c>
      <c r="W661" s="210">
        <f>IF(K661=TRUE,Q661/J661,Q661)</f>
        <v/>
      </c>
      <c r="X661" s="237">
        <f>V661/100*S661</f>
        <v/>
      </c>
      <c r="Y661">
        <f>IF(AND(V661&gt;0,N661=V661),TRUE,FALSE)</f>
        <v/>
      </c>
      <c r="Z661" s="228">
        <f>IF(C661="Einnahmen",Q661,-Q661)</f>
        <v/>
      </c>
    </row>
    <row r="662">
      <c r="A662" s="53" t="n">
        <v>2021</v>
      </c>
      <c r="B662" s="53" t="n">
        <v>189</v>
      </c>
      <c r="C662" s="71" t="inlineStr">
        <is>
          <t>Ausgaben</t>
        </is>
      </c>
      <c r="D662" t="inlineStr">
        <is>
          <t>Reise- und Fahrtspesen inkl. Kilometergeld und Diäten</t>
        </is>
      </c>
      <c r="E662" s="9" t="inlineStr">
        <is>
          <t>227JS2212211155</t>
        </is>
      </c>
      <c r="G662" s="1" t="n">
        <v>44552</v>
      </c>
      <c r="H662" t="inlineStr">
        <is>
          <t>Wiener Linien GmbH &amp; Co KG</t>
        </is>
      </c>
      <c r="K662">
        <f>(IF(AND(I662&lt;&gt;"",AND(J662="",ABS(Q662)&gt;400)),TRUE,FALSE))</f>
        <v/>
      </c>
      <c r="L662" s="214">
        <f>40.8</f>
        <v/>
      </c>
      <c r="M662" s="159" t="n">
        <v>1</v>
      </c>
      <c r="N662" t="n">
        <v>0</v>
      </c>
      <c r="O662" s="237">
        <f>L662*N662/100</f>
        <v/>
      </c>
      <c r="P662" s="237">
        <f>M662*O662</f>
        <v/>
      </c>
      <c r="Q662" s="208">
        <f>L662*M662</f>
        <v/>
      </c>
      <c r="R662" s="251">
        <f>L662+O662</f>
        <v/>
      </c>
      <c r="S662" s="251">
        <f>Q662+P662</f>
        <v/>
      </c>
      <c r="T662" s="35">
        <f>voranmeldefrist_vierteljaehrlich(G662)</f>
        <v/>
      </c>
      <c r="U662" s="27" t="n"/>
      <c r="V662" s="27" t="n"/>
      <c r="W662" s="210">
        <f>IF(K662=TRUE,Q662/J662,Q662)</f>
        <v/>
      </c>
      <c r="X662" s="237">
        <f>V662/100*S662</f>
        <v/>
      </c>
      <c r="Y662">
        <f>IF(AND(V662&gt;0,N662=V662),TRUE,FALSE)</f>
        <v/>
      </c>
      <c r="Z662" s="228">
        <f>IF(C662="Einnahmen",Q662,-Q662)</f>
        <v/>
      </c>
    </row>
    <row r="663">
      <c r="A663" s="53" t="n">
        <v>2021</v>
      </c>
      <c r="B663" s="53" t="n">
        <v>190</v>
      </c>
      <c r="C663" s="71" t="inlineStr">
        <is>
          <t>Ausgaben</t>
        </is>
      </c>
      <c r="D663" t="inlineStr">
        <is>
          <t>sonstige Betriebsausgaben</t>
        </is>
      </c>
      <c r="E663" s="6" t="inlineStr">
        <is>
          <t>I210003034925</t>
        </is>
      </c>
      <c r="G663" s="1" t="n">
        <v>44552</v>
      </c>
      <c r="H663" t="inlineStr">
        <is>
          <t>Hetzner Online GmbH: .at Domainregistrierung (mj1.at)</t>
        </is>
      </c>
      <c r="K663">
        <f>(IF(AND(I663&lt;&gt;"",AND(J663="",ABS(Q663)&gt;400)),TRUE,FALSE))</f>
        <v/>
      </c>
      <c r="L663" s="214" t="n">
        <v>10</v>
      </c>
      <c r="M663" s="159" t="n">
        <v>1</v>
      </c>
      <c r="N663" t="n">
        <v>0</v>
      </c>
      <c r="O663" s="237">
        <f>L663*N663/100</f>
        <v/>
      </c>
      <c r="P663" s="237">
        <f>M663*O663</f>
        <v/>
      </c>
      <c r="Q663" s="208">
        <f>L663*M663</f>
        <v/>
      </c>
      <c r="R663" s="251">
        <f>L663+O663</f>
        <v/>
      </c>
      <c r="S663" s="251">
        <f>Q663+P663</f>
        <v/>
      </c>
      <c r="T663" s="35">
        <f>voranmeldefrist_vierteljaehrlich(G663)</f>
        <v/>
      </c>
      <c r="U663" s="27" t="n"/>
      <c r="V663" s="27" t="n">
        <v>20</v>
      </c>
      <c r="W663" s="210">
        <f>IF(K663=TRUE,Q663/J663,Q663)</f>
        <v/>
      </c>
      <c r="X663" s="237">
        <f>V663/100*S663</f>
        <v/>
      </c>
      <c r="Y663">
        <f>IF(AND(V663&gt;0,N663=V663),TRUE,FALSE)</f>
        <v/>
      </c>
      <c r="Z663" s="228">
        <f>IF(C663="Einnahmen",Q663,-Q663)</f>
        <v/>
      </c>
    </row>
    <row r="664">
      <c r="A664" s="53" t="n">
        <v>2021</v>
      </c>
      <c r="B664" s="53" t="n">
        <v>191</v>
      </c>
      <c r="C664" s="71" t="inlineStr">
        <is>
          <t>Einnahmen</t>
        </is>
      </c>
      <c r="D664" t="inlineStr">
        <is>
          <t>Waren-/Leistungserlöse</t>
        </is>
      </c>
      <c r="E664" s="6" t="n">
        <v>12021032</v>
      </c>
      <c r="G664" s="1" t="n">
        <v>44558</v>
      </c>
      <c r="H664" t="inlineStr">
        <is>
          <t>Kolbitsch Engineering &amp; Consulting KNr 45</t>
        </is>
      </c>
      <c r="K664" t="b">
        <v>0</v>
      </c>
      <c r="L664" s="214" t="n">
        <v>1134.75</v>
      </c>
      <c r="M664" s="159" t="n">
        <v>1</v>
      </c>
      <c r="N664" t="n">
        <v>20</v>
      </c>
      <c r="O664" s="237">
        <f>L664*N664/100</f>
        <v/>
      </c>
      <c r="P664" s="237">
        <f>M664*O664</f>
        <v/>
      </c>
      <c r="Q664" s="208">
        <f>L664*M664</f>
        <v/>
      </c>
      <c r="R664" s="251">
        <f>L664+O664</f>
        <v/>
      </c>
      <c r="S664" s="251">
        <f>Q664+P664</f>
        <v/>
      </c>
      <c r="T664" s="35">
        <f>voranmeldefrist_vierteljaehrlich(G664)</f>
        <v/>
      </c>
      <c r="U664" s="27" t="n"/>
      <c r="V664" s="27" t="n"/>
      <c r="W664" s="210">
        <f>IF(K664=TRUE,Q664/J664,Q664)</f>
        <v/>
      </c>
      <c r="X664" s="237">
        <f>V664/100*S664</f>
        <v/>
      </c>
      <c r="Y664">
        <f>IF(AND(V664&gt;0,N664=V664),TRUE,FALSE)</f>
        <v/>
      </c>
      <c r="Z664" s="228">
        <f>IF(C664="Einnahmen",Q664,-Q664)</f>
        <v/>
      </c>
      <c r="AB664">
        <f>L664*1.2=R664</f>
        <v/>
      </c>
      <c r="AC664">
        <f>L664*1.2=S664</f>
        <v/>
      </c>
    </row>
    <row r="665">
      <c r="A665" s="53" t="n">
        <v>2021</v>
      </c>
      <c r="B665" s="53" t="n">
        <v>192</v>
      </c>
      <c r="C665" s="71" t="inlineStr">
        <is>
          <t>Ausgaben</t>
        </is>
      </c>
      <c r="D665" t="inlineStr">
        <is>
          <t>Büromaterial</t>
        </is>
      </c>
      <c r="E665" s="9" t="inlineStr">
        <is>
          <t>0893-20211020-01-5323</t>
        </is>
      </c>
      <c r="G665" s="1" t="n">
        <v>44489</v>
      </c>
      <c r="H665" t="inlineStr">
        <is>
          <t>"Libro" PL Handelsgesellschaft mbH, 1080 Wien, Josefstädter Straße 105, ATU 56240311</t>
        </is>
      </c>
      <c r="K665">
        <f>(IF(AND(I665&lt;&gt;"",AND(J665="",ABS(Q665)&gt;400)),TRUE,FALSE))</f>
        <v/>
      </c>
      <c r="L665" s="214" t="n">
        <v>3.58</v>
      </c>
      <c r="M665" s="159" t="n">
        <v>1</v>
      </c>
      <c r="N665" t="n">
        <v>20</v>
      </c>
      <c r="O665" s="237">
        <f>L665*N665/100</f>
        <v/>
      </c>
      <c r="P665" s="237">
        <f>M665*O665</f>
        <v/>
      </c>
      <c r="Q665" s="208">
        <f>L665*M665</f>
        <v/>
      </c>
      <c r="R665" s="251">
        <f>L665+O665</f>
        <v/>
      </c>
      <c r="S665" s="251">
        <f>Q665+P665</f>
        <v/>
      </c>
      <c r="T665" s="35">
        <f>voranmeldefrist_vierteljaehrlich(G665)</f>
        <v/>
      </c>
      <c r="U665" s="27" t="n"/>
      <c r="V665" s="27" t="n"/>
      <c r="W665" s="210">
        <f>IF(K665=TRUE,Q665/J665,Q665)</f>
        <v/>
      </c>
      <c r="X665" s="237">
        <f>V665/100*S665</f>
        <v/>
      </c>
      <c r="Y665">
        <f>IF(AND(V665&gt;0,N665=V665),TRUE,FALSE)</f>
        <v/>
      </c>
      <c r="Z665" s="228">
        <f>IF(C665="Einnahmen",Q665,-Q665)</f>
        <v/>
      </c>
    </row>
    <row r="666">
      <c r="A666" s="53" t="n">
        <v>2021</v>
      </c>
      <c r="B666" s="53" t="n">
        <v>193</v>
      </c>
      <c r="C666" s="71" t="inlineStr">
        <is>
          <t>Ausgaben</t>
        </is>
      </c>
      <c r="D666" t="inlineStr">
        <is>
          <t>Büromaterial</t>
        </is>
      </c>
      <c r="E666" s="9" t="inlineStr">
        <is>
          <t>0893-20211118-01-8116</t>
        </is>
      </c>
      <c r="G666" s="1" t="n">
        <v>44518</v>
      </c>
      <c r="H666" t="inlineStr">
        <is>
          <t>"Libro" PL Handelsgesellschaft mbH, 1080 Wien, Josefstädter Straße 105, ATU 56240311</t>
        </is>
      </c>
      <c r="K666">
        <f>(IF(AND(I666&lt;&gt;"",AND(J666="",ABS(Q666)&gt;400)),TRUE,FALSE))</f>
        <v/>
      </c>
      <c r="L666" s="214" t="n">
        <v>10.32</v>
      </c>
      <c r="M666" s="159" t="n">
        <v>1</v>
      </c>
      <c r="N666" t="n">
        <v>20</v>
      </c>
      <c r="O666" s="237">
        <f>L666*N666/100</f>
        <v/>
      </c>
      <c r="P666" s="237">
        <f>M666*O666</f>
        <v/>
      </c>
      <c r="Q666" s="208">
        <f>L666*M666</f>
        <v/>
      </c>
      <c r="R666" s="251">
        <f>L666+O666</f>
        <v/>
      </c>
      <c r="S666" s="251">
        <f>Q666+P666</f>
        <v/>
      </c>
      <c r="T666" s="35">
        <f>voranmeldefrist_vierteljaehrlich(G666)</f>
        <v/>
      </c>
      <c r="U666" s="27" t="n"/>
      <c r="V666" s="27" t="n"/>
      <c r="W666" s="210">
        <f>IF(K666=TRUE,Q666/J666,Q666)</f>
        <v/>
      </c>
      <c r="X666" s="237">
        <f>V666/100*S666</f>
        <v/>
      </c>
      <c r="Y666">
        <f>IF(AND(V666&gt;0,N666=V666),TRUE,FALSE)</f>
        <v/>
      </c>
      <c r="Z666" s="228">
        <f>IF(C666="Einnahmen",Q666,-Q666)</f>
        <v/>
      </c>
    </row>
    <row r="667">
      <c r="A667" s="53" t="n">
        <v>2022</v>
      </c>
      <c r="B667" s="53" t="n">
        <v>1</v>
      </c>
      <c r="C667" s="71" t="inlineStr">
        <is>
          <t>Ausgaben</t>
        </is>
      </c>
      <c r="D667" t="inlineStr">
        <is>
          <t>Telefon/Internet</t>
        </is>
      </c>
      <c r="E667" s="9" t="inlineStr">
        <is>
          <t>6234885951</t>
        </is>
      </c>
      <c r="G667" s="1" t="n">
        <v>44564</v>
      </c>
      <c r="H667" t="inlineStr">
        <is>
          <t>Hutchison Drei Austria GmbH, Brünner Straße 52, 1210 Wien, Österreich</t>
        </is>
      </c>
      <c r="K667">
        <f>(IF(AND(I667&lt;&gt;"",AND(J667="",ABS(Q667)&gt;400)),TRUE,FALSE))</f>
        <v/>
      </c>
      <c r="L667" s="214" t="n">
        <v>15</v>
      </c>
      <c r="M667" s="159" t="n">
        <v>1</v>
      </c>
      <c r="N667" t="n">
        <v>20</v>
      </c>
      <c r="O667" s="237">
        <f>L667*N667/100</f>
        <v/>
      </c>
      <c r="P667" s="237">
        <f>M667*O667</f>
        <v/>
      </c>
      <c r="Q667" s="208">
        <f>L667*M667</f>
        <v/>
      </c>
      <c r="R667" s="251">
        <f>L667+O667</f>
        <v/>
      </c>
      <c r="S667" s="251">
        <f>Q667+P667</f>
        <v/>
      </c>
      <c r="T667" s="35">
        <f>voranmeldefrist_vierteljaehrlich(G667)</f>
        <v/>
      </c>
      <c r="U667" s="27" t="n"/>
      <c r="V667" s="27" t="n"/>
      <c r="W667" s="210">
        <f>IF(K667=TRUE,Q667/I667,Q667)</f>
        <v/>
      </c>
      <c r="X667" s="237">
        <f>V667/100*S667</f>
        <v/>
      </c>
      <c r="Y667">
        <f>IF(AND(V667&gt;0,N667=V667),TRUE,FALSE)</f>
        <v/>
      </c>
      <c r="Z667" s="228">
        <f>IF(C667="Einnahmen",Q667,-Q667)</f>
        <v/>
      </c>
      <c r="AB667">
        <f>S667=L667*(100+N667)%</f>
        <v/>
      </c>
    </row>
    <row r="668">
      <c r="A668" s="53" t="n">
        <v>2022</v>
      </c>
      <c r="B668" s="53" t="n">
        <v>2</v>
      </c>
      <c r="C668" s="71" t="inlineStr">
        <is>
          <t>Ausgaben</t>
        </is>
      </c>
      <c r="D668" t="inlineStr">
        <is>
          <t>sonstige Betriebsausgaben</t>
        </is>
      </c>
      <c r="E668" s="9" t="inlineStr">
        <is>
          <t>4041935102</t>
        </is>
      </c>
      <c r="G668" s="1" t="n">
        <v>44564</v>
      </c>
      <c r="H668" t="inlineStr">
        <is>
          <t>Google Ireland Ltd, Gordon House, Barrow Street, Dublin 4, Ireland; VAT number: IE 6388047V</t>
        </is>
      </c>
      <c r="K668" t="b">
        <v>0</v>
      </c>
      <c r="L668" s="214" t="n">
        <v>10.4</v>
      </c>
      <c r="M668" s="159" t="n">
        <v>1</v>
      </c>
      <c r="N668" t="n">
        <v>0</v>
      </c>
      <c r="O668" s="237">
        <f>L668*N668/100</f>
        <v/>
      </c>
      <c r="P668" s="237">
        <f>M668*O668</f>
        <v/>
      </c>
      <c r="Q668" s="208">
        <f>L668*M668</f>
        <v/>
      </c>
      <c r="R668" s="251">
        <f>L668+O668</f>
        <v/>
      </c>
      <c r="S668" s="251">
        <f>Q668+P668</f>
        <v/>
      </c>
      <c r="T668" s="35">
        <f>voranmeldefrist_vierteljaehrlich(G668)</f>
        <v/>
      </c>
      <c r="U668" s="27" t="n"/>
      <c r="V668" s="27" t="n">
        <v>20</v>
      </c>
      <c r="W668" s="210">
        <f>IF(K668=TRUE,Q668/I668,Q668)</f>
        <v/>
      </c>
      <c r="X668" s="237">
        <f>V668/100*S668</f>
        <v/>
      </c>
      <c r="Y668">
        <f>IF(AND(V668&gt;0,N668=V668),TRUE,FALSE)</f>
        <v/>
      </c>
      <c r="Z668" s="228">
        <f>IF(C668="Einnahmen",Q668,-Q668)</f>
        <v/>
      </c>
      <c r="AB668">
        <f>S668=L668*(100+N668)%</f>
        <v/>
      </c>
    </row>
    <row r="669">
      <c r="A669" s="53" t="n">
        <v>2022</v>
      </c>
      <c r="B669" s="53" t="n">
        <v>3</v>
      </c>
      <c r="C669" s="71" t="inlineStr">
        <is>
          <t>Einnahmen</t>
        </is>
      </c>
      <c r="D669" t="inlineStr">
        <is>
          <t>Waren-/Leistungserlöse</t>
        </is>
      </c>
      <c r="E669" s="9" t="inlineStr">
        <is>
          <t>12021034</t>
        </is>
      </c>
      <c r="G669" s="1" t="n">
        <v>44565</v>
      </c>
      <c r="H669" t="inlineStr">
        <is>
          <t>DCF - Digital Coding Factory GmbH, Bauernfeldgasse 4/12 1090 Wien</t>
        </is>
      </c>
      <c r="K669">
        <f>(IF(AND(I669&lt;&gt;"",AND(J669="",ABS(Q669)&gt;400)),TRUE,FALSE))</f>
        <v/>
      </c>
      <c r="L669" s="214" t="n">
        <v>14.94</v>
      </c>
      <c r="M669" s="159" t="n">
        <v>1</v>
      </c>
      <c r="N669" t="n">
        <v>20</v>
      </c>
      <c r="O669" s="237">
        <f>L669*N669/100</f>
        <v/>
      </c>
      <c r="P669" s="237">
        <f>M669*O669</f>
        <v/>
      </c>
      <c r="Q669" s="208">
        <f>L669*M669</f>
        <v/>
      </c>
      <c r="R669" s="251">
        <f>L669+O669</f>
        <v/>
      </c>
      <c r="S669" s="251">
        <f>Q669+P669</f>
        <v/>
      </c>
      <c r="T669" s="35">
        <f>voranmeldefrist_vierteljaehrlich(G669)</f>
        <v/>
      </c>
      <c r="U669" s="27" t="n"/>
      <c r="V669" s="27" t="n"/>
      <c r="W669" s="210">
        <f>IF(K669=TRUE,Q669/I669,Q669)</f>
        <v/>
      </c>
      <c r="X669" s="237">
        <f>V669/100*S669</f>
        <v/>
      </c>
      <c r="Y669">
        <f>IF(AND(V669&gt;0,N669=V669),TRUE,FALSE)</f>
        <v/>
      </c>
      <c r="Z669" s="228">
        <f>IF(C669="Einnahmen",Q669,-Q669)</f>
        <v/>
      </c>
      <c r="AB669">
        <f>S669=L669*(100+N669)%</f>
        <v/>
      </c>
    </row>
    <row r="670">
      <c r="A670" s="53" t="n">
        <v>2022</v>
      </c>
      <c r="B670" s="53" t="n">
        <v>4</v>
      </c>
      <c r="C670" s="71" t="inlineStr">
        <is>
          <t>Ausgaben</t>
        </is>
      </c>
      <c r="D670" t="inlineStr">
        <is>
          <t>Miet- und Pachtaufwand, Leasing</t>
        </is>
      </c>
      <c r="G670" s="1" t="n">
        <v>44564</v>
      </c>
      <c r="H670" t="inlineStr">
        <is>
          <t>Bontus Immobilienverwaltung GmbH, 1010 Wien, Franz Josefs Kai 65</t>
        </is>
      </c>
      <c r="K670" t="b">
        <v>0</v>
      </c>
      <c r="L670" s="233">
        <f>574.43/1.2</f>
        <v/>
      </c>
      <c r="M670" s="159" t="n">
        <v>1</v>
      </c>
      <c r="N670" t="n">
        <v>20</v>
      </c>
      <c r="O670" s="237">
        <f>L670*N670/100</f>
        <v/>
      </c>
      <c r="P670" s="237">
        <f>M670*O670</f>
        <v/>
      </c>
      <c r="Q670" s="208">
        <f>L670*M670</f>
        <v/>
      </c>
      <c r="R670" s="251">
        <f>L670+O670</f>
        <v/>
      </c>
      <c r="S670" s="251">
        <f>Q670+P670</f>
        <v/>
      </c>
      <c r="T670" s="35">
        <f>voranmeldefrist_vierteljaehrlich(G670)</f>
        <v/>
      </c>
      <c r="U670" s="27" t="n"/>
      <c r="V670" s="27" t="n"/>
      <c r="W670" s="210">
        <f>IF(K670=TRUE,Q670/J670,Q670)</f>
        <v/>
      </c>
      <c r="X670" s="237">
        <f>V670/100*S670</f>
        <v/>
      </c>
      <c r="Y670">
        <f>IF(AND(V670&gt;0,N670=V670),TRUE,FALSE)</f>
        <v/>
      </c>
      <c r="Z670" s="228">
        <f>IF(C670="Einnahmen",Q670,-Q670)</f>
        <v/>
      </c>
      <c r="AB670">
        <f>S670=L670*(100+N670)%</f>
        <v/>
      </c>
    </row>
    <row r="671">
      <c r="A671" s="53" t="n">
        <v>2022</v>
      </c>
      <c r="B671" s="53" t="n">
        <v>5</v>
      </c>
      <c r="C671" s="71" t="inlineStr">
        <is>
          <t>Einnahmen</t>
        </is>
      </c>
      <c r="D671" t="inlineStr">
        <is>
          <t>Waren-/Leistungserlöse</t>
        </is>
      </c>
      <c r="E671" s="9" t="inlineStr">
        <is>
          <t>12021033</t>
        </is>
      </c>
      <c r="G671" s="1" t="n">
        <v>44566</v>
      </c>
      <c r="H671" t="inlineStr">
        <is>
          <t>H. Jaros e.U., Kohlmarkt 16/2/2/15a, 1010 Wien</t>
        </is>
      </c>
      <c r="K671">
        <f>(IF(AND(I671&lt;&gt;"",AND(J671="",ABS(Q671)&gt;400)),TRUE,FALSE))</f>
        <v/>
      </c>
      <c r="L671" s="214" t="n">
        <v>87.5</v>
      </c>
      <c r="M671" s="159" t="n">
        <v>1</v>
      </c>
      <c r="N671" t="n">
        <v>20</v>
      </c>
      <c r="O671" s="237">
        <f>L671*N671/100</f>
        <v/>
      </c>
      <c r="P671" s="237">
        <f>M671*O671</f>
        <v/>
      </c>
      <c r="Q671" s="208">
        <f>L671*M671</f>
        <v/>
      </c>
      <c r="R671" s="251">
        <f>L671+O671</f>
        <v/>
      </c>
      <c r="S671" s="251">
        <f>Q671+P671</f>
        <v/>
      </c>
      <c r="T671" s="35">
        <f>voranmeldefrist_vierteljaehrlich(G671)</f>
        <v/>
      </c>
      <c r="U671" s="27" t="n"/>
      <c r="V671" s="27" t="n"/>
      <c r="W671" s="210">
        <f>IF(K671=TRUE,Q671/J671,Q671)</f>
        <v/>
      </c>
      <c r="X671" s="237">
        <f>V671/100*S671</f>
        <v/>
      </c>
      <c r="Y671">
        <f>IF(AND(V671&gt;0,N671=V671),TRUE,FALSE)</f>
        <v/>
      </c>
      <c r="Z671" s="228">
        <f>IF(C671="Einnahmen",Q671,-Q671)</f>
        <v/>
      </c>
      <c r="AB671">
        <f>S671=L671*(100+N671)%</f>
        <v/>
      </c>
    </row>
    <row r="672">
      <c r="A672" s="53" t="n">
        <v>2022</v>
      </c>
      <c r="B672" s="53" t="n">
        <v>6</v>
      </c>
      <c r="C672" s="71" t="inlineStr">
        <is>
          <t>Ausgaben</t>
        </is>
      </c>
      <c r="D672" t="inlineStr">
        <is>
          <t>Miet- und Pachtaufwand, Leasing</t>
        </is>
      </c>
      <c r="E672" s="139" t="inlineStr">
        <is>
          <t>HKA/20-01-58835</t>
        </is>
      </c>
      <c r="G672" s="1" t="n">
        <v>44566</v>
      </c>
      <c r="H672" t="inlineStr">
        <is>
          <t>Techem Messtechnik GmbH; Abnehmernummer 501686-0003-11-</t>
        </is>
      </c>
      <c r="K672" t="b">
        <v>0</v>
      </c>
      <c r="L672" s="214" t="n">
        <v>74</v>
      </c>
      <c r="M672" s="159" t="n">
        <v>1</v>
      </c>
      <c r="N672" t="n">
        <v>20</v>
      </c>
      <c r="O672" s="237">
        <f>L672*N672/100</f>
        <v/>
      </c>
      <c r="P672" s="237">
        <f>M672*O672</f>
        <v/>
      </c>
      <c r="Q672" s="208">
        <f>L672*M672</f>
        <v/>
      </c>
      <c r="R672" s="251">
        <f>L672+O672</f>
        <v/>
      </c>
      <c r="S672" s="251">
        <f>Q672+P672</f>
        <v/>
      </c>
      <c r="T672" s="35">
        <f>voranmeldefrist_vierteljaehrlich(G672)</f>
        <v/>
      </c>
      <c r="U672" s="27" t="n"/>
      <c r="V672" s="27" t="n"/>
      <c r="W672" s="210">
        <f>IF(K672=TRUE,Q672/J672,Q672)</f>
        <v/>
      </c>
      <c r="X672" s="237">
        <f>V672/100*S672</f>
        <v/>
      </c>
      <c r="Y672">
        <f>IF(AND(V672&gt;0,N672=V672),TRUE,FALSE)</f>
        <v/>
      </c>
      <c r="Z672" s="228">
        <f>IF(C672="Einnahmen",Q672,-Q672)</f>
        <v/>
      </c>
      <c r="AB672">
        <f>S672=L672*(100+N672)%</f>
        <v/>
      </c>
    </row>
    <row r="673">
      <c r="A673" s="53" t="n">
        <v>2022</v>
      </c>
      <c r="B673" s="53" t="n">
        <v>7</v>
      </c>
      <c r="C673" s="71" t="inlineStr">
        <is>
          <t>Ausgaben</t>
        </is>
      </c>
      <c r="D673" t="inlineStr">
        <is>
          <t>sonstige Betriebsausgaben</t>
        </is>
      </c>
      <c r="E673" s="6" t="inlineStr">
        <is>
          <t>R0014890736</t>
        </is>
      </c>
      <c r="G673" s="1" t="n">
        <v>44568</v>
      </c>
      <c r="H673" t="inlineStr">
        <is>
          <t>Hetzner Online GmbH</t>
        </is>
      </c>
      <c r="J673" s="76" t="inlineStr">
        <is>
          <t>ja</t>
        </is>
      </c>
      <c r="K673">
        <f>(IF(AND(I673&lt;&gt;"",AND(J673="",ABS(Q673)&gt;400)),TRUE,FALSE))</f>
        <v/>
      </c>
      <c r="L673" s="214" t="n">
        <v>2.49</v>
      </c>
      <c r="M673" s="159" t="n">
        <v>1</v>
      </c>
      <c r="N673" t="n">
        <v>0</v>
      </c>
      <c r="O673" s="237">
        <f>L673*N673/100</f>
        <v/>
      </c>
      <c r="P673" s="237">
        <f>M673*O673</f>
        <v/>
      </c>
      <c r="Q673" s="208">
        <f>L673*M673</f>
        <v/>
      </c>
      <c r="R673" s="251">
        <f>L673+O673</f>
        <v/>
      </c>
      <c r="S673" s="251">
        <f>Q673+P673</f>
        <v/>
      </c>
      <c r="T673" s="35">
        <f>voranmeldefrist_vierteljaehrlich(G673)</f>
        <v/>
      </c>
      <c r="U673" s="27" t="n"/>
      <c r="V673" s="27" t="n">
        <v>20</v>
      </c>
      <c r="W673" s="210">
        <f>IF(K673=TRUE,Q673/J673,Q673)</f>
        <v/>
      </c>
      <c r="X673" s="237">
        <f>V673/100*S673</f>
        <v/>
      </c>
      <c r="Y673">
        <f>IF(AND(V673&gt;0,N673=V673),TRUE,FALSE)</f>
        <v/>
      </c>
      <c r="Z673" s="228">
        <f>IF(C673="Einnahmen",Q673,-Q673)</f>
        <v/>
      </c>
      <c r="AB673">
        <f>S673=L673*(100+N673)%</f>
        <v/>
      </c>
    </row>
    <row r="674">
      <c r="A674" s="53" t="n">
        <v>2022</v>
      </c>
      <c r="B674" s="53" t="n">
        <v>8</v>
      </c>
      <c r="C674" s="71" t="inlineStr">
        <is>
          <t>Ausgaben</t>
        </is>
      </c>
      <c r="D674" t="inlineStr">
        <is>
          <t>sonstige Betriebsausgaben</t>
        </is>
      </c>
      <c r="E674" s="139" t="inlineStr">
        <is>
          <t>60793/100/2021</t>
        </is>
      </c>
      <c r="G674" s="1" t="n">
        <v>44568</v>
      </c>
      <c r="H674" t="inlineStr">
        <is>
          <t>easy green energy GmbH &amp; Co KG</t>
        </is>
      </c>
      <c r="K674">
        <f>(IF(AND(I674&lt;&gt;"",AND(J674="",ABS(Q674)&gt;400)),TRUE,FALSE))</f>
        <v/>
      </c>
      <c r="L674" s="214" t="n">
        <v>2.5</v>
      </c>
      <c r="M674" s="159" t="n">
        <v>1</v>
      </c>
      <c r="N674" t="n">
        <v>20</v>
      </c>
      <c r="O674" s="237">
        <f>L674*N674/100</f>
        <v/>
      </c>
      <c r="P674" s="237">
        <f>M674*O674</f>
        <v/>
      </c>
      <c r="Q674" s="208">
        <f>L674*M674</f>
        <v/>
      </c>
      <c r="R674" s="251">
        <f>L674+O674</f>
        <v/>
      </c>
      <c r="S674" s="251">
        <f>Q674+P674</f>
        <v/>
      </c>
      <c r="T674" s="35">
        <f>voranmeldefrist_vierteljaehrlich(G674)</f>
        <v/>
      </c>
      <c r="U674" s="27" t="n"/>
      <c r="V674" s="27" t="n"/>
      <c r="W674" s="210">
        <f>IF(K674=TRUE,Q674/J674,Q674)</f>
        <v/>
      </c>
      <c r="X674" s="237">
        <f>V674/100*S674</f>
        <v/>
      </c>
      <c r="Y674">
        <f>IF(AND(V674&gt;0,N674=V674),TRUE,FALSE)</f>
        <v/>
      </c>
      <c r="Z674" s="228">
        <f>IF(C674="Einnahmen",Q674,-Q674)</f>
        <v/>
      </c>
      <c r="AB674">
        <f>S674=L674*(100+N674)%</f>
        <v/>
      </c>
    </row>
    <row r="675">
      <c r="A675" s="53" t="n">
        <v>2022</v>
      </c>
      <c r="B675" s="53" t="n">
        <v>9</v>
      </c>
      <c r="C675" s="71" t="inlineStr">
        <is>
          <t>Einnahmen</t>
        </is>
      </c>
      <c r="D675" t="inlineStr">
        <is>
          <t>Waren-/Leistungserlöse</t>
        </is>
      </c>
      <c r="E675" t="n">
        <v>12021035</v>
      </c>
      <c r="G675" s="1" t="n">
        <v>44568</v>
      </c>
      <c r="H675" t="inlineStr">
        <is>
          <t>Schick Küchendesign e.U. Alexander Schick, Linzerstraße 247, 1140 Wien</t>
        </is>
      </c>
      <c r="K675">
        <f>(IF(AND(I675&lt;&gt;"",AND(J675="",ABS(Q675)&gt;400)),TRUE,FALSE))</f>
        <v/>
      </c>
      <c r="L675" s="214" t="n">
        <v>448.5</v>
      </c>
      <c r="M675" s="159" t="n">
        <v>1</v>
      </c>
      <c r="N675" t="n">
        <v>20</v>
      </c>
      <c r="O675" s="237">
        <f>L675*N675/100</f>
        <v/>
      </c>
      <c r="P675" s="237">
        <f>M675*O675</f>
        <v/>
      </c>
      <c r="Q675" s="208">
        <f>L675*M675</f>
        <v/>
      </c>
      <c r="R675" s="251">
        <f>L675+O675</f>
        <v/>
      </c>
      <c r="S675" s="251">
        <f>Q675+P675</f>
        <v/>
      </c>
      <c r="T675" s="35">
        <f>voranmeldefrist_vierteljaehrlich(G675)</f>
        <v/>
      </c>
      <c r="U675" s="27" t="n"/>
      <c r="V675" s="27" t="n"/>
      <c r="W675" s="210">
        <f>IF(K675=TRUE,Q675/J675,Q675)</f>
        <v/>
      </c>
      <c r="X675" s="237">
        <f>V675/100*S675</f>
        <v/>
      </c>
      <c r="Y675">
        <f>IF(AND(V675&gt;0,N675=V675),TRUE,FALSE)</f>
        <v/>
      </c>
      <c r="Z675" s="228">
        <f>IF(C675="Einnahmen",Q675,-Q675)</f>
        <v/>
      </c>
      <c r="AB675">
        <f>S675=L675*(100+N675)%</f>
        <v/>
      </c>
    </row>
    <row r="676">
      <c r="A676" s="53" t="n">
        <v>2022</v>
      </c>
      <c r="B676" s="53" t="n">
        <v>10</v>
      </c>
      <c r="C676" s="71" t="inlineStr">
        <is>
          <t>Ausgaben</t>
        </is>
      </c>
      <c r="D676" t="inlineStr">
        <is>
          <t>sonstige Betriebsausgaben</t>
        </is>
      </c>
      <c r="E676" s="139" t="inlineStr">
        <is>
          <t>220008996902</t>
        </is>
      </c>
      <c r="G676" s="1" t="n">
        <v>44571</v>
      </c>
      <c r="H676" t="inlineStr">
        <is>
          <t>Wiener Netze GmbH, Erdbergstraße 236, 1110 Wien, Postfach 422; Jahresabrechnung vom 17.12.20: GUTSCHRIFT</t>
        </is>
      </c>
      <c r="K676">
        <f>(IF(AND(I676&lt;&gt;"",AND(J676="",ABS(Q676)&gt;400)),TRUE,FALSE))</f>
        <v/>
      </c>
      <c r="L676" s="214" t="n">
        <v>8.18</v>
      </c>
      <c r="M676" s="159" t="n">
        <v>1</v>
      </c>
      <c r="N676" t="n">
        <v>20</v>
      </c>
      <c r="O676" s="237">
        <f>L676*N676/100</f>
        <v/>
      </c>
      <c r="P676" s="237">
        <f>M676*O676</f>
        <v/>
      </c>
      <c r="Q676" s="208">
        <f>L676*M676</f>
        <v/>
      </c>
      <c r="R676" s="251">
        <f>L676+O676</f>
        <v/>
      </c>
      <c r="S676" s="251">
        <f>Q676+P676</f>
        <v/>
      </c>
      <c r="T676" s="35">
        <f>voranmeldefrist_vierteljaehrlich(G676)</f>
        <v/>
      </c>
      <c r="U676" s="27" t="n"/>
      <c r="V676" s="27" t="n"/>
      <c r="W676" s="210">
        <f>IF(K676=TRUE,Q676/J676,Q676)</f>
        <v/>
      </c>
      <c r="X676" s="237">
        <f>V676/100*S676</f>
        <v/>
      </c>
      <c r="Y676">
        <f>IF(AND(V676&gt;0,N676=V676),TRUE,FALSE)</f>
        <v/>
      </c>
      <c r="Z676" s="228">
        <f>IF(C676="Einnahmen",Q676,-Q676)</f>
        <v/>
      </c>
      <c r="AB676">
        <f>S676=L676*(100+N676)%</f>
        <v/>
      </c>
    </row>
    <row r="677">
      <c r="A677" s="53" t="n">
        <v>2022</v>
      </c>
      <c r="B677" s="53" t="n">
        <v>11</v>
      </c>
      <c r="C677" s="71" t="inlineStr">
        <is>
          <t>Ausgaben</t>
        </is>
      </c>
      <c r="D677" t="inlineStr">
        <is>
          <t>sonstige Betriebsausgaben</t>
        </is>
      </c>
      <c r="E677" s="9" t="inlineStr">
        <is>
          <t>R00014950471</t>
        </is>
      </c>
      <c r="G677" s="1" t="n">
        <v>44574</v>
      </c>
      <c r="H677" t="inlineStr">
        <is>
          <t>Hetzner Online GmbH</t>
        </is>
      </c>
      <c r="K677">
        <f>(IF(AND(I677&lt;&gt;"",AND(J677="",ABS(Q677)&gt;400)),TRUE,FALSE))</f>
        <v/>
      </c>
      <c r="L677" s="214" t="n">
        <v>47.7765</v>
      </c>
      <c r="M677" s="159" t="n">
        <v>1</v>
      </c>
      <c r="N677" t="n">
        <v>0</v>
      </c>
      <c r="O677" s="237">
        <f>L677*N677/100</f>
        <v/>
      </c>
      <c r="P677" s="237">
        <f>M677*O677</f>
        <v/>
      </c>
      <c r="Q677" s="208">
        <f>L677*M677</f>
        <v/>
      </c>
      <c r="R677" s="251">
        <f>L677+O677</f>
        <v/>
      </c>
      <c r="S677" s="251">
        <f>Q677+P677</f>
        <v/>
      </c>
      <c r="T677" s="35">
        <f>voranmeldefrist_vierteljaehrlich(G677)</f>
        <v/>
      </c>
      <c r="U677" s="27" t="n"/>
      <c r="V677" s="27" t="n">
        <v>20</v>
      </c>
      <c r="W677" s="210">
        <f>IF(K677=TRUE,Q677/J677,Q677)</f>
        <v/>
      </c>
      <c r="X677" s="237">
        <f>V677/100*S677</f>
        <v/>
      </c>
      <c r="Y677">
        <f>IF(AND(V677&gt;0,N677=V677),TRUE,FALSE)</f>
        <v/>
      </c>
      <c r="Z677" s="228">
        <f>IF(C677="Einnahmen",Q677,-Q677)</f>
        <v/>
      </c>
      <c r="AB677">
        <f>S677=L677*(100+N677)%</f>
        <v/>
      </c>
    </row>
    <row r="678">
      <c r="A678" s="53" t="n">
        <v>2022</v>
      </c>
      <c r="B678" s="53" t="n">
        <v>12</v>
      </c>
      <c r="C678" s="71" t="inlineStr">
        <is>
          <t>Einnahmen</t>
        </is>
      </c>
      <c r="D678" t="inlineStr">
        <is>
          <t>Waren-/Leistungserlöse</t>
        </is>
      </c>
      <c r="E678" s="9" t="inlineStr">
        <is>
          <t>168041072</t>
        </is>
      </c>
      <c r="G678" s="1" t="n">
        <v>44574</v>
      </c>
      <c r="H678" t="inlineStr">
        <is>
          <t>Hays Österreich GmbH, Bahnhof City Wien West , Europaplatz 3/5, 1150 Wien</t>
        </is>
      </c>
      <c r="K678">
        <f>(IF(AND(I678&lt;&gt;"",AND(J678="",ABS(Q678)&gt;400)),TRUE,FALSE))</f>
        <v/>
      </c>
      <c r="L678" s="214" t="n">
        <v>3997.5</v>
      </c>
      <c r="M678" s="159" t="n">
        <v>1</v>
      </c>
      <c r="N678" t="n">
        <v>20</v>
      </c>
      <c r="O678" s="237">
        <f>L678*N678/100</f>
        <v/>
      </c>
      <c r="P678" s="237">
        <f>M678*O678</f>
        <v/>
      </c>
      <c r="Q678" s="208">
        <f>L678*M678</f>
        <v/>
      </c>
      <c r="R678" s="251">
        <f>L678+O678</f>
        <v/>
      </c>
      <c r="S678" s="251">
        <f>Q678+P678</f>
        <v/>
      </c>
      <c r="T678" s="35">
        <f>voranmeldefrist_vierteljaehrlich(G678)</f>
        <v/>
      </c>
      <c r="U678" s="27" t="n"/>
      <c r="V678" s="27" t="n">
        <v>20</v>
      </c>
      <c r="W678" s="210">
        <f>IF(K678=TRUE,Q678/J678,Q678)</f>
        <v/>
      </c>
      <c r="X678" s="237">
        <f>V678/100*S678</f>
        <v/>
      </c>
      <c r="Y678">
        <f>IF(AND(V678&gt;0,N678=V678),TRUE,FALSE)</f>
        <v/>
      </c>
      <c r="Z678" s="228">
        <f>IF(C678="Einnahmen",Q678,-Q678)</f>
        <v/>
      </c>
      <c r="AB678">
        <f>S678=L678*(100+N678)%</f>
        <v/>
      </c>
    </row>
    <row r="679">
      <c r="A679" s="53" t="n">
        <v>2022</v>
      </c>
      <c r="B679" s="53" t="n">
        <v>13</v>
      </c>
      <c r="C679" s="71" t="inlineStr">
        <is>
          <t>Ausgaben</t>
        </is>
      </c>
      <c r="D679" t="inlineStr">
        <is>
          <t>sonstige Betriebsausgaben</t>
        </is>
      </c>
      <c r="E679" s="153" t="inlineStr">
        <is>
          <t>siehe Jahresabrechnung</t>
        </is>
      </c>
      <c r="G679" s="1" t="n">
        <v>44575</v>
      </c>
      <c r="H679" t="inlineStr">
        <is>
          <t>easy green energy GmbH &amp; Co KG</t>
        </is>
      </c>
      <c r="K679">
        <f>(IF(AND(I679&lt;&gt;"",AND(J679="",ABS(Q679)&gt;400)),TRUE,FALSE))</f>
        <v/>
      </c>
      <c r="L679" s="233">
        <f>9.04/1.2</f>
        <v/>
      </c>
      <c r="M679" s="159" t="n">
        <v>1</v>
      </c>
      <c r="N679" t="n">
        <v>20</v>
      </c>
      <c r="O679" s="237">
        <f>L679*N679/100</f>
        <v/>
      </c>
      <c r="P679" s="237">
        <f>M679*O679</f>
        <v/>
      </c>
      <c r="Q679" s="208">
        <f>L679*M679</f>
        <v/>
      </c>
      <c r="R679" s="251">
        <f>L679+O679</f>
        <v/>
      </c>
      <c r="S679" s="251">
        <f>Q679+P679</f>
        <v/>
      </c>
      <c r="T679" s="35">
        <f>voranmeldefrist_vierteljaehrlich(G679)</f>
        <v/>
      </c>
      <c r="U679" s="27" t="n"/>
      <c r="V679" s="27" t="n"/>
      <c r="W679" s="210">
        <f>IF(K679=TRUE,Q679/J679,Q679)</f>
        <v/>
      </c>
      <c r="X679" s="237">
        <f>V679/100*S679</f>
        <v/>
      </c>
      <c r="Y679">
        <f>IF(AND(V679&gt;0,N679=V679),TRUE,FALSE)</f>
        <v/>
      </c>
      <c r="Z679" s="228">
        <f>IF(C679="Einnahmen",Q679,-Q679)</f>
        <v/>
      </c>
      <c r="AB679">
        <f>S679=L679*(100+N679)%</f>
        <v/>
      </c>
    </row>
    <row r="680">
      <c r="A680" s="53" t="n">
        <v>2022</v>
      </c>
      <c r="B680" s="53" t="n">
        <v>14</v>
      </c>
      <c r="C680" s="71" t="inlineStr">
        <is>
          <t>Ausgaben</t>
        </is>
      </c>
      <c r="D680" t="inlineStr">
        <is>
          <t>sonstige Betriebsausgaben</t>
        </is>
      </c>
      <c r="E680" s="9" t="inlineStr">
        <is>
          <t>kein Beleg wie immer</t>
        </is>
      </c>
      <c r="G680" s="1" t="n">
        <v>44575</v>
      </c>
      <c r="H680" t="inlineStr">
        <is>
          <t>Aon Austria GmbH UBIT Haftpflicht</t>
        </is>
      </c>
      <c r="K680">
        <f>(IF(AND(I680&lt;&gt;"",AND(J680="",ABS(Q680)&gt;400)),TRUE,FALSE))</f>
        <v/>
      </c>
      <c r="L680" s="214" t="n">
        <v>265.08</v>
      </c>
      <c r="M680" s="159" t="n">
        <v>1</v>
      </c>
      <c r="N680" t="n">
        <v>0</v>
      </c>
      <c r="O680" s="237">
        <f>L680*N680/100</f>
        <v/>
      </c>
      <c r="P680" s="237">
        <f>M680*O680</f>
        <v/>
      </c>
      <c r="Q680" s="208">
        <f>L680*M680</f>
        <v/>
      </c>
      <c r="R680" s="251">
        <f>L680+O680</f>
        <v/>
      </c>
      <c r="S680" s="251">
        <f>Q680+P680</f>
        <v/>
      </c>
      <c r="T680" s="35">
        <f>voranmeldefrist_vierteljaehrlich(G680)</f>
        <v/>
      </c>
      <c r="U680" s="27" t="n"/>
      <c r="V680" s="27" t="n"/>
      <c r="W680" s="210">
        <f>IF(K680=TRUE,Q680/J680,Q680)</f>
        <v/>
      </c>
      <c r="X680" s="237">
        <f>V680/100*S680</f>
        <v/>
      </c>
      <c r="Y680">
        <f>IF(AND(V680&gt;0,N680=V680),TRUE,FALSE)</f>
        <v/>
      </c>
      <c r="Z680" s="228">
        <f>IF(C680="Einnahmen",Q680,-Q680)</f>
        <v/>
      </c>
      <c r="AB680">
        <f>S680=L680*(100+N680)%</f>
        <v/>
      </c>
    </row>
    <row r="681">
      <c r="A681" s="53" t="n">
        <v>2022</v>
      </c>
      <c r="B681" s="53" t="n">
        <v>15</v>
      </c>
      <c r="C681" s="71" t="inlineStr">
        <is>
          <t>Ausgaben</t>
        </is>
      </c>
      <c r="D681" t="inlineStr">
        <is>
          <t>sonstige Betriebsausgaben</t>
        </is>
      </c>
      <c r="E681" s="6" t="inlineStr">
        <is>
          <t>E0600GXXZJ</t>
        </is>
      </c>
      <c r="G681" s="1" t="n">
        <v>44582</v>
      </c>
      <c r="H681" t="inlineStr">
        <is>
          <t>Microsoft Ireland Operations Ltd. One Microsoft Place, South County, Business Park, Leopardstown, Dublin 18, D18 P521, Ireland</t>
        </is>
      </c>
      <c r="K681">
        <f>(IF(AND(I681&lt;&gt;"",AND(J681="",ABS(Q681)&gt;400)),TRUE,FALSE))</f>
        <v/>
      </c>
      <c r="L681" s="214" t="n">
        <v>10.5</v>
      </c>
      <c r="M681" s="159" t="n">
        <v>1</v>
      </c>
      <c r="N681" t="n">
        <v>0</v>
      </c>
      <c r="O681" s="237">
        <f>L681*N681/100</f>
        <v/>
      </c>
      <c r="P681" s="237">
        <f>M681*O681</f>
        <v/>
      </c>
      <c r="Q681" s="208">
        <f>L681*M681</f>
        <v/>
      </c>
      <c r="R681" s="251">
        <f>L681+O681</f>
        <v/>
      </c>
      <c r="S681" s="251">
        <f>Q681+P681</f>
        <v/>
      </c>
      <c r="T681" s="35">
        <f>voranmeldefrist_vierteljaehrlich(G681)</f>
        <v/>
      </c>
      <c r="U681" s="27" t="n"/>
      <c r="V681" s="27" t="n">
        <v>20</v>
      </c>
      <c r="W681" s="210">
        <f>IF(K681=TRUE,Q681/J681,Q681)</f>
        <v/>
      </c>
      <c r="X681" s="237">
        <f>V681/100*S681</f>
        <v/>
      </c>
      <c r="Y681">
        <f>IF(AND(V681&gt;0,N681=V681),TRUE,FALSE)</f>
        <v/>
      </c>
      <c r="Z681" s="228">
        <f>IF(C681="Einnahmen",Q681,-Q681)</f>
        <v/>
      </c>
      <c r="AB681">
        <f>S681=L681*(100+N681)%</f>
        <v/>
      </c>
    </row>
    <row r="682">
      <c r="A682" s="53" t="n">
        <v>2022</v>
      </c>
      <c r="B682" s="53" t="n">
        <v>16</v>
      </c>
      <c r="C682" s="71" t="inlineStr">
        <is>
          <t>Ausgaben</t>
        </is>
      </c>
      <c r="D682" t="inlineStr">
        <is>
          <t>Telefon/Internet</t>
        </is>
      </c>
      <c r="E682" s="131" t="inlineStr">
        <is>
          <t>901209161221</t>
        </is>
      </c>
      <c r="G682" s="1" t="n">
        <v>44585</v>
      </c>
      <c r="H682" t="inlineStr">
        <is>
          <t>Magenta: T-Mobile Austria GmbH, A-1120 Wien, PF 47</t>
        </is>
      </c>
      <c r="K682">
        <f>(IF(AND(I682&lt;&gt;"",AND(J682="",ABS(Q682)&gt;400)),TRUE,FALSE))</f>
        <v/>
      </c>
      <c r="L682" s="214" t="n">
        <v>31.92</v>
      </c>
      <c r="M682" s="159" t="n">
        <v>1</v>
      </c>
      <c r="N682" t="n">
        <v>20</v>
      </c>
      <c r="O682" s="237">
        <f>L682*N682/100</f>
        <v/>
      </c>
      <c r="P682" s="237">
        <f>M682*O682</f>
        <v/>
      </c>
      <c r="Q682" s="208">
        <f>L682*M682</f>
        <v/>
      </c>
      <c r="R682" s="251">
        <f>L682+O682</f>
        <v/>
      </c>
      <c r="S682" s="251">
        <f>Q682+P682</f>
        <v/>
      </c>
      <c r="T682" s="35">
        <f>voranmeldefrist_vierteljaehrlich(G682)</f>
        <v/>
      </c>
      <c r="U682" s="27" t="n"/>
      <c r="V682" s="27" t="n"/>
      <c r="W682" s="210">
        <f>IF(K682=TRUE,Q682/I682,Q682)</f>
        <v/>
      </c>
      <c r="X682" s="237">
        <f>V682/100*S682</f>
        <v/>
      </c>
      <c r="Y682">
        <f>IF(AND(V682&gt;0,N682=V682),TRUE,FALSE)</f>
        <v/>
      </c>
      <c r="Z682" s="228">
        <f>IF(C682="Einnahmen",Q682,-Q682)</f>
        <v/>
      </c>
      <c r="AB682">
        <f>S682=L682*(100+N682)%</f>
        <v/>
      </c>
    </row>
    <row r="683">
      <c r="A683" s="53" t="n">
        <v>2022</v>
      </c>
      <c r="B683" s="53" t="n">
        <v>17</v>
      </c>
      <c r="C683" s="71" t="inlineStr">
        <is>
          <t>Einnahmen</t>
        </is>
      </c>
      <c r="D683" t="inlineStr">
        <is>
          <t>Waren-/Leistungserlöse</t>
        </is>
      </c>
      <c r="E683" s="6" t="n">
        <v>12021036</v>
      </c>
      <c r="G683" s="1" t="n">
        <v>44585</v>
      </c>
      <c r="H683" t="inlineStr">
        <is>
          <t>Musikschule Bad Vöslau, Hauptstraße 14, 2540 Bad Vöslau</t>
        </is>
      </c>
      <c r="K683">
        <f>(IF(AND(I683&lt;&gt;"",AND(J683="",ABS(Q683)&gt;400)),TRUE,FALSE))</f>
        <v/>
      </c>
      <c r="L683" s="214" t="n">
        <v>92.11</v>
      </c>
      <c r="M683" s="159" t="n">
        <v>1</v>
      </c>
      <c r="N683" t="n">
        <v>20</v>
      </c>
      <c r="O683" s="237">
        <f>L683*N683/100</f>
        <v/>
      </c>
      <c r="P683" s="237">
        <f>M683*O683</f>
        <v/>
      </c>
      <c r="Q683" s="208">
        <f>L683*M683</f>
        <v/>
      </c>
      <c r="R683" s="251">
        <f>L683+O683</f>
        <v/>
      </c>
      <c r="S683" s="251">
        <f>Q683+P683</f>
        <v/>
      </c>
      <c r="T683" s="35">
        <f>voranmeldefrist_vierteljaehrlich(G683)</f>
        <v/>
      </c>
      <c r="U683" s="27" t="n"/>
      <c r="V683" s="27" t="n"/>
      <c r="W683" s="210">
        <f>IF(K683=TRUE,Q683/J683,Q683)</f>
        <v/>
      </c>
      <c r="X683" s="237">
        <f>V683/100*S683</f>
        <v/>
      </c>
      <c r="Y683">
        <f>IF(AND(V683&gt;0,N683=V683),TRUE,FALSE)</f>
        <v/>
      </c>
      <c r="Z683" s="228">
        <f>IF(C683="Einnahmen",Q683,-Q683)</f>
        <v/>
      </c>
      <c r="AB683">
        <f>S683=L683*(100+N683)%</f>
        <v/>
      </c>
    </row>
    <row r="684">
      <c r="A684" s="53" t="n">
        <v>2022</v>
      </c>
      <c r="B684" s="53" t="n">
        <v>18</v>
      </c>
      <c r="C684" s="71" t="inlineStr">
        <is>
          <t>Ausgaben</t>
        </is>
      </c>
      <c r="D684" t="inlineStr">
        <is>
          <t>sonstige Betriebsausgaben</t>
        </is>
      </c>
      <c r="E684" s="9" t="inlineStr">
        <is>
          <t>RE1081302</t>
        </is>
      </c>
      <c r="G684" s="1" t="n">
        <v>44587</v>
      </c>
      <c r="H684" t="inlineStr">
        <is>
          <t>easyname GmbH, Fernkorngasse 10/3/501, A-1100 Wien</t>
        </is>
      </c>
      <c r="K684">
        <f>(IF(AND(I684&lt;&gt;"",AND(J684="",ABS(Q684)&gt;400)),TRUE,FALSE))</f>
        <v/>
      </c>
      <c r="L684" s="214" t="n">
        <v>20.75</v>
      </c>
      <c r="M684" s="159" t="n">
        <v>1</v>
      </c>
      <c r="N684" t="n">
        <v>20</v>
      </c>
      <c r="O684" s="237">
        <f>L684*N684/100</f>
        <v/>
      </c>
      <c r="P684" s="237">
        <f>M684*O684</f>
        <v/>
      </c>
      <c r="Q684" s="208">
        <f>L684*M684</f>
        <v/>
      </c>
      <c r="R684" s="251">
        <f>L684+O684</f>
        <v/>
      </c>
      <c r="S684" s="251">
        <f>Q684+P684</f>
        <v/>
      </c>
      <c r="T684" s="35">
        <f>voranmeldefrist_vierteljaehrlich(G684)</f>
        <v/>
      </c>
      <c r="U684" s="27" t="n"/>
      <c r="V684" s="27" t="n"/>
      <c r="W684" s="210">
        <f>IF(K684=TRUE,Q684/J684,Q684)</f>
        <v/>
      </c>
      <c r="X684" s="237">
        <f>V684/100*S684</f>
        <v/>
      </c>
      <c r="Y684">
        <f>IF(AND(V684&gt;0,N684=V684),TRUE,FALSE)</f>
        <v/>
      </c>
      <c r="Z684" s="228">
        <f>IF(C684="Einnahmen",Q684,-Q684)</f>
        <v/>
      </c>
      <c r="AB684">
        <f>S684=L684*(100+N684)%</f>
        <v/>
      </c>
    </row>
    <row r="685">
      <c r="A685" s="53" t="n">
        <v>2022</v>
      </c>
      <c r="B685" s="53" t="n">
        <v>19</v>
      </c>
      <c r="C685" s="71" t="inlineStr">
        <is>
          <t>Ausgaben</t>
        </is>
      </c>
      <c r="D685" t="inlineStr">
        <is>
          <t>Waren, Rohstoffe, Hilfsstoffe</t>
        </is>
      </c>
      <c r="E685" s="9" t="inlineStr">
        <is>
          <t>862295</t>
        </is>
      </c>
      <c r="G685" s="1" t="n">
        <v>44593</v>
      </c>
      <c r="H685" t="inlineStr">
        <is>
          <t>Lemon Technologies GmbH, Unterweißenbach 181, 7330 Feldbach</t>
        </is>
      </c>
      <c r="K685">
        <f>(IF(AND(I685&lt;&gt;"",AND(J685="",ABS(Q685)&gt;400)),TRUE,FALSE))</f>
        <v/>
      </c>
      <c r="L685" s="214">
        <f>59.88/1.2</f>
        <v/>
      </c>
      <c r="M685" s="159" t="n">
        <v>1</v>
      </c>
      <c r="N685" t="n">
        <v>20</v>
      </c>
      <c r="O685" s="237">
        <f>L685*N685/100</f>
        <v/>
      </c>
      <c r="P685" s="237">
        <f>M685*O685</f>
        <v/>
      </c>
      <c r="Q685" s="208">
        <f>L685*M685</f>
        <v/>
      </c>
      <c r="R685" s="251">
        <f>L685+O685</f>
        <v/>
      </c>
      <c r="S685" s="251">
        <f>Q685+P685</f>
        <v/>
      </c>
      <c r="T685" s="35">
        <f>voranmeldefrist_vierteljaehrlich(G685)</f>
        <v/>
      </c>
      <c r="U685" s="27" t="n"/>
      <c r="V685" s="27" t="n"/>
      <c r="W685" s="210">
        <f>IF(K685=TRUE,Q685/I685,Q685)</f>
        <v/>
      </c>
      <c r="X685" s="237">
        <f>V685/100*S685</f>
        <v/>
      </c>
      <c r="Y685">
        <f>IF(AND(V685&gt;0,N685=V685),TRUE,FALSE)</f>
        <v/>
      </c>
      <c r="Z685" s="228">
        <f>IF(C685="Einnahmen",Q685,-Q685)</f>
        <v/>
      </c>
      <c r="AB685">
        <f>S685=L685*(100+N685)%</f>
        <v/>
      </c>
    </row>
    <row r="686">
      <c r="A686" s="53" t="n">
        <v>2022</v>
      </c>
      <c r="B686" s="53" t="n">
        <v>20</v>
      </c>
      <c r="C686" s="71" t="inlineStr">
        <is>
          <t>Ausgaben</t>
        </is>
      </c>
      <c r="D686" t="inlineStr">
        <is>
          <t>Miet- und Pachtaufwand, Leasing</t>
        </is>
      </c>
      <c r="G686" s="1" t="n">
        <v>44593</v>
      </c>
      <c r="H686" t="inlineStr">
        <is>
          <t>Bontus Immobilienverwaltung GmbH, 1010 Wien, Franz Josefs Kai 65</t>
        </is>
      </c>
      <c r="K686" t="b">
        <v>0</v>
      </c>
      <c r="L686" s="214">
        <f>574.43/1.2</f>
        <v/>
      </c>
      <c r="M686" s="159" t="n">
        <v>1</v>
      </c>
      <c r="N686" t="n">
        <v>20</v>
      </c>
      <c r="O686" s="237">
        <f>L686*N686/100</f>
        <v/>
      </c>
      <c r="P686" s="237">
        <f>M686*O686</f>
        <v/>
      </c>
      <c r="Q686" s="208">
        <f>L686*M686</f>
        <v/>
      </c>
      <c r="R686" s="251">
        <f>L686+O686</f>
        <v/>
      </c>
      <c r="S686" s="251">
        <f>Q686+P686</f>
        <v/>
      </c>
      <c r="T686" s="35">
        <f>voranmeldefrist_vierteljaehrlich(G686)</f>
        <v/>
      </c>
      <c r="U686" s="27" t="n"/>
      <c r="V686" s="27" t="n"/>
      <c r="W686" s="210">
        <f>IF(K686=TRUE,Q686/J686,Q686)</f>
        <v/>
      </c>
      <c r="X686" s="237">
        <f>V686/100*S686</f>
        <v/>
      </c>
      <c r="Y686">
        <f>IF(AND(V686&gt;0,N686=V686),TRUE,FALSE)</f>
        <v/>
      </c>
      <c r="Z686" s="228">
        <f>IF(C686="Einnahmen",Q686,-Q686)</f>
        <v/>
      </c>
      <c r="AB686">
        <f>S686=L686*(100+N686)%</f>
        <v/>
      </c>
    </row>
    <row r="687">
      <c r="A687" s="53" t="n">
        <v>2022</v>
      </c>
      <c r="B687" s="53" t="n">
        <v>21</v>
      </c>
      <c r="C687" s="71" t="inlineStr">
        <is>
          <t>Ausgaben</t>
        </is>
      </c>
      <c r="D687" t="inlineStr">
        <is>
          <t>Telefon/Internet</t>
        </is>
      </c>
      <c r="E687" s="9" t="inlineStr">
        <is>
          <t>6236617303</t>
        </is>
      </c>
      <c r="G687" s="1" t="n">
        <v>44593</v>
      </c>
      <c r="H687" t="inlineStr">
        <is>
          <t>Hutchison Drei Austria GmbH, Brünner Straße 52, 1210 Wien, Österreich</t>
        </is>
      </c>
      <c r="K687">
        <f>(IF(AND(I687&lt;&gt;"",AND(J687="",ABS(Q687)&gt;400)),TRUE,FALSE))</f>
        <v/>
      </c>
      <c r="L687" s="214" t="n">
        <v>15</v>
      </c>
      <c r="M687" s="159" t="n">
        <v>1</v>
      </c>
      <c r="N687" t="n">
        <v>20</v>
      </c>
      <c r="O687" s="237">
        <f>L687*N687/100</f>
        <v/>
      </c>
      <c r="P687" s="237">
        <f>M687*O687</f>
        <v/>
      </c>
      <c r="Q687" s="208">
        <f>L687*M687</f>
        <v/>
      </c>
      <c r="R687" s="251">
        <f>L687+O687</f>
        <v/>
      </c>
      <c r="S687" s="251">
        <f>Q687+P687</f>
        <v/>
      </c>
      <c r="T687" s="35">
        <f>voranmeldefrist_vierteljaehrlich(G687)</f>
        <v/>
      </c>
      <c r="U687" s="27" t="n"/>
      <c r="V687" s="27" t="n"/>
      <c r="W687" s="210">
        <f>IF(K687=TRUE,Q687/I687,Q687)</f>
        <v/>
      </c>
      <c r="X687" s="237">
        <f>V687/100*S687</f>
        <v/>
      </c>
      <c r="Y687">
        <f>IF(AND(V687&gt;0,N687=V687),TRUE,FALSE)</f>
        <v/>
      </c>
      <c r="Z687" s="228">
        <f>IF(C687="Einnahmen",Q687,-Q687)</f>
        <v/>
      </c>
      <c r="AB687">
        <f>S687=L687*(100+N687)%</f>
        <v/>
      </c>
    </row>
    <row r="688">
      <c r="A688" s="53" t="n">
        <v>2022</v>
      </c>
      <c r="B688" s="53" t="n">
        <v>22</v>
      </c>
      <c r="C688" s="71" t="inlineStr">
        <is>
          <t>Ausgaben</t>
        </is>
      </c>
      <c r="D688" t="inlineStr">
        <is>
          <t>Reise- und Fahrtspesen inkl. Kilometergeld und Diäten</t>
        </is>
      </c>
      <c r="E688" s="131" t="inlineStr">
        <is>
          <t>4293000000024389</t>
        </is>
      </c>
      <c r="G688" s="1" t="n">
        <v>44594</v>
      </c>
      <c r="H688" t="inlineStr">
        <is>
          <t>car2go Österreich GmbH, Hintere Zollamtstraße 9, 1030 Wien</t>
        </is>
      </c>
      <c r="K688" t="b">
        <v>0</v>
      </c>
      <c r="L688" s="214" t="n">
        <v>46.23</v>
      </c>
      <c r="M688" s="159" t="n">
        <v>1</v>
      </c>
      <c r="N688" t="n">
        <v>20</v>
      </c>
      <c r="O688" s="237">
        <f>L688*N688/100</f>
        <v/>
      </c>
      <c r="P688" s="237">
        <f>M688*O688</f>
        <v/>
      </c>
      <c r="Q688" s="208">
        <f>L688*M688</f>
        <v/>
      </c>
      <c r="R688" s="251">
        <f>L688+O688</f>
        <v/>
      </c>
      <c r="S688" s="251">
        <f>Q688+P688</f>
        <v/>
      </c>
      <c r="T688" s="35">
        <f>voranmeldefrist_vierteljaehrlich(G688)</f>
        <v/>
      </c>
      <c r="U688" s="27" t="n"/>
      <c r="V688" s="27" t="n"/>
      <c r="W688" s="210">
        <f>IF(K688=TRUE,Q688/J688,Q688)</f>
        <v/>
      </c>
      <c r="X688" s="237">
        <f>V688/100*S688</f>
        <v/>
      </c>
      <c r="Y688">
        <f>IF(AND(V688&gt;0,N688=V688),TRUE,FALSE)</f>
        <v/>
      </c>
      <c r="Z688" s="228">
        <f>IF(C688="Einnahmen",Q688,-Q688)</f>
        <v/>
      </c>
      <c r="AB688">
        <f>S688=L688*(100+N688)%</f>
        <v/>
      </c>
    </row>
    <row r="689">
      <c r="A689" s="53" t="n">
        <v>2022</v>
      </c>
      <c r="B689" s="53" t="n">
        <v>23</v>
      </c>
      <c r="C689" s="71" t="inlineStr">
        <is>
          <t>Ausgaben</t>
        </is>
      </c>
      <c r="D689" t="inlineStr">
        <is>
          <t>sonstige Betriebsausgaben</t>
        </is>
      </c>
      <c r="E689" s="9" t="inlineStr">
        <is>
          <t>4060424772</t>
        </is>
      </c>
      <c r="G689" s="1" t="n">
        <v>44594</v>
      </c>
      <c r="H689" t="inlineStr">
        <is>
          <t>Google Ireland Ltd, Gordon House, Barrow Street, Dublin 4, Ireland; VAT number: IE 6388047V</t>
        </is>
      </c>
      <c r="K689" t="b">
        <v>0</v>
      </c>
      <c r="L689" s="214" t="n">
        <v>10.4</v>
      </c>
      <c r="M689" s="159" t="n">
        <v>1</v>
      </c>
      <c r="N689" t="n">
        <v>0</v>
      </c>
      <c r="O689" s="237">
        <f>L689*N689/100</f>
        <v/>
      </c>
      <c r="P689" s="237">
        <f>M689*O689</f>
        <v/>
      </c>
      <c r="Q689" s="208">
        <f>L689*M689</f>
        <v/>
      </c>
      <c r="R689" s="251">
        <f>L689+O689</f>
        <v/>
      </c>
      <c r="S689" s="251">
        <f>Q689+P689</f>
        <v/>
      </c>
      <c r="T689" s="35">
        <f>voranmeldefrist_vierteljaehrlich(G689)</f>
        <v/>
      </c>
      <c r="U689" s="27" t="n"/>
      <c r="V689" s="27" t="n">
        <v>20</v>
      </c>
      <c r="W689" s="210">
        <f>IF(K689=TRUE,Q689/I689,Q689)</f>
        <v/>
      </c>
      <c r="X689" s="237">
        <f>V689/100*S689</f>
        <v/>
      </c>
      <c r="Y689">
        <f>IF(AND(V689&gt;0,N689=V689),TRUE,FALSE)</f>
        <v/>
      </c>
      <c r="Z689" s="228">
        <f>IF(C689="Einnahmen",Q689,-Q689)</f>
        <v/>
      </c>
      <c r="AB689">
        <f>S689=L689*(100+N689)%</f>
        <v/>
      </c>
    </row>
    <row r="690">
      <c r="A690" s="53" t="n">
        <v>2022</v>
      </c>
      <c r="B690" s="53" t="n">
        <v>24</v>
      </c>
      <c r="C690" s="71" t="inlineStr">
        <is>
          <t>Ausgaben</t>
        </is>
      </c>
      <c r="D690" t="inlineStr">
        <is>
          <t>sonstige Betriebsausgaben</t>
        </is>
      </c>
      <c r="E690" s="153" t="inlineStr">
        <is>
          <t>siehe Jahresabrechnung</t>
        </is>
      </c>
      <c r="G690" s="1" t="n">
        <v>44595</v>
      </c>
      <c r="H690" t="inlineStr">
        <is>
          <t>easy green energy GmbH &amp; Co KG</t>
        </is>
      </c>
      <c r="K690">
        <f>(IF(AND(I690&lt;&gt;"",AND(J690="",ABS(Q690)&gt;400)),TRUE,FALSE))</f>
        <v/>
      </c>
      <c r="L690" s="214" t="n">
        <v>2.5</v>
      </c>
      <c r="M690" s="159" t="n">
        <v>1</v>
      </c>
      <c r="N690" t="n">
        <v>20</v>
      </c>
      <c r="O690" s="237">
        <f>L690*N690/100</f>
        <v/>
      </c>
      <c r="P690" s="237">
        <f>M690*O690</f>
        <v/>
      </c>
      <c r="Q690" s="208">
        <f>L690*M690</f>
        <v/>
      </c>
      <c r="R690" s="251">
        <f>L690+O690</f>
        <v/>
      </c>
      <c r="S690" s="251">
        <f>Q690+P690</f>
        <v/>
      </c>
      <c r="T690" s="35">
        <f>voranmeldefrist_vierteljaehrlich(G690)</f>
        <v/>
      </c>
      <c r="U690" s="27" t="n"/>
      <c r="V690" s="27" t="n"/>
      <c r="W690" s="210">
        <f>IF(K690=TRUE,Q690/J690,Q690)</f>
        <v/>
      </c>
      <c r="X690" s="237">
        <f>V690/100*S690</f>
        <v/>
      </c>
      <c r="Y690">
        <f>IF(AND(V690&gt;0,N690=V690),TRUE,FALSE)</f>
        <v/>
      </c>
      <c r="Z690" s="228">
        <f>IF(C690="Einnahmen",Q690,-Q690)</f>
        <v/>
      </c>
      <c r="AB690">
        <f>S690=L690*(100+N690)%</f>
        <v/>
      </c>
    </row>
    <row r="691">
      <c r="A691" s="53" t="n">
        <v>2022</v>
      </c>
      <c r="B691" s="53" t="n">
        <v>25</v>
      </c>
      <c r="C691" s="71" t="inlineStr">
        <is>
          <t>Einnahmen</t>
        </is>
      </c>
      <c r="D691" t="inlineStr">
        <is>
          <t>Waren-/Leistungserlöse</t>
        </is>
      </c>
      <c r="E691" t="n">
        <v>168041268</v>
      </c>
      <c r="G691" s="1" t="n">
        <v>44596</v>
      </c>
      <c r="H691" t="inlineStr">
        <is>
          <t>Hays Österreich GmbH, Bahnhof City Wien West , Europaplatz 3/5, 1150 Wien</t>
        </is>
      </c>
      <c r="K691">
        <f>(IF(AND(I691&lt;&gt;"",AND(J691="",ABS(Q691)&gt;400)),TRUE,FALSE))</f>
        <v/>
      </c>
      <c r="L691" s="214" t="n">
        <v>7872</v>
      </c>
      <c r="M691" s="159" t="n">
        <v>1</v>
      </c>
      <c r="N691" t="n">
        <v>20</v>
      </c>
      <c r="O691" s="237">
        <f>L691*N691/100</f>
        <v/>
      </c>
      <c r="P691" s="237">
        <f>M691*O691</f>
        <v/>
      </c>
      <c r="Q691" s="208">
        <f>L691*M691</f>
        <v/>
      </c>
      <c r="R691" s="251">
        <f>L691+O691</f>
        <v/>
      </c>
      <c r="S691" s="251">
        <f>Q691+P691</f>
        <v/>
      </c>
      <c r="T691" s="35">
        <f>voranmeldefrist_vierteljaehrlich(G691)</f>
        <v/>
      </c>
      <c r="U691" s="27" t="n"/>
      <c r="V691" s="27" t="n">
        <v>20</v>
      </c>
      <c r="W691" s="210">
        <f>IF(K691=TRUE,Q691/J691,Q691)</f>
        <v/>
      </c>
      <c r="X691" s="237">
        <f>V691/100*S691</f>
        <v/>
      </c>
      <c r="Y691">
        <f>IF(AND(V691&gt;0,N691=V691),TRUE,FALSE)</f>
        <v/>
      </c>
      <c r="Z691" s="228">
        <f>IF(C691="Einnahmen",Q691,-Q691)</f>
        <v/>
      </c>
      <c r="AB691">
        <f>S691=L691*(100+N691)%</f>
        <v/>
      </c>
    </row>
    <row r="692">
      <c r="A692" s="53" t="n">
        <v>2022</v>
      </c>
      <c r="B692" s="53" t="n">
        <v>26</v>
      </c>
      <c r="C692" s="71" t="inlineStr">
        <is>
          <t>Ausgaben</t>
        </is>
      </c>
      <c r="D692" t="inlineStr">
        <is>
          <t>sonstige Betriebsausgaben</t>
        </is>
      </c>
      <c r="E692" s="6" t="inlineStr">
        <is>
          <t>R0015102312</t>
        </is>
      </c>
      <c r="G692" s="1" t="n">
        <v>44598</v>
      </c>
      <c r="H692" t="inlineStr">
        <is>
          <t>Hetzner Online GmbH</t>
        </is>
      </c>
      <c r="J692" s="76" t="inlineStr">
        <is>
          <t>ja</t>
        </is>
      </c>
      <c r="K692">
        <f>(IF(AND(I692&lt;&gt;"",AND(J692="",ABS(Q692)&gt;400)),TRUE,FALSE))</f>
        <v/>
      </c>
      <c r="L692" s="214" t="n">
        <v>2.49</v>
      </c>
      <c r="M692" s="159" t="n">
        <v>1</v>
      </c>
      <c r="N692" t="n">
        <v>0</v>
      </c>
      <c r="O692" s="237">
        <f>L692*N692/100</f>
        <v/>
      </c>
      <c r="P692" s="237">
        <f>M692*O692</f>
        <v/>
      </c>
      <c r="Q692" s="208">
        <f>L692*M692</f>
        <v/>
      </c>
      <c r="R692" s="251">
        <f>L692+O692</f>
        <v/>
      </c>
      <c r="S692" s="251">
        <f>Q692+P692</f>
        <v/>
      </c>
      <c r="T692" s="35">
        <f>voranmeldefrist_vierteljaehrlich(G692)</f>
        <v/>
      </c>
      <c r="U692" s="27" t="n"/>
      <c r="V692" s="27" t="n">
        <v>20</v>
      </c>
      <c r="W692" s="210">
        <f>IF(K692=TRUE,Q692/J692,Q692)</f>
        <v/>
      </c>
      <c r="X692" s="237">
        <f>V692/100*S692</f>
        <v/>
      </c>
      <c r="Y692">
        <f>IF(AND(V692&gt;0,N692=V692),TRUE,FALSE)</f>
        <v/>
      </c>
      <c r="Z692" s="228">
        <f>IF(C692="Einnahmen",Q692,-Q692)</f>
        <v/>
      </c>
      <c r="AB692">
        <f>S692=L692*(100+N692)%</f>
        <v/>
      </c>
    </row>
    <row r="693">
      <c r="A693" s="53" t="n">
        <v>2022</v>
      </c>
      <c r="B693" s="53" t="n">
        <v>27</v>
      </c>
      <c r="C693" s="71" t="inlineStr">
        <is>
          <t>Ausgaben</t>
        </is>
      </c>
      <c r="D693" t="inlineStr">
        <is>
          <t>Miet- und Pachtaufwand, Leasing</t>
        </is>
      </c>
      <c r="E693" s="139" t="inlineStr">
        <is>
          <t>HKA/20-01-58835</t>
        </is>
      </c>
      <c r="G693" s="1" t="n">
        <v>44599</v>
      </c>
      <c r="H693" t="inlineStr">
        <is>
          <t>Techem Messtechnik GmbH; Abnehmernummer 501686-0003-11-</t>
        </is>
      </c>
      <c r="K693" t="b">
        <v>0</v>
      </c>
      <c r="L693" s="214" t="n">
        <v>74</v>
      </c>
      <c r="M693" s="159" t="n">
        <v>1</v>
      </c>
      <c r="N693" t="n">
        <v>20</v>
      </c>
      <c r="O693" s="237">
        <f>L693*N693/100</f>
        <v/>
      </c>
      <c r="P693" s="237">
        <f>M693*O693</f>
        <v/>
      </c>
      <c r="Q693" s="208">
        <f>L693*M693</f>
        <v/>
      </c>
      <c r="R693" s="251">
        <f>L693+O693</f>
        <v/>
      </c>
      <c r="S693" s="251">
        <f>Q693+P693</f>
        <v/>
      </c>
      <c r="T693" s="35">
        <f>voranmeldefrist_vierteljaehrlich(G693)</f>
        <v/>
      </c>
      <c r="U693" s="27" t="n"/>
      <c r="V693" s="27" t="n"/>
      <c r="W693" s="210">
        <f>IF(K693=TRUE,Q693/J693,Q693)</f>
        <v/>
      </c>
      <c r="X693" s="237">
        <f>V693/100*S693</f>
        <v/>
      </c>
      <c r="Y693">
        <f>IF(AND(V693&gt;0,N693=V693),TRUE,FALSE)</f>
        <v/>
      </c>
      <c r="Z693" s="228">
        <f>IF(C693="Einnahmen",Q693,-Q693)</f>
        <v/>
      </c>
      <c r="AB693">
        <f>S693=L693*(100+N693)%</f>
        <v/>
      </c>
    </row>
    <row r="694">
      <c r="A694" s="53" t="n">
        <v>2022</v>
      </c>
      <c r="B694" s="53" t="n">
        <v>28</v>
      </c>
      <c r="C694" s="71" t="inlineStr">
        <is>
          <t>Ausgaben</t>
        </is>
      </c>
      <c r="D694" t="inlineStr">
        <is>
          <t>sonstige Betriebsausgaben</t>
        </is>
      </c>
      <c r="E694" s="139" t="inlineStr">
        <is>
          <t>220008996902</t>
        </is>
      </c>
      <c r="G694" s="1" t="n">
        <v>44602</v>
      </c>
      <c r="H694" t="inlineStr">
        <is>
          <t>Wiener Netze GmbH, Erdbergstraße 236, 1110 Wien, Postfach 422; Jahresabrechnung vom 17.12.20: GUTSCHRIFT</t>
        </is>
      </c>
      <c r="K694">
        <f>(IF(AND(I694&lt;&gt;"",AND(J694="",ABS(Q694)&gt;400)),TRUE,FALSE))</f>
        <v/>
      </c>
      <c r="L694" s="214" t="n">
        <v>11</v>
      </c>
      <c r="M694" s="159" t="n">
        <v>1</v>
      </c>
      <c r="N694" t="n">
        <v>20</v>
      </c>
      <c r="O694" s="237">
        <f>L694*N694/100</f>
        <v/>
      </c>
      <c r="P694" s="237">
        <f>M694*O694</f>
        <v/>
      </c>
      <c r="Q694" s="208">
        <f>L694*M694</f>
        <v/>
      </c>
      <c r="R694" s="251">
        <f>L694+O694</f>
        <v/>
      </c>
      <c r="S694" s="251">
        <f>Q694+P694</f>
        <v/>
      </c>
      <c r="T694" s="35">
        <f>voranmeldefrist_vierteljaehrlich(G694)</f>
        <v/>
      </c>
      <c r="U694" s="27" t="n"/>
      <c r="V694" s="27" t="n"/>
      <c r="W694" s="210">
        <f>IF(K694=TRUE,Q694/J694,Q694)</f>
        <v/>
      </c>
      <c r="X694" s="237">
        <f>V694/100*S694</f>
        <v/>
      </c>
      <c r="Y694">
        <f>IF(AND(V694&gt;0,N694=V694),TRUE,FALSE)</f>
        <v/>
      </c>
      <c r="Z694" s="228">
        <f>IF(C694="Einnahmen",Q694,-Q694)</f>
        <v/>
      </c>
      <c r="AB694">
        <f>S694=L694*(100+N694)%</f>
        <v/>
      </c>
    </row>
    <row r="695">
      <c r="A695" s="53" t="n">
        <v>2022</v>
      </c>
      <c r="B695" s="53" t="n">
        <v>29</v>
      </c>
      <c r="C695" s="71" t="inlineStr">
        <is>
          <t>Ausgaben</t>
        </is>
      </c>
      <c r="D695" t="inlineStr">
        <is>
          <t>sonstige Betriebsausgaben</t>
        </is>
      </c>
      <c r="E695" s="9" t="inlineStr">
        <is>
          <t>R00014950471</t>
        </is>
      </c>
      <c r="G695" s="1" t="n">
        <v>44603</v>
      </c>
      <c r="H695" t="inlineStr">
        <is>
          <t>Hetzner Online GmbH</t>
        </is>
      </c>
      <c r="K695">
        <f>(IF(AND(I695&lt;&gt;"",AND(J695="",ABS(Q695)&gt;400)),TRUE,FALSE))</f>
        <v/>
      </c>
      <c r="L695" s="214" t="n">
        <v>47.7765</v>
      </c>
      <c r="M695" s="159" t="n">
        <v>1</v>
      </c>
      <c r="N695" t="n">
        <v>0</v>
      </c>
      <c r="O695" s="237">
        <f>L695*N695/100</f>
        <v/>
      </c>
      <c r="P695" s="237">
        <f>M695*O695</f>
        <v/>
      </c>
      <c r="Q695" s="208">
        <f>L695*M695</f>
        <v/>
      </c>
      <c r="R695" s="251">
        <f>L695+O695</f>
        <v/>
      </c>
      <c r="S695" s="251">
        <f>Q695+P695</f>
        <v/>
      </c>
      <c r="T695" s="35">
        <f>voranmeldefrist_vierteljaehrlich(G695)</f>
        <v/>
      </c>
      <c r="U695" s="27" t="n"/>
      <c r="V695" s="27" t="n">
        <v>20</v>
      </c>
      <c r="W695" s="210">
        <f>IF(K695=TRUE,Q695/J695,Q695)</f>
        <v/>
      </c>
      <c r="X695" s="237">
        <f>V695/100*S695</f>
        <v/>
      </c>
      <c r="Y695">
        <f>IF(AND(V695&gt;0,N695=V695),TRUE,FALSE)</f>
        <v/>
      </c>
      <c r="Z695" s="228">
        <f>IF(C695="Einnahmen",Q695,-Q695)</f>
        <v/>
      </c>
      <c r="AB695">
        <f>S695=L695*(100+N695)%</f>
        <v/>
      </c>
    </row>
    <row r="696">
      <c r="A696" s="53" t="n">
        <v>2022</v>
      </c>
      <c r="B696" s="53" t="n">
        <v>30</v>
      </c>
      <c r="C696" s="71" t="inlineStr">
        <is>
          <t>Einnahmen</t>
        </is>
      </c>
      <c r="D696" t="inlineStr">
        <is>
          <t>Waren-/Leistungserlöse</t>
        </is>
      </c>
      <c r="E696" s="9" t="inlineStr">
        <is>
          <t>12022002</t>
        </is>
      </c>
      <c r="G696" s="1" t="n">
        <v>44608</v>
      </c>
      <c r="H696" t="inlineStr">
        <is>
          <t>DCF - Digital Coding Factory GmbH, Bauernfeldgasse 4/12 1090 Wien</t>
        </is>
      </c>
      <c r="K696">
        <f>(IF(AND(I696&lt;&gt;"",AND(J696="",ABS(Q696)&gt;400)),TRUE,FALSE))</f>
        <v/>
      </c>
      <c r="L696" s="214" t="n">
        <v>2.49</v>
      </c>
      <c r="M696" s="159" t="n">
        <v>1</v>
      </c>
      <c r="N696" t="n">
        <v>20</v>
      </c>
      <c r="O696" s="237">
        <f>L696*N696/100</f>
        <v/>
      </c>
      <c r="P696" s="237">
        <f>M696*O696</f>
        <v/>
      </c>
      <c r="Q696" s="208">
        <f>L696*M696</f>
        <v/>
      </c>
      <c r="R696" s="251">
        <f>L696+O696</f>
        <v/>
      </c>
      <c r="S696" s="251">
        <f>Q696+P696</f>
        <v/>
      </c>
      <c r="T696" s="35">
        <f>voranmeldefrist_vierteljaehrlich(G696)</f>
        <v/>
      </c>
      <c r="U696" s="27" t="n"/>
      <c r="V696" s="27" t="n"/>
      <c r="W696" s="210">
        <f>IF(K696=TRUE,Q696/I696,Q696)</f>
        <v/>
      </c>
      <c r="X696" s="237">
        <f>V696/100*S696</f>
        <v/>
      </c>
      <c r="Y696">
        <f>IF(AND(V696&gt;0,N696=V696),TRUE,FALSE)</f>
        <v/>
      </c>
      <c r="Z696" s="228">
        <f>IF(C696="Einnahmen",Q696,-Q696)</f>
        <v/>
      </c>
      <c r="AB696">
        <f>S696=L696*(100+N696)%</f>
        <v/>
      </c>
    </row>
    <row r="697">
      <c r="A697" s="53" t="n">
        <v>2022</v>
      </c>
      <c r="B697" s="53" t="n">
        <v>31</v>
      </c>
      <c r="C697" s="71" t="inlineStr">
        <is>
          <t>Ausgaben</t>
        </is>
      </c>
      <c r="D697" t="inlineStr">
        <is>
          <t>sonstige Betriebsausgaben</t>
        </is>
      </c>
      <c r="E697" s="6" t="inlineStr">
        <is>
          <t>E0600HALL6</t>
        </is>
      </c>
      <c r="G697" s="1" t="n">
        <v>44613</v>
      </c>
      <c r="H697" t="inlineStr">
        <is>
          <t>Microsoft Ireland Operations Ltd. One Microsoft Place, South County, Business Park, Leopardstown, Dublin 18, D18 P521, Ireland</t>
        </is>
      </c>
      <c r="K697">
        <f>(IF(AND(I697&lt;&gt;"",AND(J697="",ABS(Q697)&gt;400)),TRUE,FALSE))</f>
        <v/>
      </c>
      <c r="L697" s="214" t="n">
        <v>10.5</v>
      </c>
      <c r="M697" s="159" t="n">
        <v>1</v>
      </c>
      <c r="N697" t="n">
        <v>0</v>
      </c>
      <c r="O697" s="237">
        <f>L697*N697/100</f>
        <v/>
      </c>
      <c r="P697" s="237">
        <f>M697*O697</f>
        <v/>
      </c>
      <c r="Q697" s="208">
        <f>L697*M697</f>
        <v/>
      </c>
      <c r="R697" s="251">
        <f>L697+O697</f>
        <v/>
      </c>
      <c r="S697" s="251">
        <f>Q697+P697</f>
        <v/>
      </c>
      <c r="T697" s="35">
        <f>voranmeldefrist_vierteljaehrlich(G697)</f>
        <v/>
      </c>
      <c r="U697" s="27" t="n"/>
      <c r="V697" s="27" t="n">
        <v>20</v>
      </c>
      <c r="W697" s="210">
        <f>IF(K697=TRUE,Q697/J697,Q697)</f>
        <v/>
      </c>
      <c r="X697" s="237">
        <f>V697/100*S697</f>
        <v/>
      </c>
      <c r="Y697">
        <f>IF(AND(V697&gt;0,N697=V697),TRUE,FALSE)</f>
        <v/>
      </c>
      <c r="Z697" s="228">
        <f>IF(C697="Einnahmen",Q697,-Q697)</f>
        <v/>
      </c>
      <c r="AB697">
        <f>S697=L697*(100+N697)%</f>
        <v/>
      </c>
    </row>
    <row r="698">
      <c r="A698" s="53" t="n">
        <v>2022</v>
      </c>
      <c r="B698" s="53" t="n">
        <v>32</v>
      </c>
      <c r="C698" s="71" t="inlineStr">
        <is>
          <t>Ausgaben</t>
        </is>
      </c>
      <c r="D698" t="inlineStr">
        <is>
          <t>Telefon/Internet</t>
        </is>
      </c>
      <c r="E698" s="131" t="inlineStr">
        <is>
          <t>901188460222</t>
        </is>
      </c>
      <c r="G698" s="1" t="n">
        <v>44613</v>
      </c>
      <c r="H698" t="inlineStr">
        <is>
          <t>Magenta: T-Mobile Austria GmbH, A-1120 Wien, PF 47</t>
        </is>
      </c>
      <c r="K698">
        <f>(IF(AND(I698&lt;&gt;"",AND(J698="",ABS(Q698)&gt;400)),TRUE,FALSE))</f>
        <v/>
      </c>
      <c r="L698" s="214" t="n">
        <v>31.92</v>
      </c>
      <c r="M698" s="159" t="n">
        <v>1</v>
      </c>
      <c r="N698" t="n">
        <v>20</v>
      </c>
      <c r="O698" s="237">
        <f>L698*N698/100</f>
        <v/>
      </c>
      <c r="P698" s="237">
        <f>M698*O698</f>
        <v/>
      </c>
      <c r="Q698" s="208">
        <f>L698*M698</f>
        <v/>
      </c>
      <c r="R698" s="251">
        <f>L698+O698</f>
        <v/>
      </c>
      <c r="S698" s="251">
        <f>Q698+P698</f>
        <v/>
      </c>
      <c r="T698" s="35">
        <f>voranmeldefrist_vierteljaehrlich(G698)</f>
        <v/>
      </c>
      <c r="U698" s="27" t="n"/>
      <c r="V698" s="27" t="n"/>
      <c r="W698" s="210">
        <f>IF(K698=TRUE,Q698/I698,Q698)</f>
        <v/>
      </c>
      <c r="X698" s="237">
        <f>V698/100*S698</f>
        <v/>
      </c>
      <c r="Y698">
        <f>IF(AND(V698&gt;0,N698=V698),TRUE,FALSE)</f>
        <v/>
      </c>
      <c r="Z698" s="228">
        <f>IF(C698="Einnahmen",Q698,-Q698)</f>
        <v/>
      </c>
      <c r="AB698">
        <f>S698=L698*(100+N698)%</f>
        <v/>
      </c>
    </row>
    <row r="699">
      <c r="A699" s="53" t="n">
        <v>2022</v>
      </c>
      <c r="B699" s="53" t="n">
        <v>33</v>
      </c>
      <c r="C699" s="71" t="inlineStr">
        <is>
          <t>Ausgaben</t>
        </is>
      </c>
      <c r="D699" t="inlineStr">
        <is>
          <t>Pflichversicherungsbeiträge</t>
        </is>
      </c>
      <c r="E699" s="9" t="n">
        <v>11561270283</v>
      </c>
      <c r="G699" s="1" t="n">
        <v>44615</v>
      </c>
      <c r="H699" t="inlineStr">
        <is>
          <t>Sozialversicherung der gewerblichen Wirtshaft</t>
        </is>
      </c>
      <c r="K699">
        <f>(IF(AND(I699&lt;&gt;"",AND(J699="",ABS(Q699)&gt;400)),TRUE,FALSE))</f>
        <v/>
      </c>
      <c r="L699" s="214" t="n">
        <v>1191.6</v>
      </c>
      <c r="M699" s="159" t="n">
        <v>1</v>
      </c>
      <c r="N699" t="n">
        <v>0</v>
      </c>
      <c r="O699" s="237">
        <f>L699*N699/100</f>
        <v/>
      </c>
      <c r="P699" s="237">
        <f>M699*O699</f>
        <v/>
      </c>
      <c r="Q699" s="208">
        <f>L699*M699</f>
        <v/>
      </c>
      <c r="R699" s="251">
        <f>L699+O699</f>
        <v/>
      </c>
      <c r="S699" s="251">
        <f>Q699+P699</f>
        <v/>
      </c>
      <c r="T699" s="35">
        <f>voranmeldefrist_vierteljaehrlich(G699)</f>
        <v/>
      </c>
      <c r="U699" s="27" t="n"/>
      <c r="V699" s="27" t="n"/>
      <c r="W699" s="210">
        <f>IF(K699=TRUE,Q699/J699,Q699)</f>
        <v/>
      </c>
      <c r="X699" s="237">
        <f>V699/100*S699</f>
        <v/>
      </c>
      <c r="Y699">
        <f>IF(AND(V699&gt;0,N699=V699),TRUE,FALSE)</f>
        <v/>
      </c>
      <c r="Z699" s="228">
        <f>IF(C699="Einnahmen",Q699,-Q699)</f>
        <v/>
      </c>
      <c r="AB699">
        <f>S699=L699*(100+N699)%</f>
        <v/>
      </c>
    </row>
    <row r="700">
      <c r="A700" s="53" t="n">
        <v>2022</v>
      </c>
      <c r="B700" s="53" t="n">
        <v>34</v>
      </c>
      <c r="C700" s="71" t="inlineStr">
        <is>
          <t>Ausgaben</t>
        </is>
      </c>
      <c r="D700" t="inlineStr">
        <is>
          <t>Waren, Rohstoffe, Hilfsstoffe</t>
        </is>
      </c>
      <c r="E700" s="61" t="inlineStr">
        <is>
          <t>BELEG FEHLT</t>
        </is>
      </c>
      <c r="G700" s="1" t="n">
        <v>44615</v>
      </c>
      <c r="H700" t="inlineStr">
        <is>
          <t>Lemon Technologies GmbH, Unterweißenbach 181, 7330 Feldbach: Pixel6</t>
        </is>
      </c>
      <c r="K700">
        <f>(IF(AND(I700&lt;&gt;"",AND(J700="",ABS(Q700)&gt;400)),TRUE,FALSE))</f>
        <v/>
      </c>
      <c r="L700" s="233">
        <f>674.91/1.2</f>
        <v/>
      </c>
      <c r="M700" s="159" t="n">
        <v>1</v>
      </c>
      <c r="N700" t="n">
        <v>20</v>
      </c>
      <c r="O700" s="237">
        <f>L700*N700/100</f>
        <v/>
      </c>
      <c r="P700" s="237">
        <f>M700*O700</f>
        <v/>
      </c>
      <c r="Q700" s="208">
        <f>L700*M700</f>
        <v/>
      </c>
      <c r="R700" s="251">
        <f>L700+O700</f>
        <v/>
      </c>
      <c r="S700" s="251">
        <f>Q700+P700</f>
        <v/>
      </c>
      <c r="T700" s="35">
        <f>voranmeldefrist_vierteljaehrlich(G700)</f>
        <v/>
      </c>
      <c r="U700" s="27" t="n"/>
      <c r="V700" s="27" t="n"/>
      <c r="W700" s="210">
        <f>IF(K700=TRUE,Q700/I700,Q700)</f>
        <v/>
      </c>
      <c r="X700" s="237">
        <f>V700/100*S700</f>
        <v/>
      </c>
      <c r="Y700">
        <f>IF(AND(V700&gt;0,N700=V700),TRUE,FALSE)</f>
        <v/>
      </c>
      <c r="Z700" s="228">
        <f>IF(C700="Einnahmen",Q700,-Q700)</f>
        <v/>
      </c>
      <c r="AB700">
        <f>S700=L700*(100+N700)%</f>
        <v/>
      </c>
    </row>
    <row r="701">
      <c r="A701" s="53" t="n">
        <v>2022</v>
      </c>
      <c r="B701" s="53" t="n">
        <v>35</v>
      </c>
      <c r="C701" s="71" t="inlineStr">
        <is>
          <t>Ausgaben</t>
        </is>
      </c>
      <c r="D701" t="inlineStr">
        <is>
          <t>sonstige Betriebsausgaben</t>
        </is>
      </c>
      <c r="E701" s="139" t="inlineStr">
        <is>
          <t>R22339190</t>
        </is>
      </c>
      <c r="G701" s="1" t="n">
        <v>44619</v>
      </c>
      <c r="H701" t="inlineStr">
        <is>
          <t>e-tec electronic GmbH, Atterseestra0e 121, 4850 Timelkam</t>
        </is>
      </c>
      <c r="K701">
        <f>(IF(AND(I701&lt;&gt;"",AND(J701="",ABS(Q701)&gt;400)),TRUE,FALSE))</f>
        <v/>
      </c>
      <c r="L701" s="233">
        <f>890.35/1.2</f>
        <v/>
      </c>
      <c r="M701" s="159" t="n">
        <v>1</v>
      </c>
      <c r="N701" t="n">
        <v>20</v>
      </c>
      <c r="O701" s="237">
        <f>L701*N701/100</f>
        <v/>
      </c>
      <c r="P701" s="237">
        <f>M701*O701</f>
        <v/>
      </c>
      <c r="Q701" s="208">
        <f>L701*M701</f>
        <v/>
      </c>
      <c r="R701" s="251">
        <f>L701+O701</f>
        <v/>
      </c>
      <c r="S701" s="251">
        <f>Q701+P701</f>
        <v/>
      </c>
      <c r="T701" s="35">
        <f>voranmeldefrist_vierteljaehrlich(G701)</f>
        <v/>
      </c>
      <c r="U701" s="27" t="n"/>
      <c r="V701" s="27" t="n"/>
      <c r="W701" s="210">
        <f>IF(K701=TRUE,Q701/I701,Q701)</f>
        <v/>
      </c>
      <c r="X701" s="237">
        <f>V701/100*S701</f>
        <v/>
      </c>
      <c r="Y701">
        <f>IF(AND(V701&gt;0,N701=V701),TRUE,FALSE)</f>
        <v/>
      </c>
      <c r="Z701" s="228">
        <f>IF(C701="Einnahmen",Q701,-Q701)</f>
        <v/>
      </c>
      <c r="AB701">
        <f>S701=L701*(100+N701)%</f>
        <v/>
      </c>
    </row>
    <row r="702">
      <c r="A702" s="53" t="n">
        <v>2022</v>
      </c>
      <c r="B702" s="53" t="n">
        <v>36</v>
      </c>
      <c r="C702" s="71" t="inlineStr">
        <is>
          <t>Ausgaben</t>
        </is>
      </c>
      <c r="D702" t="inlineStr">
        <is>
          <t>Miet- und Pachtaufwand, Leasing</t>
        </is>
      </c>
      <c r="G702" s="1" t="n">
        <v>44621</v>
      </c>
      <c r="H702" t="inlineStr">
        <is>
          <t>Bontus Immobilienverwaltung GmbH, 1010 Wien, Franz Josefs Kai 65</t>
        </is>
      </c>
      <c r="K702" t="b">
        <v>0</v>
      </c>
      <c r="L702" s="214">
        <f>574.43/1.2</f>
        <v/>
      </c>
      <c r="M702" s="159" t="n">
        <v>1</v>
      </c>
      <c r="N702" t="n">
        <v>20</v>
      </c>
      <c r="O702" s="237">
        <f>L702*N702/100</f>
        <v/>
      </c>
      <c r="P702" s="237">
        <f>M702*O702</f>
        <v/>
      </c>
      <c r="Q702" s="208">
        <f>L702*M702</f>
        <v/>
      </c>
      <c r="R702" s="251">
        <f>L702+O702</f>
        <v/>
      </c>
      <c r="S702" s="251">
        <f>Q702+P702</f>
        <v/>
      </c>
      <c r="T702" s="35">
        <f>voranmeldefrist_vierteljaehrlich(G702)</f>
        <v/>
      </c>
      <c r="U702" s="27" t="n"/>
      <c r="V702" s="27" t="n"/>
      <c r="W702" s="210">
        <f>IF(K702=TRUE,Q702/J702,Q702)</f>
        <v/>
      </c>
      <c r="X702" s="237">
        <f>V702/100*S702</f>
        <v/>
      </c>
      <c r="Y702">
        <f>IF(AND(V702&gt;0,N702=V702),TRUE,FALSE)</f>
        <v/>
      </c>
      <c r="Z702" s="228">
        <f>IF(C702="Einnahmen",Q702,-Q702)</f>
        <v/>
      </c>
      <c r="AB702">
        <f>S702=L702*(100+N702)%</f>
        <v/>
      </c>
    </row>
    <row r="703">
      <c r="A703" s="53" t="n">
        <v>2022</v>
      </c>
      <c r="B703" s="53" t="n">
        <v>37</v>
      </c>
      <c r="C703" s="71" t="inlineStr">
        <is>
          <t>Ausgaben</t>
        </is>
      </c>
      <c r="D703" t="inlineStr">
        <is>
          <t>Reise- und Fahrtspesen inkl. Kilometergeld und Diäten</t>
        </is>
      </c>
      <c r="E703" s="131" t="inlineStr">
        <is>
          <t>4293000000024831</t>
        </is>
      </c>
      <c r="G703" s="1" t="n">
        <v>44622</v>
      </c>
      <c r="H703" t="inlineStr">
        <is>
          <t>car2go Österreich GmbH, Hintere Zollamtstraße 9, 1030 Wien</t>
        </is>
      </c>
      <c r="K703" t="b">
        <v>0</v>
      </c>
      <c r="L703" s="214" t="n">
        <v>44.38</v>
      </c>
      <c r="M703" s="159" t="n">
        <v>1</v>
      </c>
      <c r="N703" t="n">
        <v>20</v>
      </c>
      <c r="O703" s="237">
        <f>L703*N703/100</f>
        <v/>
      </c>
      <c r="P703" s="237">
        <f>M703*O703</f>
        <v/>
      </c>
      <c r="Q703" s="208">
        <f>L703*M703</f>
        <v/>
      </c>
      <c r="R703" s="251">
        <f>L703+O703</f>
        <v/>
      </c>
      <c r="S703" s="251">
        <f>Q703+P703</f>
        <v/>
      </c>
      <c r="T703" s="35">
        <f>voranmeldefrist_vierteljaehrlich(G703)</f>
        <v/>
      </c>
      <c r="U703" s="27" t="n"/>
      <c r="V703" s="27" t="n"/>
      <c r="W703" s="210">
        <f>IF(K703=TRUE,Q703/J703,Q703)</f>
        <v/>
      </c>
      <c r="X703" s="237">
        <f>V703/100*S703</f>
        <v/>
      </c>
      <c r="Y703">
        <f>IF(AND(V703&gt;0,N703=V703),TRUE,FALSE)</f>
        <v/>
      </c>
      <c r="Z703" s="228">
        <f>IF(C703="Einnahmen",Q703,-Q703)</f>
        <v/>
      </c>
      <c r="AB703">
        <f>S703=L703*(100+N703)%</f>
        <v/>
      </c>
    </row>
    <row r="704">
      <c r="A704" s="53" t="n">
        <v>2022</v>
      </c>
      <c r="B704" s="53" t="n">
        <v>38</v>
      </c>
      <c r="C704" s="71" t="inlineStr">
        <is>
          <t>Ausgaben</t>
        </is>
      </c>
      <c r="D704" t="inlineStr">
        <is>
          <t>sonstige Betriebsausgaben</t>
        </is>
      </c>
      <c r="E704" s="153" t="inlineStr">
        <is>
          <t>siehe Jahresabrechnung</t>
        </is>
      </c>
      <c r="G704" s="1" t="n">
        <v>44623</v>
      </c>
      <c r="H704" t="inlineStr">
        <is>
          <t>easy green energy GmbH &amp; Co KG</t>
        </is>
      </c>
      <c r="K704">
        <f>(IF(AND(I704&lt;&gt;"",AND(J704="",ABS(Q704)&gt;400)),TRUE,FALSE))</f>
        <v/>
      </c>
      <c r="L704" s="233" t="n">
        <v>2.5</v>
      </c>
      <c r="M704" s="159" t="n">
        <v>1</v>
      </c>
      <c r="N704" t="n">
        <v>20</v>
      </c>
      <c r="O704" s="237">
        <f>L704*N704/100</f>
        <v/>
      </c>
      <c r="P704" s="237">
        <f>M704*O704</f>
        <v/>
      </c>
      <c r="Q704" s="208">
        <f>L704*M704</f>
        <v/>
      </c>
      <c r="R704" s="251">
        <f>L704+O704</f>
        <v/>
      </c>
      <c r="S704" s="251">
        <f>Q704+P704</f>
        <v/>
      </c>
      <c r="T704" s="35">
        <f>voranmeldefrist_vierteljaehrlich(G704)</f>
        <v/>
      </c>
      <c r="U704" s="27" t="n"/>
      <c r="V704" s="27" t="n"/>
      <c r="W704" s="210">
        <f>IF(K704=TRUE,Q704/J704,Q704)</f>
        <v/>
      </c>
      <c r="X704" s="237">
        <f>V704/100*S704</f>
        <v/>
      </c>
      <c r="Y704">
        <f>IF(AND(V704&gt;0,N704=V704),TRUE,FALSE)</f>
        <v/>
      </c>
      <c r="Z704" s="228">
        <f>IF(C704="Einnahmen",Q704,-Q704)</f>
        <v/>
      </c>
      <c r="AB704">
        <f>S704=L704*(100+N704)%</f>
        <v/>
      </c>
    </row>
    <row r="705">
      <c r="A705" s="53" t="n">
        <v>2022</v>
      </c>
      <c r="B705" s="53" t="n">
        <v>39</v>
      </c>
      <c r="C705" s="71" t="inlineStr">
        <is>
          <t>Ausgaben</t>
        </is>
      </c>
      <c r="D705" t="inlineStr">
        <is>
          <t>sonstige Betriebsausgaben</t>
        </is>
      </c>
      <c r="E705" s="9" t="inlineStr">
        <is>
          <t>4076656399</t>
        </is>
      </c>
      <c r="G705" s="1" t="n">
        <v>44623</v>
      </c>
      <c r="H705" t="inlineStr">
        <is>
          <t>Google Ireland Ltd, Gordon House, Barrow Street, Dublin 4, Ireland; VAT number: IE 6388047V</t>
        </is>
      </c>
      <c r="K705" t="b">
        <v>0</v>
      </c>
      <c r="L705" s="214" t="n">
        <v>10.4</v>
      </c>
      <c r="M705" s="159" t="n">
        <v>1</v>
      </c>
      <c r="N705" t="n">
        <v>0</v>
      </c>
      <c r="O705" s="237">
        <f>L705*N705/100</f>
        <v/>
      </c>
      <c r="P705" s="237">
        <f>M705*O705</f>
        <v/>
      </c>
      <c r="Q705" s="208">
        <f>L705*M705</f>
        <v/>
      </c>
      <c r="R705" s="251">
        <f>L705+O705</f>
        <v/>
      </c>
      <c r="S705" s="251">
        <f>Q705+P705</f>
        <v/>
      </c>
      <c r="T705" s="35">
        <f>voranmeldefrist_vierteljaehrlich(G705)</f>
        <v/>
      </c>
      <c r="U705" s="27" t="n"/>
      <c r="V705" s="27" t="n">
        <v>20</v>
      </c>
      <c r="W705" s="210">
        <f>IF(K705=TRUE,Q705/I705,Q705)</f>
        <v/>
      </c>
      <c r="X705" s="237">
        <f>V705/100*S705</f>
        <v/>
      </c>
      <c r="Y705">
        <f>IF(AND(V705&gt;0,N705=V705),TRUE,FALSE)</f>
        <v/>
      </c>
      <c r="Z705" s="228">
        <f>IF(C705="Einnahmen",Q705,-Q705)</f>
        <v/>
      </c>
      <c r="AB705">
        <f>S705=L705*(100+N705)%</f>
        <v/>
      </c>
    </row>
    <row r="706">
      <c r="A706" s="53" t="n">
        <v>2022</v>
      </c>
      <c r="B706" s="53" t="n">
        <v>40</v>
      </c>
      <c r="C706" s="71" t="inlineStr">
        <is>
          <t>Ausgaben</t>
        </is>
      </c>
      <c r="D706" t="inlineStr">
        <is>
          <t>Miet- und Pachtaufwand, Leasing</t>
        </is>
      </c>
      <c r="E706" s="139" t="inlineStr">
        <is>
          <t>HKA/20-01-58835</t>
        </is>
      </c>
      <c r="G706" s="1" t="n">
        <v>44624</v>
      </c>
      <c r="H706" t="inlineStr">
        <is>
          <t>Techem Messtechnik GmbH; Abnehmernummer 501686-0003-11-</t>
        </is>
      </c>
      <c r="K706" t="b">
        <v>0</v>
      </c>
      <c r="L706" s="214" t="n">
        <v>122.6</v>
      </c>
      <c r="M706" s="159" t="n">
        <v>1</v>
      </c>
      <c r="N706" t="n">
        <v>20</v>
      </c>
      <c r="O706" s="237">
        <f>L706*N706/100</f>
        <v/>
      </c>
      <c r="P706" s="237">
        <f>M706*O706</f>
        <v/>
      </c>
      <c r="Q706" s="208">
        <f>L706*M706</f>
        <v/>
      </c>
      <c r="R706" s="251">
        <f>L706+O706</f>
        <v/>
      </c>
      <c r="S706" s="251">
        <f>Q706+P706</f>
        <v/>
      </c>
      <c r="T706" s="35">
        <f>voranmeldefrist_vierteljaehrlich(G706)</f>
        <v/>
      </c>
      <c r="U706" s="27" t="n"/>
      <c r="V706" s="27" t="n"/>
      <c r="W706" s="210">
        <f>IF(K706=TRUE,Q706/J706,Q706)</f>
        <v/>
      </c>
      <c r="X706" s="237">
        <f>V706/100*S706</f>
        <v/>
      </c>
      <c r="Y706">
        <f>IF(AND(V706&gt;0,N706=V706),TRUE,FALSE)</f>
        <v/>
      </c>
      <c r="Z706" s="228">
        <f>IF(C706="Einnahmen",Q706,-Q706)</f>
        <v/>
      </c>
      <c r="AB706">
        <f>S706=L706*(100+N706)%</f>
        <v/>
      </c>
    </row>
    <row r="707">
      <c r="A707" s="53" t="n">
        <v>2022</v>
      </c>
      <c r="B707" s="53" t="n">
        <v>41</v>
      </c>
      <c r="C707" s="71" t="inlineStr">
        <is>
          <t>Ausgaben</t>
        </is>
      </c>
      <c r="D707" t="inlineStr">
        <is>
          <t>sonstige Betriebsausgaben</t>
        </is>
      </c>
      <c r="E707" s="61" t="n"/>
      <c r="G707" s="1" t="n">
        <v>44625</v>
      </c>
      <c r="H707" t="inlineStr">
        <is>
          <t>Wirtschaftskammer Wien Grundumlagen, Straße der Wiener Wirtschaft 1, 1020 Wien: GU UBIT</t>
        </is>
      </c>
      <c r="K707" t="b">
        <v>0</v>
      </c>
      <c r="L707" s="214" t="n">
        <v>65</v>
      </c>
      <c r="M707" s="159" t="n">
        <v>1</v>
      </c>
      <c r="N707" t="n">
        <v>0</v>
      </c>
      <c r="O707" s="237">
        <f>L707*N707/100</f>
        <v/>
      </c>
      <c r="P707" s="237">
        <f>M707*O707</f>
        <v/>
      </c>
      <c r="Q707" s="208">
        <f>L707*M707</f>
        <v/>
      </c>
      <c r="R707" s="251">
        <f>L707+O707</f>
        <v/>
      </c>
      <c r="S707" s="251">
        <f>Q707+P707</f>
        <v/>
      </c>
      <c r="T707" s="35">
        <f>voranmeldefrist_vierteljaehrlich(G707)</f>
        <v/>
      </c>
      <c r="U707" s="27" t="n"/>
      <c r="V707" s="27" t="n"/>
      <c r="W707" s="210">
        <f>IF(K707=TRUE,Q707/I707,Q707)</f>
        <v/>
      </c>
      <c r="X707" s="237">
        <f>V707/100*S707</f>
        <v/>
      </c>
      <c r="Y707">
        <f>IF(AND(V707&gt;0,N707=V707),TRUE,FALSE)</f>
        <v/>
      </c>
      <c r="Z707" s="228">
        <f>IF(C707="Einnahmen",Q707,-Q707)</f>
        <v/>
      </c>
      <c r="AB707">
        <f>S707=L707*(100+N707)%</f>
        <v/>
      </c>
    </row>
    <row r="708">
      <c r="A708" s="53" t="n">
        <v>2022</v>
      </c>
      <c r="B708" s="53" t="n">
        <v>42</v>
      </c>
      <c r="C708" s="71" t="inlineStr">
        <is>
          <t>Ausgaben</t>
        </is>
      </c>
      <c r="D708" t="inlineStr">
        <is>
          <t>Telefon/Internet</t>
        </is>
      </c>
      <c r="G708" s="1" t="n">
        <v>44628</v>
      </c>
      <c r="H708" t="inlineStr">
        <is>
          <t>Hutchison Drei Austria GmbH, Brünner Straße 52, 1210 Wien, Österreich</t>
        </is>
      </c>
      <c r="K708">
        <f>(IF(AND(I708&lt;&gt;"",AND(J708="",ABS(Q708)&gt;400)),TRUE,FALSE))</f>
        <v/>
      </c>
      <c r="L708" s="214" t="n">
        <v>15</v>
      </c>
      <c r="M708" s="159" t="n">
        <v>1</v>
      </c>
      <c r="N708" t="n">
        <v>20</v>
      </c>
      <c r="O708" s="237">
        <f>L708*N708/100</f>
        <v/>
      </c>
      <c r="P708" s="237">
        <f>M708*O708</f>
        <v/>
      </c>
      <c r="Q708" s="208">
        <f>L708*M708</f>
        <v/>
      </c>
      <c r="R708" s="251">
        <f>L708+O708</f>
        <v/>
      </c>
      <c r="S708" s="251">
        <f>Q708+P708</f>
        <v/>
      </c>
      <c r="T708" s="35">
        <f>voranmeldefrist_vierteljaehrlich(G708)</f>
        <v/>
      </c>
      <c r="U708" s="27" t="n"/>
      <c r="V708" s="27" t="n"/>
      <c r="W708" s="210">
        <f>IF(K708=TRUE,Q708/I708,Q708)</f>
        <v/>
      </c>
      <c r="X708" s="237">
        <f>V708/100*S708</f>
        <v/>
      </c>
      <c r="Y708">
        <f>IF(AND(V708&gt;0,N708=V708),TRUE,FALSE)</f>
        <v/>
      </c>
      <c r="Z708" s="228">
        <f>IF(C708="Einnahmen",Q708,-Q708)</f>
        <v/>
      </c>
      <c r="AB708">
        <f>S708=L708*(100+N708)%</f>
        <v/>
      </c>
    </row>
    <row r="709">
      <c r="A709" s="53" t="n">
        <v>2022</v>
      </c>
      <c r="B709" s="53" t="n">
        <v>43</v>
      </c>
      <c r="C709" s="71" t="inlineStr">
        <is>
          <t>Ausgaben</t>
        </is>
      </c>
      <c r="D709" t="inlineStr">
        <is>
          <t>sonstige Betriebsausgaben</t>
        </is>
      </c>
      <c r="E709" s="139" t="inlineStr">
        <is>
          <t>220008996902</t>
        </is>
      </c>
      <c r="G709" s="1" t="n">
        <v>44602</v>
      </c>
      <c r="H709" t="inlineStr">
        <is>
          <t>Wiener Netze GmbH, Erdbergstraße 236, 1110 Wien, Postfach 422; Jahresabrechnung vom 17.12.20: GUTSCHRIFT</t>
        </is>
      </c>
      <c r="K709">
        <f>(IF(AND(I709&lt;&gt;"",AND(J709="",ABS(Q709)&gt;400)),TRUE,FALSE))</f>
        <v/>
      </c>
      <c r="L709" s="214" t="n">
        <v>11</v>
      </c>
      <c r="M709" s="159" t="n">
        <v>1</v>
      </c>
      <c r="N709" t="n">
        <v>20</v>
      </c>
      <c r="O709" s="237">
        <f>L709*N709/100</f>
        <v/>
      </c>
      <c r="P709" s="237">
        <f>M709*O709</f>
        <v/>
      </c>
      <c r="Q709" s="208">
        <f>L709*M709</f>
        <v/>
      </c>
      <c r="R709" s="251">
        <f>L709+O709</f>
        <v/>
      </c>
      <c r="S709" s="251">
        <f>Q709+P709</f>
        <v/>
      </c>
      <c r="T709" s="35">
        <f>voranmeldefrist_vierteljaehrlich(G709)</f>
        <v/>
      </c>
      <c r="U709" s="27" t="n"/>
      <c r="V709" s="27" t="n"/>
      <c r="W709" s="210">
        <f>IF(K709=TRUE,Q709/J709,Q709)</f>
        <v/>
      </c>
      <c r="X709" s="237">
        <f>V709/100*S709</f>
        <v/>
      </c>
      <c r="Y709">
        <f>IF(AND(V709&gt;0,N709=V709),TRUE,FALSE)</f>
        <v/>
      </c>
      <c r="Z709" s="228">
        <f>IF(C709="Einnahmen",Q709,-Q709)</f>
        <v/>
      </c>
      <c r="AB709">
        <f>S709=L709*(100+N709)%</f>
        <v/>
      </c>
    </row>
    <row r="710">
      <c r="A710" s="53" t="n">
        <v>2022</v>
      </c>
      <c r="B710" s="53" t="n">
        <v>44</v>
      </c>
      <c r="C710" s="71" t="inlineStr">
        <is>
          <t>Ausgaben</t>
        </is>
      </c>
      <c r="D710" t="inlineStr">
        <is>
          <t>sonstige Betriebsausgaben</t>
        </is>
      </c>
      <c r="G710" s="1" t="n">
        <v>44631</v>
      </c>
      <c r="H710" t="inlineStr">
        <is>
          <t>Hetzner Online GmbH</t>
        </is>
      </c>
      <c r="K710">
        <f>(IF(AND(I710&lt;&gt;"",AND(J710="",ABS(Q710)&gt;400)),TRUE,FALSE))</f>
        <v/>
      </c>
      <c r="L710" s="214" t="n">
        <v>47.7765</v>
      </c>
      <c r="M710" s="159" t="n">
        <v>1</v>
      </c>
      <c r="N710" t="n">
        <v>0</v>
      </c>
      <c r="O710" s="237">
        <f>L710*N710/100</f>
        <v/>
      </c>
      <c r="P710" s="237">
        <f>M710*O710</f>
        <v/>
      </c>
      <c r="Q710" s="208">
        <f>L710*M710</f>
        <v/>
      </c>
      <c r="R710" s="251">
        <f>L710+O710</f>
        <v/>
      </c>
      <c r="S710" s="251">
        <f>Q710+P710</f>
        <v/>
      </c>
      <c r="T710" s="35">
        <f>voranmeldefrist_vierteljaehrlich(G710)</f>
        <v/>
      </c>
      <c r="U710" s="27" t="n"/>
      <c r="V710" s="27" t="n">
        <v>20</v>
      </c>
      <c r="W710" s="210">
        <f>IF(K710=TRUE,Q710/J710,Q710)</f>
        <v/>
      </c>
      <c r="X710" s="237">
        <f>V710/100*S710</f>
        <v/>
      </c>
      <c r="Y710">
        <f>IF(AND(V710&gt;0,N710=V710),TRUE,FALSE)</f>
        <v/>
      </c>
      <c r="Z710" s="228">
        <f>IF(C710="Einnahmen",Q710,-Q710)</f>
        <v/>
      </c>
      <c r="AB710">
        <f>S710=L710*(100+N710)%</f>
        <v/>
      </c>
    </row>
    <row r="711">
      <c r="A711" s="53" t="n">
        <v>2022</v>
      </c>
      <c r="B711" s="53" t="n">
        <v>45</v>
      </c>
      <c r="C711" s="71" t="inlineStr">
        <is>
          <t>Einnahmen</t>
        </is>
      </c>
      <c r="D711" t="inlineStr">
        <is>
          <t>Waren-/Leistungserlöse</t>
        </is>
      </c>
      <c r="E711" t="n">
        <v>168041268</v>
      </c>
      <c r="G711" s="1" t="n">
        <v>44637</v>
      </c>
      <c r="H711" t="inlineStr">
        <is>
          <t>Hays Österreich GmbH, Bahnhof City Wien West , Europaplatz 3/5, 1150 Wien</t>
        </is>
      </c>
      <c r="K711">
        <f>(IF(AND(I711&lt;&gt;"",AND(J711="",ABS(Q711)&gt;400)),TRUE,FALSE))</f>
        <v/>
      </c>
      <c r="L711" s="214" t="n">
        <v>11890</v>
      </c>
      <c r="M711" s="159" t="n">
        <v>1</v>
      </c>
      <c r="N711" t="n">
        <v>20</v>
      </c>
      <c r="O711" s="237">
        <f>L711*N711/100</f>
        <v/>
      </c>
      <c r="P711" s="237">
        <f>M711*O711</f>
        <v/>
      </c>
      <c r="Q711" s="208">
        <f>L711*M711</f>
        <v/>
      </c>
      <c r="R711" s="251">
        <f>L711+O711</f>
        <v/>
      </c>
      <c r="S711" s="251">
        <f>Q711+P711</f>
        <v/>
      </c>
      <c r="T711" s="35">
        <f>voranmeldefrist_vierteljaehrlich(G711)</f>
        <v/>
      </c>
      <c r="U711" s="27" t="n"/>
      <c r="V711" s="27" t="n">
        <v>20</v>
      </c>
      <c r="W711" s="210">
        <f>IF(K711=TRUE,Q711/J711,Q711)</f>
        <v/>
      </c>
      <c r="X711" s="237">
        <f>V711/100*S711</f>
        <v/>
      </c>
      <c r="Y711">
        <f>IF(AND(V711&gt;0,N711=V711),TRUE,FALSE)</f>
        <v/>
      </c>
      <c r="Z711" s="228">
        <f>IF(C711="Einnahmen",Q711,-Q711)</f>
        <v/>
      </c>
      <c r="AB711">
        <f>S711=L711*(100+N711)%</f>
        <v/>
      </c>
    </row>
    <row r="712">
      <c r="A712" s="53" t="n">
        <v>2022</v>
      </c>
      <c r="B712" s="53" t="n">
        <v>46</v>
      </c>
      <c r="C712" s="71" t="inlineStr">
        <is>
          <t>Ausgaben</t>
        </is>
      </c>
      <c r="D712" t="inlineStr">
        <is>
          <t>sonstige Betriebsausgaben</t>
        </is>
      </c>
      <c r="E712" s="6" t="n"/>
      <c r="G712" s="1" t="n">
        <v>44641</v>
      </c>
      <c r="H712" t="inlineStr">
        <is>
          <t>Microsoft Ireland Operations Ltd. One Microsoft Place, South County, Business Park, Leopardstown, Dublin 18, D18 P521, Ireland</t>
        </is>
      </c>
      <c r="K712">
        <f>(IF(AND(I712&lt;&gt;"",AND(J712="",ABS(Q712)&gt;400)),TRUE,FALSE))</f>
        <v/>
      </c>
      <c r="L712" s="214" t="n">
        <v>10.5</v>
      </c>
      <c r="M712" s="159" t="n">
        <v>1</v>
      </c>
      <c r="N712" t="n">
        <v>0</v>
      </c>
      <c r="O712" s="237">
        <f>L712*N712/100</f>
        <v/>
      </c>
      <c r="P712" s="237">
        <f>M712*O712</f>
        <v/>
      </c>
      <c r="Q712" s="208">
        <f>L712*M712</f>
        <v/>
      </c>
      <c r="R712" s="251">
        <f>L712+O712</f>
        <v/>
      </c>
      <c r="S712" s="251">
        <f>Q712+P712</f>
        <v/>
      </c>
      <c r="T712" s="35">
        <f>voranmeldefrist_vierteljaehrlich(G712)</f>
        <v/>
      </c>
      <c r="U712" s="27" t="n"/>
      <c r="V712" s="27" t="n">
        <v>20</v>
      </c>
      <c r="W712" s="210">
        <f>IF(K712=TRUE,Q712/J712,Q712)</f>
        <v/>
      </c>
      <c r="X712" s="237">
        <f>V712/100*S712</f>
        <v/>
      </c>
      <c r="Y712">
        <f>IF(AND(V712&gt;0,N712=V712),TRUE,FALSE)</f>
        <v/>
      </c>
      <c r="Z712" s="228">
        <f>IF(C712="Einnahmen",Q712,-Q712)</f>
        <v/>
      </c>
      <c r="AB712">
        <f>S712=L712*(100+N712)%</f>
        <v/>
      </c>
    </row>
    <row r="713">
      <c r="A713" s="53" t="n">
        <v>2022</v>
      </c>
      <c r="B713" s="53" t="n">
        <v>47</v>
      </c>
      <c r="C713" s="71" t="inlineStr">
        <is>
          <t>Ausgaben</t>
        </is>
      </c>
      <c r="D713" t="inlineStr">
        <is>
          <t>Telefon/Internet</t>
        </is>
      </c>
      <c r="E713" s="131" t="n"/>
      <c r="G713" s="1" t="n">
        <v>44641</v>
      </c>
      <c r="H713" t="inlineStr">
        <is>
          <t>Magenta: T-Mobile Austria GmbH, A-1120 Wien, PF 47</t>
        </is>
      </c>
      <c r="K713">
        <f>(IF(AND(I713&lt;&gt;"",AND(J713="",ABS(Q713)&gt;400)),TRUE,FALSE))</f>
        <v/>
      </c>
      <c r="L713" s="214" t="n">
        <v>31.92</v>
      </c>
      <c r="M713" s="159" t="n">
        <v>1</v>
      </c>
      <c r="N713" t="n">
        <v>20</v>
      </c>
      <c r="O713" s="237">
        <f>L713*N713/100</f>
        <v/>
      </c>
      <c r="P713" s="237">
        <f>M713*O713</f>
        <v/>
      </c>
      <c r="Q713" s="208">
        <f>L713*M713</f>
        <v/>
      </c>
      <c r="R713" s="251">
        <f>L713+O713</f>
        <v/>
      </c>
      <c r="S713" s="251">
        <f>Q713+P713</f>
        <v/>
      </c>
      <c r="T713" s="35">
        <f>voranmeldefrist_vierteljaehrlich(G713)</f>
        <v/>
      </c>
      <c r="U713" s="27" t="n"/>
      <c r="V713" s="27" t="n"/>
      <c r="W713" s="210">
        <f>IF(K713=TRUE,Q713/I713,Q713)</f>
        <v/>
      </c>
      <c r="X713" s="237">
        <f>V713/100*S713</f>
        <v/>
      </c>
      <c r="Y713">
        <f>IF(AND(V713&gt;0,N713=V713),TRUE,FALSE)</f>
        <v/>
      </c>
      <c r="Z713" s="228">
        <f>IF(C713="Einnahmen",Q713,-Q713)</f>
        <v/>
      </c>
      <c r="AB713">
        <f>S713=L713*(100+N713)%</f>
        <v/>
      </c>
    </row>
    <row r="714">
      <c r="A714" s="53" t="n">
        <v>2022</v>
      </c>
      <c r="B714" s="53" t="n">
        <v>48</v>
      </c>
      <c r="C714" s="71" t="inlineStr">
        <is>
          <t>Ausgaben</t>
        </is>
      </c>
      <c r="D714" t="inlineStr">
        <is>
          <t>sonstige Betriebsausgaben</t>
        </is>
      </c>
      <c r="G714" s="1" t="n">
        <v>44644</v>
      </c>
      <c r="H714" t="inlineStr">
        <is>
          <t>easyname GmbH, Fernkorngasse 10/3/501, A-1100 Wien</t>
        </is>
      </c>
      <c r="K714">
        <f>(IF(AND(I714&lt;&gt;"",AND(J714="",ABS(Q714)&gt;400)),TRUE,FALSE))</f>
        <v/>
      </c>
      <c r="L714" s="214" t="n">
        <v>15.75</v>
      </c>
      <c r="M714" s="159" t="n">
        <v>1</v>
      </c>
      <c r="N714" t="n">
        <v>20</v>
      </c>
      <c r="O714" s="237">
        <f>L714*N714/100</f>
        <v/>
      </c>
      <c r="P714" s="237">
        <f>M714*O714</f>
        <v/>
      </c>
      <c r="Q714" s="208">
        <f>L714*M714</f>
        <v/>
      </c>
      <c r="R714" s="251">
        <f>L714+O714</f>
        <v/>
      </c>
      <c r="S714" s="251">
        <f>Q714+P714</f>
        <v/>
      </c>
      <c r="T714" s="35">
        <f>voranmeldefrist_vierteljaehrlich(G714)</f>
        <v/>
      </c>
      <c r="U714" s="27" t="n"/>
      <c r="V714" s="27" t="n"/>
      <c r="W714" s="210">
        <f>IF(K714=TRUE,Q714/J714,Q714)</f>
        <v/>
      </c>
      <c r="X714" s="237">
        <f>V714/100*S714</f>
        <v/>
      </c>
      <c r="Y714">
        <f>IF(AND(V714&gt;0,N714=V714),TRUE,FALSE)</f>
        <v/>
      </c>
      <c r="Z714" s="228">
        <f>IF(C714="Einnahmen",Q714,-Q714)</f>
        <v/>
      </c>
      <c r="AB714">
        <f>S714=L714*(100+N714)%</f>
        <v/>
      </c>
    </row>
    <row r="715">
      <c r="A715" s="53" t="n">
        <v>2022</v>
      </c>
      <c r="B715" s="53" t="n">
        <v>49</v>
      </c>
      <c r="C715" s="71" t="inlineStr">
        <is>
          <t>Ausgaben</t>
        </is>
      </c>
      <c r="D715" t="inlineStr">
        <is>
          <t>sonstige Betriebsausgaben</t>
        </is>
      </c>
      <c r="E715" s="9" t="inlineStr">
        <is>
          <t>2022121</t>
        </is>
      </c>
      <c r="G715" s="1" t="n">
        <v>44648</v>
      </c>
      <c r="H715" t="inlineStr">
        <is>
          <t>3W Steuerkanzlei, Roter Hof 1a, 1080 Wien</t>
        </is>
      </c>
      <c r="K715">
        <f>(IF(AND(I715&lt;&gt;"",AND(J715="",ABS(Q715)&gt;400)),TRUE,FALSE))</f>
        <v/>
      </c>
      <c r="L715" s="214" t="n">
        <v>527.5</v>
      </c>
      <c r="M715" s="159" t="n">
        <v>1</v>
      </c>
      <c r="N715" t="n">
        <v>20</v>
      </c>
      <c r="O715" s="237">
        <f>L715*N715/100</f>
        <v/>
      </c>
      <c r="P715" s="237">
        <f>M715*O715</f>
        <v/>
      </c>
      <c r="Q715" s="208">
        <f>L715*M715</f>
        <v/>
      </c>
      <c r="R715" s="251">
        <f>L715+O715</f>
        <v/>
      </c>
      <c r="S715" s="251">
        <f>Q715+P715</f>
        <v/>
      </c>
      <c r="T715" s="35">
        <f>voranmeldefrist_vierteljaehrlich(G715)</f>
        <v/>
      </c>
      <c r="U715" s="27" t="n"/>
      <c r="V715" s="27" t="n"/>
      <c r="W715" s="210">
        <f>IF(K715=TRUE,Q715/J715,Q715)</f>
        <v/>
      </c>
      <c r="X715" s="237">
        <f>V715/100*S715</f>
        <v/>
      </c>
      <c r="Y715">
        <f>IF(AND(V715&gt;0,N715=V715),TRUE,FALSE)</f>
        <v/>
      </c>
      <c r="Z715" s="228">
        <f>IF(C715="Einnahmen",Q715,-Q715)</f>
        <v/>
      </c>
      <c r="AB715">
        <f>S715=L715*(100+N715)%</f>
        <v/>
      </c>
    </row>
    <row r="716">
      <c r="A716" s="53" t="n">
        <v>2022</v>
      </c>
      <c r="B716" s="53" t="n">
        <v>50</v>
      </c>
      <c r="C716" s="71" t="inlineStr">
        <is>
          <t>Ausgaben</t>
        </is>
      </c>
      <c r="D716" t="inlineStr">
        <is>
          <t>sonstige Betriebsausgaben</t>
        </is>
      </c>
      <c r="E716" s="9" t="inlineStr">
        <is>
          <t>2022120</t>
        </is>
      </c>
      <c r="G716" s="1" t="n">
        <v>44648</v>
      </c>
      <c r="H716" t="inlineStr">
        <is>
          <t>3W Steuerkanzlei, Roter Hof 1a, 1080 Wien</t>
        </is>
      </c>
      <c r="K716">
        <f>(IF(AND(I716&lt;&gt;"",AND(J716="",ABS(Q716)&gt;400)),TRUE,FALSE))</f>
        <v/>
      </c>
      <c r="L716" s="214" t="n">
        <v>457.5</v>
      </c>
      <c r="M716" s="159" t="n">
        <v>1</v>
      </c>
      <c r="N716" t="n">
        <v>20</v>
      </c>
      <c r="O716" s="237">
        <f>L716*N716/100</f>
        <v/>
      </c>
      <c r="P716" s="237">
        <f>M716*O716</f>
        <v/>
      </c>
      <c r="Q716" s="208">
        <f>L716*M716</f>
        <v/>
      </c>
      <c r="R716" s="251">
        <f>L716+O716</f>
        <v/>
      </c>
      <c r="S716" s="251">
        <f>Q716+P716</f>
        <v/>
      </c>
      <c r="T716" s="35">
        <f>voranmeldefrist_vierteljaehrlich(G716)</f>
        <v/>
      </c>
      <c r="U716" s="27" t="n"/>
      <c r="V716" s="27" t="n"/>
      <c r="W716" s="210">
        <f>IF(K716=TRUE,Q716/J716,Q716)</f>
        <v/>
      </c>
      <c r="X716" s="237">
        <f>V716/100*S716</f>
        <v/>
      </c>
      <c r="Y716">
        <f>IF(AND(V716&gt;0,N716=V716),TRUE,FALSE)</f>
        <v/>
      </c>
      <c r="Z716" s="228">
        <f>IF(C716="Einnahmen",Q716,-Q716)</f>
        <v/>
      </c>
      <c r="AB716">
        <f>S716=L716*(100+N716)%</f>
        <v/>
      </c>
    </row>
    <row r="717">
      <c r="A717" s="53" t="n">
        <v>2022</v>
      </c>
      <c r="B717" s="53" t="n">
        <v>51</v>
      </c>
      <c r="C717" s="71" t="inlineStr">
        <is>
          <t>Einnahmen</t>
        </is>
      </c>
      <c r="D717" t="inlineStr">
        <is>
          <t>Waren-/Leistungserlöse</t>
        </is>
      </c>
      <c r="E717" s="6" t="n">
        <v>12022006</v>
      </c>
      <c r="G717" s="1" t="n">
        <v>44652</v>
      </c>
      <c r="H717" t="inlineStr">
        <is>
          <t>ZT DI Dr. Arno Kolbitsch, Gütleweg 1, 6822 Satteins</t>
        </is>
      </c>
      <c r="K717">
        <f>(IF(AND(I717&lt;&gt;"",AND(J717="",ABS(Q717)&gt;400)),TRUE,FALSE))</f>
        <v/>
      </c>
      <c r="L717" s="214" t="n">
        <v>2835.42</v>
      </c>
      <c r="M717" s="159" t="n">
        <v>1</v>
      </c>
      <c r="N717" t="n">
        <v>20</v>
      </c>
      <c r="O717" s="237">
        <f>L717*N717/100</f>
        <v/>
      </c>
      <c r="P717" s="237">
        <f>M717*O717</f>
        <v/>
      </c>
      <c r="Q717" s="208">
        <f>L717*M717</f>
        <v/>
      </c>
      <c r="R717" s="251">
        <f>L717+O717</f>
        <v/>
      </c>
      <c r="S717" s="251">
        <f>Q717+P717</f>
        <v/>
      </c>
      <c r="T717" s="35">
        <f>voranmeldefrist_vierteljaehrlich(G717)</f>
        <v/>
      </c>
      <c r="U717" s="27" t="n"/>
      <c r="V717" s="27" t="n"/>
      <c r="W717" s="210">
        <f>IF(K717=TRUE,Q717/I717,Q717)</f>
        <v/>
      </c>
      <c r="X717" s="237">
        <f>V717/100*S717</f>
        <v/>
      </c>
      <c r="Y717">
        <f>IF(AND(V717&gt;0,N717=V717),TRUE,FALSE)</f>
        <v/>
      </c>
      <c r="Z717" s="228">
        <f>IF(C717="Einnahmen",Q717,-Q717)</f>
        <v/>
      </c>
      <c r="AB717">
        <f>S717=L717*(100+N717)%</f>
        <v/>
      </c>
    </row>
    <row r="718">
      <c r="A718" s="53" t="n">
        <v>2022</v>
      </c>
      <c r="B718" s="53" t="n">
        <v>52</v>
      </c>
      <c r="C718" s="71" t="inlineStr">
        <is>
          <t>Ausgaben</t>
        </is>
      </c>
      <c r="D718" t="inlineStr">
        <is>
          <t>Miet- und Pachtaufwand, Leasing</t>
        </is>
      </c>
      <c r="G718" s="1" t="n">
        <v>44652</v>
      </c>
      <c r="H718" t="inlineStr">
        <is>
          <t>Bontus Immobilienverwaltung GmbH, 1010 Wien, Franz Josefs Kai 65</t>
        </is>
      </c>
      <c r="K718" t="b">
        <v>0</v>
      </c>
      <c r="L718" s="233">
        <f>574.43/1.2</f>
        <v/>
      </c>
      <c r="M718" s="159" t="n">
        <v>1</v>
      </c>
      <c r="N718" t="n">
        <v>20</v>
      </c>
      <c r="O718" s="237">
        <f>L718*N718/100</f>
        <v/>
      </c>
      <c r="P718" s="237">
        <f>M718*O718</f>
        <v/>
      </c>
      <c r="Q718" s="208">
        <f>L718*M718</f>
        <v/>
      </c>
      <c r="R718" s="251">
        <f>L718+O718</f>
        <v/>
      </c>
      <c r="S718" s="251">
        <f>Q718+P718</f>
        <v/>
      </c>
      <c r="T718" s="35">
        <f>voranmeldefrist_vierteljaehrlich(G718)</f>
        <v/>
      </c>
      <c r="U718" s="27" t="n"/>
      <c r="V718" s="27" t="n"/>
      <c r="W718" s="210">
        <f>IF(K718=TRUE,Q718/J718,Q718)</f>
        <v/>
      </c>
      <c r="X718" s="237">
        <f>V718/100*S718</f>
        <v/>
      </c>
      <c r="Y718">
        <f>IF(AND(V718&gt;0,N718=V718),TRUE,FALSE)</f>
        <v/>
      </c>
      <c r="Z718" s="228">
        <f>IF(C718="Einnahmen",Q718,-Q718)</f>
        <v/>
      </c>
      <c r="AB718">
        <f>S718=L718*(100+N718)%</f>
        <v/>
      </c>
    </row>
    <row r="719">
      <c r="A719" s="53" t="n">
        <v>2022</v>
      </c>
      <c r="B719" s="53" t="n">
        <v>53</v>
      </c>
      <c r="C719" s="71" t="inlineStr">
        <is>
          <t>Ausgaben</t>
        </is>
      </c>
      <c r="D719" t="inlineStr">
        <is>
          <t>Telefon/Internet</t>
        </is>
      </c>
      <c r="G719" s="1" t="n">
        <v>44652</v>
      </c>
      <c r="H719" t="inlineStr">
        <is>
          <t>Hutchison Drei Austria GmbH, Brünner Straße 52, 1210 Wien, Österreich</t>
        </is>
      </c>
      <c r="K719">
        <f>(IF(AND(I719&lt;&gt;"",AND(J719="",ABS(Q719)&gt;400)),TRUE,FALSE))</f>
        <v/>
      </c>
      <c r="L719" s="214" t="n">
        <v>15</v>
      </c>
      <c r="M719" s="159" t="n">
        <v>1</v>
      </c>
      <c r="N719" t="n">
        <v>20</v>
      </c>
      <c r="O719" s="237">
        <f>L719*N719/100</f>
        <v/>
      </c>
      <c r="P719" s="237">
        <f>M719*O719</f>
        <v/>
      </c>
      <c r="Q719" s="208">
        <f>L719*M719</f>
        <v/>
      </c>
      <c r="R719" s="251">
        <f>L719+O719</f>
        <v/>
      </c>
      <c r="S719" s="251">
        <f>Q719+P719</f>
        <v/>
      </c>
      <c r="T719" s="35">
        <f>voranmeldefrist_vierteljaehrlich(G719)</f>
        <v/>
      </c>
      <c r="U719" s="27" t="n"/>
      <c r="V719" s="27" t="n"/>
      <c r="W719" s="210">
        <f>IF(K719=TRUE,Q719/I719,Q719)</f>
        <v/>
      </c>
      <c r="X719" s="237">
        <f>V719/100*S719</f>
        <v/>
      </c>
      <c r="Y719">
        <f>IF(AND(V719&gt;0,N719=V719),TRUE,FALSE)</f>
        <v/>
      </c>
      <c r="Z719" s="228">
        <f>IF(C719="Einnahmen",Q719,-Q719)</f>
        <v/>
      </c>
      <c r="AB719">
        <f>S719=L719*(100+N719)%</f>
        <v/>
      </c>
    </row>
    <row r="720">
      <c r="A720" s="53" t="n">
        <v>2022</v>
      </c>
      <c r="B720" s="53" t="n">
        <v>54</v>
      </c>
      <c r="C720" s="71" t="inlineStr">
        <is>
          <t>Einnahmen</t>
        </is>
      </c>
      <c r="D720" t="inlineStr">
        <is>
          <t>Waren-/Leistungserlöse</t>
        </is>
      </c>
      <c r="G720" s="1" t="n">
        <v>44652</v>
      </c>
      <c r="H720" t="inlineStr">
        <is>
          <t>Kolbitsch Engineering &amp; Consulting KNr 45</t>
        </is>
      </c>
      <c r="K720" t="b">
        <v>0</v>
      </c>
      <c r="L720" s="214" t="n">
        <v>183</v>
      </c>
      <c r="M720" s="159" t="n">
        <v>1</v>
      </c>
      <c r="N720" t="n">
        <v>20</v>
      </c>
      <c r="O720" s="237">
        <f>L720*N720/100</f>
        <v/>
      </c>
      <c r="P720" s="237">
        <f>M720*O720</f>
        <v/>
      </c>
      <c r="Q720" s="208">
        <f>L720*M720</f>
        <v/>
      </c>
      <c r="R720" s="251">
        <f>L720+O720</f>
        <v/>
      </c>
      <c r="S720" s="251">
        <f>Q720+P720</f>
        <v/>
      </c>
      <c r="T720" s="35">
        <f>voranmeldefrist_vierteljaehrlich(G720)</f>
        <v/>
      </c>
      <c r="U720" s="27" t="n"/>
      <c r="V720" s="27" t="n"/>
      <c r="W720" s="210">
        <f>IF(K720=TRUE,Q720/J720,Q720)</f>
        <v/>
      </c>
      <c r="X720" s="237">
        <f>V720/100*S720</f>
        <v/>
      </c>
      <c r="Y720">
        <f>IF(AND(V720&gt;0,N720=V720),TRUE,FALSE)</f>
        <v/>
      </c>
      <c r="Z720" s="228">
        <f>IF(C720="Einnahmen",Q720,-Q720)</f>
        <v/>
      </c>
      <c r="AB720">
        <f>S720=L720*(100+N720)%</f>
        <v/>
      </c>
    </row>
    <row r="721">
      <c r="A721" s="53" t="n">
        <v>2022</v>
      </c>
      <c r="B721" s="53" t="n">
        <v>55</v>
      </c>
      <c r="C721" s="71" t="inlineStr">
        <is>
          <t>Ausgaben</t>
        </is>
      </c>
      <c r="D721" t="inlineStr">
        <is>
          <t>sonstige Betriebsausgaben</t>
        </is>
      </c>
      <c r="G721" s="1" t="n">
        <v>44655</v>
      </c>
      <c r="H721" t="inlineStr">
        <is>
          <t>Google Ireland Ltd, Gordon House, Barrow Street, Dublin 4, Ireland; VAT number: IE 6388047V</t>
        </is>
      </c>
      <c r="K721" t="b">
        <v>0</v>
      </c>
      <c r="L721" s="214" t="n">
        <v>10.4</v>
      </c>
      <c r="M721" s="159" t="n">
        <v>1</v>
      </c>
      <c r="N721" t="n">
        <v>0</v>
      </c>
      <c r="O721" s="237">
        <f>L721*N721/100</f>
        <v/>
      </c>
      <c r="P721" s="237">
        <f>M721*O721</f>
        <v/>
      </c>
      <c r="Q721" s="208">
        <f>L721*M721</f>
        <v/>
      </c>
      <c r="R721" s="251">
        <f>L721+O721</f>
        <v/>
      </c>
      <c r="S721" s="251">
        <f>Q721+P721</f>
        <v/>
      </c>
      <c r="T721" s="35">
        <f>voranmeldefrist_vierteljaehrlich(G721)</f>
        <v/>
      </c>
      <c r="U721" s="27" t="n"/>
      <c r="V721" s="27" t="n">
        <v>20</v>
      </c>
      <c r="W721" s="210">
        <f>IF(K721=TRUE,Q721/I721,Q721)</f>
        <v/>
      </c>
      <c r="X721" s="237">
        <f>V721/100*S721</f>
        <v/>
      </c>
      <c r="Y721">
        <f>IF(AND(V721&gt;0,N721=V721),TRUE,FALSE)</f>
        <v/>
      </c>
      <c r="Z721" s="228">
        <f>IF(C721="Einnahmen",Q721,-Q721)</f>
        <v/>
      </c>
      <c r="AB721">
        <f>S721=L721*(100+N721)%</f>
        <v/>
      </c>
    </row>
    <row r="722">
      <c r="A722" s="53" t="n">
        <v>2022</v>
      </c>
      <c r="B722" s="53" t="n">
        <v>56</v>
      </c>
      <c r="C722" s="71" t="inlineStr">
        <is>
          <t>Ausgaben</t>
        </is>
      </c>
      <c r="D722" t="inlineStr">
        <is>
          <t>Reise- und Fahrtspesen inkl. Kilometergeld und Diäten</t>
        </is>
      </c>
      <c r="E722" s="9" t="inlineStr">
        <is>
          <t>201112204022ALB-00CV2QPBMX40</t>
        </is>
      </c>
      <c r="G722" s="1" t="n">
        <v>44655</v>
      </c>
      <c r="H722" t="inlineStr">
        <is>
          <t>Wiener Linien GmbH &amp; Co KG</t>
        </is>
      </c>
      <c r="K722">
        <f>(IF(AND(I722&lt;&gt;"",AND(J722="",ABS(Q722)&gt;400)),TRUE,FALSE))</f>
        <v/>
      </c>
      <c r="L722" s="214">
        <f>40.8</f>
        <v/>
      </c>
      <c r="M722" s="159" t="n">
        <v>1</v>
      </c>
      <c r="N722" t="n">
        <v>0</v>
      </c>
      <c r="O722" s="237">
        <f>L722*N722/100</f>
        <v/>
      </c>
      <c r="P722" s="237">
        <f>M722*O722</f>
        <v/>
      </c>
      <c r="Q722" s="208">
        <f>L722*M722</f>
        <v/>
      </c>
      <c r="R722" s="251">
        <f>L722+O722</f>
        <v/>
      </c>
      <c r="S722" s="251">
        <f>Q722+P722</f>
        <v/>
      </c>
      <c r="T722" s="35">
        <f>voranmeldefrist_vierteljaehrlich(G722)</f>
        <v/>
      </c>
      <c r="U722" s="27" t="n"/>
      <c r="V722" s="27" t="n"/>
      <c r="W722" s="210">
        <f>IF(K722=TRUE,Q722/J722,Q722)</f>
        <v/>
      </c>
      <c r="X722" s="237">
        <f>V722/100*S722</f>
        <v/>
      </c>
      <c r="Y722">
        <f>IF(AND(V722&gt;0,N722=V722),TRUE,FALSE)</f>
        <v/>
      </c>
      <c r="Z722" s="228">
        <f>IF(C722="Einnahmen",Q722,-Q722)</f>
        <v/>
      </c>
      <c r="AB722">
        <f>S722=L722*(100+N722)%</f>
        <v/>
      </c>
    </row>
    <row r="723">
      <c r="A723" s="53" t="n">
        <v>2022</v>
      </c>
      <c r="B723" s="53" t="n">
        <v>57</v>
      </c>
      <c r="C723" s="71" t="inlineStr">
        <is>
          <t>Ausgaben</t>
        </is>
      </c>
      <c r="D723" t="inlineStr">
        <is>
          <t>Reise- und Fahrtspesen inkl. Kilometergeld und Diäten</t>
        </is>
      </c>
      <c r="E723" s="131" t="n"/>
      <c r="G723" s="1" t="n">
        <v>44655</v>
      </c>
      <c r="H723" t="inlineStr">
        <is>
          <t>car2go Österreich GmbH, Hintere Zollamtstraße 9, 1030 Wien</t>
        </is>
      </c>
      <c r="K723" t="b">
        <v>0</v>
      </c>
      <c r="L723" s="214" t="n">
        <v>20.03</v>
      </c>
      <c r="M723" s="159" t="n">
        <v>1</v>
      </c>
      <c r="N723" t="n">
        <v>20</v>
      </c>
      <c r="O723" s="237">
        <f>L723*N723/100</f>
        <v/>
      </c>
      <c r="P723" s="237">
        <f>M723*O723</f>
        <v/>
      </c>
      <c r="Q723" s="208">
        <f>L723*M723</f>
        <v/>
      </c>
      <c r="R723" s="251">
        <f>L723+O723</f>
        <v/>
      </c>
      <c r="S723" s="251">
        <f>Q723+P723</f>
        <v/>
      </c>
      <c r="T723" s="35">
        <f>voranmeldefrist_vierteljaehrlich(G723)</f>
        <v/>
      </c>
      <c r="U723" s="27" t="n"/>
      <c r="V723" s="27" t="n"/>
      <c r="W723" s="210">
        <f>IF(K723=TRUE,Q723/J723,Q723)</f>
        <v/>
      </c>
      <c r="X723" s="237">
        <f>V723/100*S723</f>
        <v/>
      </c>
      <c r="Y723">
        <f>IF(AND(V723&gt;0,N723=V723),TRUE,FALSE)</f>
        <v/>
      </c>
      <c r="Z723" s="228">
        <f>IF(C723="Einnahmen",Q723,-Q723)</f>
        <v/>
      </c>
      <c r="AB723">
        <f>S723=L723*(100+N723)%</f>
        <v/>
      </c>
    </row>
    <row r="724">
      <c r="A724" s="53" t="n">
        <v>2022</v>
      </c>
      <c r="B724" s="53" t="n">
        <v>58</v>
      </c>
      <c r="C724" s="71" t="inlineStr">
        <is>
          <t>Ausgaben</t>
        </is>
      </c>
      <c r="D724" t="inlineStr">
        <is>
          <t>sonstige Betriebsausgaben</t>
        </is>
      </c>
      <c r="E724" s="153" t="inlineStr">
        <is>
          <t>siehe Jahresabrechnung</t>
        </is>
      </c>
      <c r="G724" s="1" t="n">
        <v>44656</v>
      </c>
      <c r="H724" t="inlineStr">
        <is>
          <t>go green energy GmbH &amp; Co KG</t>
        </is>
      </c>
      <c r="K724">
        <f>(IF(AND(I724&lt;&gt;"",AND(J724="",ABS(Q724)&gt;400)),TRUE,FALSE))</f>
        <v/>
      </c>
      <c r="L724" s="214" t="n">
        <v>2.5</v>
      </c>
      <c r="M724" s="159" t="n">
        <v>1</v>
      </c>
      <c r="N724" t="n">
        <v>20</v>
      </c>
      <c r="O724" s="237">
        <f>L724*N724/100</f>
        <v/>
      </c>
      <c r="P724" s="237">
        <f>M724*O724</f>
        <v/>
      </c>
      <c r="Q724" s="208">
        <f>L724*M724</f>
        <v/>
      </c>
      <c r="R724" s="251">
        <f>L724+O724</f>
        <v/>
      </c>
      <c r="S724" s="251">
        <f>Q724+P724</f>
        <v/>
      </c>
      <c r="T724" s="35">
        <f>voranmeldefrist_vierteljaehrlich(G724)</f>
        <v/>
      </c>
      <c r="U724" s="27" t="n"/>
      <c r="V724" s="27" t="n"/>
      <c r="W724" s="210">
        <f>IF(K724=TRUE,Q724/J724,Q724)</f>
        <v/>
      </c>
      <c r="X724" s="237">
        <f>V724/100*S724</f>
        <v/>
      </c>
      <c r="Y724">
        <f>IF(AND(V724&gt;0,N724=V724),TRUE,FALSE)</f>
        <v/>
      </c>
      <c r="Z724" s="228">
        <f>IF(C724="Einnahmen",Q724,-Q724)</f>
        <v/>
      </c>
      <c r="AB724">
        <f>S724=L724*(100+N724)%</f>
        <v/>
      </c>
    </row>
    <row r="725">
      <c r="A725" s="53" t="n">
        <v>2022</v>
      </c>
      <c r="B725" s="53" t="n">
        <v>59</v>
      </c>
      <c r="C725" s="71" t="inlineStr">
        <is>
          <t>Ausgaben</t>
        </is>
      </c>
      <c r="D725" t="inlineStr">
        <is>
          <t>Miet- und Pachtaufwand, Leasing</t>
        </is>
      </c>
      <c r="E725" s="139" t="n"/>
      <c r="G725" s="1" t="n">
        <v>44656</v>
      </c>
      <c r="H725" t="inlineStr">
        <is>
          <t>Techem Messtechnik GmbH; Abnehmernummer 501686-0003-11-</t>
        </is>
      </c>
      <c r="K725" t="b">
        <v>0</v>
      </c>
      <c r="L725" s="214" t="n">
        <v>122.6</v>
      </c>
      <c r="M725" s="159" t="n">
        <v>1</v>
      </c>
      <c r="N725" t="n">
        <v>20</v>
      </c>
      <c r="O725" s="237">
        <f>L725*N725/100</f>
        <v/>
      </c>
      <c r="P725" s="237">
        <f>M725*O725</f>
        <v/>
      </c>
      <c r="Q725" s="208">
        <f>L725*M725</f>
        <v/>
      </c>
      <c r="R725" s="251">
        <f>L725+O725</f>
        <v/>
      </c>
      <c r="S725" s="251">
        <f>Q725+P725</f>
        <v/>
      </c>
      <c r="T725" s="35">
        <f>voranmeldefrist_vierteljaehrlich(G725)</f>
        <v/>
      </c>
      <c r="U725" s="27" t="n"/>
      <c r="V725" s="27" t="n"/>
      <c r="W725" s="210">
        <f>IF(K725=TRUE,Q725/J725,Q725)</f>
        <v/>
      </c>
      <c r="X725" s="237">
        <f>V725/100*S725</f>
        <v/>
      </c>
      <c r="Y725">
        <f>IF(AND(V725&gt;0,N725=V725),TRUE,FALSE)</f>
        <v/>
      </c>
      <c r="Z725" s="228">
        <f>IF(C725="Einnahmen",Q725,-Q725)</f>
        <v/>
      </c>
      <c r="AB725">
        <f>S725=L725*(100+N725)%</f>
        <v/>
      </c>
    </row>
    <row r="726">
      <c r="A726" s="53" t="n">
        <v>2022</v>
      </c>
      <c r="B726" s="53" t="n">
        <v>60</v>
      </c>
      <c r="C726" s="71" t="inlineStr">
        <is>
          <t>Einnahmen</t>
        </is>
      </c>
      <c r="D726" t="inlineStr">
        <is>
          <t>Waren-/Leistungserlöse</t>
        </is>
      </c>
      <c r="E726" t="n">
        <v>12022004</v>
      </c>
      <c r="G726" s="1" t="n">
        <v>44657</v>
      </c>
      <c r="H726" t="inlineStr">
        <is>
          <t>Paperholic all bout paper e.U.</t>
        </is>
      </c>
      <c r="K726" t="b">
        <v>0</v>
      </c>
      <c r="L726" s="214" t="n">
        <v>270</v>
      </c>
      <c r="M726" s="159" t="n">
        <v>1</v>
      </c>
      <c r="N726" t="n">
        <v>20</v>
      </c>
      <c r="O726" s="237">
        <f>L726*N726/100</f>
        <v/>
      </c>
      <c r="P726" s="237">
        <f>M726*O726</f>
        <v/>
      </c>
      <c r="Q726" s="208">
        <f>L726*M726</f>
        <v/>
      </c>
      <c r="R726" s="251">
        <f>L726+O726</f>
        <v/>
      </c>
      <c r="S726" s="251">
        <f>Q726+P726</f>
        <v/>
      </c>
      <c r="T726" s="35">
        <f>voranmeldefrist_vierteljaehrlich(G726)</f>
        <v/>
      </c>
      <c r="U726" s="27" t="n"/>
      <c r="V726" s="27" t="n"/>
      <c r="W726" s="210">
        <f>IF(K726=TRUE,Q726/I726,Q726)</f>
        <v/>
      </c>
      <c r="X726" s="237">
        <f>V726/100*S726</f>
        <v/>
      </c>
      <c r="Y726">
        <f>IF(AND(V726&gt;0,N726=V726),TRUE,FALSE)</f>
        <v/>
      </c>
      <c r="Z726" s="228">
        <f>IF(C726="Einnahmen",Q726,-Q726)</f>
        <v/>
      </c>
      <c r="AB726">
        <f>S726=L726*(100+N726)%</f>
        <v/>
      </c>
    </row>
    <row r="727">
      <c r="A727" s="53" t="n">
        <v>2022</v>
      </c>
      <c r="B727" s="53" t="n">
        <v>61</v>
      </c>
      <c r="C727" s="71" t="inlineStr">
        <is>
          <t>Einnahmen</t>
        </is>
      </c>
      <c r="D727" t="inlineStr">
        <is>
          <t>Waren-/Leistungserlöse</t>
        </is>
      </c>
      <c r="E727" t="n">
        <v>12022005</v>
      </c>
      <c r="G727" s="1" t="n">
        <v>44662</v>
      </c>
      <c r="H727" t="inlineStr">
        <is>
          <t>Schick Küchendesign e.U. Alexander Schick, Linzerstraße 247, 1140 Wien</t>
        </is>
      </c>
      <c r="K727">
        <f>(IF(AND(I727&lt;&gt;"",AND(J727="",ABS(Q727)&gt;400)),TRUE,FALSE))</f>
        <v/>
      </c>
      <c r="L727" s="214" t="n">
        <v>520</v>
      </c>
      <c r="M727" s="159" t="n">
        <v>1</v>
      </c>
      <c r="N727" t="n">
        <v>20</v>
      </c>
      <c r="O727" s="237">
        <f>L727*N727/100</f>
        <v/>
      </c>
      <c r="P727" s="237">
        <f>M727*O727</f>
        <v/>
      </c>
      <c r="Q727" s="208">
        <f>L727*M727</f>
        <v/>
      </c>
      <c r="R727" s="251">
        <f>L727+O727</f>
        <v/>
      </c>
      <c r="S727" s="251">
        <f>Q727+P727</f>
        <v/>
      </c>
      <c r="T727" s="35">
        <f>voranmeldefrist_vierteljaehrlich(G727)</f>
        <v/>
      </c>
      <c r="U727" s="27" t="n"/>
      <c r="V727" s="27" t="n"/>
      <c r="W727" s="210">
        <f>IF(K727=TRUE,Q727/J727,Q727)</f>
        <v/>
      </c>
      <c r="X727" s="237">
        <f>V727/100*S727</f>
        <v/>
      </c>
      <c r="Y727">
        <f>IF(AND(V727&gt;0,N727=V727),TRUE,FALSE)</f>
        <v/>
      </c>
      <c r="Z727" s="228">
        <f>IF(C727="Einnahmen",Q727,-Q727)</f>
        <v/>
      </c>
      <c r="AB727">
        <f>S727=L727*(100+N727)%</f>
        <v/>
      </c>
    </row>
    <row r="728">
      <c r="A728" s="53" t="n">
        <v>2022</v>
      </c>
      <c r="B728" s="53" t="n">
        <v>62</v>
      </c>
      <c r="C728" s="71" t="inlineStr">
        <is>
          <t>Ausgaben</t>
        </is>
      </c>
      <c r="D728" t="inlineStr">
        <is>
          <t>sonstige Betriebsausgaben</t>
        </is>
      </c>
      <c r="E728" s="139" t="inlineStr">
        <is>
          <t>220008996902</t>
        </is>
      </c>
      <c r="G728" s="1" t="n">
        <v>44662</v>
      </c>
      <c r="H728" t="inlineStr">
        <is>
          <t>Wiener Netze GmbH, Erdbergstraße 236, 1110 Wien, Postfach 422; Jahresabrechnung vom 17.12.20: GUTSCHRIFT</t>
        </is>
      </c>
      <c r="K728">
        <f>(IF(AND(I728&lt;&gt;"",AND(J728="",ABS(Q728)&gt;400)),TRUE,FALSE))</f>
        <v/>
      </c>
      <c r="L728" s="214" t="n">
        <v>11</v>
      </c>
      <c r="M728" s="159" t="n">
        <v>1</v>
      </c>
      <c r="N728" t="n">
        <v>20</v>
      </c>
      <c r="O728" s="237">
        <f>L728*N728/100</f>
        <v/>
      </c>
      <c r="P728" s="237">
        <f>M728*O728</f>
        <v/>
      </c>
      <c r="Q728" s="208">
        <f>L728*M728</f>
        <v/>
      </c>
      <c r="R728" s="251">
        <f>L728+O728</f>
        <v/>
      </c>
      <c r="S728" s="251">
        <f>Q728+P728</f>
        <v/>
      </c>
      <c r="T728" s="35">
        <f>voranmeldefrist_vierteljaehrlich(G728)</f>
        <v/>
      </c>
      <c r="U728" s="27" t="n"/>
      <c r="V728" s="27" t="n"/>
      <c r="W728" s="210">
        <f>IF(K728=TRUE,Q728/J728,Q728)</f>
        <v/>
      </c>
      <c r="X728" s="237">
        <f>V728/100*S728</f>
        <v/>
      </c>
      <c r="Y728">
        <f>IF(AND(V728&gt;0,N728=V728),TRUE,FALSE)</f>
        <v/>
      </c>
      <c r="Z728" s="228">
        <f>IF(C728="Einnahmen",Q728,-Q728)</f>
        <v/>
      </c>
      <c r="AB728">
        <f>S728=L728*(100+N728)%</f>
        <v/>
      </c>
    </row>
    <row r="729">
      <c r="A729" s="53" t="n">
        <v>2022</v>
      </c>
      <c r="B729" s="53" t="n">
        <v>63</v>
      </c>
      <c r="C729" s="71" t="inlineStr">
        <is>
          <t>Ausgaben</t>
        </is>
      </c>
      <c r="D729" t="inlineStr">
        <is>
          <t>sonstige Betriebsausgaben</t>
        </is>
      </c>
      <c r="G729" s="1" t="n">
        <v>44664</v>
      </c>
      <c r="H729" t="inlineStr">
        <is>
          <t>Hetzner Online GmbH</t>
        </is>
      </c>
      <c r="K729">
        <f>(IF(AND(I729&lt;&gt;"",AND(J729="",ABS(Q729)&gt;400)),TRUE,FALSE))</f>
        <v/>
      </c>
      <c r="L729" s="214" t="n">
        <v>47.7765</v>
      </c>
      <c r="M729" s="159" t="n">
        <v>1</v>
      </c>
      <c r="N729" t="n">
        <v>0</v>
      </c>
      <c r="O729" s="237">
        <f>L729*N729/100</f>
        <v/>
      </c>
      <c r="P729" s="237">
        <f>M729*O729</f>
        <v/>
      </c>
      <c r="Q729" s="208">
        <f>L729*M729</f>
        <v/>
      </c>
      <c r="R729" s="251">
        <f>L729+O729</f>
        <v/>
      </c>
      <c r="S729" s="251">
        <f>Q729+P729</f>
        <v/>
      </c>
      <c r="T729" s="35">
        <f>voranmeldefrist_vierteljaehrlich(G729)</f>
        <v/>
      </c>
      <c r="U729" s="27" t="n"/>
      <c r="V729" s="27" t="n">
        <v>20</v>
      </c>
      <c r="W729" s="210">
        <f>IF(K729=TRUE,Q729/J729,Q729)</f>
        <v/>
      </c>
      <c r="X729" s="237">
        <f>V729/100*S729</f>
        <v/>
      </c>
      <c r="Y729">
        <f>IF(AND(V729&gt;0,N729=V729),TRUE,FALSE)</f>
        <v/>
      </c>
      <c r="Z729" s="228">
        <f>IF(C729="Einnahmen",Q729,-Q729)</f>
        <v/>
      </c>
      <c r="AB729">
        <f>S729=L729*(100+N729)%</f>
        <v/>
      </c>
    </row>
    <row r="730">
      <c r="A730" s="53" t="n">
        <v>2022</v>
      </c>
      <c r="B730" s="53" t="n">
        <v>64</v>
      </c>
      <c r="C730" s="71" t="inlineStr">
        <is>
          <t>Einnahmen</t>
        </is>
      </c>
      <c r="D730" t="inlineStr">
        <is>
          <t>Waren-/Leistungserlöse</t>
        </is>
      </c>
      <c r="E730" t="n">
        <v>168042508</v>
      </c>
      <c r="G730" s="1" t="n">
        <v>44665</v>
      </c>
      <c r="H730" t="inlineStr">
        <is>
          <t>Hays Österreich GmbH, Bahnhof City Wien West , Europaplatz 3/5, 1150 Wien</t>
        </is>
      </c>
      <c r="K730">
        <f>(IF(AND(I730&lt;&gt;"",AND(J730="",ABS(Q730)&gt;400)),TRUE,FALSE))</f>
        <v/>
      </c>
      <c r="L730" s="214" t="n">
        <v>15149.5</v>
      </c>
      <c r="M730" s="159" t="n">
        <v>1</v>
      </c>
      <c r="N730" t="n">
        <v>20</v>
      </c>
      <c r="O730" s="237">
        <f>L730*N730/100</f>
        <v/>
      </c>
      <c r="P730" s="237">
        <f>M730*O730</f>
        <v/>
      </c>
      <c r="Q730" s="208">
        <f>L730*M730</f>
        <v/>
      </c>
      <c r="R730" s="251">
        <f>L730+O730</f>
        <v/>
      </c>
      <c r="S730" s="251">
        <f>Q730+P730</f>
        <v/>
      </c>
      <c r="T730" s="35">
        <f>voranmeldefrist_vierteljaehrlich(G730)</f>
        <v/>
      </c>
      <c r="U730" s="27" t="n"/>
      <c r="V730" s="27" t="n">
        <v>20</v>
      </c>
      <c r="W730" s="210">
        <f>IF(K730=TRUE,Q730/J730,Q730)</f>
        <v/>
      </c>
      <c r="X730" s="237">
        <f>V730/100*S730</f>
        <v/>
      </c>
      <c r="Y730">
        <f>IF(AND(V730&gt;0,N730=V730),TRUE,FALSE)</f>
        <v/>
      </c>
      <c r="Z730" s="228">
        <f>IF(C730="Einnahmen",Q730,-Q730)</f>
        <v/>
      </c>
      <c r="AB730">
        <f>S730=L730*(100+N730)%</f>
        <v/>
      </c>
    </row>
    <row r="731">
      <c r="A731" s="53" t="n">
        <v>2022</v>
      </c>
      <c r="B731" s="53" t="n">
        <v>65</v>
      </c>
      <c r="C731" s="71" t="inlineStr">
        <is>
          <t>Ausgaben</t>
        </is>
      </c>
      <c r="D731" t="inlineStr">
        <is>
          <t>sonstige Betriebsausgaben</t>
        </is>
      </c>
      <c r="E731" s="6" t="n"/>
      <c r="G731" s="1" t="n">
        <v>44671</v>
      </c>
      <c r="H731" t="inlineStr">
        <is>
          <t>Microsoft Ireland Operations Ltd. One Microsoft Place, South County, Business Park, Leopardstown, Dublin 18, D18 P521, Ireland</t>
        </is>
      </c>
      <c r="K731">
        <f>(IF(AND(I731&lt;&gt;"",AND(J731="",ABS(Q731)&gt;400)),TRUE,FALSE))</f>
        <v/>
      </c>
      <c r="L731" s="214" t="n">
        <v>10.5</v>
      </c>
      <c r="M731" s="159" t="n">
        <v>1</v>
      </c>
      <c r="N731" t="n">
        <v>0</v>
      </c>
      <c r="O731" s="237">
        <f>L731*N731/100</f>
        <v/>
      </c>
      <c r="P731" s="237">
        <f>M731*O731</f>
        <v/>
      </c>
      <c r="Q731" s="208">
        <f>L731*M731</f>
        <v/>
      </c>
      <c r="R731" s="251">
        <f>L731+O731</f>
        <v/>
      </c>
      <c r="S731" s="251">
        <f>Q731+P731</f>
        <v/>
      </c>
      <c r="T731" s="35">
        <f>voranmeldefrist_vierteljaehrlich(G731)</f>
        <v/>
      </c>
      <c r="U731" s="27" t="n"/>
      <c r="V731" s="27" t="n">
        <v>20</v>
      </c>
      <c r="W731" s="210">
        <f>IF(K731=TRUE,Q731/J731,Q731)</f>
        <v/>
      </c>
      <c r="X731" s="237">
        <f>V731/100*S731</f>
        <v/>
      </c>
      <c r="Y731">
        <f>IF(AND(V731&gt;0,N731=V731),TRUE,FALSE)</f>
        <v/>
      </c>
      <c r="Z731" s="228">
        <f>IF(C731="Einnahmen",Q731,-Q731)</f>
        <v/>
      </c>
      <c r="AB731">
        <f>S731=L731*(100+N731)%</f>
        <v/>
      </c>
    </row>
    <row r="732">
      <c r="A732" s="53" t="n">
        <v>2022</v>
      </c>
      <c r="B732" s="53" t="n">
        <v>66</v>
      </c>
      <c r="C732" s="71" t="inlineStr">
        <is>
          <t>Ausgaben</t>
        </is>
      </c>
      <c r="D732" t="inlineStr">
        <is>
          <t>Telefon/Internet</t>
        </is>
      </c>
      <c r="E732" s="131" t="n"/>
      <c r="G732" s="1" t="n">
        <v>44671</v>
      </c>
      <c r="H732" t="inlineStr">
        <is>
          <t>Magenta: T-Mobile Austria GmbH, A-1120 Wien, PF 47</t>
        </is>
      </c>
      <c r="K732">
        <f>(IF(AND(I732&lt;&gt;"",AND(J732="",ABS(Q732)&gt;400)),TRUE,FALSE))</f>
        <v/>
      </c>
      <c r="L732" s="214" t="n">
        <v>31.92</v>
      </c>
      <c r="M732" s="159" t="n">
        <v>1</v>
      </c>
      <c r="N732" t="n">
        <v>20</v>
      </c>
      <c r="O732" s="237">
        <f>L732*N732/100</f>
        <v/>
      </c>
      <c r="P732" s="237">
        <f>M732*O732</f>
        <v/>
      </c>
      <c r="Q732" s="208">
        <f>L732*M732</f>
        <v/>
      </c>
      <c r="R732" s="251">
        <f>L732+O732</f>
        <v/>
      </c>
      <c r="S732" s="251">
        <f>Q732+P732</f>
        <v/>
      </c>
      <c r="T732" s="35">
        <f>voranmeldefrist_vierteljaehrlich(G732)</f>
        <v/>
      </c>
      <c r="U732" s="27" t="n"/>
      <c r="V732" s="27" t="n"/>
      <c r="W732" s="210">
        <f>IF(K732=TRUE,Q732/I732,Q732)</f>
        <v/>
      </c>
      <c r="X732" s="237">
        <f>V732/100*S732</f>
        <v/>
      </c>
      <c r="Y732">
        <f>IF(AND(V732&gt;0,N732=V732),TRUE,FALSE)</f>
        <v/>
      </c>
      <c r="Z732" s="228">
        <f>IF(C732="Einnahmen",Q732,-Q732)</f>
        <v/>
      </c>
      <c r="AB732">
        <f>S732=L732*(100+N732)%</f>
        <v/>
      </c>
    </row>
    <row r="733">
      <c r="A733" s="53" t="n">
        <v>2022</v>
      </c>
      <c r="B733" s="53" t="n">
        <v>67</v>
      </c>
      <c r="C733" s="71" t="inlineStr">
        <is>
          <t>Ausgaben</t>
        </is>
      </c>
      <c r="D733" t="inlineStr">
        <is>
          <t>sonstige Betriebsausgaben</t>
        </is>
      </c>
      <c r="E733" s="139" t="inlineStr">
        <is>
          <t>Gutschrift</t>
        </is>
      </c>
      <c r="G733" s="1" t="n">
        <v>44676</v>
      </c>
      <c r="H733" t="inlineStr">
        <is>
          <t>e-tec electronic GmbH, Atterseestra0e 121, 4850 Timelkam</t>
        </is>
      </c>
      <c r="K733">
        <f>(IF(AND(I733&lt;&gt;"",AND(J733="",ABS(Q733)&gt;400)),TRUE,FALSE))</f>
        <v/>
      </c>
      <c r="L733" s="214">
        <f>-5.65/1.2</f>
        <v/>
      </c>
      <c r="M733" s="159" t="n">
        <v>1</v>
      </c>
      <c r="N733" t="n">
        <v>20</v>
      </c>
      <c r="O733" s="237">
        <f>L733*N733/100</f>
        <v/>
      </c>
      <c r="P733" s="237">
        <f>M733*O733</f>
        <v/>
      </c>
      <c r="Q733" s="208">
        <f>L733*M733</f>
        <v/>
      </c>
      <c r="R733" s="251">
        <f>L733+O733</f>
        <v/>
      </c>
      <c r="S733" s="251">
        <f>Q733+P733</f>
        <v/>
      </c>
      <c r="T733" s="35">
        <f>voranmeldefrist_vierteljaehrlich(G733)</f>
        <v/>
      </c>
      <c r="U733" s="27" t="n"/>
      <c r="V733" s="27" t="n"/>
      <c r="W733" s="210">
        <f>IF(K733=TRUE,Q733/I733,Q733)</f>
        <v/>
      </c>
      <c r="X733" s="237">
        <f>V733/100*S733</f>
        <v/>
      </c>
      <c r="Y733">
        <f>IF(AND(V733&gt;0,N733=V733),TRUE,FALSE)</f>
        <v/>
      </c>
      <c r="Z733" s="228">
        <f>IF(C733="Einnahmen",Q733,-Q733)</f>
        <v/>
      </c>
      <c r="AB733">
        <f>S733=L733*(100+N733)%</f>
        <v/>
      </c>
    </row>
    <row r="734">
      <c r="A734" s="53" t="n">
        <v>2022</v>
      </c>
      <c r="B734" s="53" t="n">
        <v>68</v>
      </c>
      <c r="C734" s="71" t="inlineStr">
        <is>
          <t>Ausgaben</t>
        </is>
      </c>
      <c r="D734" t="inlineStr">
        <is>
          <t>sonstige Betriebsausgaben</t>
        </is>
      </c>
      <c r="E734" s="9" t="inlineStr">
        <is>
          <t>R01371239</t>
        </is>
      </c>
      <c r="G734" s="1" t="n">
        <v>44678</v>
      </c>
      <c r="H734" t="inlineStr">
        <is>
          <t>TeamViewer Germany GmbH, Jahnstr. 30, 73037 Göppingen, Deutschland</t>
        </is>
      </c>
      <c r="K734">
        <f>(IF(AND(I734&lt;&gt;"",AND(J734="",ABS(Q734)&gt;400)),TRUE,FALSE))</f>
        <v/>
      </c>
      <c r="L734" s="214" t="n">
        <v>334.8</v>
      </c>
      <c r="M734" s="159" t="n">
        <v>1</v>
      </c>
      <c r="N734" t="n">
        <v>0</v>
      </c>
      <c r="O734" s="237">
        <f>L734*N734/100</f>
        <v/>
      </c>
      <c r="P734" s="237">
        <f>M734*O734</f>
        <v/>
      </c>
      <c r="Q734" s="208">
        <f>L734*M734</f>
        <v/>
      </c>
      <c r="R734" s="251">
        <f>L734+O734</f>
        <v/>
      </c>
      <c r="S734" s="251">
        <f>Q734+P734</f>
        <v/>
      </c>
      <c r="T734" s="35">
        <f>voranmeldefrist_vierteljaehrlich(G734)</f>
        <v/>
      </c>
      <c r="U734" s="27" t="n"/>
      <c r="V734" s="27" t="n">
        <v>20</v>
      </c>
      <c r="W734" s="210">
        <f>IF(K734=TRUE,Q734/J734,Q734)</f>
        <v/>
      </c>
      <c r="X734" s="237">
        <f>V734/100*S734</f>
        <v/>
      </c>
      <c r="Y734">
        <f>IF(AND(V734&gt;0,N734=V734),TRUE,FALSE)</f>
        <v/>
      </c>
      <c r="Z734" s="228">
        <f>IF(C734="Einnahmen",Q734,-Q734)</f>
        <v/>
      </c>
      <c r="AB734">
        <f>S734=L734*(100+N734)%</f>
        <v/>
      </c>
    </row>
    <row r="735">
      <c r="A735" s="53" t="n">
        <v>2022</v>
      </c>
      <c r="B735" s="53" t="n">
        <v>69</v>
      </c>
      <c r="C735" s="71" t="inlineStr">
        <is>
          <t>Ausgaben</t>
        </is>
      </c>
      <c r="D735" t="inlineStr">
        <is>
          <t>sonstige Betriebsausgaben</t>
        </is>
      </c>
      <c r="E735" s="6" t="n"/>
      <c r="G735" s="1" t="n">
        <v>44680</v>
      </c>
      <c r="H735" t="inlineStr">
        <is>
          <t>Amazon EU S. à r.l., 38 avenue John F. Kennedy, L-1855 Luxembourg: HJEU: DVI-HDMI, Logitech Maus</t>
        </is>
      </c>
      <c r="K735">
        <f>(IF(AND(I735&lt;&gt;"",AND(J735="",ABS(Q735)&gt;400)),TRUE,FALSE))</f>
        <v/>
      </c>
      <c r="L735" s="214" t="n">
        <v>480.22</v>
      </c>
      <c r="M735" s="159" t="n">
        <v>1</v>
      </c>
      <c r="N735" t="n">
        <v>20</v>
      </c>
      <c r="O735" s="237">
        <f>L735*N735/100</f>
        <v/>
      </c>
      <c r="P735" s="237">
        <f>M735*O735</f>
        <v/>
      </c>
      <c r="Q735" s="208">
        <f>L735*M735</f>
        <v/>
      </c>
      <c r="R735" s="251">
        <f>L735+O735</f>
        <v/>
      </c>
      <c r="S735" s="251">
        <f>Q735+P735</f>
        <v/>
      </c>
      <c r="T735" s="35">
        <f>voranmeldefrist_vierteljaehrlich(G735)</f>
        <v/>
      </c>
      <c r="U735" s="27" t="n"/>
      <c r="V735" s="27" t="n"/>
      <c r="W735" s="210">
        <f>IF(K735=TRUE,Q735/I735,Q735)</f>
        <v/>
      </c>
      <c r="X735" s="237">
        <f>V735/100*S735</f>
        <v/>
      </c>
      <c r="Y735">
        <f>IF(AND(V735&gt;0,N735=V735),TRUE,FALSE)</f>
        <v/>
      </c>
      <c r="Z735" s="228">
        <f>IF(C735="Einnahmen",Q735,-Q735)</f>
        <v/>
      </c>
      <c r="AB735">
        <f>S735=L735*(100+N735)%</f>
        <v/>
      </c>
    </row>
    <row r="736">
      <c r="A736" s="53" t="n">
        <v>2022</v>
      </c>
      <c r="B736" s="53" t="n">
        <v>70</v>
      </c>
      <c r="C736" s="71" t="inlineStr">
        <is>
          <t>Ausgaben</t>
        </is>
      </c>
      <c r="D736" t="inlineStr">
        <is>
          <t>sonstige Betriebsausgaben</t>
        </is>
      </c>
      <c r="E736" s="6" t="n"/>
      <c r="G736" s="1" t="n">
        <v>44683</v>
      </c>
      <c r="H736" t="inlineStr">
        <is>
          <t>Amazon EU S. à r.l., 38 avenue John F. Kennedy, L-1855 Luxembourg: HJEU: DVI-HDMI, Logitech Maus</t>
        </is>
      </c>
      <c r="K736">
        <f>(IF(AND(I736&lt;&gt;"",AND(J736="",ABS(Q736)&gt;400)),TRUE,FALSE))</f>
        <v/>
      </c>
      <c r="L736" s="214" t="n">
        <v>29.59</v>
      </c>
      <c r="M736" s="159" t="n">
        <v>1</v>
      </c>
      <c r="N736" t="n">
        <v>20</v>
      </c>
      <c r="O736" s="237">
        <f>L736*N736/100</f>
        <v/>
      </c>
      <c r="P736" s="237">
        <f>M736*O736</f>
        <v/>
      </c>
      <c r="Q736" s="208">
        <f>L736*M736</f>
        <v/>
      </c>
      <c r="R736" s="251">
        <f>L736+O736</f>
        <v/>
      </c>
      <c r="S736" s="251">
        <f>Q736+P736</f>
        <v/>
      </c>
      <c r="T736" s="35">
        <f>voranmeldefrist_vierteljaehrlich(G736)</f>
        <v/>
      </c>
      <c r="U736" s="27" t="n"/>
      <c r="V736" s="27" t="n"/>
      <c r="W736" s="210">
        <f>IF(K736=TRUE,Q736/I736,Q736)</f>
        <v/>
      </c>
      <c r="X736" s="237">
        <f>V736/100*S736</f>
        <v/>
      </c>
      <c r="Y736">
        <f>IF(AND(V736&gt;0,N736=V736),TRUE,FALSE)</f>
        <v/>
      </c>
      <c r="Z736" s="228">
        <f>IF(C736="Einnahmen",Q736,-Q736)</f>
        <v/>
      </c>
      <c r="AB736">
        <f>S736=L736*(100+N736)%</f>
        <v/>
      </c>
    </row>
    <row r="737">
      <c r="A737" s="53" t="n">
        <v>2022</v>
      </c>
      <c r="B737" s="53" t="n">
        <v>71</v>
      </c>
      <c r="C737" s="71" t="inlineStr">
        <is>
          <t>Ausgaben</t>
        </is>
      </c>
      <c r="D737" t="inlineStr">
        <is>
          <t>Miet- und Pachtaufwand, Leasing</t>
        </is>
      </c>
      <c r="G737" s="1" t="n">
        <v>44683</v>
      </c>
      <c r="H737" t="inlineStr">
        <is>
          <t>Bontus Immobilienverwaltung GmbH, 1010 Wien, Franz Josefs Kai 65</t>
        </is>
      </c>
      <c r="K737" t="b">
        <v>0</v>
      </c>
      <c r="L737" s="233">
        <f>574.43/1.2</f>
        <v/>
      </c>
      <c r="M737" s="159" t="n">
        <v>1</v>
      </c>
      <c r="N737" t="n">
        <v>20</v>
      </c>
      <c r="O737" s="237">
        <f>L737*N737/100</f>
        <v/>
      </c>
      <c r="P737" s="237">
        <f>M737*O737</f>
        <v/>
      </c>
      <c r="Q737" s="208">
        <f>L737*M737</f>
        <v/>
      </c>
      <c r="R737" s="251">
        <f>L737+O737</f>
        <v/>
      </c>
      <c r="S737" s="251">
        <f>Q737+P737</f>
        <v/>
      </c>
      <c r="T737" s="35">
        <f>voranmeldefrist_vierteljaehrlich(G737)</f>
        <v/>
      </c>
      <c r="U737" s="27" t="n"/>
      <c r="V737" s="27" t="n"/>
      <c r="W737" s="210">
        <f>IF(K737=TRUE,Q737/J737,Q737)</f>
        <v/>
      </c>
      <c r="X737" s="237">
        <f>V737/100*S737</f>
        <v/>
      </c>
      <c r="Y737">
        <f>IF(AND(V737&gt;0,N737=V737),TRUE,FALSE)</f>
        <v/>
      </c>
      <c r="Z737" s="228">
        <f>IF(C737="Einnahmen",Q737,-Q737)</f>
        <v/>
      </c>
      <c r="AB737">
        <f>S737=L737*(100+N737)%</f>
        <v/>
      </c>
    </row>
    <row r="738">
      <c r="A738" s="53" t="n">
        <v>2022</v>
      </c>
      <c r="B738" s="53" t="n">
        <v>72</v>
      </c>
      <c r="C738" s="71" t="inlineStr">
        <is>
          <t>Ausgaben</t>
        </is>
      </c>
      <c r="D738" t="inlineStr">
        <is>
          <t>Reise- und Fahrtspesen inkl. Kilometergeld und Diäten</t>
        </is>
      </c>
      <c r="E738" s="131" t="n"/>
      <c r="G738" s="1" t="n">
        <v>44683</v>
      </c>
      <c r="H738" t="inlineStr">
        <is>
          <t>car2go Österreich GmbH, Hintere Zollamtstraße 9, 1030 Wien</t>
        </is>
      </c>
      <c r="K738" t="b">
        <v>0</v>
      </c>
      <c r="L738" s="214" t="n">
        <v>30.13</v>
      </c>
      <c r="M738" s="159" t="n">
        <v>1</v>
      </c>
      <c r="N738" t="n">
        <v>20</v>
      </c>
      <c r="O738" s="237">
        <f>L738*N738/100</f>
        <v/>
      </c>
      <c r="P738" s="237">
        <f>M738*O738</f>
        <v/>
      </c>
      <c r="Q738" s="208">
        <f>L738*M738</f>
        <v/>
      </c>
      <c r="R738" s="251">
        <f>L738+O738</f>
        <v/>
      </c>
      <c r="S738" s="251">
        <f>Q738+P738</f>
        <v/>
      </c>
      <c r="T738" s="35">
        <f>voranmeldefrist_vierteljaehrlich(G738)</f>
        <v/>
      </c>
      <c r="U738" s="27" t="n"/>
      <c r="V738" s="27" t="n"/>
      <c r="W738" s="210">
        <f>IF(K738=TRUE,Q738/J738,Q738)</f>
        <v/>
      </c>
      <c r="X738" s="237">
        <f>V738/100*S738</f>
        <v/>
      </c>
      <c r="Y738">
        <f>IF(AND(V738&gt;0,N738=V738),TRUE,FALSE)</f>
        <v/>
      </c>
      <c r="Z738" s="228">
        <f>IF(C738="Einnahmen",Q738,-Q738)</f>
        <v/>
      </c>
      <c r="AB738">
        <f>S738=L738*(100+N738)%</f>
        <v/>
      </c>
    </row>
    <row r="739">
      <c r="A739" s="53" t="n">
        <v>2022</v>
      </c>
      <c r="B739" s="53" t="n">
        <v>73</v>
      </c>
      <c r="C739" s="71" t="inlineStr">
        <is>
          <t>Ausgaben</t>
        </is>
      </c>
      <c r="D739" t="inlineStr">
        <is>
          <t>sonstige Betriebsausgaben</t>
        </is>
      </c>
      <c r="G739" s="1" t="n">
        <v>44685</v>
      </c>
      <c r="H739" t="inlineStr">
        <is>
          <t>Google Ireland Ltd, Gordon House, Barrow Street, Dublin 4, Ireland; VAT number: IE 6388047V</t>
        </is>
      </c>
      <c r="K739" t="b">
        <v>0</v>
      </c>
      <c r="L739" s="214" t="n">
        <v>10.33</v>
      </c>
      <c r="M739" s="159" t="n">
        <v>1</v>
      </c>
      <c r="N739" t="n">
        <v>0</v>
      </c>
      <c r="O739" s="237">
        <f>L739*N739/100</f>
        <v/>
      </c>
      <c r="P739" s="237">
        <f>M739*O739</f>
        <v/>
      </c>
      <c r="Q739" s="208">
        <f>L739*M739</f>
        <v/>
      </c>
      <c r="R739" s="251">
        <f>L739+O739</f>
        <v/>
      </c>
      <c r="S739" s="251">
        <f>Q739+P739</f>
        <v/>
      </c>
      <c r="T739" s="35">
        <f>voranmeldefrist_vierteljaehrlich(G739)</f>
        <v/>
      </c>
      <c r="U739" s="27" t="n"/>
      <c r="V739" s="27" t="n">
        <v>20</v>
      </c>
      <c r="W739" s="210">
        <f>IF(K739=TRUE,Q739/I739,Q739)</f>
        <v/>
      </c>
      <c r="X739" s="237">
        <f>V739/100*S739</f>
        <v/>
      </c>
      <c r="Y739">
        <f>IF(AND(V739&gt;0,N739=V739),TRUE,FALSE)</f>
        <v/>
      </c>
      <c r="Z739" s="228">
        <f>IF(C739="Einnahmen",Q739,-Q739)</f>
        <v/>
      </c>
      <c r="AB739">
        <f>S739=L739*(100+N739)%</f>
        <v/>
      </c>
    </row>
    <row r="740">
      <c r="A740" s="53" t="n">
        <v>2022</v>
      </c>
      <c r="B740" s="53" t="n">
        <v>74</v>
      </c>
      <c r="C740" s="71" t="inlineStr">
        <is>
          <t>Ausgaben</t>
        </is>
      </c>
      <c r="D740" t="inlineStr">
        <is>
          <t>Telefon/Internet</t>
        </is>
      </c>
      <c r="G740" s="1" t="n">
        <v>44685</v>
      </c>
      <c r="H740" t="inlineStr">
        <is>
          <t>Hutchison Drei Austria GmbH, Brünner Straße 52, 1210 Wien, Österreich</t>
        </is>
      </c>
      <c r="K740">
        <f>(IF(AND(I740&lt;&gt;"",AND(J740="",ABS(Q740)&gt;400)),TRUE,FALSE))</f>
        <v/>
      </c>
      <c r="L740" s="214" t="n">
        <v>15</v>
      </c>
      <c r="M740" s="159" t="n">
        <v>1</v>
      </c>
      <c r="N740" t="n">
        <v>20</v>
      </c>
      <c r="O740" s="237">
        <f>L740*N740/100</f>
        <v/>
      </c>
      <c r="P740" s="237">
        <f>M740*O740</f>
        <v/>
      </c>
      <c r="Q740" s="208">
        <f>L740*M740</f>
        <v/>
      </c>
      <c r="R740" s="251">
        <f>L740+O740</f>
        <v/>
      </c>
      <c r="S740" s="251">
        <f>Q740+P740</f>
        <v/>
      </c>
      <c r="T740" s="35">
        <f>voranmeldefrist_vierteljaehrlich(G740)</f>
        <v/>
      </c>
      <c r="U740" s="27" t="n"/>
      <c r="V740" s="27" t="n"/>
      <c r="W740" s="210">
        <f>IF(K740=TRUE,Q740/I740,Q740)</f>
        <v/>
      </c>
      <c r="X740" s="237">
        <f>V740/100*S740</f>
        <v/>
      </c>
      <c r="Y740">
        <f>IF(AND(V740&gt;0,N740=V740),TRUE,FALSE)</f>
        <v/>
      </c>
      <c r="Z740" s="228">
        <f>IF(C740="Einnahmen",Q740,-Q740)</f>
        <v/>
      </c>
      <c r="AB740">
        <f>S740=L740*(100+N740)%</f>
        <v/>
      </c>
    </row>
    <row r="741">
      <c r="A741" s="53" t="n">
        <v>2022</v>
      </c>
      <c r="B741" s="53" t="n">
        <v>75</v>
      </c>
      <c r="C741" s="71" t="inlineStr">
        <is>
          <t>Ausgaben</t>
        </is>
      </c>
      <c r="D741" t="inlineStr">
        <is>
          <t>Reise- und Fahrtspesen inkl. Kilometergeld und Diäten</t>
        </is>
      </c>
      <c r="E741" s="9" t="inlineStr">
        <is>
          <t>201112204022ALB-00CV2QPBMX40</t>
        </is>
      </c>
      <c r="G741" s="1" t="n">
        <v>44685</v>
      </c>
      <c r="H741" t="inlineStr">
        <is>
          <t>Wiener Linien GmbH &amp; Co KG</t>
        </is>
      </c>
      <c r="K741">
        <f>(IF(AND(I741&lt;&gt;"",AND(J741="",ABS(Q741)&gt;400)),TRUE,FALSE))</f>
        <v/>
      </c>
      <c r="L741" s="214" t="n">
        <v>365</v>
      </c>
      <c r="M741" s="159" t="n">
        <v>1</v>
      </c>
      <c r="N741" t="n">
        <v>0</v>
      </c>
      <c r="O741" s="237">
        <f>L741*N741/100</f>
        <v/>
      </c>
      <c r="P741" s="237">
        <f>M741*O741</f>
        <v/>
      </c>
      <c r="Q741" s="208">
        <f>L741*M741</f>
        <v/>
      </c>
      <c r="R741" s="251">
        <f>L741+O741</f>
        <v/>
      </c>
      <c r="S741" s="251">
        <f>Q741+P741</f>
        <v/>
      </c>
      <c r="T741" s="35">
        <f>voranmeldefrist_vierteljaehrlich(G741)</f>
        <v/>
      </c>
      <c r="U741" s="27" t="n"/>
      <c r="V741" s="27" t="n"/>
      <c r="W741" s="210">
        <f>IF(K741=TRUE,Q741/J741,Q741)</f>
        <v/>
      </c>
      <c r="X741" s="237">
        <f>V741/100*S741</f>
        <v/>
      </c>
      <c r="Y741">
        <f>IF(AND(V741&gt;0,N741=V741),TRUE,FALSE)</f>
        <v/>
      </c>
      <c r="Z741" s="228">
        <f>IF(C741="Einnahmen",Q741,-Q741)</f>
        <v/>
      </c>
      <c r="AB741">
        <f>S741=L741*(100+N741)%</f>
        <v/>
      </c>
    </row>
    <row r="742">
      <c r="A742" s="53" t="n">
        <v>2022</v>
      </c>
      <c r="B742" s="53" t="n">
        <v>76</v>
      </c>
      <c r="C742" s="71" t="inlineStr">
        <is>
          <t>Ausgaben</t>
        </is>
      </c>
      <c r="D742" t="inlineStr">
        <is>
          <t>sonstige Betriebsausgaben</t>
        </is>
      </c>
      <c r="E742" s="153" t="inlineStr">
        <is>
          <t>siehe Jahresabrechnung</t>
        </is>
      </c>
      <c r="G742" s="1" t="n">
        <v>44685</v>
      </c>
      <c r="H742" t="inlineStr">
        <is>
          <t>go green energy GmbH &amp; Co KG</t>
        </is>
      </c>
      <c r="K742">
        <f>(IF(AND(I742&lt;&gt;"",AND(J742="",ABS(Q742)&gt;400)),TRUE,FALSE))</f>
        <v/>
      </c>
      <c r="L742" s="214" t="n">
        <v>2.5</v>
      </c>
      <c r="M742" s="159" t="n">
        <v>1</v>
      </c>
      <c r="N742" t="n">
        <v>20</v>
      </c>
      <c r="O742" s="237">
        <f>L742*N742/100</f>
        <v/>
      </c>
      <c r="P742" s="237">
        <f>M742*O742</f>
        <v/>
      </c>
      <c r="Q742" s="208">
        <f>L742*M742</f>
        <v/>
      </c>
      <c r="R742" s="251">
        <f>L742+O742</f>
        <v/>
      </c>
      <c r="S742" s="251">
        <f>Q742+P742</f>
        <v/>
      </c>
      <c r="T742" s="35">
        <f>voranmeldefrist_vierteljaehrlich(G742)</f>
        <v/>
      </c>
      <c r="U742" s="27" t="n"/>
      <c r="V742" s="27" t="n"/>
      <c r="W742" s="210">
        <f>IF(K742=TRUE,Q742/J742,Q742)</f>
        <v/>
      </c>
      <c r="X742" s="237">
        <f>V742/100*S742</f>
        <v/>
      </c>
      <c r="Y742">
        <f>IF(AND(V742&gt;0,N742=V742),TRUE,FALSE)</f>
        <v/>
      </c>
      <c r="Z742" s="228">
        <f>IF(C742="Einnahmen",Q742,-Q742)</f>
        <v/>
      </c>
      <c r="AB742">
        <f>S742=L742*(100+N742)%</f>
        <v/>
      </c>
    </row>
    <row r="743">
      <c r="A743" s="53" t="n">
        <v>2022</v>
      </c>
      <c r="B743" s="53" t="n">
        <v>77</v>
      </c>
      <c r="C743" s="71" t="inlineStr">
        <is>
          <t>Ausgaben</t>
        </is>
      </c>
      <c r="D743" t="inlineStr">
        <is>
          <t>Miet- und Pachtaufwand, Leasing</t>
        </is>
      </c>
      <c r="E743" s="139" t="n"/>
      <c r="G743" s="1" t="n">
        <v>44686</v>
      </c>
      <c r="H743" t="inlineStr">
        <is>
          <t>Techem Messtechnik GmbH; Abnehmernummer 501686-0003-11-</t>
        </is>
      </c>
      <c r="K743" t="b">
        <v>0</v>
      </c>
      <c r="L743" s="214" t="n">
        <v>122.6</v>
      </c>
      <c r="M743" s="159" t="n">
        <v>1</v>
      </c>
      <c r="N743" t="n">
        <v>20</v>
      </c>
      <c r="O743" s="237">
        <f>L743*N743/100</f>
        <v/>
      </c>
      <c r="P743" s="237">
        <f>M743*O743</f>
        <v/>
      </c>
      <c r="Q743" s="208">
        <f>L743*M743</f>
        <v/>
      </c>
      <c r="R743" s="251">
        <f>L743+O743</f>
        <v/>
      </c>
      <c r="S743" s="251">
        <f>Q743+P743</f>
        <v/>
      </c>
      <c r="T743" s="35">
        <f>voranmeldefrist_vierteljaehrlich(G743)</f>
        <v/>
      </c>
      <c r="U743" s="27" t="n"/>
      <c r="V743" s="27" t="n"/>
      <c r="W743" s="210">
        <f>IF(K743=TRUE,Q743/J743,Q743)</f>
        <v/>
      </c>
      <c r="X743" s="237">
        <f>V743/100*S743</f>
        <v/>
      </c>
      <c r="Y743">
        <f>IF(AND(V743&gt;0,N743=V743),TRUE,FALSE)</f>
        <v/>
      </c>
      <c r="Z743" s="228">
        <f>IF(C743="Einnahmen",Q743,-Q743)</f>
        <v/>
      </c>
      <c r="AB743">
        <f>S743=L743*(100+N743)%</f>
        <v/>
      </c>
    </row>
    <row r="744">
      <c r="A744" s="53" t="n">
        <v>2022</v>
      </c>
      <c r="B744" s="53" t="n">
        <v>78</v>
      </c>
      <c r="C744" s="71" t="inlineStr">
        <is>
          <t>Ausgaben</t>
        </is>
      </c>
      <c r="D744" t="inlineStr">
        <is>
          <t>sonstige Betriebsausgaben</t>
        </is>
      </c>
      <c r="E744" s="139" t="inlineStr">
        <is>
          <t>220008996902</t>
        </is>
      </c>
      <c r="G744" s="1" t="n">
        <v>44691</v>
      </c>
      <c r="H744" t="inlineStr">
        <is>
          <t>Wiener Netze GmbH, Erdbergstraße 236, 1110 Wien, Postfach 422; Jahresabrechnung vom 17.12.20: GUTSCHRIFT</t>
        </is>
      </c>
      <c r="K744">
        <f>(IF(AND(I744&lt;&gt;"",AND(J744="",ABS(Q744)&gt;400)),TRUE,FALSE))</f>
        <v/>
      </c>
      <c r="L744" s="214" t="n">
        <v>11</v>
      </c>
      <c r="M744" s="159" t="n">
        <v>1</v>
      </c>
      <c r="N744" t="n">
        <v>20</v>
      </c>
      <c r="O744" s="237">
        <f>L744*N744/100</f>
        <v/>
      </c>
      <c r="P744" s="237">
        <f>M744*O744</f>
        <v/>
      </c>
      <c r="Q744" s="208">
        <f>L744*M744</f>
        <v/>
      </c>
      <c r="R744" s="251">
        <f>L744+O744</f>
        <v/>
      </c>
      <c r="S744" s="251">
        <f>Q744+P744</f>
        <v/>
      </c>
      <c r="T744" s="35">
        <f>voranmeldefrist_vierteljaehrlich(G744)</f>
        <v/>
      </c>
      <c r="U744" s="27" t="n"/>
      <c r="V744" s="27" t="n"/>
      <c r="W744" s="210">
        <f>IF(K744=TRUE,Q744/J744,Q744)</f>
        <v/>
      </c>
      <c r="X744" s="237">
        <f>V744/100*S744</f>
        <v/>
      </c>
      <c r="Y744">
        <f>IF(AND(V744&gt;0,N744=V744),TRUE,FALSE)</f>
        <v/>
      </c>
      <c r="Z744" s="228">
        <f>IF(C744="Einnahmen",Q744,-Q744)</f>
        <v/>
      </c>
      <c r="AB744">
        <f>S744=L744*(100+N744)%</f>
        <v/>
      </c>
    </row>
    <row r="745">
      <c r="A745" s="53" t="n">
        <v>2022</v>
      </c>
      <c r="B745" s="53" t="n">
        <v>79</v>
      </c>
      <c r="C745" s="71" t="inlineStr">
        <is>
          <t>Ausgaben</t>
        </is>
      </c>
      <c r="D745" t="inlineStr">
        <is>
          <t>sonstige Betriebsausgaben</t>
        </is>
      </c>
      <c r="G745" s="1" t="n">
        <v>44693</v>
      </c>
      <c r="H745" t="inlineStr">
        <is>
          <t>Hetzner Online GmbH</t>
        </is>
      </c>
      <c r="K745">
        <f>(IF(AND(I745&lt;&gt;"",AND(J745="",ABS(Q745)&gt;400)),TRUE,FALSE))</f>
        <v/>
      </c>
      <c r="L745" s="214" t="n">
        <v>47.7765</v>
      </c>
      <c r="M745" s="159" t="n">
        <v>1</v>
      </c>
      <c r="N745" t="n">
        <v>0</v>
      </c>
      <c r="O745" s="237">
        <f>L745*N745/100</f>
        <v/>
      </c>
      <c r="P745" s="237">
        <f>M745*O745</f>
        <v/>
      </c>
      <c r="Q745" s="208">
        <f>L745*M745</f>
        <v/>
      </c>
      <c r="R745" s="251">
        <f>L745+O745</f>
        <v/>
      </c>
      <c r="S745" s="251">
        <f>Q745+P745</f>
        <v/>
      </c>
      <c r="T745" s="35">
        <f>voranmeldefrist_vierteljaehrlich(G745)</f>
        <v/>
      </c>
      <c r="U745" s="27" t="n"/>
      <c r="V745" s="27" t="n">
        <v>20</v>
      </c>
      <c r="W745" s="210">
        <f>IF(K745=TRUE,Q745/J745,Q745)</f>
        <v/>
      </c>
      <c r="X745" s="237">
        <f>V745/100*S745</f>
        <v/>
      </c>
      <c r="Y745">
        <f>IF(AND(V745&gt;0,N745=V745),TRUE,FALSE)</f>
        <v/>
      </c>
      <c r="Z745" s="228">
        <f>IF(C745="Einnahmen",Q745,-Q745)</f>
        <v/>
      </c>
      <c r="AB745">
        <f>S745=L745*(100+N745)%</f>
        <v/>
      </c>
    </row>
    <row r="746">
      <c r="A746" s="53" t="n">
        <v>2022</v>
      </c>
      <c r="B746" s="53" t="n">
        <v>80</v>
      </c>
      <c r="C746" s="71" t="inlineStr">
        <is>
          <t>Einnahmen</t>
        </is>
      </c>
      <c r="D746" t="inlineStr">
        <is>
          <t>Waren-/Leistungserlöse</t>
        </is>
      </c>
      <c r="E746" t="inlineStr">
        <is>
          <t>168043041+168042941</t>
        </is>
      </c>
      <c r="G746" s="1" t="n">
        <v>44694</v>
      </c>
      <c r="H746" t="inlineStr">
        <is>
          <t>Hays Österreich GmbH, Bahnhof City Wien West , Europaplatz 3/5, 1150 Wien</t>
        </is>
      </c>
      <c r="K746">
        <f>(IF(AND(I746&lt;&gt;"",AND(J746="",ABS(Q746)&gt;400)),TRUE,FALSE))</f>
        <v/>
      </c>
      <c r="L746" s="214">
        <f>15049.46+2150.04</f>
        <v/>
      </c>
      <c r="M746" s="159" t="n">
        <v>1</v>
      </c>
      <c r="N746" t="n">
        <v>20</v>
      </c>
      <c r="O746" s="237">
        <f>L746*N746/100</f>
        <v/>
      </c>
      <c r="P746" s="237">
        <f>M746*O746</f>
        <v/>
      </c>
      <c r="Q746" s="208">
        <f>L746*M746</f>
        <v/>
      </c>
      <c r="R746" s="251">
        <f>L746+O746</f>
        <v/>
      </c>
      <c r="S746" s="251">
        <f>Q746+P746</f>
        <v/>
      </c>
      <c r="T746" s="35">
        <f>voranmeldefrist_vierteljaehrlich(G746)</f>
        <v/>
      </c>
      <c r="U746" s="27" t="n"/>
      <c r="V746" s="27" t="n">
        <v>20</v>
      </c>
      <c r="W746" s="210">
        <f>IF(K746=TRUE,Q746/J746,Q746)</f>
        <v/>
      </c>
      <c r="X746" s="237">
        <f>V746/100*S746</f>
        <v/>
      </c>
      <c r="Y746">
        <f>IF(AND(V746&gt;0,N746=V746),TRUE,FALSE)</f>
        <v/>
      </c>
      <c r="Z746" s="228">
        <f>IF(C746="Einnahmen",Q746,-Q746)</f>
        <v/>
      </c>
      <c r="AB746">
        <f>S746=L746*(100+N746)%</f>
        <v/>
      </c>
    </row>
    <row r="747">
      <c r="A747" s="53" t="n">
        <v>2022</v>
      </c>
      <c r="B747" s="53" t="n">
        <v>81</v>
      </c>
      <c r="C747" s="71" t="inlineStr">
        <is>
          <t>Ausgaben</t>
        </is>
      </c>
      <c r="D747" t="inlineStr">
        <is>
          <t>sonstige Betriebsausgaben</t>
        </is>
      </c>
      <c r="E747" t="n"/>
      <c r="G747" s="1" t="n">
        <v>44697</v>
      </c>
      <c r="H747" t="inlineStr">
        <is>
          <t>Google Ireland Ltd, Gordon House, Barrow Street, Dublin 4, Ireland; VAT number: IE 6388047V</t>
        </is>
      </c>
      <c r="K747" t="b">
        <v>0</v>
      </c>
      <c r="L747" s="214" t="n">
        <v>0.49</v>
      </c>
      <c r="M747" s="159" t="n">
        <v>1</v>
      </c>
      <c r="N747" t="n">
        <v>0</v>
      </c>
      <c r="O747" s="237">
        <f>L747*N747/100</f>
        <v/>
      </c>
      <c r="P747" s="237">
        <f>M747*O747</f>
        <v/>
      </c>
      <c r="Q747" s="208">
        <f>L747*M747</f>
        <v/>
      </c>
      <c r="R747" s="251">
        <f>L747+O747</f>
        <v/>
      </c>
      <c r="S747" s="251">
        <f>Q747+P747</f>
        <v/>
      </c>
      <c r="T747" s="35">
        <f>voranmeldefrist_vierteljaehrlich(G747)</f>
        <v/>
      </c>
      <c r="U747" s="27" t="n"/>
      <c r="V747" s="27" t="n">
        <v>20</v>
      </c>
      <c r="W747" s="210">
        <f>IF(K747=TRUE,Q747/I747,Q747)</f>
        <v/>
      </c>
      <c r="X747" s="237">
        <f>V747/100*S747</f>
        <v/>
      </c>
      <c r="Y747">
        <f>IF(AND(V747&gt;0,N747=V747),TRUE,FALSE)</f>
        <v/>
      </c>
      <c r="Z747" s="228">
        <f>IF(C747="Einnahmen",Q747,-Q747)</f>
        <v/>
      </c>
      <c r="AB747">
        <f>S747=L747*(100+N747)%</f>
        <v/>
      </c>
    </row>
    <row r="748">
      <c r="A748" s="53" t="n">
        <v>2022</v>
      </c>
      <c r="B748" s="53" t="n">
        <v>82</v>
      </c>
      <c r="C748" s="71" t="inlineStr">
        <is>
          <t>Ausgaben</t>
        </is>
      </c>
      <c r="D748" t="inlineStr">
        <is>
          <t>sonstige Betriebsausgaben</t>
        </is>
      </c>
      <c r="E748" s="6" t="n"/>
      <c r="G748" s="1" t="n">
        <v>44704</v>
      </c>
      <c r="H748" t="inlineStr">
        <is>
          <t>Microsoft Ireland Operations Ltd. One Microsoft Place, South County, Business Park, Leopardstown, Dublin 18, D18 P521, Ireland</t>
        </is>
      </c>
      <c r="K748">
        <f>(IF(AND(I748&lt;&gt;"",AND(J748="",ABS(Q748)&gt;400)),TRUE,FALSE))</f>
        <v/>
      </c>
      <c r="L748" s="214" t="n">
        <v>10.5</v>
      </c>
      <c r="M748" s="159" t="n">
        <v>1</v>
      </c>
      <c r="N748" t="n">
        <v>0</v>
      </c>
      <c r="O748" s="237">
        <f>L748*N748/100</f>
        <v/>
      </c>
      <c r="P748" s="237">
        <f>M748*O748</f>
        <v/>
      </c>
      <c r="Q748" s="208">
        <f>L748*M748</f>
        <v/>
      </c>
      <c r="R748" s="251">
        <f>L748+O748</f>
        <v/>
      </c>
      <c r="S748" s="251">
        <f>Q748+P748</f>
        <v/>
      </c>
      <c r="T748" s="35">
        <f>voranmeldefrist_vierteljaehrlich(G748)</f>
        <v/>
      </c>
      <c r="U748" s="27" t="n"/>
      <c r="V748" s="27" t="n">
        <v>20</v>
      </c>
      <c r="W748" s="210">
        <f>IF(K748=TRUE,Q748/J748,Q748)</f>
        <v/>
      </c>
      <c r="X748" s="237">
        <f>V748/100*S748</f>
        <v/>
      </c>
      <c r="Y748">
        <f>IF(AND(V748&gt;0,N748=V748),TRUE,FALSE)</f>
        <v/>
      </c>
      <c r="Z748" s="228">
        <f>IF(C748="Einnahmen",Q748,-Q748)</f>
        <v/>
      </c>
      <c r="AB748">
        <f>S748=L748*(100+N748)%</f>
        <v/>
      </c>
    </row>
    <row r="749">
      <c r="A749" s="53" t="n">
        <v>2022</v>
      </c>
      <c r="B749" s="53" t="n">
        <v>83</v>
      </c>
      <c r="C749" s="71" t="inlineStr">
        <is>
          <t>Ausgaben</t>
        </is>
      </c>
      <c r="D749" t="inlineStr">
        <is>
          <t>Telefon/Internet</t>
        </is>
      </c>
      <c r="E749" s="131" t="n"/>
      <c r="G749" s="1" t="n">
        <v>44705</v>
      </c>
      <c r="H749" t="inlineStr">
        <is>
          <t>Magenta: T-Mobile Austria GmbH, A-1120 Wien, PF 47</t>
        </is>
      </c>
      <c r="K749">
        <f>(IF(AND(I749&lt;&gt;"",AND(J749="",ABS(Q749)&gt;400)),TRUE,FALSE))</f>
        <v/>
      </c>
      <c r="L749" s="214" t="n">
        <v>31.92</v>
      </c>
      <c r="M749" s="159" t="n">
        <v>1</v>
      </c>
      <c r="N749" t="n">
        <v>20</v>
      </c>
      <c r="O749" s="237">
        <f>L749*N749/100</f>
        <v/>
      </c>
      <c r="P749" s="237">
        <f>M749*O749</f>
        <v/>
      </c>
      <c r="Q749" s="208">
        <f>L749*M749</f>
        <v/>
      </c>
      <c r="R749" s="251">
        <f>L749+O749</f>
        <v/>
      </c>
      <c r="S749" s="251">
        <f>Q749+P749</f>
        <v/>
      </c>
      <c r="T749" s="35">
        <f>voranmeldefrist_vierteljaehrlich(G749)</f>
        <v/>
      </c>
      <c r="U749" s="27" t="n"/>
      <c r="V749" s="27" t="n"/>
      <c r="W749" s="210">
        <f>IF(K749=TRUE,Q749/I749,Q749)</f>
        <v/>
      </c>
      <c r="X749" s="237">
        <f>V749/100*S749</f>
        <v/>
      </c>
      <c r="Y749">
        <f>IF(AND(V749&gt;0,N749=V749),TRUE,FALSE)</f>
        <v/>
      </c>
      <c r="Z749" s="228">
        <f>IF(C749="Einnahmen",Q749,-Q749)</f>
        <v/>
      </c>
      <c r="AB749">
        <f>S749=L749*(100+N749)%</f>
        <v/>
      </c>
    </row>
    <row r="750">
      <c r="A750" s="53" t="n">
        <v>2022</v>
      </c>
      <c r="B750" s="53" t="n">
        <v>84</v>
      </c>
      <c r="C750" s="71" t="inlineStr">
        <is>
          <t>Ausgaben</t>
        </is>
      </c>
      <c r="D750" t="inlineStr">
        <is>
          <t>Pflichversicherungsbeiträge</t>
        </is>
      </c>
      <c r="E750" s="9" t="n">
        <v>11561270283</v>
      </c>
      <c r="G750" s="1" t="n">
        <v>44711</v>
      </c>
      <c r="H750" t="inlineStr">
        <is>
          <t>Sozialversicherung der gewerblichen Wirtshaft</t>
        </is>
      </c>
      <c r="K750">
        <f>(IF(AND(I750&lt;&gt;"",AND(J750="",ABS(Q750)&gt;400)),TRUE,FALSE))</f>
        <v/>
      </c>
      <c r="L750" s="214" t="n">
        <v>5684.7</v>
      </c>
      <c r="M750" s="159" t="n">
        <v>1</v>
      </c>
      <c r="N750" t="n">
        <v>0</v>
      </c>
      <c r="O750" s="237">
        <f>L750*N750/100</f>
        <v/>
      </c>
      <c r="P750" s="237">
        <f>M750*O750</f>
        <v/>
      </c>
      <c r="Q750" s="208">
        <f>L750*M750</f>
        <v/>
      </c>
      <c r="R750" s="251">
        <f>L750+O750</f>
        <v/>
      </c>
      <c r="S750" s="251">
        <f>Q750+P750</f>
        <v/>
      </c>
      <c r="T750" s="35">
        <f>voranmeldefrist_vierteljaehrlich(G750)</f>
        <v/>
      </c>
      <c r="U750" s="27" t="n"/>
      <c r="V750" s="27" t="n"/>
      <c r="W750" s="210">
        <f>IF(K750=TRUE,Q750/J750,Q750)</f>
        <v/>
      </c>
      <c r="X750" s="237">
        <f>V750/100*S750</f>
        <v/>
      </c>
      <c r="Y750">
        <f>IF(AND(V750&gt;0,N750=V750),TRUE,FALSE)</f>
        <v/>
      </c>
      <c r="Z750" s="228">
        <f>IF(C750="Einnahmen",Q750,-Q750)</f>
        <v/>
      </c>
      <c r="AB750">
        <f>S750=L750*(100+N750)%</f>
        <v/>
      </c>
    </row>
    <row r="751">
      <c r="A751" s="53" t="n">
        <v>2022</v>
      </c>
      <c r="B751" s="53" t="n">
        <v>85</v>
      </c>
      <c r="C751" s="71" t="inlineStr">
        <is>
          <t>Ausgaben</t>
        </is>
      </c>
      <c r="D751" t="inlineStr">
        <is>
          <t>Miet- und Pachtaufwand, Leasing</t>
        </is>
      </c>
      <c r="G751" s="1" t="n">
        <v>44713</v>
      </c>
      <c r="H751" t="inlineStr">
        <is>
          <t>Bontus Immobilienverwaltung GmbH, 1010 Wien, Franz Josefs Kai 65</t>
        </is>
      </c>
      <c r="K751" t="b">
        <v>0</v>
      </c>
      <c r="L751" s="214">
        <f>586.63/1.2</f>
        <v/>
      </c>
      <c r="M751" s="159" t="n">
        <v>1</v>
      </c>
      <c r="N751" t="n">
        <v>20</v>
      </c>
      <c r="O751" s="237">
        <f>L751*N751/100</f>
        <v/>
      </c>
      <c r="P751" s="237">
        <f>M751*O751</f>
        <v/>
      </c>
      <c r="Q751" s="208">
        <f>L751*M751</f>
        <v/>
      </c>
      <c r="R751" s="251">
        <f>L751+O751</f>
        <v/>
      </c>
      <c r="S751" s="251">
        <f>Q751+P751</f>
        <v/>
      </c>
      <c r="T751" s="35">
        <f>voranmeldefrist_vierteljaehrlich(G751)</f>
        <v/>
      </c>
      <c r="U751" s="27" t="n"/>
      <c r="V751" s="27" t="n"/>
      <c r="W751" s="210">
        <f>IF(K751=TRUE,Q751/J751,Q751)</f>
        <v/>
      </c>
      <c r="X751" s="237">
        <f>V751/100*S751</f>
        <v/>
      </c>
      <c r="Y751">
        <f>IF(AND(V751&gt;0,N751=V751),TRUE,FALSE)</f>
        <v/>
      </c>
      <c r="Z751" s="228">
        <f>IF(C751="Einnahmen",Q751,-Q751)</f>
        <v/>
      </c>
      <c r="AB751">
        <f>S751=L751*(100+N751)%</f>
        <v/>
      </c>
    </row>
    <row r="752">
      <c r="A752" s="53" t="n">
        <v>2022</v>
      </c>
      <c r="B752" s="53" t="n">
        <v>86</v>
      </c>
      <c r="C752" s="71" t="inlineStr">
        <is>
          <t>Ausgaben</t>
        </is>
      </c>
      <c r="D752" t="inlineStr">
        <is>
          <t>Reise- und Fahrtspesen inkl. Kilometergeld und Diäten</t>
        </is>
      </c>
      <c r="E752" s="131" t="n"/>
      <c r="G752" s="1" t="n">
        <v>44714</v>
      </c>
      <c r="H752" t="inlineStr">
        <is>
          <t>car2go Österreich GmbH, Hintere Zollamtstraße 9, 1030 Wien</t>
        </is>
      </c>
      <c r="K752" t="b">
        <v>0</v>
      </c>
      <c r="L752" s="214" t="n">
        <v>6.57</v>
      </c>
      <c r="M752" s="159" t="n">
        <v>1</v>
      </c>
      <c r="N752" t="n">
        <v>20</v>
      </c>
      <c r="O752" s="237">
        <f>L752*N752/100</f>
        <v/>
      </c>
      <c r="P752" s="237">
        <f>M752*O752</f>
        <v/>
      </c>
      <c r="Q752" s="208">
        <f>L752*M752</f>
        <v/>
      </c>
      <c r="R752" s="251">
        <f>L752+O752</f>
        <v/>
      </c>
      <c r="S752" s="251">
        <f>Q752+P752</f>
        <v/>
      </c>
      <c r="T752" s="35">
        <f>voranmeldefrist_vierteljaehrlich(G752)</f>
        <v/>
      </c>
      <c r="U752" s="27" t="n"/>
      <c r="V752" s="27" t="n"/>
      <c r="W752" s="210">
        <f>IF(K752=TRUE,Q752/J752,Q752)</f>
        <v/>
      </c>
      <c r="X752" s="237">
        <f>V752/100*S752</f>
        <v/>
      </c>
      <c r="Y752">
        <f>IF(AND(V752&gt;0,N752=V752),TRUE,FALSE)</f>
        <v/>
      </c>
      <c r="Z752" s="228">
        <f>IF(C752="Einnahmen",Q752,-Q752)</f>
        <v/>
      </c>
      <c r="AB752">
        <f>S752=L752*(100+N752)%</f>
        <v/>
      </c>
    </row>
    <row r="753">
      <c r="A753" s="53" t="n">
        <v>2022</v>
      </c>
      <c r="B753" s="53" t="n">
        <v>87</v>
      </c>
      <c r="C753" s="71" t="inlineStr">
        <is>
          <t>Ausgaben</t>
        </is>
      </c>
      <c r="D753" t="inlineStr">
        <is>
          <t>sonstige Betriebsausgaben</t>
        </is>
      </c>
      <c r="G753" s="1" t="n">
        <v>44715</v>
      </c>
      <c r="H753" t="inlineStr">
        <is>
          <t>Google Ireland Ltd, Gordon House, Barrow Street, Dublin 4, Ireland; VAT number: IE 6388047V</t>
        </is>
      </c>
      <c r="K753" t="b">
        <v>0</v>
      </c>
      <c r="L753" s="214" t="n">
        <v>9.359999999999999</v>
      </c>
      <c r="M753" s="159" t="n">
        <v>1</v>
      </c>
      <c r="N753" t="n">
        <v>0</v>
      </c>
      <c r="O753" s="237">
        <f>L753*N753/100</f>
        <v/>
      </c>
      <c r="P753" s="237">
        <f>M753*O753</f>
        <v/>
      </c>
      <c r="Q753" s="208">
        <f>L753*M753</f>
        <v/>
      </c>
      <c r="R753" s="251">
        <f>L753+O753</f>
        <v/>
      </c>
      <c r="S753" s="251">
        <f>Q753+P753</f>
        <v/>
      </c>
      <c r="T753" s="35">
        <f>voranmeldefrist_vierteljaehrlich(G753)</f>
        <v/>
      </c>
      <c r="U753" s="27" t="n"/>
      <c r="V753" s="27" t="n">
        <v>20</v>
      </c>
      <c r="W753" s="210">
        <f>IF(K753=TRUE,Q753/I753,Q753)</f>
        <v/>
      </c>
      <c r="X753" s="237">
        <f>V753/100*S753</f>
        <v/>
      </c>
      <c r="Y753">
        <f>IF(AND(V753&gt;0,N753=V753),TRUE,FALSE)</f>
        <v/>
      </c>
      <c r="Z753" s="228">
        <f>IF(C753="Einnahmen",Q753,-Q753)</f>
        <v/>
      </c>
      <c r="AB753">
        <f>S753=L753*(100+N753)%</f>
        <v/>
      </c>
    </row>
    <row r="754">
      <c r="A754" s="53" t="n">
        <v>2022</v>
      </c>
      <c r="B754" s="53" t="n">
        <v>88</v>
      </c>
      <c r="C754" s="71" t="inlineStr">
        <is>
          <t>Ausgaben</t>
        </is>
      </c>
      <c r="D754" t="inlineStr">
        <is>
          <t>sonstige Betriebsausgaben</t>
        </is>
      </c>
      <c r="E754" s="153" t="inlineStr">
        <is>
          <t>siehe Jahresabrechnung</t>
        </is>
      </c>
      <c r="G754" s="1" t="n">
        <v>44715</v>
      </c>
      <c r="H754" t="inlineStr">
        <is>
          <t>go green energy GmbH &amp; Co KG</t>
        </is>
      </c>
      <c r="K754">
        <f>(IF(AND(I754&lt;&gt;"",AND(J754="",ABS(Q754)&gt;400)),TRUE,FALSE))</f>
        <v/>
      </c>
      <c r="L754" s="214" t="n">
        <v>2.5</v>
      </c>
      <c r="M754" s="159" t="n">
        <v>1</v>
      </c>
      <c r="N754" t="n">
        <v>20</v>
      </c>
      <c r="O754" s="237">
        <f>L754*N754/100</f>
        <v/>
      </c>
      <c r="P754" s="237">
        <f>M754*O754</f>
        <v/>
      </c>
      <c r="Q754" s="208">
        <f>L754*M754</f>
        <v/>
      </c>
      <c r="R754" s="251">
        <f>L754+O754</f>
        <v/>
      </c>
      <c r="S754" s="251">
        <f>Q754+P754</f>
        <v/>
      </c>
      <c r="T754" s="35">
        <f>voranmeldefrist_vierteljaehrlich(G754)</f>
        <v/>
      </c>
      <c r="U754" s="27" t="n"/>
      <c r="V754" s="27" t="n"/>
      <c r="W754" s="210">
        <f>IF(K754=TRUE,Q754/J754,Q754)</f>
        <v/>
      </c>
      <c r="X754" s="237">
        <f>V754/100*S754</f>
        <v/>
      </c>
      <c r="Y754">
        <f>IF(AND(V754&gt;0,N754=V754),TRUE,FALSE)</f>
        <v/>
      </c>
      <c r="Z754" s="228">
        <f>IF(C754="Einnahmen",Q754,-Q754)</f>
        <v/>
      </c>
      <c r="AB754">
        <f>S754=L754*(100+N754)%</f>
        <v/>
      </c>
    </row>
    <row r="755">
      <c r="A755" s="53" t="n">
        <v>2022</v>
      </c>
      <c r="B755" s="53" t="n">
        <v>89</v>
      </c>
      <c r="C755" s="71" t="inlineStr">
        <is>
          <t>Ausgaben</t>
        </is>
      </c>
      <c r="D755" t="inlineStr">
        <is>
          <t>Miet- und Pachtaufwand, Leasing</t>
        </is>
      </c>
      <c r="E755" s="139" t="n"/>
      <c r="G755" s="1" t="n">
        <v>44719</v>
      </c>
      <c r="H755" t="inlineStr">
        <is>
          <t>Techem Messtechnik GmbH; Abnehmernummer 501686-0003-11-</t>
        </is>
      </c>
      <c r="K755" t="b">
        <v>0</v>
      </c>
      <c r="L755" s="214" t="n">
        <v>122.6</v>
      </c>
      <c r="M755" s="159" t="n">
        <v>1</v>
      </c>
      <c r="N755" t="n">
        <v>20</v>
      </c>
      <c r="O755" s="237">
        <f>L755*N755/100</f>
        <v/>
      </c>
      <c r="P755" s="237">
        <f>M755*O755</f>
        <v/>
      </c>
      <c r="Q755" s="208">
        <f>L755*M755</f>
        <v/>
      </c>
      <c r="R755" s="251">
        <f>L755+O755</f>
        <v/>
      </c>
      <c r="S755" s="251">
        <f>Q755+P755</f>
        <v/>
      </c>
      <c r="T755" s="35">
        <f>voranmeldefrist_vierteljaehrlich(G755)</f>
        <v/>
      </c>
      <c r="U755" s="27" t="n"/>
      <c r="V755" s="27" t="n"/>
      <c r="W755" s="210">
        <f>IF(K755=TRUE,Q755/J755,Q755)</f>
        <v/>
      </c>
      <c r="X755" s="237">
        <f>V755/100*S755</f>
        <v/>
      </c>
      <c r="Y755">
        <f>IF(AND(V755&gt;0,N755=V755),TRUE,FALSE)</f>
        <v/>
      </c>
      <c r="Z755" s="228">
        <f>IF(C755="Einnahmen",Q755,-Q755)</f>
        <v/>
      </c>
      <c r="AB755">
        <f>S755=L755*(100+N755)%</f>
        <v/>
      </c>
    </row>
    <row r="756">
      <c r="A756" s="53" t="n">
        <v>2022</v>
      </c>
      <c r="B756" s="53" t="n">
        <v>90</v>
      </c>
      <c r="C756" s="71" t="inlineStr">
        <is>
          <t>Ausgaben</t>
        </is>
      </c>
      <c r="D756" t="inlineStr">
        <is>
          <t>Telefon/Internet</t>
        </is>
      </c>
      <c r="G756" s="1" t="n">
        <v>44720</v>
      </c>
      <c r="H756" t="inlineStr">
        <is>
          <t>Hutchison Drei Austria GmbH, Brünner Straße 52, 1210 Wien, Österreich</t>
        </is>
      </c>
      <c r="K756">
        <f>(IF(AND(I756&lt;&gt;"",AND(J756="",ABS(Q756)&gt;400)),TRUE,FALSE))</f>
        <v/>
      </c>
      <c r="L756" s="214" t="n">
        <v>15</v>
      </c>
      <c r="M756" s="159" t="n">
        <v>1</v>
      </c>
      <c r="N756" t="n">
        <v>20</v>
      </c>
      <c r="O756" s="237">
        <f>L756*N756/100</f>
        <v/>
      </c>
      <c r="P756" s="237">
        <f>M756*O756</f>
        <v/>
      </c>
      <c r="Q756" s="208">
        <f>L756*M756</f>
        <v/>
      </c>
      <c r="R756" s="251">
        <f>L756+O756</f>
        <v/>
      </c>
      <c r="S756" s="251">
        <f>Q756+P756</f>
        <v/>
      </c>
      <c r="T756" s="35">
        <f>voranmeldefrist_vierteljaehrlich(G756)</f>
        <v/>
      </c>
      <c r="U756" s="27" t="n"/>
      <c r="V756" s="27" t="n"/>
      <c r="W756" s="210">
        <f>IF(K756=TRUE,Q756/I756,Q756)</f>
        <v/>
      </c>
      <c r="X756" s="237">
        <f>V756/100*S756</f>
        <v/>
      </c>
      <c r="Y756">
        <f>IF(AND(V756&gt;0,N756=V756),TRUE,FALSE)</f>
        <v/>
      </c>
      <c r="Z756" s="228">
        <f>IF(C756="Einnahmen",Q756,-Q756)</f>
        <v/>
      </c>
      <c r="AB756">
        <f>S756=L756*(100+N756)%</f>
        <v/>
      </c>
    </row>
    <row r="757">
      <c r="A757" s="53" t="n">
        <v>2022</v>
      </c>
      <c r="B757" s="53" t="n">
        <v>91</v>
      </c>
      <c r="C757" s="71" t="inlineStr">
        <is>
          <t>Ausgaben</t>
        </is>
      </c>
      <c r="D757" t="inlineStr">
        <is>
          <t>Miet- und Pachtaufwand, Leasing</t>
        </is>
      </c>
      <c r="E757" s="139" t="n"/>
      <c r="G757" s="1" t="n">
        <v>44721</v>
      </c>
      <c r="H757" t="inlineStr">
        <is>
          <t>Techem Messtechnik GmbH; Abnehmernummer 501686-0003-11-</t>
        </is>
      </c>
      <c r="K757" t="b">
        <v>0</v>
      </c>
      <c r="L757" s="214">
        <f>-10.71/1.2</f>
        <v/>
      </c>
      <c r="M757" s="159" t="n">
        <v>1</v>
      </c>
      <c r="N757" t="n">
        <v>20</v>
      </c>
      <c r="O757" s="237">
        <f>L757*N757/100</f>
        <v/>
      </c>
      <c r="P757" s="237">
        <f>M757*O757</f>
        <v/>
      </c>
      <c r="Q757" s="208">
        <f>L757*M757</f>
        <v/>
      </c>
      <c r="R757" s="251">
        <f>L757+O757</f>
        <v/>
      </c>
      <c r="S757" s="251">
        <f>Q757+P757</f>
        <v/>
      </c>
      <c r="T757" s="35">
        <f>voranmeldefrist_vierteljaehrlich(G757)</f>
        <v/>
      </c>
      <c r="U757" s="27" t="n"/>
      <c r="V757" s="27" t="n"/>
      <c r="W757" s="210">
        <f>IF(K757=TRUE,Q757/J757,Q757)</f>
        <v/>
      </c>
      <c r="X757" s="237">
        <f>V757/100*S757</f>
        <v/>
      </c>
      <c r="Y757">
        <f>IF(AND(V757&gt;0,N757=V757),TRUE,FALSE)</f>
        <v/>
      </c>
      <c r="Z757" s="228">
        <f>IF(C757="Einnahmen",Q757,-Q757)</f>
        <v/>
      </c>
      <c r="AB757">
        <f>S757=L757*(100+N757)%</f>
        <v/>
      </c>
    </row>
    <row r="758">
      <c r="A758" s="53" t="n">
        <v>2022</v>
      </c>
      <c r="B758" s="53" t="n">
        <v>92</v>
      </c>
      <c r="C758" s="71" t="inlineStr">
        <is>
          <t>Ausgaben</t>
        </is>
      </c>
      <c r="D758" t="inlineStr">
        <is>
          <t>sonstige Betriebsausgaben</t>
        </is>
      </c>
      <c r="E758" s="139" t="inlineStr">
        <is>
          <t>220008996902</t>
        </is>
      </c>
      <c r="G758" s="1" t="n">
        <v>44722</v>
      </c>
      <c r="H758" t="inlineStr">
        <is>
          <t>Wiener Netze GmbH, Erdbergstraße 236, 1110 Wien, Postfach 422; Jahresabrechnung vom 17.12.20: GUTSCHRIFT</t>
        </is>
      </c>
      <c r="K758">
        <f>(IF(AND(I758&lt;&gt;"",AND(J758="",ABS(Q758)&gt;400)),TRUE,FALSE))</f>
        <v/>
      </c>
      <c r="L758" s="214" t="n">
        <v>11</v>
      </c>
      <c r="M758" s="159" t="n">
        <v>1</v>
      </c>
      <c r="N758" t="n">
        <v>20</v>
      </c>
      <c r="O758" s="237">
        <f>L758*N758/100</f>
        <v/>
      </c>
      <c r="P758" s="237">
        <f>M758*O758</f>
        <v/>
      </c>
      <c r="Q758" s="208">
        <f>L758*M758</f>
        <v/>
      </c>
      <c r="R758" s="251">
        <f>L758+O758</f>
        <v/>
      </c>
      <c r="S758" s="251">
        <f>Q758+P758</f>
        <v/>
      </c>
      <c r="T758" s="35">
        <f>voranmeldefrist_vierteljaehrlich(G758)</f>
        <v/>
      </c>
      <c r="U758" s="27" t="n"/>
      <c r="V758" s="27" t="n"/>
      <c r="W758" s="210">
        <f>IF(K758=TRUE,Q758/J758,Q758)</f>
        <v/>
      </c>
      <c r="X758" s="237">
        <f>V758/100*S758</f>
        <v/>
      </c>
      <c r="Y758">
        <f>IF(AND(V758&gt;0,N758=V758),TRUE,FALSE)</f>
        <v/>
      </c>
      <c r="Z758" s="228">
        <f>IF(C758="Einnahmen",Q758,-Q758)</f>
        <v/>
      </c>
      <c r="AB758">
        <f>S758=L758*(100+N758)%</f>
        <v/>
      </c>
    </row>
    <row r="759">
      <c r="A759" s="53" t="n">
        <v>2022</v>
      </c>
      <c r="B759" s="53" t="n">
        <v>93</v>
      </c>
      <c r="C759" s="71" t="inlineStr">
        <is>
          <t>Ausgaben</t>
        </is>
      </c>
      <c r="D759" t="inlineStr">
        <is>
          <t>sonstige Betriebsausgaben</t>
        </is>
      </c>
      <c r="G759" s="1" t="n">
        <v>44725</v>
      </c>
      <c r="H759" t="inlineStr">
        <is>
          <t>Woocommerce.com, 17 Shelley Road, Salt River, Cape Town 7625, South Africa</t>
        </is>
      </c>
      <c r="K759">
        <f>(IF(AND(I759&lt;&gt;"",AND(J759="",ABS(Q759)&gt;400)),TRUE,FALSE))</f>
        <v/>
      </c>
      <c r="L759" s="214" t="n">
        <v>27.75</v>
      </c>
      <c r="M759" s="159" t="n">
        <v>1</v>
      </c>
      <c r="N759" t="n">
        <v>0</v>
      </c>
      <c r="O759" s="237">
        <f>L759*N759/100</f>
        <v/>
      </c>
      <c r="P759" s="237">
        <f>M759*O759</f>
        <v/>
      </c>
      <c r="Q759" s="208">
        <f>L759*M759</f>
        <v/>
      </c>
      <c r="R759" s="251">
        <f>L759+O759</f>
        <v/>
      </c>
      <c r="S759" s="251">
        <f>Q759+P759</f>
        <v/>
      </c>
      <c r="T759" s="35">
        <f>voranmeldefrist_vierteljaehrlich(G759)</f>
        <v/>
      </c>
      <c r="U759" s="27" t="n"/>
      <c r="V759" s="27" t="n">
        <v>20</v>
      </c>
      <c r="W759" s="210">
        <f>IF(K759=TRUE,Q759/J759,Q759)</f>
        <v/>
      </c>
      <c r="X759" s="237">
        <f>V759/100*S759</f>
        <v/>
      </c>
      <c r="Y759">
        <f>IF(AND(V759&gt;0,N759=V759),TRUE,FALSE)</f>
        <v/>
      </c>
      <c r="Z759" s="228">
        <f>IF(C759="Einnahmen",Q759,-Q759)</f>
        <v/>
      </c>
      <c r="AB759">
        <f>S759=L759*(100+N759)%</f>
        <v/>
      </c>
    </row>
    <row r="760">
      <c r="A760" s="53" t="n">
        <v>2022</v>
      </c>
      <c r="B760" s="53" t="n">
        <v>94</v>
      </c>
      <c r="C760" s="71" t="inlineStr">
        <is>
          <t>Ausgaben</t>
        </is>
      </c>
      <c r="D760" t="inlineStr">
        <is>
          <t>sonstige Betriebsausgaben</t>
        </is>
      </c>
      <c r="G760" s="1" t="n">
        <v>44725</v>
      </c>
      <c r="H760" t="inlineStr">
        <is>
          <t>Hetzner Online GmbH</t>
        </is>
      </c>
      <c r="K760">
        <f>(IF(AND(I760&lt;&gt;"",AND(J760="",ABS(Q760)&gt;400)),TRUE,FALSE))</f>
        <v/>
      </c>
      <c r="L760" s="214" t="n">
        <v>47.7765</v>
      </c>
      <c r="M760" s="159" t="n">
        <v>1</v>
      </c>
      <c r="N760" t="n">
        <v>0</v>
      </c>
      <c r="O760" s="237">
        <f>L760*N760/100</f>
        <v/>
      </c>
      <c r="P760" s="237">
        <f>M760*O760</f>
        <v/>
      </c>
      <c r="Q760" s="208">
        <f>L760*M760</f>
        <v/>
      </c>
      <c r="R760" s="251">
        <f>L760+O760</f>
        <v/>
      </c>
      <c r="S760" s="251">
        <f>Q760+P760</f>
        <v/>
      </c>
      <c r="T760" s="35">
        <f>voranmeldefrist_vierteljaehrlich(G760)</f>
        <v/>
      </c>
      <c r="U760" s="27" t="n"/>
      <c r="V760" s="27" t="n">
        <v>20</v>
      </c>
      <c r="W760" s="210">
        <f>IF(K760=TRUE,Q760/J760,Q760)</f>
        <v/>
      </c>
      <c r="X760" s="237">
        <f>V760/100*S760</f>
        <v/>
      </c>
      <c r="Y760">
        <f>IF(AND(V760&gt;0,N760=V760),TRUE,FALSE)</f>
        <v/>
      </c>
      <c r="Z760" s="228">
        <f>IF(C760="Einnahmen",Q760,-Q760)</f>
        <v/>
      </c>
      <c r="AB760">
        <f>S760=L760*(100+N760)%</f>
        <v/>
      </c>
    </row>
    <row r="761">
      <c r="A761" s="53" t="n">
        <v>2022</v>
      </c>
      <c r="B761" s="53" t="n">
        <v>95</v>
      </c>
      <c r="C761" s="71" t="inlineStr">
        <is>
          <t>Ausgaben</t>
        </is>
      </c>
      <c r="D761" t="inlineStr">
        <is>
          <t>sonstige Betriebsausgaben</t>
        </is>
      </c>
      <c r="E761" t="n"/>
      <c r="G761" s="1" t="n">
        <v>44728</v>
      </c>
      <c r="H761" t="inlineStr">
        <is>
          <t>Google Ireland Ltd, Gordon House, Barrow Street, Dublin 4, Ireland; VAT number: IE 6388047V</t>
        </is>
      </c>
      <c r="K761" t="b">
        <v>0</v>
      </c>
      <c r="L761" s="214" t="n">
        <v>19.99</v>
      </c>
      <c r="M761" s="159" t="n">
        <v>1</v>
      </c>
      <c r="N761" t="n">
        <v>0</v>
      </c>
      <c r="O761" s="237">
        <f>L761*N761/100</f>
        <v/>
      </c>
      <c r="P761" s="237">
        <f>M761*O761</f>
        <v/>
      </c>
      <c r="Q761" s="208">
        <f>L761*M761</f>
        <v/>
      </c>
      <c r="R761" s="251">
        <f>L761+O761</f>
        <v/>
      </c>
      <c r="S761" s="251">
        <f>Q761+P761</f>
        <v/>
      </c>
      <c r="T761" s="35">
        <f>voranmeldefrist_vierteljaehrlich(G761)</f>
        <v/>
      </c>
      <c r="U761" s="27" t="n"/>
      <c r="V761" s="27" t="n">
        <v>20</v>
      </c>
      <c r="W761" s="210">
        <f>IF(K761=TRUE,Q761/I761,Q761)</f>
        <v/>
      </c>
      <c r="X761" s="237">
        <f>V761/100*S761</f>
        <v/>
      </c>
      <c r="Y761">
        <f>IF(AND(V761&gt;0,N761=V761),TRUE,FALSE)</f>
        <v/>
      </c>
      <c r="Z761" s="228">
        <f>IF(C761="Einnahmen",Q761,-Q761)</f>
        <v/>
      </c>
      <c r="AB761">
        <f>S761=L761*(100+N761)%</f>
        <v/>
      </c>
    </row>
    <row r="762">
      <c r="A762" s="53" t="n">
        <v>2022</v>
      </c>
      <c r="B762" s="53" t="n">
        <v>96</v>
      </c>
      <c r="C762" s="71" t="inlineStr">
        <is>
          <t>Einnahmen</t>
        </is>
      </c>
      <c r="D762" t="inlineStr">
        <is>
          <t>Waren-/Leistungserlöse</t>
        </is>
      </c>
      <c r="E762" t="n">
        <v>168043527</v>
      </c>
      <c r="G762" s="1" t="n">
        <v>44729</v>
      </c>
      <c r="H762" t="inlineStr">
        <is>
          <t>Hays Österreich GmbH, Bahnhof City Wien West , Europaplatz 3/5, 1150 Wien</t>
        </is>
      </c>
      <c r="K762">
        <f>(IF(AND(I762&lt;&gt;"",AND(J762="",ABS(Q762)&gt;400)),TRUE,FALSE))</f>
        <v/>
      </c>
      <c r="L762" s="214" t="n">
        <v>11910.5</v>
      </c>
      <c r="M762" s="159" t="n">
        <v>1</v>
      </c>
      <c r="N762" t="n">
        <v>20</v>
      </c>
      <c r="O762" s="237">
        <f>L762*N762/100</f>
        <v/>
      </c>
      <c r="P762" s="237">
        <f>M762*O762</f>
        <v/>
      </c>
      <c r="Q762" s="208">
        <f>L762*M762</f>
        <v/>
      </c>
      <c r="R762" s="251">
        <f>L762+O762</f>
        <v/>
      </c>
      <c r="S762" s="251">
        <f>Q762+P762</f>
        <v/>
      </c>
      <c r="T762" s="35">
        <f>voranmeldefrist_vierteljaehrlich(G762)</f>
        <v/>
      </c>
      <c r="U762" s="27" t="n"/>
      <c r="V762" s="27" t="n">
        <v>20</v>
      </c>
      <c r="W762" s="210">
        <f>IF(K762=TRUE,Q762/J762,Q762)</f>
        <v/>
      </c>
      <c r="X762" s="237">
        <f>V762/100*S762</f>
        <v/>
      </c>
      <c r="Y762">
        <f>IF(AND(V762&gt;0,N762=V762),TRUE,FALSE)</f>
        <v/>
      </c>
      <c r="Z762" s="228">
        <f>IF(C762="Einnahmen",Q762,-Q762)</f>
        <v/>
      </c>
      <c r="AB762">
        <f>S762=L762*(100+N762)%</f>
        <v/>
      </c>
    </row>
    <row r="763">
      <c r="A763" s="53" t="n">
        <v>2022</v>
      </c>
      <c r="B763" s="53" t="n">
        <v>97</v>
      </c>
      <c r="C763" s="71" t="inlineStr">
        <is>
          <t>Ausgaben</t>
        </is>
      </c>
      <c r="D763" t="inlineStr">
        <is>
          <t>sonstige Betriebsausgaben</t>
        </is>
      </c>
      <c r="E763" s="6" t="n"/>
      <c r="G763" s="1" t="n">
        <v>44732</v>
      </c>
      <c r="H763" t="inlineStr">
        <is>
          <t>Microsoft Ireland Operations Ltd. One Microsoft Place, South County, Business Park, Leopardstown, Dublin 18, D18 P521, Ireland</t>
        </is>
      </c>
      <c r="K763">
        <f>(IF(AND(I763&lt;&gt;"",AND(J763="",ABS(Q763)&gt;400)),TRUE,FALSE))</f>
        <v/>
      </c>
      <c r="L763" s="214" t="n">
        <v>10.5</v>
      </c>
      <c r="M763" s="159" t="n">
        <v>1</v>
      </c>
      <c r="N763" t="n">
        <v>0</v>
      </c>
      <c r="O763" s="237">
        <f>L763*N763/100</f>
        <v/>
      </c>
      <c r="P763" s="237">
        <f>M763*O763</f>
        <v/>
      </c>
      <c r="Q763" s="208">
        <f>L763*M763</f>
        <v/>
      </c>
      <c r="R763" s="251">
        <f>L763+O763</f>
        <v/>
      </c>
      <c r="S763" s="251">
        <f>Q763+P763</f>
        <v/>
      </c>
      <c r="T763" s="35">
        <f>voranmeldefrist_vierteljaehrlich(G763)</f>
        <v/>
      </c>
      <c r="U763" s="27" t="n"/>
      <c r="V763" s="27" t="n">
        <v>20</v>
      </c>
      <c r="W763" s="210">
        <f>IF(K763=TRUE,Q763/J763,Q763)</f>
        <v/>
      </c>
      <c r="X763" s="237">
        <f>V763/100*S763</f>
        <v/>
      </c>
      <c r="Y763">
        <f>IF(AND(V763&gt;0,N763=V763),TRUE,FALSE)</f>
        <v/>
      </c>
      <c r="Z763" s="228">
        <f>IF(C763="Einnahmen",Q763,-Q763)</f>
        <v/>
      </c>
      <c r="AB763">
        <f>S763=L763*(100+N763)%</f>
        <v/>
      </c>
    </row>
    <row r="764">
      <c r="A764" s="53" t="n">
        <v>2022</v>
      </c>
      <c r="B764" s="53" t="n">
        <v>98</v>
      </c>
      <c r="C764" s="71" t="inlineStr">
        <is>
          <t>Ausgaben</t>
        </is>
      </c>
      <c r="D764" t="inlineStr">
        <is>
          <t>sonstige Betriebsausgaben</t>
        </is>
      </c>
      <c r="E764" s="61" t="inlineStr">
        <is>
          <t>BELEG FEHLT</t>
        </is>
      </c>
      <c r="G764" s="1" t="n">
        <v>44733</v>
      </c>
      <c r="H764" t="inlineStr">
        <is>
          <t>Microsoft Ireland Operations Ltd. One Microsoft Place, South County, Business Park, Leopardstown, Dublin 18, D18 P521, Ireland</t>
        </is>
      </c>
      <c r="K764">
        <f>(IF(AND(I764&lt;&gt;"",AND(J764="",ABS(Q764)&gt;400)),TRUE,FALSE))</f>
        <v/>
      </c>
      <c r="L764" s="214" t="n">
        <v>69</v>
      </c>
      <c r="M764" s="159" t="n">
        <v>1</v>
      </c>
      <c r="N764" t="n">
        <v>0</v>
      </c>
      <c r="O764" s="237">
        <f>L764*N764/100</f>
        <v/>
      </c>
      <c r="P764" s="237">
        <f>M764*O764</f>
        <v/>
      </c>
      <c r="Q764" s="208">
        <f>L764*M764</f>
        <v/>
      </c>
      <c r="R764" s="251">
        <f>L764+O764</f>
        <v/>
      </c>
      <c r="S764" s="251">
        <f>Q764+P764</f>
        <v/>
      </c>
      <c r="T764" s="35">
        <f>voranmeldefrist_vierteljaehrlich(G764)</f>
        <v/>
      </c>
      <c r="U764" s="27" t="n"/>
      <c r="V764" s="27" t="n">
        <v>20</v>
      </c>
      <c r="W764" s="210">
        <f>IF(K764=TRUE,Q764/J764,Q764)</f>
        <v/>
      </c>
      <c r="X764" s="237">
        <f>V764/100*S764</f>
        <v/>
      </c>
      <c r="Y764">
        <f>IF(AND(V764&gt;0,N764=V764),TRUE,FALSE)</f>
        <v/>
      </c>
      <c r="Z764" s="228">
        <f>IF(C764="Einnahmen",Q764,-Q764)</f>
        <v/>
      </c>
      <c r="AB764">
        <f>S764=L764*(100+N764)%</f>
        <v/>
      </c>
    </row>
    <row r="765">
      <c r="A765" s="53" t="n">
        <v>2022</v>
      </c>
      <c r="B765" s="53" t="n">
        <v>99</v>
      </c>
      <c r="C765" s="71" t="inlineStr">
        <is>
          <t>Ausgaben</t>
        </is>
      </c>
      <c r="D765" t="inlineStr">
        <is>
          <t>Telefon/Internet</t>
        </is>
      </c>
      <c r="E765" s="131" t="n"/>
      <c r="G765" s="1" t="n">
        <v>44734</v>
      </c>
      <c r="H765" t="inlineStr">
        <is>
          <t>Magenta: T-Mobile Austria GmbH, A-1120 Wien, PF 47</t>
        </is>
      </c>
      <c r="K765">
        <f>(IF(AND(I765&lt;&gt;"",AND(J765="",ABS(Q765)&gt;400)),TRUE,FALSE))</f>
        <v/>
      </c>
      <c r="L765" s="214" t="n">
        <v>31.92</v>
      </c>
      <c r="M765" s="159" t="n">
        <v>1</v>
      </c>
      <c r="N765" t="n">
        <v>20</v>
      </c>
      <c r="O765" s="237">
        <f>L765*N765/100</f>
        <v/>
      </c>
      <c r="P765" s="237">
        <f>M765*O765</f>
        <v/>
      </c>
      <c r="Q765" s="208">
        <f>L765*M765</f>
        <v/>
      </c>
      <c r="R765" s="251">
        <f>L765+O765</f>
        <v/>
      </c>
      <c r="S765" s="251">
        <f>Q765+P765</f>
        <v/>
      </c>
      <c r="T765" s="35">
        <f>voranmeldefrist_vierteljaehrlich(G765)</f>
        <v/>
      </c>
      <c r="U765" s="27" t="n"/>
      <c r="V765" s="27" t="n"/>
      <c r="W765" s="210">
        <f>IF(K765=TRUE,Q765/I765,Q765)</f>
        <v/>
      </c>
      <c r="X765" s="237">
        <f>V765/100*S765</f>
        <v/>
      </c>
      <c r="Y765">
        <f>IF(AND(V765&gt;0,N765=V765),TRUE,FALSE)</f>
        <v/>
      </c>
      <c r="Z765" s="228">
        <f>IF(C765="Einnahmen",Q765,-Q765)</f>
        <v/>
      </c>
      <c r="AB765">
        <f>S765=L765*(100+N765)%</f>
        <v/>
      </c>
    </row>
    <row r="766">
      <c r="A766" s="53" t="n">
        <v>2022</v>
      </c>
      <c r="B766" s="53" t="n">
        <v>100</v>
      </c>
      <c r="C766" s="71" t="inlineStr">
        <is>
          <t>Ausgaben</t>
        </is>
      </c>
      <c r="D766" t="inlineStr">
        <is>
          <t>Miet- und Pachtaufwand, Leasing</t>
        </is>
      </c>
      <c r="G766" s="1" t="n">
        <v>44743</v>
      </c>
      <c r="H766" t="inlineStr">
        <is>
          <t>Bontus Immobilienverwaltung GmbH, 1010 Wien, Franz Josefs Kai 65</t>
        </is>
      </c>
      <c r="K766" t="b">
        <v>0</v>
      </c>
      <c r="L766" s="214">
        <f>595.73/1.2</f>
        <v/>
      </c>
      <c r="M766" s="159" t="n">
        <v>1</v>
      </c>
      <c r="N766" t="n">
        <v>20</v>
      </c>
      <c r="O766" s="237">
        <f>L766*N766/100</f>
        <v/>
      </c>
      <c r="P766" s="237">
        <f>M766*O766</f>
        <v/>
      </c>
      <c r="Q766" s="208">
        <f>L766*M766</f>
        <v/>
      </c>
      <c r="R766" s="251">
        <f>L766+O766</f>
        <v/>
      </c>
      <c r="S766" s="251">
        <f>Q766+P766</f>
        <v/>
      </c>
      <c r="T766" s="35">
        <f>voranmeldefrist_vierteljaehrlich(G766)</f>
        <v/>
      </c>
      <c r="U766" s="27" t="n"/>
      <c r="V766" s="27" t="n"/>
      <c r="W766" s="210">
        <f>IF(K766=TRUE,Q766/J766,Q766)</f>
        <v/>
      </c>
      <c r="X766" s="237">
        <f>V766/100*S766</f>
        <v/>
      </c>
      <c r="Y766">
        <f>IF(AND(V766&gt;0,N766=V766),TRUE,FALSE)</f>
        <v/>
      </c>
      <c r="Z766" s="228">
        <f>IF(C766="Einnahmen",Q766,-Q766)</f>
        <v/>
      </c>
      <c r="AB766">
        <f>S766=L766*(100+N766)%</f>
        <v/>
      </c>
    </row>
    <row r="767">
      <c r="A767" s="53" t="n">
        <v>2022</v>
      </c>
      <c r="B767" s="53" t="n">
        <v>101</v>
      </c>
      <c r="C767" s="71" t="inlineStr">
        <is>
          <t>Ausgaben</t>
        </is>
      </c>
      <c r="D767" t="inlineStr">
        <is>
          <t>sonstige Betriebsausgaben</t>
        </is>
      </c>
      <c r="E767" s="6" t="n"/>
      <c r="G767" s="1" t="n">
        <v>44743</v>
      </c>
      <c r="H767" t="inlineStr">
        <is>
          <t>Amazon EU S. à r.l., 38 avenue John F. Kennedy, L-1855 Luxembourg: HJEU: DVI-HDMI, Logitech Maus</t>
        </is>
      </c>
      <c r="K767">
        <f>(IF(AND(I767&lt;&gt;"",AND(J767="",ABS(Q767)&gt;400)),TRUE,FALSE))</f>
        <v/>
      </c>
      <c r="L767" s="214" t="n">
        <v>15.61</v>
      </c>
      <c r="M767" s="159" t="n">
        <v>1</v>
      </c>
      <c r="N767" t="n">
        <v>0</v>
      </c>
      <c r="O767" s="237">
        <f>L767*N767/100</f>
        <v/>
      </c>
      <c r="P767" s="237">
        <f>M767*O767</f>
        <v/>
      </c>
      <c r="Q767" s="208">
        <f>L767*M767</f>
        <v/>
      </c>
      <c r="R767" s="251">
        <f>L767+O767</f>
        <v/>
      </c>
      <c r="S767" s="251">
        <f>Q767+P767</f>
        <v/>
      </c>
      <c r="T767" s="35">
        <f>voranmeldefrist_vierteljaehrlich(G767)</f>
        <v/>
      </c>
      <c r="U767" s="27" t="n"/>
      <c r="V767" s="27" t="n">
        <v>20</v>
      </c>
      <c r="W767" s="210">
        <f>IF(K767=TRUE,Q767/I767,Q767)</f>
        <v/>
      </c>
      <c r="X767" s="237">
        <f>V767/100*S767</f>
        <v/>
      </c>
      <c r="Y767">
        <f>IF(AND(V767&gt;0,N767=V767),TRUE,FALSE)</f>
        <v/>
      </c>
      <c r="Z767" s="228">
        <f>IF(C767="Einnahmen",Q767,-Q767)</f>
        <v/>
      </c>
      <c r="AB767">
        <f>S767=L767*(100+N767)%</f>
        <v/>
      </c>
    </row>
    <row r="768">
      <c r="A768" s="53" t="n">
        <v>2022</v>
      </c>
      <c r="B768" s="53" t="n">
        <v>102</v>
      </c>
      <c r="C768" s="71" t="inlineStr">
        <is>
          <t>Ausgaben</t>
        </is>
      </c>
      <c r="D768" t="inlineStr">
        <is>
          <t>Reise- und Fahrtspesen inkl. Kilometergeld und Diäten</t>
        </is>
      </c>
      <c r="E768" s="131" t="n"/>
      <c r="G768" s="1" t="n">
        <v>44746</v>
      </c>
      <c r="H768" t="inlineStr">
        <is>
          <t>car2go Österreich GmbH, Hintere Zollamtstraße 9, 1030 Wien</t>
        </is>
      </c>
      <c r="K768" t="b">
        <v>0</v>
      </c>
      <c r="L768" s="214" t="n">
        <v>14.48</v>
      </c>
      <c r="M768" s="159" t="n">
        <v>1</v>
      </c>
      <c r="N768" t="n">
        <v>20</v>
      </c>
      <c r="O768" s="237">
        <f>L768*N768/100</f>
        <v/>
      </c>
      <c r="P768" s="237">
        <f>M768*O768</f>
        <v/>
      </c>
      <c r="Q768" s="208">
        <f>L768*M768</f>
        <v/>
      </c>
      <c r="R768" s="251">
        <f>L768+O768</f>
        <v/>
      </c>
      <c r="S768" s="251">
        <f>Q768+P768</f>
        <v/>
      </c>
      <c r="T768" s="35">
        <f>voranmeldefrist_vierteljaehrlich(G768)</f>
        <v/>
      </c>
      <c r="U768" s="27" t="n"/>
      <c r="V768" s="27" t="n"/>
      <c r="W768" s="210">
        <f>IF(K768=TRUE,Q768/J768,Q768)</f>
        <v/>
      </c>
      <c r="X768" s="237">
        <f>V768/100*S768</f>
        <v/>
      </c>
      <c r="Y768">
        <f>IF(AND(V768&gt;0,N768=V768),TRUE,FALSE)</f>
        <v/>
      </c>
      <c r="Z768" s="228">
        <f>IF(C768="Einnahmen",Q768,-Q768)</f>
        <v/>
      </c>
      <c r="AB768">
        <f>S768=L768*(100+N768)%</f>
        <v/>
      </c>
    </row>
    <row r="769">
      <c r="A769" s="53" t="n">
        <v>2022</v>
      </c>
      <c r="B769" s="53" t="n">
        <v>103</v>
      </c>
      <c r="C769" s="71" t="inlineStr">
        <is>
          <t>Ausgaben</t>
        </is>
      </c>
      <c r="D769" t="inlineStr">
        <is>
          <t>sonstige Betriebsausgaben</t>
        </is>
      </c>
      <c r="G769" s="1" t="n">
        <v>44746</v>
      </c>
      <c r="H769" t="inlineStr">
        <is>
          <t>Google Ireland Ltd, Gordon House, Barrow Street, Dublin 4, Ireland; VAT number: IE 6388047V</t>
        </is>
      </c>
      <c r="K769" t="b">
        <v>0</v>
      </c>
      <c r="L769" s="214" t="n">
        <v>9.359999999999999</v>
      </c>
      <c r="M769" s="159" t="n">
        <v>1</v>
      </c>
      <c r="N769" t="n">
        <v>0</v>
      </c>
      <c r="O769" s="237">
        <f>L769*N769/100</f>
        <v/>
      </c>
      <c r="P769" s="237">
        <f>M769*O769</f>
        <v/>
      </c>
      <c r="Q769" s="208">
        <f>L769*M769</f>
        <v/>
      </c>
      <c r="R769" s="251">
        <f>L769+O769</f>
        <v/>
      </c>
      <c r="S769" s="251">
        <f>Q769+P769</f>
        <v/>
      </c>
      <c r="T769" s="35">
        <f>voranmeldefrist_vierteljaehrlich(G769)</f>
        <v/>
      </c>
      <c r="U769" s="27" t="n"/>
      <c r="V769" s="27" t="n">
        <v>20</v>
      </c>
      <c r="W769" s="210">
        <f>IF(K769=TRUE,Q769/I769,Q769)</f>
        <v/>
      </c>
      <c r="X769" s="237">
        <f>V769/100*S769</f>
        <v/>
      </c>
      <c r="Y769">
        <f>IF(AND(V769&gt;0,N769=V769),TRUE,FALSE)</f>
        <v/>
      </c>
      <c r="Z769" s="228">
        <f>IF(C769="Einnahmen",Q769,-Q769)</f>
        <v/>
      </c>
      <c r="AB769">
        <f>S769=L769*(100+N769)%</f>
        <v/>
      </c>
    </row>
    <row r="770">
      <c r="A770" s="53" t="n">
        <v>2022</v>
      </c>
      <c r="B770" s="53" t="n">
        <v>104</v>
      </c>
      <c r="C770" s="71" t="inlineStr">
        <is>
          <t>Einnahmen</t>
        </is>
      </c>
      <c r="D770" t="inlineStr">
        <is>
          <t>Waren-/Leistungserlöse</t>
        </is>
      </c>
      <c r="E770" s="6" t="n">
        <v>12022012</v>
      </c>
      <c r="G770" s="1" t="n">
        <v>44746</v>
      </c>
      <c r="H770" t="inlineStr">
        <is>
          <t>ZT DI Dr. Arno Kolbitsch, Gütleweg 1, 6822 Satteins</t>
        </is>
      </c>
      <c r="K770">
        <f>(IF(AND(I770&lt;&gt;"",AND(J770="",ABS(Q770)&gt;400)),TRUE,FALSE))</f>
        <v/>
      </c>
      <c r="L770" s="214" t="n">
        <v>1667.3</v>
      </c>
      <c r="M770" s="159" t="n">
        <v>1</v>
      </c>
      <c r="N770" t="n">
        <v>20</v>
      </c>
      <c r="O770" s="237">
        <f>L770*N770/100</f>
        <v/>
      </c>
      <c r="P770" s="237">
        <f>M770*O770</f>
        <v/>
      </c>
      <c r="Q770" s="208">
        <f>L770*M770</f>
        <v/>
      </c>
      <c r="R770" s="251">
        <f>L770+O770</f>
        <v/>
      </c>
      <c r="S770" s="251">
        <f>Q770+P770</f>
        <v/>
      </c>
      <c r="T770" s="35">
        <f>voranmeldefrist_vierteljaehrlich(G770)</f>
        <v/>
      </c>
      <c r="U770" s="27" t="n"/>
      <c r="V770" s="27" t="n"/>
      <c r="W770" s="210">
        <f>IF(K770=TRUE,Q770/I770,Q770)</f>
        <v/>
      </c>
      <c r="X770" s="237">
        <f>V770/100*S770</f>
        <v/>
      </c>
      <c r="Y770">
        <f>IF(AND(V770&gt;0,N770=V770),TRUE,FALSE)</f>
        <v/>
      </c>
      <c r="Z770" s="228">
        <f>IF(C770="Einnahmen",Q770,-Q770)</f>
        <v/>
      </c>
      <c r="AB770">
        <f>S770=L770*(100+N770)%</f>
        <v/>
      </c>
    </row>
    <row r="771">
      <c r="A771" s="53" t="n">
        <v>2022</v>
      </c>
      <c r="B771" s="53" t="n">
        <v>105</v>
      </c>
      <c r="C771" s="71" t="inlineStr">
        <is>
          <t>Einnahmen</t>
        </is>
      </c>
      <c r="D771" t="inlineStr">
        <is>
          <t>Waren-/Leistungserlöse</t>
        </is>
      </c>
      <c r="E771" s="9" t="inlineStr">
        <is>
          <t>12022014</t>
        </is>
      </c>
      <c r="G771" s="1" t="n">
        <v>44746</v>
      </c>
      <c r="H771" t="inlineStr">
        <is>
          <t>Kolbitsch Engineering &amp; Consulting KNr 45</t>
        </is>
      </c>
      <c r="K771" t="b">
        <v>0</v>
      </c>
      <c r="L771" s="214" t="n">
        <v>91.5</v>
      </c>
      <c r="M771" s="159" t="n">
        <v>1</v>
      </c>
      <c r="N771" t="n">
        <v>20</v>
      </c>
      <c r="O771" s="237">
        <f>L771*N771/100</f>
        <v/>
      </c>
      <c r="P771" s="237">
        <f>M771*O771</f>
        <v/>
      </c>
      <c r="Q771" s="208">
        <f>L771*M771</f>
        <v/>
      </c>
      <c r="R771" s="251">
        <f>L771+O771</f>
        <v/>
      </c>
      <c r="S771" s="251">
        <f>Q771+P771</f>
        <v/>
      </c>
      <c r="T771" s="35">
        <f>voranmeldefrist_vierteljaehrlich(G771)</f>
        <v/>
      </c>
      <c r="U771" s="27" t="n"/>
      <c r="V771" s="27" t="n"/>
      <c r="W771" s="210">
        <f>IF(K771=TRUE,Q771/J771,Q771)</f>
        <v/>
      </c>
      <c r="X771" s="237">
        <f>V771/100*S771</f>
        <v/>
      </c>
      <c r="Y771">
        <f>IF(AND(V771&gt;0,N771=V771),TRUE,FALSE)</f>
        <v/>
      </c>
      <c r="Z771" s="228">
        <f>IF(C771="Einnahmen",Q771,-Q771)</f>
        <v/>
      </c>
      <c r="AB771">
        <f>S771=L771*(100+N771)%</f>
        <v/>
      </c>
    </row>
    <row r="772">
      <c r="A772" s="53" t="n">
        <v>2022</v>
      </c>
      <c r="B772" s="53" t="n">
        <v>106</v>
      </c>
      <c r="C772" s="71" t="inlineStr">
        <is>
          <t>Ausgaben</t>
        </is>
      </c>
      <c r="D772" t="inlineStr">
        <is>
          <t>sonstige Betriebsausgaben</t>
        </is>
      </c>
      <c r="E772" s="153" t="inlineStr">
        <is>
          <t>siehe Jahresabrechnung</t>
        </is>
      </c>
      <c r="G772" s="1" t="n">
        <v>44747</v>
      </c>
      <c r="H772" t="inlineStr">
        <is>
          <t>go green energy GmbH &amp; Co KG</t>
        </is>
      </c>
      <c r="K772">
        <f>(IF(AND(I772&lt;&gt;"",AND(J772="",ABS(Q772)&gt;400)),TRUE,FALSE))</f>
        <v/>
      </c>
      <c r="L772" s="214" t="n">
        <v>2.5</v>
      </c>
      <c r="M772" s="159" t="n">
        <v>1</v>
      </c>
      <c r="N772" t="n">
        <v>20</v>
      </c>
      <c r="O772" s="237">
        <f>L772*N772/100</f>
        <v/>
      </c>
      <c r="P772" s="237">
        <f>M772*O772</f>
        <v/>
      </c>
      <c r="Q772" s="208">
        <f>L772*M772</f>
        <v/>
      </c>
      <c r="R772" s="251">
        <f>L772+O772</f>
        <v/>
      </c>
      <c r="S772" s="251">
        <f>Q772+P772</f>
        <v/>
      </c>
      <c r="T772" s="35">
        <f>voranmeldefrist_vierteljaehrlich(G772)</f>
        <v/>
      </c>
      <c r="U772" s="27" t="n"/>
      <c r="V772" s="27" t="n"/>
      <c r="W772" s="210">
        <f>IF(K772=TRUE,Q772/J772,Q772)</f>
        <v/>
      </c>
      <c r="X772" s="237">
        <f>V772/100*S772</f>
        <v/>
      </c>
      <c r="Y772">
        <f>IF(AND(V772&gt;0,N772=V772),TRUE,FALSE)</f>
        <v/>
      </c>
      <c r="Z772" s="228">
        <f>IF(C772="Einnahmen",Q772,-Q772)</f>
        <v/>
      </c>
      <c r="AB772">
        <f>S772=L772*(100+N772)%</f>
        <v/>
      </c>
    </row>
    <row r="773">
      <c r="A773" s="53" t="n">
        <v>2022</v>
      </c>
      <c r="B773" s="53" t="n">
        <v>107</v>
      </c>
      <c r="C773" s="71" t="inlineStr">
        <is>
          <t>Ausgaben</t>
        </is>
      </c>
      <c r="D773" t="inlineStr">
        <is>
          <t>Telefon/Internet</t>
        </is>
      </c>
      <c r="G773" s="1" t="n">
        <v>44747</v>
      </c>
      <c r="H773" t="inlineStr">
        <is>
          <t>Hutchison Drei Austria GmbH, Brünner Straße 52, 1210 Wien, Österreich</t>
        </is>
      </c>
      <c r="K773">
        <f>(IF(AND(I773&lt;&gt;"",AND(J773="",ABS(Q773)&gt;400)),TRUE,FALSE))</f>
        <v/>
      </c>
      <c r="L773" s="214" t="n">
        <v>15</v>
      </c>
      <c r="M773" s="159" t="n">
        <v>1</v>
      </c>
      <c r="N773" t="n">
        <v>20</v>
      </c>
      <c r="O773" s="237">
        <f>L773*N773/100</f>
        <v/>
      </c>
      <c r="P773" s="237">
        <f>M773*O773</f>
        <v/>
      </c>
      <c r="Q773" s="208">
        <f>L773*M773</f>
        <v/>
      </c>
      <c r="R773" s="251">
        <f>L773+O773</f>
        <v/>
      </c>
      <c r="S773" s="251">
        <f>Q773+P773</f>
        <v/>
      </c>
      <c r="T773" s="35">
        <f>voranmeldefrist_vierteljaehrlich(G773)</f>
        <v/>
      </c>
      <c r="U773" s="27" t="n"/>
      <c r="V773" s="27" t="n"/>
      <c r="W773" s="210">
        <f>IF(K773=TRUE,Q773/I773,Q773)</f>
        <v/>
      </c>
      <c r="X773" s="237">
        <f>V773/100*S773</f>
        <v/>
      </c>
      <c r="Y773">
        <f>IF(AND(V773&gt;0,N773=V773),TRUE,FALSE)</f>
        <v/>
      </c>
      <c r="Z773" s="228">
        <f>IF(C773="Einnahmen",Q773,-Q773)</f>
        <v/>
      </c>
      <c r="AB773">
        <f>S773=L773*(100+N773)%</f>
        <v/>
      </c>
    </row>
    <row r="774">
      <c r="A774" s="53" t="n">
        <v>2022</v>
      </c>
      <c r="B774" s="53" t="n">
        <v>108</v>
      </c>
      <c r="C774" s="71" t="inlineStr">
        <is>
          <t>Ausgaben</t>
        </is>
      </c>
      <c r="D774" t="inlineStr">
        <is>
          <t>Miet- und Pachtaufwand, Leasing</t>
        </is>
      </c>
      <c r="E774" s="139" t="n"/>
      <c r="G774" s="1" t="n">
        <v>44748</v>
      </c>
      <c r="H774" t="inlineStr">
        <is>
          <t>Techem Messtechnik GmbH; Abnehmernummer 501686-0003-11-</t>
        </is>
      </c>
      <c r="K774" t="b">
        <v>0</v>
      </c>
      <c r="L774" s="214" t="n">
        <v>122.6</v>
      </c>
      <c r="M774" s="159" t="n">
        <v>1</v>
      </c>
      <c r="N774" t="n">
        <v>20</v>
      </c>
      <c r="O774" s="237">
        <f>L774*N774/100</f>
        <v/>
      </c>
      <c r="P774" s="237">
        <f>M774*O774</f>
        <v/>
      </c>
      <c r="Q774" s="208">
        <f>L774*M774</f>
        <v/>
      </c>
      <c r="R774" s="251">
        <f>L774+O774</f>
        <v/>
      </c>
      <c r="S774" s="251">
        <f>Q774+P774</f>
        <v/>
      </c>
      <c r="T774" s="35">
        <f>voranmeldefrist_vierteljaehrlich(G774)</f>
        <v/>
      </c>
      <c r="U774" s="27" t="n"/>
      <c r="V774" s="27" t="n"/>
      <c r="W774" s="210">
        <f>IF(K774=TRUE,Q774/J774,Q774)</f>
        <v/>
      </c>
      <c r="X774" s="237">
        <f>V774/100*S774</f>
        <v/>
      </c>
      <c r="Y774">
        <f>IF(AND(V774&gt;0,N774=V774),TRUE,FALSE)</f>
        <v/>
      </c>
      <c r="Z774" s="228">
        <f>IF(C774="Einnahmen",Q774,-Q774)</f>
        <v/>
      </c>
      <c r="AB774">
        <f>S774=L774*(100+N774)%</f>
        <v/>
      </c>
    </row>
    <row r="775">
      <c r="A775" s="53" t="n">
        <v>2022</v>
      </c>
      <c r="B775" s="53" t="n">
        <v>109</v>
      </c>
      <c r="C775" s="71" t="inlineStr">
        <is>
          <t>Ausgaben</t>
        </is>
      </c>
      <c r="D775" t="inlineStr">
        <is>
          <t>sonstige Betriebsausgaben</t>
        </is>
      </c>
      <c r="E775" s="139" t="inlineStr">
        <is>
          <t>220008996902</t>
        </is>
      </c>
      <c r="G775" s="1" t="n">
        <v>44753</v>
      </c>
      <c r="H775" t="inlineStr">
        <is>
          <t>Wiener Netze GmbH, Erdbergstraße 236, 1110 Wien, Postfach 422; Jahresabrechnung vom 17.12.20: GUTSCHRIFT</t>
        </is>
      </c>
      <c r="K775">
        <f>(IF(AND(I775&lt;&gt;"",AND(J775="",ABS(Q775)&gt;400)),TRUE,FALSE))</f>
        <v/>
      </c>
      <c r="L775" s="214" t="n">
        <v>11</v>
      </c>
      <c r="M775" s="159" t="n">
        <v>1</v>
      </c>
      <c r="N775" t="n">
        <v>20</v>
      </c>
      <c r="O775" s="237">
        <f>L775*N775/100</f>
        <v/>
      </c>
      <c r="P775" s="237">
        <f>M775*O775</f>
        <v/>
      </c>
      <c r="Q775" s="208">
        <f>L775*M775</f>
        <v/>
      </c>
      <c r="R775" s="251">
        <f>L775+O775</f>
        <v/>
      </c>
      <c r="S775" s="251">
        <f>Q775+P775</f>
        <v/>
      </c>
      <c r="T775" s="35">
        <f>voranmeldefrist_vierteljaehrlich(G775)</f>
        <v/>
      </c>
      <c r="U775" s="27" t="n"/>
      <c r="V775" s="27" t="n"/>
      <c r="W775" s="210">
        <f>IF(K775=TRUE,Q775/J775,Q775)</f>
        <v/>
      </c>
      <c r="X775" s="237">
        <f>V775/100*S775</f>
        <v/>
      </c>
      <c r="Y775">
        <f>IF(AND(V775&gt;0,N775=V775),TRUE,FALSE)</f>
        <v/>
      </c>
      <c r="Z775" s="228">
        <f>IF(C775="Einnahmen",Q775,-Q775)</f>
        <v/>
      </c>
      <c r="AB775">
        <f>S775=L775*(100+N775)%</f>
        <v/>
      </c>
    </row>
    <row r="776">
      <c r="A776" s="53" t="n">
        <v>2022</v>
      </c>
      <c r="B776" s="53" t="n">
        <v>110</v>
      </c>
      <c r="C776" s="71" t="inlineStr">
        <is>
          <t>Ausgaben</t>
        </is>
      </c>
      <c r="D776" t="inlineStr">
        <is>
          <t>sonstige Betriebsausgaben</t>
        </is>
      </c>
      <c r="G776" s="1" t="n">
        <v>44755</v>
      </c>
      <c r="H776" t="inlineStr">
        <is>
          <t>Hetzner Online GmbH</t>
        </is>
      </c>
      <c r="K776">
        <f>(IF(AND(I776&lt;&gt;"",AND(J776="",ABS(Q776)&gt;400)),TRUE,FALSE))</f>
        <v/>
      </c>
      <c r="L776" s="214" t="n">
        <v>47.7765</v>
      </c>
      <c r="M776" s="159" t="n">
        <v>1</v>
      </c>
      <c r="N776" t="n">
        <v>0</v>
      </c>
      <c r="O776" s="237">
        <f>L776*N776/100</f>
        <v/>
      </c>
      <c r="P776" s="237">
        <f>M776*O776</f>
        <v/>
      </c>
      <c r="Q776" s="208">
        <f>L776*M776</f>
        <v/>
      </c>
      <c r="R776" s="251">
        <f>L776+O776</f>
        <v/>
      </c>
      <c r="S776" s="251">
        <f>Q776+P776</f>
        <v/>
      </c>
      <c r="T776" s="35">
        <f>voranmeldefrist_vierteljaehrlich(G776)</f>
        <v/>
      </c>
      <c r="U776" s="27" t="n"/>
      <c r="V776" s="27" t="n">
        <v>20</v>
      </c>
      <c r="W776" s="210">
        <f>IF(K776=TRUE,Q776/J776,Q776)</f>
        <v/>
      </c>
      <c r="X776" s="237">
        <f>V776/100*S776</f>
        <v/>
      </c>
      <c r="Y776">
        <f>IF(AND(V776&gt;0,N776=V776),TRUE,FALSE)</f>
        <v/>
      </c>
      <c r="Z776" s="228">
        <f>IF(C776="Einnahmen",Q776,-Q776)</f>
        <v/>
      </c>
      <c r="AB776">
        <f>S776=L776*(100+N776)%</f>
        <v/>
      </c>
    </row>
    <row r="777">
      <c r="A777" s="53" t="n">
        <v>2022</v>
      </c>
      <c r="B777" s="53" t="n">
        <v>111</v>
      </c>
      <c r="C777" s="71" t="inlineStr">
        <is>
          <t>Einnahmen</t>
        </is>
      </c>
      <c r="D777" t="inlineStr">
        <is>
          <t>Waren-/Leistungserlöse</t>
        </is>
      </c>
      <c r="E777" t="n">
        <v>168043885</v>
      </c>
      <c r="G777" s="1" t="n">
        <v>44756</v>
      </c>
      <c r="H777" t="inlineStr">
        <is>
          <t>Hays Österreich GmbH, Bahnhof City Wien West , Europaplatz 3/5, 1150 Wien</t>
        </is>
      </c>
      <c r="K777">
        <f>(IF(AND(I777&lt;&gt;"",AND(J777="",ABS(Q777)&gt;400)),TRUE,FALSE))</f>
        <v/>
      </c>
      <c r="L777" s="214" t="n">
        <v>13571</v>
      </c>
      <c r="M777" s="159" t="n">
        <v>1</v>
      </c>
      <c r="N777" t="n">
        <v>20</v>
      </c>
      <c r="O777" s="237">
        <f>L777*N777/100</f>
        <v/>
      </c>
      <c r="P777" s="237">
        <f>M777*O777</f>
        <v/>
      </c>
      <c r="Q777" s="208">
        <f>L777*M777</f>
        <v/>
      </c>
      <c r="R777" s="251">
        <f>L777+O777</f>
        <v/>
      </c>
      <c r="S777" s="251">
        <f>Q777+P777</f>
        <v/>
      </c>
      <c r="T777" s="35">
        <f>voranmeldefrist_vierteljaehrlich(G777)</f>
        <v/>
      </c>
      <c r="U777" s="27" t="n"/>
      <c r="V777" s="27" t="n">
        <v>20</v>
      </c>
      <c r="W777" s="210">
        <f>IF(K777=TRUE,Q777/J777,Q777)</f>
        <v/>
      </c>
      <c r="X777" s="237">
        <f>V777/100*S777</f>
        <v/>
      </c>
      <c r="Y777">
        <f>IF(AND(V777&gt;0,N777=V777),TRUE,FALSE)</f>
        <v/>
      </c>
      <c r="Z777" s="228">
        <f>IF(C777="Einnahmen",Q777,-Q777)</f>
        <v/>
      </c>
      <c r="AB777">
        <f>S777=L777*(100+N777)%</f>
        <v/>
      </c>
    </row>
    <row r="778">
      <c r="A778" s="53" t="n">
        <v>2022</v>
      </c>
      <c r="B778" s="53" t="n">
        <v>112</v>
      </c>
      <c r="C778" s="71" t="inlineStr">
        <is>
          <t>Einnahmen</t>
        </is>
      </c>
      <c r="D778" t="inlineStr">
        <is>
          <t>Waren-/Leistungserlöse</t>
        </is>
      </c>
      <c r="E778" t="n">
        <v>12022015</v>
      </c>
      <c r="G778" s="1" t="n">
        <v>44757</v>
      </c>
      <c r="H778" t="inlineStr">
        <is>
          <t>Schick Küchendesign e.U. Alexander Schick, Linzerstraße 247, 1140 Wien</t>
        </is>
      </c>
      <c r="K778">
        <f>(IF(AND(I778&lt;&gt;"",AND(J778="",ABS(Q778)&gt;400)),TRUE,FALSE))</f>
        <v/>
      </c>
      <c r="L778" s="214" t="n">
        <v>240</v>
      </c>
      <c r="M778" s="159" t="n">
        <v>1</v>
      </c>
      <c r="N778" t="n">
        <v>20</v>
      </c>
      <c r="O778" s="237">
        <f>L778*N778/100</f>
        <v/>
      </c>
      <c r="P778" s="237">
        <f>M778*O778</f>
        <v/>
      </c>
      <c r="Q778" s="208">
        <f>L778*M778</f>
        <v/>
      </c>
      <c r="R778" s="251">
        <f>L778+O778</f>
        <v/>
      </c>
      <c r="S778" s="251">
        <f>Q778+P778</f>
        <v/>
      </c>
      <c r="T778" s="35">
        <f>voranmeldefrist_vierteljaehrlich(G778)</f>
        <v/>
      </c>
      <c r="U778" s="27" t="n"/>
      <c r="V778" s="27" t="n"/>
      <c r="W778" s="210">
        <f>IF(K778=TRUE,Q778/J778,Q778)</f>
        <v/>
      </c>
      <c r="X778" s="237">
        <f>V778/100*S778</f>
        <v/>
      </c>
      <c r="Y778">
        <f>IF(AND(V778&gt;0,N778=V778),TRUE,FALSE)</f>
        <v/>
      </c>
      <c r="Z778" s="228">
        <f>IF(C778="Einnahmen",Q778,-Q778)</f>
        <v/>
      </c>
      <c r="AB778">
        <f>S778=L778*(100+N778)%</f>
        <v/>
      </c>
    </row>
    <row r="779">
      <c r="A779" s="53" t="n">
        <v>2022</v>
      </c>
      <c r="B779" s="53" t="n">
        <v>113</v>
      </c>
      <c r="C779" s="71" t="inlineStr">
        <is>
          <t>Ausgaben</t>
        </is>
      </c>
      <c r="D779" t="inlineStr">
        <is>
          <t>Telefon/Internet</t>
        </is>
      </c>
      <c r="E779" s="131" t="n"/>
      <c r="G779" s="1" t="n">
        <v>44762</v>
      </c>
      <c r="H779" t="inlineStr">
        <is>
          <t>Magenta: T-Mobile Austria GmbH, A-1120 Wien, PF 47</t>
        </is>
      </c>
      <c r="K779">
        <f>(IF(AND(I779&lt;&gt;"",AND(J779="",ABS(Q779)&gt;400)),TRUE,FALSE))</f>
        <v/>
      </c>
      <c r="L779" s="214" t="n">
        <v>31.92</v>
      </c>
      <c r="M779" s="159" t="n">
        <v>1</v>
      </c>
      <c r="N779" t="n">
        <v>20</v>
      </c>
      <c r="O779" s="237">
        <f>L779*N779/100</f>
        <v/>
      </c>
      <c r="P779" s="237">
        <f>M779*O779</f>
        <v/>
      </c>
      <c r="Q779" s="208">
        <f>L779*M779</f>
        <v/>
      </c>
      <c r="R779" s="251">
        <f>L779+O779</f>
        <v/>
      </c>
      <c r="S779" s="251">
        <f>Q779+P779</f>
        <v/>
      </c>
      <c r="T779" s="35">
        <f>voranmeldefrist_vierteljaehrlich(G779)</f>
        <v/>
      </c>
      <c r="U779" s="27" t="n"/>
      <c r="V779" s="27" t="n"/>
      <c r="W779" s="210">
        <f>IF(K779=TRUE,Q779/I779,Q779)</f>
        <v/>
      </c>
      <c r="X779" s="237">
        <f>V779/100*S779</f>
        <v/>
      </c>
      <c r="Y779">
        <f>IF(AND(V779&gt;0,N779=V779),TRUE,FALSE)</f>
        <v/>
      </c>
      <c r="Z779" s="228">
        <f>IF(C779="Einnahmen",Q779,-Q779)</f>
        <v/>
      </c>
      <c r="AB779">
        <f>S779=L779*(100+N779)%</f>
        <v/>
      </c>
    </row>
    <row r="780">
      <c r="A780" s="53" t="n">
        <v>2022</v>
      </c>
      <c r="B780" s="53" t="n">
        <v>114</v>
      </c>
      <c r="C780" s="71" t="inlineStr">
        <is>
          <t>Ausgaben</t>
        </is>
      </c>
      <c r="D780" t="inlineStr">
        <is>
          <t>sonstige Betriebsausgaben</t>
        </is>
      </c>
      <c r="E780" s="6" t="n"/>
      <c r="G780" s="1" t="n">
        <v>44762</v>
      </c>
      <c r="H780" t="inlineStr">
        <is>
          <t>Microsoft Ireland Operations Ltd. One Microsoft Place, South County, Business Park, Leopardstown, Dublin 18, D18 P521, Ireland</t>
        </is>
      </c>
      <c r="K780">
        <f>(IF(AND(I780&lt;&gt;"",AND(J780="",ABS(Q780)&gt;400)),TRUE,FALSE))</f>
        <v/>
      </c>
      <c r="L780" s="214" t="n">
        <v>10.5</v>
      </c>
      <c r="M780" s="159" t="n">
        <v>1</v>
      </c>
      <c r="N780" t="n">
        <v>0</v>
      </c>
      <c r="O780" s="237">
        <f>L780*N780/100</f>
        <v/>
      </c>
      <c r="P780" s="237">
        <f>M780*O780</f>
        <v/>
      </c>
      <c r="Q780" s="208">
        <f>L780*M780</f>
        <v/>
      </c>
      <c r="R780" s="251">
        <f>L780+O780</f>
        <v/>
      </c>
      <c r="S780" s="251">
        <f>Q780+P780</f>
        <v/>
      </c>
      <c r="T780" s="35">
        <f>voranmeldefrist_vierteljaehrlich(G780)</f>
        <v/>
      </c>
      <c r="U780" s="27" t="n"/>
      <c r="V780" s="27" t="n">
        <v>20</v>
      </c>
      <c r="W780" s="210">
        <f>IF(K780=TRUE,Q780/J780,Q780)</f>
        <v/>
      </c>
      <c r="X780" s="237">
        <f>V780/100*S780</f>
        <v/>
      </c>
      <c r="Y780">
        <f>IF(AND(V780&gt;0,N780=V780),TRUE,FALSE)</f>
        <v/>
      </c>
      <c r="Z780" s="228">
        <f>IF(C780="Einnahmen",Q780,-Q780)</f>
        <v/>
      </c>
      <c r="AB780">
        <f>S780=L780*(100+N780)%</f>
        <v/>
      </c>
    </row>
    <row r="781">
      <c r="A781" s="53" t="n">
        <v>2022</v>
      </c>
      <c r="B781" s="53" t="n">
        <v>115</v>
      </c>
      <c r="C781" s="71" t="inlineStr">
        <is>
          <t>Ausgaben</t>
        </is>
      </c>
      <c r="D781" t="inlineStr">
        <is>
          <t>sonstige Betriebsausgaben</t>
        </is>
      </c>
      <c r="G781" s="1" t="n">
        <v>44764</v>
      </c>
      <c r="H781" t="inlineStr">
        <is>
          <t>Google Ireland Ltd, Gordon House, Barrow Street, Dublin 4, Ireland; VAT number: IE 6388047V</t>
        </is>
      </c>
      <c r="K781" t="b">
        <v>0</v>
      </c>
      <c r="L781" s="214" t="n">
        <v>-0.33</v>
      </c>
      <c r="M781" s="159" t="n">
        <v>1</v>
      </c>
      <c r="N781" t="n">
        <v>0</v>
      </c>
      <c r="O781" s="237">
        <f>L781*N781/100</f>
        <v/>
      </c>
      <c r="P781" s="237">
        <f>M781*O781</f>
        <v/>
      </c>
      <c r="Q781" s="208">
        <f>L781*M781</f>
        <v/>
      </c>
      <c r="R781" s="251">
        <f>L781+O781</f>
        <v/>
      </c>
      <c r="S781" s="251">
        <f>Q781+P781</f>
        <v/>
      </c>
      <c r="T781" s="35">
        <f>voranmeldefrist_vierteljaehrlich(G781)</f>
        <v/>
      </c>
      <c r="U781" s="27" t="n"/>
      <c r="V781" s="27" t="n">
        <v>20</v>
      </c>
      <c r="W781" s="210">
        <f>IF(K781=TRUE,Q781/I781,Q781)</f>
        <v/>
      </c>
      <c r="X781" s="237">
        <f>V781/100*S781</f>
        <v/>
      </c>
      <c r="Y781">
        <f>IF(AND(V781&gt;0,N781=V781),TRUE,FALSE)</f>
        <v/>
      </c>
      <c r="Z781" s="228">
        <f>IF(C781="Einnahmen",Q781,-Q781)</f>
        <v/>
      </c>
      <c r="AB781">
        <f>S781=L781*(100+N781)%</f>
        <v/>
      </c>
    </row>
    <row r="782">
      <c r="A782" s="53" t="n">
        <v>2022</v>
      </c>
      <c r="B782" s="53" t="n">
        <v>116</v>
      </c>
      <c r="C782" s="71" t="inlineStr">
        <is>
          <t>Ausgaben</t>
        </is>
      </c>
      <c r="D782" t="inlineStr">
        <is>
          <t>Büromaterial</t>
        </is>
      </c>
      <c r="E782" s="9" t="inlineStr">
        <is>
          <t>DS-ASE-INV-AT-2022-23811775</t>
        </is>
      </c>
      <c r="G782" s="1" t="n">
        <v>44768</v>
      </c>
      <c r="H782" t="inlineStr">
        <is>
          <t>Amazon EU S. à r.l., 38 avenue John F. Kennedy, L-1855 Luxembourg: HJEU: DVI-HDMI, Logitech Maus</t>
        </is>
      </c>
      <c r="K782" t="b">
        <v>0</v>
      </c>
      <c r="L782" s="214" t="n">
        <v>26.44</v>
      </c>
      <c r="M782" s="159" t="n">
        <v>1</v>
      </c>
      <c r="N782" t="n">
        <v>20</v>
      </c>
      <c r="O782" s="237">
        <f>L782*N782/100</f>
        <v/>
      </c>
      <c r="P782" s="237">
        <f>M782*O782</f>
        <v/>
      </c>
      <c r="Q782" s="208">
        <f>L782*M782</f>
        <v/>
      </c>
      <c r="R782" s="251">
        <f>L782+O782</f>
        <v/>
      </c>
      <c r="S782" s="251">
        <f>Q782+P782</f>
        <v/>
      </c>
      <c r="T782" s="35">
        <f>voranmeldefrist_vierteljaehrlich(G782)</f>
        <v/>
      </c>
      <c r="U782" s="27" t="n"/>
      <c r="V782" s="27" t="n"/>
      <c r="W782" s="210">
        <f>IF(K782=TRUE,Q782/I782,Q782)</f>
        <v/>
      </c>
      <c r="X782" s="237">
        <f>V782/100*S782</f>
        <v/>
      </c>
      <c r="Y782">
        <f>IF(AND(V782&gt;0,N782=V782),TRUE,FALSE)</f>
        <v/>
      </c>
      <c r="Z782" s="228">
        <f>IF(C782="Einnahmen",Q782,-Q782)</f>
        <v/>
      </c>
      <c r="AB782">
        <f>S782=L782*(100+N782)%</f>
        <v/>
      </c>
    </row>
    <row r="783">
      <c r="A783" s="53" t="n">
        <v>2022</v>
      </c>
      <c r="B783" s="53" t="n">
        <v>117</v>
      </c>
      <c r="C783" s="71" t="inlineStr">
        <is>
          <t>Ausgaben</t>
        </is>
      </c>
      <c r="D783" t="inlineStr">
        <is>
          <t>Waren, Rohstoffe, Hilfsstoffe</t>
        </is>
      </c>
      <c r="G783" s="1" t="n">
        <v>44768</v>
      </c>
      <c r="H783" t="inlineStr">
        <is>
          <t>Lemon Technologies GmbH, Unterweißenbach 181, 7330 Feldbach: Bildschirm</t>
        </is>
      </c>
      <c r="K783">
        <f>(IF(AND(I783&lt;&gt;"",AND(J783="",ABS(Q783)&gt;400)),TRUE,FALSE))</f>
        <v/>
      </c>
      <c r="L783" s="214" t="n">
        <v>184.56</v>
      </c>
      <c r="M783" s="159" t="n">
        <v>1</v>
      </c>
      <c r="N783" t="n">
        <v>20</v>
      </c>
      <c r="O783" s="237">
        <f>L783*N783/100</f>
        <v/>
      </c>
      <c r="P783" s="237">
        <f>M783*O783</f>
        <v/>
      </c>
      <c r="Q783" s="208">
        <f>L783*M783</f>
        <v/>
      </c>
      <c r="R783" s="251">
        <f>L783+O783</f>
        <v/>
      </c>
      <c r="S783" s="251">
        <f>Q783+P783</f>
        <v/>
      </c>
      <c r="T783" s="35">
        <f>voranmeldefrist_vierteljaehrlich(G783)</f>
        <v/>
      </c>
      <c r="U783" s="27" t="n"/>
      <c r="V783" s="27" t="n"/>
      <c r="W783" s="210">
        <f>IF(K783=TRUE,Q783/I783,Q783)</f>
        <v/>
      </c>
      <c r="X783" s="237">
        <f>V783/100*S783</f>
        <v/>
      </c>
      <c r="Y783">
        <f>IF(AND(V783&gt;0,N783=V783),TRUE,FALSE)</f>
        <v/>
      </c>
      <c r="Z783" s="228">
        <f>IF(C783="Einnahmen",Q783,-Q783)</f>
        <v/>
      </c>
      <c r="AB783">
        <f>S783=L783*(100+N783)%</f>
        <v/>
      </c>
    </row>
    <row r="784">
      <c r="A784" s="53" t="n">
        <v>2022</v>
      </c>
      <c r="B784" s="53" t="n">
        <v>118</v>
      </c>
      <c r="C784" s="71" t="inlineStr">
        <is>
          <t>Einnahmen</t>
        </is>
      </c>
      <c r="D784" t="inlineStr">
        <is>
          <t>Waren-/Leistungserlöse</t>
        </is>
      </c>
      <c r="E784" t="n">
        <v>12022013</v>
      </c>
      <c r="G784" s="1" t="n">
        <v>44770</v>
      </c>
      <c r="H784" t="inlineStr">
        <is>
          <t>Paperholic all bout paper e.U.</t>
        </is>
      </c>
      <c r="K784" t="b">
        <v>0</v>
      </c>
      <c r="L784" s="214" t="n">
        <v>27.75</v>
      </c>
      <c r="M784" s="159" t="n">
        <v>1</v>
      </c>
      <c r="N784" t="n">
        <v>20</v>
      </c>
      <c r="O784" s="237">
        <f>L784*N784/100</f>
        <v/>
      </c>
      <c r="P784" s="237">
        <f>M784*O784</f>
        <v/>
      </c>
      <c r="Q784" s="208">
        <f>L784*M784</f>
        <v/>
      </c>
      <c r="R784" s="251">
        <f>L784+O784</f>
        <v/>
      </c>
      <c r="S784" s="251">
        <f>Q784+P784</f>
        <v/>
      </c>
      <c r="T784" s="35">
        <f>voranmeldefrist_vierteljaehrlich(G784)</f>
        <v/>
      </c>
      <c r="U784" s="27" t="n"/>
      <c r="V784" s="27" t="n"/>
      <c r="W784" s="210">
        <f>IF(K784=TRUE,Q784/I784,Q784)</f>
        <v/>
      </c>
      <c r="X784" s="237">
        <f>V784/100*S784</f>
        <v/>
      </c>
      <c r="Y784">
        <f>IF(AND(V784&gt;0,N784=V784),TRUE,FALSE)</f>
        <v/>
      </c>
      <c r="Z784" s="228">
        <f>IF(C784="Einnahmen",Q784,-Q784)</f>
        <v/>
      </c>
      <c r="AB784">
        <f>S784=L784*(100+N784)%</f>
        <v/>
      </c>
    </row>
    <row r="785">
      <c r="A785" s="53" t="n">
        <v>2022</v>
      </c>
      <c r="B785" s="53" t="n">
        <v>119</v>
      </c>
      <c r="C785" s="71" t="inlineStr">
        <is>
          <t>Ausgaben</t>
        </is>
      </c>
      <c r="D785" t="inlineStr">
        <is>
          <t>Miet- und Pachtaufwand, Leasing</t>
        </is>
      </c>
      <c r="G785" s="1" t="n">
        <v>44774</v>
      </c>
      <c r="H785" t="inlineStr">
        <is>
          <t>Bontus Immobilienverwaltung GmbH, 1010 Wien, Franz Josefs Kai 65</t>
        </is>
      </c>
      <c r="K785" t="b">
        <v>0</v>
      </c>
      <c r="L785" s="214">
        <f>153.75/1.2</f>
        <v/>
      </c>
      <c r="M785" s="159" t="n">
        <v>1</v>
      </c>
      <c r="N785" t="n">
        <v>20</v>
      </c>
      <c r="O785" s="237">
        <f>L785*N785/100</f>
        <v/>
      </c>
      <c r="P785" s="237">
        <f>M785*O785</f>
        <v/>
      </c>
      <c r="Q785" s="208">
        <f>L785*M785</f>
        <v/>
      </c>
      <c r="R785" s="251">
        <f>L785+O785</f>
        <v/>
      </c>
      <c r="S785" s="251">
        <f>Q785+P785</f>
        <v/>
      </c>
      <c r="T785" s="35">
        <f>voranmeldefrist_vierteljaehrlich(G785)</f>
        <v/>
      </c>
      <c r="U785" s="27" t="n"/>
      <c r="V785" s="27" t="n"/>
      <c r="W785" s="210">
        <f>IF(K785=TRUE,Q785/J785,Q785)</f>
        <v/>
      </c>
      <c r="X785" s="237">
        <f>V785/100*S785</f>
        <v/>
      </c>
      <c r="Y785">
        <f>IF(AND(V785&gt;0,N785=V785),TRUE,FALSE)</f>
        <v/>
      </c>
      <c r="Z785" s="228">
        <f>IF(C785="Einnahmen",Q785,-Q785)</f>
        <v/>
      </c>
      <c r="AB785">
        <f>S785=L785*(100+N785)%</f>
        <v/>
      </c>
    </row>
    <row r="786">
      <c r="A786" s="53" t="n">
        <v>2022</v>
      </c>
      <c r="B786" s="53" t="n">
        <v>120</v>
      </c>
      <c r="C786" s="71" t="inlineStr">
        <is>
          <t>Ausgaben</t>
        </is>
      </c>
      <c r="D786" t="inlineStr">
        <is>
          <t>Telefon/Internet</t>
        </is>
      </c>
      <c r="E786" s="9" t="inlineStr">
        <is>
          <t>6246969218</t>
        </is>
      </c>
      <c r="G786" s="1" t="n">
        <v>44775</v>
      </c>
      <c r="H786" t="inlineStr">
        <is>
          <t>Hutchison Drei Austria GmbH, Brünner Straße 52, 1210 Wien, Österreich</t>
        </is>
      </c>
      <c r="K786">
        <f>(IF(AND(I786&lt;&gt;"",AND(J786="",ABS(Q786)&gt;400)),TRUE,FALSE))</f>
        <v/>
      </c>
      <c r="L786" s="214" t="n">
        <v>15</v>
      </c>
      <c r="M786" s="159" t="n">
        <v>1</v>
      </c>
      <c r="N786" t="n">
        <v>20</v>
      </c>
      <c r="O786" s="237">
        <f>L786*N786/100</f>
        <v/>
      </c>
      <c r="P786" s="237">
        <f>M786*O786</f>
        <v/>
      </c>
      <c r="Q786" s="208">
        <f>L786*M786</f>
        <v/>
      </c>
      <c r="R786" s="251">
        <f>L786+O786</f>
        <v/>
      </c>
      <c r="S786" s="251">
        <f>Q786+P786</f>
        <v/>
      </c>
      <c r="T786" s="35">
        <f>voranmeldefrist_vierteljaehrlich(G786)</f>
        <v/>
      </c>
      <c r="U786" s="27" t="n"/>
      <c r="V786" s="27" t="n"/>
      <c r="W786" s="210">
        <f>IF(K786=TRUE,Q786/I786,Q786)</f>
        <v/>
      </c>
      <c r="X786" s="237">
        <f>V786/100*S786</f>
        <v/>
      </c>
      <c r="Y786">
        <f>IF(AND(V786&gt;0,N786=V786),TRUE,FALSE)</f>
        <v/>
      </c>
      <c r="Z786" s="228">
        <f>IF(C786="Einnahmen",Q786,-Q786)</f>
        <v/>
      </c>
      <c r="AB786">
        <f>S786=L786*(100+N786)%</f>
        <v/>
      </c>
    </row>
    <row r="787">
      <c r="A787" s="53" t="n">
        <v>2022</v>
      </c>
      <c r="B787" s="53" t="n">
        <v>121</v>
      </c>
      <c r="C787" s="71" t="inlineStr">
        <is>
          <t>Ausgaben</t>
        </is>
      </c>
      <c r="D787" t="inlineStr">
        <is>
          <t>sonstige Betriebsausgaben</t>
        </is>
      </c>
      <c r="E787" s="9" t="inlineStr">
        <is>
          <t>4322957079</t>
        </is>
      </c>
      <c r="G787" s="1" t="n">
        <v>44776</v>
      </c>
      <c r="H787" t="inlineStr">
        <is>
          <t>Google Ireland Ltd, Gordon House, Barrow Street, Dublin 4, Ireland; VAT number: IE 6388047V</t>
        </is>
      </c>
      <c r="K787" t="b">
        <v>0</v>
      </c>
      <c r="L787" s="214" t="n">
        <v>9.359999999999999</v>
      </c>
      <c r="M787" s="159" t="n">
        <v>1</v>
      </c>
      <c r="N787" t="n">
        <v>0</v>
      </c>
      <c r="O787" s="237">
        <f>L787*N787/100</f>
        <v/>
      </c>
      <c r="P787" s="237">
        <f>M787*O787</f>
        <v/>
      </c>
      <c r="Q787" s="208">
        <f>L787*M787</f>
        <v/>
      </c>
      <c r="R787" s="251">
        <f>L787+O787</f>
        <v/>
      </c>
      <c r="S787" s="251">
        <f>Q787+P787</f>
        <v/>
      </c>
      <c r="T787" s="35">
        <f>voranmeldefrist_vierteljaehrlich(G787)</f>
        <v/>
      </c>
      <c r="U787" s="27" t="n"/>
      <c r="V787" s="27" t="n">
        <v>20</v>
      </c>
      <c r="W787" s="210">
        <f>IF(K787=TRUE,Q787/I787,Q787)</f>
        <v/>
      </c>
      <c r="X787" s="237">
        <f>V787/100*S787</f>
        <v/>
      </c>
      <c r="Y787">
        <f>IF(AND(V787&gt;0,N787=V787),TRUE,FALSE)</f>
        <v/>
      </c>
      <c r="Z787" s="228">
        <f>IF(C787="Einnahmen",Q787,-Q787)</f>
        <v/>
      </c>
      <c r="AB787">
        <f>S787=L787*(100+N787)%</f>
        <v/>
      </c>
    </row>
    <row r="788">
      <c r="A788" s="53" t="n">
        <v>2022</v>
      </c>
      <c r="B788" s="53" t="n">
        <v>122</v>
      </c>
      <c r="C788" s="71" t="inlineStr">
        <is>
          <t>Ausgaben</t>
        </is>
      </c>
      <c r="D788" t="inlineStr">
        <is>
          <t>sonstige Betriebsausgaben</t>
        </is>
      </c>
      <c r="E788" s="153" t="inlineStr">
        <is>
          <t>siehe Jahresabrechnung</t>
        </is>
      </c>
      <c r="G788" s="1" t="n">
        <v>44776</v>
      </c>
      <c r="H788" t="inlineStr">
        <is>
          <t>go green energy GmbH &amp; Co KG</t>
        </is>
      </c>
      <c r="K788">
        <f>(IF(AND(I788&lt;&gt;"",AND(J788="",ABS(Q788)&gt;400)),TRUE,FALSE))</f>
        <v/>
      </c>
      <c r="L788" s="214" t="n">
        <v>2.5</v>
      </c>
      <c r="M788" s="159" t="n">
        <v>1</v>
      </c>
      <c r="N788" t="n">
        <v>20</v>
      </c>
      <c r="O788" s="237">
        <f>L788*N788/100</f>
        <v/>
      </c>
      <c r="P788" s="237">
        <f>M788*O788</f>
        <v/>
      </c>
      <c r="Q788" s="208">
        <f>L788*M788</f>
        <v/>
      </c>
      <c r="R788" s="251">
        <f>L788+O788</f>
        <v/>
      </c>
      <c r="S788" s="251">
        <f>Q788+P788</f>
        <v/>
      </c>
      <c r="T788" s="35">
        <f>voranmeldefrist_vierteljaehrlich(G788)</f>
        <v/>
      </c>
      <c r="U788" s="27" t="n"/>
      <c r="V788" s="27" t="n"/>
      <c r="W788" s="210">
        <f>IF(K788=TRUE,Q788/J788,Q788)</f>
        <v/>
      </c>
      <c r="X788" s="237">
        <f>V788/100*S788</f>
        <v/>
      </c>
      <c r="Y788">
        <f>IF(AND(V788&gt;0,N788=V788),TRUE,FALSE)</f>
        <v/>
      </c>
      <c r="Z788" s="228">
        <f>IF(C788="Einnahmen",Q788,-Q788)</f>
        <v/>
      </c>
      <c r="AB788">
        <f>S788=L788*(100+N788)%</f>
        <v/>
      </c>
    </row>
    <row r="789">
      <c r="A789" s="53" t="n">
        <v>2022</v>
      </c>
      <c r="B789" s="53" t="n">
        <v>123</v>
      </c>
      <c r="C789" s="71" t="inlineStr">
        <is>
          <t>Ausgaben</t>
        </is>
      </c>
      <c r="D789" t="inlineStr">
        <is>
          <t>Miet- und Pachtaufwand, Leasing</t>
        </is>
      </c>
      <c r="E789" s="61" t="inlineStr">
        <is>
          <t>BELEG FEHLT</t>
        </is>
      </c>
      <c r="G789" s="1" t="n">
        <v>44778</v>
      </c>
      <c r="H789" t="inlineStr">
        <is>
          <t>Techem Messtechnik GmbH; Abnehmernummer 501686-0003-11-</t>
        </is>
      </c>
      <c r="K789" t="b">
        <v>0</v>
      </c>
      <c r="L789" s="214" t="n">
        <v>122.6</v>
      </c>
      <c r="M789" s="159" t="n">
        <v>1</v>
      </c>
      <c r="N789" t="n">
        <v>20</v>
      </c>
      <c r="O789" s="237">
        <f>L789*N789/100</f>
        <v/>
      </c>
      <c r="P789" s="237">
        <f>M789*O789</f>
        <v/>
      </c>
      <c r="Q789" s="208">
        <f>L789*M789</f>
        <v/>
      </c>
      <c r="R789" s="251">
        <f>L789+O789</f>
        <v/>
      </c>
      <c r="S789" s="251">
        <f>Q789+P789</f>
        <v/>
      </c>
      <c r="T789" s="35">
        <f>voranmeldefrist_vierteljaehrlich(G789)</f>
        <v/>
      </c>
      <c r="U789" s="27" t="n"/>
      <c r="V789" s="27" t="n"/>
      <c r="W789" s="210">
        <f>IF(K789=TRUE,Q789/J789,Q789)</f>
        <v/>
      </c>
      <c r="X789" s="237">
        <f>V789/100*S789</f>
        <v/>
      </c>
      <c r="Y789">
        <f>IF(AND(V789&gt;0,N789=V789),TRUE,FALSE)</f>
        <v/>
      </c>
      <c r="Z789" s="228">
        <f>IF(C789="Einnahmen",Q789,-Q789)</f>
        <v/>
      </c>
      <c r="AB789">
        <f>S789=L789*(100+N789)%</f>
        <v/>
      </c>
    </row>
    <row r="790">
      <c r="A790" s="53" t="n">
        <v>2022</v>
      </c>
      <c r="B790" s="53" t="n">
        <v>124</v>
      </c>
      <c r="C790" s="71" t="inlineStr">
        <is>
          <t>Ausgaben</t>
        </is>
      </c>
      <c r="D790" t="inlineStr">
        <is>
          <t>sonstige Betriebsausgaben</t>
        </is>
      </c>
      <c r="E790" s="61" t="inlineStr">
        <is>
          <t>BELEG FEHLT</t>
        </is>
      </c>
      <c r="G790" s="1" t="n">
        <v>44783</v>
      </c>
      <c r="H790" t="inlineStr">
        <is>
          <t>Wiener Netze GmbH, Erdbergstraße 236, 1110 Wien, Postfach 422; Jahresabrechnung vom 17.12.20: GUTSCHRIFT</t>
        </is>
      </c>
      <c r="K790">
        <f>(IF(AND(I790&lt;&gt;"",AND(J790="",ABS(Q790)&gt;400)),TRUE,FALSE))</f>
        <v/>
      </c>
      <c r="L790" s="214" t="n">
        <v>11</v>
      </c>
      <c r="M790" s="159" t="n">
        <v>1</v>
      </c>
      <c r="N790" t="n">
        <v>20</v>
      </c>
      <c r="O790" s="237">
        <f>L790*N790/100</f>
        <v/>
      </c>
      <c r="P790" s="237">
        <f>M790*O790</f>
        <v/>
      </c>
      <c r="Q790" s="208">
        <f>L790*M790</f>
        <v/>
      </c>
      <c r="R790" s="251">
        <f>L790+O790</f>
        <v/>
      </c>
      <c r="S790" s="251">
        <f>Q790+P790</f>
        <v/>
      </c>
      <c r="T790" s="35">
        <f>voranmeldefrist_vierteljaehrlich(G790)</f>
        <v/>
      </c>
      <c r="U790" s="27" t="n"/>
      <c r="V790" s="27" t="n"/>
      <c r="W790" s="210">
        <f>IF(K790=TRUE,Q790/J790,Q790)</f>
        <v/>
      </c>
      <c r="X790" s="237">
        <f>V790/100*S790</f>
        <v/>
      </c>
      <c r="Y790">
        <f>IF(AND(V790&gt;0,N790=V790),TRUE,FALSE)</f>
        <v/>
      </c>
      <c r="Z790" s="228">
        <f>IF(C790="Einnahmen",Q790,-Q790)</f>
        <v/>
      </c>
      <c r="AB790">
        <f>S790=L790*(100+N790)%</f>
        <v/>
      </c>
    </row>
    <row r="791">
      <c r="A791" s="53" t="n">
        <v>2022</v>
      </c>
      <c r="B791" s="53" t="n">
        <v>125</v>
      </c>
      <c r="C791" s="71" t="inlineStr">
        <is>
          <t>Ausgaben</t>
        </is>
      </c>
      <c r="D791" t="inlineStr">
        <is>
          <t>sonstige Betriebsausgaben</t>
        </is>
      </c>
      <c r="E791" s="9" t="inlineStr">
        <is>
          <t>R0016545608</t>
        </is>
      </c>
      <c r="G791" s="1" t="n">
        <v>44784</v>
      </c>
      <c r="H791" t="inlineStr">
        <is>
          <t>Hetzner Online GmbH</t>
        </is>
      </c>
      <c r="K791">
        <f>(IF(AND(I791&lt;&gt;"",AND(J791="",ABS(Q791)&gt;400)),TRUE,FALSE))</f>
        <v/>
      </c>
      <c r="L791" s="214" t="n">
        <v>47.7765</v>
      </c>
      <c r="M791" s="159" t="n">
        <v>1</v>
      </c>
      <c r="N791" t="n">
        <v>0</v>
      </c>
      <c r="O791" s="237">
        <f>L791*N791/100</f>
        <v/>
      </c>
      <c r="P791" s="237">
        <f>M791*O791</f>
        <v/>
      </c>
      <c r="Q791" s="208">
        <f>L791*M791</f>
        <v/>
      </c>
      <c r="R791" s="251">
        <f>L791+O791</f>
        <v/>
      </c>
      <c r="S791" s="251">
        <f>Q791+P791</f>
        <v/>
      </c>
      <c r="T791" s="35">
        <f>voranmeldefrist_vierteljaehrlich(G791)</f>
        <v/>
      </c>
      <c r="U791" s="27" t="n"/>
      <c r="V791" s="27" t="n">
        <v>20</v>
      </c>
      <c r="W791" s="210">
        <f>IF(K791=TRUE,Q791/J791,Q791)</f>
        <v/>
      </c>
      <c r="X791" s="237">
        <f>V791/100*S791</f>
        <v/>
      </c>
      <c r="Y791">
        <f>IF(AND(V791&gt;0,N791=V791),TRUE,FALSE)</f>
        <v/>
      </c>
      <c r="Z791" s="228">
        <f>IF(C791="Einnahmen",Q791,-Q791)</f>
        <v/>
      </c>
      <c r="AB791">
        <f>S791=L791*(100+N791)%</f>
        <v/>
      </c>
    </row>
    <row r="792">
      <c r="A792" s="53" t="n">
        <v>2022</v>
      </c>
      <c r="B792" s="53" t="n">
        <v>126</v>
      </c>
      <c r="C792" s="71" t="inlineStr">
        <is>
          <t>Einnahmen</t>
        </is>
      </c>
      <c r="D792" t="inlineStr">
        <is>
          <t>Waren-/Leistungserlöse</t>
        </is>
      </c>
      <c r="E792" t="n">
        <v>168044680</v>
      </c>
      <c r="G792" s="1" t="n">
        <v>44790</v>
      </c>
      <c r="H792" t="inlineStr">
        <is>
          <t>Hays Österreich GmbH, Bahnhof City Wien West , Europaplatz 3/5, 1150 Wien</t>
        </is>
      </c>
      <c r="K792">
        <f>(IF(AND(I792&lt;&gt;"",AND(J792="",ABS(Q792)&gt;400)),TRUE,FALSE))</f>
        <v/>
      </c>
      <c r="L792" s="214" t="n">
        <v>15293</v>
      </c>
      <c r="M792" s="159" t="n">
        <v>1</v>
      </c>
      <c r="N792" t="n">
        <v>20</v>
      </c>
      <c r="O792" s="237">
        <f>L792*N792/100</f>
        <v/>
      </c>
      <c r="P792" s="237">
        <f>M792*O792</f>
        <v/>
      </c>
      <c r="Q792" s="208">
        <f>L792*M792</f>
        <v/>
      </c>
      <c r="R792" s="251">
        <f>L792+O792</f>
        <v/>
      </c>
      <c r="S792" s="251">
        <f>Q792+P792</f>
        <v/>
      </c>
      <c r="T792" s="35">
        <f>voranmeldefrist_vierteljaehrlich(G792)</f>
        <v/>
      </c>
      <c r="U792" s="27" t="n"/>
      <c r="V792" s="27" t="n">
        <v>20</v>
      </c>
      <c r="W792" s="210">
        <f>IF(K792=TRUE,Q792/J792,Q792)</f>
        <v/>
      </c>
      <c r="X792" s="237">
        <f>V792/100*S792</f>
        <v/>
      </c>
      <c r="Y792">
        <f>IF(AND(V792&gt;0,N792=V792),TRUE,FALSE)</f>
        <v/>
      </c>
      <c r="Z792" s="228">
        <f>IF(C792="Einnahmen",Q792,-Q792)</f>
        <v/>
      </c>
      <c r="AB792">
        <f>S792=L792*(100+N792)%</f>
        <v/>
      </c>
    </row>
    <row r="793">
      <c r="A793" s="53" t="n">
        <v>2022</v>
      </c>
      <c r="B793" s="53" t="n">
        <v>127</v>
      </c>
      <c r="C793" s="71" t="inlineStr">
        <is>
          <t>Ausgaben</t>
        </is>
      </c>
      <c r="D793" t="inlineStr">
        <is>
          <t>Büromaterial</t>
        </is>
      </c>
      <c r="E793" s="9" t="inlineStr">
        <is>
          <t>DS-ASE-INV-AT-2022-26414264</t>
        </is>
      </c>
      <c r="G793" s="1" t="n">
        <v>44790</v>
      </c>
      <c r="H793" t="inlineStr">
        <is>
          <t>Amazon EU S. à r.l., 38 avenue John F. Kennedy, L-1855 Luxembourg: HJEU: DVI-HDMI, Logitech Maus</t>
        </is>
      </c>
      <c r="K793" t="b">
        <v>0</v>
      </c>
      <c r="L793" s="214" t="n">
        <v>29.57</v>
      </c>
      <c r="M793" s="159" t="n">
        <v>1</v>
      </c>
      <c r="N793" t="n">
        <v>20</v>
      </c>
      <c r="O793" s="237">
        <f>L793*N793/100</f>
        <v/>
      </c>
      <c r="P793" s="237">
        <f>M793*O793</f>
        <v/>
      </c>
      <c r="Q793" s="208">
        <f>L793*M793</f>
        <v/>
      </c>
      <c r="R793" s="251">
        <f>L793+O793</f>
        <v/>
      </c>
      <c r="S793" s="251">
        <f>Q793+P793</f>
        <v/>
      </c>
      <c r="T793" s="35">
        <f>voranmeldefrist_vierteljaehrlich(G793)</f>
        <v/>
      </c>
      <c r="U793" s="27" t="n"/>
      <c r="V793" s="27" t="n"/>
      <c r="W793" s="210">
        <f>IF(K793=TRUE,Q793/I793,Q793)</f>
        <v/>
      </c>
      <c r="X793" s="237">
        <f>V793/100*S793</f>
        <v/>
      </c>
      <c r="Y793">
        <f>IF(AND(V793&gt;0,N793=V793),TRUE,FALSE)</f>
        <v/>
      </c>
      <c r="Z793" s="228">
        <f>IF(C793="Einnahmen",Q793,-Q793)</f>
        <v/>
      </c>
      <c r="AB793">
        <f>S793=L793*(100+N793)%</f>
        <v/>
      </c>
    </row>
    <row r="794">
      <c r="A794" s="53" t="n">
        <v>2022</v>
      </c>
      <c r="B794" s="53" t="n">
        <v>128</v>
      </c>
      <c r="C794" s="71" t="inlineStr">
        <is>
          <t>Ausgaben</t>
        </is>
      </c>
      <c r="D794" t="inlineStr">
        <is>
          <t>Waren, Rohstoffe, Hilfsstoffe</t>
        </is>
      </c>
      <c r="E794" s="9" t="inlineStr">
        <is>
          <t>13616363</t>
        </is>
      </c>
      <c r="G794" s="1" t="n">
        <v>44790</v>
      </c>
      <c r="H794" t="inlineStr">
        <is>
          <t>Primus Office Products Handelsgesmbh,&amp; Co. KG, Margaretengürtel 44, 1050 Wien</t>
        </is>
      </c>
      <c r="J794" s="76" t="inlineStr">
        <is>
          <t>ja</t>
        </is>
      </c>
      <c r="K794">
        <f>(IF(AND(I794&lt;&gt;"",AND(J794="",ABS(Q794)&gt;400)),TRUE,FALSE))</f>
        <v/>
      </c>
      <c r="L794" s="214" t="n">
        <v>347.5</v>
      </c>
      <c r="M794" s="159" t="n">
        <v>1</v>
      </c>
      <c r="N794" t="n">
        <v>20</v>
      </c>
      <c r="O794" s="237">
        <f>L794*N794/100</f>
        <v/>
      </c>
      <c r="P794" s="237">
        <f>M794*O794</f>
        <v/>
      </c>
      <c r="Q794" s="208">
        <f>L794*M794</f>
        <v/>
      </c>
      <c r="R794" s="251">
        <f>L794+O794</f>
        <v/>
      </c>
      <c r="S794" s="251">
        <f>Q794+P794</f>
        <v/>
      </c>
      <c r="T794" s="35">
        <f>voranmeldefrist_vierteljaehrlich(G794)</f>
        <v/>
      </c>
      <c r="U794" s="27" t="n"/>
      <c r="V794" s="27" t="n"/>
      <c r="W794" s="210">
        <f>IF(K794=TRUE,Q794/I794,Q794)</f>
        <v/>
      </c>
      <c r="X794" s="237">
        <f>V794/100*S794</f>
        <v/>
      </c>
      <c r="Y794">
        <f>IF(AND(V794&gt;0,N794=V794),TRUE,FALSE)</f>
        <v/>
      </c>
      <c r="Z794" s="228">
        <f>IF(C794="Einnahmen",Q794,-Q794)</f>
        <v/>
      </c>
      <c r="AB794">
        <f>S794=L794*(100+N794)%</f>
        <v/>
      </c>
    </row>
    <row r="795">
      <c r="A795" s="53" t="n">
        <v>2022</v>
      </c>
      <c r="B795" s="53" t="n">
        <v>129</v>
      </c>
      <c r="C795" s="71" t="inlineStr">
        <is>
          <t>Ausgaben</t>
        </is>
      </c>
      <c r="D795" t="inlineStr">
        <is>
          <t>Telefon/Internet</t>
        </is>
      </c>
      <c r="E795" s="131" t="inlineStr">
        <is>
          <t>901173800822</t>
        </is>
      </c>
      <c r="G795" s="1" t="n">
        <v>44792</v>
      </c>
      <c r="H795" t="inlineStr">
        <is>
          <t>Magenta: T-Mobile Austria GmbH, A-1120 Wien, PF 47</t>
        </is>
      </c>
      <c r="K795">
        <f>(IF(AND(I795&lt;&gt;"",AND(J795="",ABS(Q795)&gt;400)),TRUE,FALSE))</f>
        <v/>
      </c>
      <c r="L795" s="214" t="n">
        <v>31.92</v>
      </c>
      <c r="M795" s="159" t="n">
        <v>1</v>
      </c>
      <c r="N795" t="n">
        <v>20</v>
      </c>
      <c r="O795" s="237">
        <f>L795*N795/100</f>
        <v/>
      </c>
      <c r="P795" s="237">
        <f>M795*O795</f>
        <v/>
      </c>
      <c r="Q795" s="208">
        <f>L795*M795</f>
        <v/>
      </c>
      <c r="R795" s="251">
        <f>L795+O795</f>
        <v/>
      </c>
      <c r="S795" s="251">
        <f>Q795+P795</f>
        <v/>
      </c>
      <c r="T795" s="35">
        <f>voranmeldefrist_vierteljaehrlich(G795)</f>
        <v/>
      </c>
      <c r="U795" s="27" t="n"/>
      <c r="V795" s="27" t="n"/>
      <c r="W795" s="210">
        <f>IF(K795=TRUE,Q795/I795,Q795)</f>
        <v/>
      </c>
      <c r="X795" s="237">
        <f>V795/100*S795</f>
        <v/>
      </c>
      <c r="Y795">
        <f>IF(AND(V795&gt;0,N795=V795),TRUE,FALSE)</f>
        <v/>
      </c>
      <c r="Z795" s="228">
        <f>IF(C795="Einnahmen",Q795,-Q795)</f>
        <v/>
      </c>
      <c r="AB795">
        <f>S795=L795*(100+N795)%</f>
        <v/>
      </c>
    </row>
    <row r="796">
      <c r="A796" s="53" t="n">
        <v>2022</v>
      </c>
      <c r="B796" s="53" t="n">
        <v>130</v>
      </c>
      <c r="C796" s="71" t="inlineStr">
        <is>
          <t>Ausgaben</t>
        </is>
      </c>
      <c r="D796" t="inlineStr">
        <is>
          <t>sonstige Betriebsausgaben</t>
        </is>
      </c>
      <c r="E796" s="6" t="inlineStr">
        <is>
          <t>E0600JIOEA</t>
        </is>
      </c>
      <c r="G796" s="1" t="n">
        <v>44793</v>
      </c>
      <c r="H796" t="inlineStr">
        <is>
          <t>Microsoft Ireland Operations Ltd. One Microsoft Place, South County, Business Park, Leopardstown, Dublin 18, D18 P521, Ireland</t>
        </is>
      </c>
      <c r="K796">
        <f>(IF(AND(I796&lt;&gt;"",AND(J796="",ABS(Q796)&gt;400)),TRUE,FALSE))</f>
        <v/>
      </c>
      <c r="L796" s="214" t="n">
        <v>10.5</v>
      </c>
      <c r="M796" s="159" t="n">
        <v>1</v>
      </c>
      <c r="N796" t="n">
        <v>0</v>
      </c>
      <c r="O796" s="237">
        <f>L796*N796/100</f>
        <v/>
      </c>
      <c r="P796" s="237">
        <f>M796*O796</f>
        <v/>
      </c>
      <c r="Q796" s="208">
        <f>L796*M796</f>
        <v/>
      </c>
      <c r="R796" s="251">
        <f>L796+O796</f>
        <v/>
      </c>
      <c r="S796" s="251">
        <f>Q796+P796</f>
        <v/>
      </c>
      <c r="T796" s="35">
        <f>voranmeldefrist_vierteljaehrlich(G796)</f>
        <v/>
      </c>
      <c r="U796" s="27" t="n"/>
      <c r="V796" s="27" t="n">
        <v>20</v>
      </c>
      <c r="W796" s="210">
        <f>IF(K796=TRUE,Q796/J796,Q796)</f>
        <v/>
      </c>
      <c r="X796" s="237">
        <f>V796/100*S796</f>
        <v/>
      </c>
      <c r="Y796">
        <f>IF(AND(V796&gt;0,N796=V796),TRUE,FALSE)</f>
        <v/>
      </c>
      <c r="Z796" s="228">
        <f>IF(C796="Einnahmen",Q796,-Q796)</f>
        <v/>
      </c>
      <c r="AB796">
        <f>S796=L796*(100+N796)%</f>
        <v/>
      </c>
    </row>
    <row r="797">
      <c r="A797" s="53" t="n">
        <v>2022</v>
      </c>
      <c r="B797" s="53" t="n">
        <v>131</v>
      </c>
      <c r="C797" s="71" t="inlineStr">
        <is>
          <t>Ausgaben</t>
        </is>
      </c>
      <c r="D797" t="inlineStr">
        <is>
          <t>Miet- und Pachtaufwand, Leasing</t>
        </is>
      </c>
      <c r="G797" s="1" t="n">
        <v>44805</v>
      </c>
      <c r="H797" t="inlineStr">
        <is>
          <t>Bontus Immobilienverwaltung GmbH, 1010 Wien, Franz Josefs Kai 65</t>
        </is>
      </c>
      <c r="K797" t="b">
        <v>0</v>
      </c>
      <c r="L797" s="214">
        <f>595.73/1.2</f>
        <v/>
      </c>
      <c r="M797" s="159" t="n">
        <v>1</v>
      </c>
      <c r="N797" t="n">
        <v>20</v>
      </c>
      <c r="O797" s="237">
        <f>L797*N797/100</f>
        <v/>
      </c>
      <c r="P797" s="237">
        <f>M797*O797</f>
        <v/>
      </c>
      <c r="Q797" s="208">
        <f>L797*M797</f>
        <v/>
      </c>
      <c r="R797" s="251">
        <f>L797+O797</f>
        <v/>
      </c>
      <c r="S797" s="251">
        <f>Q797+P797</f>
        <v/>
      </c>
      <c r="T797" s="35">
        <f>voranmeldefrist_vierteljaehrlich(G797)</f>
        <v/>
      </c>
      <c r="U797" s="27" t="n"/>
      <c r="V797" s="27" t="n"/>
      <c r="W797" s="210">
        <f>IF(K797=TRUE,Q797/J797,Q797)</f>
        <v/>
      </c>
      <c r="X797" s="237">
        <f>V797/100*S797</f>
        <v/>
      </c>
      <c r="Y797">
        <f>IF(AND(V797&gt;0,N797=V797),TRUE,FALSE)</f>
        <v/>
      </c>
      <c r="Z797" s="228">
        <f>IF(C797="Einnahmen",Q797,-Q797)</f>
        <v/>
      </c>
      <c r="AB797">
        <f>S797=L797*(100+N797)%</f>
        <v/>
      </c>
    </row>
    <row r="798">
      <c r="A798" s="53" t="n">
        <v>2022</v>
      </c>
      <c r="B798" s="53" t="n">
        <v>132</v>
      </c>
      <c r="C798" s="71" t="inlineStr">
        <is>
          <t>Ausgaben</t>
        </is>
      </c>
      <c r="D798" t="inlineStr">
        <is>
          <t>Telefon/Internet</t>
        </is>
      </c>
      <c r="E798" s="9" t="inlineStr">
        <is>
          <t>6246969218</t>
        </is>
      </c>
      <c r="G798" s="1" t="n">
        <v>44805</v>
      </c>
      <c r="H798" t="inlineStr">
        <is>
          <t>Hutchison Drei Austria GmbH, Brünner Straße 52, 1210 Wien, Österreich</t>
        </is>
      </c>
      <c r="K798">
        <f>(IF(AND(I798&lt;&gt;"",AND(J798="",ABS(Q798)&gt;400)),TRUE,FALSE))</f>
        <v/>
      </c>
      <c r="L798" s="214" t="n">
        <v>15</v>
      </c>
      <c r="M798" s="159" t="n">
        <v>1</v>
      </c>
      <c r="N798" t="n">
        <v>20</v>
      </c>
      <c r="O798" s="237">
        <f>L798*N798/100</f>
        <v/>
      </c>
      <c r="P798" s="237">
        <f>M798*O798</f>
        <v/>
      </c>
      <c r="Q798" s="208">
        <f>L798*M798</f>
        <v/>
      </c>
      <c r="R798" s="251">
        <f>L798+O798</f>
        <v/>
      </c>
      <c r="S798" s="251">
        <f>Q798+P798</f>
        <v/>
      </c>
      <c r="T798" s="35">
        <f>voranmeldefrist_vierteljaehrlich(G798)</f>
        <v/>
      </c>
      <c r="U798" s="27" t="n"/>
      <c r="V798" s="27" t="n"/>
      <c r="W798" s="210">
        <f>IF(K798=TRUE,Q798/I798,Q798)</f>
        <v/>
      </c>
      <c r="X798" s="237">
        <f>V798/100*S798</f>
        <v/>
      </c>
      <c r="Y798">
        <f>IF(AND(V798&gt;0,N798=V798),TRUE,FALSE)</f>
        <v/>
      </c>
      <c r="Z798" s="228">
        <f>IF(C798="Einnahmen",Q798,-Q798)</f>
        <v/>
      </c>
      <c r="AB798">
        <f>S798=L798*(100+N798)%</f>
        <v/>
      </c>
    </row>
    <row r="799">
      <c r="A799" s="53" t="n">
        <v>2022</v>
      </c>
      <c r="B799" s="53" t="n">
        <v>133</v>
      </c>
      <c r="C799" s="71" t="inlineStr">
        <is>
          <t>Ausgaben</t>
        </is>
      </c>
      <c r="D799" t="inlineStr">
        <is>
          <t>Büromaterial</t>
        </is>
      </c>
      <c r="E799" s="61" t="inlineStr">
        <is>
          <t>BELEG FEHLT</t>
        </is>
      </c>
      <c r="G799" s="1" t="n">
        <v>44806</v>
      </c>
      <c r="H799" t="inlineStr">
        <is>
          <t>Büroprofi Koch Papier GmbH, 1080 Wien, Josefstädter Str  87</t>
        </is>
      </c>
      <c r="K799">
        <f>(IF(AND(I799&lt;&gt;"",AND(J799="",ABS(Q799)&gt;400)),TRUE,FALSE))</f>
        <v/>
      </c>
      <c r="L799" s="214">
        <f>7.45/1.2</f>
        <v/>
      </c>
      <c r="M799" s="159" t="n">
        <v>1</v>
      </c>
      <c r="N799" t="n">
        <v>20</v>
      </c>
      <c r="O799" s="237">
        <f>L799*N799/100</f>
        <v/>
      </c>
      <c r="P799" s="237">
        <f>M799*O799</f>
        <v/>
      </c>
      <c r="Q799" s="208">
        <f>L799*M799</f>
        <v/>
      </c>
      <c r="R799" s="251">
        <f>L799+O799</f>
        <v/>
      </c>
      <c r="S799" s="251">
        <f>Q799+P799</f>
        <v/>
      </c>
      <c r="T799" s="35">
        <f>voranmeldefrist_vierteljaehrlich(G799)</f>
        <v/>
      </c>
      <c r="U799" s="27" t="n"/>
      <c r="V799" s="27" t="n"/>
      <c r="W799" s="210">
        <f>IF(K799=TRUE,Q799/I799,Q799)</f>
        <v/>
      </c>
      <c r="X799" s="237">
        <f>V799/100*S799</f>
        <v/>
      </c>
      <c r="Y799">
        <f>IF(AND(V799&gt;0,N799=V799),TRUE,FALSE)</f>
        <v/>
      </c>
      <c r="Z799" s="228">
        <f>IF(C799="Einnahmen",Q799,-Q799)</f>
        <v/>
      </c>
      <c r="AB799">
        <f>S799=L799*(100+N799)%</f>
        <v/>
      </c>
    </row>
    <row r="800">
      <c r="A800" s="53" t="n">
        <v>2022</v>
      </c>
      <c r="B800" s="53" t="n">
        <v>134</v>
      </c>
      <c r="C800" s="71" t="inlineStr">
        <is>
          <t>Ausgaben</t>
        </is>
      </c>
      <c r="D800" t="inlineStr">
        <is>
          <t>sonstige Betriebsausgaben</t>
        </is>
      </c>
      <c r="E800" s="9" t="inlineStr">
        <is>
          <t>4322957079</t>
        </is>
      </c>
      <c r="G800" s="1" t="n">
        <v>44807</v>
      </c>
      <c r="H800" t="inlineStr">
        <is>
          <t>Google Ireland Ltd, Gordon House, Barrow Street, Dublin 4, Ireland; VAT number: IE 6388047V</t>
        </is>
      </c>
      <c r="K800" t="b">
        <v>0</v>
      </c>
      <c r="L800" s="214" t="n">
        <v>9.359999999999999</v>
      </c>
      <c r="M800" s="159" t="n">
        <v>1</v>
      </c>
      <c r="N800" t="n">
        <v>0</v>
      </c>
      <c r="O800" s="237">
        <f>L800*N800/100</f>
        <v/>
      </c>
      <c r="P800" s="237">
        <f>M800*O800</f>
        <v/>
      </c>
      <c r="Q800" s="208">
        <f>L800*M800</f>
        <v/>
      </c>
      <c r="R800" s="251">
        <f>L800+O800</f>
        <v/>
      </c>
      <c r="S800" s="251">
        <f>Q800+P800</f>
        <v/>
      </c>
      <c r="T800" s="35">
        <f>voranmeldefrist_vierteljaehrlich(G800)</f>
        <v/>
      </c>
      <c r="U800" s="27" t="n"/>
      <c r="V800" s="27" t="n">
        <v>20</v>
      </c>
      <c r="W800" s="210">
        <f>IF(K800=TRUE,Q800/I800,Q800)</f>
        <v/>
      </c>
      <c r="X800" s="237">
        <f>V800/100*S800</f>
        <v/>
      </c>
      <c r="Y800">
        <f>IF(AND(V800&gt;0,N800=V800),TRUE,FALSE)</f>
        <v/>
      </c>
      <c r="Z800" s="228">
        <f>IF(C800="Einnahmen",Q800,-Q800)</f>
        <v/>
      </c>
      <c r="AB800">
        <f>S800=L800*(100+N800)%</f>
        <v/>
      </c>
    </row>
    <row r="801">
      <c r="A801" s="53" t="n">
        <v>2022</v>
      </c>
      <c r="B801" s="53" t="n">
        <v>135</v>
      </c>
      <c r="C801" s="71" t="inlineStr">
        <is>
          <t>Ausgaben</t>
        </is>
      </c>
      <c r="D801" t="inlineStr">
        <is>
          <t>sonstige Betriebsausgaben</t>
        </is>
      </c>
      <c r="E801" s="153" t="inlineStr">
        <is>
          <t>siehe Jahresabrechnung</t>
        </is>
      </c>
      <c r="G801" s="1" t="n">
        <v>44809</v>
      </c>
      <c r="H801" t="inlineStr">
        <is>
          <t>go green energy GmbH &amp; Co KG</t>
        </is>
      </c>
      <c r="K801">
        <f>(IF(AND(I801&lt;&gt;"",AND(J801="",ABS(Q801)&gt;400)),TRUE,FALSE))</f>
        <v/>
      </c>
      <c r="L801" s="214" t="n">
        <v>2.5</v>
      </c>
      <c r="M801" s="159" t="n">
        <v>1</v>
      </c>
      <c r="N801" t="n">
        <v>20</v>
      </c>
      <c r="O801" s="237">
        <f>L801*N801/100</f>
        <v/>
      </c>
      <c r="P801" s="237">
        <f>M801*O801</f>
        <v/>
      </c>
      <c r="Q801" s="208">
        <f>L801*M801</f>
        <v/>
      </c>
      <c r="R801" s="251">
        <f>L801+O801</f>
        <v/>
      </c>
      <c r="S801" s="251">
        <f>Q801+P801</f>
        <v/>
      </c>
      <c r="T801" s="35">
        <f>voranmeldefrist_vierteljaehrlich(G801)</f>
        <v/>
      </c>
      <c r="U801" s="27" t="n"/>
      <c r="V801" s="27" t="n"/>
      <c r="W801" s="210">
        <f>IF(K801=TRUE,Q801/J801,Q801)</f>
        <v/>
      </c>
      <c r="X801" s="237">
        <f>V801/100*S801</f>
        <v/>
      </c>
      <c r="Y801">
        <f>IF(AND(V801&gt;0,N801=V801),TRUE,FALSE)</f>
        <v/>
      </c>
      <c r="Z801" s="228">
        <f>IF(C801="Einnahmen",Q801,-Q801)</f>
        <v/>
      </c>
      <c r="AB801">
        <f>S801=L801*(100+N801)%</f>
        <v/>
      </c>
    </row>
    <row r="802">
      <c r="A802" s="53" t="n">
        <v>2022</v>
      </c>
      <c r="B802" s="53" t="n">
        <v>136</v>
      </c>
      <c r="C802" s="71" t="inlineStr">
        <is>
          <t>Ausgaben</t>
        </is>
      </c>
      <c r="D802" t="inlineStr">
        <is>
          <t>Miet- und Pachtaufwand, Leasing</t>
        </is>
      </c>
      <c r="E802" s="61" t="inlineStr">
        <is>
          <t>BELEG FEHLT</t>
        </is>
      </c>
      <c r="G802" s="1" t="n">
        <v>44809</v>
      </c>
      <c r="H802" t="inlineStr">
        <is>
          <t>Techem Messtechnik GmbH; Abnehmernummer 501686-0003-11-</t>
        </is>
      </c>
      <c r="K802" t="b">
        <v>0</v>
      </c>
      <c r="L802" s="214" t="n">
        <v>122.6</v>
      </c>
      <c r="M802" s="159" t="n">
        <v>1</v>
      </c>
      <c r="N802" t="n">
        <v>20</v>
      </c>
      <c r="O802" s="237">
        <f>L802*N802/100</f>
        <v/>
      </c>
      <c r="P802" s="237">
        <f>M802*O802</f>
        <v/>
      </c>
      <c r="Q802" s="208">
        <f>L802*M802</f>
        <v/>
      </c>
      <c r="R802" s="251">
        <f>L802+O802</f>
        <v/>
      </c>
      <c r="S802" s="251">
        <f>Q802+P802</f>
        <v/>
      </c>
      <c r="T802" s="35">
        <f>voranmeldefrist_vierteljaehrlich(G802)</f>
        <v/>
      </c>
      <c r="U802" s="27" t="n"/>
      <c r="V802" s="27" t="n"/>
      <c r="W802" s="210">
        <f>IF(K802=TRUE,Q802/J802,Q802)</f>
        <v/>
      </c>
      <c r="X802" s="237">
        <f>V802/100*S802</f>
        <v/>
      </c>
      <c r="Y802">
        <f>IF(AND(V802&gt;0,N802=V802),TRUE,FALSE)</f>
        <v/>
      </c>
      <c r="Z802" s="228">
        <f>IF(C802="Einnahmen",Q802,-Q802)</f>
        <v/>
      </c>
      <c r="AB802">
        <f>S802=L802*(100+N802)%</f>
        <v/>
      </c>
    </row>
    <row r="803">
      <c r="A803" s="53" t="n">
        <v>2022</v>
      </c>
      <c r="B803" s="53" t="n">
        <v>137</v>
      </c>
      <c r="C803" s="71" t="inlineStr">
        <is>
          <t>Ausgaben</t>
        </is>
      </c>
      <c r="D803" t="inlineStr">
        <is>
          <t>sonstige Betriebsausgaben</t>
        </is>
      </c>
      <c r="E803" s="61" t="inlineStr">
        <is>
          <t>BELEG FEHLT</t>
        </is>
      </c>
      <c r="G803" s="1" t="n">
        <v>44816</v>
      </c>
      <c r="H803" t="inlineStr">
        <is>
          <t>Wiener Netze GmbH, Erdbergstraße 236, 1110 Wien, Postfach 422; Jahresabrechnung vom 17.12.20: GUTSCHRIFT</t>
        </is>
      </c>
      <c r="K803">
        <f>(IF(AND(I803&lt;&gt;"",AND(J803="",ABS(Q803)&gt;400)),TRUE,FALSE))</f>
        <v/>
      </c>
      <c r="L803" s="214" t="n">
        <v>11</v>
      </c>
      <c r="M803" s="159" t="n">
        <v>1</v>
      </c>
      <c r="N803" t="n">
        <v>20</v>
      </c>
      <c r="O803" s="237">
        <f>L803*N803/100</f>
        <v/>
      </c>
      <c r="P803" s="237">
        <f>M803*O803</f>
        <v/>
      </c>
      <c r="Q803" s="208">
        <f>L803*M803</f>
        <v/>
      </c>
      <c r="R803" s="251">
        <f>L803+O803</f>
        <v/>
      </c>
      <c r="S803" s="251">
        <f>Q803+P803</f>
        <v/>
      </c>
      <c r="T803" s="35">
        <f>voranmeldefrist_vierteljaehrlich(G803)</f>
        <v/>
      </c>
      <c r="U803" s="27" t="n"/>
      <c r="V803" s="27" t="n"/>
      <c r="W803" s="210">
        <f>IF(K803=TRUE,Q803/J803,Q803)</f>
        <v/>
      </c>
      <c r="X803" s="237">
        <f>V803/100*S803</f>
        <v/>
      </c>
      <c r="Y803">
        <f>IF(AND(V803&gt;0,N803=V803),TRUE,FALSE)</f>
        <v/>
      </c>
      <c r="Z803" s="228">
        <f>IF(C803="Einnahmen",Q803,-Q803)</f>
        <v/>
      </c>
      <c r="AB803">
        <f>S803=L803*(100+N803)%</f>
        <v/>
      </c>
    </row>
    <row r="804">
      <c r="A804" s="53" t="n">
        <v>2022</v>
      </c>
      <c r="B804" s="53" t="n">
        <v>138</v>
      </c>
      <c r="C804" s="71" t="inlineStr">
        <is>
          <t>Ausgaben</t>
        </is>
      </c>
      <c r="D804" t="inlineStr">
        <is>
          <t>sonstige Betriebsausgaben</t>
        </is>
      </c>
      <c r="E804" s="9" t="inlineStr">
        <is>
          <t>R0016819083</t>
        </is>
      </c>
      <c r="G804" s="1" t="n">
        <v>44817</v>
      </c>
      <c r="H804" t="inlineStr">
        <is>
          <t>Hetzner Online GmbH</t>
        </is>
      </c>
      <c r="K804">
        <f>(IF(AND(I804&lt;&gt;"",AND(J804="",ABS(Q804)&gt;400)),TRUE,FALSE))</f>
        <v/>
      </c>
      <c r="L804" s="214" t="n">
        <v>47.7765</v>
      </c>
      <c r="M804" s="159" t="n">
        <v>1</v>
      </c>
      <c r="N804" t="n">
        <v>0</v>
      </c>
      <c r="O804" s="237">
        <f>L804*N804/100</f>
        <v/>
      </c>
      <c r="P804" s="237">
        <f>M804*O804</f>
        <v/>
      </c>
      <c r="Q804" s="208">
        <f>L804*M804</f>
        <v/>
      </c>
      <c r="R804" s="251">
        <f>L804+O804</f>
        <v/>
      </c>
      <c r="S804" s="251">
        <f>Q804+P804</f>
        <v/>
      </c>
      <c r="T804" s="35">
        <f>voranmeldefrist_vierteljaehrlich(G804)</f>
        <v/>
      </c>
      <c r="U804" s="27" t="n"/>
      <c r="V804" s="27" t="n">
        <v>20</v>
      </c>
      <c r="W804" s="210">
        <f>IF(K804=TRUE,Q804/J804,Q804)</f>
        <v/>
      </c>
      <c r="X804" s="237">
        <f>V804/100*S804</f>
        <v/>
      </c>
      <c r="Y804">
        <f>IF(AND(V804&gt;0,N804=V804),TRUE,FALSE)</f>
        <v/>
      </c>
      <c r="Z804" s="228">
        <f>IF(C804="Einnahmen",Q804,-Q804)</f>
        <v/>
      </c>
      <c r="AB804">
        <f>S804=L804*(100+N804)%</f>
        <v/>
      </c>
    </row>
    <row r="805">
      <c r="A805" s="53" t="n">
        <v>2022</v>
      </c>
      <c r="B805" s="53" t="n">
        <v>139</v>
      </c>
      <c r="C805" s="71" t="inlineStr">
        <is>
          <t>Einnahmen</t>
        </is>
      </c>
      <c r="D805" t="inlineStr">
        <is>
          <t>Waren-/Leistungserlöse</t>
        </is>
      </c>
      <c r="E805" t="n">
        <v>168045114</v>
      </c>
      <c r="G805" s="1" t="n">
        <v>44818</v>
      </c>
      <c r="H805" t="inlineStr">
        <is>
          <t>Hays Österreich GmbH, Bahnhof City Wien West , Europaplatz 3/5, 1150 Wien</t>
        </is>
      </c>
      <c r="K805">
        <f>(IF(AND(I805&lt;&gt;"",AND(J805="",ABS(Q805)&gt;400)),TRUE,FALSE))</f>
        <v/>
      </c>
      <c r="L805" s="214" t="n">
        <v>19950</v>
      </c>
      <c r="M805" s="159" t="n">
        <v>1</v>
      </c>
      <c r="N805" t="n">
        <v>20</v>
      </c>
      <c r="O805" s="237">
        <f>L805*N805/100</f>
        <v/>
      </c>
      <c r="P805" s="237">
        <f>M805*O805</f>
        <v/>
      </c>
      <c r="Q805" s="208">
        <f>L805*M805</f>
        <v/>
      </c>
      <c r="R805" s="251">
        <f>L805+O805</f>
        <v/>
      </c>
      <c r="S805" s="251">
        <f>Q805+P805</f>
        <v/>
      </c>
      <c r="T805" s="35">
        <f>voranmeldefrist_vierteljaehrlich(G805)</f>
        <v/>
      </c>
      <c r="U805" s="27" t="n"/>
      <c r="V805" s="27" t="n">
        <v>20</v>
      </c>
      <c r="W805" s="210">
        <f>IF(K805=TRUE,Q805/J805,Q805)</f>
        <v/>
      </c>
      <c r="X805" s="237">
        <f>V805/100*S805</f>
        <v/>
      </c>
      <c r="Y805">
        <f>IF(AND(V805&gt;0,N805=V805),TRUE,FALSE)</f>
        <v/>
      </c>
      <c r="Z805" s="228">
        <f>IF(C805="Einnahmen",Q805,-Q805)</f>
        <v/>
      </c>
      <c r="AB805">
        <f>S805=L805*(100+N805)%</f>
        <v/>
      </c>
    </row>
    <row r="806">
      <c r="A806" s="53" t="n">
        <v>2022</v>
      </c>
      <c r="B806" s="53" t="n">
        <v>140</v>
      </c>
      <c r="C806" s="71" t="inlineStr">
        <is>
          <t>Ausgaben</t>
        </is>
      </c>
      <c r="D806" t="inlineStr">
        <is>
          <t>Personalaufwand</t>
        </is>
      </c>
      <c r="G806" s="1" t="n">
        <v>44819</v>
      </c>
      <c r="H806" t="inlineStr">
        <is>
          <t>Honorar Eva Jaros-Kolbitsch</t>
        </is>
      </c>
      <c r="K806">
        <f>(IF(AND(I806&lt;&gt;"",AND(J806="",ABS(Q806)&gt;400)),TRUE,FALSE))</f>
        <v/>
      </c>
      <c r="L806" s="214" t="n">
        <v>365</v>
      </c>
      <c r="M806" s="159" t="n">
        <v>1</v>
      </c>
      <c r="N806" t="n">
        <v>0</v>
      </c>
      <c r="O806" s="237">
        <f>L806*N806/100</f>
        <v/>
      </c>
      <c r="P806" s="237">
        <f>M806*O806</f>
        <v/>
      </c>
      <c r="Q806" s="208">
        <f>L806*M806</f>
        <v/>
      </c>
      <c r="R806" s="251">
        <f>L806+O806</f>
        <v/>
      </c>
      <c r="S806" s="251">
        <f>Q806+P806</f>
        <v/>
      </c>
      <c r="T806" s="35">
        <f>voranmeldefrist_vierteljaehrlich(G806)</f>
        <v/>
      </c>
      <c r="U806" s="27" t="n"/>
      <c r="V806" s="27" t="n"/>
      <c r="W806" s="210">
        <f>IF(K806=TRUE,Q806/J806,Q806)</f>
        <v/>
      </c>
      <c r="X806" s="237">
        <f>V806/100*S806</f>
        <v/>
      </c>
      <c r="Y806">
        <f>IF(AND(V806&gt;0,N806=V806),TRUE,FALSE)</f>
        <v/>
      </c>
      <c r="Z806" s="228">
        <f>IF(C806="Einnahmen",Q806,-Q806)</f>
        <v/>
      </c>
      <c r="AB806">
        <f>S806=L806*(100+N806)%</f>
        <v/>
      </c>
    </row>
    <row r="807">
      <c r="A807" s="53" t="n">
        <v>2022</v>
      </c>
      <c r="B807" s="53" t="n">
        <v>141</v>
      </c>
      <c r="C807" s="71" t="inlineStr">
        <is>
          <t>Ausgaben</t>
        </is>
      </c>
      <c r="D807" t="inlineStr">
        <is>
          <t>sonstige Betriebsausgaben</t>
        </is>
      </c>
      <c r="E807" s="6" t="n"/>
      <c r="G807" s="1" t="n">
        <v>44824</v>
      </c>
      <c r="H807" t="inlineStr">
        <is>
          <t>Microsoft Ireland Operations Ltd. One Microsoft Place, South County, Business Park, Leopardstown, Dublin 18, D18 P521, Ireland</t>
        </is>
      </c>
      <c r="K807">
        <f>(IF(AND(I807&lt;&gt;"",AND(J807="",ABS(Q807)&gt;400)),TRUE,FALSE))</f>
        <v/>
      </c>
      <c r="L807" s="214" t="n">
        <v>10.5</v>
      </c>
      <c r="M807" s="159" t="n">
        <v>1</v>
      </c>
      <c r="N807" t="n">
        <v>0</v>
      </c>
      <c r="O807" s="237">
        <f>L807*N807/100</f>
        <v/>
      </c>
      <c r="P807" s="237">
        <f>M807*O807</f>
        <v/>
      </c>
      <c r="Q807" s="208">
        <f>L807*M807</f>
        <v/>
      </c>
      <c r="R807" s="251">
        <f>L807+O807</f>
        <v/>
      </c>
      <c r="S807" s="251">
        <f>Q807+P807</f>
        <v/>
      </c>
      <c r="T807" s="35">
        <f>voranmeldefrist_vierteljaehrlich(G807)</f>
        <v/>
      </c>
      <c r="U807" s="27" t="n"/>
      <c r="V807" s="27" t="n">
        <v>20</v>
      </c>
      <c r="W807" s="210">
        <f>IF(K807=TRUE,Q807/J807,Q807)</f>
        <v/>
      </c>
      <c r="X807" s="237">
        <f>V807/100*S807</f>
        <v/>
      </c>
      <c r="Y807">
        <f>IF(AND(V807&gt;0,N807=V807),TRUE,FALSE)</f>
        <v/>
      </c>
      <c r="Z807" s="228">
        <f>IF(C807="Einnahmen",Q807,-Q807)</f>
        <v/>
      </c>
      <c r="AB807">
        <f>S807=L807*(100+N807)%</f>
        <v/>
      </c>
    </row>
    <row r="808">
      <c r="A808" s="53" t="n">
        <v>2022</v>
      </c>
      <c r="B808" s="53" t="n">
        <v>142</v>
      </c>
      <c r="C808" s="71" t="inlineStr">
        <is>
          <t>Ausgaben</t>
        </is>
      </c>
      <c r="D808" t="inlineStr">
        <is>
          <t>Telefon/Internet</t>
        </is>
      </c>
      <c r="E808" s="131" t="inlineStr">
        <is>
          <t>901154810922</t>
        </is>
      </c>
      <c r="G808" s="1" t="n">
        <v>44825</v>
      </c>
      <c r="H808" t="inlineStr">
        <is>
          <t>Magenta: T-Mobile Austria GmbH, A-1120 Wien, PF 47</t>
        </is>
      </c>
      <c r="K808">
        <f>(IF(AND(I808&lt;&gt;"",AND(J808="",ABS(Q808)&gt;400)),TRUE,FALSE))</f>
        <v/>
      </c>
      <c r="L808" s="214" t="n">
        <v>31.92</v>
      </c>
      <c r="M808" s="159" t="n">
        <v>1</v>
      </c>
      <c r="N808" t="n">
        <v>20</v>
      </c>
      <c r="O808" s="237">
        <f>L808*N808/100</f>
        <v/>
      </c>
      <c r="P808" s="237">
        <f>M808*O808</f>
        <v/>
      </c>
      <c r="Q808" s="208">
        <f>L808*M808</f>
        <v/>
      </c>
      <c r="R808" s="251">
        <f>L808+O808</f>
        <v/>
      </c>
      <c r="S808" s="251">
        <f>Q808+P808</f>
        <v/>
      </c>
      <c r="T808" s="35">
        <f>voranmeldefrist_vierteljaehrlich(G808)</f>
        <v/>
      </c>
      <c r="U808" s="27" t="n"/>
      <c r="V808" s="27" t="n"/>
      <c r="W808" s="210">
        <f>IF(K808=TRUE,Q808/I808,Q808)</f>
        <v/>
      </c>
      <c r="X808" s="237">
        <f>V808/100*S808</f>
        <v/>
      </c>
      <c r="Y808">
        <f>IF(AND(V808&gt;0,N808=V808),TRUE,FALSE)</f>
        <v/>
      </c>
      <c r="Z808" s="228">
        <f>IF(C808="Einnahmen",Q808,-Q808)</f>
        <v/>
      </c>
      <c r="AB808">
        <f>S808=L808*(100+N808)%</f>
        <v/>
      </c>
    </row>
    <row r="809">
      <c r="A809" s="53" t="n">
        <v>2022</v>
      </c>
      <c r="B809" s="53" t="n">
        <v>143</v>
      </c>
      <c r="C809" s="71" t="inlineStr">
        <is>
          <t>Ausgaben</t>
        </is>
      </c>
      <c r="D809" t="inlineStr">
        <is>
          <t>Pflichversicherungsbeiträge</t>
        </is>
      </c>
      <c r="E809" s="9" t="n">
        <v>11561270283</v>
      </c>
      <c r="G809" s="1" t="n">
        <v>44833</v>
      </c>
      <c r="H809" t="inlineStr">
        <is>
          <t>Sozialversicherung der gewerblichen Wirtshaft</t>
        </is>
      </c>
      <c r="K809">
        <f>(IF(AND(I809&lt;&gt;"",AND(J809="",ABS(Q809)&gt;400)),TRUE,FALSE))</f>
        <v/>
      </c>
      <c r="L809" s="214" t="n">
        <v>1.51</v>
      </c>
      <c r="M809" s="159" t="n">
        <v>1</v>
      </c>
      <c r="N809" t="n">
        <v>0</v>
      </c>
      <c r="O809" s="237">
        <f>L809*N809/100</f>
        <v/>
      </c>
      <c r="P809" s="237">
        <f>M809*O809</f>
        <v/>
      </c>
      <c r="Q809" s="208">
        <f>L809*M809</f>
        <v/>
      </c>
      <c r="R809" s="251">
        <f>L809+O809</f>
        <v/>
      </c>
      <c r="S809" s="251">
        <f>Q809+P809</f>
        <v/>
      </c>
      <c r="T809" s="35">
        <f>voranmeldefrist_vierteljaehrlich(G809)</f>
        <v/>
      </c>
      <c r="U809" s="27" t="n"/>
      <c r="V809" s="27" t="n"/>
      <c r="W809" s="210">
        <f>IF(K809=TRUE,Q809/J809,Q809)</f>
        <v/>
      </c>
      <c r="X809" s="237">
        <f>V809/100*S809</f>
        <v/>
      </c>
      <c r="Y809">
        <f>IF(AND(V809&gt;0,N809=V809),TRUE,FALSE)</f>
        <v/>
      </c>
      <c r="Z809" s="228">
        <f>IF(C809="Einnahmen",Q809,-Q809)</f>
        <v/>
      </c>
      <c r="AB809">
        <f>S809=L809*(100+N809)%</f>
        <v/>
      </c>
    </row>
    <row r="810">
      <c r="A810" s="53" t="n">
        <v>2022</v>
      </c>
      <c r="B810" s="53" t="n">
        <v>144</v>
      </c>
      <c r="C810" s="71" t="inlineStr">
        <is>
          <t>Ausgaben</t>
        </is>
      </c>
      <c r="D810" t="inlineStr">
        <is>
          <t>Pflichversicherungsbeiträge</t>
        </is>
      </c>
      <c r="E810" s="9" t="n">
        <v>11561270283</v>
      </c>
      <c r="G810" s="1" t="n">
        <v>44833</v>
      </c>
      <c r="H810" t="inlineStr">
        <is>
          <t>Sozialversicherung der gewerblichen Wirtshaft</t>
        </is>
      </c>
      <c r="K810">
        <f>(IF(AND(I810&lt;&gt;"",AND(J810="",ABS(Q810)&gt;400)),TRUE,FALSE))</f>
        <v/>
      </c>
      <c r="L810" s="214" t="n">
        <v>5684.7</v>
      </c>
      <c r="M810" s="159" t="n">
        <v>1</v>
      </c>
      <c r="N810" t="n">
        <v>0</v>
      </c>
      <c r="O810" s="237">
        <f>L810*N810/100</f>
        <v/>
      </c>
      <c r="P810" s="237">
        <f>M810*O810</f>
        <v/>
      </c>
      <c r="Q810" s="208">
        <f>L810*M810</f>
        <v/>
      </c>
      <c r="R810" s="251">
        <f>L810+O810</f>
        <v/>
      </c>
      <c r="S810" s="251">
        <f>Q810+P810</f>
        <v/>
      </c>
      <c r="T810" s="35">
        <f>voranmeldefrist_vierteljaehrlich(G810)</f>
        <v/>
      </c>
      <c r="U810" s="27" t="n"/>
      <c r="V810" s="27" t="n"/>
      <c r="W810" s="210">
        <f>IF(K810=TRUE,Q810/J810,Q810)</f>
        <v/>
      </c>
      <c r="X810" s="237">
        <f>V810/100*S810</f>
        <v/>
      </c>
      <c r="Y810">
        <f>IF(AND(V810&gt;0,N810=V810),TRUE,FALSE)</f>
        <v/>
      </c>
      <c r="Z810" s="228">
        <f>IF(C810="Einnahmen",Q810,-Q810)</f>
        <v/>
      </c>
      <c r="AB810">
        <f>S810=L810*(100+N810)%</f>
        <v/>
      </c>
    </row>
    <row r="811">
      <c r="A811" s="53" t="n">
        <v>2022</v>
      </c>
      <c r="B811" s="53" t="n">
        <v>145</v>
      </c>
      <c r="C811" s="71" t="inlineStr">
        <is>
          <t>Ausgaben</t>
        </is>
      </c>
      <c r="D811" t="inlineStr">
        <is>
          <t>Pflichversicherungsbeiträge</t>
        </is>
      </c>
      <c r="E811" s="9" t="n">
        <v>11561270283</v>
      </c>
      <c r="G811" s="1" t="n">
        <v>44836</v>
      </c>
      <c r="H811" t="inlineStr">
        <is>
          <t>Sozialversicherung der gewerblichen Wirtshaft</t>
        </is>
      </c>
      <c r="K811">
        <f>(IF(AND(I811&lt;&gt;"",AND(J811="",ABS(Q811)&gt;400)),TRUE,FALSE))</f>
        <v/>
      </c>
      <c r="L811" s="214" t="n">
        <v>4.1</v>
      </c>
      <c r="M811" s="159" t="n">
        <v>1</v>
      </c>
      <c r="N811" t="n">
        <v>0</v>
      </c>
      <c r="O811" s="237">
        <f>L811*N811/100</f>
        <v/>
      </c>
      <c r="P811" s="237">
        <f>M811*O811</f>
        <v/>
      </c>
      <c r="Q811" s="208">
        <f>L811*M811</f>
        <v/>
      </c>
      <c r="R811" s="251">
        <f>L811+O811</f>
        <v/>
      </c>
      <c r="S811" s="251">
        <f>Q811+P811</f>
        <v/>
      </c>
      <c r="T811" s="35">
        <f>voranmeldefrist_vierteljaehrlich(G811)</f>
        <v/>
      </c>
      <c r="U811" s="27" t="n"/>
      <c r="V811" s="27" t="n"/>
      <c r="W811" s="210">
        <f>IF(K811=TRUE,Q811/J811,Q811)</f>
        <v/>
      </c>
      <c r="X811" s="237">
        <f>V811/100*S811</f>
        <v/>
      </c>
      <c r="Y811">
        <f>IF(AND(V811&gt;0,N811=V811),TRUE,FALSE)</f>
        <v/>
      </c>
      <c r="Z811" s="228">
        <f>IF(C811="Einnahmen",Q811,-Q811)</f>
        <v/>
      </c>
      <c r="AB811">
        <f>S811=L811*(100+N811)%</f>
        <v/>
      </c>
    </row>
    <row r="812">
      <c r="A812" s="53" t="n">
        <v>2022</v>
      </c>
      <c r="B812" s="53" t="n">
        <v>146</v>
      </c>
      <c r="C812" s="71" t="inlineStr">
        <is>
          <t>Einnahmen</t>
        </is>
      </c>
      <c r="D812" t="inlineStr">
        <is>
          <t>Waren-/Leistungserlöse</t>
        </is>
      </c>
      <c r="E812" s="9" t="inlineStr">
        <is>
          <t>12022020</t>
        </is>
      </c>
      <c r="G812" s="1" t="n">
        <v>44837</v>
      </c>
      <c r="H812" t="inlineStr">
        <is>
          <t>Kolbitsch Engineering &amp; Consulting KNr 45</t>
        </is>
      </c>
      <c r="K812" t="b">
        <v>0</v>
      </c>
      <c r="L812" s="214" t="n">
        <v>228.75</v>
      </c>
      <c r="M812" s="159" t="n">
        <v>1</v>
      </c>
      <c r="N812" t="n">
        <v>20</v>
      </c>
      <c r="O812" s="237">
        <f>L812*N812/100</f>
        <v/>
      </c>
      <c r="P812" s="237">
        <f>M812*O812</f>
        <v/>
      </c>
      <c r="Q812" s="208">
        <f>L812*M812</f>
        <v/>
      </c>
      <c r="R812" s="251">
        <f>L812+O812</f>
        <v/>
      </c>
      <c r="S812" s="251">
        <f>Q812+P812</f>
        <v/>
      </c>
      <c r="T812" s="35">
        <f>voranmeldefrist_vierteljaehrlich(G812)</f>
        <v/>
      </c>
      <c r="U812" s="27" t="n"/>
      <c r="V812" s="27" t="n"/>
      <c r="W812" s="210">
        <f>IF(K812=TRUE,Q812/J812,Q812)</f>
        <v/>
      </c>
      <c r="X812" s="237">
        <f>V812/100*S812</f>
        <v/>
      </c>
      <c r="Y812">
        <f>IF(AND(V812&gt;0,N812=V812),TRUE,FALSE)</f>
        <v/>
      </c>
      <c r="Z812" s="228">
        <f>IF(C812="Einnahmen",Q812,-Q812)</f>
        <v/>
      </c>
      <c r="AB812">
        <f>S812=L812*(100+N812)%</f>
        <v/>
      </c>
    </row>
    <row r="813">
      <c r="A813" s="53" t="n">
        <v>2022</v>
      </c>
      <c r="B813" s="53" t="n">
        <v>147</v>
      </c>
      <c r="C813" s="71" t="inlineStr">
        <is>
          <t>Einnahmen</t>
        </is>
      </c>
      <c r="D813" t="inlineStr">
        <is>
          <t>Waren-/Leistungserlöse</t>
        </is>
      </c>
      <c r="E813" s="6" t="n">
        <v>12022019</v>
      </c>
      <c r="G813" s="1" t="n">
        <v>44837</v>
      </c>
      <c r="H813" t="inlineStr">
        <is>
          <t>ZT DI Dr. Arno Kolbitsch, Gütleweg 1, 6822 Satteins</t>
        </is>
      </c>
      <c r="K813">
        <f>(IF(AND(I813&lt;&gt;"",AND(J813="",ABS(Q813)&gt;400)),TRUE,FALSE))</f>
        <v/>
      </c>
      <c r="L813" s="214" t="n">
        <v>2110.28</v>
      </c>
      <c r="M813" s="159" t="n">
        <v>1</v>
      </c>
      <c r="N813" t="n">
        <v>20</v>
      </c>
      <c r="O813" s="237">
        <f>L813*N813/100</f>
        <v/>
      </c>
      <c r="P813" s="237">
        <f>M813*O813</f>
        <v/>
      </c>
      <c r="Q813" s="208">
        <f>L813*M813</f>
        <v/>
      </c>
      <c r="R813" s="251">
        <f>L813+O813</f>
        <v/>
      </c>
      <c r="S813" s="251">
        <f>Q813+P813</f>
        <v/>
      </c>
      <c r="T813" s="35">
        <f>voranmeldefrist_vierteljaehrlich(G813)</f>
        <v/>
      </c>
      <c r="U813" s="27" t="n"/>
      <c r="V813" s="27" t="n"/>
      <c r="W813" s="210">
        <f>IF(K813=TRUE,Q813/I813,Q813)</f>
        <v/>
      </c>
      <c r="X813" s="237">
        <f>V813/100*S813</f>
        <v/>
      </c>
      <c r="Y813">
        <f>IF(AND(V813&gt;0,N813=V813),TRUE,FALSE)</f>
        <v/>
      </c>
      <c r="Z813" s="228">
        <f>IF(C813="Einnahmen",Q813,-Q813)</f>
        <v/>
      </c>
      <c r="AB813">
        <f>S813=L813*(100+N813)%</f>
        <v/>
      </c>
    </row>
    <row r="814">
      <c r="A814" s="53" t="n">
        <v>2022</v>
      </c>
      <c r="B814" s="53" t="n">
        <v>148</v>
      </c>
      <c r="C814" s="71" t="inlineStr">
        <is>
          <t>Ausgaben</t>
        </is>
      </c>
      <c r="D814" t="inlineStr">
        <is>
          <t>Miet- und Pachtaufwand, Leasing</t>
        </is>
      </c>
      <c r="G814" s="1" t="n">
        <v>44837</v>
      </c>
      <c r="H814" t="inlineStr">
        <is>
          <t>Bontus Immobilienverwaltung GmbH, 1010 Wien, Franz Josefs Kai 65</t>
        </is>
      </c>
      <c r="K814" t="b">
        <v>0</v>
      </c>
      <c r="L814" s="214">
        <f>606.78/1.2</f>
        <v/>
      </c>
      <c r="M814" s="159" t="n">
        <v>1</v>
      </c>
      <c r="N814" t="n">
        <v>20</v>
      </c>
      <c r="O814" s="237">
        <f>L814*N814/100</f>
        <v/>
      </c>
      <c r="P814" s="237">
        <f>M814*O814</f>
        <v/>
      </c>
      <c r="Q814" s="208">
        <f>L814*M814</f>
        <v/>
      </c>
      <c r="R814" s="251">
        <f>L814+O814</f>
        <v/>
      </c>
      <c r="S814" s="251">
        <f>Q814+P814</f>
        <v/>
      </c>
      <c r="T814" s="35">
        <f>voranmeldefrist_vierteljaehrlich(G814)</f>
        <v/>
      </c>
      <c r="U814" s="27" t="n"/>
      <c r="V814" s="27" t="n"/>
      <c r="W814" s="210">
        <f>IF(K814=TRUE,Q814/J814,Q814)</f>
        <v/>
      </c>
      <c r="X814" s="237">
        <f>V814/100*S814</f>
        <v/>
      </c>
      <c r="Y814">
        <f>IF(AND(V814&gt;0,N814=V814),TRUE,FALSE)</f>
        <v/>
      </c>
      <c r="Z814" s="228">
        <f>IF(C814="Einnahmen",Q814,-Q814)</f>
        <v/>
      </c>
      <c r="AB814">
        <f>S814=L814*(100+N814)%</f>
        <v/>
      </c>
    </row>
    <row r="815">
      <c r="A815" s="53" t="n">
        <v>2022</v>
      </c>
      <c r="B815" s="53" t="n">
        <v>149</v>
      </c>
      <c r="C815" s="71" t="inlineStr">
        <is>
          <t>Ausgaben</t>
        </is>
      </c>
      <c r="D815" t="inlineStr">
        <is>
          <t>Reise- und Fahrtspesen inkl. Kilometergeld und Diäten</t>
        </is>
      </c>
      <c r="E815" s="131" t="inlineStr">
        <is>
          <t>4293000000027958</t>
        </is>
      </c>
      <c r="G815" s="1" t="n">
        <v>44837</v>
      </c>
      <c r="H815" t="inlineStr">
        <is>
          <t>car2go Österreich GmbH, Hintere Zollamtstraße 9, 1030 Wien</t>
        </is>
      </c>
      <c r="K815" t="b">
        <v>0</v>
      </c>
      <c r="L815" s="214" t="n">
        <v>41.53</v>
      </c>
      <c r="M815" s="159" t="n">
        <v>1</v>
      </c>
      <c r="N815" t="n">
        <v>20</v>
      </c>
      <c r="O815" s="237">
        <f>L815*N815/100</f>
        <v/>
      </c>
      <c r="P815" s="237">
        <f>M815*O815</f>
        <v/>
      </c>
      <c r="Q815" s="208">
        <f>L815*M815</f>
        <v/>
      </c>
      <c r="R815" s="251">
        <f>L815+O815</f>
        <v/>
      </c>
      <c r="S815" s="251">
        <f>Q815+P815</f>
        <v/>
      </c>
      <c r="T815" s="35">
        <f>voranmeldefrist_vierteljaehrlich(G815)</f>
        <v/>
      </c>
      <c r="U815" s="27" t="n"/>
      <c r="V815" s="27" t="n"/>
      <c r="W815" s="210">
        <f>IF(K815=TRUE,Q815/J815,Q815)</f>
        <v/>
      </c>
      <c r="X815" s="237">
        <f>V815/100*S815</f>
        <v/>
      </c>
      <c r="Y815">
        <f>IF(AND(V815&gt;0,N815=V815),TRUE,FALSE)</f>
        <v/>
      </c>
      <c r="Z815" s="228">
        <f>IF(C815="Einnahmen",Q815,-Q815)</f>
        <v/>
      </c>
      <c r="AB815">
        <f>S815=L815*(100+N815)%</f>
        <v/>
      </c>
    </row>
    <row r="816">
      <c r="A816" s="53" t="n">
        <v>2022</v>
      </c>
      <c r="B816" s="53" t="n">
        <v>150</v>
      </c>
      <c r="C816" s="71" t="inlineStr">
        <is>
          <t>Ausgaben</t>
        </is>
      </c>
      <c r="D816" t="inlineStr">
        <is>
          <t>sonstige Betriebsausgaben</t>
        </is>
      </c>
      <c r="G816" s="1" t="n">
        <v>44839</v>
      </c>
      <c r="H816" t="inlineStr">
        <is>
          <t>Google Ireland Ltd, Gordon House, Barrow Street, Dublin 4, Ireland; VAT number: IE 6388047V</t>
        </is>
      </c>
      <c r="K816" t="b">
        <v>0</v>
      </c>
      <c r="L816" s="214" t="n">
        <v>9.359999999999999</v>
      </c>
      <c r="M816" s="159" t="n">
        <v>1</v>
      </c>
      <c r="N816" t="n">
        <v>0</v>
      </c>
      <c r="O816" s="237">
        <f>L816*N816/100</f>
        <v/>
      </c>
      <c r="P816" s="237">
        <f>M816*O816</f>
        <v/>
      </c>
      <c r="Q816" s="208">
        <f>L816*M816</f>
        <v/>
      </c>
      <c r="R816" s="251">
        <f>L816+O816</f>
        <v/>
      </c>
      <c r="S816" s="251">
        <f>Q816+P816</f>
        <v/>
      </c>
      <c r="T816" s="35">
        <f>voranmeldefrist_vierteljaehrlich(G816)</f>
        <v/>
      </c>
      <c r="U816" s="27" t="n"/>
      <c r="V816" s="27" t="n">
        <v>20</v>
      </c>
      <c r="W816" s="210">
        <f>IF(K816=TRUE,Q816/I816,Q816)</f>
        <v/>
      </c>
      <c r="X816" s="237">
        <f>V816/100*S816</f>
        <v/>
      </c>
      <c r="Y816">
        <f>IF(AND(V816&gt;0,N816=V816),TRUE,FALSE)</f>
        <v/>
      </c>
      <c r="Z816" s="228">
        <f>IF(C816="Einnahmen",Q816,-Q816)</f>
        <v/>
      </c>
      <c r="AB816">
        <f>S816=L816*(100+N816)%</f>
        <v/>
      </c>
    </row>
    <row r="817">
      <c r="A817" s="53" t="n">
        <v>2022</v>
      </c>
      <c r="B817" s="53" t="n">
        <v>151</v>
      </c>
      <c r="C817" s="71" t="inlineStr">
        <is>
          <t>Ausgaben</t>
        </is>
      </c>
      <c r="D817" t="inlineStr">
        <is>
          <t>Personalaufwand</t>
        </is>
      </c>
      <c r="G817" s="1" t="n">
        <v>44838</v>
      </c>
      <c r="H817" t="inlineStr">
        <is>
          <t>Österreichische Gesundheitskasse, Beiträge Eva Jaros-Kolbitsch 2022/9-12 (im 1. Monat nur UV, ab dem 2. Monat BV+UV)</t>
        </is>
      </c>
      <c r="K817" t="b">
        <v>0</v>
      </c>
      <c r="L817" s="214" t="n">
        <v>34.27</v>
      </c>
      <c r="M817" s="159" t="n">
        <v>1</v>
      </c>
      <c r="N817" t="n">
        <v>0</v>
      </c>
      <c r="O817" s="237">
        <f>L817*N817/100</f>
        <v/>
      </c>
      <c r="P817" s="237">
        <f>M817*O817</f>
        <v/>
      </c>
      <c r="Q817" s="208">
        <f>L817*M817</f>
        <v/>
      </c>
      <c r="R817" s="251">
        <f>L817+O817</f>
        <v/>
      </c>
      <c r="S817" s="251">
        <f>Q817+P817</f>
        <v/>
      </c>
      <c r="T817" s="35">
        <f>voranmeldefrist_vierteljaehrlich(G817)</f>
        <v/>
      </c>
      <c r="U817" s="27" t="n"/>
      <c r="V817" s="27" t="n"/>
      <c r="W817" s="210">
        <f>IF(K817=TRUE,Q817/I817,Q817)</f>
        <v/>
      </c>
      <c r="X817" s="237">
        <f>V817/100*S817</f>
        <v/>
      </c>
      <c r="Y817">
        <f>IF(AND(V817&gt;0,N817=V817),TRUE,FALSE)</f>
        <v/>
      </c>
      <c r="Z817" s="228">
        <f>IF(C817="Einnahmen",Q817,-Q817)</f>
        <v/>
      </c>
      <c r="AB817">
        <f>S817=L817*(100+N817)%</f>
        <v/>
      </c>
    </row>
    <row r="818">
      <c r="A818" s="53" t="n">
        <v>2022</v>
      </c>
      <c r="B818" s="53" t="n">
        <v>152</v>
      </c>
      <c r="C818" s="71" t="inlineStr">
        <is>
          <t>Ausgaben</t>
        </is>
      </c>
      <c r="D818" t="inlineStr">
        <is>
          <t>Telefon/Internet</t>
        </is>
      </c>
      <c r="G818" s="1" t="n">
        <v>44838</v>
      </c>
      <c r="H818" t="inlineStr">
        <is>
          <t>Hutchison Drei Austria GmbH, Brünner Straße 52, 1210 Wien, Österreich</t>
        </is>
      </c>
      <c r="K818">
        <f>(IF(AND(I818&lt;&gt;"",AND(J818="",ABS(Q818)&gt;400)),TRUE,FALSE))</f>
        <v/>
      </c>
      <c r="L818" s="214" t="n">
        <v>15</v>
      </c>
      <c r="M818" s="159" t="n">
        <v>1</v>
      </c>
      <c r="N818" t="n">
        <v>20</v>
      </c>
      <c r="O818" s="237">
        <f>L818*N818/100</f>
        <v/>
      </c>
      <c r="P818" s="237">
        <f>M818*O818</f>
        <v/>
      </c>
      <c r="Q818" s="208">
        <f>L818*M818</f>
        <v/>
      </c>
      <c r="R818" s="251">
        <f>L818+O818</f>
        <v/>
      </c>
      <c r="S818" s="251">
        <f>Q818+P818</f>
        <v/>
      </c>
      <c r="T818" s="35">
        <f>voranmeldefrist_vierteljaehrlich(G818)</f>
        <v/>
      </c>
      <c r="U818" s="27" t="n"/>
      <c r="V818" s="27" t="n"/>
      <c r="W818" s="210">
        <f>IF(K818=TRUE,Q818/I818,Q818)</f>
        <v/>
      </c>
      <c r="X818" s="237">
        <f>V818/100*S818</f>
        <v/>
      </c>
      <c r="Y818">
        <f>IF(AND(V818&gt;0,N818=V818),TRUE,FALSE)</f>
        <v/>
      </c>
      <c r="Z818" s="228">
        <f>IF(C818="Einnahmen",Q818,-Q818)</f>
        <v/>
      </c>
      <c r="AB818">
        <f>S818=L818*(100+N818)%</f>
        <v/>
      </c>
    </row>
    <row r="819">
      <c r="A819" s="53" t="n">
        <v>2022</v>
      </c>
      <c r="B819" s="53" t="n">
        <v>153</v>
      </c>
      <c r="C819" s="71" t="inlineStr">
        <is>
          <t>Ausgaben</t>
        </is>
      </c>
      <c r="D819" t="inlineStr">
        <is>
          <t>Miet- und Pachtaufwand, Leasing</t>
        </is>
      </c>
      <c r="E819" s="61" t="inlineStr">
        <is>
          <t>BELEG FEHLT</t>
        </is>
      </c>
      <c r="G819" s="1" t="n">
        <v>44839</v>
      </c>
      <c r="H819" t="inlineStr">
        <is>
          <t>Techem Messtechnik GmbH; Abnehmernummer 501686-0003-11-</t>
        </is>
      </c>
      <c r="K819" t="b">
        <v>0</v>
      </c>
      <c r="L819" s="214" t="n">
        <v>122.6</v>
      </c>
      <c r="M819" s="159" t="n">
        <v>1</v>
      </c>
      <c r="N819" t="n">
        <v>20</v>
      </c>
      <c r="O819" s="237">
        <f>L819*N819/100</f>
        <v/>
      </c>
      <c r="P819" s="237">
        <f>M819*O819</f>
        <v/>
      </c>
      <c r="Q819" s="208">
        <f>L819*M819</f>
        <v/>
      </c>
      <c r="R819" s="251">
        <f>L819+O819</f>
        <v/>
      </c>
      <c r="S819" s="251">
        <f>Q819+P819</f>
        <v/>
      </c>
      <c r="T819" s="35">
        <f>voranmeldefrist_vierteljaehrlich(G819)</f>
        <v/>
      </c>
      <c r="U819" s="27" t="n"/>
      <c r="V819" s="27" t="n"/>
      <c r="W819" s="210">
        <f>IF(K819=TRUE,Q819/J819,Q819)</f>
        <v/>
      </c>
      <c r="X819" s="237">
        <f>V819/100*S819</f>
        <v/>
      </c>
      <c r="Y819">
        <f>IF(AND(V819&gt;0,N819=V819),TRUE,FALSE)</f>
        <v/>
      </c>
      <c r="Z819" s="228">
        <f>IF(C819="Einnahmen",Q819,-Q819)</f>
        <v/>
      </c>
      <c r="AB819">
        <f>S819=L819*(100+N819)%</f>
        <v/>
      </c>
    </row>
    <row r="820">
      <c r="A820" s="53" t="n">
        <v>2022</v>
      </c>
      <c r="B820" s="53" t="n">
        <v>154</v>
      </c>
      <c r="C820" s="71" t="inlineStr">
        <is>
          <t>Ausgaben</t>
        </is>
      </c>
      <c r="D820" t="inlineStr">
        <is>
          <t>sonstige Betriebsausgaben</t>
        </is>
      </c>
      <c r="E820" s="153" t="inlineStr">
        <is>
          <t>siehe Jahresabrechnung</t>
        </is>
      </c>
      <c r="G820" s="1" t="n">
        <v>44840</v>
      </c>
      <c r="H820" t="inlineStr">
        <is>
          <t>go green energy GmbH &amp; Co KG</t>
        </is>
      </c>
      <c r="K820">
        <f>(IF(AND(I820&lt;&gt;"",AND(J820="",ABS(Q820)&gt;400)),TRUE,FALSE))</f>
        <v/>
      </c>
      <c r="L820" s="214" t="n">
        <v>2.5</v>
      </c>
      <c r="M820" s="159" t="n">
        <v>1</v>
      </c>
      <c r="N820" t="n">
        <v>20</v>
      </c>
      <c r="O820" s="237">
        <f>L820*N820/100</f>
        <v/>
      </c>
      <c r="P820" s="237">
        <f>M820*O820</f>
        <v/>
      </c>
      <c r="Q820" s="208">
        <f>L820*M820</f>
        <v/>
      </c>
      <c r="R820" s="251">
        <f>L820+O820</f>
        <v/>
      </c>
      <c r="S820" s="251">
        <f>Q820+P820</f>
        <v/>
      </c>
      <c r="T820" s="35">
        <f>voranmeldefrist_vierteljaehrlich(G820)</f>
        <v/>
      </c>
      <c r="U820" s="27" t="n"/>
      <c r="V820" s="27" t="n"/>
      <c r="W820" s="210">
        <f>IF(K820=TRUE,Q820/J820,Q820)</f>
        <v/>
      </c>
      <c r="X820" s="237">
        <f>V820/100*S820</f>
        <v/>
      </c>
      <c r="Y820">
        <f>IF(AND(V820&gt;0,N820=V820),TRUE,FALSE)</f>
        <v/>
      </c>
      <c r="Z820" s="228">
        <f>IF(C820="Einnahmen",Q820,-Q820)</f>
        <v/>
      </c>
      <c r="AB820">
        <f>S820=L820*(100+N820)%</f>
        <v/>
      </c>
    </row>
    <row r="821">
      <c r="A821" s="53" t="n">
        <v>2022</v>
      </c>
      <c r="B821" s="53" t="n">
        <v>155</v>
      </c>
      <c r="C821" s="71" t="inlineStr">
        <is>
          <t>Einnahmen</t>
        </is>
      </c>
      <c r="D821" t="inlineStr">
        <is>
          <t>sonstige Betriebsausgaben</t>
        </is>
      </c>
      <c r="G821" s="1" t="n">
        <v>44836</v>
      </c>
      <c r="H821" t="inlineStr">
        <is>
          <t>Martin Dürauer e.U., Schreinergasse 7/1, A-3100 St. Pölten</t>
        </is>
      </c>
      <c r="K821" t="b">
        <v>0</v>
      </c>
      <c r="L821" s="214" t="n">
        <v>380</v>
      </c>
      <c r="M821" s="159" t="n">
        <v>1</v>
      </c>
      <c r="N821" t="n">
        <v>20</v>
      </c>
      <c r="O821" s="237">
        <f>L821*N821/100</f>
        <v/>
      </c>
      <c r="P821" s="237">
        <f>M821*O821</f>
        <v/>
      </c>
      <c r="Q821" s="208">
        <f>L821*M821</f>
        <v/>
      </c>
      <c r="R821" s="251">
        <f>L821+O821</f>
        <v/>
      </c>
      <c r="S821" s="251">
        <f>Q821+P821</f>
        <v/>
      </c>
      <c r="T821" s="35">
        <f>voranmeldefrist_vierteljaehrlich(G821)</f>
        <v/>
      </c>
      <c r="U821" s="27" t="n"/>
      <c r="V821" s="27" t="n"/>
      <c r="W821" s="210">
        <f>IF(K821=TRUE,Q821/I821,Q821)</f>
        <v/>
      </c>
      <c r="X821" s="237">
        <f>V821/100*S821</f>
        <v/>
      </c>
      <c r="Y821">
        <f>IF(AND(V821&gt;0,N821=V821),TRUE,FALSE)</f>
        <v/>
      </c>
      <c r="Z821" s="228">
        <f>IF(C821="Einnahmen",Q821,-Q821)</f>
        <v/>
      </c>
      <c r="AB821">
        <f>S821=L821*(100+N821)%</f>
        <v/>
      </c>
    </row>
    <row r="822">
      <c r="A822" s="53" t="n">
        <v>2022</v>
      </c>
      <c r="B822" s="53" t="n">
        <v>156</v>
      </c>
      <c r="C822" s="71" t="inlineStr">
        <is>
          <t>Ausgaben</t>
        </is>
      </c>
      <c r="D822" t="inlineStr">
        <is>
          <t>sonstige Betriebsausgaben</t>
        </is>
      </c>
      <c r="E822" s="61" t="inlineStr">
        <is>
          <t>BELEG FEHLT</t>
        </is>
      </c>
      <c r="G822" s="1" t="n">
        <v>44844</v>
      </c>
      <c r="H822" t="inlineStr">
        <is>
          <t>Wiener Netze GmbH, Erdbergstraße 236, 1110 Wien, Postfach 422; Jahresabrechnung vom 17.12.20: GUTSCHRIFT</t>
        </is>
      </c>
      <c r="K822">
        <f>(IF(AND(I822&lt;&gt;"",AND(J822="",ABS(Q822)&gt;400)),TRUE,FALSE))</f>
        <v/>
      </c>
      <c r="L822" s="214" t="n">
        <v>11</v>
      </c>
      <c r="M822" s="159" t="n">
        <v>1</v>
      </c>
      <c r="N822" t="n">
        <v>20</v>
      </c>
      <c r="O822" s="237">
        <f>L822*N822/100</f>
        <v/>
      </c>
      <c r="P822" s="237">
        <f>M822*O822</f>
        <v/>
      </c>
      <c r="Q822" s="208">
        <f>L822*M822</f>
        <v/>
      </c>
      <c r="R822" s="251">
        <f>L822+O822</f>
        <v/>
      </c>
      <c r="S822" s="251">
        <f>Q822+P822</f>
        <v/>
      </c>
      <c r="T822" s="35">
        <f>voranmeldefrist_vierteljaehrlich(G822)</f>
        <v/>
      </c>
      <c r="U822" s="27" t="n"/>
      <c r="V822" s="27" t="n"/>
      <c r="W822" s="210">
        <f>IF(K822=TRUE,Q822/J822,Q822)</f>
        <v/>
      </c>
      <c r="X822" s="237">
        <f>V822/100*S822</f>
        <v/>
      </c>
      <c r="Y822">
        <f>IF(AND(V822&gt;0,N822=V822),TRUE,FALSE)</f>
        <v/>
      </c>
      <c r="Z822" s="228">
        <f>IF(C822="Einnahmen",Q822,-Q822)</f>
        <v/>
      </c>
      <c r="AB822">
        <f>S822=L822*(100+N822)%</f>
        <v/>
      </c>
    </row>
    <row r="823">
      <c r="A823" s="53" t="n">
        <v>2022</v>
      </c>
      <c r="B823" s="53" t="n">
        <v>157</v>
      </c>
      <c r="C823" s="71" t="inlineStr">
        <is>
          <t>Ausgaben</t>
        </is>
      </c>
      <c r="D823" t="inlineStr">
        <is>
          <t>sonstige Betriebsausgaben</t>
        </is>
      </c>
      <c r="G823" s="1" t="n">
        <v>44847</v>
      </c>
      <c r="H823" t="inlineStr">
        <is>
          <t>Hetzner Online GmbH</t>
        </is>
      </c>
      <c r="K823">
        <f>(IF(AND(I823&lt;&gt;"",AND(J823="",ABS(Q823)&gt;400)),TRUE,FALSE))</f>
        <v/>
      </c>
      <c r="L823" s="214" t="n">
        <v>47.7765</v>
      </c>
      <c r="M823" s="159" t="n">
        <v>1</v>
      </c>
      <c r="N823" t="n">
        <v>0</v>
      </c>
      <c r="O823" s="237">
        <f>L823*N823/100</f>
        <v/>
      </c>
      <c r="P823" s="237">
        <f>M823*O823</f>
        <v/>
      </c>
      <c r="Q823" s="208">
        <f>L823*M823</f>
        <v/>
      </c>
      <c r="R823" s="251">
        <f>L823+O823</f>
        <v/>
      </c>
      <c r="S823" s="251">
        <f>Q823+P823</f>
        <v/>
      </c>
      <c r="T823" s="35">
        <f>voranmeldefrist_vierteljaehrlich(G823)</f>
        <v/>
      </c>
      <c r="U823" s="27" t="n"/>
      <c r="V823" s="27" t="n">
        <v>20</v>
      </c>
      <c r="W823" s="210">
        <f>IF(K823=TRUE,Q823/J823,Q823)</f>
        <v/>
      </c>
      <c r="X823" s="237">
        <f>V823/100*S823</f>
        <v/>
      </c>
      <c r="Y823">
        <f>IF(AND(V823&gt;0,N823=V823),TRUE,FALSE)</f>
        <v/>
      </c>
      <c r="Z823" s="228">
        <f>IF(C823="Einnahmen",Q823,-Q823)</f>
        <v/>
      </c>
      <c r="AB823">
        <f>S823=L823*(100+N823)%</f>
        <v/>
      </c>
    </row>
    <row r="824">
      <c r="A824" s="53" t="n">
        <v>2022</v>
      </c>
      <c r="B824" s="53" t="n">
        <v>158</v>
      </c>
      <c r="C824" s="71" t="inlineStr">
        <is>
          <t>Einnahmen</t>
        </is>
      </c>
      <c r="D824" t="inlineStr">
        <is>
          <t>Waren-/Leistungserlöse</t>
        </is>
      </c>
      <c r="E824" s="9" t="n">
        <v>12021026</v>
      </c>
      <c r="G824" s="1" t="n">
        <v>44848</v>
      </c>
      <c r="H824" t="inlineStr">
        <is>
          <t>Musikschule Bad Vöslau, Hauptstraße 14, 2540 Bad Vöslau</t>
        </is>
      </c>
      <c r="K824">
        <f>(IF(AND(I824&lt;&gt;"",AND(J824="",ABS(Q824)&gt;400)),TRUE,FALSE))</f>
        <v/>
      </c>
      <c r="L824" s="214" t="n">
        <v>138</v>
      </c>
      <c r="M824" s="159" t="n">
        <v>1</v>
      </c>
      <c r="N824" t="n">
        <v>20</v>
      </c>
      <c r="O824" s="237">
        <f>L824*N824/100</f>
        <v/>
      </c>
      <c r="P824" s="237">
        <f>M824*O824</f>
        <v/>
      </c>
      <c r="Q824" s="208">
        <f>L824*M824</f>
        <v/>
      </c>
      <c r="R824" s="251">
        <f>L824+O824</f>
        <v/>
      </c>
      <c r="S824" s="251">
        <f>Q824+P824</f>
        <v/>
      </c>
      <c r="T824" s="35">
        <f>voranmeldefrist_vierteljaehrlich(G824)</f>
        <v/>
      </c>
      <c r="U824" s="27" t="n"/>
      <c r="V824" s="27" t="n"/>
      <c r="W824" s="210">
        <f>IF(K824=TRUE,Q824/J824,Q824)</f>
        <v/>
      </c>
      <c r="X824" s="237">
        <f>V824/100*S824</f>
        <v/>
      </c>
      <c r="Y824">
        <f>IF(AND(V824&gt;0,N824=V824),TRUE,FALSE)</f>
        <v/>
      </c>
      <c r="Z824" s="228">
        <f>IF(C824="Einnahmen",Q824,-Q824)</f>
        <v/>
      </c>
      <c r="AB824">
        <f>S824=L824*(100+N824)%</f>
        <v/>
      </c>
    </row>
    <row r="825">
      <c r="A825" s="53" t="n">
        <v>2022</v>
      </c>
      <c r="B825" s="53" t="n">
        <v>159</v>
      </c>
      <c r="C825" s="71" t="inlineStr">
        <is>
          <t>Einnahmen</t>
        </is>
      </c>
      <c r="D825" t="inlineStr">
        <is>
          <t>Waren-/Leistungserlöse</t>
        </is>
      </c>
      <c r="E825" t="n">
        <v>168045568</v>
      </c>
      <c r="G825" s="1" t="n">
        <v>44848</v>
      </c>
      <c r="H825" t="inlineStr">
        <is>
          <t>Hays Österreich GmbH, Bahnhof City Wien West , Europaplatz 3/5, 1150 Wien</t>
        </is>
      </c>
      <c r="K825">
        <f>(IF(AND(I825&lt;&gt;"",AND(J825="",ABS(Q825)&gt;400)),TRUE,FALSE))</f>
        <v/>
      </c>
      <c r="L825" s="214" t="n">
        <v>20139</v>
      </c>
      <c r="M825" s="159" t="n">
        <v>1</v>
      </c>
      <c r="N825" t="n">
        <v>20</v>
      </c>
      <c r="O825" s="237">
        <f>L825*N825/100</f>
        <v/>
      </c>
      <c r="P825" s="237">
        <f>M825*O825</f>
        <v/>
      </c>
      <c r="Q825" s="208">
        <f>L825*M825</f>
        <v/>
      </c>
      <c r="R825" s="251">
        <f>L825+O825</f>
        <v/>
      </c>
      <c r="S825" s="251">
        <f>Q825+P825</f>
        <v/>
      </c>
      <c r="T825" s="35">
        <f>voranmeldefrist_vierteljaehrlich(G825)</f>
        <v/>
      </c>
      <c r="U825" s="27" t="n"/>
      <c r="V825" s="27" t="n"/>
      <c r="W825" s="210">
        <f>IF(K825=TRUE,Q825/J825,Q825)</f>
        <v/>
      </c>
      <c r="X825" s="237">
        <f>V825/100*S825</f>
        <v/>
      </c>
      <c r="Y825">
        <f>IF(AND(V825&gt;0,N825=V825),TRUE,FALSE)</f>
        <v/>
      </c>
      <c r="Z825" s="228">
        <f>IF(C825="Einnahmen",Q825,-Q825)</f>
        <v/>
      </c>
      <c r="AB825">
        <f>S825=L825*(100+N825)%</f>
        <v/>
      </c>
    </row>
    <row r="826">
      <c r="A826" s="53" t="n">
        <v>2022</v>
      </c>
      <c r="B826" s="53" t="n">
        <v>160</v>
      </c>
      <c r="C826" s="71" t="inlineStr">
        <is>
          <t>Ausgaben</t>
        </is>
      </c>
      <c r="D826" t="inlineStr">
        <is>
          <t>Personalaufwand</t>
        </is>
      </c>
      <c r="E826" s="9" t="inlineStr">
        <is>
          <t>siehe 2022-140</t>
        </is>
      </c>
      <c r="G826" s="1" t="n">
        <v>44851</v>
      </c>
      <c r="H826" t="inlineStr">
        <is>
          <t>Honorar Eva Jaros-Kolbitsch</t>
        </is>
      </c>
      <c r="K826">
        <f>(IF(AND(I826&lt;&gt;"",AND(J826="",ABS(Q826)&gt;400)),TRUE,FALSE))</f>
        <v/>
      </c>
      <c r="L826" s="214" t="n">
        <v>365</v>
      </c>
      <c r="M826" s="159" t="n">
        <v>1</v>
      </c>
      <c r="N826" t="n">
        <v>0</v>
      </c>
      <c r="O826" s="237">
        <f>L826*N826/100</f>
        <v/>
      </c>
      <c r="P826" s="237">
        <f>M826*O826</f>
        <v/>
      </c>
      <c r="Q826" s="208">
        <f>L826*M826</f>
        <v/>
      </c>
      <c r="R826" s="251">
        <f>L826+O826</f>
        <v/>
      </c>
      <c r="S826" s="251">
        <f>Q826+P826</f>
        <v/>
      </c>
      <c r="T826" s="35">
        <f>voranmeldefrist_vierteljaehrlich(G826)</f>
        <v/>
      </c>
      <c r="U826" s="27" t="n"/>
      <c r="V826" s="27" t="n"/>
      <c r="W826" s="210">
        <f>IF(K826=TRUE,Q826/J826,Q826)</f>
        <v/>
      </c>
      <c r="X826" s="237">
        <f>V826/100*S826</f>
        <v/>
      </c>
      <c r="Y826">
        <f>IF(AND(V826&gt;0,N826=V826),TRUE,FALSE)</f>
        <v/>
      </c>
      <c r="Z826" s="228">
        <f>IF(C826="Einnahmen",Q826,-Q826)</f>
        <v/>
      </c>
      <c r="AB826">
        <f>S826=L826*(100+N826)%</f>
        <v/>
      </c>
    </row>
    <row r="827">
      <c r="A827" s="53" t="n">
        <v>2022</v>
      </c>
      <c r="B827" s="53" t="n">
        <v>161</v>
      </c>
      <c r="C827" s="71" t="inlineStr">
        <is>
          <t>Ausgaben</t>
        </is>
      </c>
      <c r="D827" t="inlineStr">
        <is>
          <t>sonstige Betriebsausgaben</t>
        </is>
      </c>
      <c r="E827" s="6" t="n"/>
      <c r="G827" s="1" t="n">
        <v>44853</v>
      </c>
      <c r="H827" t="inlineStr">
        <is>
          <t>Microsoft Ireland Operations Ltd. One Microsoft Place, South County, Business Park, Leopardstown, Dublin 18, D18 P521, Ireland</t>
        </is>
      </c>
      <c r="K827">
        <f>(IF(AND(I827&lt;&gt;"",AND(J827="",ABS(Q827)&gt;400)),TRUE,FALSE))</f>
        <v/>
      </c>
      <c r="L827" s="214" t="n">
        <v>10.5</v>
      </c>
      <c r="M827" s="159" t="n">
        <v>1</v>
      </c>
      <c r="N827" t="n">
        <v>0</v>
      </c>
      <c r="O827" s="237">
        <f>L827*N827/100</f>
        <v/>
      </c>
      <c r="P827" s="237">
        <f>M827*O827</f>
        <v/>
      </c>
      <c r="Q827" s="208">
        <f>L827*M827</f>
        <v/>
      </c>
      <c r="R827" s="251">
        <f>L827+O827</f>
        <v/>
      </c>
      <c r="S827" s="251">
        <f>Q827+P827</f>
        <v/>
      </c>
      <c r="T827" s="35">
        <f>voranmeldefrist_vierteljaehrlich(G827)</f>
        <v/>
      </c>
      <c r="U827" s="27" t="n"/>
      <c r="V827" s="27" t="n">
        <v>20</v>
      </c>
      <c r="W827" s="210">
        <f>IF(K827=TRUE,Q827/J827,Q827)</f>
        <v/>
      </c>
      <c r="X827" s="237">
        <f>V827/100*S827</f>
        <v/>
      </c>
      <c r="Y827">
        <f>IF(AND(V827&gt;0,N827=V827),TRUE,FALSE)</f>
        <v/>
      </c>
      <c r="Z827" s="228">
        <f>IF(C827="Einnahmen",Q827,-Q827)</f>
        <v/>
      </c>
      <c r="AB827">
        <f>S827=L827*(100+N827)%</f>
        <v/>
      </c>
    </row>
    <row r="828">
      <c r="A828" s="53" t="n">
        <v>2022</v>
      </c>
      <c r="B828" s="53" t="n">
        <v>162</v>
      </c>
      <c r="C828" s="71" t="inlineStr">
        <is>
          <t>Ausgaben</t>
        </is>
      </c>
      <c r="D828" t="inlineStr">
        <is>
          <t>Telefon/Internet</t>
        </is>
      </c>
      <c r="E828" s="131" t="inlineStr">
        <is>
          <t>901154810922</t>
        </is>
      </c>
      <c r="G828" s="1" t="n">
        <v>44855</v>
      </c>
      <c r="H828" t="inlineStr">
        <is>
          <t>Magenta: T-Mobile Austria GmbH, A-1120 Wien, PF 47</t>
        </is>
      </c>
      <c r="K828">
        <f>(IF(AND(I828&lt;&gt;"",AND(J828="",ABS(Q828)&gt;400)),TRUE,FALSE))</f>
        <v/>
      </c>
      <c r="L828" s="214" t="n">
        <v>31.92</v>
      </c>
      <c r="M828" s="159" t="n">
        <v>1</v>
      </c>
      <c r="N828" t="n">
        <v>20</v>
      </c>
      <c r="O828" s="237">
        <f>L828*N828/100</f>
        <v/>
      </c>
      <c r="P828" s="237">
        <f>M828*O828</f>
        <v/>
      </c>
      <c r="Q828" s="208">
        <f>L828*M828</f>
        <v/>
      </c>
      <c r="R828" s="251">
        <f>L828+O828</f>
        <v/>
      </c>
      <c r="S828" s="251">
        <f>Q828+P828</f>
        <v/>
      </c>
      <c r="T828" s="35">
        <f>voranmeldefrist_vierteljaehrlich(G828)</f>
        <v/>
      </c>
      <c r="U828" s="27" t="n"/>
      <c r="V828" s="27" t="n"/>
      <c r="W828" s="210">
        <f>IF(K828=TRUE,Q828/I828,Q828)</f>
        <v/>
      </c>
      <c r="X828" s="237">
        <f>V828/100*S828</f>
        <v/>
      </c>
      <c r="Y828">
        <f>IF(AND(V828&gt;0,N828=V828),TRUE,FALSE)</f>
        <v/>
      </c>
      <c r="Z828" s="228">
        <f>IF(C828="Einnahmen",Q828,-Q828)</f>
        <v/>
      </c>
      <c r="AB828">
        <f>S828=L828*(100+N828)%</f>
        <v/>
      </c>
    </row>
    <row r="829">
      <c r="A829" s="53" t="n">
        <v>2022</v>
      </c>
      <c r="B829" s="53" t="n">
        <v>163</v>
      </c>
      <c r="C829" s="71" t="inlineStr">
        <is>
          <t>Ausgaben</t>
        </is>
      </c>
      <c r="D829" t="inlineStr">
        <is>
          <t>Büromaterial</t>
        </is>
      </c>
      <c r="G829" s="1" t="n">
        <v>44858</v>
      </c>
      <c r="H829" t="inlineStr">
        <is>
          <t>A.P. Handelsges.m.b.H., Absberggasse 29/6, 1100 Wien</t>
        </is>
      </c>
      <c r="K829" t="b">
        <v>0</v>
      </c>
      <c r="L829" s="214" t="n">
        <v>75</v>
      </c>
      <c r="M829" s="159" t="n">
        <v>1</v>
      </c>
      <c r="N829" t="n">
        <v>20</v>
      </c>
      <c r="O829" s="237">
        <f>L829*N829/100</f>
        <v/>
      </c>
      <c r="P829" s="237">
        <f>M829*O829</f>
        <v/>
      </c>
      <c r="Q829" s="208">
        <f>L829*M829</f>
        <v/>
      </c>
      <c r="R829" s="251">
        <f>L829+O829</f>
        <v/>
      </c>
      <c r="S829" s="251">
        <f>Q829+P829</f>
        <v/>
      </c>
      <c r="T829" s="35">
        <f>voranmeldefrist_vierteljaehrlich(G829)</f>
        <v/>
      </c>
      <c r="U829" s="27" t="n"/>
      <c r="V829" s="27" t="n"/>
      <c r="W829" s="210">
        <f>IF(K829=TRUE,Q829/I829,Q829)</f>
        <v/>
      </c>
      <c r="X829" s="237">
        <f>V829/100*S829</f>
        <v/>
      </c>
      <c r="Y829">
        <f>IF(AND(V829&gt;0,N829=V829),TRUE,FALSE)</f>
        <v/>
      </c>
      <c r="Z829" s="228">
        <f>IF(C829="Einnahmen",Q829,-Q829)</f>
        <v/>
      </c>
      <c r="AB829">
        <f>S829=L829*(100+N829)%</f>
        <v/>
      </c>
    </row>
    <row r="830">
      <c r="A830" s="53" t="n">
        <v>2022</v>
      </c>
      <c r="B830" s="53" t="n">
        <v>164</v>
      </c>
      <c r="C830" s="71" t="inlineStr">
        <is>
          <t>Ausgaben</t>
        </is>
      </c>
      <c r="D830" t="inlineStr">
        <is>
          <t>Büromaterial</t>
        </is>
      </c>
      <c r="E830" s="9" t="inlineStr">
        <is>
          <t>AT2KM5F3AEUI</t>
        </is>
      </c>
      <c r="G830" s="1" t="n">
        <v>44858</v>
      </c>
      <c r="H830" t="inlineStr">
        <is>
          <t>Amazon EU S. à r.l., 38 avenue John F. Kennedy, L-1855 Luxembourg: HJEU: DVI-HDMI, Logitech Maus</t>
        </is>
      </c>
      <c r="K830" t="b">
        <v>0</v>
      </c>
      <c r="L830" s="214" t="n">
        <v>8.16</v>
      </c>
      <c r="M830" s="159" t="n">
        <v>1</v>
      </c>
      <c r="N830" t="n">
        <v>20</v>
      </c>
      <c r="O830" s="237">
        <f>L830*N830/100</f>
        <v/>
      </c>
      <c r="P830" s="237">
        <f>M830*O830</f>
        <v/>
      </c>
      <c r="Q830" s="208">
        <f>L830*M830</f>
        <v/>
      </c>
      <c r="R830" s="251">
        <f>L830+O830</f>
        <v/>
      </c>
      <c r="S830" s="251">
        <f>Q830+P830</f>
        <v/>
      </c>
      <c r="T830" s="35">
        <f>voranmeldefrist_vierteljaehrlich(G830)</f>
        <v/>
      </c>
      <c r="U830" s="27" t="n"/>
      <c r="V830" s="27" t="n"/>
      <c r="W830" s="210">
        <f>IF(K830=TRUE,Q830/I830,Q830)</f>
        <v/>
      </c>
      <c r="X830" s="237">
        <f>V830/100*S830</f>
        <v/>
      </c>
      <c r="Y830">
        <f>IF(AND(V830&gt;0,N830=V830),TRUE,FALSE)</f>
        <v/>
      </c>
      <c r="Z830" s="228">
        <f>IF(C830="Einnahmen",Q830,-Q830)</f>
        <v/>
      </c>
      <c r="AB830">
        <f>S830=L830*(100+N830)%</f>
        <v/>
      </c>
    </row>
    <row r="831">
      <c r="A831" s="53" t="n">
        <v>2022</v>
      </c>
      <c r="B831" s="53" t="n">
        <v>165</v>
      </c>
      <c r="C831" s="71" t="inlineStr">
        <is>
          <t>Ausgaben</t>
        </is>
      </c>
      <c r="D831" t="inlineStr">
        <is>
          <t>Lizenzgebühren</t>
        </is>
      </c>
      <c r="G831" s="1" t="n">
        <v>44861</v>
      </c>
      <c r="H831" t="inlineStr">
        <is>
          <t>Adobe Systems Software Ireland Ltd., 4-6 Riverwalk, Citywest Business Park, Dublin 24, Ireland, VAT ID IE6364992H</t>
        </is>
      </c>
      <c r="K831" t="b">
        <v>0</v>
      </c>
      <c r="L831" s="214" t="n">
        <v>20.28</v>
      </c>
      <c r="M831" s="159" t="n">
        <v>1</v>
      </c>
      <c r="N831" t="n">
        <v>0</v>
      </c>
      <c r="O831" s="237">
        <f>L831*N831/100</f>
        <v/>
      </c>
      <c r="P831" s="237">
        <f>M831*O831</f>
        <v/>
      </c>
      <c r="Q831" s="208">
        <f>L831*M831</f>
        <v/>
      </c>
      <c r="R831" s="251">
        <f>L831+O831</f>
        <v/>
      </c>
      <c r="S831" s="251">
        <f>Q831+P831</f>
        <v/>
      </c>
      <c r="T831" s="35">
        <f>voranmeldefrist_vierteljaehrlich(G831)</f>
        <v/>
      </c>
      <c r="U831" s="27" t="n"/>
      <c r="V831" s="27" t="n">
        <v>20</v>
      </c>
      <c r="W831" s="210">
        <f>IF(K831=TRUE,Q831/J831,Q831)</f>
        <v/>
      </c>
      <c r="X831" s="237">
        <f>V831/100*S831</f>
        <v/>
      </c>
      <c r="Y831">
        <f>IF(AND(V831&gt;0,N831=V831),TRUE,FALSE)</f>
        <v/>
      </c>
      <c r="Z831" s="228">
        <f>IF(C831="Einnahmen",Q831,-Q831)</f>
        <v/>
      </c>
      <c r="AB831">
        <f>S831=L831*(100+N831)%</f>
        <v/>
      </c>
    </row>
    <row r="832">
      <c r="A832" s="53" t="n">
        <v>2022</v>
      </c>
      <c r="B832" s="53" t="n">
        <v>166</v>
      </c>
      <c r="C832" s="71" t="inlineStr">
        <is>
          <t>Ausgaben</t>
        </is>
      </c>
      <c r="D832" t="inlineStr">
        <is>
          <t>Telefon/Internet</t>
        </is>
      </c>
      <c r="G832" s="1" t="n">
        <v>44867</v>
      </c>
      <c r="H832" t="inlineStr">
        <is>
          <t>Hutchison Drei Austria GmbH, Brünner Straße 52, 1210 Wien, Österreich</t>
        </is>
      </c>
      <c r="K832">
        <f>(IF(AND(I832&lt;&gt;"",AND(J832="",ABS(Q832)&gt;400)),TRUE,FALSE))</f>
        <v/>
      </c>
      <c r="L832" s="214" t="n">
        <v>15</v>
      </c>
      <c r="M832" s="159" t="n">
        <v>1</v>
      </c>
      <c r="N832" t="n">
        <v>20</v>
      </c>
      <c r="O832" s="237">
        <f>L832*N832/100</f>
        <v/>
      </c>
      <c r="P832" s="237">
        <f>M832*O832</f>
        <v/>
      </c>
      <c r="Q832" s="208">
        <f>L832*M832</f>
        <v/>
      </c>
      <c r="R832" s="251">
        <f>L832+O832</f>
        <v/>
      </c>
      <c r="S832" s="251">
        <f>Q832+P832</f>
        <v/>
      </c>
      <c r="T832" s="35">
        <f>voranmeldefrist_vierteljaehrlich(G832)</f>
        <v/>
      </c>
      <c r="U832" s="27" t="n"/>
      <c r="V832" s="27" t="n"/>
      <c r="W832" s="210">
        <f>IF(K832=TRUE,Q832/I832,Q832)</f>
        <v/>
      </c>
      <c r="X832" s="237">
        <f>V832/100*S832</f>
        <v/>
      </c>
      <c r="Y832">
        <f>IF(AND(V832&gt;0,N832=V832),TRUE,FALSE)</f>
        <v/>
      </c>
      <c r="Z832" s="228">
        <f>IF(C832="Einnahmen",Q832,-Q832)</f>
        <v/>
      </c>
      <c r="AB832">
        <f>S832=L832*(100+N832)%</f>
        <v/>
      </c>
    </row>
    <row r="833">
      <c r="A833" s="53" t="n">
        <v>2022</v>
      </c>
      <c r="B833" s="53" t="n">
        <v>167</v>
      </c>
      <c r="C833" s="71" t="inlineStr">
        <is>
          <t>Ausgaben</t>
        </is>
      </c>
      <c r="D833" t="inlineStr">
        <is>
          <t>Miet- und Pachtaufwand, Leasing</t>
        </is>
      </c>
      <c r="G833" s="1" t="n">
        <v>44867</v>
      </c>
      <c r="H833" t="inlineStr">
        <is>
          <t>Bontus Immobilienverwaltung GmbH, 1010 Wien, Franz Josefs Kai 65</t>
        </is>
      </c>
      <c r="K833" t="b">
        <v>0</v>
      </c>
      <c r="L833" s="214">
        <f>606.78/1.2</f>
        <v/>
      </c>
      <c r="M833" s="159" t="n">
        <v>1</v>
      </c>
      <c r="N833" t="n">
        <v>20</v>
      </c>
      <c r="O833" s="237">
        <f>L833*N833/100</f>
        <v/>
      </c>
      <c r="P833" s="237">
        <f>M833*O833</f>
        <v/>
      </c>
      <c r="Q833" s="208">
        <f>L833*M833</f>
        <v/>
      </c>
      <c r="R833" s="251">
        <f>L833+O833</f>
        <v/>
      </c>
      <c r="S833" s="251">
        <f>Q833+P833</f>
        <v/>
      </c>
      <c r="T833" s="35">
        <f>voranmeldefrist_vierteljaehrlich(G833)</f>
        <v/>
      </c>
      <c r="U833" s="27" t="n"/>
      <c r="V833" s="27" t="n"/>
      <c r="W833" s="210">
        <f>IF(K833=TRUE,Q833/J833,Q833)</f>
        <v/>
      </c>
      <c r="X833" s="237">
        <f>V833/100*S833</f>
        <v/>
      </c>
      <c r="Y833">
        <f>IF(AND(V833&gt;0,N833=V833),TRUE,FALSE)</f>
        <v/>
      </c>
      <c r="Z833" s="228">
        <f>IF(C833="Einnahmen",Q833,-Q833)</f>
        <v/>
      </c>
      <c r="AB833">
        <f>S833=L833*(100+N833)%</f>
        <v/>
      </c>
    </row>
    <row r="834">
      <c r="A834" s="53" t="n">
        <v>2022</v>
      </c>
      <c r="B834" s="53" t="n">
        <v>168</v>
      </c>
      <c r="C834" s="71" t="inlineStr">
        <is>
          <t>Ausgaben</t>
        </is>
      </c>
      <c r="D834" t="inlineStr">
        <is>
          <t>Reise- und Fahrtspesen inkl. Kilometergeld und Diäten</t>
        </is>
      </c>
      <c r="E834" s="131" t="n"/>
      <c r="G834" s="1" t="n">
        <v>44867</v>
      </c>
      <c r="H834" t="inlineStr">
        <is>
          <t>car2go Österreich GmbH, Hintere Zollamtstraße 9, 1030 Wien</t>
        </is>
      </c>
      <c r="K834" t="b">
        <v>0</v>
      </c>
      <c r="L834" s="214" t="n">
        <v>18.98</v>
      </c>
      <c r="M834" s="159" t="n">
        <v>1</v>
      </c>
      <c r="N834" t="n">
        <v>20</v>
      </c>
      <c r="O834" s="237">
        <f>L834*N834/100</f>
        <v/>
      </c>
      <c r="P834" s="237">
        <f>M834*O834</f>
        <v/>
      </c>
      <c r="Q834" s="208">
        <f>L834*M834</f>
        <v/>
      </c>
      <c r="R834" s="251">
        <f>L834+O834</f>
        <v/>
      </c>
      <c r="S834" s="251">
        <f>Q834+P834</f>
        <v/>
      </c>
      <c r="T834" s="35">
        <f>voranmeldefrist_vierteljaehrlich(G834)</f>
        <v/>
      </c>
      <c r="U834" s="27" t="n"/>
      <c r="V834" s="27" t="n"/>
      <c r="W834" s="210">
        <f>IF(K834=TRUE,Q834/J834,Q834)</f>
        <v/>
      </c>
      <c r="X834" s="237">
        <f>V834/100*S834</f>
        <v/>
      </c>
      <c r="Y834">
        <f>IF(AND(V834&gt;0,N834=V834),TRUE,FALSE)</f>
        <v/>
      </c>
      <c r="Z834" s="228">
        <f>IF(C834="Einnahmen",Q834,-Q834)</f>
        <v/>
      </c>
      <c r="AB834">
        <f>S834=L834*(100+N834)%</f>
        <v/>
      </c>
    </row>
    <row r="835">
      <c r="A835" s="53" t="n">
        <v>2022</v>
      </c>
      <c r="B835" s="53" t="n">
        <v>169</v>
      </c>
      <c r="C835" s="71" t="inlineStr">
        <is>
          <t>Ausgaben</t>
        </is>
      </c>
      <c r="D835" t="inlineStr">
        <is>
          <t>sonstige Betriebsausgaben</t>
        </is>
      </c>
      <c r="G835" s="1" t="n">
        <v>44867</v>
      </c>
      <c r="H835" t="inlineStr">
        <is>
          <t>Google Ireland Ltd, Gordon House, Barrow Street, Dublin 4, Ireland; VAT number: IE 6388047V</t>
        </is>
      </c>
      <c r="K835" t="b">
        <v>0</v>
      </c>
      <c r="L835" s="214" t="n">
        <v>9.359999999999999</v>
      </c>
      <c r="M835" s="159" t="n">
        <v>1</v>
      </c>
      <c r="N835" t="n">
        <v>0</v>
      </c>
      <c r="O835" s="237">
        <f>L835*N835/100</f>
        <v/>
      </c>
      <c r="P835" s="237">
        <f>M835*O835</f>
        <v/>
      </c>
      <c r="Q835" s="208">
        <f>L835*M835</f>
        <v/>
      </c>
      <c r="R835" s="251">
        <f>L835+O835</f>
        <v/>
      </c>
      <c r="S835" s="251">
        <f>Q835+P835</f>
        <v/>
      </c>
      <c r="T835" s="35">
        <f>voranmeldefrist_vierteljaehrlich(G835)</f>
        <v/>
      </c>
      <c r="U835" s="27" t="n"/>
      <c r="V835" s="27" t="n">
        <v>20</v>
      </c>
      <c r="W835" s="210">
        <f>IF(K835=TRUE,Q835/I835,Q835)</f>
        <v/>
      </c>
      <c r="X835" s="237">
        <f>V835/100*S835</f>
        <v/>
      </c>
      <c r="Y835">
        <f>IF(AND(V835&gt;0,N835=V835),TRUE,FALSE)</f>
        <v/>
      </c>
      <c r="Z835" s="228">
        <f>IF(C835="Einnahmen",Q835,-Q835)</f>
        <v/>
      </c>
      <c r="AB835">
        <f>S835=L835*(100+N835)%</f>
        <v/>
      </c>
    </row>
    <row r="836">
      <c r="A836" s="53" t="n">
        <v>2022</v>
      </c>
      <c r="B836" s="53" t="n">
        <v>170</v>
      </c>
      <c r="C836" s="71" t="inlineStr">
        <is>
          <t>Ausgaben</t>
        </is>
      </c>
      <c r="D836" t="inlineStr">
        <is>
          <t>Lizenzgebühren</t>
        </is>
      </c>
      <c r="G836" s="1" t="n">
        <v>44861</v>
      </c>
      <c r="H836" s="154" t="inlineStr">
        <is>
          <t>STORNIERT Adobe Systems Software Ireland Ltd., 4-6 Riverwalk, Citywest Business Park, Dublin 24, Ireland, VAT ID IE6364992H</t>
        </is>
      </c>
      <c r="L836" s="214" t="n">
        <v>20.28</v>
      </c>
      <c r="M836" s="159" t="n">
        <v>1</v>
      </c>
      <c r="N836" t="n">
        <v>0</v>
      </c>
      <c r="O836" s="237">
        <f>L836*N836/100</f>
        <v/>
      </c>
      <c r="P836" s="237">
        <f>M836*O836</f>
        <v/>
      </c>
      <c r="Q836" s="208">
        <f>L836*M836</f>
        <v/>
      </c>
      <c r="R836" s="251">
        <f>L836+O836</f>
        <v/>
      </c>
      <c r="S836" s="251">
        <f>Q836+P836</f>
        <v/>
      </c>
      <c r="T836" s="35">
        <f>voranmeldefrist_vierteljaehrlich(G836)</f>
        <v/>
      </c>
      <c r="U836" s="27" t="n"/>
      <c r="V836" s="27" t="n">
        <v>20</v>
      </c>
      <c r="W836" s="210">
        <f>IF(K836=TRUE,Q836/I836,Q836)</f>
        <v/>
      </c>
      <c r="X836" s="237">
        <f>V836/100*S836</f>
        <v/>
      </c>
      <c r="Y836">
        <f>IF(AND(V836&gt;0,N836=V836),TRUE,FALSE)</f>
        <v/>
      </c>
      <c r="Z836" s="228">
        <f>IF(C836="Einnahmen",Q836,-Q836)</f>
        <v/>
      </c>
      <c r="AB836">
        <f>S836=L836*(100+N836)%</f>
        <v/>
      </c>
    </row>
    <row r="837">
      <c r="A837" s="53" t="n">
        <v>2022</v>
      </c>
      <c r="B837" s="53" t="n">
        <v>171</v>
      </c>
      <c r="C837" s="71" t="inlineStr">
        <is>
          <t>Ausgaben</t>
        </is>
      </c>
      <c r="D837" t="inlineStr">
        <is>
          <t>Reise- und Fahrtspesen inkl. Kilometergeld und Diäten</t>
        </is>
      </c>
      <c r="G837" s="1" t="n">
        <v>44867</v>
      </c>
      <c r="H837" s="154" t="inlineStr">
        <is>
          <t>STORNIERT car2go Österreich GmbH, Hintere Zollamtstraße 9, 1030 Wien</t>
        </is>
      </c>
      <c r="L837" s="214" t="n">
        <v>18.98</v>
      </c>
      <c r="M837" s="159" t="n">
        <v>1</v>
      </c>
      <c r="N837" t="n">
        <v>20</v>
      </c>
      <c r="O837" s="237">
        <f>L837*N837/100</f>
        <v/>
      </c>
      <c r="P837" s="237">
        <f>M837*O837</f>
        <v/>
      </c>
      <c r="Q837" s="208">
        <f>L837*M837</f>
        <v/>
      </c>
      <c r="R837" s="251">
        <f>L837+O837</f>
        <v/>
      </c>
      <c r="S837" s="251">
        <f>Q837+P837</f>
        <v/>
      </c>
      <c r="T837" s="35">
        <f>voranmeldefrist_vierteljaehrlich(G837)</f>
        <v/>
      </c>
      <c r="U837" s="27" t="n"/>
      <c r="V837" s="27" t="n"/>
      <c r="W837" s="210">
        <f>IF(K837=TRUE,Q837/I837,Q837)</f>
        <v/>
      </c>
      <c r="X837" s="237">
        <f>V837/100*S837</f>
        <v/>
      </c>
      <c r="Y837">
        <f>IF(AND(V837&gt;0,N837=V837),TRUE,FALSE)</f>
        <v/>
      </c>
      <c r="Z837" s="228">
        <f>IF(C837="Einnahmen",Q837,-Q837)</f>
        <v/>
      </c>
      <c r="AB837">
        <f>S837=L837*(100+N837)%</f>
        <v/>
      </c>
    </row>
    <row r="838">
      <c r="A838" s="53" t="n">
        <v>2022</v>
      </c>
      <c r="B838" s="53" t="n">
        <v>172</v>
      </c>
      <c r="C838" s="71" t="inlineStr">
        <is>
          <t>Ausgaben</t>
        </is>
      </c>
      <c r="D838" t="inlineStr">
        <is>
          <t>sonstige Betriebsausgaben</t>
        </is>
      </c>
      <c r="G838" s="1" t="n">
        <v>44867</v>
      </c>
      <c r="H838" s="154" t="inlineStr">
        <is>
          <t>STORNIERT Google Ireland Ltd, Gordon House, Barrow Street, Dublin 4, Ireland; VAT number: IE 6388047V</t>
        </is>
      </c>
      <c r="L838" s="214" t="n">
        <v>9.359999999999999</v>
      </c>
      <c r="M838" s="159" t="n">
        <v>1</v>
      </c>
      <c r="N838" t="n">
        <v>0</v>
      </c>
      <c r="O838" s="237">
        <f>L838*N838/100</f>
        <v/>
      </c>
      <c r="P838" s="237">
        <f>M838*O838</f>
        <v/>
      </c>
      <c r="Q838" s="208">
        <f>L838*M838</f>
        <v/>
      </c>
      <c r="R838" s="251">
        <f>L838+O838</f>
        <v/>
      </c>
      <c r="S838" s="251">
        <f>Q838+P838</f>
        <v/>
      </c>
      <c r="T838" s="35">
        <f>voranmeldefrist_vierteljaehrlich(G838)</f>
        <v/>
      </c>
      <c r="U838" s="27" t="n"/>
      <c r="V838" s="27" t="n">
        <v>20</v>
      </c>
      <c r="W838" s="210">
        <f>IF(K838=TRUE,Q838/I838,Q838)</f>
        <v/>
      </c>
      <c r="X838" s="237">
        <f>V838/100*S838</f>
        <v/>
      </c>
      <c r="Y838">
        <f>IF(AND(V838&gt;0,N838=V838),TRUE,FALSE)</f>
        <v/>
      </c>
      <c r="Z838" s="228">
        <f>IF(C838="Einnahmen",Q838,-Q838)</f>
        <v/>
      </c>
      <c r="AB838">
        <f>S838=L838*(100+N838)%</f>
        <v/>
      </c>
    </row>
    <row r="839">
      <c r="A839" s="53" t="n">
        <v>2022</v>
      </c>
      <c r="B839" s="53" t="n">
        <v>173</v>
      </c>
      <c r="C839" s="71" t="inlineStr">
        <is>
          <t>Ausgaben</t>
        </is>
      </c>
      <c r="D839" t="inlineStr">
        <is>
          <t>Miet- und Pachtaufwand, Leasing</t>
        </is>
      </c>
      <c r="G839" s="1" t="n">
        <v>44867</v>
      </c>
      <c r="H839" s="154" t="inlineStr">
        <is>
          <t>STORNIERT Bontus Immobilienverwaltung GmbH, 1010 Wien, Franz Josefs Kai 65</t>
        </is>
      </c>
      <c r="L839" s="214">
        <f>606.78/1.2</f>
        <v/>
      </c>
      <c r="M839" s="159" t="n">
        <v>1</v>
      </c>
      <c r="N839" t="n">
        <v>20</v>
      </c>
      <c r="O839" s="237">
        <f>L839*N839/100</f>
        <v/>
      </c>
      <c r="P839" s="237">
        <f>M839*O839</f>
        <v/>
      </c>
      <c r="Q839" s="208">
        <f>L839*M839</f>
        <v/>
      </c>
      <c r="R839" s="251">
        <f>L839+O839</f>
        <v/>
      </c>
      <c r="S839" s="251">
        <f>Q839+P839</f>
        <v/>
      </c>
      <c r="T839" s="35">
        <f>voranmeldefrist_vierteljaehrlich(G839)</f>
        <v/>
      </c>
      <c r="U839" s="27" t="n"/>
      <c r="V839" s="27" t="n"/>
      <c r="W839" s="210">
        <f>IF(K839=TRUE,Q839/I839,Q839)</f>
        <v/>
      </c>
      <c r="X839" s="237">
        <f>V839/100*S839</f>
        <v/>
      </c>
      <c r="Y839">
        <f>IF(AND(V839&gt;0,N839=V839),TRUE,FALSE)</f>
        <v/>
      </c>
      <c r="Z839" s="228">
        <f>IF(C839="Einnahmen",Q839,-Q839)</f>
        <v/>
      </c>
      <c r="AB839">
        <f>S839=L839*(100+N839)%</f>
        <v/>
      </c>
    </row>
    <row r="840">
      <c r="A840" s="53" t="n">
        <v>2022</v>
      </c>
      <c r="B840" s="53" t="n">
        <v>174</v>
      </c>
      <c r="C840" s="71" t="inlineStr">
        <is>
          <t>Ausgaben</t>
        </is>
      </c>
      <c r="D840" t="inlineStr">
        <is>
          <t>Telefon/Internet</t>
        </is>
      </c>
      <c r="G840" s="1" t="n">
        <v>44867</v>
      </c>
      <c r="H840" s="154" t="inlineStr">
        <is>
          <t>STORNIERT Hutchison Drei Austria GmbH, Brünner Straße 52, 1210 Wien, Österreich</t>
        </is>
      </c>
      <c r="L840" s="214" t="n">
        <v>15</v>
      </c>
      <c r="M840" s="159" t="n">
        <v>1</v>
      </c>
      <c r="N840" t="n">
        <v>20</v>
      </c>
      <c r="O840" s="237">
        <f>L840*N840/100</f>
        <v/>
      </c>
      <c r="P840" s="237">
        <f>M840*O840</f>
        <v/>
      </c>
      <c r="Q840" s="208">
        <f>L840*M840</f>
        <v/>
      </c>
      <c r="R840" s="251">
        <f>L840+O840</f>
        <v/>
      </c>
      <c r="S840" s="251">
        <f>Q840+P840</f>
        <v/>
      </c>
      <c r="T840" s="35">
        <f>voranmeldefrist_vierteljaehrlich(G840)</f>
        <v/>
      </c>
      <c r="U840" s="27" t="n"/>
      <c r="V840" s="27" t="n"/>
      <c r="W840" s="210">
        <f>IF(K840=TRUE,Q840/I840,Q840)</f>
        <v/>
      </c>
      <c r="X840" s="237">
        <f>V840/100*S840</f>
        <v/>
      </c>
      <c r="Y840">
        <f>IF(AND(V840&gt;0,N840=V840),TRUE,FALSE)</f>
        <v/>
      </c>
      <c r="Z840" s="228">
        <f>IF(C840="Einnahmen",Q840,-Q840)</f>
        <v/>
      </c>
      <c r="AB840">
        <f>S840=L840*(100+N840)%</f>
        <v/>
      </c>
    </row>
    <row r="841">
      <c r="A841" s="53" t="n">
        <v>2022</v>
      </c>
      <c r="B841" s="53" t="n">
        <v>175</v>
      </c>
      <c r="C841" s="71" t="inlineStr">
        <is>
          <t>Ausgaben</t>
        </is>
      </c>
      <c r="D841" t="inlineStr">
        <is>
          <t>sonstige Betriebsausgaben</t>
        </is>
      </c>
      <c r="E841" s="153" t="inlineStr">
        <is>
          <t>siehe Jahresabrechnung</t>
        </is>
      </c>
      <c r="G841" s="1" t="n">
        <v>44869</v>
      </c>
      <c r="H841" t="inlineStr">
        <is>
          <t>go green energy GmbH &amp; Co KG</t>
        </is>
      </c>
      <c r="K841">
        <f>(IF(AND(I841&lt;&gt;"",AND(J841="",ABS(Q841)&gt;400)),TRUE,FALSE))</f>
        <v/>
      </c>
      <c r="L841" s="214" t="n">
        <v>2.5</v>
      </c>
      <c r="M841" s="159" t="n">
        <v>1</v>
      </c>
      <c r="N841" t="n">
        <v>20</v>
      </c>
      <c r="O841" s="237">
        <f>L841*N841/100</f>
        <v/>
      </c>
      <c r="P841" s="237">
        <f>M841*O841</f>
        <v/>
      </c>
      <c r="Q841" s="208">
        <f>L841*M841</f>
        <v/>
      </c>
      <c r="R841" s="251">
        <f>L841+O841</f>
        <v/>
      </c>
      <c r="S841" s="251">
        <f>Q841+P841</f>
        <v/>
      </c>
      <c r="T841" s="35">
        <f>voranmeldefrist_vierteljaehrlich(G841)</f>
        <v/>
      </c>
      <c r="U841" s="27" t="n"/>
      <c r="V841" s="27" t="n"/>
      <c r="W841" s="210">
        <f>IF(K841=TRUE,Q841/J841,Q841)</f>
        <v/>
      </c>
      <c r="X841" s="237">
        <f>V841/100*S841</f>
        <v/>
      </c>
      <c r="Y841">
        <f>IF(AND(V841&gt;0,N841=V841),TRUE,FALSE)</f>
        <v/>
      </c>
      <c r="Z841" s="228">
        <f>IF(C841="Einnahmen",Q841,-Q841)</f>
        <v/>
      </c>
      <c r="AB841">
        <f>S841=L841*(100+N841)%</f>
        <v/>
      </c>
    </row>
    <row r="842">
      <c r="A842" s="53" t="n">
        <v>2022</v>
      </c>
      <c r="B842" s="53" t="n">
        <v>176</v>
      </c>
      <c r="C842" s="71" t="inlineStr">
        <is>
          <t>Ausgaben</t>
        </is>
      </c>
      <c r="D842" t="inlineStr">
        <is>
          <t>Miet- und Pachtaufwand, Leasing</t>
        </is>
      </c>
      <c r="E842" s="61" t="inlineStr">
        <is>
          <t>BELEG FEHLT</t>
        </is>
      </c>
      <c r="G842" s="1" t="n">
        <v>44839</v>
      </c>
      <c r="H842" t="inlineStr">
        <is>
          <t>Techem Messtechnik GmbH; Abnehmernummer 501686-0003-11-</t>
        </is>
      </c>
      <c r="K842" t="b">
        <v>0</v>
      </c>
      <c r="L842" s="214" t="n">
        <v>122.6</v>
      </c>
      <c r="M842" s="159" t="n">
        <v>1</v>
      </c>
      <c r="N842" t="n">
        <v>20</v>
      </c>
      <c r="O842" s="237">
        <f>L842*N842/100</f>
        <v/>
      </c>
      <c r="P842" s="237">
        <f>M842*O842</f>
        <v/>
      </c>
      <c r="Q842" s="208">
        <f>L842*M842</f>
        <v/>
      </c>
      <c r="R842" s="251">
        <f>L842+O842</f>
        <v/>
      </c>
      <c r="S842" s="251">
        <f>Q842+P842</f>
        <v/>
      </c>
      <c r="T842" s="35">
        <f>voranmeldefrist_vierteljaehrlich(G842)</f>
        <v/>
      </c>
      <c r="U842" s="27" t="n"/>
      <c r="V842" s="27" t="n"/>
      <c r="W842" s="210">
        <f>IF(K842=TRUE,Q842/J842,Q842)</f>
        <v/>
      </c>
      <c r="X842" s="237">
        <f>V842/100*S842</f>
        <v/>
      </c>
      <c r="Y842">
        <f>IF(AND(V842&gt;0,N842=V842),TRUE,FALSE)</f>
        <v/>
      </c>
      <c r="Z842" s="228">
        <f>IF(C842="Einnahmen",Q842,-Q842)</f>
        <v/>
      </c>
      <c r="AB842">
        <f>S842=L842*(100+N842)%</f>
        <v/>
      </c>
    </row>
    <row r="843">
      <c r="A843" s="53" t="n">
        <v>2022</v>
      </c>
      <c r="B843" s="53" t="n">
        <v>177</v>
      </c>
      <c r="C843" s="71" t="inlineStr">
        <is>
          <t>Ausgaben</t>
        </is>
      </c>
      <c r="D843" t="inlineStr">
        <is>
          <t>Büromaterial</t>
        </is>
      </c>
      <c r="E843" s="9" t="inlineStr">
        <is>
          <t>AT2LV7IUAEUI</t>
        </is>
      </c>
      <c r="G843" s="1" t="n">
        <v>44875</v>
      </c>
      <c r="H843" t="inlineStr">
        <is>
          <t>Amazon EU S. à r.l., 38 avenue John F. Kennedy, L-1855 Luxembourg: HJEU: DVI-HDMI, Logitech Maus</t>
        </is>
      </c>
      <c r="K843" t="b">
        <v>0</v>
      </c>
      <c r="L843" s="214">
        <f>10.32/1.2</f>
        <v/>
      </c>
      <c r="M843" s="159" t="n">
        <v>1</v>
      </c>
      <c r="N843" t="n">
        <v>20</v>
      </c>
      <c r="O843" s="237">
        <f>L843*N843/100</f>
        <v/>
      </c>
      <c r="P843" s="237">
        <f>M843*O843</f>
        <v/>
      </c>
      <c r="Q843" s="208">
        <f>L843*M843</f>
        <v/>
      </c>
      <c r="R843" s="251">
        <f>L843+O843</f>
        <v/>
      </c>
      <c r="S843" s="251">
        <f>Q843+P843</f>
        <v/>
      </c>
      <c r="T843" s="35">
        <f>voranmeldefrist_vierteljaehrlich(G843)</f>
        <v/>
      </c>
      <c r="U843" s="27" t="n"/>
      <c r="V843" s="27" t="n"/>
      <c r="W843" s="210">
        <f>IF(K843=TRUE,Q843/J843,Q843)</f>
        <v/>
      </c>
      <c r="X843" s="237">
        <f>V843/100*S843</f>
        <v/>
      </c>
      <c r="Y843">
        <f>IF(AND(V843&gt;0,N843=V843),TRUE,FALSE)</f>
        <v/>
      </c>
      <c r="Z843" s="228">
        <f>IF(C843="Einnahmen",Q843,-Q843)</f>
        <v/>
      </c>
      <c r="AB843">
        <f>S843=L843*(100+N843)%</f>
        <v/>
      </c>
    </row>
    <row r="844">
      <c r="A844" s="53" t="n">
        <v>2022</v>
      </c>
      <c r="B844" s="53" t="n">
        <v>178</v>
      </c>
      <c r="C844" s="71" t="inlineStr">
        <is>
          <t>Ausgaben</t>
        </is>
      </c>
      <c r="D844" t="inlineStr">
        <is>
          <t>sonstige Betriebsausgaben</t>
        </is>
      </c>
      <c r="G844" s="1" t="n">
        <v>44876</v>
      </c>
      <c r="H844" t="inlineStr">
        <is>
          <t>Hetzner Online GmbH</t>
        </is>
      </c>
      <c r="K844">
        <f>(IF(AND(I844&lt;&gt;"",AND(J844="",ABS(Q844)&gt;400)),TRUE,FALSE))</f>
        <v/>
      </c>
      <c r="L844" s="214" t="n">
        <v>47.7765</v>
      </c>
      <c r="M844" s="159" t="n">
        <v>1</v>
      </c>
      <c r="N844" t="n">
        <v>0</v>
      </c>
      <c r="O844" s="237">
        <f>L844*N844/100</f>
        <v/>
      </c>
      <c r="P844" s="237">
        <f>M844*O844</f>
        <v/>
      </c>
      <c r="Q844" s="208">
        <f>L844*M844</f>
        <v/>
      </c>
      <c r="R844" s="251">
        <f>L844+O844</f>
        <v/>
      </c>
      <c r="S844" s="251">
        <f>Q844+P844</f>
        <v/>
      </c>
      <c r="T844" s="35">
        <f>voranmeldefrist_vierteljaehrlich(G844)</f>
        <v/>
      </c>
      <c r="U844" s="27" t="n"/>
      <c r="V844" s="27" t="n">
        <v>20</v>
      </c>
      <c r="W844" s="210">
        <f>IF(K844=TRUE,Q844/J844,Q844)</f>
        <v/>
      </c>
      <c r="X844" s="237">
        <f>V844/100*S844</f>
        <v/>
      </c>
      <c r="Y844">
        <f>IF(AND(V844&gt;0,N844=V844),TRUE,FALSE)</f>
        <v/>
      </c>
      <c r="Z844" s="228">
        <f>IF(C844="Einnahmen",Q844,-Q844)</f>
        <v/>
      </c>
      <c r="AB844">
        <f>S844=L844*(100+N844)%</f>
        <v/>
      </c>
    </row>
    <row r="845">
      <c r="A845" s="53" t="n">
        <v>2022</v>
      </c>
      <c r="B845" s="53" t="n">
        <v>179</v>
      </c>
      <c r="C845" s="71" t="inlineStr">
        <is>
          <t>Ausgaben</t>
        </is>
      </c>
      <c r="D845" t="inlineStr">
        <is>
          <t>Personalaufwand</t>
        </is>
      </c>
      <c r="E845" s="9" t="inlineStr">
        <is>
          <t>siehe 2022-140</t>
        </is>
      </c>
      <c r="G845" s="1" t="n">
        <v>44880</v>
      </c>
      <c r="H845" t="inlineStr">
        <is>
          <t>Honorar Eva Jaros-Kolbitsch</t>
        </is>
      </c>
      <c r="K845">
        <f>(IF(AND(I845&lt;&gt;"",AND(J845="",ABS(Q845)&gt;400)),TRUE,FALSE))</f>
        <v/>
      </c>
      <c r="L845" s="214" t="n">
        <v>365</v>
      </c>
      <c r="M845" s="159" t="n">
        <v>1</v>
      </c>
      <c r="N845" t="n">
        <v>0</v>
      </c>
      <c r="O845" s="237">
        <f>L845*N845/100</f>
        <v/>
      </c>
      <c r="P845" s="237">
        <f>M845*O845</f>
        <v/>
      </c>
      <c r="Q845" s="208">
        <f>L845*M845</f>
        <v/>
      </c>
      <c r="R845" s="251">
        <f>L845+O845</f>
        <v/>
      </c>
      <c r="S845" s="251">
        <f>Q845+P845</f>
        <v/>
      </c>
      <c r="T845" s="35">
        <f>voranmeldefrist_vierteljaehrlich(G845)</f>
        <v/>
      </c>
      <c r="U845" s="27" t="n"/>
      <c r="V845" s="27" t="n"/>
      <c r="W845" s="210">
        <f>IF(K845=TRUE,Q845/J845,Q845)</f>
        <v/>
      </c>
      <c r="X845" s="237">
        <f>V845/100*S845</f>
        <v/>
      </c>
      <c r="Y845">
        <f>IF(AND(V845&gt;0,N845=V845),TRUE,FALSE)</f>
        <v/>
      </c>
      <c r="Z845" s="228">
        <f>IF(C845="Einnahmen",Q845,-Q845)</f>
        <v/>
      </c>
      <c r="AB845">
        <f>S845=L845*(100+N845)%</f>
        <v/>
      </c>
    </row>
    <row r="846">
      <c r="A846" s="53" t="n">
        <v>2022</v>
      </c>
      <c r="B846" s="53" t="n">
        <v>180</v>
      </c>
      <c r="C846" s="71" t="inlineStr">
        <is>
          <t>Einnahmen</t>
        </is>
      </c>
      <c r="D846" t="inlineStr">
        <is>
          <t>Waren-/Leistungserlöse</t>
        </is>
      </c>
      <c r="E846" t="n">
        <v>168046160</v>
      </c>
      <c r="G846" s="1" t="n">
        <v>44882</v>
      </c>
      <c r="H846" t="inlineStr">
        <is>
          <t>Hays Österreich GmbH, Bahnhof City Wien West , Europaplatz 3/5, 1150 Wien</t>
        </is>
      </c>
      <c r="K846">
        <f>(IF(AND(I846&lt;&gt;"",AND(J846="",ABS(Q846)&gt;400)),TRUE,FALSE))</f>
        <v/>
      </c>
      <c r="L846" s="214">
        <f>15141</f>
        <v/>
      </c>
      <c r="M846" s="159" t="n">
        <v>1</v>
      </c>
      <c r="N846" t="n">
        <v>20</v>
      </c>
      <c r="O846" s="237">
        <f>L846*N846/100</f>
        <v/>
      </c>
      <c r="P846" s="237">
        <f>M846*O846</f>
        <v/>
      </c>
      <c r="Q846" s="208">
        <f>L846*M846</f>
        <v/>
      </c>
      <c r="R846" s="251">
        <f>L846+O846</f>
        <v/>
      </c>
      <c r="S846" s="251">
        <f>Q846+P846</f>
        <v/>
      </c>
      <c r="T846" s="35">
        <f>voranmeldefrist_vierteljaehrlich(G846)</f>
        <v/>
      </c>
      <c r="U846" s="27" t="n"/>
      <c r="V846" s="27" t="n"/>
      <c r="W846" s="210">
        <f>IF(K846=TRUE,Q846/J846,Q846)</f>
        <v/>
      </c>
      <c r="X846" s="237">
        <f>V846/100*S846</f>
        <v/>
      </c>
      <c r="Y846">
        <f>IF(AND(V846&gt;0,N846=V846),TRUE,FALSE)</f>
        <v/>
      </c>
      <c r="Z846" s="228">
        <f>IF(C846="Einnahmen",Q846,-Q846)</f>
        <v/>
      </c>
      <c r="AB846">
        <f>S846=L846*(100+N846)%</f>
        <v/>
      </c>
    </row>
    <row r="847">
      <c r="A847" s="53" t="n">
        <v>2022</v>
      </c>
      <c r="B847" s="53" t="n">
        <v>181</v>
      </c>
      <c r="C847" s="71" t="inlineStr">
        <is>
          <t>Ausgaben</t>
        </is>
      </c>
      <c r="D847" t="inlineStr">
        <is>
          <t>Lizenzgebühren</t>
        </is>
      </c>
      <c r="E847" s="9" t="inlineStr">
        <is>
          <t>22542072</t>
        </is>
      </c>
      <c r="G847" s="1" t="n">
        <v>44886</v>
      </c>
      <c r="H847" t="inlineStr">
        <is>
          <t>Sketchup 1Y</t>
        </is>
      </c>
      <c r="K847">
        <f>(IF(AND(I847&lt;&gt;"",AND(J847="",ABS(Q847)&gt;400)),TRUE,FALSE))</f>
        <v/>
      </c>
      <c r="L847" s="214" t="n">
        <v>285</v>
      </c>
      <c r="M847" s="159" t="n">
        <v>1</v>
      </c>
      <c r="N847" t="n">
        <v>0</v>
      </c>
      <c r="O847" s="237">
        <f>L847*N847/100</f>
        <v/>
      </c>
      <c r="P847" s="237">
        <f>M847*O847</f>
        <v/>
      </c>
      <c r="Q847" s="208">
        <f>L847*M847</f>
        <v/>
      </c>
      <c r="R847" s="251">
        <f>L847+O847</f>
        <v/>
      </c>
      <c r="S847" s="251">
        <f>Q847+P847</f>
        <v/>
      </c>
      <c r="T847" s="35">
        <f>voranmeldefrist_vierteljaehrlich(G847)</f>
        <v/>
      </c>
      <c r="U847" s="27" t="n"/>
      <c r="V847" s="27" t="n">
        <v>20</v>
      </c>
      <c r="W847" s="210">
        <f>IF(K847=TRUE,Q847/J847,Q847)</f>
        <v/>
      </c>
      <c r="X847" s="237">
        <f>V847/100*S847</f>
        <v/>
      </c>
      <c r="Y847">
        <f>IF(AND(V847&gt;0,N847=V847),TRUE,FALSE)</f>
        <v/>
      </c>
      <c r="Z847" s="228">
        <f>IF(C847="Einnahmen",Q847,-Q847)</f>
        <v/>
      </c>
      <c r="AB847">
        <f>S847=L847*(100+N847)%</f>
        <v/>
      </c>
    </row>
    <row r="848">
      <c r="A848" s="53" t="n">
        <v>2022</v>
      </c>
      <c r="B848" s="53" t="n">
        <v>182</v>
      </c>
      <c r="C848" s="71" t="inlineStr">
        <is>
          <t>Ausgaben</t>
        </is>
      </c>
      <c r="D848" t="inlineStr">
        <is>
          <t>sonstige Betriebsausgaben</t>
        </is>
      </c>
      <c r="E848" s="6" t="n"/>
      <c r="G848" s="1" t="n">
        <v>44884</v>
      </c>
      <c r="H848" t="inlineStr">
        <is>
          <t>Microsoft Ireland Operations Ltd. One Microsoft Place, South County, Business Park, Leopardstown, Dublin 18, D18 P521, Ireland</t>
        </is>
      </c>
      <c r="K848">
        <f>(IF(AND(I848&lt;&gt;"",AND(J848="",ABS(Q848)&gt;400)),TRUE,FALSE))</f>
        <v/>
      </c>
      <c r="L848" s="214" t="n">
        <v>10.5</v>
      </c>
      <c r="M848" s="159" t="n">
        <v>1</v>
      </c>
      <c r="N848" t="n">
        <v>0</v>
      </c>
      <c r="O848" s="237">
        <f>L848*N848/100</f>
        <v/>
      </c>
      <c r="P848" s="237">
        <f>M848*O848</f>
        <v/>
      </c>
      <c r="Q848" s="208">
        <f>L848*M848</f>
        <v/>
      </c>
      <c r="R848" s="251">
        <f>L848+O848</f>
        <v/>
      </c>
      <c r="S848" s="251">
        <f>Q848+P848</f>
        <v/>
      </c>
      <c r="T848" s="35">
        <f>voranmeldefrist_vierteljaehrlich(G848)</f>
        <v/>
      </c>
      <c r="U848" s="27" t="n"/>
      <c r="V848" s="27" t="n">
        <v>20</v>
      </c>
      <c r="W848" s="210">
        <f>IF(K848=TRUE,Q848/J848,Q848)</f>
        <v/>
      </c>
      <c r="X848" s="237">
        <f>V848/100*S848</f>
        <v/>
      </c>
      <c r="Y848">
        <f>IF(AND(V848&gt;0,N848=V848),TRUE,FALSE)</f>
        <v/>
      </c>
      <c r="Z848" s="228">
        <f>IF(C848="Einnahmen",Q848,-Q848)</f>
        <v/>
      </c>
      <c r="AB848">
        <f>S848=L848*(100+N848)%</f>
        <v/>
      </c>
    </row>
    <row r="849">
      <c r="A849" s="53" t="n">
        <v>2022</v>
      </c>
      <c r="B849" s="53" t="n">
        <v>183</v>
      </c>
      <c r="C849" s="71" t="inlineStr">
        <is>
          <t>Ausgaben</t>
        </is>
      </c>
      <c r="D849" t="inlineStr">
        <is>
          <t>Telefon/Internet</t>
        </is>
      </c>
      <c r="E849" s="131" t="inlineStr">
        <is>
          <t>901150331122</t>
        </is>
      </c>
      <c r="G849" s="1" t="n">
        <v>44887</v>
      </c>
      <c r="H849" t="inlineStr">
        <is>
          <t>Magenta: T-Mobile Austria GmbH, A-1120 Wien, PF 47</t>
        </is>
      </c>
      <c r="K849">
        <f>(IF(AND(I849&lt;&gt;"",AND(J849="",ABS(Q849)&gt;400)),TRUE,FALSE))</f>
        <v/>
      </c>
      <c r="L849" s="214" t="n">
        <v>31.92</v>
      </c>
      <c r="M849" s="159" t="n">
        <v>1</v>
      </c>
      <c r="N849" t="n">
        <v>20</v>
      </c>
      <c r="O849" s="237">
        <f>L849*N849/100</f>
        <v/>
      </c>
      <c r="P849" s="237">
        <f>M849*O849</f>
        <v/>
      </c>
      <c r="Q849" s="208">
        <f>L849*M849</f>
        <v/>
      </c>
      <c r="R849" s="251">
        <f>L849+O849</f>
        <v/>
      </c>
      <c r="S849" s="251">
        <f>Q849+P849</f>
        <v/>
      </c>
      <c r="T849" s="35">
        <f>voranmeldefrist_vierteljaehrlich(G849)</f>
        <v/>
      </c>
      <c r="U849" s="27" t="n"/>
      <c r="V849" s="27" t="n"/>
      <c r="W849" s="210">
        <f>IF(K849=TRUE,Q849/I849,Q849)</f>
        <v/>
      </c>
      <c r="X849" s="237">
        <f>V849/100*S849</f>
        <v/>
      </c>
      <c r="Y849">
        <f>IF(AND(V849&gt;0,N849=V849),TRUE,FALSE)</f>
        <v/>
      </c>
      <c r="Z849" s="228">
        <f>IF(C849="Einnahmen",Q849,-Q849)</f>
        <v/>
      </c>
      <c r="AB849">
        <f>S849=L849*(100+N849)%</f>
        <v/>
      </c>
    </row>
    <row r="850">
      <c r="A850" s="53" t="n">
        <v>2022</v>
      </c>
      <c r="B850" s="53" t="n">
        <v>184</v>
      </c>
      <c r="C850" s="71" t="inlineStr">
        <is>
          <t>Ausgaben</t>
        </is>
      </c>
      <c r="D850" t="inlineStr">
        <is>
          <t>Waren, Rohstoffe, Hilfsstoffe</t>
        </is>
      </c>
      <c r="G850" s="1" t="n">
        <v>44887</v>
      </c>
      <c r="H850" t="inlineStr">
        <is>
          <t>Lemon Technologies GmbH, Unterweißenbach 181, 7330 Feldbach: Bildschirm</t>
        </is>
      </c>
      <c r="K850">
        <f>(IF(AND(I850&lt;&gt;"",AND(J850="",ABS(Q850)&gt;400)),TRUE,FALSE))</f>
        <v/>
      </c>
      <c r="L850" s="214" t="n">
        <v>44.79</v>
      </c>
      <c r="M850" s="159" t="n">
        <v>1</v>
      </c>
      <c r="N850" t="n">
        <v>20</v>
      </c>
      <c r="O850" s="237">
        <f>L850*N850/100</f>
        <v/>
      </c>
      <c r="P850" s="237">
        <f>M850*O850</f>
        <v/>
      </c>
      <c r="Q850" s="208">
        <f>L850*M850</f>
        <v/>
      </c>
      <c r="R850" s="251">
        <f>L850+O850</f>
        <v/>
      </c>
      <c r="S850" s="251">
        <f>Q850+P850</f>
        <v/>
      </c>
      <c r="T850" s="35">
        <f>voranmeldefrist_vierteljaehrlich(G850)</f>
        <v/>
      </c>
      <c r="U850" s="27" t="n"/>
      <c r="V850" s="27" t="n"/>
      <c r="W850" s="210">
        <f>IF(K850=TRUE,Q850/I850,Q850)</f>
        <v/>
      </c>
      <c r="X850" s="237">
        <f>V850/100*S850</f>
        <v/>
      </c>
      <c r="Y850">
        <f>IF(AND(V850&gt;0,N850=V850),TRUE,FALSE)</f>
        <v/>
      </c>
      <c r="Z850" s="228">
        <f>IF(C850="Einnahmen",Q850,-Q850)</f>
        <v/>
      </c>
      <c r="AB850">
        <f>S850=L850*(100+N850)%</f>
        <v/>
      </c>
    </row>
    <row r="851">
      <c r="A851" s="53" t="n">
        <v>2022</v>
      </c>
      <c r="B851" s="53" t="n">
        <v>185</v>
      </c>
      <c r="C851" s="71" t="inlineStr">
        <is>
          <t>Ausgaben</t>
        </is>
      </c>
      <c r="D851" t="inlineStr">
        <is>
          <t>Pflichversicherungsbeiträge</t>
        </is>
      </c>
      <c r="E851" s="9" t="inlineStr">
        <is>
          <t>1561270283</t>
        </is>
      </c>
      <c r="G851" s="1" t="n">
        <v>44894</v>
      </c>
      <c r="H851" t="inlineStr">
        <is>
          <t>Sozialversicherung der gewerblichen Wirtshaft</t>
        </is>
      </c>
      <c r="K851">
        <f>(IF(AND(I851&lt;&gt;"",AND(J851="",ABS(Q851)&gt;400)),TRUE,FALSE))</f>
        <v/>
      </c>
      <c r="L851" s="214" t="n">
        <v>5683.5</v>
      </c>
      <c r="M851" s="159" t="n">
        <v>1</v>
      </c>
      <c r="N851" t="n">
        <v>0</v>
      </c>
      <c r="O851" s="237">
        <f>L851*N851/100</f>
        <v/>
      </c>
      <c r="P851" s="237">
        <f>M851*O851</f>
        <v/>
      </c>
      <c r="Q851" s="208">
        <f>L851*M851</f>
        <v/>
      </c>
      <c r="R851" s="251">
        <f>L851+O851</f>
        <v/>
      </c>
      <c r="S851" s="251">
        <f>Q851+P851</f>
        <v/>
      </c>
      <c r="T851" s="35">
        <f>voranmeldefrist_vierteljaehrlich(G851)</f>
        <v/>
      </c>
      <c r="U851" s="27" t="n"/>
      <c r="V851" s="27" t="n"/>
      <c r="W851" s="210">
        <f>IF(K851=TRUE,Q851/J851,Q851)</f>
        <v/>
      </c>
      <c r="X851" s="237">
        <f>V851/100*S851</f>
        <v/>
      </c>
      <c r="Y851">
        <f>IF(AND(V851&gt;0,N851=V851),TRUE,FALSE)</f>
        <v/>
      </c>
      <c r="Z851" s="228">
        <f>IF(C851="Einnahmen",Q851,-Q851)</f>
        <v/>
      </c>
      <c r="AB851">
        <f>S851=L851*(100+N851)%</f>
        <v/>
      </c>
    </row>
    <row r="852">
      <c r="A852" s="53" t="n">
        <v>2022</v>
      </c>
      <c r="B852" s="53" t="n">
        <v>186</v>
      </c>
      <c r="C852" s="71" t="inlineStr">
        <is>
          <t>Ausgaben</t>
        </is>
      </c>
      <c r="D852" t="inlineStr">
        <is>
          <t>Miet- und Pachtaufwand, Leasing</t>
        </is>
      </c>
      <c r="G852" s="1" t="n">
        <v>44896</v>
      </c>
      <c r="H852" t="inlineStr">
        <is>
          <t>Bontus Immobilienverwaltung GmbH, 1010 Wien, Franz Josefs Kai 65</t>
        </is>
      </c>
      <c r="K852" t="b">
        <v>0</v>
      </c>
      <c r="L852" s="214">
        <f>606.78/1.2</f>
        <v/>
      </c>
      <c r="M852" s="159" t="n">
        <v>1</v>
      </c>
      <c r="N852" t="n">
        <v>20</v>
      </c>
      <c r="O852" s="237">
        <f>L852*N852/100</f>
        <v/>
      </c>
      <c r="P852" s="237">
        <f>M852*O852</f>
        <v/>
      </c>
      <c r="Q852" s="208">
        <f>L852*M852</f>
        <v/>
      </c>
      <c r="R852" s="251">
        <f>L852+O852</f>
        <v/>
      </c>
      <c r="S852" s="251">
        <f>Q852+P852</f>
        <v/>
      </c>
      <c r="T852" s="35">
        <f>voranmeldefrist_vierteljaehrlich(G852)</f>
        <v/>
      </c>
      <c r="U852" s="27" t="n"/>
      <c r="V852" s="27" t="n"/>
      <c r="W852" s="210">
        <f>IF(K852=TRUE,Q852/J852,Q852)</f>
        <v/>
      </c>
      <c r="X852" s="237">
        <f>V852/100*S852</f>
        <v/>
      </c>
      <c r="Y852">
        <f>IF(AND(V852&gt;0,N852=V852),TRUE,FALSE)</f>
        <v/>
      </c>
      <c r="Z852" s="228">
        <f>IF(C852="Einnahmen",Q852,-Q852)</f>
        <v/>
      </c>
      <c r="AB852">
        <f>S852=L852*(100+N852)%</f>
        <v/>
      </c>
    </row>
    <row r="853">
      <c r="A853" s="53" t="n">
        <v>2022</v>
      </c>
      <c r="B853" s="53" t="n">
        <v>187</v>
      </c>
      <c r="C853" s="71" t="inlineStr">
        <is>
          <t>Ausgaben</t>
        </is>
      </c>
      <c r="D853" t="inlineStr">
        <is>
          <t>Reise- und Fahrtspesen inkl. Kilometergeld und Diäten</t>
        </is>
      </c>
      <c r="E853" s="131" t="n"/>
      <c r="G853" s="1" t="n">
        <v>44897</v>
      </c>
      <c r="H853" t="inlineStr">
        <is>
          <t>car2go Österreich GmbH, Hintere Zollamtstraße 9, 1030 Wien</t>
        </is>
      </c>
      <c r="K853" t="b">
        <v>0</v>
      </c>
      <c r="L853" s="214" t="n">
        <v>10.12</v>
      </c>
      <c r="M853" s="159" t="n">
        <v>1</v>
      </c>
      <c r="N853" t="n">
        <v>20</v>
      </c>
      <c r="O853" s="237">
        <f>L853*N853/100</f>
        <v/>
      </c>
      <c r="P853" s="237">
        <f>M853*O853</f>
        <v/>
      </c>
      <c r="Q853" s="208">
        <f>L853*M853</f>
        <v/>
      </c>
      <c r="R853" s="251">
        <f>L853+O853</f>
        <v/>
      </c>
      <c r="S853" s="251">
        <f>Q853+P853</f>
        <v/>
      </c>
      <c r="T853" s="35">
        <f>voranmeldefrist_vierteljaehrlich(G853)</f>
        <v/>
      </c>
      <c r="U853" s="27" t="n"/>
      <c r="V853" s="27" t="n"/>
      <c r="W853" s="210">
        <f>IF(K853=TRUE,Q853/J853,Q853)</f>
        <v/>
      </c>
      <c r="X853" s="237">
        <f>V853/100*S853</f>
        <v/>
      </c>
      <c r="Y853">
        <f>IF(AND(V853&gt;0,N853=V853),TRUE,FALSE)</f>
        <v/>
      </c>
      <c r="Z853" s="228">
        <f>IF(C853="Einnahmen",Q853,-Q853)</f>
        <v/>
      </c>
      <c r="AB853">
        <f>S853=L853*(100+N853)%</f>
        <v/>
      </c>
    </row>
    <row r="854">
      <c r="A854" s="53" t="n">
        <v>2022</v>
      </c>
      <c r="B854" s="53" t="n">
        <v>188</v>
      </c>
      <c r="C854" s="71" t="inlineStr">
        <is>
          <t>Ausgaben</t>
        </is>
      </c>
      <c r="D854" t="inlineStr">
        <is>
          <t>Telefon/Internet</t>
        </is>
      </c>
      <c r="G854" s="1" t="n">
        <v>44897</v>
      </c>
      <c r="H854" t="inlineStr">
        <is>
          <t>Hutchison Drei Austria GmbH, Brünner Straße 52, 1210 Wien, Österreich</t>
        </is>
      </c>
      <c r="K854">
        <f>(IF(AND(I854&lt;&gt;"",AND(J854="",ABS(Q854)&gt;400)),TRUE,FALSE))</f>
        <v/>
      </c>
      <c r="L854" s="214" t="n">
        <v>15</v>
      </c>
      <c r="M854" s="159" t="n">
        <v>1</v>
      </c>
      <c r="N854" t="n">
        <v>20</v>
      </c>
      <c r="O854" s="237">
        <f>L854*N854/100</f>
        <v/>
      </c>
      <c r="P854" s="237">
        <f>M854*O854</f>
        <v/>
      </c>
      <c r="Q854" s="208">
        <f>L854*M854</f>
        <v/>
      </c>
      <c r="R854" s="251">
        <f>L854+O854</f>
        <v/>
      </c>
      <c r="S854" s="251">
        <f>Q854+P854</f>
        <v/>
      </c>
      <c r="T854" s="35">
        <f>voranmeldefrist_vierteljaehrlich(G854)</f>
        <v/>
      </c>
      <c r="U854" s="27" t="n"/>
      <c r="V854" s="27" t="n"/>
      <c r="W854" s="210">
        <f>IF(K854=TRUE,Q854/I854,Q854)</f>
        <v/>
      </c>
      <c r="X854" s="237">
        <f>V854/100*S854</f>
        <v/>
      </c>
      <c r="Y854">
        <f>IF(AND(V854&gt;0,N854=V854),TRUE,FALSE)</f>
        <v/>
      </c>
      <c r="Z854" s="228">
        <f>IF(C854="Einnahmen",Q854,-Q854)</f>
        <v/>
      </c>
      <c r="AB854">
        <f>S854=L854*(100+N854)%</f>
        <v/>
      </c>
    </row>
    <row r="855">
      <c r="A855" s="53" t="n">
        <v>2022</v>
      </c>
      <c r="B855" s="53" t="n">
        <v>189</v>
      </c>
      <c r="C855" s="71" t="inlineStr">
        <is>
          <t>Ausgaben</t>
        </is>
      </c>
      <c r="D855" t="inlineStr">
        <is>
          <t>sonstige Betriebsausgaben</t>
        </is>
      </c>
      <c r="G855" s="1" t="n">
        <v>44900</v>
      </c>
      <c r="H855" t="inlineStr">
        <is>
          <t>Google Ireland Ltd, Gordon House, Barrow Street, Dublin 4, Ireland; VAT number: IE 6388047V</t>
        </is>
      </c>
      <c r="K855" t="b">
        <v>0</v>
      </c>
      <c r="L855" s="214" t="n">
        <v>9.359999999999999</v>
      </c>
      <c r="M855" s="159" t="n">
        <v>1</v>
      </c>
      <c r="N855" t="n">
        <v>0</v>
      </c>
      <c r="O855" s="237">
        <f>L855*N855/100</f>
        <v/>
      </c>
      <c r="P855" s="237">
        <f>M855*O855</f>
        <v/>
      </c>
      <c r="Q855" s="208">
        <f>L855*M855</f>
        <v/>
      </c>
      <c r="R855" s="251">
        <f>L855+O855</f>
        <v/>
      </c>
      <c r="S855" s="251">
        <f>Q855+P855</f>
        <v/>
      </c>
      <c r="T855" s="35">
        <f>voranmeldefrist_vierteljaehrlich(G855)</f>
        <v/>
      </c>
      <c r="U855" s="27" t="n"/>
      <c r="V855" s="27" t="n">
        <v>20</v>
      </c>
      <c r="W855" s="210">
        <f>IF(K855=TRUE,Q855/I855,Q855)</f>
        <v/>
      </c>
      <c r="X855" s="237">
        <f>V855/100*S855</f>
        <v/>
      </c>
      <c r="Y855">
        <f>IF(AND(V855&gt;0,N855=V855),TRUE,FALSE)</f>
        <v/>
      </c>
      <c r="Z855" s="228">
        <f>IF(C855="Einnahmen",Q855,-Q855)</f>
        <v/>
      </c>
      <c r="AB855">
        <f>S855=L855*(100+N855)%</f>
        <v/>
      </c>
    </row>
    <row r="856">
      <c r="A856" s="53" t="n">
        <v>2022</v>
      </c>
      <c r="B856" s="53" t="n">
        <v>190</v>
      </c>
      <c r="C856" s="71" t="inlineStr">
        <is>
          <t>Ausgaben</t>
        </is>
      </c>
      <c r="D856" t="inlineStr">
        <is>
          <t>sonstige Betriebsausgaben</t>
        </is>
      </c>
      <c r="E856" s="153" t="inlineStr">
        <is>
          <t>siehe Jahresabrechnung</t>
        </is>
      </c>
      <c r="G856" s="1" t="n">
        <v>44900</v>
      </c>
      <c r="H856" t="inlineStr">
        <is>
          <t>go green energy GmbH &amp; Co KG</t>
        </is>
      </c>
      <c r="K856">
        <f>(IF(AND(I856&lt;&gt;"",AND(J856="",ABS(Q856)&gt;400)),TRUE,FALSE))</f>
        <v/>
      </c>
      <c r="L856" s="214" t="n">
        <v>2.5</v>
      </c>
      <c r="M856" s="159" t="n">
        <v>1</v>
      </c>
      <c r="N856" t="n">
        <v>20</v>
      </c>
      <c r="O856" s="237">
        <f>L856*N856/100</f>
        <v/>
      </c>
      <c r="P856" s="237">
        <f>M856*O856</f>
        <v/>
      </c>
      <c r="Q856" s="208">
        <f>L856*M856</f>
        <v/>
      </c>
      <c r="R856" s="251">
        <f>L856+O856</f>
        <v/>
      </c>
      <c r="S856" s="251">
        <f>Q856+P856</f>
        <v/>
      </c>
      <c r="T856" s="35">
        <f>voranmeldefrist_vierteljaehrlich(G856)</f>
        <v/>
      </c>
      <c r="U856" s="27" t="n"/>
      <c r="V856" s="27" t="n"/>
      <c r="W856" s="210">
        <f>IF(K856=TRUE,Q856/J856,Q856)</f>
        <v/>
      </c>
      <c r="X856" s="237">
        <f>V856/100*S856</f>
        <v/>
      </c>
      <c r="Y856">
        <f>IF(AND(V856&gt;0,N856=V856),TRUE,FALSE)</f>
        <v/>
      </c>
      <c r="Z856" s="228">
        <f>IF(C856="Einnahmen",Q856,-Q856)</f>
        <v/>
      </c>
      <c r="AB856">
        <f>S856=L856*(100+N856)%</f>
        <v/>
      </c>
    </row>
    <row r="857">
      <c r="A857" s="53" t="n">
        <v>2022</v>
      </c>
      <c r="B857" s="53" t="n">
        <v>191</v>
      </c>
      <c r="C857" s="71" t="inlineStr">
        <is>
          <t>Ausgaben</t>
        </is>
      </c>
      <c r="D857" t="inlineStr">
        <is>
          <t>Miet- und Pachtaufwand, Leasing</t>
        </is>
      </c>
      <c r="E857" s="61" t="inlineStr">
        <is>
          <t>BELEG FEHLT</t>
        </is>
      </c>
      <c r="G857" s="1" t="n">
        <v>44900</v>
      </c>
      <c r="H857" t="inlineStr">
        <is>
          <t>Techem Messtechnik GmbH; Abnehmernummer 501686-0003-11-</t>
        </is>
      </c>
      <c r="K857" t="b">
        <v>0</v>
      </c>
      <c r="L857" s="214" t="n">
        <v>122.6</v>
      </c>
      <c r="M857" s="159" t="n">
        <v>1</v>
      </c>
      <c r="N857" t="n">
        <v>20</v>
      </c>
      <c r="O857" s="237">
        <f>L857*N857/100</f>
        <v/>
      </c>
      <c r="P857" s="237">
        <f>M857*O857</f>
        <v/>
      </c>
      <c r="Q857" s="208">
        <f>L857*M857</f>
        <v/>
      </c>
      <c r="R857" s="251">
        <f>L857+O857</f>
        <v/>
      </c>
      <c r="S857" s="251">
        <f>Q857+P857</f>
        <v/>
      </c>
      <c r="T857" s="35">
        <f>voranmeldefrist_vierteljaehrlich(G857)</f>
        <v/>
      </c>
      <c r="U857" s="27" t="n"/>
      <c r="V857" s="27" t="n"/>
      <c r="W857" s="210">
        <f>IF(K857=TRUE,Q857/J857,Q857)</f>
        <v/>
      </c>
      <c r="X857" s="237">
        <f>V857/100*S857</f>
        <v/>
      </c>
      <c r="Y857">
        <f>IF(AND(V857&gt;0,N857=V857),TRUE,FALSE)</f>
        <v/>
      </c>
      <c r="Z857" s="228">
        <f>IF(C857="Einnahmen",Q857,-Q857)</f>
        <v/>
      </c>
      <c r="AB857">
        <f>S857=L857*(100+N857)%</f>
        <v/>
      </c>
    </row>
    <row r="858">
      <c r="A858" s="53" t="n">
        <v>2022</v>
      </c>
      <c r="B858" s="53" t="n">
        <v>192</v>
      </c>
      <c r="C858" s="71" t="inlineStr">
        <is>
          <t>Ausgaben</t>
        </is>
      </c>
      <c r="D858" t="inlineStr">
        <is>
          <t>sonstige Betriebsausgaben</t>
        </is>
      </c>
      <c r="E858" s="9" t="inlineStr">
        <is>
          <t>8040764924</t>
        </is>
      </c>
      <c r="G858" s="1" t="n">
        <v>44908</v>
      </c>
      <c r="H858" t="inlineStr">
        <is>
          <t>Thalia Wien Millenium City, Handelskai 94-96, 1200 Wien</t>
        </is>
      </c>
      <c r="K858" t="b">
        <v>0</v>
      </c>
      <c r="L858" s="214" t="n">
        <v>14</v>
      </c>
      <c r="M858" s="159" t="n">
        <v>1</v>
      </c>
      <c r="N858" t="n">
        <v>10</v>
      </c>
      <c r="O858" s="237">
        <f>L858*N858/100</f>
        <v/>
      </c>
      <c r="P858" s="237">
        <f>M858*O858</f>
        <v/>
      </c>
      <c r="Q858" s="208">
        <f>L858*M858</f>
        <v/>
      </c>
      <c r="R858" s="251">
        <f>L858+O858</f>
        <v/>
      </c>
      <c r="S858" s="251">
        <f>Q858+P858</f>
        <v/>
      </c>
      <c r="T858" s="35">
        <f>voranmeldefrist_vierteljaehrlich(G858)</f>
        <v/>
      </c>
      <c r="U858" s="27" t="n"/>
      <c r="V858" s="27" t="n"/>
      <c r="W858" s="210">
        <f>IF(K858=TRUE,Q858/J858,Q858)</f>
        <v/>
      </c>
      <c r="X858" s="237">
        <f>V858/100*S858</f>
        <v/>
      </c>
      <c r="Y858">
        <f>IF(AND(V858&gt;0,N858=V858),TRUE,FALSE)</f>
        <v/>
      </c>
      <c r="Z858" s="228">
        <f>IF(C858="Einnahmen",Q858,-Q858)</f>
        <v/>
      </c>
      <c r="AB858">
        <f>S858=L858*(100+N858)%</f>
        <v/>
      </c>
    </row>
    <row r="859">
      <c r="A859" s="53" t="n">
        <v>2022</v>
      </c>
      <c r="B859" s="53" t="n">
        <v>193</v>
      </c>
      <c r="C859" s="71" t="inlineStr">
        <is>
          <t>Ausgaben</t>
        </is>
      </c>
      <c r="D859" t="inlineStr">
        <is>
          <t>sonstige Betriebsausgaben</t>
        </is>
      </c>
      <c r="G859" s="1" t="n">
        <v>44908</v>
      </c>
      <c r="H859" t="inlineStr">
        <is>
          <t>Hetzner Online GmbH</t>
        </is>
      </c>
      <c r="K859">
        <f>(IF(AND(I859&lt;&gt;"",AND(J859="",ABS(Q859)&gt;400)),TRUE,FALSE))</f>
        <v/>
      </c>
      <c r="L859" s="214" t="n">
        <v>47.7765</v>
      </c>
      <c r="M859" s="159" t="n">
        <v>1</v>
      </c>
      <c r="N859" t="n">
        <v>0</v>
      </c>
      <c r="O859" s="237">
        <f>L859*N859/100</f>
        <v/>
      </c>
      <c r="P859" s="237">
        <f>M859*O859</f>
        <v/>
      </c>
      <c r="Q859" s="208">
        <f>L859*M859</f>
        <v/>
      </c>
      <c r="R859" s="251">
        <f>L859+O859</f>
        <v/>
      </c>
      <c r="S859" s="251">
        <f>Q859+P859</f>
        <v/>
      </c>
      <c r="T859" s="35">
        <f>voranmeldefrist_vierteljaehrlich(G859)</f>
        <v/>
      </c>
      <c r="U859" s="27" t="n"/>
      <c r="V859" s="27" t="n">
        <v>20</v>
      </c>
      <c r="W859" s="210">
        <f>IF(K859=TRUE,Q859/J859,Q859)</f>
        <v/>
      </c>
      <c r="X859" s="237">
        <f>V859/100*S859</f>
        <v/>
      </c>
      <c r="Y859">
        <f>IF(AND(V859&gt;0,N859=V859),TRUE,FALSE)</f>
        <v/>
      </c>
      <c r="Z859" s="228">
        <f>IF(C859="Einnahmen",Q859,-Q859)</f>
        <v/>
      </c>
      <c r="AB859">
        <f>S859=L859*(100+N859)%</f>
        <v/>
      </c>
    </row>
    <row r="860">
      <c r="A860" s="53" t="n">
        <v>2022</v>
      </c>
      <c r="B860" s="53" t="n">
        <v>194</v>
      </c>
      <c r="C860" s="71" t="inlineStr">
        <is>
          <t>Ausgaben</t>
        </is>
      </c>
      <c r="D860" t="inlineStr">
        <is>
          <t>Personalaufwand</t>
        </is>
      </c>
      <c r="E860" s="9" t="inlineStr">
        <is>
          <t>siehe 2022-140</t>
        </is>
      </c>
      <c r="G860" s="1" t="n">
        <v>44910</v>
      </c>
      <c r="H860" t="inlineStr">
        <is>
          <t>Honorar Eva Jaros-Kolbitsch</t>
        </is>
      </c>
      <c r="K860">
        <f>(IF(AND(I860&lt;&gt;"",AND(J860="",ABS(Q860)&gt;400)),TRUE,FALSE))</f>
        <v/>
      </c>
      <c r="L860" s="214" t="n">
        <v>365</v>
      </c>
      <c r="M860" s="159" t="n">
        <v>1</v>
      </c>
      <c r="N860" t="n">
        <v>0</v>
      </c>
      <c r="O860" s="237">
        <f>L860*N860/100</f>
        <v/>
      </c>
      <c r="P860" s="237">
        <f>M860*O860</f>
        <v/>
      </c>
      <c r="Q860" s="208">
        <f>L860*M860</f>
        <v/>
      </c>
      <c r="R860" s="251">
        <f>L860+O860</f>
        <v/>
      </c>
      <c r="S860" s="251">
        <f>Q860+P860</f>
        <v/>
      </c>
      <c r="T860" s="35">
        <f>voranmeldefrist_vierteljaehrlich(G860)</f>
        <v/>
      </c>
      <c r="U860" s="27" t="n"/>
      <c r="V860" s="27" t="n"/>
      <c r="W860" s="210">
        <f>IF(K860=TRUE,Q860/J860,Q860)</f>
        <v/>
      </c>
      <c r="X860" s="237">
        <f>V860/100*S860</f>
        <v/>
      </c>
      <c r="Y860">
        <f>IF(AND(V860&gt;0,N860=V860),TRUE,FALSE)</f>
        <v/>
      </c>
      <c r="Z860" s="228">
        <f>IF(C860="Einnahmen",Q860,-Q860)</f>
        <v/>
      </c>
      <c r="AB860">
        <f>S860=L860*(100+N860)%</f>
        <v/>
      </c>
    </row>
    <row r="861">
      <c r="A861" s="53" t="n">
        <v>2022</v>
      </c>
      <c r="B861" s="53" t="n">
        <v>195</v>
      </c>
      <c r="C861" s="71" t="inlineStr">
        <is>
          <t>Ausgaben</t>
        </is>
      </c>
      <c r="D861" t="inlineStr">
        <is>
          <t>Miet- und Pachtaufwand, Leasing</t>
        </is>
      </c>
      <c r="G861" s="1" t="n">
        <v>44911</v>
      </c>
      <c r="H861" t="inlineStr">
        <is>
          <t>Bontus Immobilienverwaltung GmbH, 1010 Wien, Franz Josefs Kai 65</t>
        </is>
      </c>
      <c r="K861" t="b">
        <v>0</v>
      </c>
      <c r="L861" s="214" t="n">
        <v>161.59</v>
      </c>
      <c r="M861" s="159" t="n">
        <v>1</v>
      </c>
      <c r="N861" t="n">
        <v>0</v>
      </c>
      <c r="O861" s="237">
        <f>L861*N861/100</f>
        <v/>
      </c>
      <c r="P861" s="237">
        <f>M861*O861</f>
        <v/>
      </c>
      <c r="Q861" s="208">
        <f>L861*M861</f>
        <v/>
      </c>
      <c r="R861" s="251">
        <f>L861+O861</f>
        <v/>
      </c>
      <c r="S861" s="251">
        <f>Q861+P861</f>
        <v/>
      </c>
      <c r="T861" s="35">
        <f>voranmeldefrist_vierteljaehrlich(G861)</f>
        <v/>
      </c>
      <c r="U861" s="27" t="n"/>
      <c r="V861" s="27" t="n"/>
      <c r="W861" s="210">
        <f>IF(K861=TRUE,Q861/J861,Q861)</f>
        <v/>
      </c>
      <c r="X861" s="237">
        <f>V861/100*S861</f>
        <v/>
      </c>
      <c r="Y861">
        <f>IF(AND(V861&gt;0,N861=V861),TRUE,FALSE)</f>
        <v/>
      </c>
      <c r="Z861" s="228">
        <f>IF(C861="Einnahmen",Q861,-Q861)</f>
        <v/>
      </c>
      <c r="AB861">
        <f>S861=L861*(100+N861)%</f>
        <v/>
      </c>
    </row>
    <row r="862">
      <c r="A862" s="53" t="n">
        <v>2022</v>
      </c>
      <c r="B862" s="53" t="n">
        <v>196</v>
      </c>
      <c r="C862" s="71" t="inlineStr">
        <is>
          <t>Einnahmen</t>
        </is>
      </c>
      <c r="D862" t="inlineStr">
        <is>
          <t>Waren-/Leistungserlöse</t>
        </is>
      </c>
      <c r="E862" t="n">
        <v>168046740</v>
      </c>
      <c r="G862" s="1" t="n">
        <v>44911</v>
      </c>
      <c r="H862" t="inlineStr">
        <is>
          <t>Hays Österreich GmbH, Bahnhof City Wien West , Europaplatz 3/5, 1150 Wien</t>
        </is>
      </c>
      <c r="K862">
        <f>(IF(AND(I862&lt;&gt;"",AND(J862="",ABS(Q862)&gt;400)),TRUE,FALSE))</f>
        <v/>
      </c>
      <c r="L862" s="214" t="n">
        <v>12222</v>
      </c>
      <c r="M862" s="159" t="n">
        <v>1</v>
      </c>
      <c r="N862" t="n">
        <v>20</v>
      </c>
      <c r="O862" s="237">
        <f>L862*N862/100</f>
        <v/>
      </c>
      <c r="P862" s="237">
        <f>M862*O862</f>
        <v/>
      </c>
      <c r="Q862" s="208">
        <f>L862*M862</f>
        <v/>
      </c>
      <c r="R862" s="251">
        <f>L862+O862</f>
        <v/>
      </c>
      <c r="S862" s="251">
        <f>Q862+P862</f>
        <v/>
      </c>
      <c r="T862" s="35">
        <f>voranmeldefrist_vierteljaehrlich(G862)</f>
        <v/>
      </c>
      <c r="U862" s="27" t="n"/>
      <c r="V862" s="27" t="n"/>
      <c r="W862" s="210">
        <f>IF(K862=TRUE,Q862/J862,Q862)</f>
        <v/>
      </c>
      <c r="X862" s="237">
        <f>V862/100*S862</f>
        <v/>
      </c>
      <c r="Y862">
        <f>IF(AND(V862&gt;0,N862=V862),TRUE,FALSE)</f>
        <v/>
      </c>
      <c r="Z862" s="228">
        <f>IF(C862="Einnahmen",Q862,-Q862)</f>
        <v/>
      </c>
      <c r="AB862">
        <f>S862=L862*(100+N862)%</f>
        <v/>
      </c>
    </row>
    <row r="863">
      <c r="A863" s="53" t="n">
        <v>2022</v>
      </c>
      <c r="B863" s="53" t="n">
        <v>197</v>
      </c>
      <c r="C863" s="71" t="inlineStr">
        <is>
          <t>Ausgaben</t>
        </is>
      </c>
      <c r="D863" t="inlineStr">
        <is>
          <t>Büromaterial</t>
        </is>
      </c>
      <c r="E863" s="9" t="inlineStr">
        <is>
          <t>AT2Q8NVIAEUI</t>
        </is>
      </c>
      <c r="G863" s="1" t="n">
        <v>44914</v>
      </c>
      <c r="H863" t="inlineStr">
        <is>
          <t>Amazon EU S. à r.l., 38 avenue John F. Kennedy, L-1855 Luxembourg: HJEU: DVI-HDMI, Logitech Maus</t>
        </is>
      </c>
      <c r="K863" t="b">
        <v>0</v>
      </c>
      <c r="L863" s="214" t="n">
        <v>16.8</v>
      </c>
      <c r="M863" s="159" t="n">
        <v>1</v>
      </c>
      <c r="N863" t="n">
        <v>20</v>
      </c>
      <c r="O863" s="237">
        <f>L863*N863/100</f>
        <v/>
      </c>
      <c r="P863" s="237">
        <f>M863*O863</f>
        <v/>
      </c>
      <c r="Q863" s="208">
        <f>L863*M863</f>
        <v/>
      </c>
      <c r="R863" s="251">
        <f>L863+O863</f>
        <v/>
      </c>
      <c r="S863" s="251">
        <f>Q863+P863</f>
        <v/>
      </c>
      <c r="T863" s="35">
        <f>voranmeldefrist_vierteljaehrlich(G863)</f>
        <v/>
      </c>
      <c r="U863" s="27" t="n"/>
      <c r="V863" s="27" t="n"/>
      <c r="W863" s="210">
        <f>IF(K863=TRUE,Q863/I863,Q863)</f>
        <v/>
      </c>
      <c r="X863" s="237">
        <f>V863/100*S863</f>
        <v/>
      </c>
      <c r="Y863">
        <f>IF(AND(V863&gt;0,N863=V863),TRUE,FALSE)</f>
        <v/>
      </c>
      <c r="Z863" s="228">
        <f>IF(C863="Einnahmen",Q863,-Q863)</f>
        <v/>
      </c>
      <c r="AB863">
        <f>S863=L863*(100+N863)%</f>
        <v/>
      </c>
    </row>
    <row r="864">
      <c r="A864" s="53" t="n">
        <v>2022</v>
      </c>
      <c r="B864" s="53" t="n">
        <v>198</v>
      </c>
      <c r="C864" s="71" t="inlineStr">
        <is>
          <t>Ausgaben</t>
        </is>
      </c>
      <c r="D864" t="inlineStr">
        <is>
          <t>sonstige Betriebsausgaben</t>
        </is>
      </c>
      <c r="G864" s="1" t="n">
        <v>44914</v>
      </c>
      <c r="H864" t="inlineStr">
        <is>
          <t>Microsoft Ireland Operations Ltd. One Microsoft Place, South County, Business Park, Leopardstown, Dublin 18, D18 P521, Ireland</t>
        </is>
      </c>
      <c r="K864">
        <f>(IF(AND(I864&lt;&gt;"",AND(J864="",ABS(Q864)&gt;400)),TRUE,FALSE))</f>
        <v/>
      </c>
      <c r="L864" s="214" t="n">
        <v>10.5</v>
      </c>
      <c r="M864" s="159" t="n">
        <v>1</v>
      </c>
      <c r="N864" t="n">
        <v>0</v>
      </c>
      <c r="O864" s="237">
        <f>L864*N864/100</f>
        <v/>
      </c>
      <c r="P864" s="237">
        <f>M864*O864</f>
        <v/>
      </c>
      <c r="Q864" s="208">
        <f>L864*M864</f>
        <v/>
      </c>
      <c r="R864" s="251">
        <f>L864+O864</f>
        <v/>
      </c>
      <c r="S864" s="251">
        <f>Q864+P864</f>
        <v/>
      </c>
      <c r="T864" s="35">
        <f>voranmeldefrist_vierteljaehrlich(G864)</f>
        <v/>
      </c>
      <c r="U864" s="27" t="n"/>
      <c r="V864" s="27" t="n">
        <v>20</v>
      </c>
      <c r="W864" s="210">
        <f>IF(K864=TRUE,Q864/J864,Q864)</f>
        <v/>
      </c>
      <c r="X864" s="237">
        <f>V864/100*S864</f>
        <v/>
      </c>
      <c r="Y864">
        <f>IF(AND(V864&gt;0,N864=V864),TRUE,FALSE)</f>
        <v/>
      </c>
      <c r="Z864" s="228">
        <f>IF(C864="Einnahmen",Q864,-Q864)</f>
        <v/>
      </c>
      <c r="AB864">
        <f>S864=L864*(100+N864)%</f>
        <v/>
      </c>
    </row>
    <row r="865">
      <c r="A865" s="53" t="n">
        <v>2022</v>
      </c>
      <c r="B865" s="53" t="n">
        <v>199</v>
      </c>
      <c r="C865" s="71" t="inlineStr">
        <is>
          <t>Ausgaben</t>
        </is>
      </c>
      <c r="D865" t="inlineStr">
        <is>
          <t>Telefon/Internet</t>
        </is>
      </c>
      <c r="E865" s="131" t="inlineStr">
        <is>
          <t>901153451222</t>
        </is>
      </c>
      <c r="G865" s="1" t="n">
        <v>44916</v>
      </c>
      <c r="H865" t="inlineStr">
        <is>
          <t>Magenta: T-Mobile Austria GmbH, A-1120 Wien, PF 47</t>
        </is>
      </c>
      <c r="K865">
        <f>(IF(AND(I865&lt;&gt;"",AND(J865="",ABS(Q865)&gt;400)),TRUE,FALSE))</f>
        <v/>
      </c>
      <c r="L865" s="214" t="n">
        <v>31.92</v>
      </c>
      <c r="M865" s="159" t="n">
        <v>1</v>
      </c>
      <c r="N865" t="n">
        <v>20</v>
      </c>
      <c r="O865" s="237">
        <f>L865*N865/100</f>
        <v/>
      </c>
      <c r="P865" s="237">
        <f>M865*O865</f>
        <v/>
      </c>
      <c r="Q865" s="208">
        <f>L865*M865</f>
        <v/>
      </c>
      <c r="R865" s="251">
        <f>L865+O865</f>
        <v/>
      </c>
      <c r="S865" s="251">
        <f>Q865+P865</f>
        <v/>
      </c>
      <c r="T865" s="35">
        <f>voranmeldefrist_vierteljaehrlich(G865)</f>
        <v/>
      </c>
      <c r="U865" s="27" t="n"/>
      <c r="V865" s="27" t="n"/>
      <c r="W865" s="210">
        <f>IF(K865=TRUE,Q865/I865,Q865)</f>
        <v/>
      </c>
      <c r="X865" s="237">
        <f>V865/100*S865</f>
        <v/>
      </c>
      <c r="Y865">
        <f>IF(AND(V865&gt;0,N865=V865),TRUE,FALSE)</f>
        <v/>
      </c>
      <c r="Z865" s="228">
        <f>IF(C865="Einnahmen",Q865,-Q865)</f>
        <v/>
      </c>
      <c r="AB865">
        <f>S865=L865*(100+N865)%</f>
        <v/>
      </c>
    </row>
    <row r="866">
      <c r="A866" s="53" t="n">
        <v>2022</v>
      </c>
      <c r="B866" s="53" t="n">
        <v>200</v>
      </c>
      <c r="C866" s="71" t="inlineStr">
        <is>
          <t>Ausgaben</t>
        </is>
      </c>
      <c r="D866" t="inlineStr">
        <is>
          <t>sonstige Betriebsausgaben</t>
        </is>
      </c>
      <c r="G866" s="1" t="n">
        <v>44918</v>
      </c>
      <c r="H866" t="inlineStr">
        <is>
          <t>Hetzner Online GmbH</t>
        </is>
      </c>
      <c r="K866">
        <f>(IF(AND(I866&lt;&gt;"",AND(J866="",ABS(Q866)&gt;400)),TRUE,FALSE))</f>
        <v/>
      </c>
      <c r="L866" s="214" t="n">
        <v>10</v>
      </c>
      <c r="M866" s="159" t="n">
        <v>1</v>
      </c>
      <c r="N866" t="n">
        <v>0</v>
      </c>
      <c r="O866" s="237">
        <f>L866*N866/100</f>
        <v/>
      </c>
      <c r="P866" s="237">
        <f>M866*O866</f>
        <v/>
      </c>
      <c r="Q866" s="208">
        <f>L866*M866</f>
        <v/>
      </c>
      <c r="R866" s="251">
        <f>L866+O866</f>
        <v/>
      </c>
      <c r="S866" s="251">
        <f>Q866+P866</f>
        <v/>
      </c>
      <c r="T866" s="35">
        <f>voranmeldefrist_vierteljaehrlich(G866)</f>
        <v/>
      </c>
      <c r="U866" s="27" t="n"/>
      <c r="V866" s="27" t="n">
        <v>20</v>
      </c>
      <c r="W866" s="210">
        <f>IF(K866=TRUE,Q866/J866,Q866)</f>
        <v/>
      </c>
      <c r="X866" s="237">
        <f>V866/100*S866</f>
        <v/>
      </c>
      <c r="Y866">
        <f>IF(AND(V866&gt;0,N866=V866),TRUE,FALSE)</f>
        <v/>
      </c>
      <c r="Z866" s="228">
        <f>IF(C866="Einnahmen",Q866,-Q866)</f>
        <v/>
      </c>
      <c r="AB866">
        <f>S866=L866*(100+N866)%</f>
        <v/>
      </c>
    </row>
    <row r="867">
      <c r="A867" s="53" t="n">
        <v>2022</v>
      </c>
      <c r="B867" s="53" t="n">
        <v>201</v>
      </c>
      <c r="C867" s="71" t="inlineStr">
        <is>
          <t>Ausgaben</t>
        </is>
      </c>
      <c r="D867" t="inlineStr">
        <is>
          <t>sonstige Betriebsausgaben</t>
        </is>
      </c>
      <c r="E867" s="61" t="inlineStr">
        <is>
          <t>BELEG FEHLT</t>
        </is>
      </c>
      <c r="G867" s="1" t="n">
        <v>44922</v>
      </c>
      <c r="H867" t="inlineStr">
        <is>
          <t>Wiener Netze GmbH, Erdbergstraße 236, 1110 Wien, Postfach 422; Jahresabrechnung vom 17.12.20: GUTSCHRIFT</t>
        </is>
      </c>
      <c r="K867">
        <f>(IF(AND(I867&lt;&gt;"",AND(J867="",ABS(Q867)&gt;400)),TRUE,FALSE))</f>
        <v/>
      </c>
      <c r="L867" s="214">
        <f>7.38/1.2</f>
        <v/>
      </c>
      <c r="M867" s="159" t="n">
        <v>1</v>
      </c>
      <c r="N867" t="n">
        <v>20</v>
      </c>
      <c r="O867" s="237">
        <f>L867*N867/100</f>
        <v/>
      </c>
      <c r="P867" s="237">
        <f>M867*O867</f>
        <v/>
      </c>
      <c r="Q867" s="208">
        <f>L867*M867</f>
        <v/>
      </c>
      <c r="R867" s="251">
        <f>L867+O867</f>
        <v/>
      </c>
      <c r="S867" s="251">
        <f>Q867+P867</f>
        <v/>
      </c>
      <c r="T867" s="35">
        <f>voranmeldefrist_vierteljaehrlich(G867)</f>
        <v/>
      </c>
      <c r="U867" s="27" t="n"/>
      <c r="V867" s="27" t="n"/>
      <c r="W867" s="210">
        <f>IF(K867=TRUE,Q867/J867,Q867)</f>
        <v/>
      </c>
      <c r="X867" s="237">
        <f>V867/100*S867</f>
        <v/>
      </c>
      <c r="Y867">
        <f>IF(AND(V867&gt;0,N867=V867),TRUE,FALSE)</f>
        <v/>
      </c>
      <c r="Z867" s="228">
        <f>IF(C867="Einnahmen",Q867,-Q867)</f>
        <v/>
      </c>
      <c r="AB867">
        <f>S867=L867*(100+N867)%</f>
        <v/>
      </c>
    </row>
    <row r="868">
      <c r="A868" s="53" t="n">
        <v>2022</v>
      </c>
      <c r="B868" s="53" t="n">
        <v>202</v>
      </c>
      <c r="C868" s="71" t="inlineStr">
        <is>
          <t>Ausgaben</t>
        </is>
      </c>
      <c r="D868" t="inlineStr">
        <is>
          <t>Pflichversicherungsbeiträge</t>
        </is>
      </c>
      <c r="E868" s="9" t="inlineStr">
        <is>
          <t>1561270283</t>
        </is>
      </c>
      <c r="G868" s="1" t="n">
        <v>44924</v>
      </c>
      <c r="H868" t="inlineStr">
        <is>
          <t>Sozialversicherung der gewerblichen Wirtshaft</t>
        </is>
      </c>
      <c r="K868">
        <f>(IF(AND(I868&lt;&gt;"",AND(J868="",ABS(Q868)&gt;400)),TRUE,FALSE))</f>
        <v/>
      </c>
      <c r="L868" s="214" t="n">
        <v>15000</v>
      </c>
      <c r="M868" s="159" t="n">
        <v>1</v>
      </c>
      <c r="N868" t="n">
        <v>0</v>
      </c>
      <c r="O868" s="237">
        <f>L868*N868/100</f>
        <v/>
      </c>
      <c r="P868" s="237">
        <f>M868*O868</f>
        <v/>
      </c>
      <c r="Q868" s="208">
        <f>L868*M868</f>
        <v/>
      </c>
      <c r="R868" s="251">
        <f>L868+O868</f>
        <v/>
      </c>
      <c r="S868" s="251">
        <f>Q868+P868</f>
        <v/>
      </c>
      <c r="T868" s="35">
        <f>voranmeldefrist_vierteljaehrlich(G868)</f>
        <v/>
      </c>
      <c r="U868" s="27" t="n"/>
      <c r="V868" s="27" t="n"/>
      <c r="W868" s="210">
        <f>IF(K868=TRUE,Q868/J868,Q868)</f>
        <v/>
      </c>
      <c r="X868" s="237">
        <f>V868/100*S868</f>
        <v/>
      </c>
      <c r="Y868">
        <f>IF(AND(V868&gt;0,N868=V868),TRUE,FALSE)</f>
        <v/>
      </c>
      <c r="Z868" s="228">
        <f>IF(C868="Einnahmen",Q868,-Q868)</f>
        <v/>
      </c>
      <c r="AB868">
        <f>S868=L868*(100+N868)%</f>
        <v/>
      </c>
    </row>
    <row r="869">
      <c r="A869" s="53" t="n">
        <v>2022</v>
      </c>
      <c r="B869" s="53" t="n">
        <v>203</v>
      </c>
      <c r="C869" s="71" t="inlineStr">
        <is>
          <t>Ausgaben</t>
        </is>
      </c>
      <c r="D869" t="inlineStr">
        <is>
          <t>Lizenzgebühren</t>
        </is>
      </c>
      <c r="E869" s="6" t="n"/>
      <c r="G869" s="1" t="n">
        <v>44926</v>
      </c>
      <c r="H869" s="154" t="inlineStr">
        <is>
          <t>STORNO Adobe Systems Software Ireland Ltd., 4-6 Riverwalk, Citywest Business Park, Dublin 24, Ireland, VAT ID IE6364992H</t>
        </is>
      </c>
      <c r="L869" s="214" t="n">
        <v>-20.28</v>
      </c>
      <c r="M869" s="159" t="n">
        <v>1</v>
      </c>
      <c r="N869" t="n">
        <v>0</v>
      </c>
      <c r="O869" s="237">
        <f>L869*N869/100</f>
        <v/>
      </c>
      <c r="P869" s="237">
        <f>M869*O869</f>
        <v/>
      </c>
      <c r="Q869" s="208">
        <f>L869*M869</f>
        <v/>
      </c>
      <c r="R869" s="251">
        <f>L869+O869</f>
        <v/>
      </c>
      <c r="S869" s="251">
        <f>Q869+P869</f>
        <v/>
      </c>
      <c r="T869" s="35">
        <f>voranmeldefrist_vierteljaehrlich(G869)</f>
        <v/>
      </c>
      <c r="U869" s="27" t="n"/>
      <c r="V869" s="27" t="n"/>
      <c r="W869" s="210">
        <f>IF(K869=TRUE,Q869/I869,Q869)</f>
        <v/>
      </c>
      <c r="X869" s="237">
        <f>V869/100*S869</f>
        <v/>
      </c>
      <c r="Y869">
        <f>IF(AND(V869&gt;0,N869=V869),TRUE,FALSE)</f>
        <v/>
      </c>
      <c r="Z869" s="228">
        <f>IF(C869="Einnahmen",Q869,-Q869)</f>
        <v/>
      </c>
      <c r="AB869">
        <f>S869=L869*(100+N869)%</f>
        <v/>
      </c>
    </row>
    <row r="870">
      <c r="A870" s="53" t="n">
        <v>2022</v>
      </c>
      <c r="B870" s="53" t="n">
        <v>204</v>
      </c>
      <c r="C870" s="71" t="inlineStr">
        <is>
          <t>Ausgaben</t>
        </is>
      </c>
      <c r="D870" t="inlineStr">
        <is>
          <t>Reise- und Fahrtspesen inkl. Kilometergeld und Diäten</t>
        </is>
      </c>
      <c r="G870" s="1" t="n">
        <v>44926</v>
      </c>
      <c r="H870" s="154" t="inlineStr">
        <is>
          <t>STORNO car2go Österreich GmbH, Hintere Zollamtstraße 9, 1030 Wien</t>
        </is>
      </c>
      <c r="L870" s="214" t="n">
        <v>-18.98</v>
      </c>
      <c r="M870" s="159" t="n">
        <v>1</v>
      </c>
      <c r="N870" t="n">
        <v>20</v>
      </c>
      <c r="O870" s="237">
        <f>L870*N870/100</f>
        <v/>
      </c>
      <c r="P870" s="237">
        <f>M870*O870</f>
        <v/>
      </c>
      <c r="Q870" s="208">
        <f>L870*M870</f>
        <v/>
      </c>
      <c r="R870" s="251">
        <f>L870+O870</f>
        <v/>
      </c>
      <c r="S870" s="251">
        <f>Q870+P870</f>
        <v/>
      </c>
      <c r="T870" s="35">
        <f>voranmeldefrist_vierteljaehrlich(G870)</f>
        <v/>
      </c>
      <c r="U870" s="27" t="n"/>
      <c r="V870" s="27" t="n"/>
      <c r="W870" s="210">
        <f>IF(K870=TRUE,Q870/I870,Q870)</f>
        <v/>
      </c>
      <c r="X870" s="237">
        <f>V870/100*S870</f>
        <v/>
      </c>
      <c r="Y870">
        <f>IF(AND(V870&gt;0,N870=V870),TRUE,FALSE)</f>
        <v/>
      </c>
      <c r="Z870" s="228">
        <f>IF(C870="Einnahmen",Q870,-Q870)</f>
        <v/>
      </c>
      <c r="AB870">
        <f>S870=L870*(100+N870)%</f>
        <v/>
      </c>
    </row>
    <row r="871">
      <c r="A871" s="53" t="n">
        <v>2022</v>
      </c>
      <c r="B871" s="53" t="n">
        <v>205</v>
      </c>
      <c r="C871" s="71" t="inlineStr">
        <is>
          <t>Ausgaben</t>
        </is>
      </c>
      <c r="D871" t="inlineStr">
        <is>
          <t>sonstige Betriebsausgaben</t>
        </is>
      </c>
      <c r="G871" s="1" t="n">
        <v>44926</v>
      </c>
      <c r="H871" s="154" t="inlineStr">
        <is>
          <t>STORNO Google Ireland Ltd, Gordon House, Barrow Street, Dublin 4, Ireland; VAT number: IE 6388047V</t>
        </is>
      </c>
      <c r="L871" s="214" t="n">
        <v>-9.359999999999999</v>
      </c>
      <c r="M871" s="159" t="n">
        <v>1</v>
      </c>
      <c r="N871" t="n">
        <v>0</v>
      </c>
      <c r="O871" s="237">
        <f>L871*N871/100</f>
        <v/>
      </c>
      <c r="P871" s="237">
        <f>M871*O871</f>
        <v/>
      </c>
      <c r="Q871" s="208">
        <f>L871*M871</f>
        <v/>
      </c>
      <c r="R871" s="251">
        <f>L871+O871</f>
        <v/>
      </c>
      <c r="S871" s="251">
        <f>Q871+P871</f>
        <v/>
      </c>
      <c r="T871" s="35">
        <f>voranmeldefrist_vierteljaehrlich(G871)</f>
        <v/>
      </c>
      <c r="U871" s="27" t="n"/>
      <c r="V871" s="27" t="n"/>
      <c r="W871" s="210">
        <f>IF(K871=TRUE,Q871/I871,Q871)</f>
        <v/>
      </c>
      <c r="X871" s="237">
        <f>V871/100*S871</f>
        <v/>
      </c>
      <c r="Y871">
        <f>IF(AND(V871&gt;0,N871=V871),TRUE,FALSE)</f>
        <v/>
      </c>
      <c r="Z871" s="228">
        <f>IF(C871="Einnahmen",Q871,-Q871)</f>
        <v/>
      </c>
      <c r="AB871">
        <f>S871=L871*(100+N871)%</f>
        <v/>
      </c>
    </row>
    <row r="872">
      <c r="A872" s="53" t="n">
        <v>2022</v>
      </c>
      <c r="B872" s="53" t="n">
        <v>206</v>
      </c>
      <c r="C872" s="71" t="inlineStr">
        <is>
          <t>Ausgaben</t>
        </is>
      </c>
      <c r="D872" t="inlineStr">
        <is>
          <t>Miet- und Pachtaufwand, Leasing</t>
        </is>
      </c>
      <c r="G872" s="1" t="n">
        <v>44926</v>
      </c>
      <c r="H872" s="154" t="inlineStr">
        <is>
          <t>STORNO Bontus Immobilienverwaltung GmbH, 1010 Wien, Franz Josefs Kai 65</t>
        </is>
      </c>
      <c r="L872" s="214">
        <f>-606.78/1.2</f>
        <v/>
      </c>
      <c r="M872" s="159" t="n">
        <v>1</v>
      </c>
      <c r="N872" t="n">
        <v>20</v>
      </c>
      <c r="O872" s="237">
        <f>L872*N872/100</f>
        <v/>
      </c>
      <c r="P872" s="237">
        <f>M872*O872</f>
        <v/>
      </c>
      <c r="Q872" s="208">
        <f>L872*M872</f>
        <v/>
      </c>
      <c r="R872" s="251">
        <f>L872+O872</f>
        <v/>
      </c>
      <c r="S872" s="251">
        <f>Q872+P872</f>
        <v/>
      </c>
      <c r="T872" s="35">
        <f>voranmeldefrist_vierteljaehrlich(G872)</f>
        <v/>
      </c>
      <c r="U872" s="27" t="n"/>
      <c r="V872" s="27" t="n"/>
      <c r="W872" s="210">
        <f>IF(K872=TRUE,Q872/I872,Q872)</f>
        <v/>
      </c>
      <c r="X872" s="237">
        <f>V872/100*S872</f>
        <v/>
      </c>
      <c r="Y872">
        <f>IF(AND(V872&gt;0,N872=V872),TRUE,FALSE)</f>
        <v/>
      </c>
      <c r="Z872" s="228">
        <f>IF(C872="Einnahmen",Q872,-Q872)</f>
        <v/>
      </c>
      <c r="AB872">
        <f>S872=L872*(100+N872)%</f>
        <v/>
      </c>
    </row>
    <row r="873">
      <c r="A873" s="53" t="n">
        <v>2022</v>
      </c>
      <c r="B873" s="53" t="n">
        <v>207</v>
      </c>
      <c r="C873" s="71" t="inlineStr">
        <is>
          <t>Ausgaben</t>
        </is>
      </c>
      <c r="D873" t="inlineStr">
        <is>
          <t>Telefon/Internet</t>
        </is>
      </c>
      <c r="G873" s="1" t="n">
        <v>44926</v>
      </c>
      <c r="H873" s="154" t="inlineStr">
        <is>
          <t>STORNO Hutchison Drei Austria GmbH, Brünner Straße 52, 1210 Wien, Österreich</t>
        </is>
      </c>
      <c r="L873" s="214" t="n">
        <v>-15</v>
      </c>
      <c r="M873" s="159" t="n">
        <v>1</v>
      </c>
      <c r="N873" t="n">
        <v>20</v>
      </c>
      <c r="O873" s="237">
        <f>L873*N873/100</f>
        <v/>
      </c>
      <c r="P873" s="237">
        <f>M873*O873</f>
        <v/>
      </c>
      <c r="Q873" s="208">
        <f>L873*M873</f>
        <v/>
      </c>
      <c r="R873" s="251">
        <f>L873+O873</f>
        <v/>
      </c>
      <c r="S873" s="251">
        <f>Q873+P873</f>
        <v/>
      </c>
      <c r="T873" s="35">
        <f>voranmeldefrist_vierteljaehrlich(G873)</f>
        <v/>
      </c>
      <c r="U873" s="27" t="n"/>
      <c r="V873" s="27" t="n"/>
      <c r="W873" s="210">
        <f>IF(K873=TRUE,Q873/I873,Q873)</f>
        <v/>
      </c>
      <c r="X873" s="237">
        <f>V873/100*S873</f>
        <v/>
      </c>
      <c r="Y873">
        <f>IF(AND(V873&gt;0,N873=V873),TRUE,FALSE)</f>
        <v/>
      </c>
      <c r="Z873" s="228">
        <f>IF(C873="Einnahmen",Q873,-Q873)</f>
        <v/>
      </c>
      <c r="AB873">
        <f>S873=L873*(100+N873)%</f>
        <v/>
      </c>
    </row>
    <row r="874">
      <c r="A874" s="53" t="n">
        <v>2022</v>
      </c>
      <c r="B874" s="53" t="n">
        <v>208</v>
      </c>
      <c r="C874" s="71" t="inlineStr">
        <is>
          <t>Ausgaben</t>
        </is>
      </c>
      <c r="D874" t="inlineStr">
        <is>
          <t>Büromaterial</t>
        </is>
      </c>
      <c r="E874" s="9" t="inlineStr">
        <is>
          <t>071149</t>
        </is>
      </c>
      <c r="G874" s="1" t="n">
        <v>44909</v>
      </c>
      <c r="H874" t="inlineStr">
        <is>
          <t>"Libro" PL Handelsgesellschaft mbH, 1080 Wien, Josefstädter Straße 105, ATU 56240311 (aus 2023 verschoben - 2023-25)</t>
        </is>
      </c>
      <c r="K874">
        <f>(IF(AND(I874&lt;&gt;"",AND(J874="",ABS(Q874)&gt;400)),TRUE,FALSE))</f>
        <v/>
      </c>
      <c r="L874" s="214">
        <f>8.68/1.2</f>
        <v/>
      </c>
      <c r="M874" s="159" t="n">
        <v>1</v>
      </c>
      <c r="N874" t="n">
        <v>20</v>
      </c>
      <c r="O874" s="237">
        <f>L874*N874/100</f>
        <v/>
      </c>
      <c r="P874" s="237">
        <f>M874*O874</f>
        <v/>
      </c>
      <c r="Q874" s="208">
        <f>L874*M874</f>
        <v/>
      </c>
      <c r="R874" s="251">
        <f>L874+O874</f>
        <v/>
      </c>
      <c r="S874" s="251">
        <f>Q874+P874</f>
        <v/>
      </c>
      <c r="T874" s="35">
        <f>DATE(YEAR(EOMONTH(G874,2)),MONTH(EOMONTH(G874,2)),15)</f>
        <v/>
      </c>
      <c r="U874" s="27" t="n"/>
      <c r="V874" s="27" t="n"/>
      <c r="W874" s="210">
        <f>IF(K874=TRUE,Q874/J874,Q874)</f>
        <v/>
      </c>
      <c r="X874" s="237">
        <f>V874/100*S874</f>
        <v/>
      </c>
      <c r="Y874">
        <f>IF(AND(V874&gt;0,N874=V874),TRUE,FALSE)</f>
        <v/>
      </c>
      <c r="Z874" s="228">
        <f>IF(C874="Einnahmen",Q874,-Q874)</f>
        <v/>
      </c>
      <c r="AB874">
        <f>S874=L874*(100+N874)%</f>
        <v/>
      </c>
    </row>
    <row r="875">
      <c r="A875" s="53" t="n">
        <v>2023</v>
      </c>
      <c r="B875" s="53" t="n">
        <v>1</v>
      </c>
      <c r="C875" s="71" t="inlineStr">
        <is>
          <t>Einnahmen</t>
        </is>
      </c>
      <c r="D875" t="inlineStr">
        <is>
          <t>Waren-/Leistungserlöse</t>
        </is>
      </c>
      <c r="E875" s="6" t="n">
        <v>12022027</v>
      </c>
      <c r="G875" s="1" t="n">
        <v>44948</v>
      </c>
      <c r="H875" t="inlineStr">
        <is>
          <t>ZT DI Dr. Arno Kolbitsch, Gütleweg 1, 6822 Satteins</t>
        </is>
      </c>
      <c r="K875">
        <f>(IF(AND(I875&lt;&gt;"",AND(J875="",ABS(Q875)&gt;400)),TRUE,FALSE))</f>
        <v/>
      </c>
      <c r="L875" s="214" t="n">
        <v>529.3</v>
      </c>
      <c r="M875" s="159" t="n">
        <v>1</v>
      </c>
      <c r="N875" t="n">
        <v>20</v>
      </c>
      <c r="O875" s="237">
        <f>L875*N875/100</f>
        <v/>
      </c>
      <c r="P875" s="237">
        <f>M875*O875</f>
        <v/>
      </c>
      <c r="Q875" s="208">
        <f>L875*M875</f>
        <v/>
      </c>
      <c r="R875" s="251">
        <f>L875+O875</f>
        <v/>
      </c>
      <c r="S875" s="251">
        <f>Q875+P875</f>
        <v/>
      </c>
      <c r="T875" s="35">
        <f>DATE(YEAR(EOMONTH(G875,2)),MONTH(EOMONTH(G875,2)),15)</f>
        <v/>
      </c>
      <c r="U875" s="27" t="n"/>
      <c r="V875" s="27" t="n"/>
      <c r="W875" s="210">
        <f>IF(K875=TRUE,Q875/I875,Q875)</f>
        <v/>
      </c>
      <c r="X875" s="237">
        <f>V875/100*S875</f>
        <v/>
      </c>
      <c r="Y875">
        <f>IF(AND(V875&gt;0,N875=V875),TRUE,FALSE)</f>
        <v/>
      </c>
      <c r="Z875" s="228">
        <f>IF(C875="Einnahmen",Q875,-Q875)</f>
        <v/>
      </c>
    </row>
    <row r="876">
      <c r="A876" s="53" t="n">
        <v>2023</v>
      </c>
      <c r="B876" s="53" t="n">
        <v>2</v>
      </c>
      <c r="C876" s="71" t="inlineStr">
        <is>
          <t>Ausgaben</t>
        </is>
      </c>
      <c r="D876" t="inlineStr">
        <is>
          <t>sonstige Betriebsausgaben</t>
        </is>
      </c>
      <c r="G876" s="1" t="n">
        <v>44928</v>
      </c>
      <c r="H876" t="inlineStr">
        <is>
          <t>Google Ireland Ltd, Gordon House, Barrow Street, Dublin 4, Ireland; VAT number: IE 6388047V</t>
        </is>
      </c>
      <c r="K876" t="b">
        <v>0</v>
      </c>
      <c r="L876" s="214" t="n">
        <v>9.359999999999999</v>
      </c>
      <c r="M876" s="159" t="n">
        <v>1</v>
      </c>
      <c r="N876" t="n">
        <v>0</v>
      </c>
      <c r="O876" s="237">
        <f>L876*N876/100</f>
        <v/>
      </c>
      <c r="P876" s="237">
        <f>M876*O876</f>
        <v/>
      </c>
      <c r="Q876" s="208">
        <f>L876*M876</f>
        <v/>
      </c>
      <c r="R876" s="251">
        <f>L876+O876</f>
        <v/>
      </c>
      <c r="S876" s="251">
        <f>Q876+P876</f>
        <v/>
      </c>
      <c r="T876" s="35">
        <f>DATE(YEAR(EOMONTH(G876,2)),MONTH(EOMONTH(G876,2)),15)</f>
        <v/>
      </c>
      <c r="U876" s="27" t="n"/>
      <c r="V876" s="27" t="n">
        <v>20</v>
      </c>
      <c r="W876" s="210">
        <f>IF(K876=TRUE,Q876/I876,Q876)</f>
        <v/>
      </c>
      <c r="X876" s="237">
        <f>V876/100*S876</f>
        <v/>
      </c>
      <c r="Y876">
        <f>IF(AND(V876&gt;0,N876=V876),TRUE,FALSE)</f>
        <v/>
      </c>
      <c r="Z876" s="228">
        <f>IF(C876="Einnahmen",Q876,-Q876)</f>
        <v/>
      </c>
    </row>
    <row r="877">
      <c r="A877" s="53" t="n">
        <v>2023</v>
      </c>
      <c r="B877" s="53" t="n">
        <v>3</v>
      </c>
      <c r="C877" s="71" t="inlineStr">
        <is>
          <t>Ausgaben</t>
        </is>
      </c>
      <c r="D877" t="inlineStr">
        <is>
          <t>Reise- und Fahrtspesen inkl. Kilometergeld und Diäten</t>
        </is>
      </c>
      <c r="E877" s="131" t="n"/>
      <c r="G877" s="1" t="n">
        <v>44928</v>
      </c>
      <c r="H877" t="inlineStr">
        <is>
          <t>car2go Österreich GmbH, Hintere Zollamtstraße 9, 1030 Wien</t>
        </is>
      </c>
      <c r="K877" t="b">
        <v>0</v>
      </c>
      <c r="L877" s="214" t="n">
        <v>44.62</v>
      </c>
      <c r="M877" s="159" t="n">
        <v>1</v>
      </c>
      <c r="N877" t="n">
        <v>20</v>
      </c>
      <c r="O877" s="237">
        <f>L877*N877/100</f>
        <v/>
      </c>
      <c r="P877" s="237">
        <f>M877*O877</f>
        <v/>
      </c>
      <c r="Q877" s="208">
        <f>L877*M877</f>
        <v/>
      </c>
      <c r="R877" s="251">
        <f>L877+O877</f>
        <v/>
      </c>
      <c r="S877" s="251">
        <f>Q877+P877</f>
        <v/>
      </c>
      <c r="T877" s="35">
        <f>DATE(YEAR(EOMONTH(G877,2)),MONTH(EOMONTH(G877,2)),15)</f>
        <v/>
      </c>
      <c r="U877" s="27" t="n"/>
      <c r="V877" s="27" t="n"/>
      <c r="W877" s="210">
        <f>IF(K877=TRUE,Q877/J877,Q877)</f>
        <v/>
      </c>
      <c r="X877" s="237">
        <f>V877/100*S877</f>
        <v/>
      </c>
      <c r="Y877">
        <f>IF(AND(V877&gt;0,N877=V877),TRUE,FALSE)</f>
        <v/>
      </c>
      <c r="Z877" s="228">
        <f>IF(C877="Einnahmen",Q877,-Q877)</f>
        <v/>
      </c>
    </row>
    <row r="878">
      <c r="A878" s="53" t="n">
        <v>2023</v>
      </c>
      <c r="B878" s="53" t="n">
        <v>4</v>
      </c>
      <c r="C878" s="71" t="inlineStr">
        <is>
          <t>Ausgaben</t>
        </is>
      </c>
      <c r="D878" t="inlineStr">
        <is>
          <t>Miet- und Pachtaufwand, Leasing</t>
        </is>
      </c>
      <c r="G878" s="1" t="n">
        <v>44928</v>
      </c>
      <c r="H878" t="inlineStr">
        <is>
          <t>Bontus Immobilienverwaltung GmbH, 1010 Wien, Franz Josefs Kai 65</t>
        </is>
      </c>
      <c r="K878" t="b">
        <v>0</v>
      </c>
      <c r="L878" s="214" t="n">
        <v>515.85</v>
      </c>
      <c r="M878" s="159" t="n">
        <v>1</v>
      </c>
      <c r="N878" t="n">
        <v>20</v>
      </c>
      <c r="O878" s="237">
        <f>L878*N878/100</f>
        <v/>
      </c>
      <c r="P878" s="237">
        <f>M878*O878</f>
        <v/>
      </c>
      <c r="Q878" s="208">
        <f>L878*M878</f>
        <v/>
      </c>
      <c r="R878" s="251">
        <f>L878+O878</f>
        <v/>
      </c>
      <c r="S878" s="251">
        <f>Q878+P878</f>
        <v/>
      </c>
      <c r="T878" s="35">
        <f>DATE(YEAR(EOMONTH(G878,2)),MONTH(EOMONTH(G878,2)),15)</f>
        <v/>
      </c>
      <c r="U878" s="27" t="n"/>
      <c r="V878" s="27" t="n"/>
      <c r="W878" s="210">
        <f>IF(K878=TRUE,Q878/J878,Q878)</f>
        <v/>
      </c>
      <c r="X878" s="237">
        <f>V878/100*S878</f>
        <v/>
      </c>
      <c r="Y878">
        <f>IF(AND(V878&gt;0,N878=V878),TRUE,FALSE)</f>
        <v/>
      </c>
      <c r="Z878" s="228">
        <f>IF(C878="Einnahmen",Q878,-Q878)</f>
        <v/>
      </c>
    </row>
    <row r="879">
      <c r="A879" s="53" t="n">
        <v>2023</v>
      </c>
      <c r="B879" s="53" t="n">
        <v>5</v>
      </c>
      <c r="C879" s="71" t="inlineStr">
        <is>
          <t>Ausgaben</t>
        </is>
      </c>
      <c r="D879" t="inlineStr">
        <is>
          <t>Telefon/Internet</t>
        </is>
      </c>
      <c r="G879" s="1" t="n">
        <v>44930</v>
      </c>
      <c r="H879" t="inlineStr">
        <is>
          <t>Hutchison Drei Austria GmbH, Brünner Straße 52, 1210 Wien, Österreich</t>
        </is>
      </c>
      <c r="K879">
        <f>(IF(AND(I879&lt;&gt;"",AND(J879="",ABS(Q879)&gt;400)),TRUE,FALSE))</f>
        <v/>
      </c>
      <c r="L879" s="214" t="n">
        <v>15</v>
      </c>
      <c r="M879" s="159" t="n">
        <v>1</v>
      </c>
      <c r="N879" t="n">
        <v>20</v>
      </c>
      <c r="O879" s="237">
        <f>L879*N879/100</f>
        <v/>
      </c>
      <c r="P879" s="237">
        <f>M879*O879</f>
        <v/>
      </c>
      <c r="Q879" s="208">
        <f>L879*M879</f>
        <v/>
      </c>
      <c r="R879" s="251">
        <f>L879+O879</f>
        <v/>
      </c>
      <c r="S879" s="251">
        <f>Q879+P879</f>
        <v/>
      </c>
      <c r="T879" s="35">
        <f>DATE(YEAR(EOMONTH(G879,2)),MONTH(EOMONTH(G879,2)),15)</f>
        <v/>
      </c>
      <c r="U879" s="27" t="n"/>
      <c r="V879" s="27" t="n"/>
      <c r="W879" s="210">
        <f>IF(K879=TRUE,Q879/I879,Q879)</f>
        <v/>
      </c>
      <c r="X879" s="237">
        <f>V879/100*S879</f>
        <v/>
      </c>
      <c r="Y879">
        <f>IF(AND(V879&gt;0,N879=V879),TRUE,FALSE)</f>
        <v/>
      </c>
      <c r="Z879" s="228">
        <f>IF(C879="Einnahmen",Q879,-Q879)</f>
        <v/>
      </c>
    </row>
    <row r="880">
      <c r="A880" s="53" t="n">
        <v>2023</v>
      </c>
      <c r="B880" s="53" t="n">
        <v>6</v>
      </c>
      <c r="C880" s="71" t="inlineStr">
        <is>
          <t>Ausgaben</t>
        </is>
      </c>
      <c r="D880" t="inlineStr">
        <is>
          <t>sonstige Betriebsausgaben</t>
        </is>
      </c>
      <c r="G880" s="1" t="n">
        <v>44931</v>
      </c>
      <c r="H880" t="inlineStr">
        <is>
          <t>go green energy GmbH &amp; Co KG</t>
        </is>
      </c>
      <c r="K880">
        <f>(IF(AND(I880&lt;&gt;"",AND(J880="",ABS(Q880)&gt;400)),TRUE,FALSE))</f>
        <v/>
      </c>
      <c r="L880" s="214" t="n">
        <v>5</v>
      </c>
      <c r="M880" s="159" t="n">
        <v>1</v>
      </c>
      <c r="N880" t="n">
        <v>20</v>
      </c>
      <c r="O880" s="237">
        <f>L880*N880/100</f>
        <v/>
      </c>
      <c r="P880" s="237">
        <f>M880*O880</f>
        <v/>
      </c>
      <c r="Q880" s="208">
        <f>L880*M880</f>
        <v/>
      </c>
      <c r="R880" s="251">
        <f>L880+O880</f>
        <v/>
      </c>
      <c r="S880" s="251">
        <f>Q880+P880</f>
        <v/>
      </c>
      <c r="T880" s="35">
        <f>DATE(YEAR(EOMONTH(G880,2)),MONTH(EOMONTH(G880,2)),15)</f>
        <v/>
      </c>
      <c r="U880" s="27" t="n"/>
      <c r="V880" s="27" t="n"/>
      <c r="W880" s="210">
        <f>IF(K880=TRUE,Q880/J880,Q880)</f>
        <v/>
      </c>
      <c r="X880" s="237">
        <f>V880/100*S880</f>
        <v/>
      </c>
      <c r="Y880">
        <f>IF(AND(V880&gt;0,N880=V880),TRUE,FALSE)</f>
        <v/>
      </c>
      <c r="Z880" s="228">
        <f>IF(C880="Einnahmen",Q880,-Q880)</f>
        <v/>
      </c>
    </row>
    <row r="881">
      <c r="A881" s="53" t="n">
        <v>2023</v>
      </c>
      <c r="B881" s="53" t="n">
        <v>7</v>
      </c>
      <c r="C881" s="71" t="inlineStr">
        <is>
          <t>Ausgaben</t>
        </is>
      </c>
      <c r="D881" t="inlineStr">
        <is>
          <t>Miet- und Pachtaufwand, Leasing</t>
        </is>
      </c>
      <c r="E881" s="61" t="inlineStr">
        <is>
          <t>BELEG FEHLT</t>
        </is>
      </c>
      <c r="G881" s="1" t="n">
        <v>44935</v>
      </c>
      <c r="H881" t="inlineStr">
        <is>
          <t>Techem Messtechnik GmbH; Abnehmernummer 501686-0003-11-</t>
        </is>
      </c>
      <c r="K881" t="b">
        <v>0</v>
      </c>
      <c r="L881" s="214" t="n">
        <v>122.6</v>
      </c>
      <c r="M881" s="159" t="n">
        <v>1</v>
      </c>
      <c r="N881" t="n">
        <v>20</v>
      </c>
      <c r="O881" s="237">
        <f>L881*N881/100</f>
        <v/>
      </c>
      <c r="P881" s="237">
        <f>M881*O881</f>
        <v/>
      </c>
      <c r="Q881" s="208">
        <f>L881*M881</f>
        <v/>
      </c>
      <c r="R881" s="251">
        <f>L881+O881</f>
        <v/>
      </c>
      <c r="S881" s="251">
        <f>Q881+P881</f>
        <v/>
      </c>
      <c r="T881" s="35">
        <f>DATE(YEAR(EOMONTH(G881,2)),MONTH(EOMONTH(G881,2)),15)</f>
        <v/>
      </c>
      <c r="U881" s="27" t="n"/>
      <c r="V881" s="27" t="n"/>
      <c r="W881" s="210">
        <f>IF(K881=TRUE,Q881/J881,Q881)</f>
        <v/>
      </c>
      <c r="X881" s="237">
        <f>V881/100*S881</f>
        <v/>
      </c>
      <c r="Y881">
        <f>IF(AND(V881&gt;0,N881=V881),TRUE,FALSE)</f>
        <v/>
      </c>
      <c r="Z881" s="228">
        <f>IF(C881="Einnahmen",Q881,-Q881)</f>
        <v/>
      </c>
    </row>
    <row r="882">
      <c r="A882" s="53" t="n">
        <v>2023</v>
      </c>
      <c r="B882" s="53" t="n">
        <v>8</v>
      </c>
      <c r="C882" s="71" t="inlineStr">
        <is>
          <t>Ausgaben</t>
        </is>
      </c>
      <c r="D882" t="inlineStr">
        <is>
          <t>sonstige Betriebsausgaben</t>
        </is>
      </c>
      <c r="G882" s="1" t="n">
        <v>44935</v>
      </c>
      <c r="H882" t="inlineStr">
        <is>
          <t>go green energy GmbH &amp; Co KG</t>
        </is>
      </c>
      <c r="K882">
        <f>(IF(AND(I882&lt;&gt;"",AND(J882="",ABS(Q882)&gt;400)),TRUE,FALSE))</f>
        <v/>
      </c>
      <c r="L882" s="214">
        <f>0.96/1.2</f>
        <v/>
      </c>
      <c r="M882" s="159" t="n">
        <v>1</v>
      </c>
      <c r="N882" t="n">
        <v>20</v>
      </c>
      <c r="O882" s="237">
        <f>L882*N882/100</f>
        <v/>
      </c>
      <c r="P882" s="237">
        <f>M882*O882</f>
        <v/>
      </c>
      <c r="Q882" s="208">
        <f>L882*M882</f>
        <v/>
      </c>
      <c r="R882" s="251">
        <f>L882+O882</f>
        <v/>
      </c>
      <c r="S882" s="251">
        <f>Q882+P882</f>
        <v/>
      </c>
      <c r="T882" s="35">
        <f>DATE(YEAR(EOMONTH(G882,2)),MONTH(EOMONTH(G882,2)),15)</f>
        <v/>
      </c>
      <c r="U882" s="27" t="n"/>
      <c r="V882" s="27" t="n"/>
      <c r="W882" s="210">
        <f>IF(K882=TRUE,Q882/J882,Q882)</f>
        <v/>
      </c>
      <c r="X882" s="237">
        <f>V882/100*S882</f>
        <v/>
      </c>
      <c r="Y882">
        <f>IF(AND(V882&gt;0,N882=V882),TRUE,FALSE)</f>
        <v/>
      </c>
      <c r="Z882" s="228">
        <f>IF(C882="Einnahmen",Q882,-Q882)</f>
        <v/>
      </c>
    </row>
    <row r="883">
      <c r="A883" s="53" t="n">
        <v>2023</v>
      </c>
      <c r="B883" s="53" t="n">
        <v>9</v>
      </c>
      <c r="C883" s="71" t="inlineStr">
        <is>
          <t>Ausgaben</t>
        </is>
      </c>
      <c r="D883" t="inlineStr">
        <is>
          <t>sonstige Betriebsausgaben</t>
        </is>
      </c>
      <c r="E883" s="9" t="inlineStr">
        <is>
          <t>12022028</t>
        </is>
      </c>
      <c r="G883" s="1" t="n">
        <v>44937</v>
      </c>
      <c r="H883" t="inlineStr">
        <is>
          <t>foxcraft - DI Mag. Alexander Wagner, Leschetitzkygasse 30/5, 1180 Wien</t>
        </is>
      </c>
      <c r="K883">
        <f>(IF(AND(I883&lt;&gt;"",AND(J883="",ABS(Q883)&gt;400)),TRUE,FALSE))</f>
        <v/>
      </c>
      <c r="L883" s="214" t="n">
        <v>58.22</v>
      </c>
      <c r="M883" s="159" t="n">
        <v>1</v>
      </c>
      <c r="N883" t="n">
        <v>20</v>
      </c>
      <c r="O883" s="237">
        <f>L883*N883/100</f>
        <v/>
      </c>
      <c r="P883" s="237">
        <f>M883*O883</f>
        <v/>
      </c>
      <c r="Q883" s="208">
        <f>L883*M883</f>
        <v/>
      </c>
      <c r="R883" s="251">
        <f>L883+O883</f>
        <v/>
      </c>
      <c r="S883" s="251">
        <f>Q883+P883</f>
        <v/>
      </c>
      <c r="T883" s="35">
        <f>DATE(YEAR(EOMONTH(G883,2)),MONTH(EOMONTH(G883,2)),15)</f>
        <v/>
      </c>
      <c r="U883" s="27" t="n"/>
      <c r="V883" s="27" t="n"/>
      <c r="W883" s="210">
        <f>IF(K883=TRUE,Q883/I883,Q883)</f>
        <v/>
      </c>
      <c r="X883" s="237">
        <f>V883/100*S883</f>
        <v/>
      </c>
      <c r="Y883">
        <f>IF(AND(V883&gt;0,N883=V883),TRUE,FALSE)</f>
        <v/>
      </c>
      <c r="Z883" s="228">
        <f>IF(C883="Einnahmen",Q883,-Q883)</f>
        <v/>
      </c>
    </row>
    <row r="884">
      <c r="A884" s="53" t="n">
        <v>2023</v>
      </c>
      <c r="B884" s="53" t="n">
        <v>10</v>
      </c>
      <c r="C884" s="71" t="inlineStr">
        <is>
          <t>Ausgaben</t>
        </is>
      </c>
      <c r="D884" t="inlineStr">
        <is>
          <t>sonstige Betriebsausgaben</t>
        </is>
      </c>
      <c r="G884" s="1" t="n">
        <v>44938</v>
      </c>
      <c r="H884" t="inlineStr">
        <is>
          <t>Hetzner Online GmbH</t>
        </is>
      </c>
      <c r="K884">
        <f>(IF(AND(I884&lt;&gt;"",AND(J884="",ABS(Q884)&gt;400)),TRUE,FALSE))</f>
        <v/>
      </c>
      <c r="L884" s="214" t="n">
        <v>51.3403</v>
      </c>
      <c r="M884" s="159" t="n">
        <v>1</v>
      </c>
      <c r="N884" t="n">
        <v>0</v>
      </c>
      <c r="O884" s="237">
        <f>L884*N884/100</f>
        <v/>
      </c>
      <c r="P884" s="237">
        <f>M884*O884</f>
        <v/>
      </c>
      <c r="Q884" s="208">
        <f>L884*M884</f>
        <v/>
      </c>
      <c r="R884" s="251">
        <f>L884+O884</f>
        <v/>
      </c>
      <c r="S884" s="251">
        <f>Q884+P884</f>
        <v/>
      </c>
      <c r="T884" s="35">
        <f>DATE(YEAR(EOMONTH(G884,2)),MONTH(EOMONTH(G884,2)),15)</f>
        <v/>
      </c>
      <c r="U884" s="27" t="n"/>
      <c r="V884" s="27" t="n">
        <v>20</v>
      </c>
      <c r="W884" s="210">
        <f>IF(K884=TRUE,Q884/J884,Q884)</f>
        <v/>
      </c>
      <c r="X884" s="237">
        <f>V884/100*S884</f>
        <v/>
      </c>
      <c r="Y884">
        <f>IF(AND(V884&gt;0,N884=V884),TRUE,FALSE)</f>
        <v/>
      </c>
      <c r="Z884" s="228">
        <f>IF(C884="Einnahmen",Q884,-Q884)</f>
        <v/>
      </c>
    </row>
    <row r="885">
      <c r="A885" s="53" t="n">
        <v>2023</v>
      </c>
      <c r="B885" s="53" t="n">
        <v>11</v>
      </c>
      <c r="C885" s="71" t="inlineStr">
        <is>
          <t>Einnahmen</t>
        </is>
      </c>
      <c r="D885" t="inlineStr">
        <is>
          <t>Waren-/Leistungserlöse</t>
        </is>
      </c>
      <c r="E885" t="n">
        <v>168047262</v>
      </c>
      <c r="G885" s="1" t="n">
        <v>44939</v>
      </c>
      <c r="H885" t="inlineStr">
        <is>
          <t>Hays Österreich GmbH, Bahnhof City Wien West , Europaplatz 3/5, 1150 Wien</t>
        </is>
      </c>
      <c r="K885">
        <f>(IF(AND(I885&lt;&gt;"",AND(J885="",ABS(Q885)&gt;400)),TRUE,FALSE))</f>
        <v/>
      </c>
      <c r="L885" s="214" t="n">
        <v>15708</v>
      </c>
      <c r="M885" s="159" t="n">
        <v>1</v>
      </c>
      <c r="N885" t="n">
        <v>20</v>
      </c>
      <c r="O885" s="237">
        <f>L885*N885/100</f>
        <v/>
      </c>
      <c r="P885" s="237">
        <f>M885*O885</f>
        <v/>
      </c>
      <c r="Q885" s="208">
        <f>L885*M885</f>
        <v/>
      </c>
      <c r="R885" s="251">
        <f>L885+O885</f>
        <v/>
      </c>
      <c r="S885" s="251">
        <f>Q885+P885</f>
        <v/>
      </c>
      <c r="T885" s="35">
        <f>DATE(YEAR(EOMONTH(G885,2)),MONTH(EOMONTH(G885,2)),15)</f>
        <v/>
      </c>
      <c r="U885" s="27" t="n"/>
      <c r="V885" s="27" t="n"/>
      <c r="W885" s="210">
        <f>IF(K885=TRUE,Q885/J885,Q885)</f>
        <v/>
      </c>
      <c r="X885" s="237">
        <f>V885/100*S885</f>
        <v/>
      </c>
      <c r="Y885">
        <f>IF(AND(V885&gt;0,N885=V885),TRUE,FALSE)</f>
        <v/>
      </c>
      <c r="Z885" s="228">
        <f>IF(C885="Einnahmen",Q885,-Q885)</f>
        <v/>
      </c>
    </row>
    <row r="886">
      <c r="A886" s="53" t="n">
        <v>2023</v>
      </c>
      <c r="B886" s="53" t="n">
        <v>12</v>
      </c>
      <c r="C886" s="71" t="inlineStr">
        <is>
          <t>Ausgaben</t>
        </is>
      </c>
      <c r="D886" t="inlineStr">
        <is>
          <t>Personalaufwand</t>
        </is>
      </c>
      <c r="E886" s="9" t="inlineStr">
        <is>
          <t>siehe 2022-140</t>
        </is>
      </c>
      <c r="G886" s="1" t="n">
        <v>44942</v>
      </c>
      <c r="H886" t="inlineStr">
        <is>
          <t>Honorar Eva Jaros-Kolbitsch</t>
        </is>
      </c>
      <c r="K886">
        <f>(IF(AND(I886&lt;&gt;"",AND(J886="",ABS(Q886)&gt;400)),TRUE,FALSE))</f>
        <v/>
      </c>
      <c r="L886" s="214" t="n">
        <v>365</v>
      </c>
      <c r="M886" s="159" t="n">
        <v>1</v>
      </c>
      <c r="N886" t="n">
        <v>0</v>
      </c>
      <c r="O886" s="237">
        <f>L886*N886/100</f>
        <v/>
      </c>
      <c r="P886" s="237">
        <f>M886*O886</f>
        <v/>
      </c>
      <c r="Q886" s="208">
        <f>L886*M886</f>
        <v/>
      </c>
      <c r="R886" s="251">
        <f>L886+O886</f>
        <v/>
      </c>
      <c r="S886" s="251">
        <f>Q886+P886</f>
        <v/>
      </c>
      <c r="T886" s="35">
        <f>DATE(YEAR(EOMONTH(G886,2)),MONTH(EOMONTH(G886,2)),15)</f>
        <v/>
      </c>
      <c r="U886" s="27" t="n"/>
      <c r="V886" s="27" t="n"/>
      <c r="W886" s="210">
        <f>IF(K886=TRUE,Q886/J886,Q886)</f>
        <v/>
      </c>
      <c r="X886" s="237">
        <f>V886/100*S886</f>
        <v/>
      </c>
      <c r="Y886">
        <f>IF(AND(V886&gt;0,N886=V886),TRUE,FALSE)</f>
        <v/>
      </c>
      <c r="Z886" s="228">
        <f>IF(C886="Einnahmen",Q886,-Q886)</f>
        <v/>
      </c>
    </row>
    <row r="887">
      <c r="A887" s="53" t="n">
        <v>2023</v>
      </c>
      <c r="B887" s="53" t="n">
        <v>13</v>
      </c>
      <c r="C887" s="71" t="inlineStr">
        <is>
          <t>Einnahmen</t>
        </is>
      </c>
      <c r="D887" t="inlineStr">
        <is>
          <t>Waren-/Leistungserlöse</t>
        </is>
      </c>
      <c r="E887" s="9" t="inlineStr">
        <is>
          <t>12022030</t>
        </is>
      </c>
      <c r="G887" s="1" t="n">
        <v>44943</v>
      </c>
      <c r="H887" t="inlineStr">
        <is>
          <t>Musikschule Bad Vöslau, Hauptstraße 14, 2540 Bad Vöslau</t>
        </is>
      </c>
      <c r="K887">
        <f>(IF(AND(I887&lt;&gt;"",AND(J887="",ABS(Q887)&gt;400)),TRUE,FALSE))</f>
        <v/>
      </c>
      <c r="L887" s="214" t="n">
        <v>178</v>
      </c>
      <c r="M887" s="159" t="n">
        <v>1</v>
      </c>
      <c r="N887" t="n">
        <v>20</v>
      </c>
      <c r="O887" s="237">
        <f>L887*N887/100</f>
        <v/>
      </c>
      <c r="P887" s="237">
        <f>M887*O887</f>
        <v/>
      </c>
      <c r="Q887" s="208">
        <f>L887*M887</f>
        <v/>
      </c>
      <c r="R887" s="251">
        <f>L887+O887</f>
        <v/>
      </c>
      <c r="S887" s="251">
        <f>Q887+P887</f>
        <v/>
      </c>
      <c r="T887" s="35">
        <f>DATE(YEAR(EOMONTH(G887,2)),MONTH(EOMONTH(G887,2)),15)</f>
        <v/>
      </c>
      <c r="U887" s="27" t="n"/>
      <c r="V887" s="27" t="n"/>
      <c r="W887" s="210">
        <f>IF(K887=TRUE,Q887/J887,Q887)</f>
        <v/>
      </c>
      <c r="X887" s="237">
        <f>V887/100*S887</f>
        <v/>
      </c>
      <c r="Y887">
        <f>IF(AND(V887&gt;0,N887=V887),TRUE,FALSE)</f>
        <v/>
      </c>
      <c r="Z887" s="228">
        <f>IF(C887="Einnahmen",Q887,-Q887)</f>
        <v/>
      </c>
    </row>
    <row r="888">
      <c r="A888" s="53" t="n">
        <v>2023</v>
      </c>
      <c r="B888" s="53" t="n">
        <v>14</v>
      </c>
      <c r="C888" s="71" t="inlineStr">
        <is>
          <t>Ausgaben</t>
        </is>
      </c>
      <c r="D888" t="inlineStr">
        <is>
          <t>sonstige Betriebsausgaben</t>
        </is>
      </c>
      <c r="G888" s="1" t="n">
        <v>44945</v>
      </c>
      <c r="H888" t="inlineStr">
        <is>
          <t>Microsoft Ireland Operations Ltd. One Microsoft Place, South County, Business Park, Leopardstown, Dublin 18, D18 P521, Ireland</t>
        </is>
      </c>
      <c r="K888">
        <f>(IF(AND(I888&lt;&gt;"",AND(J888="",ABS(Q888)&gt;400)),TRUE,FALSE))</f>
        <v/>
      </c>
      <c r="L888" s="214" t="n">
        <v>10.5</v>
      </c>
      <c r="M888" s="159" t="n">
        <v>1</v>
      </c>
      <c r="N888" t="n">
        <v>0</v>
      </c>
      <c r="O888" s="237">
        <f>L888*N888/100</f>
        <v/>
      </c>
      <c r="P888" s="237">
        <f>M888*O888</f>
        <v/>
      </c>
      <c r="Q888" s="208">
        <f>L888*M888</f>
        <v/>
      </c>
      <c r="R888" s="251">
        <f>L888+O888</f>
        <v/>
      </c>
      <c r="S888" s="251">
        <f>Q888+P888</f>
        <v/>
      </c>
      <c r="T888" s="35">
        <f>DATE(YEAR(EOMONTH(G888,2)),MONTH(EOMONTH(G888,2)),15)</f>
        <v/>
      </c>
      <c r="U888" s="27" t="n"/>
      <c r="V888" s="27" t="n">
        <v>20</v>
      </c>
      <c r="W888" s="210">
        <f>IF(K888=TRUE,Q888/J888,Q888)</f>
        <v/>
      </c>
      <c r="X888" s="237">
        <f>V888/100*S888</f>
        <v/>
      </c>
      <c r="Y888">
        <f>IF(AND(V888&gt;0,N888=V888),TRUE,FALSE)</f>
        <v/>
      </c>
      <c r="Z888" s="228">
        <f>IF(C888="Einnahmen",Q888,-Q888)</f>
        <v/>
      </c>
    </row>
    <row r="889">
      <c r="A889" s="53" t="n">
        <v>2023</v>
      </c>
      <c r="B889" s="53" t="n">
        <v>15</v>
      </c>
      <c r="C889" s="71" t="inlineStr">
        <is>
          <t>Ausgaben</t>
        </is>
      </c>
      <c r="D889" t="inlineStr">
        <is>
          <t>Telefon/Internet</t>
        </is>
      </c>
      <c r="E889" s="131" t="inlineStr">
        <is>
          <t>901153451222</t>
        </is>
      </c>
      <c r="G889" s="1" t="n">
        <v>44946</v>
      </c>
      <c r="H889" t="inlineStr">
        <is>
          <t>Magenta: T-Mobile Austria GmbH, A-1120 Wien, PF 47</t>
        </is>
      </c>
      <c r="K889">
        <f>(IF(AND(I889&lt;&gt;"",AND(J889="",ABS(Q889)&gt;400)),TRUE,FALSE))</f>
        <v/>
      </c>
      <c r="L889" s="214" t="n">
        <v>31.92</v>
      </c>
      <c r="M889" s="159" t="n">
        <v>1</v>
      </c>
      <c r="N889" t="n">
        <v>20</v>
      </c>
      <c r="O889" s="237">
        <f>L889*N889/100</f>
        <v/>
      </c>
      <c r="P889" s="237">
        <f>M889*O889</f>
        <v/>
      </c>
      <c r="Q889" s="208">
        <f>L889*M889</f>
        <v/>
      </c>
      <c r="R889" s="251">
        <f>L889+O889</f>
        <v/>
      </c>
      <c r="S889" s="251">
        <f>Q889+P889</f>
        <v/>
      </c>
      <c r="T889" s="35">
        <f>DATE(YEAR(EOMONTH(G889,2)),MONTH(EOMONTH(G889,2)),15)</f>
        <v/>
      </c>
      <c r="U889" s="27" t="n"/>
      <c r="V889" s="27" t="n"/>
      <c r="W889" s="210">
        <f>IF(K889=TRUE,Q889/I889,Q889)</f>
        <v/>
      </c>
      <c r="X889" s="237">
        <f>V889/100*S889</f>
        <v/>
      </c>
      <c r="Y889">
        <f>IF(AND(V889&gt;0,N889=V889),TRUE,FALSE)</f>
        <v/>
      </c>
      <c r="Z889" s="228">
        <f>IF(C889="Einnahmen",Q889,-Q889)</f>
        <v/>
      </c>
    </row>
    <row r="890">
      <c r="A890" s="53" t="n">
        <v>2023</v>
      </c>
      <c r="B890" s="53" t="n">
        <v>16</v>
      </c>
      <c r="C890" s="71" t="inlineStr">
        <is>
          <t>Ausgaben</t>
        </is>
      </c>
      <c r="D890" t="inlineStr">
        <is>
          <t>sonstige Betriebsausgaben</t>
        </is>
      </c>
      <c r="E890" s="9" t="inlineStr">
        <is>
          <t>28182354875/13113/0</t>
        </is>
      </c>
      <c r="G890" s="1" t="n">
        <v>44950</v>
      </c>
      <c r="H890" t="inlineStr">
        <is>
          <t>Aon Austria GmbH</t>
        </is>
      </c>
      <c r="K890">
        <f>(IF(AND(I890&lt;&gt;"",AND(J890="",ABS(Q890)&gt;400)),TRUE,FALSE))</f>
        <v/>
      </c>
      <c r="L890" s="214" t="n">
        <v>265.08</v>
      </c>
      <c r="M890" s="159" t="n">
        <v>1</v>
      </c>
      <c r="N890" t="n">
        <v>0</v>
      </c>
      <c r="O890" s="237">
        <f>L890*N890/100</f>
        <v/>
      </c>
      <c r="P890" s="237">
        <f>M890*O890</f>
        <v/>
      </c>
      <c r="Q890" s="208">
        <f>L890*M890</f>
        <v/>
      </c>
      <c r="R890" s="251">
        <f>L890+O890</f>
        <v/>
      </c>
      <c r="S890" s="251">
        <f>Q890+P890</f>
        <v/>
      </c>
      <c r="T890" s="35">
        <f>DATE(YEAR(EOMONTH(G890,2)),MONTH(EOMONTH(G890,2)),15)</f>
        <v/>
      </c>
      <c r="U890" s="27" t="n"/>
      <c r="V890" s="27" t="n"/>
      <c r="W890" s="210">
        <f>IF(K890=TRUE,Q890/J890,Q890)</f>
        <v/>
      </c>
      <c r="X890" s="237">
        <f>V890/100*S890</f>
        <v/>
      </c>
      <c r="Y890">
        <f>IF(AND(V890&gt;0,N890=V890),TRUE,FALSE)</f>
        <v/>
      </c>
      <c r="Z890" s="228">
        <f>IF(C890="Einnahmen",Q890,-Q890)</f>
        <v/>
      </c>
    </row>
    <row r="891">
      <c r="A891" s="53" t="n">
        <v>2023</v>
      </c>
      <c r="B891" s="53" t="n">
        <v>17</v>
      </c>
      <c r="C891" s="71" t="inlineStr">
        <is>
          <t>Ausgaben</t>
        </is>
      </c>
      <c r="D891" t="inlineStr">
        <is>
          <t>sonstige Betriebsausgaben</t>
        </is>
      </c>
      <c r="E891" s="9" t="inlineStr">
        <is>
          <t>RE1229110</t>
        </is>
      </c>
      <c r="G891" s="1" t="n">
        <v>44952</v>
      </c>
      <c r="H891" t="inlineStr">
        <is>
          <t>easyname GmbH, Fernkorngasse 10/3/501, A-1100 Wien</t>
        </is>
      </c>
      <c r="K891">
        <f>(IF(AND(I891&lt;&gt;"",AND(J891="",ABS(Q891)&gt;400)),TRUE,FALSE))</f>
        <v/>
      </c>
      <c r="L891" s="214" t="n">
        <v>20.75</v>
      </c>
      <c r="M891" s="159" t="n">
        <v>1</v>
      </c>
      <c r="N891" t="n">
        <v>20</v>
      </c>
      <c r="O891" s="237">
        <f>L891*N891/100</f>
        <v/>
      </c>
      <c r="P891" s="237">
        <f>M891*O891</f>
        <v/>
      </c>
      <c r="Q891" s="208">
        <f>L891*M891</f>
        <v/>
      </c>
      <c r="R891" s="251">
        <f>L891+O891</f>
        <v/>
      </c>
      <c r="S891" s="251">
        <f>Q891+P891</f>
        <v/>
      </c>
      <c r="T891" s="35">
        <f>DATE(YEAR(EOMONTH(G891,2)),MONTH(EOMONTH(G891,2)),15)</f>
        <v/>
      </c>
      <c r="U891" s="27" t="n"/>
      <c r="V891" s="27" t="n"/>
      <c r="W891" s="210">
        <f>IF(K891=TRUE,Q891/J891,Q891)</f>
        <v/>
      </c>
      <c r="X891" s="237">
        <f>V891/100*S891</f>
        <v/>
      </c>
      <c r="Y891">
        <f>IF(AND(V891&gt;0,N891=V891),TRUE,FALSE)</f>
        <v/>
      </c>
      <c r="Z891" s="228">
        <f>IF(C891="Einnahmen",Q891,-Q891)</f>
        <v/>
      </c>
    </row>
    <row r="892">
      <c r="A892" s="53" t="n">
        <v>2023</v>
      </c>
      <c r="B892" s="53" t="n">
        <v>18</v>
      </c>
      <c r="C892" s="71" t="inlineStr">
        <is>
          <t>Ausgaben</t>
        </is>
      </c>
      <c r="D892" t="inlineStr">
        <is>
          <t>Büromaterial</t>
        </is>
      </c>
      <c r="E892" s="9" t="inlineStr">
        <is>
          <t>AT31WDF4AEUI</t>
        </is>
      </c>
      <c r="G892" s="1" t="n">
        <v>44956</v>
      </c>
      <c r="H892" t="inlineStr">
        <is>
          <t>Amazon EU S. à r.l., 38 avenue John F. Kennedy, L-1855 Luxembourg: HJEU: DVI-HDMI, Logitech Maus</t>
        </is>
      </c>
      <c r="K892" t="b">
        <v>0</v>
      </c>
      <c r="L892" s="214" t="n">
        <v>55.44</v>
      </c>
      <c r="M892" s="159" t="n">
        <v>1</v>
      </c>
      <c r="N892" t="n">
        <v>20</v>
      </c>
      <c r="O892" s="237">
        <f>L892*N892/100</f>
        <v/>
      </c>
      <c r="P892" s="237">
        <f>M892*O892</f>
        <v/>
      </c>
      <c r="Q892" s="208">
        <f>L892*M892</f>
        <v/>
      </c>
      <c r="R892" s="251">
        <f>L892+O892</f>
        <v/>
      </c>
      <c r="S892" s="251">
        <f>Q892+P892</f>
        <v/>
      </c>
      <c r="T892" s="35">
        <f>DATE(YEAR(EOMONTH(G892,2)),MONTH(EOMONTH(G892,2)),15)</f>
        <v/>
      </c>
      <c r="U892" s="27" t="n"/>
      <c r="V892" s="27" t="n"/>
      <c r="W892" s="210">
        <f>IF(K892=TRUE,Q892/I892,Q892)</f>
        <v/>
      </c>
      <c r="X892" s="237">
        <f>V892/100*S892</f>
        <v/>
      </c>
      <c r="Y892">
        <f>IF(AND(V892&gt;0,N892=V892),TRUE,FALSE)</f>
        <v/>
      </c>
      <c r="Z892" s="228">
        <f>IF(C892="Einnahmen",Q892,-Q892)</f>
        <v/>
      </c>
    </row>
    <row r="893">
      <c r="A893" s="53" t="n">
        <v>2023</v>
      </c>
      <c r="B893" s="53" t="n">
        <v>19</v>
      </c>
      <c r="C893" s="71" t="inlineStr">
        <is>
          <t>Ausgaben</t>
        </is>
      </c>
      <c r="D893" t="inlineStr">
        <is>
          <t>Miet- und Pachtaufwand, Leasing</t>
        </is>
      </c>
      <c r="G893" s="1" t="n">
        <v>44958</v>
      </c>
      <c r="H893" t="inlineStr">
        <is>
          <t>Bontus Immobilienverwaltung GmbH, 1010 Wien, Franz Josefs Kai 65</t>
        </is>
      </c>
      <c r="K893" t="b">
        <v>0</v>
      </c>
      <c r="L893" s="214" t="n">
        <v>515.85</v>
      </c>
      <c r="M893" s="159" t="n">
        <v>1</v>
      </c>
      <c r="N893" t="n">
        <v>20</v>
      </c>
      <c r="O893" s="237">
        <f>L893*N893/100</f>
        <v/>
      </c>
      <c r="P893" s="237">
        <f>M893*O893</f>
        <v/>
      </c>
      <c r="Q893" s="208">
        <f>L893*M893</f>
        <v/>
      </c>
      <c r="R893" s="251">
        <f>L893+O893</f>
        <v/>
      </c>
      <c r="S893" s="251">
        <f>Q893+P893</f>
        <v/>
      </c>
      <c r="T893" s="35">
        <f>DATE(YEAR(EOMONTH(G893,2)),MONTH(EOMONTH(G893,2)),15)</f>
        <v/>
      </c>
      <c r="U893" s="27" t="n"/>
      <c r="V893" s="27" t="n"/>
      <c r="W893" s="210">
        <f>IF(K893=TRUE,Q893/J893,Q893)</f>
        <v/>
      </c>
      <c r="X893" s="237">
        <f>V893/100*S893</f>
        <v/>
      </c>
      <c r="Y893">
        <f>IF(AND(V893&gt;0,N893=V893),TRUE,FALSE)</f>
        <v/>
      </c>
      <c r="Z893" s="228">
        <f>IF(C893="Einnahmen",Q893,-Q893)</f>
        <v/>
      </c>
    </row>
    <row r="894">
      <c r="A894" s="53" t="n">
        <v>2023</v>
      </c>
      <c r="B894" s="53" t="n">
        <v>20</v>
      </c>
      <c r="C894" s="71" t="inlineStr">
        <is>
          <t>Ausgaben</t>
        </is>
      </c>
      <c r="D894" t="inlineStr">
        <is>
          <t>Reise- und Fahrtspesen inkl. Kilometergeld und Diäten</t>
        </is>
      </c>
      <c r="E894" s="131" t="n"/>
      <c r="G894" s="1" t="n">
        <v>44958</v>
      </c>
      <c r="H894" t="inlineStr">
        <is>
          <t>car2go Österreich GmbH, Hintere Zollamtstraße 9, 1030 Wien</t>
        </is>
      </c>
      <c r="K894" t="b">
        <v>0</v>
      </c>
      <c r="L894" s="214" t="n">
        <v>21.8</v>
      </c>
      <c r="M894" s="159" t="n">
        <v>1</v>
      </c>
      <c r="N894" t="n">
        <v>20</v>
      </c>
      <c r="O894" s="237">
        <f>L894*N894/100</f>
        <v/>
      </c>
      <c r="P894" s="237">
        <f>M894*O894</f>
        <v/>
      </c>
      <c r="Q894" s="208">
        <f>L894*M894</f>
        <v/>
      </c>
      <c r="R894" s="251">
        <f>L894+O894</f>
        <v/>
      </c>
      <c r="S894" s="251">
        <f>Q894+P894</f>
        <v/>
      </c>
      <c r="T894" s="35">
        <f>DATE(YEAR(EOMONTH(G894,2)),MONTH(EOMONTH(G894,2)),15)</f>
        <v/>
      </c>
      <c r="U894" s="27" t="n"/>
      <c r="V894" s="27" t="n"/>
      <c r="W894" s="210">
        <f>IF(K894=TRUE,Q894/J894,Q894)</f>
        <v/>
      </c>
      <c r="X894" s="237">
        <f>V894/100*S894</f>
        <v/>
      </c>
      <c r="Y894">
        <f>IF(AND(V894&gt;0,N894=V894),TRUE,FALSE)</f>
        <v/>
      </c>
      <c r="Z894" s="228">
        <f>IF(C894="Einnahmen",Q894,-Q894)</f>
        <v/>
      </c>
    </row>
    <row r="895">
      <c r="A895" s="53" t="n">
        <v>2023</v>
      </c>
      <c r="B895" s="53" t="n">
        <v>21</v>
      </c>
      <c r="C895" s="71" t="inlineStr">
        <is>
          <t>Ausgaben</t>
        </is>
      </c>
      <c r="D895" t="inlineStr">
        <is>
          <t>sonstige Betriebsausgaben</t>
        </is>
      </c>
      <c r="G895" s="1" t="n">
        <v>44960</v>
      </c>
      <c r="H895" t="inlineStr">
        <is>
          <t>Google Ireland Ltd, Gordon House, Barrow Street, Dublin 4, Ireland; VAT number: IE 6388047V</t>
        </is>
      </c>
      <c r="K895" t="b">
        <v>0</v>
      </c>
      <c r="L895" s="214" t="n">
        <v>9.359999999999999</v>
      </c>
      <c r="M895" s="159" t="n">
        <v>1</v>
      </c>
      <c r="N895" t="n">
        <v>0</v>
      </c>
      <c r="O895" s="237">
        <f>L895*N895/100</f>
        <v/>
      </c>
      <c r="P895" s="237">
        <f>M895*O895</f>
        <v/>
      </c>
      <c r="Q895" s="208">
        <f>L895*M895</f>
        <v/>
      </c>
      <c r="R895" s="251">
        <f>L895+O895</f>
        <v/>
      </c>
      <c r="S895" s="251">
        <f>Q895+P895</f>
        <v/>
      </c>
      <c r="T895" s="35">
        <f>DATE(YEAR(EOMONTH(G895,2)),MONTH(EOMONTH(G895,2)),15)</f>
        <v/>
      </c>
      <c r="U895" s="27" t="n"/>
      <c r="V895" s="27" t="n">
        <v>20</v>
      </c>
      <c r="W895" s="210">
        <f>IF(K895=TRUE,Q895/I895,Q895)</f>
        <v/>
      </c>
      <c r="X895" s="237">
        <f>V895/100*S895</f>
        <v/>
      </c>
      <c r="Y895">
        <f>IF(AND(V895&gt;0,N895=V895),TRUE,FALSE)</f>
        <v/>
      </c>
      <c r="Z895" s="228">
        <f>IF(C895="Einnahmen",Q895,-Q895)</f>
        <v/>
      </c>
    </row>
    <row r="896">
      <c r="A896" s="53" t="n">
        <v>2023</v>
      </c>
      <c r="B896" s="53" t="n">
        <v>22</v>
      </c>
      <c r="C896" s="71" t="inlineStr">
        <is>
          <t>Ausgaben</t>
        </is>
      </c>
      <c r="D896" t="inlineStr">
        <is>
          <t>Telefon/Internet</t>
        </is>
      </c>
      <c r="G896" s="1" t="n">
        <v>44959</v>
      </c>
      <c r="H896" t="inlineStr">
        <is>
          <t>Hutchison Drei Austria GmbH, Brünner Straße 52, 1210 Wien, Österreich</t>
        </is>
      </c>
      <c r="K896">
        <f>(IF(AND(I896&lt;&gt;"",AND(J896="",ABS(Q896)&gt;400)),TRUE,FALSE))</f>
        <v/>
      </c>
      <c r="L896" s="214" t="n">
        <v>15</v>
      </c>
      <c r="M896" s="159" t="n">
        <v>1</v>
      </c>
      <c r="N896" t="n">
        <v>20</v>
      </c>
      <c r="O896" s="237">
        <f>L896*N896/100</f>
        <v/>
      </c>
      <c r="P896" s="237">
        <f>M896*O896</f>
        <v/>
      </c>
      <c r="Q896" s="208">
        <f>L896*M896</f>
        <v/>
      </c>
      <c r="R896" s="251">
        <f>L896+O896</f>
        <v/>
      </c>
      <c r="S896" s="251">
        <f>Q896+P896</f>
        <v/>
      </c>
      <c r="T896" s="35">
        <f>DATE(YEAR(EOMONTH(G896,2)),MONTH(EOMONTH(G896,2)),15)</f>
        <v/>
      </c>
      <c r="U896" s="27" t="n"/>
      <c r="V896" s="27" t="n"/>
      <c r="W896" s="210">
        <f>IF(K896=TRUE,Q896/I896,Q896)</f>
        <v/>
      </c>
      <c r="X896" s="237">
        <f>V896/100*S896</f>
        <v/>
      </c>
      <c r="Y896">
        <f>IF(AND(V896&gt;0,N896=V896),TRUE,FALSE)</f>
        <v/>
      </c>
      <c r="Z896" s="228">
        <f>IF(C896="Einnahmen",Q896,-Q896)</f>
        <v/>
      </c>
    </row>
    <row r="897">
      <c r="A897" s="53" t="n">
        <v>2023</v>
      </c>
      <c r="B897" s="53" t="n">
        <v>23</v>
      </c>
      <c r="C897" s="71" t="inlineStr">
        <is>
          <t>Ausgaben</t>
        </is>
      </c>
      <c r="D897" t="inlineStr">
        <is>
          <t>sonstige Betriebsausgaben</t>
        </is>
      </c>
      <c r="G897" s="1" t="n">
        <v>44960</v>
      </c>
      <c r="H897" t="inlineStr">
        <is>
          <t>go green energy GmbH &amp; Co KG</t>
        </is>
      </c>
      <c r="K897">
        <f>(IF(AND(I897&lt;&gt;"",AND(J897="",ABS(Q897)&gt;400)),TRUE,FALSE))</f>
        <v/>
      </c>
      <c r="L897" s="214" t="n">
        <v>5</v>
      </c>
      <c r="M897" s="159" t="n">
        <v>1</v>
      </c>
      <c r="N897" t="n">
        <v>20</v>
      </c>
      <c r="O897" s="237">
        <f>L897*N897/100</f>
        <v/>
      </c>
      <c r="P897" s="237">
        <f>M897*O897</f>
        <v/>
      </c>
      <c r="Q897" s="208">
        <f>L897*M897</f>
        <v/>
      </c>
      <c r="R897" s="251">
        <f>L897+O897</f>
        <v/>
      </c>
      <c r="S897" s="251">
        <f>Q897+P897</f>
        <v/>
      </c>
      <c r="T897" s="35">
        <f>DATE(YEAR(EOMONTH(G897,2)),MONTH(EOMONTH(G897,2)),15)</f>
        <v/>
      </c>
      <c r="U897" s="27" t="n"/>
      <c r="V897" s="27" t="n"/>
      <c r="W897" s="210">
        <f>IF(K897=TRUE,Q897/J897,Q897)</f>
        <v/>
      </c>
      <c r="X897" s="237">
        <f>V897/100*S897</f>
        <v/>
      </c>
      <c r="Y897">
        <f>IF(AND(V897&gt;0,N897=V897),TRUE,FALSE)</f>
        <v/>
      </c>
      <c r="Z897" s="228">
        <f>IF(C897="Einnahmen",Q897,-Q897)</f>
        <v/>
      </c>
    </row>
    <row r="898">
      <c r="A898" s="53" t="n">
        <v>2023</v>
      </c>
      <c r="B898" s="53" t="n">
        <v>24</v>
      </c>
      <c r="C898" s="71" t="inlineStr">
        <is>
          <t>Ausgaben</t>
        </is>
      </c>
      <c r="D898" t="inlineStr">
        <is>
          <t>Büromaterial</t>
        </is>
      </c>
      <c r="G898" s="1" t="n">
        <v>44961</v>
      </c>
      <c r="H898" t="inlineStr">
        <is>
          <t>Büroprofi Koch Papier GmbH, 1080 Wien, Josefstädter Str  87</t>
        </is>
      </c>
      <c r="K898">
        <f>(IF(AND(I898&lt;&gt;"",AND(J898="",ABS(Q898)&gt;400)),TRUE,FALSE))</f>
        <v/>
      </c>
      <c r="L898" s="214">
        <f>13.84/1.2</f>
        <v/>
      </c>
      <c r="M898" s="159" t="n">
        <v>1</v>
      </c>
      <c r="N898" t="n">
        <v>20</v>
      </c>
      <c r="O898" s="237">
        <f>L898*N898/100</f>
        <v/>
      </c>
      <c r="P898" s="237">
        <f>M898*O898</f>
        <v/>
      </c>
      <c r="Q898" s="208">
        <f>L898*M898</f>
        <v/>
      </c>
      <c r="R898" s="251">
        <f>L898+O898</f>
        <v/>
      </c>
      <c r="S898" s="251">
        <f>Q898+P898</f>
        <v/>
      </c>
      <c r="T898" s="35">
        <f>DATE(YEAR(EOMONTH(G898,2)),MONTH(EOMONTH(G898,2)),15)</f>
        <v/>
      </c>
      <c r="U898" s="27" t="n"/>
      <c r="V898" s="27" t="n"/>
      <c r="W898" s="210">
        <f>IF(K898=TRUE,Q898/J898,Q898)</f>
        <v/>
      </c>
      <c r="X898" s="237">
        <f>V898/100*S898</f>
        <v/>
      </c>
      <c r="Y898">
        <f>IF(AND(V898&gt;0,N898=V898),TRUE,FALSE)</f>
        <v/>
      </c>
      <c r="Z898" s="228">
        <f>IF(C898="Einnahmen",Q898,-Q898)</f>
        <v/>
      </c>
    </row>
    <row r="899">
      <c r="A899" s="53" t="n">
        <v>2023</v>
      </c>
      <c r="B899" s="53" t="n">
        <v>25</v>
      </c>
      <c r="C899" s="71" t="inlineStr">
        <is>
          <t>Ausgaben</t>
        </is>
      </c>
      <c r="D899" t="inlineStr">
        <is>
          <t>Büromaterial</t>
        </is>
      </c>
      <c r="E899" s="9" t="inlineStr">
        <is>
          <t>071149</t>
        </is>
      </c>
      <c r="G899" s="1" t="n">
        <v>44927</v>
      </c>
      <c r="H899" t="inlineStr">
        <is>
          <t>STORNIERT "Libro" PL Handelsgesellschaft mbH, 1080 Wien, Josefstädter Straße 105, ATU 56240311 (war 14.12.2022)</t>
        </is>
      </c>
      <c r="K899">
        <f>(IF(AND(I899&lt;&gt;"",AND(J899="",ABS(Q899)&gt;400)),TRUE,FALSE))</f>
        <v/>
      </c>
      <c r="L899" s="214">
        <f>8.68/1.2</f>
        <v/>
      </c>
      <c r="M899" s="159" t="n">
        <v>1</v>
      </c>
      <c r="N899" t="n">
        <v>20</v>
      </c>
      <c r="O899" s="237">
        <f>L899*N899/100</f>
        <v/>
      </c>
      <c r="P899" s="237">
        <f>M899*O899</f>
        <v/>
      </c>
      <c r="Q899" s="208">
        <f>L899*M899</f>
        <v/>
      </c>
      <c r="R899" s="251">
        <f>L899+O899</f>
        <v/>
      </c>
      <c r="S899" s="251">
        <f>Q899+P899</f>
        <v/>
      </c>
      <c r="T899" s="35">
        <f>DATE(YEAR(EOMONTH(G899,2)),MONTH(EOMONTH(G899,2)),15)</f>
        <v/>
      </c>
      <c r="U899" s="27" t="n"/>
      <c r="V899" s="27" t="n"/>
      <c r="W899" s="210">
        <f>IF(K899=TRUE,Q899/J899,Q899)</f>
        <v/>
      </c>
      <c r="X899" s="237">
        <f>V899/100*S899</f>
        <v/>
      </c>
      <c r="Y899">
        <f>IF(AND(V899&gt;0,N899=V899),TRUE,FALSE)</f>
        <v/>
      </c>
      <c r="Z899" s="228">
        <f>IF(C899="Einnahmen",Q899,-Q899)</f>
        <v/>
      </c>
    </row>
    <row r="900">
      <c r="A900" s="155" t="n">
        <v>2023</v>
      </c>
      <c r="B900" s="155" t="n">
        <v>26</v>
      </c>
      <c r="C900" s="71" t="inlineStr">
        <is>
          <t>Ausgaben</t>
        </is>
      </c>
      <c r="D900" t="inlineStr">
        <is>
          <t>Büromaterial</t>
        </is>
      </c>
      <c r="E900" s="9" t="inlineStr">
        <is>
          <t>AT2Q8NVIAEUI</t>
        </is>
      </c>
      <c r="G900" s="1" t="n">
        <v>44963</v>
      </c>
      <c r="H900" t="inlineStr">
        <is>
          <t>Amazon EU S. à r.l., 38 avenue John F. Kennedy, L-1855 Luxembourg: HJEU: DVI-HDMI, Logitech Maus</t>
        </is>
      </c>
      <c r="K900" t="b">
        <v>0</v>
      </c>
      <c r="L900" s="214" t="n">
        <v>-16.8</v>
      </c>
      <c r="M900" s="159" t="n">
        <v>1</v>
      </c>
      <c r="N900" t="n">
        <v>20</v>
      </c>
      <c r="O900" s="237">
        <f>L900*N900/100</f>
        <v/>
      </c>
      <c r="P900" s="237">
        <f>M900*O900</f>
        <v/>
      </c>
      <c r="Q900" s="208">
        <f>L900*M900</f>
        <v/>
      </c>
      <c r="R900" s="251">
        <f>L900+O900</f>
        <v/>
      </c>
      <c r="S900" s="251">
        <f>Q900+P900</f>
        <v/>
      </c>
      <c r="T900" s="35">
        <f>DATE(YEAR(EOMONTH(G900,2)),MONTH(EOMONTH(G900,2)),15)</f>
        <v/>
      </c>
      <c r="U900" s="27" t="n"/>
      <c r="V900" s="27" t="n"/>
      <c r="W900" s="210">
        <f>IF(K900=TRUE,Q900/I900,Q900)</f>
        <v/>
      </c>
      <c r="X900" s="237">
        <f>V900/100*S900</f>
        <v/>
      </c>
      <c r="Y900">
        <f>IF(AND(V900&gt;0,N900=V900),TRUE,FALSE)</f>
        <v/>
      </c>
      <c r="Z900" s="228">
        <f>IF(C900="Einnahmen",Q900,-Q900)</f>
        <v/>
      </c>
    </row>
    <row r="901">
      <c r="A901" s="155" t="n">
        <v>2023</v>
      </c>
      <c r="B901" s="155" t="n">
        <v>27</v>
      </c>
      <c r="C901" s="71" t="inlineStr">
        <is>
          <t>Ausgaben</t>
        </is>
      </c>
      <c r="D901" t="inlineStr">
        <is>
          <t>Personalaufwand</t>
        </is>
      </c>
      <c r="E901" s="9" t="inlineStr">
        <is>
          <t>66008669</t>
        </is>
      </c>
      <c r="G901" s="1" t="n">
        <v>44963</v>
      </c>
      <c r="H901" t="inlineStr">
        <is>
          <t>Österreichische Gesundheitskasse, Beiträge Eva Jaros-Kolbitsch 2023/1-12</t>
        </is>
      </c>
      <c r="L901" s="214" t="n">
        <v>119.52</v>
      </c>
      <c r="M901" s="159" t="n">
        <v>1</v>
      </c>
      <c r="N901" t="n">
        <v>0</v>
      </c>
      <c r="O901" s="237">
        <f>L901*N901/100</f>
        <v/>
      </c>
      <c r="P901" s="237">
        <f>M901*O901</f>
        <v/>
      </c>
      <c r="Q901" s="208">
        <f>L901*M901</f>
        <v/>
      </c>
      <c r="R901" s="251">
        <f>L901+O901</f>
        <v/>
      </c>
      <c r="S901" s="251">
        <f>Q901+P901</f>
        <v/>
      </c>
      <c r="T901" s="35">
        <f>DATE(YEAR(EOMONTH(G901,2)),MONTH(EOMONTH(G901,2)),15)</f>
        <v/>
      </c>
      <c r="U901" s="27" t="n"/>
      <c r="V901" s="27" t="n"/>
      <c r="W901" s="210">
        <f>IF(K901=TRUE,Q901/I901,Q901)</f>
        <v/>
      </c>
      <c r="X901" s="237">
        <f>V901/100*S901</f>
        <v/>
      </c>
      <c r="Y901">
        <f>IF(AND(V901&gt;0,N901=V901),TRUE,FALSE)</f>
        <v/>
      </c>
      <c r="Z901" s="228">
        <f>IF(C901="Einnahmen",Q901,-Q901)</f>
        <v/>
      </c>
    </row>
    <row r="902">
      <c r="A902" s="155" t="n">
        <v>2023</v>
      </c>
      <c r="B902" s="155" t="n">
        <v>28</v>
      </c>
      <c r="C902" s="71" t="inlineStr">
        <is>
          <t>Ausgaben</t>
        </is>
      </c>
      <c r="D902" t="inlineStr">
        <is>
          <t>Miet- und Pachtaufwand, Leasing</t>
        </is>
      </c>
      <c r="E902" s="61" t="inlineStr">
        <is>
          <t>BELEG FEHLT</t>
        </is>
      </c>
      <c r="G902" s="1" t="n">
        <v>44963</v>
      </c>
      <c r="H902" t="inlineStr">
        <is>
          <t>Techem Messtechnik GmbH; Abnehmernummer 501686-0003-11-</t>
        </is>
      </c>
      <c r="K902" t="b">
        <v>0</v>
      </c>
      <c r="L902" s="214" t="n">
        <v>122.6</v>
      </c>
      <c r="M902" s="159" t="n">
        <v>1</v>
      </c>
      <c r="N902" t="n">
        <v>20</v>
      </c>
      <c r="O902" s="237">
        <f>L902*N902/100</f>
        <v/>
      </c>
      <c r="P902" s="237">
        <f>M902*O902</f>
        <v/>
      </c>
      <c r="Q902" s="208">
        <f>L902*M902</f>
        <v/>
      </c>
      <c r="R902" s="251">
        <f>L902+O902</f>
        <v/>
      </c>
      <c r="S902" s="251">
        <f>Q902+P902</f>
        <v/>
      </c>
      <c r="T902" s="35">
        <f>DATE(YEAR(EOMONTH(G902,2)),MONTH(EOMONTH(G902,2)),15)</f>
        <v/>
      </c>
      <c r="U902" s="27" t="n"/>
      <c r="V902" s="27" t="n"/>
      <c r="W902" s="210">
        <f>IF(K902=TRUE,Q902/J902,Q902)</f>
        <v/>
      </c>
      <c r="X902" s="237">
        <f>V902/100*S902</f>
        <v/>
      </c>
      <c r="Y902">
        <f>IF(AND(V902&gt;0,N902=V902),TRUE,FALSE)</f>
        <v/>
      </c>
      <c r="Z902" s="228">
        <f>IF(C902="Einnahmen",Q902,-Q902)</f>
        <v/>
      </c>
    </row>
    <row r="903">
      <c r="A903" s="155" t="n">
        <v>2023</v>
      </c>
      <c r="B903" s="155" t="n">
        <v>29</v>
      </c>
      <c r="C903" s="71" t="inlineStr">
        <is>
          <t>Einnahmen</t>
        </is>
      </c>
      <c r="D903" t="inlineStr">
        <is>
          <t>Waren-/Leistungserlöse</t>
        </is>
      </c>
      <c r="E903" t="n">
        <v>12022029</v>
      </c>
      <c r="G903" s="1" t="n">
        <v>44965</v>
      </c>
      <c r="H903" t="inlineStr">
        <is>
          <t>Paperholic all bout paper e.U.</t>
        </is>
      </c>
      <c r="K903" t="b">
        <v>0</v>
      </c>
      <c r="L903" s="214" t="n">
        <v>540</v>
      </c>
      <c r="M903" s="159" t="n">
        <v>1</v>
      </c>
      <c r="N903" t="n">
        <v>20</v>
      </c>
      <c r="O903" s="237">
        <f>L903*N903/100</f>
        <v/>
      </c>
      <c r="P903" s="237">
        <f>M903*O903</f>
        <v/>
      </c>
      <c r="Q903" s="208">
        <f>L903*M903</f>
        <v/>
      </c>
      <c r="R903" s="251">
        <f>L903+O903</f>
        <v/>
      </c>
      <c r="S903" s="251">
        <f>Q903+P903</f>
        <v/>
      </c>
      <c r="T903" s="35">
        <f>DATE(YEAR(EOMONTH(G903,2)),MONTH(EOMONTH(G903,2)),15)</f>
        <v/>
      </c>
      <c r="U903" s="27" t="n"/>
      <c r="V903" s="27" t="n"/>
      <c r="W903" s="210">
        <f>IF(K903=TRUE,Q903/I903,Q903)</f>
        <v/>
      </c>
      <c r="X903" s="237">
        <f>V903/100*S903</f>
        <v/>
      </c>
      <c r="Y903">
        <f>IF(AND(V903&gt;0,N903=V903),TRUE,FALSE)</f>
        <v/>
      </c>
      <c r="Z903" s="228">
        <f>IF(C903="Einnahmen",Q903,-Q903)</f>
        <v/>
      </c>
    </row>
    <row r="904">
      <c r="A904" s="155" t="n">
        <v>2023</v>
      </c>
      <c r="B904" s="155" t="n">
        <v>30</v>
      </c>
      <c r="C904" s="71" t="inlineStr">
        <is>
          <t>Einnahmen</t>
        </is>
      </c>
      <c r="D904" t="inlineStr">
        <is>
          <t>Waren-/Leistungserlöse</t>
        </is>
      </c>
      <c r="E904" t="n">
        <v>12022026</v>
      </c>
      <c r="G904" s="1" t="n">
        <v>44965</v>
      </c>
      <c r="H904" t="inlineStr">
        <is>
          <t>Hays Österreich GmbH, Bahnhof City Wien West , Europaplatz 3/5, 1150 Wien</t>
        </is>
      </c>
      <c r="K904">
        <f>(IF(AND(I904&lt;&gt;"",AND(J904="",ABS(Q904)&gt;400)),TRUE,FALSE))</f>
        <v/>
      </c>
      <c r="L904" s="214" t="n">
        <v>12537</v>
      </c>
      <c r="M904" s="159" t="n">
        <v>1</v>
      </c>
      <c r="N904" t="n">
        <v>20</v>
      </c>
      <c r="O904" s="237">
        <f>L904*N904/100</f>
        <v/>
      </c>
      <c r="P904" s="237">
        <f>M904*O904</f>
        <v/>
      </c>
      <c r="Q904" s="208">
        <f>L904*M904</f>
        <v/>
      </c>
      <c r="R904" s="251">
        <f>L904+O904</f>
        <v/>
      </c>
      <c r="S904" s="251">
        <f>Q904+P904</f>
        <v/>
      </c>
      <c r="T904" s="35">
        <f>DATE(YEAR(EOMONTH(G904,2)),MONTH(EOMONTH(G904,2)),15)</f>
        <v/>
      </c>
      <c r="U904" s="27" t="n"/>
      <c r="V904" s="27" t="n"/>
      <c r="W904" s="210">
        <f>IF(K904=TRUE,Q904/J904,Q904)</f>
        <v/>
      </c>
      <c r="X904" s="237">
        <f>V904/100*S904</f>
        <v/>
      </c>
      <c r="Y904">
        <f>IF(AND(V904&gt;0,N904=V904),TRUE,FALSE)</f>
        <v/>
      </c>
      <c r="Z904" s="228">
        <f>IF(C904="Einnahmen",Q904,-Q904)</f>
        <v/>
      </c>
    </row>
    <row r="905">
      <c r="A905" s="155" t="n">
        <v>2023</v>
      </c>
      <c r="B905" s="155" t="n">
        <v>31</v>
      </c>
      <c r="C905" s="71" t="inlineStr">
        <is>
          <t>Ausgaben</t>
        </is>
      </c>
      <c r="D905" t="inlineStr">
        <is>
          <t>sonstige Betriebsausgaben</t>
        </is>
      </c>
      <c r="G905" s="1" t="n">
        <v>44970</v>
      </c>
      <c r="H905" t="inlineStr">
        <is>
          <t>Hetzner Online GmbH</t>
        </is>
      </c>
      <c r="K905">
        <f>(IF(AND(I905&lt;&gt;"",AND(J905="",ABS(Q905)&gt;400)),TRUE,FALSE))</f>
        <v/>
      </c>
      <c r="L905" s="214" t="n">
        <v>52.2141</v>
      </c>
      <c r="M905" s="159" t="n">
        <v>1</v>
      </c>
      <c r="N905" t="n">
        <v>0</v>
      </c>
      <c r="O905" s="237">
        <f>L905*N905/100</f>
        <v/>
      </c>
      <c r="P905" s="237">
        <f>M905*O905</f>
        <v/>
      </c>
      <c r="Q905" s="208">
        <f>L905*M905</f>
        <v/>
      </c>
      <c r="R905" s="251">
        <f>L905+O905</f>
        <v/>
      </c>
      <c r="S905" s="251">
        <f>Q905+P905</f>
        <v/>
      </c>
      <c r="T905" s="35">
        <f>DATE(YEAR(EOMONTH(G905,2)),MONTH(EOMONTH(G905,2)),15)</f>
        <v/>
      </c>
      <c r="U905" s="27" t="n"/>
      <c r="V905" s="27" t="n">
        <v>20</v>
      </c>
      <c r="W905" s="210">
        <f>IF(K905=TRUE,Q905/J905,Q905)</f>
        <v/>
      </c>
      <c r="X905" s="237">
        <f>V905/100*S905</f>
        <v/>
      </c>
      <c r="Y905">
        <f>IF(AND(V905&gt;0,N905=V905),TRUE,FALSE)</f>
        <v/>
      </c>
      <c r="Z905" s="228">
        <f>IF(C905="Einnahmen",Q905,-Q905)</f>
        <v/>
      </c>
    </row>
    <row r="906">
      <c r="A906" s="155" t="n">
        <v>2023</v>
      </c>
      <c r="B906" s="155" t="n">
        <v>32</v>
      </c>
      <c r="C906" s="71" t="inlineStr">
        <is>
          <t>Ausgaben</t>
        </is>
      </c>
      <c r="D906" t="inlineStr">
        <is>
          <t>sonstige Betriebsausgaben</t>
        </is>
      </c>
      <c r="E906" s="61" t="inlineStr">
        <is>
          <t>BELEG FEHLT</t>
        </is>
      </c>
      <c r="G906" s="1" t="n">
        <v>44967</v>
      </c>
      <c r="H906" t="inlineStr">
        <is>
          <t>Wiener Netze GmbH, Erdbergstraße 236, 1110 Wien, Postfach 422; Jahresabrechnung vom 17.12.20: GUTSCHRIFT</t>
        </is>
      </c>
      <c r="K906">
        <f>(IF(AND(I906&lt;&gt;"",AND(J906="",ABS(Q906)&gt;400)),TRUE,FALSE))</f>
        <v/>
      </c>
      <c r="L906" s="214" t="n">
        <v>12</v>
      </c>
      <c r="M906" s="159" t="n">
        <v>1</v>
      </c>
      <c r="N906" t="n">
        <v>20</v>
      </c>
      <c r="O906" s="237">
        <f>L906*N906/100</f>
        <v/>
      </c>
      <c r="P906" s="237">
        <f>M906*O906</f>
        <v/>
      </c>
      <c r="Q906" s="208">
        <f>L906*M906</f>
        <v/>
      </c>
      <c r="R906" s="251">
        <f>L906+O906</f>
        <v/>
      </c>
      <c r="S906" s="251">
        <f>Q906+P906</f>
        <v/>
      </c>
      <c r="T906" s="35">
        <f>DATE(YEAR(EOMONTH(G906,2)),MONTH(EOMONTH(G906,2)),15)</f>
        <v/>
      </c>
      <c r="U906" s="27" t="n"/>
      <c r="V906" s="27" t="n"/>
      <c r="W906" s="210">
        <f>IF(K906=TRUE,Q906/J906,Q906)</f>
        <v/>
      </c>
      <c r="X906" s="237">
        <f>V906/100*S906</f>
        <v/>
      </c>
      <c r="Y906">
        <f>IF(AND(V906&gt;0,N906=V906),TRUE,FALSE)</f>
        <v/>
      </c>
      <c r="Z906" s="228">
        <f>IF(C906="Einnahmen",Q906,-Q906)</f>
        <v/>
      </c>
    </row>
    <row r="907">
      <c r="A907" s="155" t="n">
        <v>2023</v>
      </c>
      <c r="B907" s="155" t="n">
        <v>33</v>
      </c>
      <c r="C907" s="71" t="inlineStr">
        <is>
          <t>Ausgaben</t>
        </is>
      </c>
      <c r="D907" t="inlineStr">
        <is>
          <t>Büromaterial</t>
        </is>
      </c>
      <c r="E907" s="9" t="inlineStr">
        <is>
          <t>AT32ZOGEAEUI</t>
        </is>
      </c>
      <c r="G907" s="1" t="n">
        <v>44971</v>
      </c>
      <c r="H907" t="inlineStr">
        <is>
          <t>Amazon EU S. à r.l., 38 avenue John F. Kennedy, L-1855 Luxembourg: HJEU: DVI-HDMI, Logitech Maus</t>
        </is>
      </c>
      <c r="K907" t="b">
        <v>0</v>
      </c>
      <c r="L907" s="214" t="n">
        <v>8.050000000000001</v>
      </c>
      <c r="M907" s="159" t="n">
        <v>1</v>
      </c>
      <c r="N907" t="n">
        <v>20</v>
      </c>
      <c r="O907" s="237">
        <f>L907*N907/100</f>
        <v/>
      </c>
      <c r="P907" s="237">
        <f>M907*O907</f>
        <v/>
      </c>
      <c r="Q907" s="208">
        <f>L907*M907</f>
        <v/>
      </c>
      <c r="R907" s="251">
        <f>L907+O907</f>
        <v/>
      </c>
      <c r="S907" s="251">
        <f>Q907+P907</f>
        <v/>
      </c>
      <c r="T907" s="35">
        <f>DATE(YEAR(EOMONTH(G907,2)),MONTH(EOMONTH(G907,2)),15)</f>
        <v/>
      </c>
      <c r="U907" s="27" t="n"/>
      <c r="V907" s="27" t="n"/>
      <c r="W907" s="210">
        <f>IF(K907=TRUE,Q907/I907,Q907)</f>
        <v/>
      </c>
      <c r="X907" s="237">
        <f>V907/100*S907</f>
        <v/>
      </c>
      <c r="Y907">
        <f>IF(AND(V907&gt;0,N907=V907),TRUE,FALSE)</f>
        <v/>
      </c>
      <c r="Z907" s="228">
        <f>IF(C907="Einnahmen",Q907,-Q907)</f>
        <v/>
      </c>
    </row>
    <row r="908">
      <c r="A908" s="155" t="n">
        <v>2023</v>
      </c>
      <c r="B908" s="155" t="n">
        <v>34</v>
      </c>
      <c r="C908" s="71" t="inlineStr">
        <is>
          <t>Ausgaben</t>
        </is>
      </c>
      <c r="D908" t="inlineStr">
        <is>
          <t>Personalaufwand</t>
        </is>
      </c>
      <c r="E908" s="9" t="inlineStr">
        <is>
          <t>siehe 2022-140</t>
        </is>
      </c>
      <c r="G908" s="1" t="n">
        <v>44972</v>
      </c>
      <c r="H908" t="inlineStr">
        <is>
          <t>Honorar Eva Jaros-Kolbitsch</t>
        </is>
      </c>
      <c r="K908">
        <f>(IF(AND(I908&lt;&gt;"",AND(J908="",ABS(Q908)&gt;400)),TRUE,FALSE))</f>
        <v/>
      </c>
      <c r="L908" s="214" t="n">
        <v>365</v>
      </c>
      <c r="M908" s="159" t="n">
        <v>1</v>
      </c>
      <c r="N908" t="n">
        <v>0</v>
      </c>
      <c r="O908" s="237">
        <f>L908*N908/100</f>
        <v/>
      </c>
      <c r="P908" s="237">
        <f>M908*O908</f>
        <v/>
      </c>
      <c r="Q908" s="208">
        <f>L908*M908</f>
        <v/>
      </c>
      <c r="R908" s="251">
        <f>L908+O908</f>
        <v/>
      </c>
      <c r="S908" s="251">
        <f>Q908+P908</f>
        <v/>
      </c>
      <c r="T908" s="35">
        <f>DATE(YEAR(EOMONTH(G908,2)),MONTH(EOMONTH(G908,2)),15)</f>
        <v/>
      </c>
      <c r="U908" s="27" t="n"/>
      <c r="V908" s="27" t="n"/>
      <c r="W908" s="210">
        <f>IF(K908=TRUE,Q908/J908,Q908)</f>
        <v/>
      </c>
      <c r="X908" s="237">
        <f>V908/100*S908</f>
        <v/>
      </c>
      <c r="Y908">
        <f>IF(AND(V908&gt;0,N908=V908),TRUE,FALSE)</f>
        <v/>
      </c>
      <c r="Z908" s="228">
        <f>IF(C908="Einnahmen",Q908,-Q908)</f>
        <v/>
      </c>
    </row>
    <row r="909">
      <c r="A909" s="155" t="n">
        <v>2023</v>
      </c>
      <c r="B909" s="155" t="n">
        <v>35</v>
      </c>
      <c r="C909" s="71" t="inlineStr">
        <is>
          <t>Ausgaben</t>
        </is>
      </c>
      <c r="D909" t="inlineStr">
        <is>
          <t>Reise- und Fahrtspesen inkl. Kilometergeld und Diäten</t>
        </is>
      </c>
      <c r="E909" s="131" t="n"/>
      <c r="G909" s="1" t="n">
        <v>44973</v>
      </c>
      <c r="H909" t="inlineStr">
        <is>
          <t>car2go Österreich GmbH, Hintere Zollamtstraße 9, 1030 Wien</t>
        </is>
      </c>
      <c r="K909" t="b">
        <v>0</v>
      </c>
      <c r="L909" s="214" t="n">
        <v>16.67</v>
      </c>
      <c r="M909" s="159" t="n">
        <v>1</v>
      </c>
      <c r="N909" t="n">
        <v>20</v>
      </c>
      <c r="O909" s="237">
        <f>L909*N909/100</f>
        <v/>
      </c>
      <c r="P909" s="237">
        <f>M909*O909</f>
        <v/>
      </c>
      <c r="Q909" s="208">
        <f>L909*M909</f>
        <v/>
      </c>
      <c r="R909" s="251">
        <f>L909+O909</f>
        <v/>
      </c>
      <c r="S909" s="251">
        <f>Q909+P909</f>
        <v/>
      </c>
      <c r="T909" s="35">
        <f>DATE(YEAR(EOMONTH(G909,2)),MONTH(EOMONTH(G909,2)),15)</f>
        <v/>
      </c>
      <c r="U909" s="27" t="n"/>
      <c r="V909" s="27" t="n"/>
      <c r="W909" s="210">
        <f>IF(K909=TRUE,Q909/J909,Q909)</f>
        <v/>
      </c>
      <c r="X909" s="237">
        <f>V909/100*S909</f>
        <v/>
      </c>
      <c r="Y909">
        <f>IF(AND(V909&gt;0,N909=V909),TRUE,FALSE)</f>
        <v/>
      </c>
      <c r="Z909" s="228">
        <f>IF(C909="Einnahmen",Q909,-Q909)</f>
        <v/>
      </c>
    </row>
    <row r="910">
      <c r="A910" s="155" t="n">
        <v>2023</v>
      </c>
      <c r="B910" s="155" t="n">
        <v>36</v>
      </c>
      <c r="C910" s="71" t="inlineStr">
        <is>
          <t>Ausgaben</t>
        </is>
      </c>
      <c r="D910" t="inlineStr">
        <is>
          <t>sonstige Betriebsausgaben</t>
        </is>
      </c>
      <c r="E910" s="1" t="n"/>
      <c r="G910" s="1" t="n">
        <v>44977</v>
      </c>
      <c r="H910" t="inlineStr">
        <is>
          <t>Microsoft Ireland Operations Ltd. One Microsoft Place, South County, Business Park, Leopardstown, Dublin 18, D18 P521, Ireland</t>
        </is>
      </c>
      <c r="K910">
        <f>(IF(AND(I910&lt;&gt;"",AND(J910="",ABS(Q910)&gt;400)),TRUE,FALSE))</f>
        <v/>
      </c>
      <c r="L910" s="214" t="n">
        <v>10.5</v>
      </c>
      <c r="M910" s="159" t="n">
        <v>1</v>
      </c>
      <c r="N910" t="n">
        <v>0</v>
      </c>
      <c r="O910" s="237">
        <f>L910*N910/100</f>
        <v/>
      </c>
      <c r="P910" s="237">
        <f>M910*O910</f>
        <v/>
      </c>
      <c r="Q910" s="208">
        <f>L910*M910</f>
        <v/>
      </c>
      <c r="R910" s="251">
        <f>L910+O910</f>
        <v/>
      </c>
      <c r="S910" s="251">
        <f>Q910+P910</f>
        <v/>
      </c>
      <c r="T910" s="35">
        <f>DATE(YEAR(EOMONTH(G910,2)),MONTH(EOMONTH(G910,2)),15)</f>
        <v/>
      </c>
      <c r="U910" s="27" t="n"/>
      <c r="V910" s="27" t="n">
        <v>20</v>
      </c>
      <c r="W910" s="210">
        <f>IF(K910=TRUE,Q910/J910,Q910)</f>
        <v/>
      </c>
      <c r="X910" s="237">
        <f>V910/100*S910</f>
        <v/>
      </c>
      <c r="Y910">
        <f>IF(AND(V910&gt;0,N910=V910),TRUE,FALSE)</f>
        <v/>
      </c>
      <c r="Z910" s="228">
        <f>IF(C910="Einnahmen",Q910,-Q910)</f>
        <v/>
      </c>
    </row>
    <row r="911">
      <c r="A911" s="155" t="n">
        <v>2023</v>
      </c>
      <c r="B911" s="155" t="n">
        <v>37</v>
      </c>
      <c r="C911" s="71" t="inlineStr">
        <is>
          <t>Ausgaben</t>
        </is>
      </c>
      <c r="D911" t="inlineStr">
        <is>
          <t>Büromaterial</t>
        </is>
      </c>
      <c r="E911" s="9" t="inlineStr">
        <is>
          <t>diverse</t>
        </is>
      </c>
      <c r="G911" s="1" t="n">
        <v>44978</v>
      </c>
      <c r="H911" t="inlineStr">
        <is>
          <t>Amazon EU S. à r.l., 38 avenue John F. Kennedy, L-1855 Luxembourg: HJEU: DVI-HDMI, Logitech Maus</t>
        </is>
      </c>
      <c r="K911" t="b">
        <v>0</v>
      </c>
      <c r="L911" s="214">
        <f>77.44</f>
        <v/>
      </c>
      <c r="M911" s="159" t="n">
        <v>1</v>
      </c>
      <c r="N911" t="n">
        <v>20</v>
      </c>
      <c r="O911" s="237">
        <f>L911*N911/100</f>
        <v/>
      </c>
      <c r="P911" s="237">
        <f>M911*O911</f>
        <v/>
      </c>
      <c r="Q911" s="208">
        <f>L911*M911</f>
        <v/>
      </c>
      <c r="R911" s="251">
        <f>L911+O911</f>
        <v/>
      </c>
      <c r="S911" s="251">
        <f>Q911+P911</f>
        <v/>
      </c>
      <c r="T911" s="35">
        <f>DATE(YEAR(EOMONTH(G911,2)),MONTH(EOMONTH(G911,2)),15)</f>
        <v/>
      </c>
      <c r="U911" s="27" t="n"/>
      <c r="V911" s="27" t="n"/>
      <c r="W911" s="210">
        <f>IF(K911=TRUE,Q911/I911,Q911)</f>
        <v/>
      </c>
      <c r="X911" s="237">
        <f>V911/100*S911</f>
        <v/>
      </c>
      <c r="Y911">
        <f>IF(AND(V911&gt;0,N911=V911),TRUE,FALSE)</f>
        <v/>
      </c>
      <c r="Z911" s="228">
        <f>IF(C911="Einnahmen",Q911,-Q911)</f>
        <v/>
      </c>
    </row>
    <row r="912">
      <c r="A912" s="155" t="n">
        <v>2023</v>
      </c>
      <c r="B912" s="155" t="n">
        <v>38</v>
      </c>
      <c r="C912" s="71" t="inlineStr">
        <is>
          <t>Ausgaben</t>
        </is>
      </c>
      <c r="D912" t="inlineStr">
        <is>
          <t>Büromaterial</t>
        </is>
      </c>
      <c r="G912" s="1" t="n">
        <v>44978</v>
      </c>
      <c r="H912" t="inlineStr">
        <is>
          <t>Amazon EU S. à r.l., 38 avenue John F. Kennedy, L-1855 Luxembourg: HJEU: DVI-HDMI, Logitech Maus</t>
        </is>
      </c>
      <c r="K912" t="b">
        <v>0</v>
      </c>
      <c r="L912" s="214" t="n">
        <v>6.71</v>
      </c>
      <c r="M912" s="159" t="n">
        <v>1</v>
      </c>
      <c r="N912" t="n">
        <v>20</v>
      </c>
      <c r="O912" s="237">
        <f>L912*N912/100</f>
        <v/>
      </c>
      <c r="P912" s="237">
        <f>M912*O912</f>
        <v/>
      </c>
      <c r="Q912" s="208">
        <f>L912*M912</f>
        <v/>
      </c>
      <c r="R912" s="251">
        <f>L912+O912</f>
        <v/>
      </c>
      <c r="S912" s="251">
        <f>Q912+P912</f>
        <v/>
      </c>
      <c r="T912" s="35">
        <f>DATE(YEAR(EOMONTH(G912,2)),MONTH(EOMONTH(G912,2)),15)</f>
        <v/>
      </c>
      <c r="U912" s="27" t="n"/>
      <c r="V912" s="27" t="n"/>
      <c r="W912" s="210">
        <f>IF(K912=TRUE,Q912/I912,Q912)</f>
        <v/>
      </c>
      <c r="X912" s="237">
        <f>V912/100*S912</f>
        <v/>
      </c>
      <c r="Y912">
        <f>IF(AND(V912&gt;0,N912=V912),TRUE,FALSE)</f>
        <v/>
      </c>
      <c r="Z912" s="228">
        <f>IF(C912="Einnahmen",Q912,-Q912)</f>
        <v/>
      </c>
    </row>
    <row r="913">
      <c r="A913" s="155" t="n">
        <v>2023</v>
      </c>
      <c r="B913" s="155" t="n">
        <v>39</v>
      </c>
      <c r="C913" s="71" t="inlineStr">
        <is>
          <t>Ausgaben</t>
        </is>
      </c>
      <c r="D913" t="inlineStr">
        <is>
          <t>Telefon/Internet</t>
        </is>
      </c>
      <c r="E913" s="131" t="inlineStr">
        <is>
          <t>901117400223</t>
        </is>
      </c>
      <c r="G913" s="1" t="n">
        <v>44978</v>
      </c>
      <c r="H913" t="inlineStr">
        <is>
          <t>Magenta: T-Mobile Austria GmbH, A-1120 Wien, PF 47</t>
        </is>
      </c>
      <c r="K913">
        <f>(IF(AND(I913&lt;&gt;"",AND(J913="",ABS(Q913)&gt;400)),TRUE,FALSE))</f>
        <v/>
      </c>
      <c r="L913" s="214" t="n">
        <v>31.92</v>
      </c>
      <c r="M913" s="159" t="n">
        <v>1</v>
      </c>
      <c r="N913" t="n">
        <v>20</v>
      </c>
      <c r="O913" s="237">
        <f>L913*N913/100</f>
        <v/>
      </c>
      <c r="P913" s="237">
        <f>M913*O913</f>
        <v/>
      </c>
      <c r="Q913" s="208">
        <f>L913*M913</f>
        <v/>
      </c>
      <c r="R913" s="251">
        <f>L913+O913</f>
        <v/>
      </c>
      <c r="S913" s="251">
        <f>Q913+P913</f>
        <v/>
      </c>
      <c r="T913" s="35">
        <f>DATE(YEAR(EOMONTH(G913,2)),MONTH(EOMONTH(G913,2)),15)</f>
        <v/>
      </c>
      <c r="U913" s="27" t="n"/>
      <c r="V913" s="27" t="n"/>
      <c r="W913" s="210">
        <f>IF(K913=TRUE,Q913/I913,Q913)</f>
        <v/>
      </c>
      <c r="X913" s="237">
        <f>V913/100*S913</f>
        <v/>
      </c>
      <c r="Y913">
        <f>IF(AND(V913&gt;0,N913=V913),TRUE,FALSE)</f>
        <v/>
      </c>
      <c r="Z913" s="228">
        <f>IF(C913="Einnahmen",Q913,-Q913)</f>
        <v/>
      </c>
    </row>
    <row r="914">
      <c r="A914" s="155" t="n">
        <v>2023</v>
      </c>
      <c r="B914" s="155" t="n">
        <v>40</v>
      </c>
      <c r="C914" s="71" t="inlineStr">
        <is>
          <t>Ausgaben</t>
        </is>
      </c>
      <c r="D914" t="inlineStr">
        <is>
          <t>Miet- und Pachtaufwand, Leasing</t>
        </is>
      </c>
      <c r="G914" s="1" t="n">
        <v>44986</v>
      </c>
      <c r="H914" t="inlineStr">
        <is>
          <t>Bontus Immobilienverwaltung GmbH, 1010 Wien, Franz Josefs Kai 65</t>
        </is>
      </c>
      <c r="K914" t="b">
        <v>0</v>
      </c>
      <c r="L914" s="214" t="n">
        <v>515.85</v>
      </c>
      <c r="M914" s="159" t="n">
        <v>1</v>
      </c>
      <c r="N914" t="n">
        <v>20</v>
      </c>
      <c r="O914" s="237">
        <f>L914*N914/100</f>
        <v/>
      </c>
      <c r="P914" s="237">
        <f>M914*O914</f>
        <v/>
      </c>
      <c r="Q914" s="208">
        <f>L914*M914</f>
        <v/>
      </c>
      <c r="R914" s="251">
        <f>L914+O914</f>
        <v/>
      </c>
      <c r="S914" s="251">
        <f>Q914+P914</f>
        <v/>
      </c>
      <c r="T914" s="35">
        <f>DATE(YEAR(EOMONTH(G914,2)),MONTH(EOMONTH(G914,2)),15)</f>
        <v/>
      </c>
      <c r="U914" s="27" t="n"/>
      <c r="V914" s="27" t="n"/>
      <c r="W914" s="210">
        <f>IF(K914=TRUE,Q914/J914,Q914)</f>
        <v/>
      </c>
      <c r="X914" s="237">
        <f>V914/100*S914</f>
        <v/>
      </c>
      <c r="Y914">
        <f>IF(AND(V914&gt;0,N914=V914),TRUE,FALSE)</f>
        <v/>
      </c>
      <c r="Z914" s="228">
        <f>IF(C914="Einnahmen",Q914,-Q914)</f>
        <v/>
      </c>
    </row>
    <row r="915">
      <c r="A915" s="155" t="n">
        <v>2023</v>
      </c>
      <c r="B915" s="155" t="n">
        <v>41</v>
      </c>
      <c r="C915" s="71" t="inlineStr">
        <is>
          <t>Ausgaben</t>
        </is>
      </c>
      <c r="D915" t="inlineStr">
        <is>
          <t>Reise- und Fahrtspesen inkl. Kilometergeld und Diäten</t>
        </is>
      </c>
      <c r="E915" s="131" t="n"/>
      <c r="G915" s="1" t="n">
        <v>44987</v>
      </c>
      <c r="H915" t="inlineStr">
        <is>
          <t>car2go Österreich GmbH, Hintere Zollamtstraße 9, 1030 Wien</t>
        </is>
      </c>
      <c r="K915" t="b">
        <v>0</v>
      </c>
      <c r="L915" s="214" t="n">
        <v>16.67</v>
      </c>
      <c r="M915" s="159" t="n">
        <v>1</v>
      </c>
      <c r="N915" t="n">
        <v>20</v>
      </c>
      <c r="O915" s="237">
        <f>L915*N915/100</f>
        <v/>
      </c>
      <c r="P915" s="237">
        <f>M915*O915</f>
        <v/>
      </c>
      <c r="Q915" s="208">
        <f>L915*M915</f>
        <v/>
      </c>
      <c r="R915" s="251">
        <f>L915+O915</f>
        <v/>
      </c>
      <c r="S915" s="251">
        <f>Q915+P915</f>
        <v/>
      </c>
      <c r="T915" s="35">
        <f>DATE(YEAR(EOMONTH(G915,2)),MONTH(EOMONTH(G915,2)),15)</f>
        <v/>
      </c>
      <c r="U915" s="27" t="n"/>
      <c r="V915" s="27" t="n"/>
      <c r="W915" s="210">
        <f>IF(K915=TRUE,Q915/J915,Q915)</f>
        <v/>
      </c>
      <c r="X915" s="237">
        <f>V915/100*S915</f>
        <v/>
      </c>
      <c r="Y915">
        <f>IF(AND(V915&gt;0,N915=V915),TRUE,FALSE)</f>
        <v/>
      </c>
      <c r="Z915" s="228">
        <f>IF(C915="Einnahmen",Q915,-Q915)</f>
        <v/>
      </c>
    </row>
    <row r="916">
      <c r="A916" s="155" t="n">
        <v>2023</v>
      </c>
      <c r="B916" s="155" t="n">
        <v>42</v>
      </c>
      <c r="C916" s="71" t="inlineStr">
        <is>
          <t>Ausgaben</t>
        </is>
      </c>
      <c r="D916" t="inlineStr">
        <is>
          <t>sonstige Betriebsausgaben</t>
        </is>
      </c>
      <c r="G916" s="1" t="n">
        <v>44988</v>
      </c>
      <c r="H916" t="inlineStr">
        <is>
          <t>Google Ireland Ltd, Gordon House, Barrow Street, Dublin 4, Ireland; VAT number: IE 6388047V</t>
        </is>
      </c>
      <c r="K916" t="b">
        <v>0</v>
      </c>
      <c r="L916" s="214" t="n">
        <v>9.359999999999999</v>
      </c>
      <c r="M916" s="159" t="n">
        <v>1</v>
      </c>
      <c r="N916" t="n">
        <v>0</v>
      </c>
      <c r="O916" s="237">
        <f>L916*N916/100</f>
        <v/>
      </c>
      <c r="P916" s="237">
        <f>M916*O916</f>
        <v/>
      </c>
      <c r="Q916" s="208">
        <f>L916*M916</f>
        <v/>
      </c>
      <c r="R916" s="251">
        <f>L916+O916</f>
        <v/>
      </c>
      <c r="S916" s="251">
        <f>Q916+P916</f>
        <v/>
      </c>
      <c r="T916" s="35">
        <f>DATE(YEAR(EOMONTH(G916,2)),MONTH(EOMONTH(G916,2)),15)</f>
        <v/>
      </c>
      <c r="U916" s="27" t="n"/>
      <c r="V916" s="27" t="n">
        <v>20</v>
      </c>
      <c r="W916" s="210">
        <f>IF(K916=TRUE,Q916/I916,Q916)</f>
        <v/>
      </c>
      <c r="X916" s="237">
        <f>V916/100*S916</f>
        <v/>
      </c>
      <c r="Y916">
        <f>IF(AND(V916&gt;0,N916=V916),TRUE,FALSE)</f>
        <v/>
      </c>
      <c r="Z916" s="228">
        <f>IF(C916="Einnahmen",Q916,-Q916)</f>
        <v/>
      </c>
    </row>
    <row r="917">
      <c r="A917" s="155" t="n">
        <v>2023</v>
      </c>
      <c r="B917" s="155" t="n">
        <v>43</v>
      </c>
      <c r="C917" s="71" t="inlineStr">
        <is>
          <t>Ausgaben</t>
        </is>
      </c>
      <c r="D917" t="inlineStr">
        <is>
          <t>Miet- und Pachtaufwand, Leasing</t>
        </is>
      </c>
      <c r="E917" s="61" t="inlineStr">
        <is>
          <t>BELEG FEHLT</t>
        </is>
      </c>
      <c r="G917" s="1" t="n">
        <v>44991</v>
      </c>
      <c r="H917" t="inlineStr">
        <is>
          <t>Techem Messtechnik GmbH; Abnehmernummer 501686-0003-11-</t>
        </is>
      </c>
      <c r="K917" t="b">
        <v>0</v>
      </c>
      <c r="L917" s="214" t="n">
        <v>122.6</v>
      </c>
      <c r="M917" s="159" t="n">
        <v>1</v>
      </c>
      <c r="N917" t="n">
        <v>20</v>
      </c>
      <c r="O917" s="237">
        <f>L917*N917/100</f>
        <v/>
      </c>
      <c r="P917" s="237">
        <f>M917*O917</f>
        <v/>
      </c>
      <c r="Q917" s="208">
        <f>L917*M917</f>
        <v/>
      </c>
      <c r="R917" s="251">
        <f>L917+O917</f>
        <v/>
      </c>
      <c r="S917" s="251">
        <f>Q917+P917</f>
        <v/>
      </c>
      <c r="T917" s="35">
        <f>DATE(YEAR(EOMONTH(G917,2)),MONTH(EOMONTH(G917,2)),15)</f>
        <v/>
      </c>
      <c r="U917" s="27" t="n"/>
      <c r="V917" s="27" t="n"/>
      <c r="W917" s="210">
        <f>IF(K917=TRUE,Q917/J917,Q917)</f>
        <v/>
      </c>
      <c r="X917" s="237">
        <f>V917/100*S917</f>
        <v/>
      </c>
      <c r="Y917">
        <f>IF(AND(V917&gt;0,N917=V917),TRUE,FALSE)</f>
        <v/>
      </c>
      <c r="Z917" s="228">
        <f>IF(C917="Einnahmen",Q917,-Q917)</f>
        <v/>
      </c>
    </row>
    <row r="918">
      <c r="A918" s="155" t="n">
        <v>2023</v>
      </c>
      <c r="B918" s="155" t="n">
        <v>44</v>
      </c>
      <c r="C918" s="71" t="inlineStr">
        <is>
          <t>Ausgaben</t>
        </is>
      </c>
      <c r="D918" t="inlineStr">
        <is>
          <t>sonstige Betriebsausgaben</t>
        </is>
      </c>
      <c r="G918" s="1" t="n">
        <v>44988</v>
      </c>
      <c r="H918" t="inlineStr">
        <is>
          <t>go green energy GmbH &amp; Co KG</t>
        </is>
      </c>
      <c r="K918">
        <f>(IF(AND(I918&lt;&gt;"",AND(J918="",ABS(Q918)&gt;400)),TRUE,FALSE))</f>
        <v/>
      </c>
      <c r="L918" s="214" t="n">
        <v>5</v>
      </c>
      <c r="M918" s="159" t="n">
        <v>1</v>
      </c>
      <c r="N918" t="n">
        <v>20</v>
      </c>
      <c r="O918" s="237">
        <f>L918*N918/100</f>
        <v/>
      </c>
      <c r="P918" s="237">
        <f>M918*O918</f>
        <v/>
      </c>
      <c r="Q918" s="208">
        <f>L918*M918</f>
        <v/>
      </c>
      <c r="R918" s="251">
        <f>L918+O918</f>
        <v/>
      </c>
      <c r="S918" s="251">
        <f>Q918+P918</f>
        <v/>
      </c>
      <c r="T918" s="35">
        <f>DATE(YEAR(EOMONTH(G918,2)),MONTH(EOMONTH(G918,2)),15)</f>
        <v/>
      </c>
      <c r="U918" s="27" t="n"/>
      <c r="V918" s="27" t="n"/>
      <c r="W918" s="210">
        <f>IF(K918=TRUE,Q918/J918,Q918)</f>
        <v/>
      </c>
      <c r="X918" s="237">
        <f>V918/100*S918</f>
        <v/>
      </c>
      <c r="Y918">
        <f>IF(AND(V918&gt;0,N918=V918),TRUE,FALSE)</f>
        <v/>
      </c>
      <c r="Z918" s="228">
        <f>IF(C918="Einnahmen",Q918,-Q918)</f>
        <v/>
      </c>
    </row>
    <row r="919">
      <c r="A919" s="155" t="n">
        <v>2023</v>
      </c>
      <c r="B919" s="155" t="n">
        <v>45</v>
      </c>
      <c r="C919" s="71" t="inlineStr">
        <is>
          <t>Ausgaben</t>
        </is>
      </c>
      <c r="D919" t="inlineStr">
        <is>
          <t>Telefon/Internet</t>
        </is>
      </c>
      <c r="G919" s="1" t="n">
        <v>44992</v>
      </c>
      <c r="H919" t="inlineStr">
        <is>
          <t>Hutchison Drei Austria GmbH, Brünner Straße 52, 1210 Wien, Österreich</t>
        </is>
      </c>
      <c r="K919">
        <f>(IF(AND(I919&lt;&gt;"",AND(J919="",ABS(Q919)&gt;400)),TRUE,FALSE))</f>
        <v/>
      </c>
      <c r="L919" s="214" t="n">
        <v>15</v>
      </c>
      <c r="M919" s="159" t="n">
        <v>1</v>
      </c>
      <c r="N919" t="n">
        <v>20</v>
      </c>
      <c r="O919" s="237">
        <f>L919*N919/100</f>
        <v/>
      </c>
      <c r="P919" s="237">
        <f>M919*O919</f>
        <v/>
      </c>
      <c r="Q919" s="208">
        <f>L919*M919</f>
        <v/>
      </c>
      <c r="R919" s="251">
        <f>L919+O919</f>
        <v/>
      </c>
      <c r="S919" s="251">
        <f>Q919+P919</f>
        <v/>
      </c>
      <c r="T919" s="35">
        <f>DATE(YEAR(EOMONTH(G919,2)),MONTH(EOMONTH(G919,2)),15)</f>
        <v/>
      </c>
      <c r="U919" s="27" t="n"/>
      <c r="V919" s="27" t="n"/>
      <c r="W919" s="210">
        <f>IF(K919=TRUE,Q919/I919,Q919)</f>
        <v/>
      </c>
      <c r="X919" s="237">
        <f>V919/100*S919</f>
        <v/>
      </c>
      <c r="Y919">
        <f>IF(AND(V919&gt;0,N919=V919),TRUE,FALSE)</f>
        <v/>
      </c>
      <c r="Z919" s="228">
        <f>IF(C919="Einnahmen",Q919,-Q919)</f>
        <v/>
      </c>
    </row>
    <row r="920">
      <c r="A920" s="155" t="n">
        <v>2023</v>
      </c>
      <c r="B920" s="155" t="n">
        <v>46</v>
      </c>
      <c r="C920" s="71" t="inlineStr">
        <is>
          <t>Ausgaben</t>
        </is>
      </c>
      <c r="D920" t="inlineStr">
        <is>
          <t>sonstige Betriebsausgaben</t>
        </is>
      </c>
      <c r="G920" s="1" t="n">
        <v>44998</v>
      </c>
      <c r="H920" t="inlineStr">
        <is>
          <t>Hetzner Online GmbH</t>
        </is>
      </c>
      <c r="K920">
        <f>(IF(AND(I920&lt;&gt;"",AND(J920="",ABS(Q920)&gt;400)),TRUE,FALSE))</f>
        <v/>
      </c>
      <c r="L920" s="214" t="n">
        <v>52.2141</v>
      </c>
      <c r="M920" s="159" t="n">
        <v>1</v>
      </c>
      <c r="N920" t="n">
        <v>0</v>
      </c>
      <c r="O920" s="237">
        <f>L920*N920/100</f>
        <v/>
      </c>
      <c r="P920" s="237">
        <f>M920*O920</f>
        <v/>
      </c>
      <c r="Q920" s="208">
        <f>L920*M920</f>
        <v/>
      </c>
      <c r="R920" s="251">
        <f>L920+O920</f>
        <v/>
      </c>
      <c r="S920" s="251">
        <f>Q920+P920</f>
        <v/>
      </c>
      <c r="T920" s="35">
        <f>DATE(YEAR(EOMONTH(G920,2)),MONTH(EOMONTH(G920,2)),15)</f>
        <v/>
      </c>
      <c r="U920" s="27" t="n"/>
      <c r="V920" s="27" t="n">
        <v>20</v>
      </c>
      <c r="W920" s="210">
        <f>IF(K920=TRUE,Q920/J920,Q920)</f>
        <v/>
      </c>
      <c r="X920" s="237">
        <f>V920/100*S920</f>
        <v/>
      </c>
      <c r="Y920">
        <f>IF(AND(V920&gt;0,N920=V920),TRUE,FALSE)</f>
        <v/>
      </c>
      <c r="Z920" s="228">
        <f>IF(C920="Einnahmen",Q920,-Q920)</f>
        <v/>
      </c>
    </row>
    <row r="921">
      <c r="A921" s="155" t="n">
        <v>2023</v>
      </c>
      <c r="B921" s="155" t="n">
        <v>47</v>
      </c>
      <c r="C921" s="71" t="inlineStr">
        <is>
          <t>Ausgaben</t>
        </is>
      </c>
      <c r="D921" t="inlineStr">
        <is>
          <t>sonstige Betriebsausgaben</t>
        </is>
      </c>
      <c r="E921" s="61" t="inlineStr">
        <is>
          <t>BELEG FEHLT</t>
        </is>
      </c>
      <c r="G921" s="1" t="n">
        <v>44995</v>
      </c>
      <c r="H921" t="inlineStr">
        <is>
          <t>Wiener Netze GmbH, Erdbergstraße 236, 1110 Wien, Postfach 422; Jahresabrechnung vom 17.12.20: GUTSCHRIFT</t>
        </is>
      </c>
      <c r="K921">
        <f>(IF(AND(I921&lt;&gt;"",AND(J921="",ABS(Q921)&gt;400)),TRUE,FALSE))</f>
        <v/>
      </c>
      <c r="L921" s="214" t="n">
        <v>12</v>
      </c>
      <c r="M921" s="159" t="n">
        <v>1</v>
      </c>
      <c r="N921" t="n">
        <v>20</v>
      </c>
      <c r="O921" s="237">
        <f>L921*N921/100</f>
        <v/>
      </c>
      <c r="P921" s="237">
        <f>M921*O921</f>
        <v/>
      </c>
      <c r="Q921" s="208">
        <f>L921*M921</f>
        <v/>
      </c>
      <c r="R921" s="251">
        <f>L921+O921</f>
        <v/>
      </c>
      <c r="S921" s="251">
        <f>Q921+P921</f>
        <v/>
      </c>
      <c r="T921" s="35">
        <f>DATE(YEAR(EOMONTH(G921,2)),MONTH(EOMONTH(G921,2)),15)</f>
        <v/>
      </c>
      <c r="U921" s="27" t="n"/>
      <c r="V921" s="27" t="n"/>
      <c r="W921" s="210">
        <f>IF(K921=TRUE,Q921/J921,Q921)</f>
        <v/>
      </c>
      <c r="X921" s="237">
        <f>V921/100*S921</f>
        <v/>
      </c>
      <c r="Y921">
        <f>IF(AND(V921&gt;0,N921=V921),TRUE,FALSE)</f>
        <v/>
      </c>
      <c r="Z921" s="228">
        <f>IF(C921="Einnahmen",Q921,-Q921)</f>
        <v/>
      </c>
    </row>
    <row r="922">
      <c r="A922" s="155" t="n">
        <v>2023</v>
      </c>
      <c r="B922" s="155" t="n">
        <v>48</v>
      </c>
      <c r="C922" s="71" t="inlineStr">
        <is>
          <t>Ausgaben</t>
        </is>
      </c>
      <c r="D922" t="inlineStr">
        <is>
          <t>Personalaufwand</t>
        </is>
      </c>
      <c r="E922" s="9" t="inlineStr">
        <is>
          <t>siehe 2022-140</t>
        </is>
      </c>
      <c r="G922" s="1" t="n">
        <v>45005</v>
      </c>
      <c r="H922" t="inlineStr">
        <is>
          <t>Honorar Eva Jaros-Kolbitsch</t>
        </is>
      </c>
      <c r="K922">
        <f>(IF(AND(I922&lt;&gt;"",AND(J922="",ABS(Q922)&gt;400)),TRUE,FALSE))</f>
        <v/>
      </c>
      <c r="L922" s="214" t="n">
        <v>365</v>
      </c>
      <c r="M922" s="159" t="n">
        <v>1</v>
      </c>
      <c r="N922" t="n">
        <v>0</v>
      </c>
      <c r="O922" s="237">
        <f>L922*N922/100</f>
        <v/>
      </c>
      <c r="P922" s="237">
        <f>M922*O922</f>
        <v/>
      </c>
      <c r="Q922" s="208">
        <f>L922*M922</f>
        <v/>
      </c>
      <c r="R922" s="251">
        <f>L922+O922</f>
        <v/>
      </c>
      <c r="S922" s="251">
        <f>Q922+P922</f>
        <v/>
      </c>
      <c r="T922" s="35">
        <f>DATE(YEAR(EOMONTH(G922,2)),MONTH(EOMONTH(G922,2)),15)</f>
        <v/>
      </c>
      <c r="U922" s="27" t="n"/>
      <c r="V922" s="27" t="n"/>
      <c r="W922" s="210">
        <f>IF(K922=TRUE,Q922/J922,Q922)</f>
        <v/>
      </c>
      <c r="X922" s="237">
        <f>V922/100*S922</f>
        <v/>
      </c>
      <c r="Y922">
        <f>IF(AND(V922&gt;0,N922=V922),TRUE,FALSE)</f>
        <v/>
      </c>
      <c r="Z922" s="228">
        <f>IF(C922="Einnahmen",Q922,-Q922)</f>
        <v/>
      </c>
    </row>
    <row r="923">
      <c r="A923" s="155" t="n">
        <v>2023</v>
      </c>
      <c r="B923" s="155" t="n">
        <v>49</v>
      </c>
      <c r="C923" s="71" t="inlineStr">
        <is>
          <t>Einnahmen</t>
        </is>
      </c>
      <c r="D923" t="inlineStr">
        <is>
          <t>Waren-/Leistungserlöse</t>
        </is>
      </c>
      <c r="E923" t="n">
        <v>12023002</v>
      </c>
      <c r="G923" s="1" t="n">
        <v>45002</v>
      </c>
      <c r="H923" t="inlineStr">
        <is>
          <t>Hays Österreich GmbH, Bahnhof City Wien West , Europaplatz 3/5, 1150 Wien</t>
        </is>
      </c>
      <c r="K923">
        <f>(IF(AND(I923&lt;&gt;"",AND(J923="",ABS(Q923)&gt;400)),TRUE,FALSE))</f>
        <v/>
      </c>
      <c r="L923" s="214" t="n">
        <v>103.42</v>
      </c>
      <c r="M923" s="159" t="n">
        <v>1</v>
      </c>
      <c r="N923" t="n">
        <v>20</v>
      </c>
      <c r="O923" s="237">
        <f>L923*N923/100</f>
        <v/>
      </c>
      <c r="P923" s="237">
        <f>M923*O923</f>
        <v/>
      </c>
      <c r="Q923" s="208">
        <f>L923*M923</f>
        <v/>
      </c>
      <c r="R923" s="251">
        <f>L923+O923</f>
        <v/>
      </c>
      <c r="S923" s="251">
        <f>Q923+P923</f>
        <v/>
      </c>
      <c r="T923" s="35">
        <f>DATE(YEAR(EOMONTH(G923,2)),MONTH(EOMONTH(G923,2)),15)</f>
        <v/>
      </c>
      <c r="U923" s="27" t="n"/>
      <c r="V923" s="27" t="n"/>
      <c r="W923" s="210">
        <f>IF(K923=TRUE,Q923/J923,Q923)</f>
        <v/>
      </c>
      <c r="X923" s="237">
        <f>V923/100*S923</f>
        <v/>
      </c>
      <c r="Y923">
        <f>IF(AND(V923&gt;0,N923=V923),TRUE,FALSE)</f>
        <v/>
      </c>
      <c r="Z923" s="228">
        <f>IF(C923="Einnahmen",Q923,-Q923)</f>
        <v/>
      </c>
    </row>
    <row r="924">
      <c r="A924" s="155" t="n">
        <v>2023</v>
      </c>
      <c r="B924" s="155" t="n">
        <v>50</v>
      </c>
      <c r="C924" s="71" t="inlineStr">
        <is>
          <t>Einnahmen</t>
        </is>
      </c>
      <c r="D924" t="inlineStr">
        <is>
          <t>Waren-/Leistungserlöse</t>
        </is>
      </c>
      <c r="E924" t="n">
        <v>12023001</v>
      </c>
      <c r="G924" s="1" t="n">
        <v>45002</v>
      </c>
      <c r="H924" t="inlineStr">
        <is>
          <t>Hays Österreich GmbH, Bahnhof City Wien West , Europaplatz 3/5, 1150 Wien</t>
        </is>
      </c>
      <c r="K924">
        <f>(IF(AND(I924&lt;&gt;"",AND(J924="",ABS(Q924)&gt;400)),TRUE,FALSE))</f>
        <v/>
      </c>
      <c r="L924" s="214" t="n">
        <v>13075.88</v>
      </c>
      <c r="M924" s="159" t="n">
        <v>1</v>
      </c>
      <c r="N924" t="n">
        <v>20</v>
      </c>
      <c r="O924" s="237">
        <f>L924*N924/100</f>
        <v/>
      </c>
      <c r="P924" s="237">
        <f>M924*O924</f>
        <v/>
      </c>
      <c r="Q924" s="208">
        <f>L924*M924</f>
        <v/>
      </c>
      <c r="R924" s="251">
        <f>L924+O924</f>
        <v/>
      </c>
      <c r="S924" s="251">
        <f>Q924+P924</f>
        <v/>
      </c>
      <c r="T924" s="35">
        <f>DATE(YEAR(EOMONTH(G924,2)),MONTH(EOMONTH(G924,2)),15)</f>
        <v/>
      </c>
      <c r="U924" s="27" t="n"/>
      <c r="V924" s="27" t="n"/>
      <c r="W924" s="210">
        <f>IF(K924=TRUE,Q924/J924,Q924)</f>
        <v/>
      </c>
      <c r="X924" s="237">
        <f>V924/100*S924</f>
        <v/>
      </c>
      <c r="Y924">
        <f>IF(AND(V924&gt;0,N924=V924),TRUE,FALSE)</f>
        <v/>
      </c>
      <c r="Z924" s="228">
        <f>IF(C924="Einnahmen",Q924,-Q924)</f>
        <v/>
      </c>
    </row>
    <row r="925">
      <c r="A925" s="155" t="n">
        <v>2023</v>
      </c>
      <c r="B925" s="155" t="n">
        <v>51</v>
      </c>
      <c r="C925" s="71" t="inlineStr">
        <is>
          <t>Ausgaben</t>
        </is>
      </c>
      <c r="D925" t="inlineStr">
        <is>
          <t>Büromaterial</t>
        </is>
      </c>
      <c r="G925" s="1" t="n">
        <v>45005</v>
      </c>
      <c r="H925" t="inlineStr">
        <is>
          <t>Amazon EU S. à r.l., 38 avenue John F. Kennedy, L-1855 Luxembourg: HJEU: DVI-HDMI, Logitech Maus</t>
        </is>
      </c>
      <c r="K925" t="b">
        <v>0</v>
      </c>
      <c r="L925" s="214" t="n">
        <v>-31.28</v>
      </c>
      <c r="M925" s="159" t="n">
        <v>1</v>
      </c>
      <c r="N925" t="n">
        <v>20</v>
      </c>
      <c r="O925" s="237">
        <f>L925*N925/100</f>
        <v/>
      </c>
      <c r="P925" s="237">
        <f>M925*O925</f>
        <v/>
      </c>
      <c r="Q925" s="208">
        <f>L925*M925</f>
        <v/>
      </c>
      <c r="R925" s="251">
        <f>L925+O925</f>
        <v/>
      </c>
      <c r="S925" s="251">
        <f>Q925+P925</f>
        <v/>
      </c>
      <c r="T925" s="35">
        <f>DATE(YEAR(EOMONTH(G925,2)),MONTH(EOMONTH(G925,2)),15)</f>
        <v/>
      </c>
      <c r="U925" s="27" t="n"/>
      <c r="V925" s="27" t="n"/>
      <c r="W925" s="210">
        <f>IF(K925=TRUE,Q925/I925,Q925)</f>
        <v/>
      </c>
      <c r="X925" s="237">
        <f>V925/100*S925</f>
        <v/>
      </c>
      <c r="Y925">
        <f>IF(AND(V925&gt;0,N925=V925),TRUE,FALSE)</f>
        <v/>
      </c>
      <c r="Z925" s="228">
        <f>IF(C925="Einnahmen",Q925,-Q925)</f>
        <v/>
      </c>
    </row>
    <row r="926">
      <c r="A926" s="155" t="n">
        <v>2023</v>
      </c>
      <c r="B926" s="155" t="n">
        <v>52</v>
      </c>
      <c r="C926" s="71" t="inlineStr">
        <is>
          <t>Ausgaben</t>
        </is>
      </c>
      <c r="D926" t="inlineStr">
        <is>
          <t>Büromaterial</t>
        </is>
      </c>
      <c r="G926" s="1" t="n">
        <v>45005</v>
      </c>
      <c r="H926" t="inlineStr">
        <is>
          <t>Amazon EU S. à r.l., 38 avenue John F. Kennedy, L-1855 Luxembourg: HJEU: DVI-HDMI, Logitech Maus</t>
        </is>
      </c>
      <c r="K926" t="b">
        <v>0</v>
      </c>
      <c r="L926" s="214" t="n">
        <v>-6.71</v>
      </c>
      <c r="M926" s="159" t="n">
        <v>1</v>
      </c>
      <c r="N926" t="n">
        <v>20</v>
      </c>
      <c r="O926" s="237">
        <f>L926*N926/100</f>
        <v/>
      </c>
      <c r="P926" s="237">
        <f>M926*O926</f>
        <v/>
      </c>
      <c r="Q926" s="208">
        <f>L926*M926</f>
        <v/>
      </c>
      <c r="R926" s="251">
        <f>L926+O926</f>
        <v/>
      </c>
      <c r="S926" s="251">
        <f>Q926+P926</f>
        <v/>
      </c>
      <c r="T926" s="35">
        <f>DATE(YEAR(EOMONTH(G926,2)),MONTH(EOMONTH(G926,2)),15)</f>
        <v/>
      </c>
      <c r="U926" s="27" t="n"/>
      <c r="V926" s="27" t="n"/>
      <c r="W926" s="210">
        <f>IF(K926=TRUE,Q926/I926,Q926)</f>
        <v/>
      </c>
      <c r="X926" s="237">
        <f>V926/100*S926</f>
        <v/>
      </c>
      <c r="Y926">
        <f>IF(AND(V926&gt;0,N926=V926),TRUE,FALSE)</f>
        <v/>
      </c>
      <c r="Z926" s="228">
        <f>IF(C926="Einnahmen",Q926,-Q926)</f>
        <v/>
      </c>
    </row>
    <row r="927">
      <c r="A927" s="155" t="n">
        <v>2023</v>
      </c>
      <c r="B927" s="155" t="n">
        <v>53</v>
      </c>
      <c r="C927" s="71" t="inlineStr">
        <is>
          <t>Ausgaben</t>
        </is>
      </c>
      <c r="D927" t="inlineStr">
        <is>
          <t>Büromaterial</t>
        </is>
      </c>
      <c r="G927" s="1" t="n">
        <v>45005</v>
      </c>
      <c r="H927" t="inlineStr">
        <is>
          <t>Amazon EU S. à r.l., 38 avenue John F. Kennedy, L-1855 Luxembourg: HJEU: DVI-HDMI, Logitech Maus</t>
        </is>
      </c>
      <c r="K927" t="b">
        <v>0</v>
      </c>
      <c r="L927" s="214" t="n">
        <v>-40.71</v>
      </c>
      <c r="M927" s="159" t="n">
        <v>1</v>
      </c>
      <c r="N927" t="n">
        <v>20</v>
      </c>
      <c r="O927" s="237">
        <f>L927*N927/100</f>
        <v/>
      </c>
      <c r="P927" s="237">
        <f>M927*O927</f>
        <v/>
      </c>
      <c r="Q927" s="208">
        <f>L927*M927</f>
        <v/>
      </c>
      <c r="R927" s="251">
        <f>L927+O927</f>
        <v/>
      </c>
      <c r="S927" s="251">
        <f>Q927+P927</f>
        <v/>
      </c>
      <c r="T927" s="35">
        <f>DATE(YEAR(EOMONTH(G927,2)),MONTH(EOMONTH(G927,2)),15)</f>
        <v/>
      </c>
      <c r="U927" s="27" t="n"/>
      <c r="V927" s="27" t="n"/>
      <c r="W927" s="210">
        <f>IF(K927=TRUE,Q927/I927,Q927)</f>
        <v/>
      </c>
      <c r="X927" s="237">
        <f>V927/100*S927</f>
        <v/>
      </c>
      <c r="Y927">
        <f>IF(AND(V927&gt;0,N927=V927),TRUE,FALSE)</f>
        <v/>
      </c>
      <c r="Z927" s="228">
        <f>IF(C927="Einnahmen",Q927,-Q927)</f>
        <v/>
      </c>
    </row>
    <row r="928">
      <c r="A928" s="156" t="n">
        <v>2023</v>
      </c>
      <c r="B928" s="156" t="n">
        <v>54</v>
      </c>
      <c r="C928" s="71" t="inlineStr">
        <is>
          <t>Ausgaben</t>
        </is>
      </c>
      <c r="D928" t="inlineStr">
        <is>
          <t>Reise- und Fahrtspesen inkl. Kilometergeld und Diäten</t>
        </is>
      </c>
      <c r="E928" s="9" t="inlineStr">
        <is>
          <t>20230000036626</t>
        </is>
      </c>
      <c r="G928" s="1" t="n">
        <v>45005</v>
      </c>
      <c r="H928" t="inlineStr">
        <is>
          <t>Wiener Linien GmbH &amp; Co KG</t>
        </is>
      </c>
      <c r="K928">
        <f>(IF(AND(I928&lt;&gt;"",AND(J928="",ABS(Q928)&gt;400)),TRUE,FALSE))</f>
        <v/>
      </c>
      <c r="L928" s="214">
        <f>365-33.18</f>
        <v/>
      </c>
      <c r="M928" s="159" t="n">
        <v>1</v>
      </c>
      <c r="N928" t="n">
        <v>10</v>
      </c>
      <c r="O928" s="237">
        <f>L928*N928/100</f>
        <v/>
      </c>
      <c r="P928" s="237">
        <f>M928*O928</f>
        <v/>
      </c>
      <c r="Q928" s="208">
        <f>L928*M928</f>
        <v/>
      </c>
      <c r="R928" s="251">
        <f>L928+O928</f>
        <v/>
      </c>
      <c r="S928" s="251">
        <f>Q928+P928</f>
        <v/>
      </c>
      <c r="T928" s="35">
        <f>DATE(YEAR(EOMONTH(G928,2)),MONTH(EOMONTH(G928,2)),15)</f>
        <v/>
      </c>
      <c r="U928" s="27" t="n"/>
      <c r="V928" s="27" t="n"/>
      <c r="W928" s="210">
        <f>IF(K928=TRUE,Q928/I928,Q928)</f>
        <v/>
      </c>
      <c r="X928" s="237">
        <f>V928/100*S928</f>
        <v/>
      </c>
      <c r="Y928">
        <f>IF(AND(V928&gt;0,N928=V928),TRUE,FALSE)</f>
        <v/>
      </c>
      <c r="Z928" s="228">
        <f>IF(C928="Einnahmen",Q928,-Q928)</f>
        <v/>
      </c>
    </row>
    <row r="929">
      <c r="A929" s="53" t="n">
        <v>2023</v>
      </c>
      <c r="B929" s="53" t="n">
        <v>55</v>
      </c>
      <c r="C929" s="71" t="inlineStr">
        <is>
          <t>Ausgaben</t>
        </is>
      </c>
      <c r="D929" t="inlineStr">
        <is>
          <t>sonstige Betriebsausgaben</t>
        </is>
      </c>
      <c r="E929" s="1" t="n"/>
      <c r="G929" s="1" t="n">
        <v>45005</v>
      </c>
      <c r="H929" t="inlineStr">
        <is>
          <t>Microsoft Ireland Operations Ltd. One Microsoft Place, South County, Business Park, Leopardstown, Dublin 18, D18 P521, Ireland</t>
        </is>
      </c>
      <c r="K929">
        <f>(IF(AND(I929&lt;&gt;"",AND(J929="",ABS(Q929)&gt;400)),TRUE,FALSE))</f>
        <v/>
      </c>
      <c r="L929" s="214" t="n">
        <v>10.5</v>
      </c>
      <c r="M929" s="159" t="n">
        <v>1</v>
      </c>
      <c r="N929" t="n">
        <v>0</v>
      </c>
      <c r="O929" s="237">
        <f>L929*N929/100</f>
        <v/>
      </c>
      <c r="P929" s="237">
        <f>M929*O929</f>
        <v/>
      </c>
      <c r="Q929" s="208">
        <f>L929*M929</f>
        <v/>
      </c>
      <c r="R929" s="251">
        <f>L929+O929</f>
        <v/>
      </c>
      <c r="S929" s="251">
        <f>Q929+P929</f>
        <v/>
      </c>
      <c r="T929" s="35">
        <f>DATE(YEAR(EOMONTH(G929,2)),MONTH(EOMONTH(G929,2)),15)</f>
        <v/>
      </c>
      <c r="U929" s="27" t="n"/>
      <c r="V929" s="27" t="n">
        <v>20</v>
      </c>
      <c r="W929" s="210">
        <f>IF(K929=TRUE,Q929/J929,Q929)</f>
        <v/>
      </c>
      <c r="X929" s="237">
        <f>V929/100*S929</f>
        <v/>
      </c>
      <c r="Y929">
        <f>IF(AND(V929&gt;0,N929=V929),TRUE,FALSE)</f>
        <v/>
      </c>
      <c r="Z929" s="228">
        <f>IF(C929="Einnahmen",Q929,-Q929)</f>
        <v/>
      </c>
    </row>
    <row r="930">
      <c r="A930" s="53" t="n">
        <v>2023</v>
      </c>
      <c r="B930" s="53" t="n">
        <v>56</v>
      </c>
      <c r="C930" s="71" t="inlineStr">
        <is>
          <t>Ausgaben</t>
        </is>
      </c>
      <c r="D930" t="inlineStr">
        <is>
          <t>Telefon/Internet</t>
        </is>
      </c>
      <c r="E930" s="131" t="inlineStr">
        <is>
          <t>901117400223</t>
        </is>
      </c>
      <c r="G930" s="1" t="n">
        <v>45006</v>
      </c>
      <c r="H930" t="inlineStr">
        <is>
          <t>Magenta: T-Mobile Austria GmbH, A-1120 Wien, PF 47</t>
        </is>
      </c>
      <c r="K930">
        <f>(IF(AND(I930&lt;&gt;"",AND(J930="",ABS(Q930)&gt;400)),TRUE,FALSE))</f>
        <v/>
      </c>
      <c r="L930" s="214" t="n">
        <v>31.92</v>
      </c>
      <c r="M930" s="159" t="n">
        <v>1</v>
      </c>
      <c r="N930" t="n">
        <v>20</v>
      </c>
      <c r="O930" s="237">
        <f>L930*N930/100</f>
        <v/>
      </c>
      <c r="P930" s="237">
        <f>M930*O930</f>
        <v/>
      </c>
      <c r="Q930" s="208">
        <f>L930*M930</f>
        <v/>
      </c>
      <c r="R930" s="251">
        <f>L930+O930</f>
        <v/>
      </c>
      <c r="S930" s="251">
        <f>Q930+P930</f>
        <v/>
      </c>
      <c r="T930" s="35">
        <f>DATE(YEAR(EOMONTH(G930,2)),MONTH(EOMONTH(G930,2)),15)</f>
        <v/>
      </c>
      <c r="U930" s="27" t="n"/>
      <c r="V930" s="27" t="n"/>
      <c r="W930" s="210">
        <f>IF(K930=TRUE,Q930/I930,Q930)</f>
        <v/>
      </c>
      <c r="X930" s="237">
        <f>V930/100*S930</f>
        <v/>
      </c>
      <c r="Y930">
        <f>IF(AND(V930&gt;0,N930=V930),TRUE,FALSE)</f>
        <v/>
      </c>
      <c r="Z930" s="228">
        <f>IF(C930="Einnahmen",Q930,-Q930)</f>
        <v/>
      </c>
    </row>
    <row r="931">
      <c r="A931" s="53" t="n">
        <v>2023</v>
      </c>
      <c r="B931" s="53" t="n">
        <v>57</v>
      </c>
      <c r="C931" s="71" t="inlineStr">
        <is>
          <t>Ausgaben</t>
        </is>
      </c>
      <c r="D931" t="inlineStr">
        <is>
          <t>sonstige Betriebsausgaben</t>
        </is>
      </c>
      <c r="G931" s="1" t="n">
        <v>45009</v>
      </c>
      <c r="H931" t="inlineStr">
        <is>
          <t>easyname GmbH, Fernkorngasse 10/3/501, A-1100 Wien</t>
        </is>
      </c>
      <c r="K931">
        <f>(IF(AND(I931&lt;&gt;"",AND(J931="",ABS(Q931)&gt;400)),TRUE,FALSE))</f>
        <v/>
      </c>
      <c r="L931" s="214" t="n">
        <v>15.75</v>
      </c>
      <c r="M931" s="159" t="n">
        <v>1</v>
      </c>
      <c r="N931" t="n">
        <v>20</v>
      </c>
      <c r="O931" s="237">
        <f>L931*N931/100</f>
        <v/>
      </c>
      <c r="P931" s="237">
        <f>M931*O931</f>
        <v/>
      </c>
      <c r="Q931" s="208">
        <f>L931*M931</f>
        <v/>
      </c>
      <c r="R931" s="251">
        <f>L931+O931</f>
        <v/>
      </c>
      <c r="S931" s="251">
        <f>Q931+P931</f>
        <v/>
      </c>
      <c r="T931" s="35">
        <f>voranmeldefrist_vierteljaehrlich(G931)</f>
        <v/>
      </c>
      <c r="U931" s="27" t="n"/>
      <c r="V931" s="27" t="n"/>
      <c r="W931" s="210">
        <f>IF(K931=TRUE,Q931/J931,Q931)</f>
        <v/>
      </c>
      <c r="X931" s="237">
        <f>V931/100*S931</f>
        <v/>
      </c>
      <c r="Y931">
        <f>IF(AND(V931&gt;0,N931=V931),TRUE,FALSE)</f>
        <v/>
      </c>
      <c r="Z931" s="228">
        <f>IF(C931="Einnahmen",Q931,-Q931)</f>
        <v/>
      </c>
    </row>
    <row r="932">
      <c r="A932" s="53" t="n">
        <v>2023</v>
      </c>
      <c r="B932" s="53" t="n">
        <v>58</v>
      </c>
      <c r="C932" s="71" t="inlineStr">
        <is>
          <t>Ausgaben</t>
        </is>
      </c>
      <c r="D932" t="inlineStr">
        <is>
          <t>sonstige Betriebsausgaben</t>
        </is>
      </c>
      <c r="G932" s="1" t="n">
        <v>45008</v>
      </c>
      <c r="H932" t="inlineStr">
        <is>
          <t>Wirtschaftskammer Wien Grundumlagen, Straße der Wiener Wirtschaft 1, 1020 Wien: GU UBIT</t>
        </is>
      </c>
      <c r="K932" t="b">
        <v>0</v>
      </c>
      <c r="L932" s="214" t="n">
        <v>65</v>
      </c>
      <c r="M932" s="159" t="n">
        <v>1</v>
      </c>
      <c r="N932" t="n">
        <v>0</v>
      </c>
      <c r="O932" s="237">
        <f>L932*N932/100</f>
        <v/>
      </c>
      <c r="P932" s="237">
        <f>M932*O932</f>
        <v/>
      </c>
      <c r="Q932" s="208">
        <f>L932*M932</f>
        <v/>
      </c>
      <c r="R932" s="251">
        <f>L932+O932</f>
        <v/>
      </c>
      <c r="S932" s="251">
        <f>Q932+P932</f>
        <v/>
      </c>
      <c r="T932" s="35">
        <f>voranmeldefrist_vierteljaehrlich(G932)</f>
        <v/>
      </c>
      <c r="U932" s="27" t="n"/>
      <c r="V932" s="27" t="n"/>
      <c r="W932" s="210">
        <f>IF(K932=TRUE,Q932/I932,Q932)</f>
        <v/>
      </c>
      <c r="X932" s="237">
        <f>V932/100*S932</f>
        <v/>
      </c>
      <c r="Y932">
        <f>IF(AND(V932&gt;0,N932=V932),TRUE,FALSE)</f>
        <v/>
      </c>
      <c r="Z932" s="228">
        <f>IF(C932="Einnahmen",Q932,-Q932)</f>
        <v/>
      </c>
    </row>
    <row r="933">
      <c r="A933" s="53" t="n">
        <v>2023</v>
      </c>
      <c r="B933" s="53" t="n">
        <v>59</v>
      </c>
      <c r="C933" s="71" t="inlineStr">
        <is>
          <t>Ausgaben</t>
        </is>
      </c>
      <c r="D933" t="inlineStr">
        <is>
          <t>sonstige Betriebsausgaben</t>
        </is>
      </c>
      <c r="G933" s="1" t="n">
        <v>45019</v>
      </c>
      <c r="H933" t="inlineStr">
        <is>
          <t>Google Ireland Ltd, Gordon House, Barrow Street, Dublin 4, Ireland; VAT number: IE 6388047V</t>
        </is>
      </c>
      <c r="K933" t="b">
        <v>0</v>
      </c>
      <c r="L933" s="214" t="n">
        <v>9.359999999999999</v>
      </c>
      <c r="M933" s="159" t="n">
        <v>1</v>
      </c>
      <c r="N933" t="n">
        <v>0</v>
      </c>
      <c r="O933" s="237">
        <f>L933*N933/100</f>
        <v/>
      </c>
      <c r="P933" s="237">
        <f>M933*O933</f>
        <v/>
      </c>
      <c r="Q933" s="208">
        <f>L933*M933</f>
        <v/>
      </c>
      <c r="R933" s="251">
        <f>L933+O933</f>
        <v/>
      </c>
      <c r="S933" s="251">
        <f>Q933+P933</f>
        <v/>
      </c>
      <c r="T933" s="35">
        <f>DATE(YEAR(EOMONTH(G933,2)),MONTH(EOMONTH(G933,2)),15)</f>
        <v/>
      </c>
      <c r="U933" s="27" t="n"/>
      <c r="V933" s="27" t="n">
        <v>20</v>
      </c>
      <c r="W933" s="210">
        <f>IF(K933=TRUE,Q933/I933,Q933)</f>
        <v/>
      </c>
      <c r="X933" s="237">
        <f>V933/100*S933</f>
        <v/>
      </c>
      <c r="Y933">
        <f>IF(AND(V933&gt;0,N933=V933),TRUE,FALSE)</f>
        <v/>
      </c>
      <c r="Z933" s="228">
        <f>IF(C933="Einnahmen",Q933,-Q933)</f>
        <v/>
      </c>
    </row>
    <row r="934">
      <c r="A934" s="53" t="n">
        <v>2023</v>
      </c>
      <c r="B934" s="53" t="n">
        <v>60</v>
      </c>
      <c r="C934" s="71" t="inlineStr">
        <is>
          <t>Einnahmen</t>
        </is>
      </c>
      <c r="D934" t="inlineStr">
        <is>
          <t>Waren-/Leistungserlöse</t>
        </is>
      </c>
      <c r="E934" s="9" t="inlineStr">
        <is>
          <t>12023006</t>
        </is>
      </c>
      <c r="G934" s="1" t="n">
        <v>45019</v>
      </c>
      <c r="H934" t="inlineStr">
        <is>
          <t>foxcraft - DI Mag. Alexander Wagner, Leschetitzkygasse 30/5, 1180 Wien</t>
        </is>
      </c>
      <c r="K934">
        <f>(IF(AND(I934&lt;&gt;"",AND(J934="",ABS(Q934)&gt;400)),TRUE,FALSE))</f>
        <v/>
      </c>
      <c r="L934" s="214" t="n">
        <v>89</v>
      </c>
      <c r="M934" s="159" t="n">
        <v>1</v>
      </c>
      <c r="N934" t="n">
        <v>20</v>
      </c>
      <c r="O934" s="237">
        <f>L934*N934/100</f>
        <v/>
      </c>
      <c r="P934" s="237">
        <f>M934*O934</f>
        <v/>
      </c>
      <c r="Q934" s="208">
        <f>L934*M934</f>
        <v/>
      </c>
      <c r="R934" s="251">
        <f>L934+O934</f>
        <v/>
      </c>
      <c r="S934" s="251">
        <f>Q934+P934</f>
        <v/>
      </c>
      <c r="T934" s="35">
        <f>DATE(YEAR(EOMONTH(G934,2)),MONTH(EOMONTH(G934,2)),15)</f>
        <v/>
      </c>
      <c r="U934" s="27" t="n"/>
      <c r="V934" s="27" t="n"/>
      <c r="W934" s="210">
        <f>IF(K934=TRUE,Q934/I934,Q934)</f>
        <v/>
      </c>
      <c r="X934" s="237">
        <f>V934/100*S934</f>
        <v/>
      </c>
      <c r="Y934">
        <f>IF(AND(V934&gt;0,N934=V934),TRUE,FALSE)</f>
        <v/>
      </c>
      <c r="Z934" s="228">
        <f>IF(C934="Einnahmen",Q934,-Q934)</f>
        <v/>
      </c>
    </row>
    <row r="935">
      <c r="A935" s="53" t="n">
        <v>2023</v>
      </c>
      <c r="B935" s="53" t="n">
        <v>61</v>
      </c>
      <c r="C935" s="71" t="inlineStr">
        <is>
          <t>Einnahmen</t>
        </is>
      </c>
      <c r="D935" t="inlineStr">
        <is>
          <t>Waren-/Leistungserlöse</t>
        </is>
      </c>
      <c r="E935" s="6" t="n">
        <v>12023003</v>
      </c>
      <c r="G935" s="1" t="n">
        <v>45019</v>
      </c>
      <c r="H935" t="inlineStr">
        <is>
          <t>ZT DI Dr. Arno Kolbitsch, Gütleweg 1, 6822 Satteins</t>
        </is>
      </c>
      <c r="K935">
        <f>(IF(AND(I935&lt;&gt;"",AND(J935="",ABS(Q935)&gt;400)),TRUE,FALSE))</f>
        <v/>
      </c>
      <c r="L935" s="214" t="n">
        <v>2300</v>
      </c>
      <c r="M935" s="159" t="n">
        <v>1</v>
      </c>
      <c r="N935" t="n">
        <v>20</v>
      </c>
      <c r="O935" s="237">
        <f>L935*N935/100</f>
        <v/>
      </c>
      <c r="P935" s="237">
        <f>M935*O935</f>
        <v/>
      </c>
      <c r="Q935" s="208">
        <f>L935*M935</f>
        <v/>
      </c>
      <c r="R935" s="251">
        <f>L935+O935</f>
        <v/>
      </c>
      <c r="S935" s="251">
        <f>Q935+P935</f>
        <v/>
      </c>
      <c r="T935" s="35">
        <f>voranmeldefrist_vierteljaehrlich(G935)</f>
        <v/>
      </c>
      <c r="U935" s="27" t="n"/>
      <c r="V935" s="27" t="n"/>
      <c r="W935" s="210">
        <f>IF(K935=TRUE,Q935/I935,Q935)</f>
        <v/>
      </c>
      <c r="X935" s="237">
        <f>V935/100*S935</f>
        <v/>
      </c>
      <c r="Y935">
        <f>IF(AND(V935&gt;0,N935=V935),TRUE,FALSE)</f>
        <v/>
      </c>
      <c r="Z935" s="228">
        <f>IF(C935="Einnahmen",Q935,-Q935)</f>
        <v/>
      </c>
    </row>
    <row r="936">
      <c r="A936" s="53" t="n">
        <v>2023</v>
      </c>
      <c r="B936" s="53" t="n">
        <v>62</v>
      </c>
      <c r="C936" s="71" t="inlineStr">
        <is>
          <t>Einnahmen</t>
        </is>
      </c>
      <c r="D936" t="inlineStr">
        <is>
          <t>Waren-/Leistungserlöse</t>
        </is>
      </c>
      <c r="E936" s="9" t="inlineStr">
        <is>
          <t>12023007</t>
        </is>
      </c>
      <c r="G936" s="1" t="n">
        <v>45019</v>
      </c>
      <c r="H936" t="inlineStr">
        <is>
          <t>Kolbitsch Engineering &amp; Consulting KNr 45</t>
        </is>
      </c>
      <c r="K936" t="b">
        <v>0</v>
      </c>
      <c r="L936" s="214" t="n">
        <v>485</v>
      </c>
      <c r="M936" s="159" t="n">
        <v>1</v>
      </c>
      <c r="N936" t="n">
        <v>20</v>
      </c>
      <c r="O936" s="237">
        <f>L936*N936/100</f>
        <v/>
      </c>
      <c r="P936" s="237">
        <f>M936*O936</f>
        <v/>
      </c>
      <c r="Q936" s="208">
        <f>L936*M936</f>
        <v/>
      </c>
      <c r="R936" s="251">
        <f>L936+O936</f>
        <v/>
      </c>
      <c r="S936" s="251">
        <f>Q936+P936</f>
        <v/>
      </c>
      <c r="T936" s="35">
        <f>voranmeldefrist_vierteljaehrlich(G936)</f>
        <v/>
      </c>
      <c r="U936" s="27" t="n"/>
      <c r="V936" s="27" t="n"/>
      <c r="W936" s="210">
        <f>IF(K936=TRUE,Q936/J936,Q936)</f>
        <v/>
      </c>
      <c r="X936" s="237">
        <f>V936/100*S936</f>
        <v/>
      </c>
      <c r="Y936">
        <f>IF(AND(V936&gt;0,N936=V936),TRUE,FALSE)</f>
        <v/>
      </c>
      <c r="Z936" s="228">
        <f>IF(C936="Einnahmen",Q936,-Q936)</f>
        <v/>
      </c>
    </row>
    <row r="937">
      <c r="A937" s="53" t="n">
        <v>2023</v>
      </c>
      <c r="B937" s="53" t="n">
        <v>63</v>
      </c>
      <c r="C937" s="71" t="inlineStr">
        <is>
          <t>Ausgaben</t>
        </is>
      </c>
      <c r="D937" t="inlineStr">
        <is>
          <t>Miet- und Pachtaufwand, Leasing</t>
        </is>
      </c>
      <c r="G937" s="1" t="n">
        <v>45019</v>
      </c>
      <c r="H937" t="inlineStr">
        <is>
          <t>Bontus Immobilienverwaltung GmbH, 1010 Wien, Franz Josefs Kai 65</t>
        </is>
      </c>
      <c r="K937" t="b">
        <v>0</v>
      </c>
      <c r="L937" s="214" t="n">
        <v>515.85</v>
      </c>
      <c r="M937" s="159" t="n">
        <v>1</v>
      </c>
      <c r="N937" t="n">
        <v>20</v>
      </c>
      <c r="O937" s="237">
        <f>L937*N937/100</f>
        <v/>
      </c>
      <c r="P937" s="237">
        <f>M937*O937</f>
        <v/>
      </c>
      <c r="Q937" s="208">
        <f>L937*M937</f>
        <v/>
      </c>
      <c r="R937" s="251">
        <f>L937+O937</f>
        <v/>
      </c>
      <c r="S937" s="251">
        <f>Q937+P937</f>
        <v/>
      </c>
      <c r="T937" s="35">
        <f>DATE(YEAR(EOMONTH(G937,2)),MONTH(EOMONTH(G937,2)),15)</f>
        <v/>
      </c>
      <c r="U937" s="27" t="n"/>
      <c r="V937" s="27" t="n"/>
      <c r="W937" s="210">
        <f>IF(K937=TRUE,Q937/J937,Q937)</f>
        <v/>
      </c>
      <c r="X937" s="237">
        <f>V937/100*S937</f>
        <v/>
      </c>
      <c r="Y937">
        <f>IF(AND(V937&gt;0,N937=V937),TRUE,FALSE)</f>
        <v/>
      </c>
      <c r="Z937" s="228">
        <f>IF(C937="Einnahmen",Q937,-Q937)</f>
        <v/>
      </c>
    </row>
    <row r="938">
      <c r="A938" s="53" t="n">
        <v>2023</v>
      </c>
      <c r="B938" s="53" t="n">
        <v>64</v>
      </c>
      <c r="C938" s="71" t="inlineStr">
        <is>
          <t>Ausgaben</t>
        </is>
      </c>
      <c r="D938" t="inlineStr">
        <is>
          <t>Reise- und Fahrtspesen inkl. Kilometergeld und Diäten</t>
        </is>
      </c>
      <c r="E938" s="131" t="n"/>
      <c r="G938" s="1" t="n">
        <v>45019</v>
      </c>
      <c r="H938" t="inlineStr">
        <is>
          <t>car2go Österreich GmbH, Hintere Zollamtstraße 9, 1030 Wien</t>
        </is>
      </c>
      <c r="K938" t="b">
        <v>0</v>
      </c>
      <c r="L938" s="214" t="n">
        <v>63.87</v>
      </c>
      <c r="M938" s="159" t="n">
        <v>1</v>
      </c>
      <c r="N938" t="n">
        <v>20</v>
      </c>
      <c r="O938" s="237">
        <f>L938*N938/100</f>
        <v/>
      </c>
      <c r="P938" s="237">
        <f>M938*O938</f>
        <v/>
      </c>
      <c r="Q938" s="208">
        <f>L938*M938</f>
        <v/>
      </c>
      <c r="R938" s="251">
        <f>L938+O938</f>
        <v/>
      </c>
      <c r="S938" s="251">
        <f>Q938+P938</f>
        <v/>
      </c>
      <c r="T938" s="35">
        <f>DATE(YEAR(EOMONTH(G938,2)),MONTH(EOMONTH(G938,2)),15)</f>
        <v/>
      </c>
      <c r="U938" s="27" t="n"/>
      <c r="V938" s="27" t="n"/>
      <c r="W938" s="210">
        <f>IF(K938=TRUE,Q938/J938,Q938)</f>
        <v/>
      </c>
      <c r="X938" s="237">
        <f>V938/100*S938</f>
        <v/>
      </c>
      <c r="Y938">
        <f>IF(AND(V938&gt;0,N938=V938),TRUE,FALSE)</f>
        <v/>
      </c>
      <c r="Z938" s="228">
        <f>IF(C938="Einnahmen",Q938,-Q938)</f>
        <v/>
      </c>
    </row>
    <row r="939">
      <c r="A939" s="53" t="n">
        <v>2023</v>
      </c>
      <c r="B939" s="53" t="n">
        <v>65</v>
      </c>
      <c r="C939" s="71" t="inlineStr">
        <is>
          <t>Ausgaben</t>
        </is>
      </c>
      <c r="D939" t="inlineStr">
        <is>
          <t>sonstige Betriebsausgaben</t>
        </is>
      </c>
      <c r="G939" s="1" t="n">
        <v>45019</v>
      </c>
      <c r="H939" t="inlineStr">
        <is>
          <t>Vistaprint B.V., Hudsonweg 8, 5928 LW Venlo, Niederlande</t>
        </is>
      </c>
      <c r="J939" s="76" t="inlineStr">
        <is>
          <t>ja</t>
        </is>
      </c>
      <c r="K939" t="b">
        <v>0</v>
      </c>
      <c r="L939" s="214" t="n">
        <v>50.82</v>
      </c>
      <c r="M939" s="159" t="n">
        <v>1</v>
      </c>
      <c r="N939" t="n">
        <v>20</v>
      </c>
      <c r="O939" s="237">
        <f>L939*N939/100</f>
        <v/>
      </c>
      <c r="P939" s="237">
        <f>M939*O939</f>
        <v/>
      </c>
      <c r="Q939" s="208">
        <f>L939*M939</f>
        <v/>
      </c>
      <c r="R939" s="251">
        <f>L939+O939</f>
        <v/>
      </c>
      <c r="S939" s="251">
        <f>Q939+P939</f>
        <v/>
      </c>
      <c r="T939" s="35">
        <f>DATE(YEAR(EOMONTH(G939,2)),MONTH(EOMONTH(G939,2)),15)</f>
        <v/>
      </c>
      <c r="U939" s="27" t="n"/>
      <c r="V939" s="27" t="n"/>
      <c r="W939" s="210">
        <f>IF(K939=TRUE,Q939/J939,Q939)</f>
        <v/>
      </c>
      <c r="X939" s="237">
        <f>V939/100*S939</f>
        <v/>
      </c>
      <c r="Y939">
        <f>IF(AND(V939&gt;0,N939=V939),TRUE,FALSE)</f>
        <v/>
      </c>
      <c r="Z939" s="228">
        <f>IF(C939="Einnahmen",Q939,-Q939)</f>
        <v/>
      </c>
    </row>
    <row r="940">
      <c r="A940" s="53" t="n">
        <v>2023</v>
      </c>
      <c r="B940" s="53" t="n">
        <v>66</v>
      </c>
      <c r="C940" s="71" t="inlineStr">
        <is>
          <t>Ausgaben</t>
        </is>
      </c>
      <c r="D940" t="inlineStr">
        <is>
          <t>sonstige Betriebsausgaben</t>
        </is>
      </c>
      <c r="G940" s="1" t="n">
        <v>45020</v>
      </c>
      <c r="H940" t="inlineStr">
        <is>
          <t>go green energy GmbH &amp; Co KG</t>
        </is>
      </c>
      <c r="K940">
        <f>(IF(AND(I940&lt;&gt;"",AND(J940="",ABS(Q940)&gt;400)),TRUE,FALSE))</f>
        <v/>
      </c>
      <c r="L940" s="214" t="n">
        <v>5</v>
      </c>
      <c r="M940" s="159" t="n">
        <v>1</v>
      </c>
      <c r="N940" t="n">
        <v>20</v>
      </c>
      <c r="O940" s="237">
        <f>L940*N940/100</f>
        <v/>
      </c>
      <c r="P940" s="237">
        <f>M940*O940</f>
        <v/>
      </c>
      <c r="Q940" s="208">
        <f>L940*M940</f>
        <v/>
      </c>
      <c r="R940" s="251">
        <f>L940+O940</f>
        <v/>
      </c>
      <c r="S940" s="251">
        <f>Q940+P940</f>
        <v/>
      </c>
      <c r="T940" s="35">
        <f>DATE(YEAR(EOMONTH(G940,2)),MONTH(EOMONTH(G940,2)),15)</f>
        <v/>
      </c>
      <c r="U940" s="27" t="n"/>
      <c r="V940" s="27" t="n"/>
      <c r="W940" s="210">
        <f>IF(K940=TRUE,Q940/J940,Q940)</f>
        <v/>
      </c>
      <c r="X940" s="237">
        <f>V940/100*S940</f>
        <v/>
      </c>
      <c r="Y940">
        <f>IF(AND(V940&gt;0,N940=V940),TRUE,FALSE)</f>
        <v/>
      </c>
      <c r="Z940" s="228">
        <f>IF(C940="Einnahmen",Q940,-Q940)</f>
        <v/>
      </c>
    </row>
    <row r="941">
      <c r="A941" s="53" t="n">
        <v>2023</v>
      </c>
      <c r="B941" s="53" t="n">
        <v>67</v>
      </c>
      <c r="C941" s="71" t="inlineStr">
        <is>
          <t>Einnahmen</t>
        </is>
      </c>
      <c r="D941" t="inlineStr">
        <is>
          <t>Waren-/Leistungserlöse</t>
        </is>
      </c>
      <c r="E941" s="9" t="n">
        <v>12018015</v>
      </c>
      <c r="G941" s="1" t="n">
        <v>45021</v>
      </c>
      <c r="H941" t="inlineStr">
        <is>
          <t>H. Jaros e.U., Kohlmarkt 16/2/2/15a, 1010 Wien</t>
        </is>
      </c>
      <c r="K941">
        <f>(IF(AND(I941&lt;&gt;"",AND(J941="",ABS(Q941)&gt;400)),TRUE,FALSE))</f>
        <v/>
      </c>
      <c r="L941" s="214" t="n">
        <v>1064</v>
      </c>
      <c r="M941" s="159" t="n">
        <v>1</v>
      </c>
      <c r="N941" t="n">
        <v>20</v>
      </c>
      <c r="O941" s="237">
        <f>L941*N941/100</f>
        <v/>
      </c>
      <c r="P941" s="237">
        <f>M941*O941</f>
        <v/>
      </c>
      <c r="Q941" s="208">
        <f>L941*M941</f>
        <v/>
      </c>
      <c r="R941" s="251">
        <f>L941+O941</f>
        <v/>
      </c>
      <c r="S941" s="251">
        <f>Q941+P941</f>
        <v/>
      </c>
      <c r="T941" s="35">
        <f>voranmeldefrist_vierteljaehrlich(G941)</f>
        <v/>
      </c>
      <c r="U941" s="27" t="n"/>
      <c r="V941" s="27" t="n"/>
      <c r="W941" s="210">
        <f>IF(K941=TRUE,Q941/J941,Q941)</f>
        <v/>
      </c>
      <c r="X941" s="237">
        <f>V941/100*S941</f>
        <v/>
      </c>
      <c r="Y941">
        <f>IF(AND(V941&gt;0,N941=V941),TRUE,FALSE)</f>
        <v/>
      </c>
      <c r="Z941" s="228">
        <f>IF(C941="Einnahmen",Q941,-Q941)</f>
        <v/>
      </c>
    </row>
    <row r="942">
      <c r="A942" s="53" t="n">
        <v>2023</v>
      </c>
      <c r="B942" s="53" t="n">
        <v>68</v>
      </c>
      <c r="C942" s="71" t="inlineStr">
        <is>
          <t>Ausgaben</t>
        </is>
      </c>
      <c r="D942" t="inlineStr">
        <is>
          <t>Telefon/Internet</t>
        </is>
      </c>
      <c r="G942" s="1" t="n">
        <v>45021</v>
      </c>
      <c r="H942" t="inlineStr">
        <is>
          <t>Hutchison Drei Austria GmbH, Brünner Straße 52, 1210 Wien, Österreich</t>
        </is>
      </c>
      <c r="K942">
        <f>(IF(AND(I942&lt;&gt;"",AND(J942="",ABS(Q942)&gt;400)),TRUE,FALSE))</f>
        <v/>
      </c>
      <c r="L942" s="214" t="n">
        <v>15</v>
      </c>
      <c r="M942" s="159" t="n">
        <v>1</v>
      </c>
      <c r="N942" t="n">
        <v>20</v>
      </c>
      <c r="O942" s="237">
        <f>L942*N942/100</f>
        <v/>
      </c>
      <c r="P942" s="237">
        <f>M942*O942</f>
        <v/>
      </c>
      <c r="Q942" s="208">
        <f>L942*M942</f>
        <v/>
      </c>
      <c r="R942" s="251">
        <f>L942+O942</f>
        <v/>
      </c>
      <c r="S942" s="251">
        <f>Q942+P942</f>
        <v/>
      </c>
      <c r="T942" s="35">
        <f>DATE(YEAR(EOMONTH(G942,2)),MONTH(EOMONTH(G942,2)),15)</f>
        <v/>
      </c>
      <c r="U942" s="27" t="n"/>
      <c r="V942" s="27" t="n"/>
      <c r="W942" s="210">
        <f>IF(K942=TRUE,Q942/I942,Q942)</f>
        <v/>
      </c>
      <c r="X942" s="237">
        <f>V942/100*S942</f>
        <v/>
      </c>
      <c r="Y942">
        <f>IF(AND(V942&gt;0,N942=V942),TRUE,FALSE)</f>
        <v/>
      </c>
      <c r="Z942" s="228">
        <f>IF(C942="Einnahmen",Q942,-Q942)</f>
        <v/>
      </c>
    </row>
    <row r="943">
      <c r="A943" s="53" t="n">
        <v>2023</v>
      </c>
      <c r="B943" s="53" t="n">
        <v>69</v>
      </c>
      <c r="C943" s="71" t="inlineStr">
        <is>
          <t>Ausgaben</t>
        </is>
      </c>
      <c r="D943" t="inlineStr">
        <is>
          <t>Miet- und Pachtaufwand, Leasing</t>
        </is>
      </c>
      <c r="E943" s="61" t="inlineStr">
        <is>
          <t>BELEG FEHLT</t>
        </is>
      </c>
      <c r="G943" s="1" t="n">
        <v>45022</v>
      </c>
      <c r="H943" t="inlineStr">
        <is>
          <t>Techem Messtechnik GmbH; Abnehmernummer 501686-0003-11-</t>
        </is>
      </c>
      <c r="K943" t="b">
        <v>0</v>
      </c>
      <c r="L943" s="214" t="n">
        <v>122.6</v>
      </c>
      <c r="M943" s="159" t="n">
        <v>1</v>
      </c>
      <c r="N943" t="n">
        <v>20</v>
      </c>
      <c r="O943" s="237">
        <f>L943*N943/100</f>
        <v/>
      </c>
      <c r="P943" s="237">
        <f>M943*O943</f>
        <v/>
      </c>
      <c r="Q943" s="208">
        <f>L943*M943</f>
        <v/>
      </c>
      <c r="R943" s="251">
        <f>L943+O943</f>
        <v/>
      </c>
      <c r="S943" s="251">
        <f>Q943+P943</f>
        <v/>
      </c>
      <c r="T943" s="35">
        <f>DATE(YEAR(EOMONTH(G943,2)),MONTH(EOMONTH(G943,2)),15)</f>
        <v/>
      </c>
      <c r="U943" s="27" t="n"/>
      <c r="V943" s="27" t="n"/>
      <c r="W943" s="210">
        <f>IF(K943=TRUE,Q943/J943,Q943)</f>
        <v/>
      </c>
      <c r="X943" s="237">
        <f>V943/100*S943</f>
        <v/>
      </c>
      <c r="Y943">
        <f>IF(AND(V943&gt;0,N943=V943),TRUE,FALSE)</f>
        <v/>
      </c>
      <c r="Z943" s="228">
        <f>IF(C943="Einnahmen",Q943,-Q943)</f>
        <v/>
      </c>
    </row>
    <row r="944">
      <c r="A944" s="53" t="n">
        <v>2023</v>
      </c>
      <c r="B944" s="53" t="n">
        <v>70</v>
      </c>
      <c r="C944" s="71" t="inlineStr">
        <is>
          <t>Ausgaben</t>
        </is>
      </c>
      <c r="D944" t="inlineStr">
        <is>
          <t>sonstige Betriebsausgaben</t>
        </is>
      </c>
      <c r="E944" s="61" t="inlineStr">
        <is>
          <t>BELEG FEHLT</t>
        </is>
      </c>
      <c r="G944" s="1" t="n">
        <v>45027</v>
      </c>
      <c r="H944" t="inlineStr">
        <is>
          <t>Wiener Netze GmbH, Erdbergstraße 236, 1110 Wien, Postfach 422; Jahresabrechnung vom 17.12.20: GUTSCHRIFT</t>
        </is>
      </c>
      <c r="K944">
        <f>(IF(AND(I944&lt;&gt;"",AND(J944="",ABS(Q944)&gt;400)),TRUE,FALSE))</f>
        <v/>
      </c>
      <c r="L944" s="214" t="n">
        <v>12</v>
      </c>
      <c r="M944" s="159" t="n">
        <v>1</v>
      </c>
      <c r="N944" t="n">
        <v>20</v>
      </c>
      <c r="O944" s="237">
        <f>L944*N944/100</f>
        <v/>
      </c>
      <c r="P944" s="237">
        <f>M944*O944</f>
        <v/>
      </c>
      <c r="Q944" s="208">
        <f>L944*M944</f>
        <v/>
      </c>
      <c r="R944" s="251">
        <f>L944+O944</f>
        <v/>
      </c>
      <c r="S944" s="251">
        <f>Q944+P944</f>
        <v/>
      </c>
      <c r="T944" s="35">
        <f>DATE(YEAR(EOMONTH(G944,2)),MONTH(EOMONTH(G944,2)),15)</f>
        <v/>
      </c>
      <c r="U944" s="27" t="n"/>
      <c r="V944" s="27" t="n"/>
      <c r="W944" s="210">
        <f>IF(K944=TRUE,Q944/J944,Q944)</f>
        <v/>
      </c>
      <c r="X944" s="237">
        <f>V944/100*S944</f>
        <v/>
      </c>
      <c r="Y944">
        <f>IF(AND(V944&gt;0,N944=V944),TRUE,FALSE)</f>
        <v/>
      </c>
      <c r="Z944" s="228">
        <f>IF(C944="Einnahmen",Q944,-Q944)</f>
        <v/>
      </c>
    </row>
    <row r="945">
      <c r="A945" s="53" t="n">
        <v>2023</v>
      </c>
      <c r="B945" s="53" t="n">
        <v>71</v>
      </c>
      <c r="C945" s="71" t="inlineStr">
        <is>
          <t>Einnahmen</t>
        </is>
      </c>
      <c r="D945" t="inlineStr">
        <is>
          <t>Waren-/Leistungserlöse</t>
        </is>
      </c>
      <c r="E945" t="n">
        <v>12023008</v>
      </c>
      <c r="G945" s="1" t="n">
        <v>45029</v>
      </c>
      <c r="H945" t="inlineStr">
        <is>
          <t>Hays Österreich GmbH, Bahnhof City Wien West , Europaplatz 3/5, 1150 Wien</t>
        </is>
      </c>
      <c r="K945">
        <f>(IF(AND(I945&lt;&gt;"",AND(J945="",ABS(Q945)&gt;400)),TRUE,FALSE))</f>
        <v/>
      </c>
      <c r="L945" s="214" t="n">
        <v>16638</v>
      </c>
      <c r="M945" s="159" t="n">
        <v>1</v>
      </c>
      <c r="N945" t="n">
        <v>20</v>
      </c>
      <c r="O945" s="237">
        <f>L945*N945/100</f>
        <v/>
      </c>
      <c r="P945" s="237">
        <f>M945*O945</f>
        <v/>
      </c>
      <c r="Q945" s="208">
        <f>L945*M945</f>
        <v/>
      </c>
      <c r="R945" s="251">
        <f>L945+O945</f>
        <v/>
      </c>
      <c r="S945" s="251">
        <f>Q945+P945</f>
        <v/>
      </c>
      <c r="T945" s="35">
        <f>DATE(YEAR(EOMONTH(G945,2)),MONTH(EOMONTH(G945,2)),15)</f>
        <v/>
      </c>
      <c r="U945" s="27" t="n"/>
      <c r="V945" s="27" t="n"/>
      <c r="W945" s="210">
        <f>IF(K945=TRUE,Q945/J945,Q945)</f>
        <v/>
      </c>
      <c r="X945" s="237">
        <f>V945/100*S945</f>
        <v/>
      </c>
      <c r="Y945">
        <f>IF(AND(V945&gt;0,N945=V945),TRUE,FALSE)</f>
        <v/>
      </c>
      <c r="Z945" s="228">
        <f>IF(C945="Einnahmen",Q945,-Q945)</f>
        <v/>
      </c>
    </row>
    <row r="946">
      <c r="A946" s="53" t="n">
        <v>2023</v>
      </c>
      <c r="B946" s="53" t="n">
        <v>72</v>
      </c>
      <c r="C946" s="71" t="inlineStr">
        <is>
          <t>Ausgaben</t>
        </is>
      </c>
      <c r="D946" t="inlineStr">
        <is>
          <t>sonstige Betriebsausgaben</t>
        </is>
      </c>
      <c r="G946" s="1" t="n">
        <v>45035</v>
      </c>
      <c r="H946" t="inlineStr">
        <is>
          <t>TeamViewer Germany GmbH, Jahnstr. 30, 73037 Göppingen, Deutschland</t>
        </is>
      </c>
      <c r="J946" s="76" t="inlineStr">
        <is>
          <t>ja</t>
        </is>
      </c>
      <c r="K946">
        <f>(IF(AND(I946&lt;&gt;"",AND(J946="",ABS(Q946)&gt;400)),TRUE,FALSE))</f>
        <v/>
      </c>
      <c r="L946" s="214" t="n">
        <v>394.8</v>
      </c>
      <c r="M946" s="159" t="n">
        <v>1</v>
      </c>
      <c r="N946" t="n">
        <v>0</v>
      </c>
      <c r="O946" s="237">
        <f>L946*N946/100</f>
        <v/>
      </c>
      <c r="P946" s="237">
        <f>M946*O946</f>
        <v/>
      </c>
      <c r="Q946" s="208">
        <f>L946*M946</f>
        <v/>
      </c>
      <c r="R946" s="251">
        <f>L946+O946</f>
        <v/>
      </c>
      <c r="S946" s="251">
        <f>Q946+P946</f>
        <v/>
      </c>
      <c r="T946" s="35">
        <f>voranmeldefrist_vierteljaehrlich(G946)</f>
        <v/>
      </c>
      <c r="U946" s="27" t="n"/>
      <c r="V946" s="27" t="n">
        <v>20</v>
      </c>
      <c r="W946" s="210">
        <f>IF(K946=TRUE,Q946/J946,Q946)</f>
        <v/>
      </c>
      <c r="X946" s="237">
        <f>V946/100*S946</f>
        <v/>
      </c>
      <c r="Y946">
        <f>IF(AND(V946&gt;0,N946=V946),TRUE,FALSE)</f>
        <v/>
      </c>
      <c r="Z946" s="228">
        <f>IF(C946="Einnahmen",Q946,-Q946)</f>
        <v/>
      </c>
    </row>
    <row r="947">
      <c r="A947" s="53" t="n">
        <v>2023</v>
      </c>
      <c r="B947" s="53" t="n">
        <v>73</v>
      </c>
      <c r="C947" s="71" t="inlineStr">
        <is>
          <t>Ausgaben</t>
        </is>
      </c>
      <c r="D947" t="inlineStr">
        <is>
          <t>sonstige Betriebsausgaben</t>
        </is>
      </c>
      <c r="G947" s="1" t="n">
        <v>45030</v>
      </c>
      <c r="H947" t="inlineStr">
        <is>
          <t>Hetzner Online GmbH</t>
        </is>
      </c>
      <c r="K947">
        <f>(IF(AND(I947&lt;&gt;"",AND(J947="",ABS(Q947)&gt;400)),TRUE,FALSE))</f>
        <v/>
      </c>
      <c r="L947" s="214" t="n">
        <v>52.2141</v>
      </c>
      <c r="M947" s="159" t="n">
        <v>1</v>
      </c>
      <c r="N947" t="n">
        <v>0</v>
      </c>
      <c r="O947" s="237">
        <f>L947*N947/100</f>
        <v/>
      </c>
      <c r="P947" s="237">
        <f>M947*O947</f>
        <v/>
      </c>
      <c r="Q947" s="208">
        <f>L947*M947</f>
        <v/>
      </c>
      <c r="R947" s="251">
        <f>L947+O947</f>
        <v/>
      </c>
      <c r="S947" s="251">
        <f>Q947+P947</f>
        <v/>
      </c>
      <c r="T947" s="35">
        <f>DATE(YEAR(EOMONTH(G947,2)),MONTH(EOMONTH(G947,2)),15)</f>
        <v/>
      </c>
      <c r="U947" s="27" t="n"/>
      <c r="V947" s="27" t="n">
        <v>20</v>
      </c>
      <c r="W947" s="210">
        <f>IF(K947=TRUE,Q947/J947,Q947)</f>
        <v/>
      </c>
      <c r="X947" s="237">
        <f>V947/100*S947</f>
        <v/>
      </c>
      <c r="Y947">
        <f>IF(AND(V947&gt;0,N947=V947),TRUE,FALSE)</f>
        <v/>
      </c>
      <c r="Z947" s="228">
        <f>IF(C947="Einnahmen",Q947,-Q947)</f>
        <v/>
      </c>
    </row>
    <row r="948">
      <c r="A948" s="53" t="n">
        <v>2023</v>
      </c>
      <c r="B948" s="53" t="n">
        <v>74</v>
      </c>
      <c r="C948" s="71" t="inlineStr">
        <is>
          <t>Ausgaben</t>
        </is>
      </c>
      <c r="D948" t="inlineStr">
        <is>
          <t>Personalaufwand</t>
        </is>
      </c>
      <c r="E948" s="9" t="inlineStr">
        <is>
          <t>siehe 2022-140</t>
        </is>
      </c>
      <c r="G948" s="1" t="n">
        <v>45033</v>
      </c>
      <c r="H948" t="inlineStr">
        <is>
          <t>Honorar Eva Jaros-Kolbitsch</t>
        </is>
      </c>
      <c r="K948">
        <f>(IF(AND(I948&lt;&gt;"",AND(J948="",ABS(Q948)&gt;400)),TRUE,FALSE))</f>
        <v/>
      </c>
      <c r="L948" s="214" t="n">
        <v>365</v>
      </c>
      <c r="M948" s="159" t="n">
        <v>1</v>
      </c>
      <c r="N948" t="n">
        <v>0</v>
      </c>
      <c r="O948" s="237">
        <f>L948*N948/100</f>
        <v/>
      </c>
      <c r="P948" s="237">
        <f>M948*O948</f>
        <v/>
      </c>
      <c r="Q948" s="208">
        <f>L948*M948</f>
        <v/>
      </c>
      <c r="R948" s="251">
        <f>L948+O948</f>
        <v/>
      </c>
      <c r="S948" s="251">
        <f>Q948+P948</f>
        <v/>
      </c>
      <c r="T948" s="35">
        <f>DATE(YEAR(EOMONTH(G948,2)),MONTH(EOMONTH(G948,2)),15)</f>
        <v/>
      </c>
      <c r="U948" s="27" t="n"/>
      <c r="V948" s="27" t="n"/>
      <c r="W948" s="210">
        <f>IF(K948=TRUE,Q948/J948,Q948)</f>
        <v/>
      </c>
      <c r="X948" s="237">
        <f>V948/100*S948</f>
        <v/>
      </c>
      <c r="Y948">
        <f>IF(AND(V948&gt;0,N948=V948),TRUE,FALSE)</f>
        <v/>
      </c>
      <c r="Z948" s="228">
        <f>IF(C948="Einnahmen",Q948,-Q948)</f>
        <v/>
      </c>
    </row>
    <row r="949">
      <c r="A949" s="53" t="n">
        <v>2023</v>
      </c>
      <c r="B949" s="53" t="n">
        <v>75</v>
      </c>
      <c r="C949" s="71" t="inlineStr">
        <is>
          <t>Ausgaben</t>
        </is>
      </c>
      <c r="D949" t="inlineStr">
        <is>
          <t>sonstige Betriebsausgaben</t>
        </is>
      </c>
      <c r="E949" s="1" t="n"/>
      <c r="G949" s="1" t="n">
        <v>45036</v>
      </c>
      <c r="H949" t="inlineStr">
        <is>
          <t>Microsoft Ireland Operations Ltd. One Microsoft Place, South County, Business Park, Leopardstown, Dublin 18, D18 P521, Ireland</t>
        </is>
      </c>
      <c r="K949">
        <f>(IF(AND(I949&lt;&gt;"",AND(J949="",ABS(Q949)&gt;400)),TRUE,FALSE))</f>
        <v/>
      </c>
      <c r="L949" s="214" t="n">
        <v>10.5</v>
      </c>
      <c r="M949" s="159" t="n">
        <v>1</v>
      </c>
      <c r="N949" t="n">
        <v>0</v>
      </c>
      <c r="O949" s="237">
        <f>L949*N949/100</f>
        <v/>
      </c>
      <c r="P949" s="237">
        <f>M949*O949</f>
        <v/>
      </c>
      <c r="Q949" s="208">
        <f>L949*M949</f>
        <v/>
      </c>
      <c r="R949" s="251">
        <f>L949+O949</f>
        <v/>
      </c>
      <c r="S949" s="251">
        <f>Q949+P949</f>
        <v/>
      </c>
      <c r="T949" s="35">
        <f>DATE(YEAR(EOMONTH(G949,2)),MONTH(EOMONTH(G949,2)),15)</f>
        <v/>
      </c>
      <c r="U949" s="27" t="n"/>
      <c r="V949" s="27" t="n">
        <v>20</v>
      </c>
      <c r="W949" s="210">
        <f>IF(K949=TRUE,Q949/J949,Q949)</f>
        <v/>
      </c>
      <c r="X949" s="237">
        <f>V949/100*S949</f>
        <v/>
      </c>
      <c r="Y949">
        <f>IF(AND(V949&gt;0,N949=V949),TRUE,FALSE)</f>
        <v/>
      </c>
      <c r="Z949" s="228">
        <f>IF(C949="Einnahmen",Q949,-Q949)</f>
        <v/>
      </c>
    </row>
    <row r="950">
      <c r="A950" s="53" t="n">
        <v>2023</v>
      </c>
      <c r="B950" s="53" t="n">
        <v>76</v>
      </c>
      <c r="C950" s="71" t="inlineStr">
        <is>
          <t>Ausgaben</t>
        </is>
      </c>
      <c r="D950" t="inlineStr">
        <is>
          <t>Telefon/Internet</t>
        </is>
      </c>
      <c r="E950" s="131" t="n"/>
      <c r="G950" s="1" t="n">
        <v>45037</v>
      </c>
      <c r="H950" t="inlineStr">
        <is>
          <t>Magenta: T-Mobile Austria GmbH, A-1120 Wien, PF 47</t>
        </is>
      </c>
      <c r="K950">
        <f>(IF(AND(I950&lt;&gt;"",AND(J950="",ABS(Q950)&gt;400)),TRUE,FALSE))</f>
        <v/>
      </c>
      <c r="L950" s="214" t="n">
        <v>31.92</v>
      </c>
      <c r="M950" s="159" t="n">
        <v>1</v>
      </c>
      <c r="N950" t="n">
        <v>20</v>
      </c>
      <c r="O950" s="237">
        <f>L950*N950/100</f>
        <v/>
      </c>
      <c r="P950" s="237">
        <f>M950*O950</f>
        <v/>
      </c>
      <c r="Q950" s="208">
        <f>L950*M950</f>
        <v/>
      </c>
      <c r="R950" s="251">
        <f>L950+O950</f>
        <v/>
      </c>
      <c r="S950" s="251">
        <f>Q950+P950</f>
        <v/>
      </c>
      <c r="T950" s="35">
        <f>DATE(YEAR(EOMONTH(G950,2)),MONTH(EOMONTH(G950,2)),15)</f>
        <v/>
      </c>
      <c r="U950" s="27" t="n"/>
      <c r="V950" s="27" t="n"/>
      <c r="W950" s="210">
        <f>IF(K950=TRUE,Q950/I950,Q950)</f>
        <v/>
      </c>
      <c r="X950" s="237">
        <f>V950/100*S950</f>
        <v/>
      </c>
      <c r="Y950">
        <f>IF(AND(V950&gt;0,N950=V950),TRUE,FALSE)</f>
        <v/>
      </c>
      <c r="Z950" s="228">
        <f>IF(C950="Einnahmen",Q950,-Q950)</f>
        <v/>
      </c>
    </row>
    <row r="951">
      <c r="A951" s="53" t="n">
        <v>2023</v>
      </c>
      <c r="B951" s="53" t="n">
        <v>77</v>
      </c>
      <c r="C951" s="71" t="inlineStr">
        <is>
          <t>Einnahmen</t>
        </is>
      </c>
      <c r="D951" t="inlineStr">
        <is>
          <t>Waren-/Leistungserlöse</t>
        </is>
      </c>
      <c r="E951" t="n">
        <v>12023004</v>
      </c>
      <c r="G951" s="1" t="n">
        <v>45040</v>
      </c>
      <c r="H951" t="inlineStr">
        <is>
          <t>Paperholic all bout paper e.U.</t>
        </is>
      </c>
      <c r="K951" t="b">
        <v>0</v>
      </c>
      <c r="L951" s="214" t="n">
        <v>192</v>
      </c>
      <c r="M951" s="159" t="n">
        <v>1</v>
      </c>
      <c r="N951" t="n">
        <v>20</v>
      </c>
      <c r="O951" s="237">
        <f>L951*N951/100</f>
        <v/>
      </c>
      <c r="P951" s="237">
        <f>M951*O951</f>
        <v/>
      </c>
      <c r="Q951" s="208">
        <f>L951*M951</f>
        <v/>
      </c>
      <c r="R951" s="251">
        <f>L951+O951</f>
        <v/>
      </c>
      <c r="S951" s="251">
        <f>Q951+P951</f>
        <v/>
      </c>
      <c r="T951" s="35">
        <f>DATE(YEAR(EOMONTH(G951,2)),MONTH(EOMONTH(G951,2)),15)</f>
        <v/>
      </c>
      <c r="U951" s="27" t="n"/>
      <c r="V951" s="27" t="n"/>
      <c r="W951" s="210">
        <f>IF(K951=TRUE,Q951/I951,Q951)</f>
        <v/>
      </c>
      <c r="X951" s="237">
        <f>V951/100*S951</f>
        <v/>
      </c>
      <c r="Y951">
        <f>IF(AND(V951&gt;0,N951=V951),TRUE,FALSE)</f>
        <v/>
      </c>
      <c r="Z951" s="228">
        <f>IF(C951="Einnahmen",Q951,-Q951)</f>
        <v/>
      </c>
    </row>
    <row r="952">
      <c r="A952" s="53" t="n">
        <v>2023</v>
      </c>
      <c r="B952" s="53" t="n">
        <v>78</v>
      </c>
      <c r="C952" s="71" t="inlineStr">
        <is>
          <t>Ausgaben</t>
        </is>
      </c>
      <c r="D952" t="inlineStr">
        <is>
          <t>Reise- und Fahrtspesen inkl. Kilometergeld und Diäten</t>
        </is>
      </c>
      <c r="E952" s="131" t="n"/>
      <c r="G952" s="1" t="n">
        <v>45048</v>
      </c>
      <c r="H952" t="inlineStr">
        <is>
          <t>car2go Österreich GmbH, Hintere Zollamtstraße 9, 1030 Wien</t>
        </is>
      </c>
      <c r="K952" t="b">
        <v>0</v>
      </c>
      <c r="L952" s="214" t="n">
        <v>29.62</v>
      </c>
      <c r="M952" s="159" t="n">
        <v>1</v>
      </c>
      <c r="N952" t="n">
        <v>20</v>
      </c>
      <c r="O952" s="237">
        <f>L952*N952/100</f>
        <v/>
      </c>
      <c r="P952" s="237">
        <f>M952*O952</f>
        <v/>
      </c>
      <c r="Q952" s="208">
        <f>L952*M952</f>
        <v/>
      </c>
      <c r="R952" s="251">
        <f>L952+O952</f>
        <v/>
      </c>
      <c r="S952" s="251">
        <f>Q952+P952</f>
        <v/>
      </c>
      <c r="T952" s="35">
        <f>DATE(YEAR(EOMONTH(G952,2)),MONTH(EOMONTH(G952,2)),15)</f>
        <v/>
      </c>
      <c r="U952" s="27" t="n"/>
      <c r="V952" s="27" t="n"/>
      <c r="W952" s="210">
        <f>IF(K952=TRUE,Q952/J952,Q952)</f>
        <v/>
      </c>
      <c r="X952" s="237">
        <f>V952/100*S952</f>
        <v/>
      </c>
      <c r="Y952">
        <f>IF(AND(V952&gt;0,N952=V952),TRUE,FALSE)</f>
        <v/>
      </c>
      <c r="Z952" s="228">
        <f>IF(C952="Einnahmen",Q952,-Q952)</f>
        <v/>
      </c>
    </row>
    <row r="953">
      <c r="A953" s="53" t="n">
        <v>2023</v>
      </c>
      <c r="B953" s="53" t="n">
        <v>79</v>
      </c>
      <c r="C953" s="71" t="inlineStr">
        <is>
          <t>Ausgaben</t>
        </is>
      </c>
      <c r="D953" t="inlineStr">
        <is>
          <t>Miet- und Pachtaufwand, Leasing</t>
        </is>
      </c>
      <c r="G953" s="1" t="n">
        <v>45048</v>
      </c>
      <c r="H953" t="inlineStr">
        <is>
          <t>Bontus Immobilienverwaltung GmbH, 1010 Wien, Franz Josefs Kai 65</t>
        </is>
      </c>
      <c r="K953" t="b">
        <v>0</v>
      </c>
      <c r="L953" s="214">
        <f>629.72/1.2</f>
        <v/>
      </c>
      <c r="M953" s="159" t="n">
        <v>1</v>
      </c>
      <c r="N953" t="n">
        <v>20</v>
      </c>
      <c r="O953" s="237">
        <f>L953*N953/100</f>
        <v/>
      </c>
      <c r="P953" s="237">
        <f>M953*O953</f>
        <v/>
      </c>
      <c r="Q953" s="208">
        <f>L953*M953</f>
        <v/>
      </c>
      <c r="R953" s="251">
        <f>L953+O953</f>
        <v/>
      </c>
      <c r="S953" s="251">
        <f>Q953+P953</f>
        <v/>
      </c>
      <c r="T953" s="35">
        <f>DATE(YEAR(EOMONTH(G953,2)),MONTH(EOMONTH(G953,2)),15)</f>
        <v/>
      </c>
      <c r="U953" s="27" t="n"/>
      <c r="V953" s="27" t="n"/>
      <c r="W953" s="210">
        <f>IF(K953=TRUE,Q953/J953,Q953)</f>
        <v/>
      </c>
      <c r="X953" s="237">
        <f>V953/100*S953</f>
        <v/>
      </c>
      <c r="Y953">
        <f>IF(AND(V953&gt;0,N953=V953),TRUE,FALSE)</f>
        <v/>
      </c>
      <c r="Z953" s="228">
        <f>IF(C953="Einnahmen",Q953,-Q953)</f>
        <v/>
      </c>
    </row>
    <row r="954">
      <c r="A954" s="53" t="n">
        <v>2023</v>
      </c>
      <c r="B954" s="53" t="n">
        <v>80</v>
      </c>
      <c r="C954" s="71" t="inlineStr">
        <is>
          <t>Ausgaben</t>
        </is>
      </c>
      <c r="D954" t="inlineStr">
        <is>
          <t>Büromaterial</t>
        </is>
      </c>
      <c r="G954" s="1" t="n">
        <v>45048</v>
      </c>
      <c r="H954" t="inlineStr">
        <is>
          <t>Amazon EU S. à r.l., 38 avenue John F. Kennedy, L-1855 Luxembourg: HJEU: DVI-HDMI, Logitech Maus</t>
        </is>
      </c>
      <c r="K954" t="b">
        <v>0</v>
      </c>
      <c r="L954" s="214" t="n">
        <v>16.8</v>
      </c>
      <c r="M954" s="159" t="n">
        <v>1</v>
      </c>
      <c r="N954" t="n">
        <v>20</v>
      </c>
      <c r="O954" s="237">
        <f>L954*N954/100</f>
        <v/>
      </c>
      <c r="P954" s="237">
        <f>M954*O954</f>
        <v/>
      </c>
      <c r="Q954" s="208">
        <f>L954*M954</f>
        <v/>
      </c>
      <c r="R954" s="251">
        <f>L954+O954</f>
        <v/>
      </c>
      <c r="S954" s="251">
        <f>Q954+P954</f>
        <v/>
      </c>
      <c r="T954" s="35">
        <f>DATE(YEAR(EOMONTH(G954,2)),MONTH(EOMONTH(G954,2)),15)</f>
        <v/>
      </c>
      <c r="U954" s="27" t="n"/>
      <c r="V954" s="27" t="n"/>
      <c r="W954" s="210">
        <f>IF(K954=TRUE,Q954/I954,Q954)</f>
        <v/>
      </c>
      <c r="X954" s="237">
        <f>V954/100*S954</f>
        <v/>
      </c>
      <c r="Y954">
        <f>IF(AND(V954&gt;0,N954=V954),TRUE,FALSE)</f>
        <v/>
      </c>
      <c r="Z954" s="228">
        <f>IF(C954="Einnahmen",Q954,-Q954)</f>
        <v/>
      </c>
    </row>
    <row r="955">
      <c r="A955" s="53" t="n">
        <v>2023</v>
      </c>
      <c r="B955" s="53" t="n">
        <v>81</v>
      </c>
      <c r="C955" s="71" t="inlineStr">
        <is>
          <t>Ausgaben</t>
        </is>
      </c>
      <c r="D955" t="inlineStr">
        <is>
          <t>sonstige Betriebsausgaben</t>
        </is>
      </c>
      <c r="G955" s="1" t="n">
        <v>45049</v>
      </c>
      <c r="H955" t="inlineStr">
        <is>
          <t>Google Ireland Ltd, Gordon House, Barrow Street, Dublin 4, Ireland; VAT number: IE 6388047V</t>
        </is>
      </c>
      <c r="K955" t="b">
        <v>0</v>
      </c>
      <c r="L955" s="214" t="n">
        <v>9.43</v>
      </c>
      <c r="M955" s="159" t="n">
        <v>1</v>
      </c>
      <c r="N955" t="n">
        <v>0</v>
      </c>
      <c r="O955" s="237">
        <f>L955*N955/100</f>
        <v/>
      </c>
      <c r="P955" s="237">
        <f>M955*O955</f>
        <v/>
      </c>
      <c r="Q955" s="208">
        <f>L955*M955</f>
        <v/>
      </c>
      <c r="R955" s="251">
        <f>L955+O955</f>
        <v/>
      </c>
      <c r="S955" s="251">
        <f>Q955+P955</f>
        <v/>
      </c>
      <c r="T955" s="35">
        <f>DATE(YEAR(EOMONTH(G955,2)),MONTH(EOMONTH(G955,2)),15)</f>
        <v/>
      </c>
      <c r="U955" s="27" t="n"/>
      <c r="V955" s="27" t="n">
        <v>20</v>
      </c>
      <c r="W955" s="210">
        <f>IF(K955=TRUE,Q955/I955,Q955)</f>
        <v/>
      </c>
      <c r="X955" s="237">
        <f>V955/100*S955</f>
        <v/>
      </c>
      <c r="Y955">
        <f>IF(AND(V955&gt;0,N955=V955),TRUE,FALSE)</f>
        <v/>
      </c>
      <c r="Z955" s="228">
        <f>IF(C955="Einnahmen",Q955,-Q955)</f>
        <v/>
      </c>
    </row>
    <row r="956">
      <c r="A956" s="53" t="n">
        <v>2023</v>
      </c>
      <c r="B956" s="53" t="n">
        <v>82</v>
      </c>
      <c r="C956" s="71" t="inlineStr">
        <is>
          <t>Ausgaben</t>
        </is>
      </c>
      <c r="D956" t="inlineStr">
        <is>
          <t>sonstige Betriebsausgaben</t>
        </is>
      </c>
      <c r="G956" s="1" t="n">
        <v>45050</v>
      </c>
      <c r="H956" t="inlineStr">
        <is>
          <t>go green energy GmbH &amp; Co KG</t>
        </is>
      </c>
      <c r="K956">
        <f>(IF(AND(I956&lt;&gt;"",AND(J956="",ABS(Q956)&gt;400)),TRUE,FALSE))</f>
        <v/>
      </c>
      <c r="L956" s="214" t="n">
        <v>5</v>
      </c>
      <c r="M956" s="159" t="n">
        <v>1</v>
      </c>
      <c r="N956" t="n">
        <v>20</v>
      </c>
      <c r="O956" s="237">
        <f>L956*N956/100</f>
        <v/>
      </c>
      <c r="P956" s="237">
        <f>M956*O956</f>
        <v/>
      </c>
      <c r="Q956" s="208">
        <f>L956*M956</f>
        <v/>
      </c>
      <c r="R956" s="251">
        <f>L956+O956</f>
        <v/>
      </c>
      <c r="S956" s="251">
        <f>Q956+P956</f>
        <v/>
      </c>
      <c r="T956" s="35">
        <f>DATE(YEAR(EOMONTH(G956,2)),MONTH(EOMONTH(G956,2)),15)</f>
        <v/>
      </c>
      <c r="U956" s="27" t="n"/>
      <c r="V956" s="27" t="n"/>
      <c r="W956" s="210">
        <f>IF(K956=TRUE,Q956/J956,Q956)</f>
        <v/>
      </c>
      <c r="X956" s="237">
        <f>V956/100*S956</f>
        <v/>
      </c>
      <c r="Y956">
        <f>IF(AND(V956&gt;0,N956=V956),TRUE,FALSE)</f>
        <v/>
      </c>
      <c r="Z956" s="228">
        <f>IF(C956="Einnahmen",Q956,-Q956)</f>
        <v/>
      </c>
    </row>
    <row r="957">
      <c r="A957" s="53" t="n">
        <v>2023</v>
      </c>
      <c r="B957" s="53" t="n">
        <v>83</v>
      </c>
      <c r="C957" s="71" t="inlineStr">
        <is>
          <t>Ausgaben</t>
        </is>
      </c>
      <c r="D957" t="inlineStr">
        <is>
          <t>Telefon/Internet</t>
        </is>
      </c>
      <c r="G957" s="1" t="n">
        <v>45050</v>
      </c>
      <c r="H957" t="inlineStr">
        <is>
          <t>Hutchison Drei Austria GmbH, Brünner Straße 52, 1210 Wien, Österreich</t>
        </is>
      </c>
      <c r="K957">
        <f>(IF(AND(I957&lt;&gt;"",AND(J957="",ABS(Q957)&gt;400)),TRUE,FALSE))</f>
        <v/>
      </c>
      <c r="L957" s="214" t="n">
        <v>15</v>
      </c>
      <c r="M957" s="159" t="n">
        <v>1</v>
      </c>
      <c r="N957" t="n">
        <v>20</v>
      </c>
      <c r="O957" s="237">
        <f>L957*N957/100</f>
        <v/>
      </c>
      <c r="P957" s="237">
        <f>M957*O957</f>
        <v/>
      </c>
      <c r="Q957" s="208">
        <f>L957*M957</f>
        <v/>
      </c>
      <c r="R957" s="251">
        <f>L957+O957</f>
        <v/>
      </c>
      <c r="S957" s="251">
        <f>Q957+P957</f>
        <v/>
      </c>
      <c r="T957" s="35">
        <f>DATE(YEAR(EOMONTH(G957,2)),MONTH(EOMONTH(G957,2)),15)</f>
        <v/>
      </c>
      <c r="U957" s="27" t="n"/>
      <c r="V957" s="27" t="n"/>
      <c r="W957" s="210">
        <f>IF(K957=TRUE,Q957/I957,Q957)</f>
        <v/>
      </c>
      <c r="X957" s="237">
        <f>V957/100*S957</f>
        <v/>
      </c>
      <c r="Y957">
        <f>IF(AND(V957&gt;0,N957=V957),TRUE,FALSE)</f>
        <v/>
      </c>
      <c r="Z957" s="228">
        <f>IF(C957="Einnahmen",Q957,-Q957)</f>
        <v/>
      </c>
    </row>
    <row r="958">
      <c r="A958" s="53" t="n">
        <v>2023</v>
      </c>
      <c r="B958" s="53" t="n">
        <v>84</v>
      </c>
      <c r="C958" s="71" t="inlineStr">
        <is>
          <t>Ausgaben</t>
        </is>
      </c>
      <c r="D958" t="inlineStr">
        <is>
          <t>sonstige Betriebsausgaben</t>
        </is>
      </c>
      <c r="G958" s="1" t="n">
        <v>45054</v>
      </c>
      <c r="H958" t="inlineStr">
        <is>
          <t>Confiserie Altmann &amp; Kühne, Graben 30, 1010 Wien</t>
        </is>
      </c>
      <c r="K958">
        <f>(IF(AND(I958&lt;&gt;"",AND(J958="",ABS(Q958)&gt;400)),TRUE,FALSE))</f>
        <v/>
      </c>
      <c r="L958" s="214" t="n">
        <v>108.36</v>
      </c>
      <c r="M958" s="159" t="n">
        <v>1</v>
      </c>
      <c r="N958" t="n">
        <v>20</v>
      </c>
      <c r="O958" s="237">
        <f>L958*N958/100</f>
        <v/>
      </c>
      <c r="P958" s="237">
        <f>M958*O958</f>
        <v/>
      </c>
      <c r="Q958" s="208">
        <f>L958*M958</f>
        <v/>
      </c>
      <c r="R958" s="251">
        <f>L958+O958</f>
        <v/>
      </c>
      <c r="S958" s="251">
        <f>Q958+P958</f>
        <v/>
      </c>
      <c r="T958" s="35">
        <f>DATE(YEAR(EOMONTH(G958,2)),MONTH(EOMONTH(G958,2)),15)</f>
        <v/>
      </c>
      <c r="U958" s="27" t="n"/>
      <c r="V958" s="27" t="n"/>
      <c r="W958" s="210">
        <f>IF(K958=TRUE,Q958/I958,Q958)</f>
        <v/>
      </c>
      <c r="X958" s="237">
        <f>V958/100*S958</f>
        <v/>
      </c>
      <c r="Y958">
        <f>IF(AND(V958&gt;0,N958=V958),TRUE,FALSE)</f>
        <v/>
      </c>
      <c r="Z958" s="228">
        <f>IF(C958="Einnahmen",Q958,-Q958)</f>
        <v/>
      </c>
    </row>
    <row r="959">
      <c r="A959" s="53" t="n">
        <v>2023</v>
      </c>
      <c r="B959" s="53" t="n">
        <v>85</v>
      </c>
      <c r="C959" s="71" t="inlineStr">
        <is>
          <t>Ausgaben</t>
        </is>
      </c>
      <c r="D959" t="inlineStr">
        <is>
          <t>sonstige Betriebsausgaben</t>
        </is>
      </c>
      <c r="E959" s="61" t="inlineStr">
        <is>
          <t>BELEG FEHLT</t>
        </is>
      </c>
      <c r="G959" s="1" t="n">
        <v>45056</v>
      </c>
      <c r="H959" t="inlineStr">
        <is>
          <t>Wiener Netze GmbH, Erdbergstraße 236, 1110 Wien, Postfach 422; Jahresabrechnung vom 17.12.20: GUTSCHRIFT</t>
        </is>
      </c>
      <c r="K959">
        <f>(IF(AND(I959&lt;&gt;"",AND(J959="",ABS(Q959)&gt;400)),TRUE,FALSE))</f>
        <v/>
      </c>
      <c r="L959" s="214" t="n">
        <v>12</v>
      </c>
      <c r="M959" s="159" t="n">
        <v>1</v>
      </c>
      <c r="N959" t="n">
        <v>20</v>
      </c>
      <c r="O959" s="237">
        <f>L959*N959/100</f>
        <v/>
      </c>
      <c r="P959" s="237">
        <f>M959*O959</f>
        <v/>
      </c>
      <c r="Q959" s="208">
        <f>L959*M959</f>
        <v/>
      </c>
      <c r="R959" s="251">
        <f>L959+O959</f>
        <v/>
      </c>
      <c r="S959" s="251">
        <f>Q959+P959</f>
        <v/>
      </c>
      <c r="T959" s="35">
        <f>DATE(YEAR(EOMONTH(G959,2)),MONTH(EOMONTH(G959,2)),15)</f>
        <v/>
      </c>
      <c r="U959" s="27" t="n"/>
      <c r="V959" s="27" t="n"/>
      <c r="W959" s="210">
        <f>IF(K959=TRUE,Q959/J959,Q959)</f>
        <v/>
      </c>
      <c r="X959" s="237">
        <f>V959/100*S959</f>
        <v/>
      </c>
      <c r="Y959">
        <f>IF(AND(V959&gt;0,N959=V959),TRUE,FALSE)</f>
        <v/>
      </c>
      <c r="Z959" s="228">
        <f>IF(C959="Einnahmen",Q959,-Q959)</f>
        <v/>
      </c>
    </row>
    <row r="960">
      <c r="A960" s="53" t="n">
        <v>2023</v>
      </c>
      <c r="B960" s="53" t="n">
        <v>86</v>
      </c>
      <c r="C960" s="71" t="inlineStr">
        <is>
          <t>Ausgaben</t>
        </is>
      </c>
      <c r="D960" t="inlineStr">
        <is>
          <t>sonstige Betriebsausgaben</t>
        </is>
      </c>
      <c r="G960" s="1" t="n">
        <v>45057</v>
      </c>
      <c r="H960" t="inlineStr">
        <is>
          <t>Hetzner Online GmbH</t>
        </is>
      </c>
      <c r="K960">
        <f>(IF(AND(I960&lt;&gt;"",AND(J960="",ABS(Q960)&gt;400)),TRUE,FALSE))</f>
        <v/>
      </c>
      <c r="L960" s="214" t="n">
        <v>52.2141</v>
      </c>
      <c r="M960" s="159" t="n">
        <v>1</v>
      </c>
      <c r="N960" t="n">
        <v>0</v>
      </c>
      <c r="O960" s="237">
        <f>L960*N960/100</f>
        <v/>
      </c>
      <c r="P960" s="237">
        <f>M960*O960</f>
        <v/>
      </c>
      <c r="Q960" s="208">
        <f>L960*M960</f>
        <v/>
      </c>
      <c r="R960" s="251">
        <f>L960+O960</f>
        <v/>
      </c>
      <c r="S960" s="251">
        <f>Q960+P960</f>
        <v/>
      </c>
      <c r="T960" s="35">
        <f>DATE(YEAR(EOMONTH(G960,2)),MONTH(EOMONTH(G960,2)),15)</f>
        <v/>
      </c>
      <c r="U960" s="27" t="n"/>
      <c r="V960" s="27" t="n">
        <v>20</v>
      </c>
      <c r="W960" s="210">
        <f>IF(K960=TRUE,Q960/J960,Q960)</f>
        <v/>
      </c>
      <c r="X960" s="237">
        <f>V960/100*S960</f>
        <v/>
      </c>
      <c r="Y960">
        <f>IF(AND(V960&gt;0,N960=V960),TRUE,FALSE)</f>
        <v/>
      </c>
      <c r="Z960" s="228">
        <f>IF(C960="Einnahmen",Q960,-Q960)</f>
        <v/>
      </c>
    </row>
    <row r="961">
      <c r="A961" s="53" t="n">
        <v>2023</v>
      </c>
      <c r="B961" s="53" t="n">
        <v>87</v>
      </c>
      <c r="C961" s="71" t="inlineStr">
        <is>
          <t>Ausgaben</t>
        </is>
      </c>
      <c r="D961" t="inlineStr">
        <is>
          <t>Personalaufwand</t>
        </is>
      </c>
      <c r="E961" s="9" t="inlineStr">
        <is>
          <t>siehe 2022-140</t>
        </is>
      </c>
      <c r="G961" s="1" t="n">
        <v>45061</v>
      </c>
      <c r="H961" t="inlineStr">
        <is>
          <t>Honorar Eva Jaros-Kolbitsch</t>
        </is>
      </c>
      <c r="K961">
        <f>(IF(AND(I961&lt;&gt;"",AND(J961="",ABS(Q961)&gt;400)),TRUE,FALSE))</f>
        <v/>
      </c>
      <c r="L961" s="214" t="n">
        <v>365</v>
      </c>
      <c r="M961" s="159" t="n">
        <v>1</v>
      </c>
      <c r="N961" t="n">
        <v>0</v>
      </c>
      <c r="O961" s="237">
        <f>L961*N961/100</f>
        <v/>
      </c>
      <c r="P961" s="237">
        <f>M961*O961</f>
        <v/>
      </c>
      <c r="Q961" s="208">
        <f>L961*M961</f>
        <v/>
      </c>
      <c r="R961" s="251">
        <f>L961+O961</f>
        <v/>
      </c>
      <c r="S961" s="251">
        <f>Q961+P961</f>
        <v/>
      </c>
      <c r="T961" s="35">
        <f>DATE(YEAR(EOMONTH(G961,2)),MONTH(EOMONTH(G961,2)),15)</f>
        <v/>
      </c>
      <c r="U961" s="27" t="n"/>
      <c r="V961" s="27" t="n"/>
      <c r="W961" s="210">
        <f>IF(K961=TRUE,Q961/J961,Q961)</f>
        <v/>
      </c>
      <c r="X961" s="237">
        <f>V961/100*S961</f>
        <v/>
      </c>
      <c r="Y961">
        <f>IF(AND(V961&gt;0,N961=V961),TRUE,FALSE)</f>
        <v/>
      </c>
      <c r="Z961" s="228">
        <f>IF(C961="Einnahmen",Q961,-Q961)</f>
        <v/>
      </c>
    </row>
    <row r="962">
      <c r="A962" s="53" t="n">
        <v>2023</v>
      </c>
      <c r="B962" s="53" t="n">
        <v>88</v>
      </c>
      <c r="C962" s="71" t="inlineStr">
        <is>
          <t>Ausgaben</t>
        </is>
      </c>
      <c r="D962" t="inlineStr">
        <is>
          <t>Miet- und Pachtaufwand, Leasing</t>
        </is>
      </c>
      <c r="E962" s="61" t="inlineStr">
        <is>
          <t>BELEG FEHLT</t>
        </is>
      </c>
      <c r="G962" s="1" t="n">
        <v>45062</v>
      </c>
      <c r="H962" t="inlineStr">
        <is>
          <t>Techem Messtechnik GmbH; Abnehmernummer 501686-0003-11-</t>
        </is>
      </c>
      <c r="K962" t="b">
        <v>0</v>
      </c>
      <c r="L962" s="214" t="n">
        <v>122.6</v>
      </c>
      <c r="M962" s="159" t="n">
        <v>1</v>
      </c>
      <c r="N962" t="n">
        <v>20</v>
      </c>
      <c r="O962" s="237">
        <f>L962*N962/100</f>
        <v/>
      </c>
      <c r="P962" s="237">
        <f>M962*O962</f>
        <v/>
      </c>
      <c r="Q962" s="208">
        <f>L962*M962</f>
        <v/>
      </c>
      <c r="R962" s="251">
        <f>L962+O962</f>
        <v/>
      </c>
      <c r="S962" s="251">
        <f>Q962+P962</f>
        <v/>
      </c>
      <c r="T962" s="35">
        <f>DATE(YEAR(EOMONTH(G962,2)),MONTH(EOMONTH(G962,2)),15)</f>
        <v/>
      </c>
      <c r="U962" s="27" t="n"/>
      <c r="V962" s="27" t="n"/>
      <c r="W962" s="210">
        <f>IF(K962=TRUE,Q962/J962,Q962)</f>
        <v/>
      </c>
      <c r="X962" s="237">
        <f>V962/100*S962</f>
        <v/>
      </c>
      <c r="Y962">
        <f>IF(AND(V962&gt;0,N962=V962),TRUE,FALSE)</f>
        <v/>
      </c>
      <c r="Z962" s="228">
        <f>IF(C962="Einnahmen",Q962,-Q962)</f>
        <v/>
      </c>
    </row>
    <row r="963">
      <c r="A963" s="53" t="n">
        <v>2023</v>
      </c>
      <c r="B963" s="53" t="n">
        <v>89</v>
      </c>
      <c r="C963" s="71" t="inlineStr">
        <is>
          <t>Einnahmen</t>
        </is>
      </c>
      <c r="D963" t="inlineStr">
        <is>
          <t>Waren-/Leistungserlöse</t>
        </is>
      </c>
      <c r="E963" t="n">
        <v>12023009</v>
      </c>
      <c r="G963" s="1" t="n">
        <v>45062</v>
      </c>
      <c r="H963" t="inlineStr">
        <is>
          <t>Hays Österreich GmbH, Bahnhof City Wien West , Europaplatz 3/5, 1150 Wien</t>
        </is>
      </c>
      <c r="K963">
        <f>(IF(AND(I963&lt;&gt;"",AND(J963="",ABS(Q963)&gt;400)),TRUE,FALSE))</f>
        <v/>
      </c>
      <c r="L963" s="214" t="n">
        <v>17523</v>
      </c>
      <c r="M963" s="159" t="n">
        <v>1</v>
      </c>
      <c r="N963" t="n">
        <v>20</v>
      </c>
      <c r="O963" s="237">
        <f>L963*N963/100</f>
        <v/>
      </c>
      <c r="P963" s="237">
        <f>M963*O963</f>
        <v/>
      </c>
      <c r="Q963" s="208">
        <f>L963*M963</f>
        <v/>
      </c>
      <c r="R963" s="251">
        <f>L963+O963</f>
        <v/>
      </c>
      <c r="S963" s="251">
        <f>Q963+P963</f>
        <v/>
      </c>
      <c r="T963" s="35">
        <f>DATE(YEAR(EOMONTH(G963,2)),MONTH(EOMONTH(G963,2)),15)</f>
        <v/>
      </c>
      <c r="U963" s="27" t="n"/>
      <c r="V963" s="27" t="n"/>
      <c r="W963" s="210">
        <f>IF(K963=TRUE,Q963/J963,Q963)</f>
        <v/>
      </c>
      <c r="X963" s="237">
        <f>V963/100*S963</f>
        <v/>
      </c>
      <c r="Y963">
        <f>IF(AND(V963&gt;0,N963=V963),TRUE,FALSE)</f>
        <v/>
      </c>
      <c r="Z963" s="228">
        <f>IF(C963="Einnahmen",Q963,-Q963)</f>
        <v/>
      </c>
    </row>
    <row r="964">
      <c r="A964" s="53" t="n">
        <v>2023</v>
      </c>
      <c r="B964" s="53" t="n">
        <v>90</v>
      </c>
      <c r="C964" s="71" t="inlineStr">
        <is>
          <t>Ausgaben</t>
        </is>
      </c>
      <c r="D964" t="inlineStr">
        <is>
          <t>Telefon/Internet</t>
        </is>
      </c>
      <c r="E964" s="131" t="n"/>
      <c r="G964" s="1" t="n">
        <v>45065</v>
      </c>
      <c r="H964" t="inlineStr">
        <is>
          <t>Magenta: T-Mobile Austria GmbH, A-1120 Wien, PF 47</t>
        </is>
      </c>
      <c r="K964">
        <f>(IF(AND(I964&lt;&gt;"",AND(J964="",ABS(Q964)&gt;400)),TRUE,FALSE))</f>
        <v/>
      </c>
      <c r="L964" s="214" t="n">
        <v>31.92</v>
      </c>
      <c r="M964" s="159" t="n">
        <v>1</v>
      </c>
      <c r="N964" t="n">
        <v>20</v>
      </c>
      <c r="O964" s="237">
        <f>L964*N964/100</f>
        <v/>
      </c>
      <c r="P964" s="237">
        <f>M964*O964</f>
        <v/>
      </c>
      <c r="Q964" s="208">
        <f>L964*M964</f>
        <v/>
      </c>
      <c r="R964" s="251">
        <f>L964+O964</f>
        <v/>
      </c>
      <c r="S964" s="251">
        <f>Q964+P964</f>
        <v/>
      </c>
      <c r="T964" s="35">
        <f>DATE(YEAR(EOMONTH(G964,2)),MONTH(EOMONTH(G964,2)),15)</f>
        <v/>
      </c>
      <c r="U964" s="27" t="n"/>
      <c r="V964" s="27" t="n"/>
      <c r="W964" s="210">
        <f>IF(K964=TRUE,Q964/I964,Q964)</f>
        <v/>
      </c>
      <c r="X964" s="237">
        <f>V964/100*S964</f>
        <v/>
      </c>
      <c r="Y964">
        <f>IF(AND(V964&gt;0,N964=V964),TRUE,FALSE)</f>
        <v/>
      </c>
      <c r="Z964" s="228">
        <f>IF(C964="Einnahmen",Q964,-Q964)</f>
        <v/>
      </c>
    </row>
    <row r="965">
      <c r="A965" s="53" t="n">
        <v>2023</v>
      </c>
      <c r="B965" s="53" t="n">
        <v>91</v>
      </c>
      <c r="C965" s="71" t="inlineStr">
        <is>
          <t>Ausgaben</t>
        </is>
      </c>
      <c r="D965" t="inlineStr">
        <is>
          <t>sonstige Betriebsausgaben</t>
        </is>
      </c>
      <c r="E965" s="1" t="n"/>
      <c r="G965" s="1" t="n">
        <v>45068</v>
      </c>
      <c r="H965" t="inlineStr">
        <is>
          <t>Microsoft Ireland Operations Ltd. One Microsoft Place, South County, Business Park, Leopardstown, Dublin 18, D18 P521, Ireland</t>
        </is>
      </c>
      <c r="K965">
        <f>(IF(AND(I965&lt;&gt;"",AND(J965="",ABS(Q965)&gt;400)),TRUE,FALSE))</f>
        <v/>
      </c>
      <c r="L965" s="214" t="n">
        <v>10.5</v>
      </c>
      <c r="M965" s="159" t="n">
        <v>1</v>
      </c>
      <c r="N965" t="n">
        <v>0</v>
      </c>
      <c r="O965" s="237">
        <f>L965*N965/100</f>
        <v/>
      </c>
      <c r="P965" s="237">
        <f>M965*O965</f>
        <v/>
      </c>
      <c r="Q965" s="208">
        <f>L965*M965</f>
        <v/>
      </c>
      <c r="R965" s="251">
        <f>L965+O965</f>
        <v/>
      </c>
      <c r="S965" s="251">
        <f>Q965+P965</f>
        <v/>
      </c>
      <c r="T965" s="35">
        <f>DATE(YEAR(EOMONTH(G965,2)),MONTH(EOMONTH(G965,2)),15)</f>
        <v/>
      </c>
      <c r="U965" s="27" t="n"/>
      <c r="V965" s="27" t="n">
        <v>20</v>
      </c>
      <c r="W965" s="210">
        <f>IF(K965=TRUE,Q965/J965,Q965)</f>
        <v/>
      </c>
      <c r="X965" s="237">
        <f>V965/100*S965</f>
        <v/>
      </c>
      <c r="Y965">
        <f>IF(AND(V965&gt;0,N965=V965),TRUE,FALSE)</f>
        <v/>
      </c>
      <c r="Z965" s="228">
        <f>IF(C965="Einnahmen",Q965,-Q965)</f>
        <v/>
      </c>
    </row>
    <row r="966">
      <c r="A966" s="53" t="n">
        <v>2023</v>
      </c>
      <c r="B966" s="53" t="n">
        <v>92</v>
      </c>
      <c r="C966" s="71" t="inlineStr">
        <is>
          <t>Ausgaben</t>
        </is>
      </c>
      <c r="D966" t="inlineStr">
        <is>
          <t>Reise- und Fahrtspesen inkl. Kilometergeld und Diäten</t>
        </is>
      </c>
      <c r="E966" s="131" t="n"/>
      <c r="G966" s="1" t="n">
        <v>45079</v>
      </c>
      <c r="H966" t="inlineStr">
        <is>
          <t>car2go Österreich GmbH, Hintere Zollamtstraße 9, 1030 Wien</t>
        </is>
      </c>
      <c r="K966" t="b">
        <v>0</v>
      </c>
      <c r="L966" s="214" t="n">
        <v>12.08</v>
      </c>
      <c r="M966" s="159" t="n">
        <v>1</v>
      </c>
      <c r="N966" t="n">
        <v>20</v>
      </c>
      <c r="O966" s="237">
        <f>L966*N966/100</f>
        <v/>
      </c>
      <c r="P966" s="237">
        <f>M966*O966</f>
        <v/>
      </c>
      <c r="Q966" s="208">
        <f>L966*M966</f>
        <v/>
      </c>
      <c r="R966" s="251">
        <f>L966+O966</f>
        <v/>
      </c>
      <c r="S966" s="251">
        <f>Q966+P966</f>
        <v/>
      </c>
      <c r="T966" s="35">
        <f>DATE(YEAR(EOMONTH(G966,2)),MONTH(EOMONTH(G966,2)),15)</f>
        <v/>
      </c>
      <c r="U966" s="27" t="n"/>
      <c r="V966" s="27" t="n"/>
      <c r="W966" s="210">
        <f>IF(K966=TRUE,Q966/J966,Q966)</f>
        <v/>
      </c>
      <c r="X966" s="237">
        <f>V966/100*S966</f>
        <v/>
      </c>
      <c r="Y966">
        <f>IF(AND(V966&gt;0,N966=V966),TRUE,FALSE)</f>
        <v/>
      </c>
      <c r="Z966" s="228">
        <f>IF(C966="Einnahmen",Q966,-Q966)</f>
        <v/>
      </c>
    </row>
    <row r="967">
      <c r="A967" s="53" t="n">
        <v>2023</v>
      </c>
      <c r="B967" s="53" t="n">
        <v>93</v>
      </c>
      <c r="C967" s="71" t="inlineStr">
        <is>
          <t>Ausgaben</t>
        </is>
      </c>
      <c r="D967" t="inlineStr">
        <is>
          <t>Miet- und Pachtaufwand, Leasing</t>
        </is>
      </c>
      <c r="G967" s="1" t="n">
        <v>45078</v>
      </c>
      <c r="H967" t="inlineStr">
        <is>
          <t>Bontus Immobilienverwaltung GmbH, 1010 Wien, Franz Josefs Kai 65</t>
        </is>
      </c>
      <c r="K967" t="b">
        <v>0</v>
      </c>
      <c r="L967" s="214">
        <f>629.72/1.2</f>
        <v/>
      </c>
      <c r="M967" s="159" t="n">
        <v>1</v>
      </c>
      <c r="N967" t="n">
        <v>20</v>
      </c>
      <c r="O967" s="237">
        <f>L967*N967/100</f>
        <v/>
      </c>
      <c r="P967" s="237">
        <f>M967*O967</f>
        <v/>
      </c>
      <c r="Q967" s="208">
        <f>L967*M967</f>
        <v/>
      </c>
      <c r="R967" s="251">
        <f>L967+O967</f>
        <v/>
      </c>
      <c r="S967" s="251">
        <f>Q967+P967</f>
        <v/>
      </c>
      <c r="T967" s="35">
        <f>DATE(YEAR(EOMONTH(G967,2)),MONTH(EOMONTH(G967,2)),15)</f>
        <v/>
      </c>
      <c r="U967" s="27" t="n"/>
      <c r="V967" s="27" t="n"/>
      <c r="W967" s="210">
        <f>IF(K967=TRUE,Q967/J967,Q967)</f>
        <v/>
      </c>
      <c r="X967" s="237">
        <f>V967/100*S967</f>
        <v/>
      </c>
      <c r="Y967">
        <f>IF(AND(V967&gt;0,N967=V967),TRUE,FALSE)</f>
        <v/>
      </c>
      <c r="Z967" s="228">
        <f>IF(C967="Einnahmen",Q967,-Q967)</f>
        <v/>
      </c>
    </row>
    <row r="968">
      <c r="A968" s="53" t="n">
        <v>2023</v>
      </c>
      <c r="B968" s="53" t="n">
        <v>94</v>
      </c>
      <c r="C968" s="71" t="inlineStr">
        <is>
          <t>Ausgaben</t>
        </is>
      </c>
      <c r="D968" t="inlineStr">
        <is>
          <t>sonstige Betriebsausgaben</t>
        </is>
      </c>
      <c r="G968" s="1" t="n">
        <v>45082</v>
      </c>
      <c r="H968" t="inlineStr">
        <is>
          <t>Google Ireland Ltd, Gordon House, Barrow Street, Dublin 4, Ireland; VAT number: IE 6388047V</t>
        </is>
      </c>
      <c r="K968" t="b">
        <v>0</v>
      </c>
      <c r="L968" s="214" t="n">
        <v>10.4</v>
      </c>
      <c r="M968" s="159" t="n">
        <v>1</v>
      </c>
      <c r="N968" t="n">
        <v>0</v>
      </c>
      <c r="O968" s="237">
        <f>L968*N968/100</f>
        <v/>
      </c>
      <c r="P968" s="237">
        <f>M968*O968</f>
        <v/>
      </c>
      <c r="Q968" s="208">
        <f>L968*M968</f>
        <v/>
      </c>
      <c r="R968" s="251">
        <f>L968+O968</f>
        <v/>
      </c>
      <c r="S968" s="251">
        <f>Q968+P968</f>
        <v/>
      </c>
      <c r="T968" s="35">
        <f>DATE(YEAR(EOMONTH(G968,2)),MONTH(EOMONTH(G968,2)),15)</f>
        <v/>
      </c>
      <c r="U968" s="27" t="n"/>
      <c r="V968" s="27" t="n">
        <v>20</v>
      </c>
      <c r="W968" s="210">
        <f>IF(K968=TRUE,Q968/I968,Q968)</f>
        <v/>
      </c>
      <c r="X968" s="237">
        <f>V968/100*S968</f>
        <v/>
      </c>
      <c r="Y968">
        <f>IF(AND(V968&gt;0,N968=V968),TRUE,FALSE)</f>
        <v/>
      </c>
      <c r="Z968" s="228">
        <f>IF(C968="Einnahmen",Q968,-Q968)</f>
        <v/>
      </c>
    </row>
    <row r="969">
      <c r="A969" s="53" t="n">
        <v>2023</v>
      </c>
      <c r="B969" s="53" t="n">
        <v>95</v>
      </c>
      <c r="C969" s="71" t="inlineStr">
        <is>
          <t>Ausgaben</t>
        </is>
      </c>
      <c r="D969" t="inlineStr">
        <is>
          <t>Telefon/Internet</t>
        </is>
      </c>
      <c r="G969" s="1" t="n">
        <v>45082</v>
      </c>
      <c r="H969" t="inlineStr">
        <is>
          <t>Hutchison Drei Austria GmbH, Brünner Straße 52, 1210 Wien, Österreich</t>
        </is>
      </c>
      <c r="K969">
        <f>(IF(AND(I969&lt;&gt;"",AND(J969="",ABS(Q969)&gt;400)),TRUE,FALSE))</f>
        <v/>
      </c>
      <c r="L969" s="214" t="n">
        <v>31.71</v>
      </c>
      <c r="M969" s="159" t="n">
        <v>1</v>
      </c>
      <c r="N969" t="n">
        <v>20</v>
      </c>
      <c r="O969" s="237">
        <f>L969*N969/100</f>
        <v/>
      </c>
      <c r="P969" s="237">
        <f>M969*O969</f>
        <v/>
      </c>
      <c r="Q969" s="208">
        <f>L969*M969</f>
        <v/>
      </c>
      <c r="R969" s="251">
        <f>L969+O969</f>
        <v/>
      </c>
      <c r="S969" s="251">
        <f>Q969+P969</f>
        <v/>
      </c>
      <c r="T969" s="35">
        <f>DATE(YEAR(EOMONTH(G969,2)),MONTH(EOMONTH(G969,2)),15)</f>
        <v/>
      </c>
      <c r="U969" s="27" t="n"/>
      <c r="V969" s="27" t="n"/>
      <c r="W969" s="210">
        <f>IF(K969=TRUE,Q969/I969,Q969)</f>
        <v/>
      </c>
      <c r="X969" s="237">
        <f>V969/100*S969</f>
        <v/>
      </c>
      <c r="Y969">
        <f>IF(AND(V969&gt;0,N969=V969),TRUE,FALSE)</f>
        <v/>
      </c>
      <c r="Z969" s="228">
        <f>IF(C969="Einnahmen",Q969,-Q969)</f>
        <v/>
      </c>
    </row>
    <row r="970">
      <c r="A970" s="53" t="n">
        <v>2023</v>
      </c>
      <c r="B970" s="53" t="n">
        <v>96</v>
      </c>
      <c r="C970" s="71" t="inlineStr">
        <is>
          <t>Ausgaben</t>
        </is>
      </c>
      <c r="D970" t="inlineStr">
        <is>
          <t>sonstige Betriebsausgaben</t>
        </is>
      </c>
      <c r="G970" s="1" t="n">
        <v>45082</v>
      </c>
      <c r="H970" t="inlineStr">
        <is>
          <t>go green energy GmbH &amp; Co KG</t>
        </is>
      </c>
      <c r="K970">
        <f>(IF(AND(I970&lt;&gt;"",AND(J970="",ABS(Q970)&gt;400)),TRUE,FALSE))</f>
        <v/>
      </c>
      <c r="L970" s="214" t="n">
        <v>5</v>
      </c>
      <c r="M970" s="159" t="n">
        <v>1</v>
      </c>
      <c r="N970" t="n">
        <v>20</v>
      </c>
      <c r="O970" s="237">
        <f>L970*N970/100</f>
        <v/>
      </c>
      <c r="P970" s="237">
        <f>M970*O970</f>
        <v/>
      </c>
      <c r="Q970" s="208">
        <f>L970*M970</f>
        <v/>
      </c>
      <c r="R970" s="251">
        <f>L970+O970</f>
        <v/>
      </c>
      <c r="S970" s="251">
        <f>Q970+P970</f>
        <v/>
      </c>
      <c r="T970" s="35">
        <f>DATE(YEAR(EOMONTH(G970,2)),MONTH(EOMONTH(G970,2)),15)</f>
        <v/>
      </c>
      <c r="U970" s="27" t="n"/>
      <c r="V970" s="27" t="n"/>
      <c r="W970" s="210">
        <f>IF(K970=TRUE,Q970/J970,Q970)</f>
        <v/>
      </c>
      <c r="X970" s="237">
        <f>V970/100*S970</f>
        <v/>
      </c>
      <c r="Y970">
        <f>IF(AND(V970&gt;0,N970=V970),TRUE,FALSE)</f>
        <v/>
      </c>
      <c r="Z970" s="228">
        <f>IF(C970="Einnahmen",Q970,-Q970)</f>
        <v/>
      </c>
    </row>
    <row r="971">
      <c r="A971" s="53" t="n">
        <v>2023</v>
      </c>
      <c r="B971" s="53" t="n">
        <v>97</v>
      </c>
      <c r="C971" s="71" t="inlineStr">
        <is>
          <t>Ausgaben</t>
        </is>
      </c>
      <c r="D971" t="inlineStr">
        <is>
          <t>Büromaterial</t>
        </is>
      </c>
      <c r="G971" s="1" t="n">
        <v>45083</v>
      </c>
      <c r="H971" t="inlineStr">
        <is>
          <t>Amazon EU S. à r.l., 38 avenue John F. Kennedy, L-1855 Luxembourg</t>
        </is>
      </c>
      <c r="J971" s="76" t="inlineStr">
        <is>
          <t>ja</t>
        </is>
      </c>
      <c r="K971" t="b">
        <v>0</v>
      </c>
      <c r="L971" s="214" t="n">
        <v>38.81</v>
      </c>
      <c r="M971" s="159" t="n">
        <v>1</v>
      </c>
      <c r="N971" t="n">
        <v>20</v>
      </c>
      <c r="O971" s="237">
        <f>L971*N971/100</f>
        <v/>
      </c>
      <c r="P971" s="237">
        <f>M971*O971</f>
        <v/>
      </c>
      <c r="Q971" s="208">
        <f>L971*M971</f>
        <v/>
      </c>
      <c r="R971" s="251">
        <f>L971+O971</f>
        <v/>
      </c>
      <c r="S971" s="251">
        <f>Q971+P971</f>
        <v/>
      </c>
      <c r="T971" s="35">
        <f>DATE(YEAR(EOMONTH(G971,2)),MONTH(EOMONTH(G971,2)),15)</f>
        <v/>
      </c>
      <c r="U971" s="27" t="n"/>
      <c r="V971" s="27" t="n"/>
      <c r="W971" s="210">
        <f>IF(K971=TRUE,Q971/I971,Q971)</f>
        <v/>
      </c>
      <c r="X971" s="237">
        <f>V971/100*S971</f>
        <v/>
      </c>
      <c r="Y971">
        <f>IF(AND(V971&gt;0,N971=V971),TRUE,FALSE)</f>
        <v/>
      </c>
      <c r="Z971" s="228">
        <f>IF(C971="Einnahmen",Q971,-Q971)</f>
        <v/>
      </c>
    </row>
    <row r="972">
      <c r="A972" s="53" t="n">
        <v>2023</v>
      </c>
      <c r="B972" s="53" t="n">
        <v>98</v>
      </c>
      <c r="C972" s="71" t="inlineStr">
        <is>
          <t>Ausgaben</t>
        </is>
      </c>
      <c r="D972" t="inlineStr">
        <is>
          <t>Miet- und Pachtaufwand, Leasing</t>
        </is>
      </c>
      <c r="E972" s="61" t="inlineStr">
        <is>
          <t>BELEG FEHLT</t>
        </is>
      </c>
      <c r="G972" s="1" t="n">
        <v>45082</v>
      </c>
      <c r="H972" t="inlineStr">
        <is>
          <t>Techem Messtechnik GmbH; Abnehmernummer 501686-0003-11-</t>
        </is>
      </c>
      <c r="K972" t="b">
        <v>0</v>
      </c>
      <c r="L972" s="214" t="n">
        <v>122.6</v>
      </c>
      <c r="M972" s="159" t="n">
        <v>1</v>
      </c>
      <c r="N972" t="n">
        <v>20</v>
      </c>
      <c r="O972" s="237">
        <f>L972*N972/100</f>
        <v/>
      </c>
      <c r="P972" s="237">
        <f>M972*O972</f>
        <v/>
      </c>
      <c r="Q972" s="208">
        <f>L972*M972</f>
        <v/>
      </c>
      <c r="R972" s="251">
        <f>L972+O972</f>
        <v/>
      </c>
      <c r="S972" s="251">
        <f>Q972+P972</f>
        <v/>
      </c>
      <c r="T972" s="35">
        <f>DATE(YEAR(EOMONTH(G972,2)),MONTH(EOMONTH(G972,2)),15)</f>
        <v/>
      </c>
      <c r="U972" s="27" t="n"/>
      <c r="V972" s="27" t="n"/>
      <c r="W972" s="210">
        <f>IF(K972=TRUE,Q972/J972,Q972)</f>
        <v/>
      </c>
      <c r="X972" s="237">
        <f>V972/100*S972</f>
        <v/>
      </c>
      <c r="Y972">
        <f>IF(AND(V972&gt;0,N972=V972),TRUE,FALSE)</f>
        <v/>
      </c>
      <c r="Z972" s="228">
        <f>IF(C972="Einnahmen",Q972,-Q972)</f>
        <v/>
      </c>
    </row>
    <row r="973">
      <c r="A973" s="53" t="n">
        <v>2023</v>
      </c>
      <c r="B973" s="53" t="n">
        <v>99</v>
      </c>
      <c r="C973" s="71" t="inlineStr">
        <is>
          <t>Ausgaben</t>
        </is>
      </c>
      <c r="D973" t="inlineStr">
        <is>
          <t>Büromaterial</t>
        </is>
      </c>
      <c r="G973" s="1" t="n">
        <v>45084</v>
      </c>
      <c r="H973" t="inlineStr">
        <is>
          <t>Amazon EU S. à r.l., 38 avenue John F. Kennedy, L-1855 Luxembourg</t>
        </is>
      </c>
      <c r="J973" s="76" t="inlineStr">
        <is>
          <t>ja</t>
        </is>
      </c>
      <c r="K973" t="b">
        <v>0</v>
      </c>
      <c r="L973" s="214" t="n">
        <v>48.98</v>
      </c>
      <c r="M973" s="159" t="n">
        <v>1</v>
      </c>
      <c r="N973" t="n">
        <v>20</v>
      </c>
      <c r="O973" s="237">
        <f>L973*N973/100</f>
        <v/>
      </c>
      <c r="P973" s="237">
        <f>M973*O973</f>
        <v/>
      </c>
      <c r="Q973" s="208">
        <f>L973*M973</f>
        <v/>
      </c>
      <c r="R973" s="251">
        <f>L973+O973</f>
        <v/>
      </c>
      <c r="S973" s="251">
        <f>Q973+P973</f>
        <v/>
      </c>
      <c r="T973" s="35">
        <f>DATE(YEAR(EOMONTH(G973,2)),MONTH(EOMONTH(G973,2)),15)</f>
        <v/>
      </c>
      <c r="U973" s="27" t="n"/>
      <c r="V973" s="27" t="n"/>
      <c r="W973" s="210">
        <f>IF(K973=TRUE,Q973/I973,Q973)</f>
        <v/>
      </c>
      <c r="X973" s="237">
        <f>V973/100*S973</f>
        <v/>
      </c>
      <c r="Y973">
        <f>IF(AND(V973&gt;0,N973=V973),TRUE,FALSE)</f>
        <v/>
      </c>
      <c r="Z973" s="228">
        <f>IF(C973="Einnahmen",Q973,-Q973)</f>
        <v/>
      </c>
    </row>
    <row r="974">
      <c r="A974" s="53" t="n">
        <v>2023</v>
      </c>
      <c r="B974" s="53" t="n">
        <v>100</v>
      </c>
      <c r="C974" s="71" t="inlineStr">
        <is>
          <t>Ausgaben</t>
        </is>
      </c>
      <c r="D974" t="inlineStr">
        <is>
          <t>sonstige Betriebsausgaben</t>
        </is>
      </c>
      <c r="E974" s="61" t="inlineStr">
        <is>
          <t>BELEG FEHLT</t>
        </is>
      </c>
      <c r="G974" s="1" t="n">
        <v>45089</v>
      </c>
      <c r="H974" t="inlineStr">
        <is>
          <t>Woocommerce.com, 17 Shelley Road, Salt River, Cape Town 7625, South Africa</t>
        </is>
      </c>
      <c r="J974" s="76" t="inlineStr">
        <is>
          <t>ja</t>
        </is>
      </c>
      <c r="K974">
        <f>(IF(AND(I974&lt;&gt;"",AND(J974="",ABS(Q974)&gt;400)),TRUE,FALSE))</f>
        <v/>
      </c>
      <c r="L974" s="214" t="n">
        <v>27.41</v>
      </c>
      <c r="M974" s="159" t="n">
        <v>1</v>
      </c>
      <c r="N974" t="n">
        <v>0</v>
      </c>
      <c r="O974" s="237">
        <f>L974*N974/100</f>
        <v/>
      </c>
      <c r="P974" s="237">
        <f>M974*O974</f>
        <v/>
      </c>
      <c r="Q974" s="208">
        <f>L974*M974</f>
        <v/>
      </c>
      <c r="R974" s="251">
        <f>L974+O974</f>
        <v/>
      </c>
      <c r="S974" s="251">
        <f>Q974+P974</f>
        <v/>
      </c>
      <c r="T974" s="35">
        <f>voranmeldefrist_vierteljaehrlich(G974)</f>
        <v/>
      </c>
      <c r="U974" s="27" t="n"/>
      <c r="V974" s="27" t="n">
        <v>20</v>
      </c>
      <c r="W974" s="210">
        <f>IF(K974=TRUE,Q974/J974,Q974)</f>
        <v/>
      </c>
      <c r="X974" s="237">
        <f>V974/100*S974</f>
        <v/>
      </c>
      <c r="Y974">
        <f>IF(AND(V974&gt;0,N974=V974),TRUE,FALSE)</f>
        <v/>
      </c>
      <c r="Z974" s="228">
        <f>IF(C974="Einnahmen",Q974,-Q974)</f>
        <v/>
      </c>
    </row>
    <row r="975">
      <c r="A975" s="53" t="n">
        <v>2023</v>
      </c>
      <c r="B975" s="53" t="n">
        <v>101</v>
      </c>
      <c r="C975" s="71" t="inlineStr">
        <is>
          <t>Ausgaben</t>
        </is>
      </c>
      <c r="D975" t="inlineStr">
        <is>
          <t>sonstige Betriebsausgaben</t>
        </is>
      </c>
      <c r="E975" s="61" t="inlineStr">
        <is>
          <t>BELEG FEHLT</t>
        </is>
      </c>
      <c r="G975" s="1" t="n">
        <v>45089</v>
      </c>
      <c r="H975" t="inlineStr">
        <is>
          <t>Wiener Netze GmbH, Erdbergstraße 236, 1110 Wien, Postfach 422; Jahresabrechnung vom 17.12.20: GUTSCHRIFT</t>
        </is>
      </c>
      <c r="K975">
        <f>(IF(AND(I975&lt;&gt;"",AND(J975="",ABS(Q975)&gt;400)),TRUE,FALSE))</f>
        <v/>
      </c>
      <c r="L975" s="214" t="n">
        <v>12</v>
      </c>
      <c r="M975" s="159" t="n">
        <v>1</v>
      </c>
      <c r="N975" t="n">
        <v>20</v>
      </c>
      <c r="O975" s="237">
        <f>L975*N975/100</f>
        <v/>
      </c>
      <c r="P975" s="237">
        <f>M975*O975</f>
        <v/>
      </c>
      <c r="Q975" s="208">
        <f>L975*M975</f>
        <v/>
      </c>
      <c r="R975" s="251">
        <f>L975+O975</f>
        <v/>
      </c>
      <c r="S975" s="251">
        <f>Q975+P975</f>
        <v/>
      </c>
      <c r="T975" s="35">
        <f>DATE(YEAR(EOMONTH(G975,2)),MONTH(EOMONTH(G975,2)),15)</f>
        <v/>
      </c>
      <c r="U975" s="27" t="n"/>
      <c r="V975" s="27" t="n"/>
      <c r="W975" s="210">
        <f>IF(K975=TRUE,Q975/J975,Q975)</f>
        <v/>
      </c>
      <c r="X975" s="237">
        <f>V975/100*S975</f>
        <v/>
      </c>
      <c r="Y975">
        <f>IF(AND(V975&gt;0,N975=V975),TRUE,FALSE)</f>
        <v/>
      </c>
      <c r="Z975" s="228">
        <f>IF(C975="Einnahmen",Q975,-Q975)</f>
        <v/>
      </c>
    </row>
    <row r="976">
      <c r="A976" s="53" t="n">
        <v>2023</v>
      </c>
      <c r="B976" s="53" t="n">
        <v>102</v>
      </c>
      <c r="C976" s="71" t="inlineStr">
        <is>
          <t>Ausgaben</t>
        </is>
      </c>
      <c r="D976" t="inlineStr">
        <is>
          <t>sonstige Betriebsausgaben</t>
        </is>
      </c>
      <c r="G976" s="1" t="n">
        <v>45091</v>
      </c>
      <c r="H976" t="inlineStr">
        <is>
          <t>Hetzner Online GmbH</t>
        </is>
      </c>
      <c r="K976">
        <f>(IF(AND(I976&lt;&gt;"",AND(J976="",ABS(Q976)&gt;400)),TRUE,FALSE))</f>
        <v/>
      </c>
      <c r="L976" s="214" t="n">
        <v>52.2141</v>
      </c>
      <c r="M976" s="159" t="n">
        <v>1</v>
      </c>
      <c r="N976" t="n">
        <v>0</v>
      </c>
      <c r="O976" s="237">
        <f>L976*N976/100</f>
        <v/>
      </c>
      <c r="P976" s="237">
        <f>M976*O976</f>
        <v/>
      </c>
      <c r="Q976" s="208">
        <f>L976*M976</f>
        <v/>
      </c>
      <c r="R976" s="251">
        <f>L976+O976</f>
        <v/>
      </c>
      <c r="S976" s="251">
        <f>Q976+P976</f>
        <v/>
      </c>
      <c r="T976" s="35">
        <f>DATE(YEAR(EOMONTH(G976,2)),MONTH(EOMONTH(G976,2)),15)</f>
        <v/>
      </c>
      <c r="U976" s="27" t="n"/>
      <c r="V976" s="27" t="n">
        <v>20</v>
      </c>
      <c r="W976" s="210">
        <f>IF(K976=TRUE,Q976/J976,Q976)</f>
        <v/>
      </c>
      <c r="X976" s="237">
        <f>V976/100*S976</f>
        <v/>
      </c>
      <c r="Y976">
        <f>IF(AND(V976&gt;0,N976=V976),TRUE,FALSE)</f>
        <v/>
      </c>
      <c r="Z976" s="228">
        <f>IF(C976="Einnahmen",Q976,-Q976)</f>
        <v/>
      </c>
    </row>
    <row r="977">
      <c r="A977" s="53" t="n">
        <v>2023</v>
      </c>
      <c r="B977" s="53" t="n">
        <v>103</v>
      </c>
      <c r="C977" s="71" t="inlineStr">
        <is>
          <t>Ausgaben</t>
        </is>
      </c>
      <c r="D977" t="inlineStr">
        <is>
          <t>sonstige Betriebsausgaben</t>
        </is>
      </c>
      <c r="G977" s="1" t="n">
        <v>45092</v>
      </c>
      <c r="H977" t="inlineStr">
        <is>
          <t>Google Ireland Ltd, Gordon House, Barrow Street, Dublin 4, Ireland; VAT number: IE 6388047V</t>
        </is>
      </c>
      <c r="K977" t="b">
        <v>0</v>
      </c>
      <c r="L977" s="224">
        <f>19.99/1.2</f>
        <v/>
      </c>
      <c r="M977" s="159" t="n">
        <v>1</v>
      </c>
      <c r="N977" t="n">
        <v>20</v>
      </c>
      <c r="O977" s="237">
        <f>L977*N977/100</f>
        <v/>
      </c>
      <c r="P977" s="237">
        <f>M977*O977</f>
        <v/>
      </c>
      <c r="Q977" s="208">
        <f>L977*M977</f>
        <v/>
      </c>
      <c r="R977" s="251">
        <f>L977+O977</f>
        <v/>
      </c>
      <c r="S977" s="251">
        <f>Q977+P977</f>
        <v/>
      </c>
      <c r="T977" s="35">
        <f>DATE(YEAR(EOMONTH(G977,2)),MONTH(EOMONTH(G977,2)),15)</f>
        <v/>
      </c>
      <c r="U977" s="27" t="n"/>
      <c r="V977" s="27" t="n"/>
      <c r="W977" s="210">
        <f>IF(K977=TRUE,Q977/I977,Q977)</f>
        <v/>
      </c>
      <c r="X977" s="237">
        <f>V977/100*S977</f>
        <v/>
      </c>
      <c r="Y977">
        <f>IF(AND(V977&gt;0,N977=V977),TRUE,FALSE)</f>
        <v/>
      </c>
      <c r="Z977" s="228">
        <f>IF(C977="Einnahmen",Q977,-Q977)</f>
        <v/>
      </c>
    </row>
    <row r="978">
      <c r="A978" s="53" t="n">
        <v>2023</v>
      </c>
      <c r="B978" s="53" t="n">
        <v>104</v>
      </c>
      <c r="C978" s="71" t="inlineStr">
        <is>
          <t>Ausgaben</t>
        </is>
      </c>
      <c r="D978" t="inlineStr">
        <is>
          <t>sonstige Betriebsausgaben</t>
        </is>
      </c>
      <c r="E978" s="1" t="n"/>
      <c r="G978" s="1" t="n">
        <v>45096</v>
      </c>
      <c r="H978" t="inlineStr">
        <is>
          <t>Microsoft Ireland Operations Ltd. One Microsoft Place, South County, Business Park, Leopardstown, Dublin 18, D18 P521, Ireland</t>
        </is>
      </c>
      <c r="K978">
        <f>(IF(AND(I978&lt;&gt;"",AND(J978="",ABS(Q978)&gt;400)),TRUE,FALSE))</f>
        <v/>
      </c>
      <c r="L978" s="214" t="n">
        <v>10.5</v>
      </c>
      <c r="M978" s="159" t="n">
        <v>1</v>
      </c>
      <c r="N978" t="n">
        <v>0</v>
      </c>
      <c r="O978" s="237">
        <f>L978*N978/100</f>
        <v/>
      </c>
      <c r="P978" s="237">
        <f>M978*O978</f>
        <v/>
      </c>
      <c r="Q978" s="208">
        <f>L978*M978</f>
        <v/>
      </c>
      <c r="R978" s="251">
        <f>L978+O978</f>
        <v/>
      </c>
      <c r="S978" s="251">
        <f>Q978+P978</f>
        <v/>
      </c>
      <c r="T978" s="35">
        <f>DATE(YEAR(EOMONTH(G978,2)),MONTH(EOMONTH(G978,2)),15)</f>
        <v/>
      </c>
      <c r="U978" s="27" t="n"/>
      <c r="V978" s="27" t="n">
        <v>20</v>
      </c>
      <c r="W978" s="210">
        <f>IF(K978=TRUE,Q978/J978,Q978)</f>
        <v/>
      </c>
      <c r="X978" s="237">
        <f>V978/100*S978</f>
        <v/>
      </c>
      <c r="Y978">
        <f>IF(AND(V978&gt;0,N978=V978),TRUE,FALSE)</f>
        <v/>
      </c>
      <c r="Z978" s="228">
        <f>IF(C978="Einnahmen",Q978,-Q978)</f>
        <v/>
      </c>
    </row>
    <row r="979">
      <c r="A979" s="53" t="n">
        <v>2023</v>
      </c>
      <c r="B979" s="53" t="n">
        <v>105</v>
      </c>
      <c r="C979" s="71" t="inlineStr">
        <is>
          <t>Ausgaben</t>
        </is>
      </c>
      <c r="D979" t="inlineStr">
        <is>
          <t>Personalaufwand</t>
        </is>
      </c>
      <c r="E979" s="9" t="inlineStr">
        <is>
          <t>siehe 2022-140</t>
        </is>
      </c>
      <c r="G979" s="1" t="n">
        <v>45092</v>
      </c>
      <c r="H979" t="inlineStr">
        <is>
          <t>Honorar Eva Jaros-Kolbitsch</t>
        </is>
      </c>
      <c r="K979">
        <f>(IF(AND(I979&lt;&gt;"",AND(J979="",ABS(Q979)&gt;400)),TRUE,FALSE))</f>
        <v/>
      </c>
      <c r="L979" s="214" t="n">
        <v>365</v>
      </c>
      <c r="M979" s="159" t="n">
        <v>1</v>
      </c>
      <c r="N979" t="n">
        <v>0</v>
      </c>
      <c r="O979" s="237">
        <f>L979*N979/100</f>
        <v/>
      </c>
      <c r="P979" s="237">
        <f>M979*O979</f>
        <v/>
      </c>
      <c r="Q979" s="208">
        <f>L979*M979</f>
        <v/>
      </c>
      <c r="R979" s="251">
        <f>L979+O979</f>
        <v/>
      </c>
      <c r="S979" s="251">
        <f>Q979+P979</f>
        <v/>
      </c>
      <c r="T979" s="35">
        <f>DATE(YEAR(EOMONTH(G979,2)),MONTH(EOMONTH(G979,2)),15)</f>
        <v/>
      </c>
      <c r="U979" s="27" t="n"/>
      <c r="V979" s="27" t="n"/>
      <c r="W979" s="210">
        <f>IF(K979=TRUE,Q979/J979,Q979)</f>
        <v/>
      </c>
      <c r="X979" s="237">
        <f>V979/100*S979</f>
        <v/>
      </c>
      <c r="Y979">
        <f>IF(AND(V979&gt;0,N979=V979),TRUE,FALSE)</f>
        <v/>
      </c>
      <c r="Z979" s="228">
        <f>IF(C979="Einnahmen",Q979,-Q979)</f>
        <v/>
      </c>
    </row>
    <row r="980">
      <c r="A980" s="53" t="n">
        <v>2023</v>
      </c>
      <c r="B980" s="53" t="n">
        <v>106</v>
      </c>
      <c r="C980" s="71" t="inlineStr">
        <is>
          <t>Einnahmen</t>
        </is>
      </c>
      <c r="D980" t="inlineStr">
        <is>
          <t>Waren-/Leistungserlöse</t>
        </is>
      </c>
      <c r="E980" t="n">
        <v>12023010</v>
      </c>
      <c r="G980" s="1" t="n">
        <v>45092</v>
      </c>
      <c r="H980" t="inlineStr">
        <is>
          <t>Hays Österreich GmbH, Bahnhof City Wien West , Europaplatz 3/5, 1150 Wien</t>
        </is>
      </c>
      <c r="K980">
        <f>(IF(AND(I980&lt;&gt;"",AND(J980="",ABS(Q980)&gt;400)),TRUE,FALSE))</f>
        <v/>
      </c>
      <c r="L980" s="214" t="n">
        <v>17058.38</v>
      </c>
      <c r="M980" s="159" t="n">
        <v>1</v>
      </c>
      <c r="N980" t="n">
        <v>20</v>
      </c>
      <c r="O980" s="237">
        <f>L980*N980/100</f>
        <v/>
      </c>
      <c r="P980" s="237">
        <f>M980*O980</f>
        <v/>
      </c>
      <c r="Q980" s="208">
        <f>L980*M980</f>
        <v/>
      </c>
      <c r="R980" s="251">
        <f>L980+O980</f>
        <v/>
      </c>
      <c r="S980" s="251">
        <f>Q980+P980</f>
        <v/>
      </c>
      <c r="T980" s="35">
        <f>DATE(YEAR(EOMONTH(G980,2)),MONTH(EOMONTH(G980,2)),15)</f>
        <v/>
      </c>
      <c r="U980" s="27" t="n"/>
      <c r="V980" s="27" t="n"/>
      <c r="W980" s="210">
        <f>IF(K980=TRUE,Q980/J980,Q980)</f>
        <v/>
      </c>
      <c r="X980" s="237">
        <f>V980/100*S980</f>
        <v/>
      </c>
      <c r="Y980">
        <f>IF(AND(V980&gt;0,N980=V980),TRUE,FALSE)</f>
        <v/>
      </c>
      <c r="Z980" s="228">
        <f>IF(C980="Einnahmen",Q980,-Q980)</f>
        <v/>
      </c>
    </row>
    <row r="981">
      <c r="A981" s="53" t="n">
        <v>2023</v>
      </c>
      <c r="B981" s="53" t="n">
        <v>107</v>
      </c>
      <c r="C981" s="71" t="inlineStr">
        <is>
          <t>Ausgaben</t>
        </is>
      </c>
      <c r="D981" t="inlineStr">
        <is>
          <t>Telefon/Internet</t>
        </is>
      </c>
      <c r="E981" s="131" t="n"/>
      <c r="G981" s="1" t="n">
        <v>45098</v>
      </c>
      <c r="H981" t="inlineStr">
        <is>
          <t>Magenta: T-Mobile Austria GmbH, A-1120 Wien, PF 47</t>
        </is>
      </c>
      <c r="K981">
        <f>(IF(AND(I981&lt;&gt;"",AND(J981="",ABS(Q981)&gt;400)),TRUE,FALSE))</f>
        <v/>
      </c>
      <c r="L981" s="214" t="n">
        <v>31.92</v>
      </c>
      <c r="M981" s="159" t="n">
        <v>1</v>
      </c>
      <c r="N981" t="n">
        <v>20</v>
      </c>
      <c r="O981" s="237">
        <f>L981*N981/100</f>
        <v/>
      </c>
      <c r="P981" s="237">
        <f>M981*O981</f>
        <v/>
      </c>
      <c r="Q981" s="208">
        <f>L981*M981</f>
        <v/>
      </c>
      <c r="R981" s="251">
        <f>L981+O981</f>
        <v/>
      </c>
      <c r="S981" s="251">
        <f>Q981+P981</f>
        <v/>
      </c>
      <c r="T981" s="35">
        <f>DATE(YEAR(EOMONTH(G981,2)),MONTH(EOMONTH(G981,2)),15)</f>
        <v/>
      </c>
      <c r="U981" s="27" t="n"/>
      <c r="V981" s="27" t="n"/>
      <c r="W981" s="210">
        <f>IF(K981=TRUE,Q981/I981,Q981)</f>
        <v/>
      </c>
      <c r="X981" s="237">
        <f>V981/100*S981</f>
        <v/>
      </c>
      <c r="Y981">
        <f>IF(AND(V981&gt;0,N981=V981),TRUE,FALSE)</f>
        <v/>
      </c>
      <c r="Z981" s="228">
        <f>IF(C981="Einnahmen",Q981,-Q981)</f>
        <v/>
      </c>
    </row>
    <row r="982">
      <c r="A982" s="53" t="n">
        <v>2023</v>
      </c>
      <c r="B982" s="53" t="n">
        <v>108</v>
      </c>
      <c r="C982" s="71" t="inlineStr">
        <is>
          <t>Ausgaben</t>
        </is>
      </c>
      <c r="D982" t="inlineStr">
        <is>
          <t>Büromaterial</t>
        </is>
      </c>
      <c r="G982" s="1" t="n">
        <v>45099</v>
      </c>
      <c r="H982" t="inlineStr">
        <is>
          <t>Amazon EU S. à r.l., 38 avenue John F. Kennedy, L-1855 Luxembourg</t>
        </is>
      </c>
      <c r="J982" s="76" t="inlineStr">
        <is>
          <t>ja</t>
        </is>
      </c>
      <c r="K982" t="b">
        <v>0</v>
      </c>
      <c r="L982" s="214" t="n">
        <v>43.66</v>
      </c>
      <c r="M982" s="159" t="n">
        <v>1</v>
      </c>
      <c r="N982" t="n">
        <v>20</v>
      </c>
      <c r="O982" s="237">
        <f>L982*N982/100</f>
        <v/>
      </c>
      <c r="P982" s="237">
        <f>M982*O982</f>
        <v/>
      </c>
      <c r="Q982" s="208">
        <f>L982*M982</f>
        <v/>
      </c>
      <c r="R982" s="251">
        <f>L982+O982</f>
        <v/>
      </c>
      <c r="S982" s="251">
        <f>Q982+P982</f>
        <v/>
      </c>
      <c r="T982" s="35">
        <f>DATE(YEAR(EOMONTH(G982,2)),MONTH(EOMONTH(G982,2)),15)</f>
        <v/>
      </c>
      <c r="U982" s="27" t="n"/>
      <c r="V982" s="27" t="n"/>
      <c r="W982" s="210">
        <f>IF(K982=TRUE,Q982/I982,Q982)</f>
        <v/>
      </c>
      <c r="X982" s="237">
        <f>V982/100*S982</f>
        <v/>
      </c>
      <c r="Y982">
        <f>IF(AND(V982&gt;0,N982=V982),TRUE,FALSE)</f>
        <v/>
      </c>
      <c r="Z982" s="228">
        <f>IF(C982="Einnahmen",Q982,-Q982)</f>
        <v/>
      </c>
    </row>
    <row r="983" customFormat="1" s="166">
      <c r="A983" s="164" t="n">
        <v>2023</v>
      </c>
      <c r="B983" s="164" t="n">
        <v>109</v>
      </c>
      <c r="C983" s="165" t="inlineStr">
        <is>
          <t>Ausgaben</t>
        </is>
      </c>
      <c r="D983" s="166" t="inlineStr">
        <is>
          <t>Büromaterial</t>
        </is>
      </c>
      <c r="E983" s="167" t="n"/>
      <c r="G983" s="168" t="n">
        <v>45105</v>
      </c>
      <c r="H983" s="166" t="inlineStr">
        <is>
          <t>Amazon EU S. à r.l., 38 avenue John F. Kennedy, L-1855 Luxembourg</t>
        </is>
      </c>
      <c r="J983" s="169" t="inlineStr">
        <is>
          <t>ja</t>
        </is>
      </c>
      <c r="K983" s="166" t="b">
        <v>0</v>
      </c>
      <c r="L983" s="257" t="n">
        <v>40.92</v>
      </c>
      <c r="M983" s="171" t="n">
        <v>1</v>
      </c>
      <c r="N983" s="166" t="n">
        <v>20</v>
      </c>
      <c r="O983" s="238">
        <f>L983*N983/100</f>
        <v/>
      </c>
      <c r="P983" s="238">
        <f>M983*O983</f>
        <v/>
      </c>
      <c r="Q983" s="258">
        <f>L983*M983</f>
        <v/>
      </c>
      <c r="R983" s="259">
        <f>L983+O983</f>
        <v/>
      </c>
      <c r="S983" s="259">
        <f>Q983+P983</f>
        <v/>
      </c>
      <c r="T983" s="175">
        <f>DATE(YEAR(EOMONTH(G983,2)),MONTH(EOMONTH(G983,2)),15)</f>
        <v/>
      </c>
      <c r="U983" s="176" t="n"/>
      <c r="V983" s="176" t="n"/>
      <c r="W983" s="260">
        <f>IF(K983=TRUE,Q983/I983,Q983)</f>
        <v/>
      </c>
      <c r="X983" s="238">
        <f>V983/100*S983</f>
        <v/>
      </c>
      <c r="Y983" s="166">
        <f>IF(AND(V983&gt;0,N983=V983),TRUE,FALSE)</f>
        <v/>
      </c>
      <c r="Z983" s="239">
        <f>IF(C983="Einnahmen",Q983,-Q983)</f>
        <v/>
      </c>
    </row>
    <row r="984">
      <c r="A984" s="53" t="n">
        <v>2023</v>
      </c>
      <c r="B984" s="53" t="n">
        <v>110</v>
      </c>
      <c r="C984" s="71" t="inlineStr">
        <is>
          <t>Ausgaben</t>
        </is>
      </c>
      <c r="D984" t="inlineStr">
        <is>
          <t>Reise- und Fahrtspesen inkl. Kilometergeld und Diäten</t>
        </is>
      </c>
      <c r="E984" s="131" t="n"/>
      <c r="G984" s="1" t="n">
        <v>45110</v>
      </c>
      <c r="H984" t="inlineStr">
        <is>
          <t>car2go Österreich GmbH, Hintere Zollamtstraße 9, 1030 Wien</t>
        </is>
      </c>
      <c r="K984" t="b">
        <v>0</v>
      </c>
      <c r="L984" s="214">
        <f>7.41/1.2</f>
        <v/>
      </c>
      <c r="M984" s="159" t="n">
        <v>1</v>
      </c>
      <c r="N984" t="n">
        <v>20</v>
      </c>
      <c r="O984" s="237">
        <f>L984*N984/100</f>
        <v/>
      </c>
      <c r="P984" s="237">
        <f>M984*O984</f>
        <v/>
      </c>
      <c r="Q984" s="208">
        <f>L984*M984</f>
        <v/>
      </c>
      <c r="R984" s="251">
        <f>L984+O984</f>
        <v/>
      </c>
      <c r="S984" s="251">
        <f>Q984+P984</f>
        <v/>
      </c>
      <c r="T984" s="35">
        <f>DATE(YEAR(EOMONTH(G984,2)),MONTH(EOMONTH(G984,2)),15)</f>
        <v/>
      </c>
      <c r="U984" s="27" t="n"/>
      <c r="V984" s="27" t="n"/>
      <c r="W984" s="210">
        <f>IF(K984=TRUE,Q984/J984,Q984)</f>
        <v/>
      </c>
      <c r="X984" s="237">
        <f>V984/100*S984</f>
        <v/>
      </c>
      <c r="Y984">
        <f>IF(AND(V984&gt;0,N984=V984),TRUE,FALSE)</f>
        <v/>
      </c>
      <c r="Z984" s="228">
        <f>IF(C984="Einnahmen",Q984,-Q984)</f>
        <v/>
      </c>
    </row>
    <row r="985">
      <c r="A985" s="53" t="n">
        <v>2023</v>
      </c>
      <c r="B985" s="53" t="n">
        <v>111</v>
      </c>
      <c r="C985" s="71" t="inlineStr">
        <is>
          <t>Ausgaben</t>
        </is>
      </c>
      <c r="D985" t="inlineStr">
        <is>
          <t>sonstige Betriebsausgaben</t>
        </is>
      </c>
      <c r="G985" s="1" t="n">
        <v>45110</v>
      </c>
      <c r="H985" t="inlineStr">
        <is>
          <t>Google Ireland Ltd, Gordon House, Barrow Street, Dublin 4, Ireland; VAT number: IE 6388047V</t>
        </is>
      </c>
      <c r="K985" t="b">
        <v>0</v>
      </c>
      <c r="L985" s="214" t="n">
        <v>10.4</v>
      </c>
      <c r="M985" s="159" t="n">
        <v>1</v>
      </c>
      <c r="N985" t="n">
        <v>0</v>
      </c>
      <c r="O985" s="237">
        <f>L985*N985/100</f>
        <v/>
      </c>
      <c r="P985" s="237">
        <f>M985*O985</f>
        <v/>
      </c>
      <c r="Q985" s="208">
        <f>L985*M985</f>
        <v/>
      </c>
      <c r="R985" s="251">
        <f>L985+O985</f>
        <v/>
      </c>
      <c r="S985" s="251">
        <f>Q985+P985</f>
        <v/>
      </c>
      <c r="T985" s="35">
        <f>DATE(YEAR(EOMONTH(G985,2)),MONTH(EOMONTH(G985,2)),15)</f>
        <v/>
      </c>
      <c r="U985" s="27" t="n"/>
      <c r="V985" s="27" t="n">
        <v>20</v>
      </c>
      <c r="W985" s="210">
        <f>IF(K985=TRUE,Q985/I985,Q985)</f>
        <v/>
      </c>
      <c r="X985" s="237">
        <f>V985/100*S985</f>
        <v/>
      </c>
      <c r="Y985">
        <f>IF(AND(V985&gt;0,N985=V985),TRUE,FALSE)</f>
        <v/>
      </c>
      <c r="Z985" s="228">
        <f>IF(C985="Einnahmen",Q985,-Q985)</f>
        <v/>
      </c>
    </row>
    <row r="986">
      <c r="A986" s="53" t="n">
        <v>2023</v>
      </c>
      <c r="B986" s="53" t="n">
        <v>112</v>
      </c>
      <c r="C986" s="71" t="inlineStr">
        <is>
          <t>Einnahmen</t>
        </is>
      </c>
      <c r="D986" t="inlineStr">
        <is>
          <t>Waren-/Leistungserlöse</t>
        </is>
      </c>
      <c r="E986" s="6" t="n">
        <v>12023003</v>
      </c>
      <c r="G986" s="1" t="n">
        <v>45110</v>
      </c>
      <c r="H986" t="inlineStr">
        <is>
          <t>ZT DI Dr. Arno Kolbitsch, Gütleweg 1, 6822 Satteins</t>
        </is>
      </c>
      <c r="K986">
        <f>(IF(AND(I986&lt;&gt;"",AND(J986="",ABS(Q986)&gt;400)),TRUE,FALSE))</f>
        <v/>
      </c>
      <c r="L986" s="214" t="n">
        <v>1352.6</v>
      </c>
      <c r="M986" s="159" t="n">
        <v>1</v>
      </c>
      <c r="N986" t="n">
        <v>20</v>
      </c>
      <c r="O986" s="237">
        <f>L986*N986/100</f>
        <v/>
      </c>
      <c r="P986" s="237">
        <f>M986*O986</f>
        <v/>
      </c>
      <c r="Q986" s="208">
        <f>L986*M986</f>
        <v/>
      </c>
      <c r="R986" s="251">
        <f>L986+O986</f>
        <v/>
      </c>
      <c r="S986" s="251">
        <f>Q986+P986</f>
        <v/>
      </c>
      <c r="T986" s="35">
        <f>voranmeldefrist_vierteljaehrlich(G986)</f>
        <v/>
      </c>
      <c r="U986" s="27" t="n"/>
      <c r="V986" s="27" t="n"/>
      <c r="W986" s="210">
        <f>IF(K986=TRUE,Q986/I986,Q986)</f>
        <v/>
      </c>
      <c r="X986" s="237">
        <f>V986/100*S986</f>
        <v/>
      </c>
      <c r="Y986">
        <f>IF(AND(V986&gt;0,N986=V986),TRUE,FALSE)</f>
        <v/>
      </c>
      <c r="Z986" s="228">
        <f>IF(C986="Einnahmen",Q986,-Q986)</f>
        <v/>
      </c>
    </row>
    <row r="987">
      <c r="A987" s="53" t="n">
        <v>2023</v>
      </c>
      <c r="B987" s="53" t="n">
        <v>113</v>
      </c>
      <c r="C987" s="71" t="inlineStr">
        <is>
          <t>Ausgaben</t>
        </is>
      </c>
      <c r="D987" t="inlineStr">
        <is>
          <t>Miet- und Pachtaufwand, Leasing</t>
        </is>
      </c>
      <c r="G987" s="1" t="n">
        <v>45110</v>
      </c>
      <c r="H987" t="inlineStr">
        <is>
          <t>Bontus Immobilienverwaltung GmbH, 1010 Wien, Franz Josefs Kai 65</t>
        </is>
      </c>
      <c r="K987" t="b">
        <v>0</v>
      </c>
      <c r="L987" s="214">
        <f>629.72/1.2</f>
        <v/>
      </c>
      <c r="M987" s="159" t="n">
        <v>1</v>
      </c>
      <c r="N987" t="n">
        <v>20</v>
      </c>
      <c r="O987" s="237">
        <f>L987*N987/100</f>
        <v/>
      </c>
      <c r="P987" s="237">
        <f>M987*O987</f>
        <v/>
      </c>
      <c r="Q987" s="208">
        <f>L987*M987</f>
        <v/>
      </c>
      <c r="R987" s="251">
        <f>L987+O987</f>
        <v/>
      </c>
      <c r="S987" s="251">
        <f>Q987+P987</f>
        <v/>
      </c>
      <c r="T987" s="35">
        <f>DATE(YEAR(EOMONTH(G987,2)),MONTH(EOMONTH(G987,2)),15)</f>
        <v/>
      </c>
      <c r="U987" s="27" t="n"/>
      <c r="V987" s="27" t="n"/>
      <c r="W987" s="210">
        <f>IF(K987=TRUE,Q987/J987,Q987)</f>
        <v/>
      </c>
      <c r="X987" s="237">
        <f>V987/100*S987</f>
        <v/>
      </c>
      <c r="Y987">
        <f>IF(AND(V987&gt;0,N987=V987),TRUE,FALSE)</f>
        <v/>
      </c>
      <c r="Z987" s="228">
        <f>IF(C987="Einnahmen",Q987,-Q987)</f>
        <v/>
      </c>
    </row>
    <row r="988">
      <c r="A988" s="53" t="n">
        <v>2023</v>
      </c>
      <c r="B988" s="53" t="n">
        <v>114</v>
      </c>
      <c r="C988" s="71" t="inlineStr">
        <is>
          <t>Ausgaben</t>
        </is>
      </c>
      <c r="D988" t="inlineStr">
        <is>
          <t>Telefon/Internet</t>
        </is>
      </c>
      <c r="G988" s="1" t="n">
        <v>45111</v>
      </c>
      <c r="H988" t="inlineStr">
        <is>
          <t>Hutchison Drei Austria GmbH, Brünner Straße 52, 1210 Wien, Österreich</t>
        </is>
      </c>
      <c r="K988">
        <f>(IF(AND(I988&lt;&gt;"",AND(J988="",ABS(Q988)&gt;400)),TRUE,FALSE))</f>
        <v/>
      </c>
      <c r="L988" s="214">
        <f>12.9/1.2</f>
        <v/>
      </c>
      <c r="M988" s="159" t="n">
        <v>1</v>
      </c>
      <c r="N988" t="n">
        <v>20</v>
      </c>
      <c r="O988" s="237">
        <f>L988*N988/100</f>
        <v/>
      </c>
      <c r="P988" s="237">
        <f>M988*O988</f>
        <v/>
      </c>
      <c r="Q988" s="208">
        <f>L988*M988</f>
        <v/>
      </c>
      <c r="R988" s="251">
        <f>L988+O988</f>
        <v/>
      </c>
      <c r="S988" s="251">
        <f>Q988+P988</f>
        <v/>
      </c>
      <c r="T988" s="35">
        <f>DATE(YEAR(EOMONTH(G988,2)),MONTH(EOMONTH(G988,2)),15)</f>
        <v/>
      </c>
      <c r="U988" s="27" t="n"/>
      <c r="V988" s="27" t="n"/>
      <c r="W988" s="210">
        <f>IF(K988=TRUE,Q988/I988,Q988)</f>
        <v/>
      </c>
      <c r="X988" s="237">
        <f>V988/100*S988</f>
        <v/>
      </c>
      <c r="Y988">
        <f>IF(AND(V988&gt;0,N988=V988),TRUE,FALSE)</f>
        <v/>
      </c>
      <c r="Z988" s="228">
        <f>IF(C988="Einnahmen",Q988,-Q988)</f>
        <v/>
      </c>
    </row>
    <row r="989">
      <c r="A989" s="53" t="n">
        <v>2023</v>
      </c>
      <c r="B989" s="53" t="n">
        <v>115</v>
      </c>
      <c r="C989" s="71" t="inlineStr">
        <is>
          <t>Ausgaben</t>
        </is>
      </c>
      <c r="D989" t="inlineStr">
        <is>
          <t>sonstige Betriebsausgaben</t>
        </is>
      </c>
      <c r="G989" s="1" t="n">
        <v>45112</v>
      </c>
      <c r="H989" t="inlineStr">
        <is>
          <t>go green energy GmbH &amp; Co KG</t>
        </is>
      </c>
      <c r="K989">
        <f>(IF(AND(I989&lt;&gt;"",AND(J989="",ABS(Q989)&gt;400)),TRUE,FALSE))</f>
        <v/>
      </c>
      <c r="L989" s="214" t="n">
        <v>5</v>
      </c>
      <c r="M989" s="159" t="n">
        <v>1</v>
      </c>
      <c r="N989" t="n">
        <v>20</v>
      </c>
      <c r="O989" s="237">
        <f>L989*N989/100</f>
        <v/>
      </c>
      <c r="P989" s="237">
        <f>M989*O989</f>
        <v/>
      </c>
      <c r="Q989" s="208">
        <f>L989*M989</f>
        <v/>
      </c>
      <c r="R989" s="251">
        <f>L989+O989</f>
        <v/>
      </c>
      <c r="S989" s="251">
        <f>Q989+P989</f>
        <v/>
      </c>
      <c r="T989" s="35">
        <f>DATE(YEAR(EOMONTH(G989,2)),MONTH(EOMONTH(G989,2)),15)</f>
        <v/>
      </c>
      <c r="U989" s="27" t="n"/>
      <c r="V989" s="27" t="n"/>
      <c r="W989" s="210">
        <f>IF(K989=TRUE,Q989/J989,Q989)</f>
        <v/>
      </c>
      <c r="X989" s="237">
        <f>V989/100*S989</f>
        <v/>
      </c>
      <c r="Y989">
        <f>IF(AND(V989&gt;0,N989=V989),TRUE,FALSE)</f>
        <v/>
      </c>
      <c r="Z989" s="228">
        <f>IF(C989="Einnahmen",Q989,-Q989)</f>
        <v/>
      </c>
    </row>
    <row r="990">
      <c r="A990" s="53" t="n">
        <v>2023</v>
      </c>
      <c r="B990" s="53" t="n">
        <v>116</v>
      </c>
      <c r="C990" s="71" t="inlineStr">
        <is>
          <t>Einnahmen</t>
        </is>
      </c>
      <c r="D990" t="inlineStr">
        <is>
          <t>Waren-/Leistungserlöse</t>
        </is>
      </c>
      <c r="E990" s="163" t="inlineStr">
        <is>
          <t>12023013</t>
        </is>
      </c>
      <c r="G990" s="1" t="n">
        <v>45113</v>
      </c>
      <c r="H990" t="inlineStr">
        <is>
          <t>Kolbitsch Engineering &amp; Consulting KNr 45</t>
        </is>
      </c>
      <c r="K990" t="b">
        <v>0</v>
      </c>
      <c r="L990" s="214">
        <f>465.6/1.2</f>
        <v/>
      </c>
      <c r="M990" s="159" t="n">
        <v>1</v>
      </c>
      <c r="N990" t="n">
        <v>20</v>
      </c>
      <c r="O990" s="237">
        <f>L990*N990/100</f>
        <v/>
      </c>
      <c r="P990" s="237">
        <f>M990*O990</f>
        <v/>
      </c>
      <c r="Q990" s="208">
        <f>L990*M990</f>
        <v/>
      </c>
      <c r="R990" s="251">
        <f>L990+O990</f>
        <v/>
      </c>
      <c r="S990" s="251">
        <f>Q990+P990</f>
        <v/>
      </c>
      <c r="T990" s="35">
        <f>voranmeldefrist_vierteljaehrlich(G990)</f>
        <v/>
      </c>
      <c r="U990" s="27" t="n"/>
      <c r="V990" s="27" t="n"/>
      <c r="W990" s="210">
        <f>IF(K990=TRUE,Q990/J990,Q990)</f>
        <v/>
      </c>
      <c r="X990" s="237">
        <f>V990/100*S990</f>
        <v/>
      </c>
      <c r="Y990">
        <f>IF(AND(V990&gt;0,N990=V990),TRUE,FALSE)</f>
        <v/>
      </c>
      <c r="Z990" s="228">
        <f>IF(C990="Einnahmen",Q990,-Q990)</f>
        <v/>
      </c>
    </row>
    <row r="991">
      <c r="A991" s="53" t="n">
        <v>2023</v>
      </c>
      <c r="B991" s="53" t="n">
        <v>117</v>
      </c>
      <c r="C991" s="71" t="inlineStr">
        <is>
          <t>Ausgaben</t>
        </is>
      </c>
      <c r="D991" t="inlineStr">
        <is>
          <t>Miet- und Pachtaufwand, Leasing</t>
        </is>
      </c>
      <c r="E991" s="61" t="inlineStr">
        <is>
          <t>BELEG FEHLT</t>
        </is>
      </c>
      <c r="G991" s="1" t="n">
        <v>45114</v>
      </c>
      <c r="H991" t="inlineStr">
        <is>
          <t>Techem Messtechnik GmbH; Abnehmernummer 501686-0003-11-</t>
        </is>
      </c>
      <c r="K991" t="b">
        <v>0</v>
      </c>
      <c r="L991" s="214" t="n">
        <v>122.6</v>
      </c>
      <c r="M991" s="159" t="n">
        <v>1</v>
      </c>
      <c r="N991" t="n">
        <v>20</v>
      </c>
      <c r="O991" s="237">
        <f>L991*N991/100</f>
        <v/>
      </c>
      <c r="P991" s="237">
        <f>M991*O991</f>
        <v/>
      </c>
      <c r="Q991" s="208">
        <f>L991*M991</f>
        <v/>
      </c>
      <c r="R991" s="251">
        <f>L991+O991</f>
        <v/>
      </c>
      <c r="S991" s="251">
        <f>Q991+P991</f>
        <v/>
      </c>
      <c r="T991" s="35">
        <f>DATE(YEAR(EOMONTH(G991,2)),MONTH(EOMONTH(G991,2)),15)</f>
        <v/>
      </c>
      <c r="U991" s="27" t="n"/>
      <c r="V991" s="27" t="n"/>
      <c r="W991" s="210">
        <f>IF(K991=TRUE,Q991/J991,Q991)</f>
        <v/>
      </c>
      <c r="X991" s="237">
        <f>V991/100*S991</f>
        <v/>
      </c>
      <c r="Y991">
        <f>IF(AND(V991&gt;0,N991=V991),TRUE,FALSE)</f>
        <v/>
      </c>
      <c r="Z991" s="228">
        <f>IF(C991="Einnahmen",Q991,-Q991)</f>
        <v/>
      </c>
    </row>
    <row r="992">
      <c r="A992" s="53" t="n">
        <v>2023</v>
      </c>
      <c r="B992" s="53" t="n">
        <v>118</v>
      </c>
      <c r="C992" s="71" t="inlineStr">
        <is>
          <t>Ausgaben</t>
        </is>
      </c>
      <c r="D992" t="inlineStr">
        <is>
          <t>sonstige Betriebsausgaben</t>
        </is>
      </c>
      <c r="E992" s="61" t="inlineStr">
        <is>
          <t>BELEG FEHLT</t>
        </is>
      </c>
      <c r="G992" s="1" t="n">
        <v>45117</v>
      </c>
      <c r="H992" t="inlineStr">
        <is>
          <t>Wiener Netze GmbH, Erdbergstraße 236, 1110 Wien, Postfach 422; Jahresabrechnung vom 17.12.20: GUTSCHRIFT</t>
        </is>
      </c>
      <c r="K992">
        <f>(IF(AND(I992&lt;&gt;"",AND(J992="",ABS(Q992)&gt;400)),TRUE,FALSE))</f>
        <v/>
      </c>
      <c r="L992" s="214" t="n">
        <v>12</v>
      </c>
      <c r="M992" s="159" t="n">
        <v>1</v>
      </c>
      <c r="N992" t="n">
        <v>20</v>
      </c>
      <c r="O992" s="237">
        <f>L992*N992/100</f>
        <v/>
      </c>
      <c r="P992" s="237">
        <f>M992*O992</f>
        <v/>
      </c>
      <c r="Q992" s="208">
        <f>L992*M992</f>
        <v/>
      </c>
      <c r="R992" s="251">
        <f>L992+O992</f>
        <v/>
      </c>
      <c r="S992" s="251">
        <f>Q992+P992</f>
        <v/>
      </c>
      <c r="T992" s="35">
        <f>DATE(YEAR(EOMONTH(G992,2)),MONTH(EOMONTH(G992,2)),15)</f>
        <v/>
      </c>
      <c r="U992" s="27" t="n"/>
      <c r="V992" s="27" t="n"/>
      <c r="W992" s="210">
        <f>IF(K992=TRUE,Q992/J992,Q992)</f>
        <v/>
      </c>
      <c r="X992" s="237">
        <f>V992/100*S992</f>
        <v/>
      </c>
      <c r="Y992">
        <f>IF(AND(V992&gt;0,N992=V992),TRUE,FALSE)</f>
        <v/>
      </c>
      <c r="Z992" s="228">
        <f>IF(C992="Einnahmen",Q992,-Q992)</f>
        <v/>
      </c>
    </row>
    <row r="993">
      <c r="A993" s="53" t="n">
        <v>2023</v>
      </c>
      <c r="B993" s="53" t="n">
        <v>119</v>
      </c>
      <c r="C993" s="71" t="inlineStr">
        <is>
          <t>Einnahmen</t>
        </is>
      </c>
      <c r="D993" t="inlineStr">
        <is>
          <t>Waren-/Leistungserlöse</t>
        </is>
      </c>
      <c r="E993" t="n">
        <v>12023012</v>
      </c>
      <c r="G993" s="1" t="n">
        <v>45120</v>
      </c>
      <c r="H993" t="inlineStr">
        <is>
          <t>Paperholic all bout paper e.U.</t>
        </is>
      </c>
      <c r="K993" t="b">
        <v>0</v>
      </c>
      <c r="L993" s="214">
        <f>32.89/1.2</f>
        <v/>
      </c>
      <c r="M993" s="159" t="n">
        <v>1</v>
      </c>
      <c r="N993" t="n">
        <v>20</v>
      </c>
      <c r="O993" s="237">
        <f>L993*N993/100</f>
        <v/>
      </c>
      <c r="P993" s="237">
        <f>M993*O993</f>
        <v/>
      </c>
      <c r="Q993" s="208">
        <f>L993*M993</f>
        <v/>
      </c>
      <c r="R993" s="251">
        <f>L993+O993</f>
        <v/>
      </c>
      <c r="S993" s="251">
        <f>Q993+P993</f>
        <v/>
      </c>
      <c r="T993" s="35">
        <f>DATE(YEAR(EOMONTH(G993,2)),MONTH(EOMONTH(G993,2)),15)</f>
        <v/>
      </c>
      <c r="U993" s="27" t="n"/>
      <c r="V993" s="27" t="n"/>
      <c r="W993" s="210">
        <f>IF(K993=TRUE,Q993/I993,Q993)</f>
        <v/>
      </c>
      <c r="X993" s="237">
        <f>V993/100*S993</f>
        <v/>
      </c>
      <c r="Y993">
        <f>IF(AND(V993&gt;0,N993=V993),TRUE,FALSE)</f>
        <v/>
      </c>
      <c r="Z993" s="228">
        <f>IF(C993="Einnahmen",Q993,-Q993)</f>
        <v/>
      </c>
    </row>
    <row r="994">
      <c r="A994" s="53" t="n">
        <v>2023</v>
      </c>
      <c r="B994" s="53" t="n">
        <v>120</v>
      </c>
      <c r="C994" s="71" t="inlineStr">
        <is>
          <t>Ausgaben</t>
        </is>
      </c>
      <c r="D994" t="inlineStr">
        <is>
          <t>sonstige Betriebsausgaben</t>
        </is>
      </c>
      <c r="G994" s="1" t="n">
        <v>45120</v>
      </c>
      <c r="H994" t="inlineStr">
        <is>
          <t>Hetzner Online GmbH</t>
        </is>
      </c>
      <c r="K994">
        <f>(IF(AND(I994&lt;&gt;"",AND(J994="",ABS(Q994)&gt;400)),TRUE,FALSE))</f>
        <v/>
      </c>
      <c r="L994" s="214" t="n">
        <v>52.2141</v>
      </c>
      <c r="M994" s="159" t="n">
        <v>1</v>
      </c>
      <c r="N994" t="n">
        <v>0</v>
      </c>
      <c r="O994" s="237">
        <f>L994*N994/100</f>
        <v/>
      </c>
      <c r="P994" s="237">
        <f>M994*O994</f>
        <v/>
      </c>
      <c r="Q994" s="208">
        <f>L994*M994</f>
        <v/>
      </c>
      <c r="R994" s="251">
        <f>L994+O994</f>
        <v/>
      </c>
      <c r="S994" s="251">
        <f>Q994+P994</f>
        <v/>
      </c>
      <c r="T994" s="35">
        <f>DATE(YEAR(EOMONTH(G994,2)),MONTH(EOMONTH(G994,2)),15)</f>
        <v/>
      </c>
      <c r="U994" s="27" t="n"/>
      <c r="V994" s="27" t="n">
        <v>20</v>
      </c>
      <c r="W994" s="210">
        <f>IF(K994=TRUE,Q994/J994,Q994)</f>
        <v/>
      </c>
      <c r="X994" s="237">
        <f>V994/100*S994</f>
        <v/>
      </c>
      <c r="Y994">
        <f>IF(AND(V994&gt;0,N994=V994),TRUE,FALSE)</f>
        <v/>
      </c>
      <c r="Z994" s="228">
        <f>IF(C994="Einnahmen",Q994,-Q994)</f>
        <v/>
      </c>
    </row>
    <row r="995">
      <c r="A995" s="53" t="n">
        <v>2023</v>
      </c>
      <c r="B995" s="53" t="n">
        <v>121</v>
      </c>
      <c r="C995" s="71" t="inlineStr">
        <is>
          <t>Einnahmen</t>
        </is>
      </c>
      <c r="D995" t="inlineStr">
        <is>
          <t>Waren-/Leistungserlöse</t>
        </is>
      </c>
      <c r="E995" s="39" t="inlineStr">
        <is>
          <t>12023014+12023015</t>
        </is>
      </c>
      <c r="G995" s="1" t="n">
        <v>45121</v>
      </c>
      <c r="H995" t="inlineStr">
        <is>
          <t>Hays Österreich GmbH, Bahnhof City Wien West , Europaplatz 3/5, 1150 Wien</t>
        </is>
      </c>
      <c r="K995">
        <f>(IF(AND(I995&lt;&gt;"",AND(J995="",ABS(Q995)&gt;400)),TRUE,FALSE))</f>
        <v/>
      </c>
      <c r="L995" s="214" t="n">
        <v>15118.65</v>
      </c>
      <c r="M995" s="159" t="n">
        <v>1</v>
      </c>
      <c r="N995" t="n">
        <v>20</v>
      </c>
      <c r="O995" s="237">
        <f>L995*N995/100</f>
        <v/>
      </c>
      <c r="P995" s="237">
        <f>M995*O995</f>
        <v/>
      </c>
      <c r="Q995" s="208">
        <f>L995*M995</f>
        <v/>
      </c>
      <c r="R995" s="251">
        <f>L995+O995</f>
        <v/>
      </c>
      <c r="S995" s="251">
        <f>Q995+P995</f>
        <v/>
      </c>
      <c r="T995" s="35">
        <f>DATE(YEAR(EOMONTH(G995,2)),MONTH(EOMONTH(G995,2)),15)</f>
        <v/>
      </c>
      <c r="U995" s="27" t="n"/>
      <c r="V995" s="27" t="n"/>
      <c r="W995" s="210">
        <f>IF(K995=TRUE,Q995/J995,Q995)</f>
        <v/>
      </c>
      <c r="X995" s="237">
        <f>V995/100*S995</f>
        <v/>
      </c>
      <c r="Y995">
        <f>IF(AND(V995&gt;0,N995=V995),TRUE,FALSE)</f>
        <v/>
      </c>
      <c r="Z995" s="228">
        <f>IF(C995="Einnahmen",Q995,-Q995)</f>
        <v/>
      </c>
    </row>
    <row r="996">
      <c r="A996" s="53" t="n">
        <v>2023</v>
      </c>
      <c r="B996" s="53" t="n">
        <v>122</v>
      </c>
      <c r="C996" s="71" t="inlineStr">
        <is>
          <t>Ausgaben</t>
        </is>
      </c>
      <c r="D996" t="inlineStr">
        <is>
          <t>Personalaufwand</t>
        </is>
      </c>
      <c r="E996" s="9" t="inlineStr">
        <is>
          <t>siehe 2022-140</t>
        </is>
      </c>
      <c r="G996" s="1" t="n">
        <v>45124</v>
      </c>
      <c r="H996" t="inlineStr">
        <is>
          <t>Honorar Eva Jaros-Kolbitsch</t>
        </is>
      </c>
      <c r="K996">
        <f>(IF(AND(I996&lt;&gt;"",AND(J996="",ABS(Q996)&gt;400)),TRUE,FALSE))</f>
        <v/>
      </c>
      <c r="L996" s="214" t="n">
        <v>365</v>
      </c>
      <c r="M996" s="159" t="n">
        <v>1</v>
      </c>
      <c r="N996" t="n">
        <v>0</v>
      </c>
      <c r="O996" s="237">
        <f>L996*N996/100</f>
        <v/>
      </c>
      <c r="P996" s="237">
        <f>M996*O996</f>
        <v/>
      </c>
      <c r="Q996" s="208">
        <f>L996*M996</f>
        <v/>
      </c>
      <c r="R996" s="251">
        <f>L996+O996</f>
        <v/>
      </c>
      <c r="S996" s="251">
        <f>Q996+P996</f>
        <v/>
      </c>
      <c r="T996" s="35">
        <f>DATE(YEAR(EOMONTH(G996,2)),MONTH(EOMONTH(G996,2)),15)</f>
        <v/>
      </c>
      <c r="U996" s="27" t="n"/>
      <c r="V996" s="27" t="n"/>
      <c r="W996" s="210">
        <f>IF(K996=TRUE,Q996/J996,Q996)</f>
        <v/>
      </c>
      <c r="X996" s="237">
        <f>V996/100*S996</f>
        <v/>
      </c>
      <c r="Y996">
        <f>IF(AND(V996&gt;0,N996=V996),TRUE,FALSE)</f>
        <v/>
      </c>
      <c r="Z996" s="228">
        <f>IF(C996="Einnahmen",Q996,-Q996)</f>
        <v/>
      </c>
    </row>
    <row r="997">
      <c r="A997" s="53" t="n">
        <v>2023</v>
      </c>
      <c r="B997" s="53" t="n">
        <v>123</v>
      </c>
      <c r="C997" s="71" t="inlineStr">
        <is>
          <t>Ausgaben</t>
        </is>
      </c>
      <c r="D997" t="inlineStr">
        <is>
          <t>sonstige Betriebsausgaben</t>
        </is>
      </c>
      <c r="E997" s="1" t="n"/>
      <c r="G997" s="1" t="n">
        <v>45127</v>
      </c>
      <c r="H997" t="inlineStr">
        <is>
          <t>Microsoft Ireland Operations Ltd. One Microsoft Place, South County, Business Park, Leopardstown, Dublin 18, D18 P521, Ireland</t>
        </is>
      </c>
      <c r="K997">
        <f>(IF(AND(I997&lt;&gt;"",AND(J997="",ABS(Q997)&gt;400)),TRUE,FALSE))</f>
        <v/>
      </c>
      <c r="L997" s="214" t="n">
        <v>10.5</v>
      </c>
      <c r="M997" s="159" t="n">
        <v>1</v>
      </c>
      <c r="N997" t="n">
        <v>0</v>
      </c>
      <c r="O997" s="237">
        <f>L997*N997/100</f>
        <v/>
      </c>
      <c r="P997" s="237">
        <f>M997*O997</f>
        <v/>
      </c>
      <c r="Q997" s="208">
        <f>L997*M997</f>
        <v/>
      </c>
      <c r="R997" s="251">
        <f>L997+O997</f>
        <v/>
      </c>
      <c r="S997" s="251">
        <f>Q997+P997</f>
        <v/>
      </c>
      <c r="T997" s="35">
        <f>DATE(YEAR(EOMONTH(G997,2)),MONTH(EOMONTH(G997,2)),15)</f>
        <v/>
      </c>
      <c r="U997" s="27" t="n"/>
      <c r="V997" s="27" t="n">
        <v>20</v>
      </c>
      <c r="W997" s="210">
        <f>IF(K997=TRUE,Q997/J997,Q997)</f>
        <v/>
      </c>
      <c r="X997" s="237">
        <f>V997/100*S997</f>
        <v/>
      </c>
      <c r="Y997">
        <f>IF(AND(V997&gt;0,N997=V997),TRUE,FALSE)</f>
        <v/>
      </c>
      <c r="Z997" s="228">
        <f>IF(C997="Einnahmen",Q997,-Q997)</f>
        <v/>
      </c>
    </row>
    <row r="998">
      <c r="A998" s="53" t="n">
        <v>2023</v>
      </c>
      <c r="B998" s="53" t="n">
        <v>124</v>
      </c>
      <c r="C998" s="71" t="inlineStr">
        <is>
          <t>Ausgaben</t>
        </is>
      </c>
      <c r="D998" t="inlineStr">
        <is>
          <t>Telefon/Internet</t>
        </is>
      </c>
      <c r="E998" s="131" t="n"/>
      <c r="G998" s="1" t="n">
        <v>45128</v>
      </c>
      <c r="H998" t="inlineStr">
        <is>
          <t>Magenta: T-Mobile Austria GmbH, A-1120 Wien, PF 47</t>
        </is>
      </c>
      <c r="K998">
        <f>(IF(AND(I998&lt;&gt;"",AND(J998="",ABS(Q998)&gt;400)),TRUE,FALSE))</f>
        <v/>
      </c>
      <c r="L998" s="214" t="n">
        <v>31.92</v>
      </c>
      <c r="M998" s="159" t="n">
        <v>1</v>
      </c>
      <c r="N998" t="n">
        <v>20</v>
      </c>
      <c r="O998" s="237">
        <f>L998*N998/100</f>
        <v/>
      </c>
      <c r="P998" s="237">
        <f>M998*O998</f>
        <v/>
      </c>
      <c r="Q998" s="208">
        <f>L998*M998</f>
        <v/>
      </c>
      <c r="R998" s="251">
        <f>L998+O998</f>
        <v/>
      </c>
      <c r="S998" s="251">
        <f>Q998+P998</f>
        <v/>
      </c>
      <c r="T998" s="35">
        <f>DATE(YEAR(EOMONTH(G998,2)),MONTH(EOMONTH(G998,2)),15)</f>
        <v/>
      </c>
      <c r="U998" s="27" t="n"/>
      <c r="V998" s="27" t="n"/>
      <c r="W998" s="210">
        <f>IF(K998=TRUE,Q998/I998,Q998)</f>
        <v/>
      </c>
      <c r="X998" s="237">
        <f>V998/100*S998</f>
        <v/>
      </c>
      <c r="Y998">
        <f>IF(AND(V998&gt;0,N998=V998),TRUE,FALSE)</f>
        <v/>
      </c>
      <c r="Z998" s="228">
        <f>IF(C998="Einnahmen",Q998,-Q998)</f>
        <v/>
      </c>
    </row>
    <row r="999">
      <c r="A999" s="53" t="n">
        <v>2023</v>
      </c>
      <c r="B999" s="53" t="n">
        <v>125</v>
      </c>
      <c r="C999" s="71" t="inlineStr">
        <is>
          <t>Ausgaben</t>
        </is>
      </c>
      <c r="D999" t="inlineStr">
        <is>
          <t>sonstige Betriebsausgaben</t>
        </is>
      </c>
      <c r="E999" s="9" t="inlineStr">
        <is>
          <t>933382</t>
        </is>
      </c>
      <c r="G999" s="1" t="n">
        <v>45132</v>
      </c>
      <c r="H999" t="inlineStr">
        <is>
          <t>Lemon Technologies GmbH, Unterweißenbach 181, 8330 Feldbach: Dell Precision 3580 Laptop</t>
        </is>
      </c>
      <c r="I999" t="n">
        <v>3</v>
      </c>
      <c r="K999">
        <f>(IF(AND(I999&lt;&gt;"",AND(J999="",ABS(Q999)&gt;400)),TRUE,FALSE))</f>
        <v/>
      </c>
      <c r="L999" s="214" t="n">
        <v>1848.55</v>
      </c>
      <c r="M999" s="159" t="n">
        <v>1</v>
      </c>
      <c r="N999" t="n">
        <v>20</v>
      </c>
      <c r="O999" s="237">
        <f>L999*N999/100</f>
        <v/>
      </c>
      <c r="P999" s="237">
        <f>M999*O999</f>
        <v/>
      </c>
      <c r="Q999" s="208">
        <f>L999*M999</f>
        <v/>
      </c>
      <c r="R999" s="251">
        <f>L999+O999</f>
        <v/>
      </c>
      <c r="S999" s="251">
        <f>Q999+P999</f>
        <v/>
      </c>
      <c r="T999" s="35">
        <f>voranmeldefrist_vierteljaehrlich(G999)</f>
        <v/>
      </c>
      <c r="U999" s="27" t="n"/>
      <c r="V999" s="27" t="n"/>
      <c r="W999" s="210">
        <f>IF(K999=TRUE,Q999/I999,Q999)</f>
        <v/>
      </c>
      <c r="X999" s="237">
        <f>V999/100*S999</f>
        <v/>
      </c>
      <c r="Y999">
        <f>IF(AND(V999&gt;0,N999=V999),TRUE,FALSE)</f>
        <v/>
      </c>
      <c r="Z999" s="228">
        <f>IF(C999="Einnahmen",Q999,-Q999)</f>
        <v/>
      </c>
    </row>
    <row r="1000">
      <c r="A1000" s="53" t="n">
        <v>2023</v>
      </c>
      <c r="B1000" s="53" t="n">
        <v>126</v>
      </c>
      <c r="C1000" s="71" t="inlineStr">
        <is>
          <t>Ausgaben</t>
        </is>
      </c>
      <c r="D1000" t="inlineStr">
        <is>
          <t>Miet- und Pachtaufwand, Leasing</t>
        </is>
      </c>
      <c r="G1000" s="1" t="n">
        <v>45139</v>
      </c>
      <c r="H1000" t="inlineStr">
        <is>
          <t>Bontus Immobilienverwaltung GmbH, 1010 Wien, Franz Josefs Kai 65</t>
        </is>
      </c>
      <c r="K1000" t="b">
        <v>0</v>
      </c>
      <c r="L1000" s="214">
        <f>639.73/1.2</f>
        <v/>
      </c>
      <c r="M1000" s="159" t="n">
        <v>1</v>
      </c>
      <c r="N1000" t="n">
        <v>20</v>
      </c>
      <c r="O1000" s="237">
        <f>L1000*N1000/100</f>
        <v/>
      </c>
      <c r="P1000" s="237">
        <f>M1000*O1000</f>
        <v/>
      </c>
      <c r="Q1000" s="208">
        <f>L1000*M1000</f>
        <v/>
      </c>
      <c r="R1000" s="251">
        <f>L1000+O1000</f>
        <v/>
      </c>
      <c r="S1000" s="251">
        <f>Q1000+P1000</f>
        <v/>
      </c>
      <c r="T1000" s="35">
        <f>DATE(YEAR(EOMONTH(G1000,2)),MONTH(EOMONTH(G1000,2)),15)</f>
        <v/>
      </c>
      <c r="U1000" s="27" t="n"/>
      <c r="V1000" s="27" t="n"/>
      <c r="W1000" s="210">
        <f>IF(K1000=TRUE,Q1000/J1000,Q1000)</f>
        <v/>
      </c>
      <c r="X1000" s="237">
        <f>V1000/100*S1000</f>
        <v/>
      </c>
      <c r="Y1000">
        <f>IF(AND(V1000&gt;0,N1000=V1000),TRUE,FALSE)</f>
        <v/>
      </c>
      <c r="Z1000" s="228">
        <f>IF(C1000="Einnahmen",Q1000,-Q1000)</f>
        <v/>
      </c>
    </row>
    <row r="1001">
      <c r="A1001" s="53" t="n">
        <v>2023</v>
      </c>
      <c r="B1001" s="53" t="n">
        <v>127</v>
      </c>
      <c r="C1001" s="71" t="inlineStr">
        <is>
          <t>Ausgaben</t>
        </is>
      </c>
      <c r="D1001" t="inlineStr">
        <is>
          <t>sonstige Betriebsausgaben</t>
        </is>
      </c>
      <c r="G1001" s="1" t="n">
        <v>45141</v>
      </c>
      <c r="H1001" t="inlineStr">
        <is>
          <t>Google Ireland Ltd, Gordon House, Barrow Street, Dublin 4, Ireland; VAT number: IE 6388047V</t>
        </is>
      </c>
      <c r="K1001" t="b">
        <v>0</v>
      </c>
      <c r="L1001" s="214" t="n">
        <v>10.4</v>
      </c>
      <c r="M1001" s="159" t="n">
        <v>1</v>
      </c>
      <c r="N1001" t="n">
        <v>0</v>
      </c>
      <c r="O1001" s="237">
        <f>L1001*N1001/100</f>
        <v/>
      </c>
      <c r="P1001" s="237">
        <f>M1001*O1001</f>
        <v/>
      </c>
      <c r="Q1001" s="208">
        <f>L1001*M1001</f>
        <v/>
      </c>
      <c r="R1001" s="251">
        <f>L1001+O1001</f>
        <v/>
      </c>
      <c r="S1001" s="251">
        <f>Q1001+P1001</f>
        <v/>
      </c>
      <c r="T1001" s="35">
        <f>DATE(YEAR(EOMONTH(G1001,2)),MONTH(EOMONTH(G1001,2)),15)</f>
        <v/>
      </c>
      <c r="U1001" s="27" t="n"/>
      <c r="V1001" s="27" t="n">
        <v>20</v>
      </c>
      <c r="W1001" s="210">
        <f>IF(K1001=TRUE,Q1001/I1001,Q1001)</f>
        <v/>
      </c>
      <c r="X1001" s="237">
        <f>V1001/100*S1001</f>
        <v/>
      </c>
      <c r="Y1001">
        <f>IF(AND(V1001&gt;0,N1001=V1001),TRUE,FALSE)</f>
        <v/>
      </c>
      <c r="Z1001" s="228">
        <f>IF(C1001="Einnahmen",Q1001,-Q1001)</f>
        <v/>
      </c>
    </row>
    <row r="1002">
      <c r="A1002" s="53" t="n">
        <v>2023</v>
      </c>
      <c r="B1002" s="53" t="n">
        <v>128</v>
      </c>
      <c r="C1002" s="71" t="inlineStr">
        <is>
          <t>Ausgaben</t>
        </is>
      </c>
      <c r="D1002" t="inlineStr">
        <is>
          <t>sonstige Betriebsausgaben</t>
        </is>
      </c>
      <c r="G1002" s="1" t="n">
        <v>45141</v>
      </c>
      <c r="H1002" t="inlineStr">
        <is>
          <t>go green energy GmbH &amp; Co KG</t>
        </is>
      </c>
      <c r="K1002">
        <f>(IF(AND(I1002&lt;&gt;"",AND(J1002="",ABS(Q1002)&gt;400)),TRUE,FALSE))</f>
        <v/>
      </c>
      <c r="L1002" s="214" t="n">
        <v>5</v>
      </c>
      <c r="M1002" s="159" t="n">
        <v>1</v>
      </c>
      <c r="N1002" t="n">
        <v>20</v>
      </c>
      <c r="O1002" s="237">
        <f>L1002*N1002/100</f>
        <v/>
      </c>
      <c r="P1002" s="237">
        <f>M1002*O1002</f>
        <v/>
      </c>
      <c r="Q1002" s="208">
        <f>L1002*M1002</f>
        <v/>
      </c>
      <c r="R1002" s="251">
        <f>L1002+O1002</f>
        <v/>
      </c>
      <c r="S1002" s="251">
        <f>Q1002+P1002</f>
        <v/>
      </c>
      <c r="T1002" s="35">
        <f>DATE(YEAR(EOMONTH(G1002,2)),MONTH(EOMONTH(G1002,2)),15)</f>
        <v/>
      </c>
      <c r="U1002" s="27" t="n"/>
      <c r="V1002" s="27" t="n"/>
      <c r="W1002" s="210">
        <f>IF(K1002=TRUE,Q1002/J1002,Q1002)</f>
        <v/>
      </c>
      <c r="X1002" s="237">
        <f>V1002/100*S1002</f>
        <v/>
      </c>
      <c r="Y1002">
        <f>IF(AND(V1002&gt;0,N1002=V1002),TRUE,FALSE)</f>
        <v/>
      </c>
      <c r="Z1002" s="228">
        <f>IF(C1002="Einnahmen",Q1002,-Q1002)</f>
        <v/>
      </c>
    </row>
    <row r="1003">
      <c r="A1003" s="53" t="n">
        <v>2023</v>
      </c>
      <c r="B1003" s="53" t="n">
        <v>129</v>
      </c>
      <c r="C1003" s="71" t="inlineStr">
        <is>
          <t>Ausgaben</t>
        </is>
      </c>
      <c r="D1003" t="inlineStr">
        <is>
          <t>Telefon/Internet</t>
        </is>
      </c>
      <c r="G1003" s="1" t="n">
        <v>45141</v>
      </c>
      <c r="H1003" t="inlineStr">
        <is>
          <t>Hutchison Drei Austria GmbH, Brünner Straße 52, 1210 Wien, Österreich</t>
        </is>
      </c>
      <c r="K1003">
        <f>(IF(AND(I1003&lt;&gt;"",AND(J1003="",ABS(Q1003)&gt;400)),TRUE,FALSE))</f>
        <v/>
      </c>
      <c r="L1003" s="214">
        <f>12.9/1.2</f>
        <v/>
      </c>
      <c r="M1003" s="159" t="n">
        <v>1</v>
      </c>
      <c r="N1003" t="n">
        <v>20</v>
      </c>
      <c r="O1003" s="237">
        <f>L1003*N1003/100</f>
        <v/>
      </c>
      <c r="P1003" s="237">
        <f>M1003*O1003</f>
        <v/>
      </c>
      <c r="Q1003" s="208">
        <f>L1003*M1003</f>
        <v/>
      </c>
      <c r="R1003" s="251">
        <f>L1003+O1003</f>
        <v/>
      </c>
      <c r="S1003" s="251">
        <f>Q1003+P1003</f>
        <v/>
      </c>
      <c r="T1003" s="35">
        <f>DATE(YEAR(EOMONTH(G1003,2)),MONTH(EOMONTH(G1003,2)),15)</f>
        <v/>
      </c>
      <c r="U1003" s="27" t="n"/>
      <c r="V1003" s="27" t="n"/>
      <c r="W1003" s="210">
        <f>IF(K1003=TRUE,Q1003/I1003,Q1003)</f>
        <v/>
      </c>
      <c r="X1003" s="237">
        <f>V1003/100*S1003</f>
        <v/>
      </c>
      <c r="Y1003">
        <f>IF(AND(V1003&gt;0,N1003=V1003),TRUE,FALSE)</f>
        <v/>
      </c>
      <c r="Z1003" s="228">
        <f>IF(C1003="Einnahmen",Q1003,-Q1003)</f>
        <v/>
      </c>
    </row>
    <row r="1004">
      <c r="A1004" s="53" t="n">
        <v>2023</v>
      </c>
      <c r="B1004" s="53" t="n">
        <v>130</v>
      </c>
      <c r="C1004" s="71" t="inlineStr">
        <is>
          <t>Ausgaben</t>
        </is>
      </c>
      <c r="D1004" t="inlineStr">
        <is>
          <t>Miet- und Pachtaufwand, Leasing</t>
        </is>
      </c>
      <c r="E1004" s="61" t="inlineStr">
        <is>
          <t>BELEG FEHLT</t>
        </is>
      </c>
      <c r="G1004" s="1" t="n">
        <v>45145</v>
      </c>
      <c r="H1004" t="inlineStr">
        <is>
          <t>Techem Messtechnik GmbH; Abnehmernummer 501686-0003-11-</t>
        </is>
      </c>
      <c r="K1004" t="b">
        <v>0</v>
      </c>
      <c r="L1004" s="214" t="n">
        <v>108.5</v>
      </c>
      <c r="M1004" s="159" t="n">
        <v>1</v>
      </c>
      <c r="N1004" t="n">
        <v>20</v>
      </c>
      <c r="O1004" s="237">
        <f>L1004*N1004/100</f>
        <v/>
      </c>
      <c r="P1004" s="237">
        <f>M1004*O1004</f>
        <v/>
      </c>
      <c r="Q1004" s="208">
        <f>L1004*M1004</f>
        <v/>
      </c>
      <c r="R1004" s="251">
        <f>L1004+O1004</f>
        <v/>
      </c>
      <c r="S1004" s="251">
        <f>Q1004+P1004</f>
        <v/>
      </c>
      <c r="T1004" s="35">
        <f>DATE(YEAR(EOMONTH(G1004,2)),MONTH(EOMONTH(G1004,2)),15)</f>
        <v/>
      </c>
      <c r="U1004" s="27" t="n"/>
      <c r="V1004" s="27" t="n"/>
      <c r="W1004" s="210">
        <f>IF(K1004=TRUE,Q1004/J1004,Q1004)</f>
        <v/>
      </c>
      <c r="X1004" s="237">
        <f>V1004/100*S1004</f>
        <v/>
      </c>
      <c r="Y1004">
        <f>IF(AND(V1004&gt;0,N1004=V1004),TRUE,FALSE)</f>
        <v/>
      </c>
      <c r="Z1004" s="228">
        <f>IF(C1004="Einnahmen",Q1004,-Q1004)</f>
        <v/>
      </c>
    </row>
    <row r="1005">
      <c r="A1005" s="53" t="n">
        <v>2023</v>
      </c>
      <c r="B1005" s="53" t="n">
        <v>131</v>
      </c>
      <c r="C1005" s="71" t="inlineStr">
        <is>
          <t>Ausgaben</t>
        </is>
      </c>
      <c r="D1005" t="inlineStr">
        <is>
          <t>sonstige Betriebsausgaben</t>
        </is>
      </c>
      <c r="E1005" s="61" t="inlineStr">
        <is>
          <t>BELEG FEHLT</t>
        </is>
      </c>
      <c r="G1005" s="1" t="n">
        <v>45148</v>
      </c>
      <c r="H1005" t="inlineStr">
        <is>
          <t>Wiener Netze GmbH, Erdbergstraße 236, 1110 Wien, Postfach 422; Jahresabrechnung vom 17.12.20: GUTSCHRIFT</t>
        </is>
      </c>
      <c r="K1005">
        <f>(IF(AND(I1005&lt;&gt;"",AND(J1005="",ABS(Q1005)&gt;400)),TRUE,FALSE))</f>
        <v/>
      </c>
      <c r="L1005" s="214" t="n">
        <v>12</v>
      </c>
      <c r="M1005" s="159" t="n">
        <v>1</v>
      </c>
      <c r="N1005" t="n">
        <v>20</v>
      </c>
      <c r="O1005" s="237">
        <f>L1005*N1005/100</f>
        <v/>
      </c>
      <c r="P1005" s="237">
        <f>M1005*O1005</f>
        <v/>
      </c>
      <c r="Q1005" s="208">
        <f>L1005*M1005</f>
        <v/>
      </c>
      <c r="R1005" s="251">
        <f>L1005+O1005</f>
        <v/>
      </c>
      <c r="S1005" s="251">
        <f>Q1005+P1005</f>
        <v/>
      </c>
      <c r="T1005" s="35">
        <f>DATE(YEAR(EOMONTH(G1005,2)),MONTH(EOMONTH(G1005,2)),15)</f>
        <v/>
      </c>
      <c r="U1005" s="27" t="n"/>
      <c r="V1005" s="27" t="n"/>
      <c r="W1005" s="210">
        <f>IF(K1005=TRUE,Q1005/J1005,Q1005)</f>
        <v/>
      </c>
      <c r="X1005" s="237">
        <f>V1005/100*S1005</f>
        <v/>
      </c>
      <c r="Y1005">
        <f>IF(AND(V1005&gt;0,N1005=V1005),TRUE,FALSE)</f>
        <v/>
      </c>
      <c r="Z1005" s="228">
        <f>IF(C1005="Einnahmen",Q1005,-Q1005)</f>
        <v/>
      </c>
    </row>
    <row r="1006">
      <c r="A1006" s="53" t="n">
        <v>2023</v>
      </c>
      <c r="B1006" s="53" t="n">
        <v>132</v>
      </c>
      <c r="C1006" s="71" t="inlineStr">
        <is>
          <t>Ausgaben</t>
        </is>
      </c>
      <c r="D1006" t="inlineStr">
        <is>
          <t>sonstige Betriebsausgaben</t>
        </is>
      </c>
      <c r="G1006" s="1" t="n">
        <v>45149</v>
      </c>
      <c r="H1006" t="inlineStr">
        <is>
          <t>Hetzner Online GmbH</t>
        </is>
      </c>
      <c r="K1006">
        <f>(IF(AND(I1006&lt;&gt;"",AND(J1006="",ABS(Q1006)&gt;400)),TRUE,FALSE))</f>
        <v/>
      </c>
      <c r="L1006" s="214" t="n">
        <v>52.2141</v>
      </c>
      <c r="M1006" s="159" t="n">
        <v>1</v>
      </c>
      <c r="N1006" t="n">
        <v>0</v>
      </c>
      <c r="O1006" s="237">
        <f>L1006*N1006/100</f>
        <v/>
      </c>
      <c r="P1006" s="237">
        <f>M1006*O1006</f>
        <v/>
      </c>
      <c r="Q1006" s="208">
        <f>L1006*M1006</f>
        <v/>
      </c>
      <c r="R1006" s="251">
        <f>L1006+O1006</f>
        <v/>
      </c>
      <c r="S1006" s="251">
        <f>Q1006+P1006</f>
        <v/>
      </c>
      <c r="T1006" s="35">
        <f>DATE(YEAR(EOMONTH(G1006,2)),MONTH(EOMONTH(G1006,2)),15)</f>
        <v/>
      </c>
      <c r="U1006" s="27" t="n"/>
      <c r="V1006" s="27" t="n">
        <v>20</v>
      </c>
      <c r="W1006" s="210">
        <f>IF(K1006=TRUE,Q1006/J1006,Q1006)</f>
        <v/>
      </c>
      <c r="X1006" s="237">
        <f>V1006/100*S1006</f>
        <v/>
      </c>
      <c r="Y1006">
        <f>IF(AND(V1006&gt;0,N1006=V1006),TRUE,FALSE)</f>
        <v/>
      </c>
      <c r="Z1006" s="228">
        <f>IF(C1006="Einnahmen",Q1006,-Q1006)</f>
        <v/>
      </c>
    </row>
    <row r="1007">
      <c r="A1007" s="53" t="n">
        <v>2023</v>
      </c>
      <c r="B1007" s="53" t="n">
        <v>133</v>
      </c>
      <c r="C1007" s="71" t="inlineStr">
        <is>
          <t>Einnahmen</t>
        </is>
      </c>
      <c r="D1007" t="inlineStr">
        <is>
          <t>Waren-/Leistungserlöse</t>
        </is>
      </c>
      <c r="E1007" s="39" t="inlineStr">
        <is>
          <t>12023014+12023015</t>
        </is>
      </c>
      <c r="G1007" s="1" t="n">
        <v>45154</v>
      </c>
      <c r="H1007" t="inlineStr">
        <is>
          <t>Hays Österreich GmbH, Bahnhof City Wien West , Europaplatz 3/5, 1150 Wien</t>
        </is>
      </c>
      <c r="K1007">
        <f>(IF(AND(I1007&lt;&gt;"",AND(J1007="",ABS(Q1007)&gt;400)),TRUE,FALSE))</f>
        <v/>
      </c>
      <c r="L1007" s="214">
        <f>7911.9/1.2</f>
        <v/>
      </c>
      <c r="M1007" s="159" t="n">
        <v>1</v>
      </c>
      <c r="N1007" t="n">
        <v>20</v>
      </c>
      <c r="O1007" s="237">
        <f>L1007*N1007/100</f>
        <v/>
      </c>
      <c r="P1007" s="237">
        <f>M1007*O1007</f>
        <v/>
      </c>
      <c r="Q1007" s="208">
        <f>L1007*M1007</f>
        <v/>
      </c>
      <c r="R1007" s="251">
        <f>L1007+O1007</f>
        <v/>
      </c>
      <c r="S1007" s="251">
        <f>Q1007+P1007</f>
        <v/>
      </c>
      <c r="T1007" s="35">
        <f>DATE(YEAR(EOMONTH(G1007,2)),MONTH(EOMONTH(G1007,2)),15)</f>
        <v/>
      </c>
      <c r="U1007" s="27" t="n"/>
      <c r="V1007" s="27" t="n"/>
      <c r="W1007" s="210">
        <f>IF(K1007=TRUE,Q1007/J1007,Q1007)</f>
        <v/>
      </c>
      <c r="X1007" s="237">
        <f>V1007/100*S1007</f>
        <v/>
      </c>
      <c r="Y1007">
        <f>IF(AND(V1007&gt;0,N1007=V1007),TRUE,FALSE)</f>
        <v/>
      </c>
      <c r="Z1007" s="228">
        <f>IF(C1007="Einnahmen",Q1007,-Q1007)</f>
        <v/>
      </c>
    </row>
    <row r="1008">
      <c r="A1008" s="53" t="n">
        <v>2023</v>
      </c>
      <c r="B1008" s="53" t="n">
        <v>134</v>
      </c>
      <c r="C1008" s="71" t="inlineStr">
        <is>
          <t>Ausgaben</t>
        </is>
      </c>
      <c r="D1008" t="inlineStr">
        <is>
          <t>Personalaufwand</t>
        </is>
      </c>
      <c r="E1008" s="9" t="inlineStr">
        <is>
          <t>siehe 2022-140</t>
        </is>
      </c>
      <c r="G1008" s="1" t="n">
        <v>45154</v>
      </c>
      <c r="H1008" t="inlineStr">
        <is>
          <t>Honorar Eva Jaros-Kolbitsch</t>
        </is>
      </c>
      <c r="K1008">
        <f>(IF(AND(I1008&lt;&gt;"",AND(J1008="",ABS(Q1008)&gt;400)),TRUE,FALSE))</f>
        <v/>
      </c>
      <c r="L1008" s="214" t="n">
        <v>365</v>
      </c>
      <c r="M1008" s="159" t="n">
        <v>1</v>
      </c>
      <c r="N1008" t="n">
        <v>0</v>
      </c>
      <c r="O1008" s="237">
        <f>L1008*N1008/100</f>
        <v/>
      </c>
      <c r="P1008" s="237">
        <f>M1008*O1008</f>
        <v/>
      </c>
      <c r="Q1008" s="208">
        <f>L1008*M1008</f>
        <v/>
      </c>
      <c r="R1008" s="251">
        <f>L1008+O1008</f>
        <v/>
      </c>
      <c r="S1008" s="251">
        <f>Q1008+P1008</f>
        <v/>
      </c>
      <c r="T1008" s="35">
        <f>DATE(YEAR(EOMONTH(G1008,2)),MONTH(EOMONTH(G1008,2)),15)</f>
        <v/>
      </c>
      <c r="U1008" s="27" t="n"/>
      <c r="V1008" s="27" t="n"/>
      <c r="W1008" s="210">
        <f>IF(K1008=TRUE,Q1008/J1008,Q1008)</f>
        <v/>
      </c>
      <c r="X1008" s="237">
        <f>V1008/100*S1008</f>
        <v/>
      </c>
      <c r="Y1008">
        <f>IF(AND(V1008&gt;0,N1008=V1008),TRUE,FALSE)</f>
        <v/>
      </c>
      <c r="Z1008" s="228">
        <f>IF(C1008="Einnahmen",Q1008,-Q1008)</f>
        <v/>
      </c>
    </row>
    <row r="1009">
      <c r="A1009" s="53" t="n">
        <v>2023</v>
      </c>
      <c r="B1009" s="53" t="n">
        <v>135</v>
      </c>
      <c r="C1009" s="71" t="inlineStr">
        <is>
          <t>Ausgaben</t>
        </is>
      </c>
      <c r="D1009" t="inlineStr">
        <is>
          <t>Telefon/Internet</t>
        </is>
      </c>
      <c r="E1009" s="131" t="n"/>
      <c r="G1009" s="1" t="n">
        <v>45156</v>
      </c>
      <c r="H1009" t="inlineStr">
        <is>
          <t>Magenta: T-Mobile Austria GmbH, A-1120 Wien, PF 47</t>
        </is>
      </c>
      <c r="K1009">
        <f>(IF(AND(I1009&lt;&gt;"",AND(J1009="",ABS(Q1009)&gt;400)),TRUE,FALSE))</f>
        <v/>
      </c>
      <c r="L1009" s="214" t="n">
        <v>31.92</v>
      </c>
      <c r="M1009" s="159" t="n">
        <v>1</v>
      </c>
      <c r="N1009" t="n">
        <v>20</v>
      </c>
      <c r="O1009" s="237">
        <f>L1009*N1009/100</f>
        <v/>
      </c>
      <c r="P1009" s="237">
        <f>M1009*O1009</f>
        <v/>
      </c>
      <c r="Q1009" s="208">
        <f>L1009*M1009</f>
        <v/>
      </c>
      <c r="R1009" s="251">
        <f>L1009+O1009</f>
        <v/>
      </c>
      <c r="S1009" s="251">
        <f>Q1009+P1009</f>
        <v/>
      </c>
      <c r="T1009" s="35">
        <f>DATE(YEAR(EOMONTH(G1009,2)),MONTH(EOMONTH(G1009,2)),15)</f>
        <v/>
      </c>
      <c r="U1009" s="27" t="n"/>
      <c r="V1009" s="27" t="n"/>
      <c r="W1009" s="210">
        <f>IF(K1009=TRUE,Q1009/I1009,Q1009)</f>
        <v/>
      </c>
      <c r="X1009" s="237">
        <f>V1009/100*S1009</f>
        <v/>
      </c>
      <c r="Y1009">
        <f>IF(AND(V1009&gt;0,N1009=V1009),TRUE,FALSE)</f>
        <v/>
      </c>
      <c r="Z1009" s="228">
        <f>IF(C1009="Einnahmen",Q1009,-Q1009)</f>
        <v/>
      </c>
    </row>
    <row r="1010">
      <c r="A1010" s="53" t="n">
        <v>2023</v>
      </c>
      <c r="B1010" s="53" t="n">
        <v>136</v>
      </c>
      <c r="C1010" s="71" t="inlineStr">
        <is>
          <t>Ausgaben</t>
        </is>
      </c>
      <c r="D1010" t="inlineStr">
        <is>
          <t>sonstige Betriebsausgaben</t>
        </is>
      </c>
      <c r="E1010" s="1" t="n"/>
      <c r="G1010" s="1" t="n">
        <v>45159</v>
      </c>
      <c r="H1010" t="inlineStr">
        <is>
          <t>Microsoft Ireland Operations Ltd. One Microsoft Place, South County, Business Park, Leopardstown, Dublin 18, D18 P521, Ireland</t>
        </is>
      </c>
      <c r="K1010">
        <f>(IF(AND(I1010&lt;&gt;"",AND(J1010="",ABS(Q1010)&gt;400)),TRUE,FALSE))</f>
        <v/>
      </c>
      <c r="L1010" s="214" t="n">
        <v>10.5</v>
      </c>
      <c r="M1010" s="159" t="n">
        <v>1</v>
      </c>
      <c r="N1010" t="n">
        <v>0</v>
      </c>
      <c r="O1010" s="237">
        <f>L1010*N1010/100</f>
        <v/>
      </c>
      <c r="P1010" s="237">
        <f>M1010*O1010</f>
        <v/>
      </c>
      <c r="Q1010" s="208">
        <f>L1010*M1010</f>
        <v/>
      </c>
      <c r="R1010" s="251">
        <f>L1010+O1010</f>
        <v/>
      </c>
      <c r="S1010" s="251">
        <f>Q1010+P1010</f>
        <v/>
      </c>
      <c r="T1010" s="35">
        <f>DATE(YEAR(EOMONTH(G1010,2)),MONTH(EOMONTH(G1010,2)),15)</f>
        <v/>
      </c>
      <c r="U1010" s="27" t="n"/>
      <c r="V1010" s="27" t="n">
        <v>20</v>
      </c>
      <c r="W1010" s="210">
        <f>IF(K1010=TRUE,Q1010/J1010,Q1010)</f>
        <v/>
      </c>
      <c r="X1010" s="237">
        <f>V1010/100*S1010</f>
        <v/>
      </c>
      <c r="Y1010">
        <f>IF(AND(V1010&gt;0,N1010=V1010),TRUE,FALSE)</f>
        <v/>
      </c>
      <c r="Z1010" s="228">
        <f>IF(C1010="Einnahmen",Q1010,-Q1010)</f>
        <v/>
      </c>
    </row>
    <row r="1011">
      <c r="A1011" s="53" t="n">
        <v>2023</v>
      </c>
      <c r="B1011" s="53" t="n">
        <v>137</v>
      </c>
      <c r="C1011" s="71" t="inlineStr">
        <is>
          <t>Ausgaben</t>
        </is>
      </c>
      <c r="D1011" t="inlineStr">
        <is>
          <t>Reise- und Fahrtspesen inkl. Kilometergeld und Diäten</t>
        </is>
      </c>
      <c r="G1011" s="1" t="n">
        <v>45155</v>
      </c>
      <c r="H1011" t="inlineStr">
        <is>
          <t>ÖBB-Personenverkehr AG, FN248742y</t>
        </is>
      </c>
      <c r="K1011" t="b">
        <v>0</v>
      </c>
      <c r="L1011" s="214">
        <f>85.3/1.1</f>
        <v/>
      </c>
      <c r="M1011" s="159" t="n">
        <v>1</v>
      </c>
      <c r="N1011" t="n">
        <v>10</v>
      </c>
      <c r="O1011" s="237">
        <f>L1011*N1011/100</f>
        <v/>
      </c>
      <c r="P1011" s="237">
        <f>M1011*O1011</f>
        <v/>
      </c>
      <c r="Q1011" s="208">
        <f>L1011*M1011</f>
        <v/>
      </c>
      <c r="R1011" s="251">
        <f>L1011+O1011</f>
        <v/>
      </c>
      <c r="S1011" s="251">
        <f>Q1011+P1011</f>
        <v/>
      </c>
      <c r="T1011" s="35">
        <f>voranmeldefrist_vierteljaehrlich(G1011)</f>
        <v/>
      </c>
      <c r="U1011" s="27" t="n"/>
      <c r="V1011" s="27" t="n"/>
      <c r="W1011" s="210">
        <f>IF(K1011=TRUE,Q1011/J1011,Q1011)</f>
        <v/>
      </c>
      <c r="X1011" s="237">
        <f>V1011/100*S1011</f>
        <v/>
      </c>
      <c r="Y1011">
        <f>IF(AND(V1011&gt;0,N1011=V1011),TRUE,FALSE)</f>
        <v/>
      </c>
      <c r="Z1011" s="228">
        <f>IF(C1011="Einnahmen",Q1011,-Q1011)</f>
        <v/>
      </c>
    </row>
    <row r="1012">
      <c r="A1012" s="53" t="n">
        <v>2023</v>
      </c>
      <c r="B1012" s="53" t="n">
        <v>138</v>
      </c>
      <c r="C1012" s="71" t="inlineStr">
        <is>
          <t>Ausgaben</t>
        </is>
      </c>
      <c r="D1012" t="inlineStr">
        <is>
          <t>Miet- und Pachtaufwand, Leasing</t>
        </is>
      </c>
      <c r="E1012" s="61" t="inlineStr">
        <is>
          <t>BELEG FEHLT</t>
        </is>
      </c>
      <c r="G1012" s="1" t="n">
        <v>45162</v>
      </c>
      <c r="H1012" t="inlineStr">
        <is>
          <t>Techem Messtechnik GmbH; Abnehmernummer 501686-0003-11-</t>
        </is>
      </c>
      <c r="K1012" t="b">
        <v>0</v>
      </c>
      <c r="L1012" s="214" t="n">
        <v>-754.78</v>
      </c>
      <c r="M1012" s="159" t="n">
        <v>1</v>
      </c>
      <c r="N1012" t="n">
        <v>20</v>
      </c>
      <c r="O1012" s="237">
        <f>L1012*N1012/100</f>
        <v/>
      </c>
      <c r="P1012" s="237">
        <f>M1012*O1012</f>
        <v/>
      </c>
      <c r="Q1012" s="208">
        <f>L1012*M1012</f>
        <v/>
      </c>
      <c r="R1012" s="251">
        <f>L1012+O1012</f>
        <v/>
      </c>
      <c r="S1012" s="251">
        <f>Q1012+P1012</f>
        <v/>
      </c>
      <c r="T1012" s="35">
        <f>DATE(YEAR(EOMONTH(G1012,2)),MONTH(EOMONTH(G1012,2)),15)</f>
        <v/>
      </c>
      <c r="U1012" s="27" t="n"/>
      <c r="V1012" s="27" t="n"/>
      <c r="W1012" s="210">
        <f>IF(K1012=TRUE,Q1012/J1012,Q1012)</f>
        <v/>
      </c>
      <c r="X1012" s="237">
        <f>V1012/100*S1012</f>
        <v/>
      </c>
      <c r="Y1012">
        <f>IF(AND(V1012&gt;0,N1012=V1012),TRUE,FALSE)</f>
        <v/>
      </c>
      <c r="Z1012" s="228">
        <f>IF(C1012="Einnahmen",Q1012,-Q1012)</f>
        <v/>
      </c>
    </row>
    <row r="1013">
      <c r="A1013" s="53" t="n">
        <v>2023</v>
      </c>
      <c r="B1013" s="53" t="n">
        <v>139</v>
      </c>
      <c r="C1013" s="71" t="inlineStr">
        <is>
          <t>Ausgaben</t>
        </is>
      </c>
      <c r="D1013" t="inlineStr">
        <is>
          <t>Büromaterial</t>
        </is>
      </c>
      <c r="E1013" s="9" t="inlineStr">
        <is>
          <t>071149</t>
        </is>
      </c>
      <c r="G1013" s="1" t="n">
        <v>44927</v>
      </c>
      <c r="H1013" s="154" t="inlineStr">
        <is>
          <t>STORNO  "Libro" PL Handelsgesellschaft mbH, 1080 Wien, Josefstädter Straße 105, ATU 56240311</t>
        </is>
      </c>
      <c r="K1013">
        <f>(IF(AND(I1013&lt;&gt;"",AND(J1013="",ABS(Q1013)&gt;400)),TRUE,FALSE))</f>
        <v/>
      </c>
      <c r="L1013" s="214">
        <f>-8.68/1.2</f>
        <v/>
      </c>
      <c r="M1013" s="159" t="n">
        <v>1</v>
      </c>
      <c r="N1013" t="n">
        <v>20</v>
      </c>
      <c r="O1013" s="237">
        <f>L1013*N1013/100</f>
        <v/>
      </c>
      <c r="P1013" s="237">
        <f>M1013*O1013</f>
        <v/>
      </c>
      <c r="Q1013" s="208">
        <f>L1013*M1013</f>
        <v/>
      </c>
      <c r="R1013" s="251">
        <f>L1013+O1013</f>
        <v/>
      </c>
      <c r="S1013" s="251">
        <f>Q1013+P1013</f>
        <v/>
      </c>
      <c r="T1013" s="35">
        <f>DATE(YEAR(EOMONTH(G1013,2)),MONTH(EOMONTH(G1013,2)),15)</f>
        <v/>
      </c>
      <c r="U1013" s="27" t="n"/>
      <c r="V1013" s="27" t="n"/>
      <c r="W1013" s="210">
        <f>IF(K1013=TRUE,Q1013/J1013,Q1013)</f>
        <v/>
      </c>
      <c r="X1013" s="237">
        <f>V1013/100*S1013</f>
        <v/>
      </c>
      <c r="Y1013">
        <f>IF(AND(V1013&gt;0,N1013=V1013),TRUE,FALSE)</f>
        <v/>
      </c>
      <c r="Z1013" s="228">
        <f>IF(C1013="Einnahmen",Q1013,-Q1013)</f>
        <v/>
      </c>
    </row>
    <row r="1014">
      <c r="A1014" s="53" t="n">
        <v>2023</v>
      </c>
      <c r="B1014" s="53" t="n">
        <v>140</v>
      </c>
      <c r="C1014" s="71" t="inlineStr">
        <is>
          <t>Ausgaben</t>
        </is>
      </c>
      <c r="D1014" t="inlineStr">
        <is>
          <t>Pflichversicherungsbeiträge</t>
        </is>
      </c>
      <c r="E1014" s="9" t="n">
        <v>11561270283</v>
      </c>
      <c r="G1014" s="1" t="n">
        <v>45168</v>
      </c>
      <c r="H1014" t="inlineStr">
        <is>
          <t>Sozialversicherung der gewerblichen Wirtshaft</t>
        </is>
      </c>
      <c r="K1014">
        <f>(IF(AND(I1014&lt;&gt;"",AND(J1014="",ABS(Q1014)&gt;400)),TRUE,FALSE))</f>
        <v/>
      </c>
      <c r="L1014" s="214" t="n">
        <v>5395.81</v>
      </c>
      <c r="M1014" s="159" t="n">
        <v>1</v>
      </c>
      <c r="N1014" t="n">
        <v>0</v>
      </c>
      <c r="O1014" s="237">
        <f>L1014*N1014/100</f>
        <v/>
      </c>
      <c r="P1014" s="237">
        <f>M1014*O1014</f>
        <v/>
      </c>
      <c r="Q1014" s="208">
        <f>L1014*M1014</f>
        <v/>
      </c>
      <c r="R1014" s="251">
        <f>L1014+O1014</f>
        <v/>
      </c>
      <c r="S1014" s="251">
        <f>Q1014+P1014</f>
        <v/>
      </c>
      <c r="T1014" s="35">
        <f>voranmeldefrist_vierteljaehrlich(G1014)</f>
        <v/>
      </c>
      <c r="U1014" s="27" t="n"/>
      <c r="V1014" s="27" t="n"/>
      <c r="W1014" s="210">
        <f>IF(K1014=TRUE,Q1014/J1014,Q1014)</f>
        <v/>
      </c>
      <c r="X1014" s="237">
        <f>V1014/100*S1014</f>
        <v/>
      </c>
      <c r="Y1014">
        <f>IF(AND(V1014&gt;0,N1014=V1014),TRUE,FALSE)</f>
        <v/>
      </c>
      <c r="Z1014" s="228">
        <f>IF(C1014="Einnahmen",Q1014,-Q1014)</f>
        <v/>
      </c>
    </row>
    <row r="1015">
      <c r="A1015" s="53" t="n">
        <v>2023</v>
      </c>
      <c r="B1015" s="53" t="n">
        <v>141</v>
      </c>
      <c r="C1015" s="71" t="inlineStr">
        <is>
          <t>Ausgaben</t>
        </is>
      </c>
      <c r="D1015" t="inlineStr">
        <is>
          <t>Miet- und Pachtaufwand, Leasing</t>
        </is>
      </c>
      <c r="G1015" s="1" t="n">
        <v>45170</v>
      </c>
      <c r="H1015" t="inlineStr">
        <is>
          <t>Bontus Immobilienverwaltung GmbH, 1010 Wien, Franz Josefs Kai 65</t>
        </is>
      </c>
      <c r="K1015" t="b">
        <v>0</v>
      </c>
      <c r="L1015" s="214">
        <f>639.73/1.2</f>
        <v/>
      </c>
      <c r="M1015" s="159" t="n">
        <v>1</v>
      </c>
      <c r="N1015" t="n">
        <v>20</v>
      </c>
      <c r="O1015" s="237">
        <f>L1015*N1015/100</f>
        <v/>
      </c>
      <c r="P1015" s="237">
        <f>M1015*O1015</f>
        <v/>
      </c>
      <c r="Q1015" s="208">
        <f>L1015*M1015</f>
        <v/>
      </c>
      <c r="R1015" s="251">
        <f>L1015+O1015</f>
        <v/>
      </c>
      <c r="S1015" s="251">
        <f>Q1015+P1015</f>
        <v/>
      </c>
      <c r="T1015" s="35">
        <f>DATE(YEAR(EOMONTH(G1015,2)),MONTH(EOMONTH(G1015,2)),15)</f>
        <v/>
      </c>
      <c r="U1015" s="27" t="n"/>
      <c r="V1015" s="27" t="n"/>
      <c r="W1015" s="210">
        <f>IF(K1015=TRUE,Q1015/J1015,Q1015)</f>
        <v/>
      </c>
      <c r="X1015" s="237">
        <f>V1015/100*S1015</f>
        <v/>
      </c>
      <c r="Y1015">
        <f>IF(AND(V1015&gt;0,N1015=V1015),TRUE,FALSE)</f>
        <v/>
      </c>
      <c r="Z1015" s="228">
        <f>IF(C1015="Einnahmen",Q1015,-Q1015)</f>
        <v/>
      </c>
    </row>
    <row r="1016">
      <c r="A1016" s="53" t="n">
        <v>2023</v>
      </c>
      <c r="B1016" s="53" t="n">
        <v>142</v>
      </c>
      <c r="C1016" s="71" t="inlineStr">
        <is>
          <t>Ausgaben</t>
        </is>
      </c>
      <c r="D1016" t="inlineStr">
        <is>
          <t>Telefon/Internet</t>
        </is>
      </c>
      <c r="G1016" s="1" t="n">
        <v>45173</v>
      </c>
      <c r="H1016" t="inlineStr">
        <is>
          <t>Hutchison Drei Austria GmbH, Brünner Straße 52, 1210 Wien, Österreich</t>
        </is>
      </c>
      <c r="K1016">
        <f>(IF(AND(I1016&lt;&gt;"",AND(J1016="",ABS(Q1016)&gt;400)),TRUE,FALSE))</f>
        <v/>
      </c>
      <c r="L1016" s="214" t="n">
        <v>10.75</v>
      </c>
      <c r="M1016" s="159" t="n">
        <v>1</v>
      </c>
      <c r="N1016" t="n">
        <v>20</v>
      </c>
      <c r="O1016" s="237">
        <f>L1016*N1016/100</f>
        <v/>
      </c>
      <c r="P1016" s="237">
        <f>M1016*O1016</f>
        <v/>
      </c>
      <c r="Q1016" s="208">
        <f>L1016*M1016</f>
        <v/>
      </c>
      <c r="R1016" s="251">
        <f>L1016+O1016</f>
        <v/>
      </c>
      <c r="S1016" s="251">
        <f>Q1016+P1016</f>
        <v/>
      </c>
      <c r="T1016" s="35">
        <f>DATE(YEAR(EOMONTH(G1016,2)),MONTH(EOMONTH(G1016,2)),15)</f>
        <v/>
      </c>
      <c r="U1016" s="27" t="n"/>
      <c r="V1016" s="27" t="n"/>
      <c r="W1016" s="210">
        <f>IF(K1016=TRUE,Q1016/I1016,Q1016)</f>
        <v/>
      </c>
      <c r="X1016" s="237">
        <f>V1016/100*S1016</f>
        <v/>
      </c>
      <c r="Y1016">
        <f>IF(AND(V1016&gt;0,N1016=V1016),TRUE,FALSE)</f>
        <v/>
      </c>
      <c r="Z1016" s="228">
        <f>IF(C1016="Einnahmen",Q1016,-Q1016)</f>
        <v/>
      </c>
    </row>
    <row r="1017">
      <c r="A1017" s="53" t="n">
        <v>2023</v>
      </c>
      <c r="B1017" s="53" t="n">
        <v>143</v>
      </c>
      <c r="C1017" s="71" t="inlineStr">
        <is>
          <t>Ausgaben</t>
        </is>
      </c>
      <c r="D1017" t="inlineStr">
        <is>
          <t>sonstige Betriebsausgaben</t>
        </is>
      </c>
      <c r="G1017" s="1" t="n">
        <v>45173</v>
      </c>
      <c r="H1017" t="inlineStr">
        <is>
          <t>Google Ireland Ltd, Gordon House, Barrow Street, Dublin 4, Ireland; VAT number: IE 6388047V</t>
        </is>
      </c>
      <c r="K1017" t="b">
        <v>0</v>
      </c>
      <c r="L1017" s="214" t="n">
        <v>10.4</v>
      </c>
      <c r="M1017" s="159" t="n">
        <v>1</v>
      </c>
      <c r="N1017" t="n">
        <v>0</v>
      </c>
      <c r="O1017" s="237">
        <f>L1017*N1017/100</f>
        <v/>
      </c>
      <c r="P1017" s="237">
        <f>M1017*O1017</f>
        <v/>
      </c>
      <c r="Q1017" s="208">
        <f>L1017*M1017</f>
        <v/>
      </c>
      <c r="R1017" s="251">
        <f>L1017+O1017</f>
        <v/>
      </c>
      <c r="S1017" s="251">
        <f>Q1017+P1017</f>
        <v/>
      </c>
      <c r="T1017" s="35">
        <f>DATE(YEAR(EOMONTH(G1017,2)),MONTH(EOMONTH(G1017,2)),15)</f>
        <v/>
      </c>
      <c r="U1017" s="27" t="n"/>
      <c r="V1017" s="27" t="n">
        <v>20</v>
      </c>
      <c r="W1017" s="210">
        <f>IF(K1017=TRUE,Q1017/I1017,Q1017)</f>
        <v/>
      </c>
      <c r="X1017" s="237">
        <f>V1017/100*S1017</f>
        <v/>
      </c>
      <c r="Y1017">
        <f>IF(AND(V1017&gt;0,N1017=V1017),TRUE,FALSE)</f>
        <v/>
      </c>
      <c r="Z1017" s="228">
        <f>IF(C1017="Einnahmen",Q1017,-Q1017)</f>
        <v/>
      </c>
    </row>
    <row r="1018">
      <c r="A1018" s="53" t="n">
        <v>2023</v>
      </c>
      <c r="B1018" s="53" t="n">
        <v>144</v>
      </c>
      <c r="C1018" s="71" t="inlineStr">
        <is>
          <t>Ausgaben</t>
        </is>
      </c>
      <c r="D1018" t="inlineStr">
        <is>
          <t>sonstige Betriebsausgaben</t>
        </is>
      </c>
      <c r="E1018" s="61" t="inlineStr">
        <is>
          <t>BELEG FEHLT</t>
        </is>
      </c>
      <c r="G1018" s="1" t="n">
        <v>45174</v>
      </c>
      <c r="H1018" t="inlineStr">
        <is>
          <t>go green energy GmbH &amp; Co KG</t>
        </is>
      </c>
      <c r="K1018">
        <f>(IF(AND(I1018&lt;&gt;"",AND(J1018="",ABS(Q1018)&gt;400)),TRUE,FALSE))</f>
        <v/>
      </c>
      <c r="L1018" s="214" t="n">
        <v>5</v>
      </c>
      <c r="M1018" s="159" t="n">
        <v>1</v>
      </c>
      <c r="N1018" t="n">
        <v>20</v>
      </c>
      <c r="O1018" s="237">
        <f>L1018*N1018/100</f>
        <v/>
      </c>
      <c r="P1018" s="237">
        <f>M1018*O1018</f>
        <v/>
      </c>
      <c r="Q1018" s="208">
        <f>L1018*M1018</f>
        <v/>
      </c>
      <c r="R1018" s="251">
        <f>L1018+O1018</f>
        <v/>
      </c>
      <c r="S1018" s="251">
        <f>Q1018+P1018</f>
        <v/>
      </c>
      <c r="T1018" s="35">
        <f>DATE(YEAR(EOMONTH(G1018,2)),MONTH(EOMONTH(G1018,2)),15)</f>
        <v/>
      </c>
      <c r="U1018" s="27" t="n"/>
      <c r="V1018" s="27" t="n"/>
      <c r="W1018" s="210">
        <f>IF(K1018=TRUE,Q1018/J1018,Q1018)</f>
        <v/>
      </c>
      <c r="X1018" s="237">
        <f>V1018/100*S1018</f>
        <v/>
      </c>
      <c r="Y1018">
        <f>IF(AND(V1018&gt;0,N1018=V1018),TRUE,FALSE)</f>
        <v/>
      </c>
      <c r="Z1018" s="228">
        <f>IF(C1018="Einnahmen",Q1018,-Q1018)</f>
        <v/>
      </c>
    </row>
    <row r="1019">
      <c r="A1019" s="53" t="n">
        <v>2023</v>
      </c>
      <c r="B1019" s="53" t="n">
        <v>145</v>
      </c>
      <c r="C1019" s="71" t="inlineStr">
        <is>
          <t>Ausgaben</t>
        </is>
      </c>
      <c r="D1019" t="inlineStr">
        <is>
          <t>Miet- und Pachtaufwand, Leasing</t>
        </is>
      </c>
      <c r="E1019" s="61" t="inlineStr">
        <is>
          <t>BELEG FEHLT</t>
        </is>
      </c>
      <c r="G1019" s="1" t="n">
        <v>45175</v>
      </c>
      <c r="H1019" t="inlineStr">
        <is>
          <t>Techem Messtechnik GmbH; Abnehmernummer 501686-0003-11-</t>
        </is>
      </c>
      <c r="K1019" t="b">
        <v>0</v>
      </c>
      <c r="L1019" s="214" t="n">
        <v>108.5</v>
      </c>
      <c r="M1019" s="159" t="n">
        <v>1</v>
      </c>
      <c r="N1019" t="n">
        <v>20</v>
      </c>
      <c r="O1019" s="237">
        <f>L1019*N1019/100</f>
        <v/>
      </c>
      <c r="P1019" s="237">
        <f>M1019*O1019</f>
        <v/>
      </c>
      <c r="Q1019" s="208">
        <f>L1019*M1019</f>
        <v/>
      </c>
      <c r="R1019" s="251">
        <f>L1019+O1019</f>
        <v/>
      </c>
      <c r="S1019" s="251">
        <f>Q1019+P1019</f>
        <v/>
      </c>
      <c r="T1019" s="35">
        <f>DATE(YEAR(EOMONTH(G1019,2)),MONTH(EOMONTH(G1019,2)),15)</f>
        <v/>
      </c>
      <c r="U1019" s="27" t="n"/>
      <c r="V1019" s="27" t="n"/>
      <c r="W1019" s="210">
        <f>IF(K1019=TRUE,Q1019/J1019,Q1019)</f>
        <v/>
      </c>
      <c r="X1019" s="237">
        <f>V1019/100*S1019</f>
        <v/>
      </c>
      <c r="Y1019">
        <f>IF(AND(V1019&gt;0,N1019=V1019),TRUE,FALSE)</f>
        <v/>
      </c>
      <c r="Z1019" s="228">
        <f>IF(C1019="Einnahmen",Q1019,-Q1019)</f>
        <v/>
      </c>
    </row>
    <row r="1020">
      <c r="A1020" s="53" t="n">
        <v>2023</v>
      </c>
      <c r="B1020" s="53" t="n">
        <v>146</v>
      </c>
      <c r="C1020" s="71" t="inlineStr">
        <is>
          <t>Ausgaben</t>
        </is>
      </c>
      <c r="D1020" t="inlineStr">
        <is>
          <t>sonstige Betriebsausgaben</t>
        </is>
      </c>
      <c r="E1020" s="61" t="inlineStr">
        <is>
          <t>BELEG FEHLT</t>
        </is>
      </c>
      <c r="G1020" s="1" t="n">
        <v>45180</v>
      </c>
      <c r="H1020" t="inlineStr">
        <is>
          <t>Wiener Netze GmbH, Erdbergstraße 236, 1110 Wien, Postfach 422; Jahresabrechnung vom 17.12.20: GUTSCHRIFT</t>
        </is>
      </c>
      <c r="K1020">
        <f>(IF(AND(I1020&lt;&gt;"",AND(J1020="",ABS(Q1020)&gt;400)),TRUE,FALSE))</f>
        <v/>
      </c>
      <c r="L1020" s="214" t="n">
        <v>12</v>
      </c>
      <c r="M1020" s="159" t="n">
        <v>1</v>
      </c>
      <c r="N1020" t="n">
        <v>20</v>
      </c>
      <c r="O1020" s="237">
        <f>L1020*N1020/100</f>
        <v/>
      </c>
      <c r="P1020" s="237">
        <f>M1020*O1020</f>
        <v/>
      </c>
      <c r="Q1020" s="208">
        <f>L1020*M1020</f>
        <v/>
      </c>
      <c r="R1020" s="251">
        <f>L1020+O1020</f>
        <v/>
      </c>
      <c r="S1020" s="251">
        <f>Q1020+P1020</f>
        <v/>
      </c>
      <c r="T1020" s="35">
        <f>DATE(YEAR(EOMONTH(G1020,2)),MONTH(EOMONTH(G1020,2)),15)</f>
        <v/>
      </c>
      <c r="U1020" s="27" t="n"/>
      <c r="V1020" s="27" t="n"/>
      <c r="W1020" s="210">
        <f>IF(K1020=TRUE,Q1020/J1020,Q1020)</f>
        <v/>
      </c>
      <c r="X1020" s="237">
        <f>V1020/100*S1020</f>
        <v/>
      </c>
      <c r="Y1020">
        <f>IF(AND(V1020&gt;0,N1020=V1020),TRUE,FALSE)</f>
        <v/>
      </c>
      <c r="Z1020" s="228">
        <f>IF(C1020="Einnahmen",Q1020,-Q1020)</f>
        <v/>
      </c>
    </row>
    <row r="1021">
      <c r="A1021" s="53" t="n">
        <v>2023</v>
      </c>
      <c r="B1021" s="53" t="n">
        <v>147</v>
      </c>
      <c r="C1021" s="71" t="inlineStr">
        <is>
          <t>Einnahmen</t>
        </is>
      </c>
      <c r="D1021" t="inlineStr">
        <is>
          <t>Waren-/Leistungserlöse</t>
        </is>
      </c>
      <c r="E1021" s="39" t="n">
        <v>12023017</v>
      </c>
      <c r="G1021" s="1" t="n">
        <v>45181</v>
      </c>
      <c r="H1021" t="inlineStr">
        <is>
          <t>Hays Österreich GmbH, Bahnhof City Wien West , Europaplatz 3/5, 1150 Wien</t>
        </is>
      </c>
      <c r="K1021">
        <f>(IF(AND(I1021&lt;&gt;"",AND(J1021="",ABS(Q1021)&gt;400)),TRUE,FALSE))</f>
        <v/>
      </c>
      <c r="L1021" s="214" t="n">
        <v>15155.63</v>
      </c>
      <c r="M1021" s="159" t="n">
        <v>1</v>
      </c>
      <c r="N1021" t="n">
        <v>20</v>
      </c>
      <c r="O1021" s="237">
        <f>L1021*N1021/100</f>
        <v/>
      </c>
      <c r="P1021" s="237">
        <f>M1021*O1021</f>
        <v/>
      </c>
      <c r="Q1021" s="208">
        <f>L1021*M1021</f>
        <v/>
      </c>
      <c r="R1021" s="251">
        <f>L1021+O1021</f>
        <v/>
      </c>
      <c r="S1021" s="251">
        <f>Q1021+P1021</f>
        <v/>
      </c>
      <c r="T1021" s="35">
        <f>DATE(YEAR(EOMONTH(G1021,2)),MONTH(EOMONTH(G1021,2)),15)</f>
        <v/>
      </c>
      <c r="U1021" s="27" t="n"/>
      <c r="V1021" s="27" t="n"/>
      <c r="W1021" s="210">
        <f>IF(K1021=TRUE,Q1021/J1021,Q1021)</f>
        <v/>
      </c>
      <c r="X1021" s="237">
        <f>V1021/100*S1021</f>
        <v/>
      </c>
      <c r="Y1021">
        <f>IF(AND(V1021&gt;0,N1021=V1021),TRUE,FALSE)</f>
        <v/>
      </c>
      <c r="Z1021" s="228">
        <f>IF(C1021="Einnahmen",Q1021,-Q1021)</f>
        <v/>
      </c>
    </row>
    <row r="1022">
      <c r="A1022" s="53" t="n">
        <v>2023</v>
      </c>
      <c r="B1022" s="53" t="n">
        <v>148</v>
      </c>
      <c r="C1022" s="71" t="inlineStr">
        <is>
          <t>Ausgaben</t>
        </is>
      </c>
      <c r="D1022" t="inlineStr">
        <is>
          <t>sonstige Betriebsausgaben</t>
        </is>
      </c>
      <c r="G1022" s="1" t="n">
        <v>45182</v>
      </c>
      <c r="H1022" t="inlineStr">
        <is>
          <t>Hetzner Online GmbH</t>
        </is>
      </c>
      <c r="K1022">
        <f>(IF(AND(I1022&lt;&gt;"",AND(J1022="",ABS(Q1022)&gt;400)),TRUE,FALSE))</f>
        <v/>
      </c>
      <c r="L1022" s="214" t="n">
        <v>52.2141</v>
      </c>
      <c r="M1022" s="159" t="n">
        <v>1</v>
      </c>
      <c r="N1022" t="n">
        <v>0</v>
      </c>
      <c r="O1022" s="237">
        <f>L1022*N1022/100</f>
        <v/>
      </c>
      <c r="P1022" s="237">
        <f>M1022*O1022</f>
        <v/>
      </c>
      <c r="Q1022" s="208">
        <f>L1022*M1022</f>
        <v/>
      </c>
      <c r="R1022" s="251">
        <f>L1022+O1022</f>
        <v/>
      </c>
      <c r="S1022" s="251">
        <f>Q1022+P1022</f>
        <v/>
      </c>
      <c r="T1022" s="35">
        <f>DATE(YEAR(EOMONTH(G1022,2)),MONTH(EOMONTH(G1022,2)),15)</f>
        <v/>
      </c>
      <c r="U1022" s="27" t="n"/>
      <c r="V1022" s="27" t="n">
        <v>20</v>
      </c>
      <c r="W1022" s="210">
        <f>IF(K1022=TRUE,Q1022/J1022,Q1022)</f>
        <v/>
      </c>
      <c r="X1022" s="237">
        <f>V1022/100*S1022</f>
        <v/>
      </c>
      <c r="Y1022">
        <f>IF(AND(V1022&gt;0,N1022=V1022),TRUE,FALSE)</f>
        <v/>
      </c>
      <c r="Z1022" s="228">
        <f>IF(C1022="Einnahmen",Q1022,-Q1022)</f>
        <v/>
      </c>
    </row>
    <row r="1023">
      <c r="A1023" s="53" t="n">
        <v>2023</v>
      </c>
      <c r="B1023" s="53" t="n">
        <v>149</v>
      </c>
      <c r="C1023" s="71" t="inlineStr">
        <is>
          <t>Ausgaben</t>
        </is>
      </c>
      <c r="D1023" t="inlineStr">
        <is>
          <t>Personalaufwand</t>
        </is>
      </c>
      <c r="E1023" s="9" t="inlineStr">
        <is>
          <t>siehe 2022-140</t>
        </is>
      </c>
      <c r="G1023" s="1" t="n">
        <v>45184</v>
      </c>
      <c r="H1023" t="inlineStr">
        <is>
          <t>Honorar Eva Jaros-Kolbitsch</t>
        </is>
      </c>
      <c r="K1023">
        <f>(IF(AND(I1023&lt;&gt;"",AND(J1023="",ABS(Q1023)&gt;400)),TRUE,FALSE))</f>
        <v/>
      </c>
      <c r="L1023" s="214" t="n">
        <v>365</v>
      </c>
      <c r="M1023" s="159" t="n">
        <v>1</v>
      </c>
      <c r="N1023" t="n">
        <v>0</v>
      </c>
      <c r="O1023" s="237">
        <f>L1023*N1023/100</f>
        <v/>
      </c>
      <c r="P1023" s="237">
        <f>M1023*O1023</f>
        <v/>
      </c>
      <c r="Q1023" s="208">
        <f>L1023*M1023</f>
        <v/>
      </c>
      <c r="R1023" s="251">
        <f>L1023+O1023</f>
        <v/>
      </c>
      <c r="S1023" s="251">
        <f>Q1023+P1023</f>
        <v/>
      </c>
      <c r="T1023" s="35">
        <f>DATE(YEAR(EOMONTH(G1023,2)),MONTH(EOMONTH(G1023,2)),15)</f>
        <v/>
      </c>
      <c r="U1023" s="27" t="n"/>
      <c r="V1023" s="27" t="n"/>
      <c r="W1023" s="210">
        <f>IF(K1023=TRUE,Q1023/J1023,Q1023)</f>
        <v/>
      </c>
      <c r="X1023" s="237">
        <f>V1023/100*S1023</f>
        <v/>
      </c>
      <c r="Y1023">
        <f>IF(AND(V1023&gt;0,N1023=V1023),TRUE,FALSE)</f>
        <v/>
      </c>
      <c r="Z1023" s="228">
        <f>IF(C1023="Einnahmen",Q1023,-Q1023)</f>
        <v/>
      </c>
    </row>
    <row r="1024">
      <c r="A1024" s="53" t="n">
        <v>2023</v>
      </c>
      <c r="B1024" s="53" t="n">
        <v>150</v>
      </c>
      <c r="C1024" s="71" t="inlineStr">
        <is>
          <t>Ausgaben</t>
        </is>
      </c>
      <c r="D1024" t="inlineStr">
        <is>
          <t>sonstige Betriebsausgaben</t>
        </is>
      </c>
      <c r="E1024" s="1" t="n"/>
      <c r="G1024" s="1" t="n">
        <v>45189</v>
      </c>
      <c r="H1024" t="inlineStr">
        <is>
          <t>Microsoft Ireland Operations Ltd. One Microsoft Place, South County, Business Park, Leopardstown, Dublin 18, D18 P521, Ireland</t>
        </is>
      </c>
      <c r="K1024">
        <f>(IF(AND(I1024&lt;&gt;"",AND(J1024="",ABS(Q1024)&gt;400)),TRUE,FALSE))</f>
        <v/>
      </c>
      <c r="L1024" s="214" t="n">
        <v>10.5</v>
      </c>
      <c r="M1024" s="159" t="n">
        <v>1</v>
      </c>
      <c r="N1024" t="n">
        <v>0</v>
      </c>
      <c r="O1024" s="237">
        <f>L1024*N1024/100</f>
        <v/>
      </c>
      <c r="P1024" s="237">
        <f>M1024*O1024</f>
        <v/>
      </c>
      <c r="Q1024" s="208">
        <f>L1024*M1024</f>
        <v/>
      </c>
      <c r="R1024" s="251">
        <f>L1024+O1024</f>
        <v/>
      </c>
      <c r="S1024" s="251">
        <f>Q1024+P1024</f>
        <v/>
      </c>
      <c r="T1024" s="35">
        <f>DATE(YEAR(EOMONTH(G1024,2)),MONTH(EOMONTH(G1024,2)),15)</f>
        <v/>
      </c>
      <c r="U1024" s="27" t="n"/>
      <c r="V1024" s="27" t="n">
        <v>20</v>
      </c>
      <c r="W1024" s="210">
        <f>IF(K1024=TRUE,Q1024/J1024,Q1024)</f>
        <v/>
      </c>
      <c r="X1024" s="237">
        <f>V1024/100*S1024</f>
        <v/>
      </c>
      <c r="Y1024">
        <f>IF(AND(V1024&gt;0,N1024=V1024),TRUE,FALSE)</f>
        <v/>
      </c>
      <c r="Z1024" s="228">
        <f>IF(C1024="Einnahmen",Q1024,-Q1024)</f>
        <v/>
      </c>
    </row>
    <row r="1025">
      <c r="A1025" s="53" t="n">
        <v>2023</v>
      </c>
      <c r="B1025" s="53" t="n">
        <v>151</v>
      </c>
      <c r="C1025" s="71" t="inlineStr">
        <is>
          <t>Ausgaben</t>
        </is>
      </c>
      <c r="D1025" t="inlineStr">
        <is>
          <t>Telefon/Internet</t>
        </is>
      </c>
      <c r="E1025" s="131" t="n"/>
      <c r="G1025" s="1" t="n">
        <v>45188</v>
      </c>
      <c r="H1025" t="inlineStr">
        <is>
          <t>Magenta: T-Mobile Austria GmbH, A-1120 Wien, PF 47</t>
        </is>
      </c>
      <c r="K1025">
        <f>(IF(AND(I1025&lt;&gt;"",AND(J1025="",ABS(Q1025)&gt;400)),TRUE,FALSE))</f>
        <v/>
      </c>
      <c r="L1025" s="214" t="n">
        <v>31.92</v>
      </c>
      <c r="M1025" s="159" t="n">
        <v>1</v>
      </c>
      <c r="N1025" t="n">
        <v>20</v>
      </c>
      <c r="O1025" s="237">
        <f>L1025*N1025/100</f>
        <v/>
      </c>
      <c r="P1025" s="237">
        <f>M1025*O1025</f>
        <v/>
      </c>
      <c r="Q1025" s="208">
        <f>L1025*M1025</f>
        <v/>
      </c>
      <c r="R1025" s="251">
        <f>L1025+O1025</f>
        <v/>
      </c>
      <c r="S1025" s="251">
        <f>Q1025+P1025</f>
        <v/>
      </c>
      <c r="T1025" s="35">
        <f>DATE(YEAR(EOMONTH(G1025,2)),MONTH(EOMONTH(G1025,2)),15)</f>
        <v/>
      </c>
      <c r="U1025" s="27" t="n"/>
      <c r="V1025" s="27" t="n"/>
      <c r="W1025" s="210">
        <f>IF(K1025=TRUE,Q1025/I1025,Q1025)</f>
        <v/>
      </c>
      <c r="X1025" s="237">
        <f>V1025/100*S1025</f>
        <v/>
      </c>
      <c r="Y1025">
        <f>IF(AND(V1025&gt;0,N1025=V1025),TRUE,FALSE)</f>
        <v/>
      </c>
      <c r="Z1025" s="228">
        <f>IF(C1025="Einnahmen",Q1025,-Q1025)</f>
        <v/>
      </c>
    </row>
    <row r="1026">
      <c r="A1026" s="53" t="n">
        <v>2023</v>
      </c>
      <c r="B1026" s="53" t="n">
        <v>152</v>
      </c>
      <c r="C1026" s="71" t="inlineStr">
        <is>
          <t>Ausgaben</t>
        </is>
      </c>
      <c r="D1026" t="inlineStr">
        <is>
          <t>sonstige Betriebsausgaben</t>
        </is>
      </c>
      <c r="G1026" s="1" t="n">
        <v>45201</v>
      </c>
      <c r="H1026" t="inlineStr">
        <is>
          <t>Google Ireland Ltd, Gordon House, Barrow Street, Dublin 4, Ireland; VAT number: IE 6388047V</t>
        </is>
      </c>
      <c r="K1026" t="b">
        <v>0</v>
      </c>
      <c r="L1026" s="214" t="n">
        <v>10.4</v>
      </c>
      <c r="M1026" s="159" t="n">
        <v>1</v>
      </c>
      <c r="N1026" t="n">
        <v>0</v>
      </c>
      <c r="O1026" s="237">
        <f>L1026*N1026/100</f>
        <v/>
      </c>
      <c r="P1026" s="237">
        <f>M1026*O1026</f>
        <v/>
      </c>
      <c r="Q1026" s="208">
        <f>L1026*M1026</f>
        <v/>
      </c>
      <c r="R1026" s="251">
        <f>L1026+O1026</f>
        <v/>
      </c>
      <c r="S1026" s="251">
        <f>Q1026+P1026</f>
        <v/>
      </c>
      <c r="T1026" s="35">
        <f>DATE(YEAR(EOMONTH(G1026,2)),MONTH(EOMONTH(G1026,2)),15)</f>
        <v/>
      </c>
      <c r="U1026" s="27" t="n"/>
      <c r="V1026" s="27" t="n">
        <v>20</v>
      </c>
      <c r="W1026" s="210">
        <f>IF(K1026=TRUE,Q1026/I1026,Q1026)</f>
        <v/>
      </c>
      <c r="X1026" s="237">
        <f>V1026/100*S1026</f>
        <v/>
      </c>
      <c r="Y1026">
        <f>IF(AND(V1026&gt;0,N1026=V1026),TRUE,FALSE)</f>
        <v/>
      </c>
      <c r="Z1026" s="228">
        <f>IF(C1026="Einnahmen",Q1026,-Q1026)</f>
        <v/>
      </c>
    </row>
    <row r="1027">
      <c r="A1027" s="53" t="n">
        <v>2023</v>
      </c>
      <c r="B1027" s="53" t="n">
        <v>153</v>
      </c>
      <c r="C1027" s="71" t="inlineStr">
        <is>
          <t>Ausgaben</t>
        </is>
      </c>
      <c r="D1027" t="inlineStr">
        <is>
          <t>Reise- und Fahrtspesen inkl. Kilometergeld und Diäten</t>
        </is>
      </c>
      <c r="E1027" s="131" t="n"/>
      <c r="G1027" s="1" t="n">
        <v>45201</v>
      </c>
      <c r="H1027" t="inlineStr">
        <is>
          <t>car2go Österreich GmbH, Hintere Zollamtstraße 9, 1030 Wien</t>
        </is>
      </c>
      <c r="K1027" t="b">
        <v>0</v>
      </c>
      <c r="L1027" s="214" t="n">
        <v>12.25</v>
      </c>
      <c r="M1027" s="159" t="n">
        <v>1</v>
      </c>
      <c r="N1027" t="n">
        <v>20</v>
      </c>
      <c r="O1027" s="237">
        <f>L1027*N1027/100</f>
        <v/>
      </c>
      <c r="P1027" s="237">
        <f>M1027*O1027</f>
        <v/>
      </c>
      <c r="Q1027" s="208">
        <f>L1027*M1027</f>
        <v/>
      </c>
      <c r="R1027" s="251">
        <f>L1027+O1027</f>
        <v/>
      </c>
      <c r="S1027" s="251">
        <f>Q1027+P1027</f>
        <v/>
      </c>
      <c r="T1027" s="35">
        <f>DATE(YEAR(EOMONTH(G1027,2)),MONTH(EOMONTH(G1027,2)),15)</f>
        <v/>
      </c>
      <c r="U1027" s="27" t="n"/>
      <c r="V1027" s="27" t="n"/>
      <c r="W1027" s="210">
        <f>IF(K1027=TRUE,Q1027/J1027,Q1027)</f>
        <v/>
      </c>
      <c r="X1027" s="237">
        <f>V1027/100*S1027</f>
        <v/>
      </c>
      <c r="Y1027">
        <f>IF(AND(V1027&gt;0,N1027=V1027),TRUE,FALSE)</f>
        <v/>
      </c>
      <c r="Z1027" s="228">
        <f>IF(C1027="Einnahmen",Q1027,-Q1027)</f>
        <v/>
      </c>
    </row>
    <row r="1028">
      <c r="A1028" s="53" t="n">
        <v>2023</v>
      </c>
      <c r="B1028" s="53" t="n">
        <v>154</v>
      </c>
      <c r="C1028" s="71" t="inlineStr">
        <is>
          <t>Ausgaben</t>
        </is>
      </c>
      <c r="D1028" t="inlineStr">
        <is>
          <t>Miet- und Pachtaufwand, Leasing</t>
        </is>
      </c>
      <c r="G1028" s="1" t="n">
        <v>45201</v>
      </c>
      <c r="H1028" t="inlineStr">
        <is>
          <t>Bontus Immobilienverwaltung GmbH, 1010 Wien, Franz Josefs Kai 65</t>
        </is>
      </c>
      <c r="K1028" t="b">
        <v>0</v>
      </c>
      <c r="L1028" s="214">
        <f>213.48/1.2</f>
        <v/>
      </c>
      <c r="M1028" s="159" t="n">
        <v>1</v>
      </c>
      <c r="N1028" t="n">
        <v>20</v>
      </c>
      <c r="O1028" s="237">
        <f>L1028*N1028/100</f>
        <v/>
      </c>
      <c r="P1028" s="237">
        <f>M1028*O1028</f>
        <v/>
      </c>
      <c r="Q1028" s="208">
        <f>L1028*M1028</f>
        <v/>
      </c>
      <c r="R1028" s="251">
        <f>L1028+O1028</f>
        <v/>
      </c>
      <c r="S1028" s="251">
        <f>Q1028+P1028</f>
        <v/>
      </c>
      <c r="T1028" s="35">
        <f>DATE(YEAR(EOMONTH(G1028,2)),MONTH(EOMONTH(G1028,2)),15)</f>
        <v/>
      </c>
      <c r="U1028" s="27" t="n"/>
      <c r="V1028" s="27" t="n"/>
      <c r="W1028" s="210">
        <f>IF(K1028=TRUE,Q1028/J1028,Q1028)</f>
        <v/>
      </c>
      <c r="X1028" s="237">
        <f>V1028/100*S1028</f>
        <v/>
      </c>
      <c r="Y1028">
        <f>IF(AND(V1028&gt;0,N1028=V1028),TRUE,FALSE)</f>
        <v/>
      </c>
      <c r="Z1028" s="228">
        <f>IF(C1028="Einnahmen",Q1028,-Q1028)</f>
        <v/>
      </c>
    </row>
    <row r="1029">
      <c r="A1029" s="53" t="n">
        <v>2023</v>
      </c>
      <c r="B1029" s="53" t="n">
        <v>155</v>
      </c>
      <c r="C1029" s="71" t="inlineStr">
        <is>
          <t>Ausgaben</t>
        </is>
      </c>
      <c r="D1029" t="inlineStr">
        <is>
          <t>Miet- und Pachtaufwand, Leasing</t>
        </is>
      </c>
      <c r="G1029" s="1" t="n">
        <v>45204</v>
      </c>
      <c r="H1029" t="inlineStr">
        <is>
          <t>Techem Messtechnik GmbH; Abnehmernummer 501686-0003-11-</t>
        </is>
      </c>
      <c r="K1029" t="b">
        <v>0</v>
      </c>
      <c r="L1029" s="214" t="n">
        <v>108.5</v>
      </c>
      <c r="M1029" s="159" t="n">
        <v>1</v>
      </c>
      <c r="N1029" t="n">
        <v>20</v>
      </c>
      <c r="O1029" s="237">
        <f>L1029*N1029/100</f>
        <v/>
      </c>
      <c r="P1029" s="237">
        <f>M1029*O1029</f>
        <v/>
      </c>
      <c r="Q1029" s="208">
        <f>L1029*M1029</f>
        <v/>
      </c>
      <c r="R1029" s="251">
        <f>L1029+O1029</f>
        <v/>
      </c>
      <c r="S1029" s="251">
        <f>Q1029+P1029</f>
        <v/>
      </c>
      <c r="T1029" s="35">
        <f>DATE(YEAR(EOMONTH(G1029,2)),MONTH(EOMONTH(G1029,2)),15)</f>
        <v/>
      </c>
      <c r="U1029" s="27" t="n"/>
      <c r="V1029" s="27" t="n"/>
      <c r="W1029" s="210">
        <f>IF(K1029=TRUE,Q1029/J1029,Q1029)</f>
        <v/>
      </c>
      <c r="X1029" s="237">
        <f>V1029/100*S1029</f>
        <v/>
      </c>
      <c r="Y1029">
        <f>IF(AND(V1029&gt;0,N1029=V1029),TRUE,FALSE)</f>
        <v/>
      </c>
      <c r="Z1029" s="228">
        <f>IF(C1029="Einnahmen",Q1029,-Q1029)</f>
        <v/>
      </c>
    </row>
    <row r="1030">
      <c r="A1030" s="53" t="n">
        <v>2023</v>
      </c>
      <c r="B1030" s="53" t="n">
        <v>156</v>
      </c>
      <c r="C1030" s="71" t="inlineStr">
        <is>
          <t>Ausgaben</t>
        </is>
      </c>
      <c r="D1030" t="inlineStr">
        <is>
          <t>Telefon/Internet</t>
        </is>
      </c>
      <c r="G1030" s="1" t="n">
        <v>45202</v>
      </c>
      <c r="H1030" t="inlineStr">
        <is>
          <t>Hutchison Drei Austria GmbH, Brünner Straße 52, 1210 Wien, Österreich</t>
        </is>
      </c>
      <c r="K1030">
        <f>(IF(AND(I1030&lt;&gt;"",AND(J1030="",ABS(Q1030)&gt;400)),TRUE,FALSE))</f>
        <v/>
      </c>
      <c r="L1030" s="214" t="n">
        <v>10.75</v>
      </c>
      <c r="M1030" s="159" t="n">
        <v>1</v>
      </c>
      <c r="N1030" t="n">
        <v>20</v>
      </c>
      <c r="O1030" s="237">
        <f>L1030*N1030/100</f>
        <v/>
      </c>
      <c r="P1030" s="237">
        <f>M1030*O1030</f>
        <v/>
      </c>
      <c r="Q1030" s="208">
        <f>L1030*M1030</f>
        <v/>
      </c>
      <c r="R1030" s="251">
        <f>L1030+O1030</f>
        <v/>
      </c>
      <c r="S1030" s="251">
        <f>Q1030+P1030</f>
        <v/>
      </c>
      <c r="T1030" s="35">
        <f>DATE(YEAR(EOMONTH(G1030,2)),MONTH(EOMONTH(G1030,2)),15)</f>
        <v/>
      </c>
      <c r="U1030" s="27" t="n"/>
      <c r="V1030" s="27" t="n"/>
      <c r="W1030" s="210">
        <f>IF(K1030=TRUE,Q1030/I1030,Q1030)</f>
        <v/>
      </c>
      <c r="X1030" s="237">
        <f>V1030/100*S1030</f>
        <v/>
      </c>
      <c r="Y1030">
        <f>IF(AND(V1030&gt;0,N1030=V1030),TRUE,FALSE)</f>
        <v/>
      </c>
      <c r="Z1030" s="228">
        <f>IF(C1030="Einnahmen",Q1030,-Q1030)</f>
        <v/>
      </c>
    </row>
    <row r="1031">
      <c r="A1031" s="53" t="n">
        <v>2023</v>
      </c>
      <c r="B1031" s="53" t="n">
        <v>157</v>
      </c>
      <c r="C1031" s="71" t="inlineStr">
        <is>
          <t>Ausgaben</t>
        </is>
      </c>
      <c r="D1031" t="inlineStr">
        <is>
          <t>sonstige Betriebsausgaben</t>
        </is>
      </c>
      <c r="E1031" s="61" t="inlineStr">
        <is>
          <t>BELEG FEHLT</t>
        </is>
      </c>
      <c r="G1031" s="1" t="n">
        <v>45204</v>
      </c>
      <c r="H1031" t="inlineStr">
        <is>
          <t>go green energy GmbH &amp; Co KG</t>
        </is>
      </c>
      <c r="K1031">
        <f>(IF(AND(I1031&lt;&gt;"",AND(J1031="",ABS(Q1031)&gt;400)),TRUE,FALSE))</f>
        <v/>
      </c>
      <c r="L1031" s="214" t="n">
        <v>5</v>
      </c>
      <c r="M1031" s="159" t="n">
        <v>1</v>
      </c>
      <c r="N1031" t="n">
        <v>20</v>
      </c>
      <c r="O1031" s="237">
        <f>L1031*N1031/100</f>
        <v/>
      </c>
      <c r="P1031" s="237">
        <f>M1031*O1031</f>
        <v/>
      </c>
      <c r="Q1031" s="208">
        <f>L1031*M1031</f>
        <v/>
      </c>
      <c r="R1031" s="251">
        <f>L1031+O1031</f>
        <v/>
      </c>
      <c r="S1031" s="251">
        <f>Q1031+P1031</f>
        <v/>
      </c>
      <c r="T1031" s="35">
        <f>DATE(YEAR(EOMONTH(G1031,2)),MONTH(EOMONTH(G1031,2)),15)</f>
        <v/>
      </c>
      <c r="U1031" s="27" t="n"/>
      <c r="V1031" s="27" t="n"/>
      <c r="W1031" s="210">
        <f>IF(K1031=TRUE,Q1031/J1031,Q1031)</f>
        <v/>
      </c>
      <c r="X1031" s="237">
        <f>V1031/100*S1031</f>
        <v/>
      </c>
      <c r="Y1031">
        <f>IF(AND(V1031&gt;0,N1031=V1031),TRUE,FALSE)</f>
        <v/>
      </c>
      <c r="Z1031" s="228">
        <f>IF(C1031="Einnahmen",Q1031,-Q1031)</f>
        <v/>
      </c>
    </row>
    <row r="1032">
      <c r="A1032" s="53" t="n">
        <v>2023</v>
      </c>
      <c r="B1032" s="53" t="n">
        <v>158</v>
      </c>
      <c r="C1032" s="71" t="inlineStr">
        <is>
          <t>Ausgaben</t>
        </is>
      </c>
      <c r="D1032" t="inlineStr">
        <is>
          <t>sonstige Betriebsausgaben</t>
        </is>
      </c>
      <c r="E1032" s="61" t="inlineStr">
        <is>
          <t>BELEG FEHLT</t>
        </is>
      </c>
      <c r="G1032" s="1" t="n">
        <v>45209</v>
      </c>
      <c r="H1032" t="inlineStr">
        <is>
          <t>Wiener Netze GmbH, Erdbergstraße 236, 1110 Wien, Postfach 422; Jahresabrechnung vom 17.12.20: GUTSCHRIFT</t>
        </is>
      </c>
      <c r="K1032">
        <f>(IF(AND(I1032&lt;&gt;"",AND(J1032="",ABS(Q1032)&gt;400)),TRUE,FALSE))</f>
        <v/>
      </c>
      <c r="L1032" s="214" t="n">
        <v>12</v>
      </c>
      <c r="M1032" s="159" t="n">
        <v>1</v>
      </c>
      <c r="N1032" t="n">
        <v>20</v>
      </c>
      <c r="O1032" s="237">
        <f>L1032*N1032/100</f>
        <v/>
      </c>
      <c r="P1032" s="237">
        <f>M1032*O1032</f>
        <v/>
      </c>
      <c r="Q1032" s="208">
        <f>L1032*M1032</f>
        <v/>
      </c>
      <c r="R1032" s="251">
        <f>L1032+O1032</f>
        <v/>
      </c>
      <c r="S1032" s="251">
        <f>Q1032+P1032</f>
        <v/>
      </c>
      <c r="T1032" s="35">
        <f>DATE(YEAR(EOMONTH(G1032,2)),MONTH(EOMONTH(G1032,2)),15)</f>
        <v/>
      </c>
      <c r="U1032" s="27" t="n"/>
      <c r="V1032" s="27" t="n"/>
      <c r="W1032" s="210">
        <f>IF(K1032=TRUE,Q1032/J1032,Q1032)</f>
        <v/>
      </c>
      <c r="X1032" s="237">
        <f>V1032/100*S1032</f>
        <v/>
      </c>
      <c r="Y1032">
        <f>IF(AND(V1032&gt;0,N1032=V1032),TRUE,FALSE)</f>
        <v/>
      </c>
      <c r="Z1032" s="228">
        <f>IF(C1032="Einnahmen",Q1032,-Q1032)</f>
        <v/>
      </c>
    </row>
    <row r="1033">
      <c r="A1033" s="53" t="n">
        <v>2023</v>
      </c>
      <c r="B1033" s="53" t="n">
        <v>159</v>
      </c>
      <c r="C1033" s="71" t="inlineStr">
        <is>
          <t>Ausgaben</t>
        </is>
      </c>
      <c r="D1033" t="inlineStr">
        <is>
          <t>sonstige Betriebsausgaben</t>
        </is>
      </c>
      <c r="G1033" s="1" t="n">
        <v>45211</v>
      </c>
      <c r="H1033" t="inlineStr">
        <is>
          <t>Hetzner Online GmbH</t>
        </is>
      </c>
      <c r="K1033">
        <f>(IF(AND(I1033&lt;&gt;"",AND(J1033="",ABS(Q1033)&gt;400)),TRUE,FALSE))</f>
        <v/>
      </c>
      <c r="L1033" s="214" t="n">
        <v>52.2141</v>
      </c>
      <c r="M1033" s="159" t="n">
        <v>1</v>
      </c>
      <c r="N1033" t="n">
        <v>0</v>
      </c>
      <c r="O1033" s="237">
        <f>L1033*N1033/100</f>
        <v/>
      </c>
      <c r="P1033" s="237">
        <f>M1033*O1033</f>
        <v/>
      </c>
      <c r="Q1033" s="208">
        <f>L1033*M1033</f>
        <v/>
      </c>
      <c r="R1033" s="251">
        <f>L1033+O1033</f>
        <v/>
      </c>
      <c r="S1033" s="251">
        <f>Q1033+P1033</f>
        <v/>
      </c>
      <c r="T1033" s="35">
        <f>DATE(YEAR(EOMONTH(G1033,2)),MONTH(EOMONTH(G1033,2)),15)</f>
        <v/>
      </c>
      <c r="U1033" s="27" t="n"/>
      <c r="V1033" s="27" t="n">
        <v>20</v>
      </c>
      <c r="W1033" s="210">
        <f>IF(K1033=TRUE,Q1033/J1033,Q1033)</f>
        <v/>
      </c>
      <c r="X1033" s="237">
        <f>V1033/100*S1033</f>
        <v/>
      </c>
      <c r="Y1033">
        <f>IF(AND(V1033&gt;0,N1033=V1033),TRUE,FALSE)</f>
        <v/>
      </c>
      <c r="Z1033" s="228">
        <f>IF(C1033="Einnahmen",Q1033,-Q1033)</f>
        <v/>
      </c>
    </row>
    <row r="1034">
      <c r="A1034" s="53" t="n">
        <v>2023</v>
      </c>
      <c r="B1034" s="53" t="n">
        <v>160</v>
      </c>
      <c r="C1034" s="71" t="inlineStr">
        <is>
          <t>Ausgaben</t>
        </is>
      </c>
      <c r="D1034" t="inlineStr">
        <is>
          <t>Personalaufwand</t>
        </is>
      </c>
      <c r="E1034" s="9" t="inlineStr">
        <is>
          <t>siehe 2022-140</t>
        </is>
      </c>
      <c r="G1034" s="1" t="n">
        <v>45215</v>
      </c>
      <c r="H1034" t="inlineStr">
        <is>
          <t>Honorar Eva Jaros-Kolbitsch</t>
        </is>
      </c>
      <c r="K1034">
        <f>(IF(AND(I1034&lt;&gt;"",AND(J1034="",ABS(Q1034)&gt;400)),TRUE,FALSE))</f>
        <v/>
      </c>
      <c r="L1034" s="214" t="n">
        <v>365</v>
      </c>
      <c r="M1034" s="159" t="n">
        <v>1</v>
      </c>
      <c r="N1034" t="n">
        <v>0</v>
      </c>
      <c r="O1034" s="237">
        <f>L1034*N1034/100</f>
        <v/>
      </c>
      <c r="P1034" s="237">
        <f>M1034*O1034</f>
        <v/>
      </c>
      <c r="Q1034" s="208">
        <f>L1034*M1034</f>
        <v/>
      </c>
      <c r="R1034" s="251">
        <f>L1034+O1034</f>
        <v/>
      </c>
      <c r="S1034" s="251">
        <f>Q1034+P1034</f>
        <v/>
      </c>
      <c r="T1034" s="35">
        <f>DATE(YEAR(EOMONTH(G1034,2)),MONTH(EOMONTH(G1034,2)),15)</f>
        <v/>
      </c>
      <c r="U1034" s="27" t="n"/>
      <c r="V1034" s="27" t="n"/>
      <c r="W1034" s="210">
        <f>IF(K1034=TRUE,Q1034/J1034,Q1034)</f>
        <v/>
      </c>
      <c r="X1034" s="237">
        <f>V1034/100*S1034</f>
        <v/>
      </c>
      <c r="Y1034">
        <f>IF(AND(V1034&gt;0,N1034=V1034),TRUE,FALSE)</f>
        <v/>
      </c>
      <c r="Z1034" s="228">
        <f>IF(C1034="Einnahmen",Q1034,-Q1034)</f>
        <v/>
      </c>
    </row>
    <row r="1035">
      <c r="A1035" s="53" t="n">
        <v>2023</v>
      </c>
      <c r="B1035" s="53" t="n">
        <v>161</v>
      </c>
      <c r="C1035" s="71" t="inlineStr">
        <is>
          <t>Ausgaben</t>
        </is>
      </c>
      <c r="D1035" t="inlineStr">
        <is>
          <t>sonstige Betriebsausgaben</t>
        </is>
      </c>
      <c r="E1035" s="1" t="n"/>
      <c r="G1035" s="1" t="n">
        <v>45219</v>
      </c>
      <c r="H1035" t="inlineStr">
        <is>
          <t>Microsoft Ireland Operations Ltd. One Microsoft Place, South County, Business Park, Leopardstown, Dublin 18, D18 P521, Ireland</t>
        </is>
      </c>
      <c r="K1035">
        <f>(IF(AND(I1035&lt;&gt;"",AND(J1035="",ABS(Q1035)&gt;400)),TRUE,FALSE))</f>
        <v/>
      </c>
      <c r="L1035" s="214" t="n">
        <v>10.5</v>
      </c>
      <c r="M1035" s="159" t="n">
        <v>1</v>
      </c>
      <c r="N1035" t="n">
        <v>0</v>
      </c>
      <c r="O1035" s="237">
        <f>L1035*N1035/100</f>
        <v/>
      </c>
      <c r="P1035" s="237">
        <f>M1035*O1035</f>
        <v/>
      </c>
      <c r="Q1035" s="208">
        <f>L1035*M1035</f>
        <v/>
      </c>
      <c r="R1035" s="251">
        <f>L1035+O1035</f>
        <v/>
      </c>
      <c r="S1035" s="251">
        <f>Q1035+P1035</f>
        <v/>
      </c>
      <c r="T1035" s="35">
        <f>DATE(YEAR(EOMONTH(G1035,2)),MONTH(EOMONTH(G1035,2)),15)</f>
        <v/>
      </c>
      <c r="U1035" s="27" t="n"/>
      <c r="V1035" s="27" t="n">
        <v>20</v>
      </c>
      <c r="W1035" s="210">
        <f>IF(K1035=TRUE,Q1035/J1035,Q1035)</f>
        <v/>
      </c>
      <c r="X1035" s="237">
        <f>V1035/100*S1035</f>
        <v/>
      </c>
      <c r="Y1035">
        <f>IF(AND(V1035&gt;0,N1035=V1035),TRUE,FALSE)</f>
        <v/>
      </c>
      <c r="Z1035" s="228">
        <f>IF(C1035="Einnahmen",Q1035,-Q1035)</f>
        <v/>
      </c>
    </row>
    <row r="1036">
      <c r="A1036" s="53" t="n">
        <v>2023</v>
      </c>
      <c r="B1036" s="53" t="n">
        <v>162</v>
      </c>
      <c r="C1036" s="71" t="inlineStr">
        <is>
          <t>Ausgaben</t>
        </is>
      </c>
      <c r="D1036" t="inlineStr">
        <is>
          <t>Telefon/Internet</t>
        </is>
      </c>
      <c r="E1036" s="131" t="n"/>
      <c r="G1036" s="1" t="n">
        <v>45219</v>
      </c>
      <c r="H1036" t="inlineStr">
        <is>
          <t>Magenta: T-Mobile Austria GmbH, A-1120 Wien, PF 47</t>
        </is>
      </c>
      <c r="K1036">
        <f>(IF(AND(I1036&lt;&gt;"",AND(J1036="",ABS(Q1036)&gt;400)),TRUE,FALSE))</f>
        <v/>
      </c>
      <c r="L1036" s="214" t="n">
        <v>31.92</v>
      </c>
      <c r="M1036" s="159" t="n">
        <v>1</v>
      </c>
      <c r="N1036" t="n">
        <v>20</v>
      </c>
      <c r="O1036" s="237">
        <f>L1036*N1036/100</f>
        <v/>
      </c>
      <c r="P1036" s="237">
        <f>M1036*O1036</f>
        <v/>
      </c>
      <c r="Q1036" s="208">
        <f>L1036*M1036</f>
        <v/>
      </c>
      <c r="R1036" s="251">
        <f>L1036+O1036</f>
        <v/>
      </c>
      <c r="S1036" s="251">
        <f>Q1036+P1036</f>
        <v/>
      </c>
      <c r="T1036" s="35">
        <f>DATE(YEAR(EOMONTH(G1036,2)),MONTH(EOMONTH(G1036,2)),15)</f>
        <v/>
      </c>
      <c r="U1036" s="27" t="n"/>
      <c r="V1036" s="27" t="n"/>
      <c r="W1036" s="210">
        <f>IF(K1036=TRUE,Q1036/I1036,Q1036)</f>
        <v/>
      </c>
      <c r="X1036" s="237">
        <f>V1036/100*S1036</f>
        <v/>
      </c>
      <c r="Y1036">
        <f>IF(AND(V1036&gt;0,N1036=V1036),TRUE,FALSE)</f>
        <v/>
      </c>
      <c r="Z1036" s="228">
        <f>IF(C1036="Einnahmen",Q1036,-Q1036)</f>
        <v/>
      </c>
    </row>
    <row r="1037">
      <c r="A1037" s="53" t="n">
        <v>2023</v>
      </c>
      <c r="B1037" s="53" t="n">
        <v>163</v>
      </c>
      <c r="C1037" s="71" t="inlineStr">
        <is>
          <t>Einnahmen</t>
        </is>
      </c>
      <c r="D1037" t="inlineStr">
        <is>
          <t>Waren-/Leistungserlöse</t>
        </is>
      </c>
      <c r="E1037" s="39" t="n">
        <v>12023018</v>
      </c>
      <c r="G1037" s="1" t="n">
        <v>45219</v>
      </c>
      <c r="H1037" t="inlineStr">
        <is>
          <t>Hays Österreich GmbH, Bahnhof City Wien West , Europaplatz 3/5, 1150 Wien</t>
        </is>
      </c>
      <c r="K1037">
        <f>(IF(AND(I1037&lt;&gt;"",AND(J1037="",ABS(Q1037)&gt;400)),TRUE,FALSE))</f>
        <v/>
      </c>
      <c r="L1037" s="214" t="n">
        <v>11969.63</v>
      </c>
      <c r="M1037" s="159" t="n">
        <v>1</v>
      </c>
      <c r="N1037" t="n">
        <v>20</v>
      </c>
      <c r="O1037" s="237">
        <f>L1037*N1037/100</f>
        <v/>
      </c>
      <c r="P1037" s="237">
        <f>M1037*O1037</f>
        <v/>
      </c>
      <c r="Q1037" s="208">
        <f>L1037*M1037</f>
        <v/>
      </c>
      <c r="R1037" s="251">
        <f>L1037+O1037</f>
        <v/>
      </c>
      <c r="S1037" s="251">
        <f>Q1037+P1037</f>
        <v/>
      </c>
      <c r="T1037" s="35">
        <f>DATE(YEAR(EOMONTH(G1037,2)),MONTH(EOMONTH(G1037,2)),15)</f>
        <v/>
      </c>
      <c r="U1037" s="27" t="n"/>
      <c r="V1037" s="27" t="n"/>
      <c r="W1037" s="210">
        <f>IF(K1037=TRUE,Q1037/J1037,Q1037)</f>
        <v/>
      </c>
      <c r="X1037" s="237">
        <f>V1037/100*S1037</f>
        <v/>
      </c>
      <c r="Y1037">
        <f>IF(AND(V1037&gt;0,N1037=V1037),TRUE,FALSE)</f>
        <v/>
      </c>
      <c r="Z1037" s="228">
        <f>IF(C1037="Einnahmen",Q1037,-Q1037)</f>
        <v/>
      </c>
    </row>
    <row r="1038">
      <c r="A1038" s="53" t="n">
        <v>2023</v>
      </c>
      <c r="B1038" s="53" t="n">
        <v>164</v>
      </c>
      <c r="C1038" s="71" t="inlineStr">
        <is>
          <t>Ausgaben</t>
        </is>
      </c>
      <c r="D1038" t="inlineStr">
        <is>
          <t>Lizenzgebühren</t>
        </is>
      </c>
      <c r="G1038" s="1" t="n">
        <v>45226</v>
      </c>
      <c r="H1038" t="inlineStr">
        <is>
          <t>Adobe Systems Software Ireland Ltd., 4-6 Riverwalk, Citywest Business Park, Dublin 24, Ireland, VAT ID IE6364992H</t>
        </is>
      </c>
      <c r="K1038" t="b">
        <v>0</v>
      </c>
      <c r="L1038" s="214" t="n">
        <v>20.28</v>
      </c>
      <c r="M1038" s="159" t="n">
        <v>1</v>
      </c>
      <c r="N1038" t="n">
        <v>0</v>
      </c>
      <c r="O1038" s="237">
        <f>L1038*N1038/100</f>
        <v/>
      </c>
      <c r="P1038" s="237">
        <f>M1038*O1038</f>
        <v/>
      </c>
      <c r="Q1038" s="208">
        <f>L1038*M1038</f>
        <v/>
      </c>
      <c r="R1038" s="251">
        <f>L1038+O1038</f>
        <v/>
      </c>
      <c r="S1038" s="251">
        <f>Q1038+P1038</f>
        <v/>
      </c>
      <c r="T1038" s="35">
        <f>voranmeldefrist_vierteljaehrlich(G1038)</f>
        <v/>
      </c>
      <c r="U1038" s="27" t="n"/>
      <c r="V1038" s="27" t="n">
        <v>20</v>
      </c>
      <c r="W1038" s="210">
        <f>IF(K1038=TRUE,Q1038/J1038,Q1038)</f>
        <v/>
      </c>
      <c r="X1038" s="237">
        <f>V1038/100*S1038</f>
        <v/>
      </c>
      <c r="Y1038">
        <f>IF(AND(V1038&gt;0,N1038=V1038),TRUE,FALSE)</f>
        <v/>
      </c>
      <c r="Z1038" s="228">
        <f>IF(C1038="Einnahmen",Q1038,-Q1038)</f>
        <v/>
      </c>
    </row>
    <row r="1039">
      <c r="A1039" s="53" t="n">
        <v>2023</v>
      </c>
      <c r="B1039" s="53" t="n">
        <v>165</v>
      </c>
      <c r="C1039" s="71" t="inlineStr">
        <is>
          <t>Ausgaben</t>
        </is>
      </c>
      <c r="D1039" t="inlineStr">
        <is>
          <t>Telefon/Internet</t>
        </is>
      </c>
      <c r="G1039" s="1" t="n">
        <v>45230</v>
      </c>
      <c r="H1039" t="inlineStr">
        <is>
          <t>HoT Telekom und Service GmbH, Postfach 28, 1121 Wien</t>
        </is>
      </c>
      <c r="K1039" t="b">
        <v>0</v>
      </c>
      <c r="L1039" s="214" t="n">
        <v>16.58</v>
      </c>
      <c r="M1039" s="159" t="n">
        <v>1</v>
      </c>
      <c r="N1039" t="n">
        <v>0</v>
      </c>
      <c r="O1039" s="237">
        <f>L1039*N1039/100</f>
        <v/>
      </c>
      <c r="P1039" s="237">
        <f>M1039*O1039</f>
        <v/>
      </c>
      <c r="Q1039" s="208">
        <f>L1039*M1039</f>
        <v/>
      </c>
      <c r="R1039" s="251">
        <f>L1039+O1039</f>
        <v/>
      </c>
      <c r="S1039" s="251">
        <f>Q1039+P1039</f>
        <v/>
      </c>
      <c r="T1039" s="35">
        <f>voranmeldefrist_vierteljaehrlich(G1039)</f>
        <v/>
      </c>
      <c r="U1039" s="27" t="n"/>
      <c r="V1039" s="27" t="n">
        <v>20</v>
      </c>
      <c r="W1039" s="210">
        <f>IF(K1039=TRUE,Q1039/J1039,Q1039)</f>
        <v/>
      </c>
      <c r="X1039" s="237">
        <f>V1039/100*S1039</f>
        <v/>
      </c>
      <c r="Y1039">
        <f>IF(AND(V1039&gt;0,N1039=V1039),TRUE,FALSE)</f>
        <v/>
      </c>
      <c r="Z1039" s="228">
        <f>IF(C1039="Einnahmen",Q1039,-Q1039)</f>
        <v/>
      </c>
    </row>
    <row r="1040">
      <c r="A1040" s="53" t="n">
        <v>2023</v>
      </c>
      <c r="B1040" s="53" t="n">
        <v>166</v>
      </c>
      <c r="C1040" s="71" t="inlineStr">
        <is>
          <t>Ausgaben</t>
        </is>
      </c>
      <c r="D1040" t="inlineStr">
        <is>
          <t>Reise- und Fahrtspesen inkl. Kilometergeld und Diäten</t>
        </is>
      </c>
      <c r="E1040" s="131" t="n"/>
      <c r="G1040" s="1" t="n">
        <v>45232</v>
      </c>
      <c r="H1040" t="inlineStr">
        <is>
          <t>car2go Österreich GmbH, Hintere Zollamtstraße 9, 1030 Wien</t>
        </is>
      </c>
      <c r="K1040" t="b">
        <v>0</v>
      </c>
      <c r="L1040" s="214" t="n">
        <v>18.55</v>
      </c>
      <c r="M1040" s="159" t="n">
        <v>1</v>
      </c>
      <c r="N1040" t="n">
        <v>20</v>
      </c>
      <c r="O1040" s="237">
        <f>L1040*N1040/100</f>
        <v/>
      </c>
      <c r="P1040" s="237">
        <f>M1040*O1040</f>
        <v/>
      </c>
      <c r="Q1040" s="208">
        <f>L1040*M1040</f>
        <v/>
      </c>
      <c r="R1040" s="251">
        <f>L1040+O1040</f>
        <v/>
      </c>
      <c r="S1040" s="251">
        <f>Q1040+P1040</f>
        <v/>
      </c>
      <c r="T1040" s="35">
        <f>DATE(YEAR(EOMONTH(G1040,2)),MONTH(EOMONTH(G1040,2)),15)</f>
        <v/>
      </c>
      <c r="U1040" s="27" t="n"/>
      <c r="V1040" s="27" t="n"/>
      <c r="W1040" s="210">
        <f>IF(K1040=TRUE,Q1040/J1040,Q1040)</f>
        <v/>
      </c>
      <c r="X1040" s="237">
        <f>V1040/100*S1040</f>
        <v/>
      </c>
      <c r="Y1040">
        <f>IF(AND(V1040&gt;0,N1040=V1040),TRUE,FALSE)</f>
        <v/>
      </c>
      <c r="Z1040" s="228">
        <f>IF(C1040="Einnahmen",Q1040,-Q1040)</f>
        <v/>
      </c>
    </row>
    <row r="1041">
      <c r="A1041" s="53" t="n">
        <v>2023</v>
      </c>
      <c r="B1041" s="53" t="n">
        <v>167</v>
      </c>
      <c r="C1041" s="71" t="inlineStr">
        <is>
          <t>Ausgaben</t>
        </is>
      </c>
      <c r="D1041" t="inlineStr">
        <is>
          <t>Miet- und Pachtaufwand, Leasing</t>
        </is>
      </c>
      <c r="G1041" s="1" t="n">
        <v>45232</v>
      </c>
      <c r="H1041" t="inlineStr">
        <is>
          <t>Bontus Immobilienverwaltung GmbH, 1010 Wien, Franz Josefs Kai 65</t>
        </is>
      </c>
      <c r="K1041" t="b">
        <v>0</v>
      </c>
      <c r="L1041" s="214">
        <f>639.73/1.2</f>
        <v/>
      </c>
      <c r="M1041" s="159" t="n">
        <v>1</v>
      </c>
      <c r="N1041" t="n">
        <v>20</v>
      </c>
      <c r="O1041" s="237">
        <f>L1041*N1041/100</f>
        <v/>
      </c>
      <c r="P1041" s="237">
        <f>M1041*O1041</f>
        <v/>
      </c>
      <c r="Q1041" s="208">
        <f>L1041*M1041</f>
        <v/>
      </c>
      <c r="R1041" s="251">
        <f>L1041+O1041</f>
        <v/>
      </c>
      <c r="S1041" s="251">
        <f>Q1041+P1041</f>
        <v/>
      </c>
      <c r="T1041" s="35">
        <f>DATE(YEAR(EOMONTH(G1041,2)),MONTH(EOMONTH(G1041,2)),15)</f>
        <v/>
      </c>
      <c r="U1041" s="27" t="n"/>
      <c r="V1041" s="27" t="n"/>
      <c r="W1041" s="210">
        <f>IF(K1041=TRUE,Q1041/J1041,Q1041)</f>
        <v/>
      </c>
      <c r="X1041" s="237">
        <f>V1041/100*S1041</f>
        <v/>
      </c>
      <c r="Y1041">
        <f>IF(AND(V1041&gt;0,N1041=V1041),TRUE,FALSE)</f>
        <v/>
      </c>
      <c r="Z1041" s="228">
        <f>IF(C1041="Einnahmen",Q1041,-Q1041)</f>
        <v/>
      </c>
    </row>
    <row r="1042">
      <c r="A1042" s="53" t="n">
        <v>2023</v>
      </c>
      <c r="B1042" s="53" t="n">
        <v>168</v>
      </c>
      <c r="C1042" s="71" t="inlineStr">
        <is>
          <t>Ausgaben</t>
        </is>
      </c>
      <c r="D1042" t="inlineStr">
        <is>
          <t>sonstige Betriebsausgaben</t>
        </is>
      </c>
      <c r="G1042" s="1" t="n">
        <v>45232</v>
      </c>
      <c r="H1042" t="inlineStr">
        <is>
          <t>Google Ireland Ltd, Gordon House, Barrow Street, Dublin 4, Ireland; VAT number: IE 6388047V</t>
        </is>
      </c>
      <c r="K1042" t="b">
        <v>0</v>
      </c>
      <c r="L1042" s="214" t="n">
        <v>10.4</v>
      </c>
      <c r="M1042" s="159" t="n">
        <v>1</v>
      </c>
      <c r="N1042" t="n">
        <v>0</v>
      </c>
      <c r="O1042" s="237">
        <f>L1042*N1042/100</f>
        <v/>
      </c>
      <c r="P1042" s="237">
        <f>M1042*O1042</f>
        <v/>
      </c>
      <c r="Q1042" s="208">
        <f>L1042*M1042</f>
        <v/>
      </c>
      <c r="R1042" s="251">
        <f>L1042+O1042</f>
        <v/>
      </c>
      <c r="S1042" s="251">
        <f>Q1042+P1042</f>
        <v/>
      </c>
      <c r="T1042" s="35">
        <f>DATE(YEAR(EOMONTH(G1042,2)),MONTH(EOMONTH(G1042,2)),15)</f>
        <v/>
      </c>
      <c r="U1042" s="27" t="n"/>
      <c r="V1042" s="27" t="n">
        <v>20</v>
      </c>
      <c r="W1042" s="210">
        <f>IF(K1042=TRUE,Q1042/I1042,Q1042)</f>
        <v/>
      </c>
      <c r="X1042" s="237">
        <f>V1042/100*S1042</f>
        <v/>
      </c>
      <c r="Y1042">
        <f>IF(AND(V1042&gt;0,N1042=V1042),TRUE,FALSE)</f>
        <v/>
      </c>
      <c r="Z1042" s="228">
        <f>IF(C1042="Einnahmen",Q1042,-Q1042)</f>
        <v/>
      </c>
    </row>
    <row r="1043">
      <c r="A1043" s="53" t="n">
        <v>2023</v>
      </c>
      <c r="B1043" s="53" t="n">
        <v>169</v>
      </c>
      <c r="C1043" s="71" t="inlineStr">
        <is>
          <t>Ausgaben</t>
        </is>
      </c>
      <c r="D1043" t="inlineStr">
        <is>
          <t>Telefon/Internet</t>
        </is>
      </c>
      <c r="G1043" s="1" t="n">
        <v>45236</v>
      </c>
      <c r="H1043" t="inlineStr">
        <is>
          <t>Hutchison Drei Austria GmbH, Brünner Straße 52, 1210 Wien, Österreich</t>
        </is>
      </c>
      <c r="K1043">
        <f>(IF(AND(I1043&lt;&gt;"",AND(J1043="",ABS(Q1043)&gt;400)),TRUE,FALSE))</f>
        <v/>
      </c>
      <c r="L1043" s="214" t="n">
        <v>10.75</v>
      </c>
      <c r="M1043" s="159" t="n">
        <v>1</v>
      </c>
      <c r="N1043" t="n">
        <v>20</v>
      </c>
      <c r="O1043" s="237">
        <f>L1043*N1043/100</f>
        <v/>
      </c>
      <c r="P1043" s="237">
        <f>M1043*O1043</f>
        <v/>
      </c>
      <c r="Q1043" s="208">
        <f>L1043*M1043</f>
        <v/>
      </c>
      <c r="R1043" s="251">
        <f>L1043+O1043</f>
        <v/>
      </c>
      <c r="S1043" s="251">
        <f>Q1043+P1043</f>
        <v/>
      </c>
      <c r="T1043" s="35">
        <f>DATE(YEAR(EOMONTH(G1043,2)),MONTH(EOMONTH(G1043,2)),15)</f>
        <v/>
      </c>
      <c r="U1043" s="27" t="n"/>
      <c r="V1043" s="27" t="n"/>
      <c r="W1043" s="210">
        <f>IF(K1043=TRUE,Q1043/I1043,Q1043)</f>
        <v/>
      </c>
      <c r="X1043" s="237">
        <f>V1043/100*S1043</f>
        <v/>
      </c>
      <c r="Y1043">
        <f>IF(AND(V1043&gt;0,N1043=V1043),TRUE,FALSE)</f>
        <v/>
      </c>
      <c r="Z1043" s="228">
        <f>IF(C1043="Einnahmen",Q1043,-Q1043)</f>
        <v/>
      </c>
    </row>
    <row r="1044">
      <c r="A1044" s="53" t="n">
        <v>2023</v>
      </c>
      <c r="B1044" s="53" t="n">
        <v>170</v>
      </c>
      <c r="C1044" s="71" t="inlineStr">
        <is>
          <t>Ausgaben</t>
        </is>
      </c>
      <c r="D1044" t="inlineStr">
        <is>
          <t>Miet- und Pachtaufwand, Leasing</t>
        </is>
      </c>
      <c r="G1044" s="1" t="n">
        <v>45236</v>
      </c>
      <c r="H1044" t="inlineStr">
        <is>
          <t>Techem Messtechnik GmbH; Abnehmernummer 501686-0003-11-</t>
        </is>
      </c>
      <c r="K1044" t="b">
        <v>0</v>
      </c>
      <c r="L1044" s="214" t="n">
        <v>108.5</v>
      </c>
      <c r="M1044" s="159" t="n">
        <v>1</v>
      </c>
      <c r="N1044" t="n">
        <v>20</v>
      </c>
      <c r="O1044" s="237">
        <f>L1044*N1044/100</f>
        <v/>
      </c>
      <c r="P1044" s="237">
        <f>M1044*O1044</f>
        <v/>
      </c>
      <c r="Q1044" s="208">
        <f>L1044*M1044</f>
        <v/>
      </c>
      <c r="R1044" s="251">
        <f>L1044+O1044</f>
        <v/>
      </c>
      <c r="S1044" s="251">
        <f>Q1044+P1044</f>
        <v/>
      </c>
      <c r="T1044" s="35">
        <f>DATE(YEAR(EOMONTH(G1044,2)),MONTH(EOMONTH(G1044,2)),15)</f>
        <v/>
      </c>
      <c r="U1044" s="27" t="n"/>
      <c r="V1044" s="27" t="n"/>
      <c r="W1044" s="210">
        <f>IF(K1044=TRUE,Q1044/J1044,Q1044)</f>
        <v/>
      </c>
      <c r="X1044" s="237">
        <f>V1044/100*S1044</f>
        <v/>
      </c>
      <c r="Y1044">
        <f>IF(AND(V1044&gt;0,N1044=V1044),TRUE,FALSE)</f>
        <v/>
      </c>
      <c r="Z1044" s="228">
        <f>IF(C1044="Einnahmen",Q1044,-Q1044)</f>
        <v/>
      </c>
    </row>
    <row r="1045">
      <c r="A1045" s="53" t="n">
        <v>2023</v>
      </c>
      <c r="B1045" s="53" t="n">
        <v>171</v>
      </c>
      <c r="C1045" s="71" t="inlineStr">
        <is>
          <t>Ausgaben</t>
        </is>
      </c>
      <c r="D1045" t="inlineStr">
        <is>
          <t>sonstige Betriebsausgaben</t>
        </is>
      </c>
      <c r="E1045" s="61" t="inlineStr">
        <is>
          <t>BELEG FEHLT</t>
        </is>
      </c>
      <c r="G1045" s="1" t="n">
        <v>45236</v>
      </c>
      <c r="H1045" t="inlineStr">
        <is>
          <t>go green energy GmbH &amp; Co KG</t>
        </is>
      </c>
      <c r="K1045">
        <f>(IF(AND(I1045&lt;&gt;"",AND(J1045="",ABS(Q1045)&gt;400)),TRUE,FALSE))</f>
        <v/>
      </c>
      <c r="L1045" s="214" t="n">
        <v>5</v>
      </c>
      <c r="M1045" s="159" t="n">
        <v>1</v>
      </c>
      <c r="N1045" t="n">
        <v>20</v>
      </c>
      <c r="O1045" s="237">
        <f>L1045*N1045/100</f>
        <v/>
      </c>
      <c r="P1045" s="237">
        <f>M1045*O1045</f>
        <v/>
      </c>
      <c r="Q1045" s="208">
        <f>L1045*M1045</f>
        <v/>
      </c>
      <c r="R1045" s="251">
        <f>L1045+O1045</f>
        <v/>
      </c>
      <c r="S1045" s="251">
        <f>Q1045+P1045</f>
        <v/>
      </c>
      <c r="T1045" s="35">
        <f>DATE(YEAR(EOMONTH(G1045,2)),MONTH(EOMONTH(G1045,2)),15)</f>
        <v/>
      </c>
      <c r="U1045" s="27" t="n"/>
      <c r="V1045" s="27" t="n"/>
      <c r="W1045" s="210">
        <f>IF(K1045=TRUE,Q1045/J1045,Q1045)</f>
        <v/>
      </c>
      <c r="X1045" s="237">
        <f>V1045/100*S1045</f>
        <v/>
      </c>
      <c r="Y1045">
        <f>IF(AND(V1045&gt;0,N1045=V1045),TRUE,FALSE)</f>
        <v/>
      </c>
      <c r="Z1045" s="228">
        <f>IF(C1045="Einnahmen",Q1045,-Q1045)</f>
        <v/>
      </c>
    </row>
    <row r="1046">
      <c r="A1046" s="53" t="n">
        <v>2023</v>
      </c>
      <c r="B1046" s="53" t="n">
        <v>172</v>
      </c>
      <c r="C1046" s="71" t="inlineStr">
        <is>
          <t>Ausgaben</t>
        </is>
      </c>
      <c r="D1046" t="inlineStr">
        <is>
          <t>Büromaterial</t>
        </is>
      </c>
      <c r="G1046" s="1" t="n">
        <v>45237</v>
      </c>
      <c r="H1046" t="inlineStr">
        <is>
          <t>Amazon EU S. à r.l., 38 avenue John F. Kennedy, L-1855 Luxembourg</t>
        </is>
      </c>
      <c r="K1046" t="b">
        <v>0</v>
      </c>
      <c r="L1046" s="214">
        <f>20.3/1.2</f>
        <v/>
      </c>
      <c r="M1046" s="159" t="n">
        <v>1</v>
      </c>
      <c r="N1046" t="n">
        <v>20</v>
      </c>
      <c r="O1046" s="237">
        <f>L1046*N1046/100</f>
        <v/>
      </c>
      <c r="P1046" s="237">
        <f>M1046*O1046</f>
        <v/>
      </c>
      <c r="Q1046" s="208">
        <f>L1046*M1046</f>
        <v/>
      </c>
      <c r="R1046" s="251">
        <f>L1046+O1046</f>
        <v/>
      </c>
      <c r="S1046" s="251">
        <f>Q1046+P1046</f>
        <v/>
      </c>
      <c r="T1046" s="35">
        <f>DATE(YEAR(EOMONTH(G1046,2)),MONTH(EOMONTH(G1046,2)),15)</f>
        <v/>
      </c>
      <c r="U1046" s="27" t="n"/>
      <c r="V1046" s="27" t="n"/>
      <c r="W1046" s="210">
        <f>IF(K1046=TRUE,Q1046/I1046,Q1046)</f>
        <v/>
      </c>
      <c r="X1046" s="237">
        <f>V1046/100*S1046</f>
        <v/>
      </c>
      <c r="Y1046">
        <f>IF(AND(V1046&gt;0,N1046=V1046),TRUE,FALSE)</f>
        <v/>
      </c>
      <c r="Z1046" s="228">
        <f>IF(C1046="Einnahmen",Q1046,-Q1046)</f>
        <v/>
      </c>
    </row>
    <row r="1047">
      <c r="A1047" s="53" t="n">
        <v>2023</v>
      </c>
      <c r="B1047" s="53" t="n">
        <v>173</v>
      </c>
      <c r="C1047" s="71" t="inlineStr">
        <is>
          <t>Ausgaben</t>
        </is>
      </c>
      <c r="D1047" t="inlineStr">
        <is>
          <t>Büromaterial</t>
        </is>
      </c>
      <c r="G1047" s="1" t="n">
        <v>45238</v>
      </c>
      <c r="H1047" t="inlineStr">
        <is>
          <t>Amazon EU S. à r.l., 38 avenue John F. Kennedy, L-1855 Luxembourg</t>
        </is>
      </c>
      <c r="K1047" t="b">
        <v>0</v>
      </c>
      <c r="L1047" s="214" t="n">
        <v>50.34</v>
      </c>
      <c r="M1047" s="159" t="n">
        <v>1</v>
      </c>
      <c r="N1047" t="n">
        <v>20</v>
      </c>
      <c r="O1047" s="237">
        <f>L1047*N1047/100</f>
        <v/>
      </c>
      <c r="P1047" s="237">
        <f>M1047*O1047</f>
        <v/>
      </c>
      <c r="Q1047" s="208">
        <f>L1047*M1047</f>
        <v/>
      </c>
      <c r="R1047" s="251">
        <f>L1047+O1047</f>
        <v/>
      </c>
      <c r="S1047" s="251">
        <f>Q1047+P1047</f>
        <v/>
      </c>
      <c r="T1047" s="35">
        <f>DATE(YEAR(EOMONTH(G1047,2)),MONTH(EOMONTH(G1047,2)),15)</f>
        <v/>
      </c>
      <c r="U1047" s="27" t="n"/>
      <c r="V1047" s="27" t="n"/>
      <c r="W1047" s="210">
        <f>IF(K1047=TRUE,Q1047/I1047,Q1047)</f>
        <v/>
      </c>
      <c r="X1047" s="237">
        <f>V1047/100*S1047</f>
        <v/>
      </c>
      <c r="Y1047">
        <f>IF(AND(V1047&gt;0,N1047=V1047),TRUE,FALSE)</f>
        <v/>
      </c>
      <c r="Z1047" s="228">
        <f>IF(C1047="Einnahmen",Q1047,-Q1047)</f>
        <v/>
      </c>
    </row>
    <row r="1048">
      <c r="A1048" s="53" t="n">
        <v>2023</v>
      </c>
      <c r="B1048" s="53" t="n">
        <v>174</v>
      </c>
      <c r="C1048" s="71" t="inlineStr">
        <is>
          <t>Ausgaben</t>
        </is>
      </c>
      <c r="D1048" t="inlineStr">
        <is>
          <t>Büromaterial</t>
        </is>
      </c>
      <c r="G1048" s="1" t="n">
        <v>45240</v>
      </c>
      <c r="H1048" t="inlineStr">
        <is>
          <t>Amazon EU S. à r.l., 38 avenue John F. Kennedy, L-1855 Luxembourg</t>
        </is>
      </c>
      <c r="K1048" t="b">
        <v>0</v>
      </c>
      <c r="L1048" s="214" t="n">
        <v>16.08</v>
      </c>
      <c r="M1048" s="159" t="n">
        <v>1</v>
      </c>
      <c r="N1048" t="n">
        <v>20</v>
      </c>
      <c r="O1048" s="237">
        <f>L1048*N1048/100</f>
        <v/>
      </c>
      <c r="P1048" s="237">
        <f>M1048*O1048</f>
        <v/>
      </c>
      <c r="Q1048" s="208">
        <f>L1048*M1048</f>
        <v/>
      </c>
      <c r="R1048" s="251">
        <f>L1048+O1048</f>
        <v/>
      </c>
      <c r="S1048" s="251">
        <f>Q1048+P1048</f>
        <v/>
      </c>
      <c r="T1048" s="35">
        <f>DATE(YEAR(EOMONTH(G1048,2)),MONTH(EOMONTH(G1048,2)),15)</f>
        <v/>
      </c>
      <c r="U1048" s="27" t="n"/>
      <c r="V1048" s="27" t="n"/>
      <c r="W1048" s="210">
        <f>IF(K1048=TRUE,Q1048/I1048,Q1048)</f>
        <v/>
      </c>
      <c r="X1048" s="237">
        <f>V1048/100*S1048</f>
        <v/>
      </c>
      <c r="Y1048">
        <f>IF(AND(V1048&gt;0,N1048=V1048),TRUE,FALSE)</f>
        <v/>
      </c>
      <c r="Z1048" s="228">
        <f>IF(C1048="Einnahmen",Q1048,-Q1048)</f>
        <v/>
      </c>
    </row>
    <row r="1049">
      <c r="A1049" s="53" t="n">
        <v>2023</v>
      </c>
      <c r="B1049" s="53" t="n">
        <v>175</v>
      </c>
      <c r="C1049" s="71" t="inlineStr">
        <is>
          <t>Ausgaben</t>
        </is>
      </c>
      <c r="D1049" t="inlineStr">
        <is>
          <t>sonstige Betriebsausgaben</t>
        </is>
      </c>
      <c r="G1049" s="1" t="n">
        <v>45243</v>
      </c>
      <c r="H1049" t="inlineStr">
        <is>
          <t>Hetzner Online GmbH</t>
        </is>
      </c>
      <c r="K1049">
        <f>(IF(AND(I1049&lt;&gt;"",AND(J1049="",ABS(Q1049)&gt;400)),TRUE,FALSE))</f>
        <v/>
      </c>
      <c r="L1049" s="214" t="n">
        <v>52.2141</v>
      </c>
      <c r="M1049" s="159" t="n">
        <v>1</v>
      </c>
      <c r="N1049" t="n">
        <v>0</v>
      </c>
      <c r="O1049" s="237">
        <f>L1049*N1049/100</f>
        <v/>
      </c>
      <c r="P1049" s="237">
        <f>M1049*O1049</f>
        <v/>
      </c>
      <c r="Q1049" s="208">
        <f>L1049*M1049</f>
        <v/>
      </c>
      <c r="R1049" s="251">
        <f>L1049+O1049</f>
        <v/>
      </c>
      <c r="S1049" s="251">
        <f>Q1049+P1049</f>
        <v/>
      </c>
      <c r="T1049" s="35">
        <f>DATE(YEAR(EOMONTH(G1049,2)),MONTH(EOMONTH(G1049,2)),15)</f>
        <v/>
      </c>
      <c r="U1049" s="27" t="n"/>
      <c r="V1049" s="27" t="n">
        <v>20</v>
      </c>
      <c r="W1049" s="210">
        <f>IF(K1049=TRUE,Q1049/J1049,Q1049)</f>
        <v/>
      </c>
      <c r="X1049" s="237">
        <f>V1049/100*S1049</f>
        <v/>
      </c>
      <c r="Y1049">
        <f>IF(AND(V1049&gt;0,N1049=V1049),TRUE,FALSE)</f>
        <v/>
      </c>
      <c r="Z1049" s="228">
        <f>IF(C1049="Einnahmen",Q1049,-Q1049)</f>
        <v/>
      </c>
    </row>
    <row r="1050">
      <c r="A1050" s="53" t="n">
        <v>2023</v>
      </c>
      <c r="B1050" s="53" t="n">
        <v>176</v>
      </c>
      <c r="C1050" s="71" t="inlineStr">
        <is>
          <t>Einnahmen</t>
        </is>
      </c>
      <c r="D1050" t="inlineStr">
        <is>
          <t>Waren-/Leistungserlöse</t>
        </is>
      </c>
      <c r="E1050" s="39" t="n"/>
      <c r="G1050" s="1" t="n">
        <v>45245</v>
      </c>
      <c r="H1050" t="inlineStr">
        <is>
          <t>Hays Österreich GmbH, Bahnhof City Wien West , Europaplatz 3/5, 1150 Wien</t>
        </is>
      </c>
      <c r="K1050">
        <f>(IF(AND(I1050&lt;&gt;"",AND(J1050="",ABS(Q1050)&gt;400)),TRUE,FALSE))</f>
        <v/>
      </c>
      <c r="L1050" s="214" t="n">
        <v>16505.25</v>
      </c>
      <c r="M1050" s="159" t="n">
        <v>1</v>
      </c>
      <c r="N1050" t="n">
        <v>20</v>
      </c>
      <c r="O1050" s="237">
        <f>L1050*N1050/100</f>
        <v/>
      </c>
      <c r="P1050" s="237">
        <f>M1050*O1050</f>
        <v/>
      </c>
      <c r="Q1050" s="208">
        <f>L1050*M1050</f>
        <v/>
      </c>
      <c r="R1050" s="251">
        <f>L1050+O1050</f>
        <v/>
      </c>
      <c r="S1050" s="251">
        <f>Q1050+P1050</f>
        <v/>
      </c>
      <c r="T1050" s="35">
        <f>DATE(YEAR(EOMONTH(G1050,2)),MONTH(EOMONTH(G1050,2)),15)</f>
        <v/>
      </c>
      <c r="U1050" s="27" t="n"/>
      <c r="V1050" s="27" t="n"/>
      <c r="W1050" s="210">
        <f>IF(K1050=TRUE,Q1050/J1050,Q1050)</f>
        <v/>
      </c>
      <c r="X1050" s="237">
        <f>V1050/100*S1050</f>
        <v/>
      </c>
      <c r="Y1050">
        <f>IF(AND(V1050&gt;0,N1050=V1050),TRUE,FALSE)</f>
        <v/>
      </c>
      <c r="Z1050" s="228">
        <f>IF(C1050="Einnahmen",Q1050,-Q1050)</f>
        <v/>
      </c>
    </row>
    <row r="1051">
      <c r="A1051" s="53" t="n">
        <v>2023</v>
      </c>
      <c r="B1051" s="53" t="n">
        <v>177</v>
      </c>
      <c r="C1051" s="71" t="inlineStr">
        <is>
          <t>Ausgaben</t>
        </is>
      </c>
      <c r="D1051" t="inlineStr">
        <is>
          <t>Personalaufwand</t>
        </is>
      </c>
      <c r="E1051" s="9" t="inlineStr">
        <is>
          <t>siehe 2022-140</t>
        </is>
      </c>
      <c r="G1051" s="1" t="n">
        <v>45245</v>
      </c>
      <c r="H1051" t="inlineStr">
        <is>
          <t>Honorar Eva Jaros-Kolbitsch</t>
        </is>
      </c>
      <c r="K1051">
        <f>(IF(AND(I1051&lt;&gt;"",AND(J1051="",ABS(Q1051)&gt;400)),TRUE,FALSE))</f>
        <v/>
      </c>
      <c r="L1051" s="214" t="n">
        <v>365</v>
      </c>
      <c r="M1051" s="159" t="n">
        <v>1</v>
      </c>
      <c r="N1051" t="n">
        <v>0</v>
      </c>
      <c r="O1051" s="237">
        <f>L1051*N1051/100</f>
        <v/>
      </c>
      <c r="P1051" s="237">
        <f>M1051*O1051</f>
        <v/>
      </c>
      <c r="Q1051" s="208">
        <f>L1051*M1051</f>
        <v/>
      </c>
      <c r="R1051" s="251">
        <f>L1051+O1051</f>
        <v/>
      </c>
      <c r="S1051" s="251">
        <f>Q1051+P1051</f>
        <v/>
      </c>
      <c r="T1051" s="35">
        <f>DATE(YEAR(EOMONTH(G1051,2)),MONTH(EOMONTH(G1051,2)),15)</f>
        <v/>
      </c>
      <c r="U1051" s="27" t="n"/>
      <c r="V1051" s="27" t="n"/>
      <c r="W1051" s="210">
        <f>IF(K1051=TRUE,Q1051/J1051,Q1051)</f>
        <v/>
      </c>
      <c r="X1051" s="237">
        <f>V1051/100*S1051</f>
        <v/>
      </c>
      <c r="Y1051">
        <f>IF(AND(V1051&gt;0,N1051=V1051),TRUE,FALSE)</f>
        <v/>
      </c>
      <c r="Z1051" s="228">
        <f>IF(C1051="Einnahmen",Q1051,-Q1051)</f>
        <v/>
      </c>
    </row>
    <row r="1052">
      <c r="A1052" s="53" t="n">
        <v>2023</v>
      </c>
      <c r="B1052" s="53" t="n">
        <v>178</v>
      </c>
      <c r="C1052" s="71" t="inlineStr">
        <is>
          <t>Ausgaben</t>
        </is>
      </c>
      <c r="D1052" t="inlineStr">
        <is>
          <t>sonstige Betriebsausgaben</t>
        </is>
      </c>
      <c r="E1052" s="1" t="n"/>
      <c r="G1052" s="1" t="n">
        <v>45250</v>
      </c>
      <c r="H1052" t="inlineStr">
        <is>
          <t>Microsoft Ireland Operations Ltd. One Microsoft Place, South County, Business Park, Leopardstown, Dublin 18, D18 P521, Ireland</t>
        </is>
      </c>
      <c r="K1052">
        <f>(IF(AND(I1052&lt;&gt;"",AND(J1052="",ABS(Q1052)&gt;400)),TRUE,FALSE))</f>
        <v/>
      </c>
      <c r="L1052" s="214" t="n">
        <v>10.5</v>
      </c>
      <c r="M1052" s="159" t="n">
        <v>1</v>
      </c>
      <c r="N1052" t="n">
        <v>0</v>
      </c>
      <c r="O1052" s="237">
        <f>L1052*N1052/100</f>
        <v/>
      </c>
      <c r="P1052" s="237">
        <f>M1052*O1052</f>
        <v/>
      </c>
      <c r="Q1052" s="208">
        <f>L1052*M1052</f>
        <v/>
      </c>
      <c r="R1052" s="251">
        <f>L1052+O1052</f>
        <v/>
      </c>
      <c r="S1052" s="251">
        <f>Q1052+P1052</f>
        <v/>
      </c>
      <c r="T1052" s="35">
        <f>DATE(YEAR(EOMONTH(G1052,2)),MONTH(EOMONTH(G1052,2)),15)</f>
        <v/>
      </c>
      <c r="U1052" s="27" t="n"/>
      <c r="V1052" s="27" t="n">
        <v>20</v>
      </c>
      <c r="W1052" s="210">
        <f>IF(K1052=TRUE,Q1052/J1052,Q1052)</f>
        <v/>
      </c>
      <c r="X1052" s="237">
        <f>V1052/100*S1052</f>
        <v/>
      </c>
      <c r="Y1052">
        <f>IF(AND(V1052&gt;0,N1052=V1052),TRUE,FALSE)</f>
        <v/>
      </c>
      <c r="Z1052" s="228">
        <f>IF(C1052="Einnahmen",Q1052,-Q1052)</f>
        <v/>
      </c>
    </row>
    <row r="1053">
      <c r="A1053" s="53" t="n">
        <v>2023</v>
      </c>
      <c r="B1053" s="53" t="n">
        <v>179</v>
      </c>
      <c r="C1053" s="71" t="inlineStr">
        <is>
          <t>Ausgaben</t>
        </is>
      </c>
      <c r="D1053" t="inlineStr">
        <is>
          <t>Büromaterial</t>
        </is>
      </c>
      <c r="G1053" s="1" t="n">
        <v>45252</v>
      </c>
      <c r="H1053" t="inlineStr">
        <is>
          <t>Amazon EU S. à r.l., 38 avenue John F. Kennedy, L-1855 Luxembourg</t>
        </is>
      </c>
      <c r="K1053" t="b">
        <v>0</v>
      </c>
      <c r="L1053" s="214" t="n">
        <v>18.48</v>
      </c>
      <c r="M1053" s="159" t="n">
        <v>1</v>
      </c>
      <c r="N1053" t="n">
        <v>20</v>
      </c>
      <c r="O1053" s="237">
        <f>L1053*N1053/100</f>
        <v/>
      </c>
      <c r="P1053" s="237">
        <f>M1053*O1053</f>
        <v/>
      </c>
      <c r="Q1053" s="208">
        <f>L1053*M1053</f>
        <v/>
      </c>
      <c r="R1053" s="251">
        <f>L1053+O1053</f>
        <v/>
      </c>
      <c r="S1053" s="251">
        <f>Q1053+P1053</f>
        <v/>
      </c>
      <c r="T1053" s="35">
        <f>DATE(YEAR(EOMONTH(G1053,2)),MONTH(EOMONTH(G1053,2)),15)</f>
        <v/>
      </c>
      <c r="U1053" s="27" t="n"/>
      <c r="V1053" s="27" t="n"/>
      <c r="W1053" s="210">
        <f>IF(K1053=TRUE,Q1053/I1053,Q1053)</f>
        <v/>
      </c>
      <c r="X1053" s="237">
        <f>V1053/100*S1053</f>
        <v/>
      </c>
      <c r="Y1053">
        <f>IF(AND(V1053&gt;0,N1053=V1053),TRUE,FALSE)</f>
        <v/>
      </c>
      <c r="Z1053" s="228">
        <f>IF(C1053="Einnahmen",Q1053,-Q1053)</f>
        <v/>
      </c>
    </row>
    <row r="1054">
      <c r="A1054" s="53" t="n">
        <v>2023</v>
      </c>
      <c r="B1054" s="53" t="n">
        <v>180</v>
      </c>
      <c r="C1054" s="71" t="inlineStr">
        <is>
          <t>Ausgaben</t>
        </is>
      </c>
      <c r="D1054" t="inlineStr">
        <is>
          <t>Büromaterial</t>
        </is>
      </c>
      <c r="G1054" s="1" t="n">
        <v>45252</v>
      </c>
      <c r="H1054" t="inlineStr">
        <is>
          <t>Amazon EU S. à r.l., 38 avenue John F. Kennedy, L-1855 Luxembourg</t>
        </is>
      </c>
      <c r="K1054" t="b">
        <v>0</v>
      </c>
      <c r="L1054" s="214" t="n">
        <v>44.72</v>
      </c>
      <c r="M1054" s="159" t="n">
        <v>1</v>
      </c>
      <c r="N1054" t="n">
        <v>20</v>
      </c>
      <c r="O1054" s="237">
        <f>L1054*N1054/100</f>
        <v/>
      </c>
      <c r="P1054" s="237">
        <f>M1054*O1054</f>
        <v/>
      </c>
      <c r="Q1054" s="208">
        <f>L1054*M1054</f>
        <v/>
      </c>
      <c r="R1054" s="251">
        <f>L1054+O1054</f>
        <v/>
      </c>
      <c r="S1054" s="251">
        <f>Q1054+P1054</f>
        <v/>
      </c>
      <c r="T1054" s="35">
        <f>DATE(YEAR(EOMONTH(G1054,2)),MONTH(EOMONTH(G1054,2)),15)</f>
        <v/>
      </c>
      <c r="U1054" s="27" t="n"/>
      <c r="V1054" s="27" t="n"/>
      <c r="W1054" s="210">
        <f>IF(K1054=TRUE,Q1054/I1054,Q1054)</f>
        <v/>
      </c>
      <c r="X1054" s="237">
        <f>V1054/100*S1054</f>
        <v/>
      </c>
      <c r="Y1054">
        <f>IF(AND(V1054&gt;0,N1054=V1054),TRUE,FALSE)</f>
        <v/>
      </c>
      <c r="Z1054" s="228">
        <f>IF(C1054="Einnahmen",Q1054,-Q1054)</f>
        <v/>
      </c>
    </row>
    <row r="1055">
      <c r="A1055" s="53" t="n">
        <v>2023</v>
      </c>
      <c r="B1055" s="53" t="n">
        <v>181</v>
      </c>
      <c r="C1055" s="71" t="inlineStr">
        <is>
          <t>Ausgaben</t>
        </is>
      </c>
      <c r="D1055" t="inlineStr">
        <is>
          <t>sonstige Betriebsausgaben</t>
        </is>
      </c>
      <c r="E1055" s="9" t="inlineStr">
        <is>
          <t>2019/118</t>
        </is>
      </c>
      <c r="G1055" s="1" t="n">
        <v>45253</v>
      </c>
      <c r="H1055" t="inlineStr">
        <is>
          <t>3W Steuerkanzlei, Roter Hof 1a, 1080 Wien</t>
        </is>
      </c>
      <c r="K1055">
        <f>(IF(AND(I1055&lt;&gt;"",AND(J1055="",ABS(Q1055)&gt;400)),TRUE,FALSE))</f>
        <v/>
      </c>
      <c r="L1055" s="214" t="n">
        <v>1065</v>
      </c>
      <c r="M1055" s="159" t="n">
        <v>1</v>
      </c>
      <c r="N1055" t="n">
        <v>20</v>
      </c>
      <c r="O1055" s="237">
        <f>L1055*N1055/100</f>
        <v/>
      </c>
      <c r="P1055" s="237">
        <f>M1055*O1055</f>
        <v/>
      </c>
      <c r="Q1055" s="208">
        <f>L1055*M1055</f>
        <v/>
      </c>
      <c r="R1055" s="251">
        <f>L1055+O1055</f>
        <v/>
      </c>
      <c r="S1055" s="251">
        <f>Q1055+P1055</f>
        <v/>
      </c>
      <c r="T1055" s="35">
        <f>voranmeldefrist_vierteljaehrlich(G1055)</f>
        <v/>
      </c>
      <c r="U1055" s="27" t="n"/>
      <c r="V1055" s="27" t="n"/>
      <c r="W1055" s="210">
        <f>IF(K1055=TRUE,Q1055/J1055,Q1055)</f>
        <v/>
      </c>
      <c r="X1055" s="237">
        <f>V1055/100*S1055</f>
        <v/>
      </c>
      <c r="Y1055">
        <f>IF(AND(V1055&gt;0,N1055=V1055),TRUE,FALSE)</f>
        <v/>
      </c>
      <c r="Z1055" s="228">
        <f>IF(C1055="Einnahmen",Q1055,-Q1055)</f>
        <v/>
      </c>
    </row>
    <row r="1056">
      <c r="A1056" s="53" t="n">
        <v>2023</v>
      </c>
      <c r="B1056" s="53" t="n">
        <v>182</v>
      </c>
      <c r="C1056" s="71" t="inlineStr">
        <is>
          <t>Ausgaben</t>
        </is>
      </c>
      <c r="D1056" t="inlineStr">
        <is>
          <t>Telefon/Internet</t>
        </is>
      </c>
      <c r="G1056" s="1" t="n">
        <v>45260</v>
      </c>
      <c r="H1056" t="inlineStr">
        <is>
          <t>HoT Telekom und Service GmbH, Postfach 28, 1121 Wien</t>
        </is>
      </c>
      <c r="K1056" t="b">
        <v>0</v>
      </c>
      <c r="L1056" s="214">
        <f>19.9/1.2</f>
        <v/>
      </c>
      <c r="M1056" s="159" t="n">
        <v>1</v>
      </c>
      <c r="N1056" t="n">
        <v>20</v>
      </c>
      <c r="O1056" s="237">
        <f>L1056*N1056/100</f>
        <v/>
      </c>
      <c r="P1056" s="237">
        <f>M1056*O1056</f>
        <v/>
      </c>
      <c r="Q1056" s="208">
        <f>L1056*M1056</f>
        <v/>
      </c>
      <c r="R1056" s="251">
        <f>L1056+O1056</f>
        <v/>
      </c>
      <c r="S1056" s="251">
        <f>Q1056+P1056</f>
        <v/>
      </c>
      <c r="T1056" s="35">
        <f>voranmeldefrist_vierteljaehrlich(G1056)</f>
        <v/>
      </c>
      <c r="U1056" s="27" t="n"/>
      <c r="V1056" s="27" t="n"/>
      <c r="W1056" s="210">
        <f>IF(K1056=TRUE,Q1056/J1056,Q1056)</f>
        <v/>
      </c>
      <c r="X1056" s="237">
        <f>V1056/100*S1056</f>
        <v/>
      </c>
      <c r="Y1056">
        <f>IF(AND(V1056&gt;0,N1056=V1056),TRUE,FALSE)</f>
        <v/>
      </c>
      <c r="Z1056" s="228">
        <f>IF(C1056="Einnahmen",Q1056,-Q1056)</f>
        <v/>
      </c>
    </row>
    <row r="1057">
      <c r="A1057" s="53" t="n">
        <v>2023</v>
      </c>
      <c r="B1057" s="53" t="n">
        <v>183</v>
      </c>
      <c r="C1057" s="71" t="inlineStr">
        <is>
          <t>Ausgaben</t>
        </is>
      </c>
      <c r="D1057" t="inlineStr">
        <is>
          <t>Telefon/Internet</t>
        </is>
      </c>
      <c r="G1057" s="1" t="n">
        <v>45260</v>
      </c>
      <c r="H1057" t="inlineStr">
        <is>
          <t>HoT Telekom und Service GmbH, Postfach 28, 1121 Wien</t>
        </is>
      </c>
      <c r="K1057" t="b">
        <v>0</v>
      </c>
      <c r="L1057" s="214">
        <f>20/1.2</f>
        <v/>
      </c>
      <c r="M1057" s="159" t="n">
        <v>1</v>
      </c>
      <c r="N1057" t="n">
        <v>20</v>
      </c>
      <c r="O1057" s="237">
        <f>L1057*N1057/100</f>
        <v/>
      </c>
      <c r="P1057" s="237">
        <f>M1057*O1057</f>
        <v/>
      </c>
      <c r="Q1057" s="208">
        <f>L1057*M1057</f>
        <v/>
      </c>
      <c r="R1057" s="251">
        <f>L1057+O1057</f>
        <v/>
      </c>
      <c r="S1057" s="251">
        <f>Q1057+P1057</f>
        <v/>
      </c>
      <c r="T1057" s="35">
        <f>voranmeldefrist_vierteljaehrlich(G1057)</f>
        <v/>
      </c>
      <c r="U1057" s="27" t="n"/>
      <c r="V1057" s="27" t="n"/>
      <c r="W1057" s="210">
        <f>IF(K1057=TRUE,Q1057/J1057,Q1057)</f>
        <v/>
      </c>
      <c r="X1057" s="237">
        <f>V1057/100*S1057</f>
        <v/>
      </c>
      <c r="Y1057">
        <f>IF(AND(V1057&gt;0,N1057=V1057),TRUE,FALSE)</f>
        <v/>
      </c>
      <c r="Z1057" s="228">
        <f>IF(C1057="Einnahmen",Q1057,-Q1057)</f>
        <v/>
      </c>
    </row>
    <row r="1058">
      <c r="A1058" s="53" t="n">
        <v>2023</v>
      </c>
      <c r="B1058" s="53" t="n">
        <v>184</v>
      </c>
      <c r="C1058" s="71" t="inlineStr">
        <is>
          <t>Ausgaben</t>
        </is>
      </c>
      <c r="D1058" t="inlineStr">
        <is>
          <t>Pflichversicherungsbeiträge</t>
        </is>
      </c>
      <c r="G1058" s="1" t="n">
        <v>45260</v>
      </c>
      <c r="H1058" t="inlineStr">
        <is>
          <t>Sozialversicherungsanstalt der Selbständigen</t>
        </is>
      </c>
      <c r="K1058" t="b">
        <v>0</v>
      </c>
      <c r="L1058" s="214" t="n">
        <v>6800.6</v>
      </c>
      <c r="M1058" s="159" t="n">
        <v>1</v>
      </c>
      <c r="N1058" t="n">
        <v>0</v>
      </c>
      <c r="O1058" s="237">
        <f>L1058*N1058/100</f>
        <v/>
      </c>
      <c r="P1058" s="237">
        <f>M1058*O1058</f>
        <v/>
      </c>
      <c r="Q1058" s="208">
        <f>L1058*M1058</f>
        <v/>
      </c>
      <c r="R1058" s="251">
        <f>L1058+O1058</f>
        <v/>
      </c>
      <c r="S1058" s="251">
        <f>Q1058+P1058</f>
        <v/>
      </c>
      <c r="T1058" s="35">
        <f>DATE(YEAR(EOMONTH(G1058,2)),MONTH(EOMONTH(G1058,2)),15)</f>
        <v/>
      </c>
      <c r="U1058" s="27" t="n"/>
      <c r="V1058" s="27" t="n"/>
      <c r="W1058" s="210">
        <f>IF(K1058=TRUE,Q1058/J1058,Q1058)</f>
        <v/>
      </c>
      <c r="X1058" s="237">
        <f>V1058/100*S1058</f>
        <v/>
      </c>
      <c r="Y1058">
        <f>IF(AND(V1058&gt;0,N1058=V1058),TRUE,FALSE)</f>
        <v/>
      </c>
      <c r="Z1058" s="228">
        <f>IF(C1058="Einnahmen",Q1058,-Q1058)</f>
        <v/>
      </c>
    </row>
    <row r="1059">
      <c r="A1059" s="53" t="n">
        <v>2023</v>
      </c>
      <c r="B1059" s="53" t="n">
        <v>185</v>
      </c>
      <c r="C1059" s="71" t="inlineStr">
        <is>
          <t>Ausgaben</t>
        </is>
      </c>
      <c r="D1059" t="inlineStr">
        <is>
          <t>Miet- und Pachtaufwand, Leasing</t>
        </is>
      </c>
      <c r="G1059" s="1" t="n">
        <v>45261</v>
      </c>
      <c r="H1059" t="inlineStr">
        <is>
          <t>Bontus Immobilienverwaltung GmbH, 1010 Wien, Franz Josefs Kai 65</t>
        </is>
      </c>
      <c r="K1059" t="b">
        <v>0</v>
      </c>
      <c r="L1059" s="214">
        <f>639.73/1.2</f>
        <v/>
      </c>
      <c r="M1059" s="159" t="n">
        <v>1</v>
      </c>
      <c r="N1059" t="n">
        <v>20</v>
      </c>
      <c r="O1059" s="237">
        <f>L1059*N1059/100</f>
        <v/>
      </c>
      <c r="P1059" s="237">
        <f>M1059*O1059</f>
        <v/>
      </c>
      <c r="Q1059" s="208">
        <f>L1059*M1059</f>
        <v/>
      </c>
      <c r="R1059" s="251">
        <f>L1059+O1059</f>
        <v/>
      </c>
      <c r="S1059" s="251">
        <f>Q1059+P1059</f>
        <v/>
      </c>
      <c r="T1059" s="35">
        <f>DATE(YEAR(EOMONTH(G1059,2)),MONTH(EOMONTH(G1059,2)),15)</f>
        <v/>
      </c>
      <c r="U1059" s="27" t="n"/>
      <c r="V1059" s="27" t="n"/>
      <c r="W1059" s="210">
        <f>IF(K1059=TRUE,Q1059/J1059,Q1059)</f>
        <v/>
      </c>
      <c r="X1059" s="237">
        <f>V1059/100*S1059</f>
        <v/>
      </c>
      <c r="Y1059">
        <f>IF(AND(V1059&gt;0,N1059=V1059),TRUE,FALSE)</f>
        <v/>
      </c>
      <c r="Z1059" s="228">
        <f>IF(C1059="Einnahmen",Q1059,-Q1059)</f>
        <v/>
      </c>
    </row>
    <row r="1060">
      <c r="A1060" s="53" t="n">
        <v>2023</v>
      </c>
      <c r="B1060" s="53" t="n">
        <v>186</v>
      </c>
      <c r="C1060" s="71" t="inlineStr">
        <is>
          <t>Ausgaben</t>
        </is>
      </c>
      <c r="D1060" t="inlineStr">
        <is>
          <t>sonstige Betriebsausgaben</t>
        </is>
      </c>
      <c r="G1060" s="1" t="n">
        <v>45264</v>
      </c>
      <c r="H1060" t="inlineStr">
        <is>
          <t>Google Ireland Ltd, Gordon House, Barrow Street, Dublin 4, Ireland; VAT number: IE 6388047V</t>
        </is>
      </c>
      <c r="K1060" t="b">
        <v>0</v>
      </c>
      <c r="L1060" s="214" t="n">
        <v>10.4</v>
      </c>
      <c r="M1060" s="159" t="n">
        <v>1</v>
      </c>
      <c r="N1060" t="n">
        <v>0</v>
      </c>
      <c r="O1060" s="237">
        <f>L1060*N1060/100</f>
        <v/>
      </c>
      <c r="P1060" s="237">
        <f>M1060*O1060</f>
        <v/>
      </c>
      <c r="Q1060" s="208">
        <f>L1060*M1060</f>
        <v/>
      </c>
      <c r="R1060" s="251">
        <f>L1060+O1060</f>
        <v/>
      </c>
      <c r="S1060" s="251">
        <f>Q1060+P1060</f>
        <v/>
      </c>
      <c r="T1060" s="35">
        <f>DATE(YEAR(EOMONTH(G1060,2)),MONTH(EOMONTH(G1060,2)),15)</f>
        <v/>
      </c>
      <c r="U1060" s="27" t="n"/>
      <c r="V1060" s="27" t="n">
        <v>20</v>
      </c>
      <c r="W1060" s="210">
        <f>IF(K1060=TRUE,Q1060/I1060,Q1060)</f>
        <v/>
      </c>
      <c r="X1060" s="237">
        <f>V1060/100*S1060</f>
        <v/>
      </c>
      <c r="Y1060">
        <f>IF(AND(V1060&gt;0,N1060=V1060),TRUE,FALSE)</f>
        <v/>
      </c>
      <c r="Z1060" s="228">
        <f>IF(C1060="Einnahmen",Q1060,-Q1060)</f>
        <v/>
      </c>
    </row>
    <row r="1061">
      <c r="A1061" s="53" t="n">
        <v>2023</v>
      </c>
      <c r="B1061" s="53" t="n">
        <v>187</v>
      </c>
      <c r="C1061" s="71" t="inlineStr">
        <is>
          <t>Ausgaben</t>
        </is>
      </c>
      <c r="D1061" t="inlineStr">
        <is>
          <t>sonstige Betriebsausgaben</t>
        </is>
      </c>
      <c r="E1061" s="61" t="inlineStr">
        <is>
          <t>BELEG FEHLT</t>
        </is>
      </c>
      <c r="G1061" s="1" t="n">
        <v>45264</v>
      </c>
      <c r="H1061" t="inlineStr">
        <is>
          <t>go green energy GmbH &amp; Co KG</t>
        </is>
      </c>
      <c r="K1061" t="b">
        <v>0</v>
      </c>
      <c r="L1061" s="214" t="n">
        <v>5</v>
      </c>
      <c r="M1061" s="159" t="n">
        <v>1</v>
      </c>
      <c r="N1061" t="n">
        <v>20</v>
      </c>
      <c r="O1061" s="237">
        <f>L1061*N1061/100</f>
        <v/>
      </c>
      <c r="P1061" s="237">
        <f>M1061*O1061</f>
        <v/>
      </c>
      <c r="Q1061" s="208">
        <f>L1061*M1061</f>
        <v/>
      </c>
      <c r="R1061" s="251">
        <f>L1061+O1061</f>
        <v/>
      </c>
      <c r="S1061" s="251">
        <f>Q1061+P1061</f>
        <v/>
      </c>
      <c r="T1061" s="35">
        <f>DATE(YEAR(EOMONTH(G1061,2)),MONTH(EOMONTH(G1061,2)),15)</f>
        <v/>
      </c>
      <c r="U1061" s="27" t="n"/>
      <c r="V1061" s="27" t="n"/>
      <c r="W1061" s="210">
        <f>IF(K1061=TRUE,Q1061/I1061,Q1061)</f>
        <v/>
      </c>
      <c r="X1061" s="237">
        <f>V1061/100*S1061</f>
        <v/>
      </c>
      <c r="Y1061">
        <f>IF(AND(V1061&gt;0,N1061=V1061),TRUE,FALSE)</f>
        <v/>
      </c>
      <c r="Z1061" s="228">
        <f>IF(C1061="Einnahmen",Q1061,-Q1061)</f>
        <v/>
      </c>
    </row>
    <row r="1062">
      <c r="A1062" s="53" t="n">
        <v>2023</v>
      </c>
      <c r="B1062" s="53" t="n">
        <v>188</v>
      </c>
      <c r="C1062" s="71" t="inlineStr">
        <is>
          <t>Ausgaben</t>
        </is>
      </c>
      <c r="D1062" t="inlineStr">
        <is>
          <t>Büromaterial</t>
        </is>
      </c>
      <c r="G1062" s="1" t="n">
        <v>45265</v>
      </c>
      <c r="H1062" t="inlineStr">
        <is>
          <t>Amazon EU S. à r.l., 38 avenue John F. Kennedy, L-1855 Luxembourg</t>
        </is>
      </c>
      <c r="K1062" t="b">
        <v>0</v>
      </c>
      <c r="L1062" s="214" t="n">
        <v>177.7</v>
      </c>
      <c r="M1062" s="159" t="n">
        <v>1</v>
      </c>
      <c r="N1062" t="n">
        <v>20</v>
      </c>
      <c r="O1062" s="237">
        <f>L1062*N1062/100</f>
        <v/>
      </c>
      <c r="P1062" s="237">
        <f>M1062*O1062</f>
        <v/>
      </c>
      <c r="Q1062" s="208">
        <f>L1062*M1062</f>
        <v/>
      </c>
      <c r="R1062" s="251">
        <f>L1062+O1062</f>
        <v/>
      </c>
      <c r="S1062" s="251">
        <f>Q1062+P1062</f>
        <v/>
      </c>
      <c r="T1062" s="35">
        <f>DATE(YEAR(EOMONTH(G1062,2)),MONTH(EOMONTH(G1062,2)),15)</f>
        <v/>
      </c>
      <c r="U1062" s="27" t="n"/>
      <c r="V1062" s="27" t="n"/>
      <c r="W1062" s="210">
        <f>IF(K1062=TRUE,Q1062/I1062,Q1062)</f>
        <v/>
      </c>
      <c r="X1062" s="237">
        <f>V1062/100*S1062</f>
        <v/>
      </c>
      <c r="Y1062">
        <f>IF(AND(V1062&gt;0,N1062=V1062),TRUE,FALSE)</f>
        <v/>
      </c>
      <c r="Z1062" s="228">
        <f>IF(C1062="Einnahmen",Q1062,-Q1062)</f>
        <v/>
      </c>
    </row>
    <row r="1063">
      <c r="A1063" s="53" t="n">
        <v>2023</v>
      </c>
      <c r="B1063" s="53" t="n">
        <v>189</v>
      </c>
      <c r="C1063" s="71" t="inlineStr">
        <is>
          <t>Ausgaben</t>
        </is>
      </c>
      <c r="D1063" t="inlineStr">
        <is>
          <t>sonstige Betriebsausgaben</t>
        </is>
      </c>
      <c r="G1063" s="1" t="n">
        <v>45265</v>
      </c>
      <c r="H1063" t="inlineStr">
        <is>
          <t>Lemon Technologies GmbH, Unterweißenbach 181, 8330 Feldbach: Dell Precision 3580 Laptop</t>
        </is>
      </c>
      <c r="I1063" t="n">
        <v>3</v>
      </c>
      <c r="K1063">
        <f>(IF(AND(I1063&lt;&gt;"",AND(J1063="",ABS(Q1063)&gt;400)),TRUE,FALSE))</f>
        <v/>
      </c>
      <c r="L1063" s="214" t="n">
        <v>267.04</v>
      </c>
      <c r="M1063" s="159" t="n">
        <v>1</v>
      </c>
      <c r="N1063" t="n">
        <v>20</v>
      </c>
      <c r="O1063" s="237">
        <f>L1063*N1063/100</f>
        <v/>
      </c>
      <c r="P1063" s="237">
        <f>M1063*O1063</f>
        <v/>
      </c>
      <c r="Q1063" s="208">
        <f>L1063*M1063</f>
        <v/>
      </c>
      <c r="R1063" s="251">
        <f>L1063+O1063</f>
        <v/>
      </c>
      <c r="S1063" s="251">
        <f>Q1063+P1063</f>
        <v/>
      </c>
      <c r="T1063" s="35">
        <f>voranmeldefrist_vierteljaehrlich(G1063)</f>
        <v/>
      </c>
      <c r="U1063" s="27" t="n"/>
      <c r="V1063" s="27" t="n"/>
      <c r="W1063" s="210">
        <f>IF(K1063=TRUE,Q1063/I1063,Q1063)</f>
        <v/>
      </c>
      <c r="X1063" s="237">
        <f>V1063/100*S1063</f>
        <v/>
      </c>
      <c r="Y1063">
        <f>IF(AND(V1063&gt;0,N1063=V1063),TRUE,FALSE)</f>
        <v/>
      </c>
      <c r="Z1063" s="228">
        <f>IF(C1063="Einnahmen",Q1063,-Q1063)</f>
        <v/>
      </c>
    </row>
    <row r="1064">
      <c r="A1064" s="53" t="n">
        <v>2023</v>
      </c>
      <c r="B1064" s="53" t="n">
        <v>190</v>
      </c>
      <c r="C1064" s="71" t="inlineStr">
        <is>
          <t>Ausgaben</t>
        </is>
      </c>
      <c r="D1064" t="inlineStr">
        <is>
          <t>Miet- und Pachtaufwand, Leasing</t>
        </is>
      </c>
      <c r="G1064" s="1" t="n">
        <v>45265</v>
      </c>
      <c r="H1064" t="inlineStr">
        <is>
          <t>Techem Messtechnik GmbH; Abnehmernummer 501686-0003-11-</t>
        </is>
      </c>
      <c r="K1064" t="b">
        <v>0</v>
      </c>
      <c r="L1064" s="214" t="n">
        <v>108.5</v>
      </c>
      <c r="M1064" s="159" t="n">
        <v>1</v>
      </c>
      <c r="N1064" t="n">
        <v>20</v>
      </c>
      <c r="O1064" s="237">
        <f>L1064*N1064/100</f>
        <v/>
      </c>
      <c r="P1064" s="237">
        <f>M1064*O1064</f>
        <v/>
      </c>
      <c r="Q1064" s="208">
        <f>L1064*M1064</f>
        <v/>
      </c>
      <c r="R1064" s="251">
        <f>L1064+O1064</f>
        <v/>
      </c>
      <c r="S1064" s="251">
        <f>Q1064+P1064</f>
        <v/>
      </c>
      <c r="T1064" s="35">
        <f>DATE(YEAR(EOMONTH(G1064,2)),MONTH(EOMONTH(G1064,2)),15)</f>
        <v/>
      </c>
      <c r="U1064" s="27" t="n"/>
      <c r="V1064" s="27" t="n"/>
      <c r="W1064" s="210">
        <f>IF(K1064=TRUE,Q1064/J1064,Q1064)</f>
        <v/>
      </c>
      <c r="X1064" s="237">
        <f>V1064/100*S1064</f>
        <v/>
      </c>
      <c r="Y1064">
        <f>IF(AND(V1064&gt;0,N1064=V1064),TRUE,FALSE)</f>
        <v/>
      </c>
      <c r="Z1064" s="228">
        <f>IF(C1064="Einnahmen",Q1064,-Q1064)</f>
        <v/>
      </c>
    </row>
    <row r="1065">
      <c r="A1065" s="53" t="n">
        <v>2023</v>
      </c>
      <c r="B1065" s="53" t="n">
        <v>191</v>
      </c>
      <c r="C1065" s="71" t="inlineStr">
        <is>
          <t>Ausgaben</t>
        </is>
      </c>
      <c r="D1065" t="inlineStr">
        <is>
          <t>Telefon/Internet</t>
        </is>
      </c>
      <c r="G1065" s="1" t="n">
        <v>45265</v>
      </c>
      <c r="H1065" t="inlineStr">
        <is>
          <t>Hutchison Drei Austria GmbH, Brünner Straße 52, 1210 Wien, Österreich</t>
        </is>
      </c>
      <c r="K1065">
        <f>(IF(AND(I1065&lt;&gt;"",AND(J1065="",ABS(Q1065)&gt;400)),TRUE,FALSE))</f>
        <v/>
      </c>
      <c r="L1065" s="214" t="n">
        <v>23.25</v>
      </c>
      <c r="M1065" s="159" t="n">
        <v>1</v>
      </c>
      <c r="N1065" t="n">
        <v>20</v>
      </c>
      <c r="O1065" s="237">
        <f>L1065*N1065/100</f>
        <v/>
      </c>
      <c r="P1065" s="237">
        <f>M1065*O1065</f>
        <v/>
      </c>
      <c r="Q1065" s="208">
        <f>L1065*M1065</f>
        <v/>
      </c>
      <c r="R1065" s="251">
        <f>L1065+O1065</f>
        <v/>
      </c>
      <c r="S1065" s="251">
        <f>Q1065+P1065</f>
        <v/>
      </c>
      <c r="T1065" s="35">
        <f>DATE(YEAR(EOMONTH(G1065,2)),MONTH(EOMONTH(G1065,2)),15)</f>
        <v/>
      </c>
      <c r="U1065" s="27" t="n"/>
      <c r="V1065" s="27" t="n"/>
      <c r="W1065" s="210">
        <f>IF(K1065=TRUE,Q1065/I1065,Q1065)</f>
        <v/>
      </c>
      <c r="X1065" s="237">
        <f>V1065/100*S1065</f>
        <v/>
      </c>
      <c r="Y1065">
        <f>IF(AND(V1065&gt;0,N1065=V1065),TRUE,FALSE)</f>
        <v/>
      </c>
      <c r="Z1065" s="228">
        <f>IF(C1065="Einnahmen",Q1065,-Q1065)</f>
        <v/>
      </c>
    </row>
    <row r="1066">
      <c r="A1066" s="53" t="n">
        <v>2023</v>
      </c>
      <c r="B1066" s="53" t="n">
        <v>192</v>
      </c>
      <c r="C1066" s="71" t="inlineStr">
        <is>
          <t>Ausgaben</t>
        </is>
      </c>
      <c r="D1066" t="inlineStr">
        <is>
          <t>Büromaterial</t>
        </is>
      </c>
      <c r="G1066" s="1" t="n">
        <v>45273</v>
      </c>
      <c r="H1066" t="inlineStr">
        <is>
          <t>Amazon EU S. à r.l., 38 avenue John F. Kennedy, L-1855 Luxembourg</t>
        </is>
      </c>
      <c r="K1066" t="b">
        <v>0</v>
      </c>
      <c r="L1066" s="214" t="n">
        <v>20.99</v>
      </c>
      <c r="M1066" s="159" t="n">
        <v>1</v>
      </c>
      <c r="N1066" t="n">
        <v>20</v>
      </c>
      <c r="O1066" s="237">
        <f>L1066*N1066/100</f>
        <v/>
      </c>
      <c r="P1066" s="237">
        <f>M1066*O1066</f>
        <v/>
      </c>
      <c r="Q1066" s="208">
        <f>L1066*M1066</f>
        <v/>
      </c>
      <c r="R1066" s="251">
        <f>L1066+O1066</f>
        <v/>
      </c>
      <c r="S1066" s="251">
        <f>Q1066+P1066</f>
        <v/>
      </c>
      <c r="T1066" s="35">
        <f>DATE(YEAR(EOMONTH(G1066,2)),MONTH(EOMONTH(G1066,2)),15)</f>
        <v/>
      </c>
      <c r="U1066" s="27" t="n"/>
      <c r="V1066" s="27" t="n"/>
      <c r="W1066" s="210">
        <f>IF(K1066=TRUE,Q1066/I1066,Q1066)</f>
        <v/>
      </c>
      <c r="X1066" s="237">
        <f>V1066/100*S1066</f>
        <v/>
      </c>
      <c r="Y1066">
        <f>IF(AND(V1066&gt;0,N1066=V1066),TRUE,FALSE)</f>
        <v/>
      </c>
      <c r="Z1066" s="228">
        <f>IF(C1066="Einnahmen",Q1066,-Q1066)</f>
        <v/>
      </c>
    </row>
    <row r="1067">
      <c r="A1067" s="53" t="n">
        <v>2023</v>
      </c>
      <c r="B1067" s="53" t="n">
        <v>193</v>
      </c>
      <c r="C1067" s="71" t="inlineStr">
        <is>
          <t>Ausgaben</t>
        </is>
      </c>
      <c r="D1067" t="inlineStr">
        <is>
          <t>sonstige Betriebsausgaben</t>
        </is>
      </c>
      <c r="G1067" s="1" t="n">
        <v>45273</v>
      </c>
      <c r="H1067" t="inlineStr">
        <is>
          <t>Hetzner Online GmbH</t>
        </is>
      </c>
      <c r="K1067">
        <f>(IF(AND(I1067&lt;&gt;"",AND(J1067="",ABS(Q1067)&gt;400)),TRUE,FALSE))</f>
        <v/>
      </c>
      <c r="L1067" s="214" t="n">
        <v>52.2141</v>
      </c>
      <c r="M1067" s="159" t="n">
        <v>1</v>
      </c>
      <c r="N1067" t="n">
        <v>0</v>
      </c>
      <c r="O1067" s="237">
        <f>L1067*N1067/100</f>
        <v/>
      </c>
      <c r="P1067" s="237">
        <f>M1067*O1067</f>
        <v/>
      </c>
      <c r="Q1067" s="208">
        <f>L1067*M1067</f>
        <v/>
      </c>
      <c r="R1067" s="251">
        <f>L1067+O1067</f>
        <v/>
      </c>
      <c r="S1067" s="251">
        <f>Q1067+P1067</f>
        <v/>
      </c>
      <c r="T1067" s="35">
        <f>DATE(YEAR(EOMONTH(G1067,2)),MONTH(EOMONTH(G1067,2)),15)</f>
        <v/>
      </c>
      <c r="U1067" s="27" t="n"/>
      <c r="V1067" s="27" t="n">
        <v>20</v>
      </c>
      <c r="W1067" s="210">
        <f>IF(K1067=TRUE,Q1067/J1067,Q1067)</f>
        <v/>
      </c>
      <c r="X1067" s="237">
        <f>V1067/100*S1067</f>
        <v/>
      </c>
      <c r="Y1067">
        <f>IF(AND(V1067&gt;0,N1067=V1067),TRUE,FALSE)</f>
        <v/>
      </c>
      <c r="Z1067" s="228">
        <f>IF(C1067="Einnahmen",Q1067,-Q1067)</f>
        <v/>
      </c>
    </row>
    <row r="1068">
      <c r="A1068" s="53" t="n">
        <v>2023</v>
      </c>
      <c r="B1068" s="53" t="n">
        <v>194</v>
      </c>
      <c r="C1068" s="71" t="inlineStr">
        <is>
          <t>Ausgaben</t>
        </is>
      </c>
      <c r="D1068" t="inlineStr">
        <is>
          <t>Personalaufwand</t>
        </is>
      </c>
      <c r="E1068" s="9" t="inlineStr">
        <is>
          <t>siehe 2022-140</t>
        </is>
      </c>
      <c r="G1068" s="1" t="n">
        <v>45275</v>
      </c>
      <c r="H1068" t="inlineStr">
        <is>
          <t>Honorar Eva Jaros-Kolbitsch</t>
        </is>
      </c>
      <c r="K1068">
        <f>(IF(AND(I1068&lt;&gt;"",AND(J1068="",ABS(Q1068)&gt;400)),TRUE,FALSE))</f>
        <v/>
      </c>
      <c r="L1068" s="214" t="n">
        <v>365</v>
      </c>
      <c r="M1068" s="159" t="n">
        <v>1</v>
      </c>
      <c r="N1068" t="n">
        <v>0</v>
      </c>
      <c r="O1068" s="237">
        <f>L1068*N1068/100</f>
        <v/>
      </c>
      <c r="P1068" s="237">
        <f>M1068*O1068</f>
        <v/>
      </c>
      <c r="Q1068" s="208">
        <f>L1068*M1068</f>
        <v/>
      </c>
      <c r="R1068" s="251">
        <f>L1068+O1068</f>
        <v/>
      </c>
      <c r="S1068" s="251">
        <f>Q1068+P1068</f>
        <v/>
      </c>
      <c r="T1068" s="35">
        <f>DATE(YEAR(EOMONTH(G1068,2)),MONTH(EOMONTH(G1068,2)),15)</f>
        <v/>
      </c>
      <c r="U1068" s="27" t="n"/>
      <c r="V1068" s="27" t="n"/>
      <c r="W1068" s="210">
        <f>IF(K1068=TRUE,Q1068/J1068,Q1068)</f>
        <v/>
      </c>
      <c r="X1068" s="237">
        <f>V1068/100*S1068</f>
        <v/>
      </c>
      <c r="Y1068">
        <f>IF(AND(V1068&gt;0,N1068=V1068),TRUE,FALSE)</f>
        <v/>
      </c>
      <c r="Z1068" s="228">
        <f>IF(C1068="Einnahmen",Q1068,-Q1068)</f>
        <v/>
      </c>
    </row>
    <row r="1069">
      <c r="A1069" s="53" t="n">
        <v>2023</v>
      </c>
      <c r="B1069" s="53" t="n">
        <v>195</v>
      </c>
      <c r="C1069" s="71" t="inlineStr">
        <is>
          <t>Ausgaben</t>
        </is>
      </c>
      <c r="D1069" t="inlineStr">
        <is>
          <t>sonstige Betriebsausgaben</t>
        </is>
      </c>
      <c r="E1069" s="1" t="n"/>
      <c r="G1069" s="1" t="n">
        <v>45280</v>
      </c>
      <c r="H1069" t="inlineStr">
        <is>
          <t>Microsoft Ireland Operations Ltd. One Microsoft Place, South County, Business Park, Leopardstown, Dublin 18, D18 P521, Ireland</t>
        </is>
      </c>
      <c r="K1069">
        <f>(IF(AND(I1069&lt;&gt;"",AND(J1069="",ABS(Q1069)&gt;400)),TRUE,FALSE))</f>
        <v/>
      </c>
      <c r="L1069" s="214" t="n">
        <v>11.7</v>
      </c>
      <c r="M1069" s="159" t="n">
        <v>1</v>
      </c>
      <c r="N1069" t="n">
        <v>0</v>
      </c>
      <c r="O1069" s="237">
        <f>L1069*N1069/100</f>
        <v/>
      </c>
      <c r="P1069" s="237">
        <f>M1069*O1069</f>
        <v/>
      </c>
      <c r="Q1069" s="208">
        <f>L1069*M1069</f>
        <v/>
      </c>
      <c r="R1069" s="251">
        <f>L1069+O1069</f>
        <v/>
      </c>
      <c r="S1069" s="251">
        <f>Q1069+P1069</f>
        <v/>
      </c>
      <c r="T1069" s="35">
        <f>DATE(YEAR(EOMONTH(G1069,2)),MONTH(EOMONTH(G1069,2)),15)</f>
        <v/>
      </c>
      <c r="U1069" s="27" t="n"/>
      <c r="V1069" s="27" t="n">
        <v>20</v>
      </c>
      <c r="W1069" s="210">
        <f>IF(K1069=TRUE,Q1069/J1069,Q1069)</f>
        <v/>
      </c>
      <c r="X1069" s="237">
        <f>V1069/100*S1069</f>
        <v/>
      </c>
      <c r="Y1069">
        <f>IF(AND(V1069&gt;0,N1069=V1069),TRUE,FALSE)</f>
        <v/>
      </c>
      <c r="Z1069" s="228">
        <f>IF(C1069="Einnahmen",Q1069,-Q1069)</f>
        <v/>
      </c>
    </row>
    <row r="1070">
      <c r="A1070" s="53" t="n">
        <v>2023</v>
      </c>
      <c r="B1070" s="53" t="n">
        <v>196</v>
      </c>
      <c r="C1070" s="71" t="inlineStr">
        <is>
          <t>Ausgaben</t>
        </is>
      </c>
      <c r="D1070" t="inlineStr">
        <is>
          <t>Büromaterial</t>
        </is>
      </c>
      <c r="G1070" s="1" t="n">
        <v>45278</v>
      </c>
      <c r="H1070" t="inlineStr">
        <is>
          <t>Amazon EU S. à r.l., 38 avenue John F. Kennedy, L-1855 Luxembourg</t>
        </is>
      </c>
      <c r="K1070" t="b">
        <v>0</v>
      </c>
      <c r="L1070" s="214" t="n">
        <v>14.28</v>
      </c>
      <c r="M1070" s="159" t="n">
        <v>1</v>
      </c>
      <c r="N1070" t="n">
        <v>20</v>
      </c>
      <c r="O1070" s="237">
        <f>L1070*N1070/100</f>
        <v/>
      </c>
      <c r="P1070" s="237">
        <f>M1070*O1070</f>
        <v/>
      </c>
      <c r="Q1070" s="208">
        <f>L1070*M1070</f>
        <v/>
      </c>
      <c r="R1070" s="251">
        <f>L1070+O1070</f>
        <v/>
      </c>
      <c r="S1070" s="251">
        <f>Q1070+P1070</f>
        <v/>
      </c>
      <c r="T1070" s="35">
        <f>DATE(YEAR(EOMONTH(G1070,2)),MONTH(EOMONTH(G1070,2)),15)</f>
        <v/>
      </c>
      <c r="U1070" s="27" t="n"/>
      <c r="V1070" s="27" t="n"/>
      <c r="W1070" s="210">
        <f>IF(K1070=TRUE,Q1070/I1070,Q1070)</f>
        <v/>
      </c>
      <c r="X1070" s="237">
        <f>V1070/100*S1070</f>
        <v/>
      </c>
      <c r="Y1070">
        <f>IF(AND(V1070&gt;0,N1070=V1070),TRUE,FALSE)</f>
        <v/>
      </c>
      <c r="Z1070" s="228">
        <f>IF(C1070="Einnahmen",Q1070,-Q1070)</f>
        <v/>
      </c>
    </row>
    <row r="1071">
      <c r="A1071" s="53" t="n">
        <v>2023</v>
      </c>
      <c r="B1071" s="53" t="n">
        <v>197</v>
      </c>
      <c r="C1071" s="71" t="inlineStr">
        <is>
          <t>Einnahmen</t>
        </is>
      </c>
      <c r="D1071" t="inlineStr">
        <is>
          <t>Waren-/Leistungserlöse</t>
        </is>
      </c>
      <c r="G1071" s="1" t="n">
        <v>45280</v>
      </c>
      <c r="H1071" t="inlineStr">
        <is>
          <t>Hays Österreich GmbH, Bahnhof City Wien West , Europaplatz 3/5, 1150 Wien</t>
        </is>
      </c>
      <c r="K1071">
        <f>(IF(AND(I1071&lt;&gt;"",AND(J1071="",ABS(Q1071)&gt;400)),TRUE,FALSE))</f>
        <v/>
      </c>
      <c r="L1071" s="214" t="n">
        <v>11217.38</v>
      </c>
      <c r="M1071" s="159" t="n">
        <v>1</v>
      </c>
      <c r="N1071" t="n">
        <v>20</v>
      </c>
      <c r="O1071" s="237">
        <f>L1071*N1071/100</f>
        <v/>
      </c>
      <c r="P1071" s="237">
        <f>M1071*O1071</f>
        <v/>
      </c>
      <c r="Q1071" s="208">
        <f>L1071*M1071</f>
        <v/>
      </c>
      <c r="R1071" s="251">
        <f>L1071+O1071</f>
        <v/>
      </c>
      <c r="S1071" s="251">
        <f>Q1071+P1071</f>
        <v/>
      </c>
      <c r="T1071" s="35">
        <f>DATE(YEAR(EOMONTH(G1071,2)),MONTH(EOMONTH(G1071,2)),15)</f>
        <v/>
      </c>
      <c r="U1071" s="27" t="n"/>
      <c r="V1071" s="27" t="n"/>
      <c r="W1071" s="210">
        <f>IF(K1071=TRUE,Q1071/J1071,Q1071)</f>
        <v/>
      </c>
      <c r="X1071" s="237">
        <f>V1071/100*S1071</f>
        <v/>
      </c>
      <c r="Y1071">
        <f>IF(AND(V1071&gt;0,N1071=V1071),TRUE,FALSE)</f>
        <v/>
      </c>
      <c r="Z1071" s="228">
        <f>IF(C1071="Einnahmen",Q1071,-Q1071)</f>
        <v/>
      </c>
    </row>
    <row r="1072">
      <c r="A1072" s="53" t="n">
        <v>2023</v>
      </c>
      <c r="B1072" s="53" t="n">
        <v>198</v>
      </c>
      <c r="C1072" s="71" t="inlineStr">
        <is>
          <t>Ausgaben</t>
        </is>
      </c>
      <c r="D1072" t="inlineStr">
        <is>
          <t>sonstige Betriebsausgaben</t>
        </is>
      </c>
      <c r="G1072" s="1" t="n">
        <v>45280</v>
      </c>
      <c r="H1072" t="inlineStr">
        <is>
          <t>Hetzner Online GmbH</t>
        </is>
      </c>
      <c r="K1072">
        <f>(IF(AND(I1072&lt;&gt;"",AND(J1072="",ABS(Q1072)&gt;400)),TRUE,FALSE))</f>
        <v/>
      </c>
      <c r="L1072" s="214" t="n">
        <v>11</v>
      </c>
      <c r="M1072" s="159" t="n">
        <v>1</v>
      </c>
      <c r="N1072" t="n">
        <v>0</v>
      </c>
      <c r="O1072" s="237">
        <f>L1072*N1072/100</f>
        <v/>
      </c>
      <c r="P1072" s="237">
        <f>M1072*O1072</f>
        <v/>
      </c>
      <c r="Q1072" s="208">
        <f>L1072*M1072</f>
        <v/>
      </c>
      <c r="R1072" s="251">
        <f>L1072+O1072</f>
        <v/>
      </c>
      <c r="S1072" s="251">
        <f>Q1072+P1072</f>
        <v/>
      </c>
      <c r="T1072" s="35">
        <f>DATE(YEAR(EOMONTH(G1072,2)),MONTH(EOMONTH(G1072,2)),15)</f>
        <v/>
      </c>
      <c r="U1072" s="27" t="n"/>
      <c r="V1072" s="27" t="n">
        <v>20</v>
      </c>
      <c r="W1072" s="210">
        <f>IF(K1072=TRUE,Q1072/J1072,Q1072)</f>
        <v/>
      </c>
      <c r="X1072" s="237">
        <f>V1072/100*S1072</f>
        <v/>
      </c>
      <c r="Y1072">
        <f>IF(AND(V1072&gt;0,N1072=V1072),TRUE,FALSE)</f>
        <v/>
      </c>
      <c r="Z1072" s="228">
        <f>IF(C1072="Einnahmen",Q1072,-Q1072)</f>
        <v/>
      </c>
    </row>
    <row r="1073">
      <c r="A1073" s="53" t="n">
        <v>2023</v>
      </c>
      <c r="B1073" s="53" t="n">
        <v>199</v>
      </c>
      <c r="C1073" s="71" t="inlineStr">
        <is>
          <t>Ausgaben</t>
        </is>
      </c>
      <c r="D1073" t="inlineStr">
        <is>
          <t>Büromaterial</t>
        </is>
      </c>
      <c r="G1073" s="1" t="n">
        <v>45287</v>
      </c>
      <c r="H1073" t="inlineStr">
        <is>
          <t>Amazon EU S. à r.l., 38 avenue John F. Kennedy, L-1855 Luxembourg</t>
        </is>
      </c>
      <c r="K1073" t="b">
        <v>0</v>
      </c>
      <c r="L1073" s="214" t="n">
        <v>14.11</v>
      </c>
      <c r="M1073" s="159" t="n">
        <v>1</v>
      </c>
      <c r="N1073" t="n">
        <v>20</v>
      </c>
      <c r="O1073" s="237">
        <f>L1073*N1073/100</f>
        <v/>
      </c>
      <c r="P1073" s="237">
        <f>M1073*O1073</f>
        <v/>
      </c>
      <c r="Q1073" s="208">
        <f>L1073*M1073</f>
        <v/>
      </c>
      <c r="R1073" s="251">
        <f>L1073+O1073</f>
        <v/>
      </c>
      <c r="S1073" s="251">
        <f>Q1073+P1073</f>
        <v/>
      </c>
      <c r="T1073" s="35">
        <f>DATE(YEAR(EOMONTH(G1073,2)),MONTH(EOMONTH(G1073,2)),15)</f>
        <v/>
      </c>
      <c r="U1073" s="27" t="n"/>
      <c r="V1073" s="27" t="n"/>
      <c r="W1073" s="210">
        <f>IF(K1073=TRUE,Q1073/I1073,Q1073)</f>
        <v/>
      </c>
      <c r="X1073" s="237">
        <f>V1073/100*S1073</f>
        <v/>
      </c>
      <c r="Y1073">
        <f>IF(AND(V1073&gt;0,N1073=V1073),TRUE,FALSE)</f>
        <v/>
      </c>
      <c r="Z1073" s="228">
        <f>IF(C1073="Einnahmen",Q1073,-Q1073)</f>
        <v/>
      </c>
    </row>
    <row r="1074">
      <c r="A1074" s="53" t="n">
        <v>2023</v>
      </c>
      <c r="B1074" s="53" t="n">
        <v>200</v>
      </c>
    </row>
    <row r="1075">
      <c r="A1075" s="53" t="n">
        <v>2023</v>
      </c>
      <c r="B1075" s="53" t="n">
        <v>201</v>
      </c>
    </row>
    <row r="1076">
      <c r="A1076" s="53" t="n">
        <v>2023</v>
      </c>
      <c r="B1076" s="53" t="n">
        <v>202</v>
      </c>
    </row>
    <row r="1077">
      <c r="A1077" s="53" t="n">
        <v>2023</v>
      </c>
      <c r="B1077" s="53" t="n">
        <v>203</v>
      </c>
    </row>
    <row r="1078">
      <c r="A1078" s="53" t="n">
        <v>2023</v>
      </c>
      <c r="B1078" s="53" t="n">
        <v>204</v>
      </c>
    </row>
    <row r="1079">
      <c r="A1079" s="53" t="n">
        <v>2023</v>
      </c>
      <c r="B1079" s="53" t="n">
        <v>205</v>
      </c>
    </row>
    <row r="1080">
      <c r="A1080" s="53" t="n">
        <v>2023</v>
      </c>
      <c r="B1080" s="53" t="n">
        <v>206</v>
      </c>
    </row>
    <row r="1081">
      <c r="A1081" s="53" t="n">
        <v>2023</v>
      </c>
      <c r="B1081" s="53" t="n">
        <v>207</v>
      </c>
    </row>
    <row r="1082">
      <c r="A1082" s="53" t="n">
        <v>2023</v>
      </c>
      <c r="B1082" s="53" t="n">
        <v>208</v>
      </c>
    </row>
    <row r="1083">
      <c r="A1083" s="53" t="n">
        <v>2023</v>
      </c>
      <c r="B1083" s="53" t="n">
        <v>209</v>
      </c>
    </row>
    <row r="1084">
      <c r="A1084" s="53" t="n">
        <v>2023</v>
      </c>
      <c r="B1084" s="53" t="n">
        <v>210</v>
      </c>
    </row>
    <row r="1085">
      <c r="A1085" s="53" t="n">
        <v>2023</v>
      </c>
      <c r="B1085" s="53" t="n">
        <v>211</v>
      </c>
    </row>
    <row r="1086">
      <c r="A1086" s="53" t="n">
        <v>2023</v>
      </c>
      <c r="B1086" s="53" t="n">
        <v>212</v>
      </c>
    </row>
    <row r="1087">
      <c r="A1087" s="53" t="n">
        <v>2023</v>
      </c>
      <c r="B1087" s="53" t="n">
        <v>213</v>
      </c>
    </row>
    <row r="1088">
      <c r="A1088" s="53" t="n">
        <v>2023</v>
      </c>
      <c r="B1088" s="53" t="n">
        <v>214</v>
      </c>
    </row>
    <row r="1089">
      <c r="A1089" s="53" t="n">
        <v>2023</v>
      </c>
      <c r="B1089" s="53" t="n">
        <v>215</v>
      </c>
    </row>
    <row r="1090">
      <c r="A1090" s="53" t="n">
        <v>2023</v>
      </c>
      <c r="B1090" s="53" t="n">
        <v>216</v>
      </c>
    </row>
    <row r="1091">
      <c r="A1091" s="53" t="n">
        <v>2023</v>
      </c>
      <c r="B1091" s="53" t="n">
        <v>217</v>
      </c>
    </row>
    <row r="1092">
      <c r="A1092" s="53" t="n">
        <v>2023</v>
      </c>
      <c r="B1092" s="53" t="n">
        <v>218</v>
      </c>
    </row>
    <row r="1093">
      <c r="A1093" s="53" t="n">
        <v>2023</v>
      </c>
      <c r="B1093" s="53" t="n">
        <v>219</v>
      </c>
    </row>
    <row r="1094">
      <c r="A1094" s="53" t="n">
        <v>2023</v>
      </c>
      <c r="B1094" s="53" t="n">
        <v>220</v>
      </c>
    </row>
    <row r="1095">
      <c r="A1095" s="53" t="n">
        <v>2023</v>
      </c>
      <c r="B1095" s="53" t="n">
        <v>221</v>
      </c>
    </row>
    <row r="1096">
      <c r="A1096" s="53" t="n">
        <v>2023</v>
      </c>
      <c r="B1096" s="53" t="n">
        <v>222</v>
      </c>
    </row>
    <row r="1097">
      <c r="A1097" s="53" t="n">
        <v>2023</v>
      </c>
      <c r="B1097" s="53" t="n">
        <v>223</v>
      </c>
    </row>
    <row r="1098">
      <c r="A1098" s="53" t="n">
        <v>2023</v>
      </c>
      <c r="B1098" s="53" t="n">
        <v>224</v>
      </c>
    </row>
    <row r="1099">
      <c r="A1099" s="53" t="n">
        <v>2023</v>
      </c>
      <c r="B1099" s="53" t="n">
        <v>225</v>
      </c>
    </row>
    <row r="1100">
      <c r="A1100" s="53" t="n">
        <v>2023</v>
      </c>
      <c r="B1100" s="53" t="n">
        <v>226</v>
      </c>
    </row>
    <row r="1101">
      <c r="A1101" s="53" t="n">
        <v>2023</v>
      </c>
      <c r="B1101" s="53" t="n">
        <v>227</v>
      </c>
    </row>
    <row r="1102">
      <c r="A1102" s="53" t="n">
        <v>2023</v>
      </c>
      <c r="B1102" s="53" t="n">
        <v>228</v>
      </c>
    </row>
    <row r="1103">
      <c r="A1103" s="53" t="n">
        <v>2023</v>
      </c>
      <c r="B1103" s="53" t="n">
        <v>229</v>
      </c>
    </row>
    <row r="1104">
      <c r="A1104" s="53" t="n">
        <v>2023</v>
      </c>
      <c r="B1104" s="53" t="n">
        <v>230</v>
      </c>
    </row>
    <row r="1105">
      <c r="A1105" s="53" t="n">
        <v>2023</v>
      </c>
      <c r="B1105" s="53" t="n">
        <v>231</v>
      </c>
    </row>
    <row r="1106">
      <c r="A1106" s="53" t="n">
        <v>2023</v>
      </c>
      <c r="B1106" s="53" t="n">
        <v>232</v>
      </c>
    </row>
    <row r="1107">
      <c r="A1107" s="53" t="n">
        <v>2023</v>
      </c>
      <c r="B1107" s="53" t="n">
        <v>233</v>
      </c>
    </row>
    <row r="1108">
      <c r="A1108" s="53" t="n">
        <v>2023</v>
      </c>
      <c r="B1108" s="53" t="n">
        <v>234</v>
      </c>
    </row>
    <row r="1109">
      <c r="A1109" s="53" t="n">
        <v>2023</v>
      </c>
      <c r="B1109" s="53" t="n">
        <v>235</v>
      </c>
    </row>
    <row r="1110">
      <c r="A1110" s="53" t="n">
        <v>2023</v>
      </c>
      <c r="B1110" s="53" t="n">
        <v>236</v>
      </c>
    </row>
    <row r="1111">
      <c r="A1111" s="53" t="n">
        <v>2023</v>
      </c>
      <c r="B1111" s="53" t="n">
        <v>237</v>
      </c>
    </row>
    <row r="1112">
      <c r="A1112" s="53" t="n">
        <v>2023</v>
      </c>
      <c r="B1112" s="53" t="n">
        <v>238</v>
      </c>
      <c r="H1112" s="39" t="n"/>
    </row>
    <row r="1113">
      <c r="A1113" s="53" t="n">
        <v>2023</v>
      </c>
      <c r="B1113" s="53" t="n">
        <v>239</v>
      </c>
    </row>
    <row r="1114">
      <c r="A1114" s="53" t="n">
        <v>2023</v>
      </c>
      <c r="B1114" s="53" t="n">
        <v>240</v>
      </c>
    </row>
    <row r="1115">
      <c r="A1115" s="53" t="n">
        <v>2023</v>
      </c>
      <c r="B1115" s="53" t="n">
        <v>241</v>
      </c>
    </row>
    <row r="1116">
      <c r="A1116" s="53" t="n">
        <v>2023</v>
      </c>
      <c r="B1116" s="53" t="n">
        <v>242</v>
      </c>
    </row>
    <row r="1117">
      <c r="A1117" s="53" t="n">
        <v>2023</v>
      </c>
      <c r="B1117" s="53" t="n">
        <v>243</v>
      </c>
    </row>
    <row r="1118">
      <c r="A1118" s="53" t="n">
        <v>2023</v>
      </c>
      <c r="B1118" s="53" t="n">
        <v>244</v>
      </c>
    </row>
    <row r="1119">
      <c r="A1119" s="53" t="n">
        <v>2023</v>
      </c>
      <c r="B1119" s="53" t="n">
        <v>245</v>
      </c>
    </row>
    <row r="1120">
      <c r="A1120" s="53" t="n">
        <v>2023</v>
      </c>
      <c r="B1120" s="53" t="n">
        <v>246</v>
      </c>
    </row>
    <row r="1121">
      <c r="A1121" s="53" t="n">
        <v>2023</v>
      </c>
      <c r="B1121" s="53" t="n">
        <v>247</v>
      </c>
    </row>
    <row r="1122">
      <c r="A1122" s="53" t="n">
        <v>2023</v>
      </c>
      <c r="B1122" s="53" t="n">
        <v>248</v>
      </c>
    </row>
    <row r="1123">
      <c r="A1123" s="53" t="n">
        <v>2023</v>
      </c>
      <c r="B1123" s="53" t="n">
        <v>249</v>
      </c>
    </row>
    <row r="1124">
      <c r="A1124" s="53" t="n">
        <v>2023</v>
      </c>
      <c r="B1124" s="53" t="n">
        <v>250</v>
      </c>
    </row>
    <row r="1125">
      <c r="A1125" s="53" t="n">
        <v>2023</v>
      </c>
      <c r="B1125" s="53" t="n">
        <v>251</v>
      </c>
    </row>
    <row r="1126">
      <c r="A1126" s="53" t="n">
        <v>2023</v>
      </c>
      <c r="B1126" s="53" t="n">
        <v>252</v>
      </c>
    </row>
    <row r="1127">
      <c r="A1127" s="53" t="n">
        <v>2023</v>
      </c>
      <c r="B1127" s="53" t="n">
        <v>253</v>
      </c>
    </row>
    <row r="1128">
      <c r="A1128" s="53" t="n">
        <v>2023</v>
      </c>
      <c r="B1128" s="53" t="n">
        <v>254</v>
      </c>
    </row>
    <row r="1129">
      <c r="A1129" s="53" t="n">
        <v>2023</v>
      </c>
      <c r="B1129" s="53" t="n">
        <v>255</v>
      </c>
    </row>
    <row r="1130">
      <c r="A1130" s="53" t="n">
        <v>2023</v>
      </c>
      <c r="B1130" s="53" t="n">
        <v>256</v>
      </c>
    </row>
    <row r="1131">
      <c r="A1131" s="53" t="n">
        <v>2023</v>
      </c>
      <c r="B1131" s="53" t="n">
        <v>257</v>
      </c>
    </row>
    <row r="1132">
      <c r="A1132" s="53" t="n">
        <v>2023</v>
      </c>
      <c r="B1132" s="53" t="n">
        <v>258</v>
      </c>
    </row>
    <row r="1133">
      <c r="A1133" s="53" t="n">
        <v>2023</v>
      </c>
      <c r="B1133" s="53" t="n">
        <v>259</v>
      </c>
    </row>
    <row r="1134">
      <c r="A1134" s="53" t="n">
        <v>2023</v>
      </c>
      <c r="B1134" s="53" t="n">
        <v>260</v>
      </c>
    </row>
    <row r="1135">
      <c r="A1135" s="53" t="n">
        <v>2023</v>
      </c>
      <c r="B1135" s="53" t="n">
        <v>261</v>
      </c>
    </row>
    <row r="1136">
      <c r="A1136" s="53" t="n">
        <v>2023</v>
      </c>
      <c r="B1136" s="53" t="n">
        <v>262</v>
      </c>
    </row>
    <row r="1137">
      <c r="A1137" s="53" t="n">
        <v>2023</v>
      </c>
      <c r="B1137" s="53" t="n">
        <v>263</v>
      </c>
    </row>
    <row r="1138">
      <c r="A1138" s="53" t="n">
        <v>2023</v>
      </c>
      <c r="B1138" s="53" t="n">
        <v>264</v>
      </c>
    </row>
    <row r="1139">
      <c r="A1139" s="53" t="n">
        <v>2023</v>
      </c>
      <c r="B1139" s="53" t="n">
        <v>265</v>
      </c>
    </row>
    <row r="1140">
      <c r="A1140" s="53" t="n">
        <v>2023</v>
      </c>
      <c r="B1140" s="53" t="n">
        <v>266</v>
      </c>
    </row>
    <row r="1141">
      <c r="A1141" s="53" t="n">
        <v>2023</v>
      </c>
      <c r="B1141" s="53" t="n">
        <v>267</v>
      </c>
    </row>
    <row r="1142">
      <c r="A1142" s="53" t="n">
        <v>2023</v>
      </c>
      <c r="B1142" s="53" t="n">
        <v>268</v>
      </c>
    </row>
    <row r="1143">
      <c r="A1143" s="53" t="n">
        <v>2023</v>
      </c>
      <c r="B1143" s="53" t="n">
        <v>269</v>
      </c>
    </row>
    <row r="1144">
      <c r="A1144" s="53" t="n">
        <v>2023</v>
      </c>
      <c r="B1144" s="53" t="n">
        <v>270</v>
      </c>
    </row>
    <row r="1145">
      <c r="A1145" s="53" t="n">
        <v>2023</v>
      </c>
      <c r="B1145" s="53" t="n">
        <v>271</v>
      </c>
    </row>
    <row r="1146">
      <c r="A1146" s="53" t="n">
        <v>2023</v>
      </c>
      <c r="B1146" s="53" t="n">
        <v>272</v>
      </c>
    </row>
    <row r="1147">
      <c r="A1147" s="53" t="n">
        <v>2023</v>
      </c>
      <c r="B1147" s="53" t="n">
        <v>273</v>
      </c>
    </row>
    <row r="1148">
      <c r="A1148" s="53" t="n">
        <v>2023</v>
      </c>
      <c r="B1148" s="53" t="n">
        <v>274</v>
      </c>
    </row>
    <row r="1149">
      <c r="A1149" s="53" t="n">
        <v>2023</v>
      </c>
      <c r="B1149" s="53" t="n">
        <v>275</v>
      </c>
    </row>
    <row r="1150">
      <c r="A1150" s="53" t="n">
        <v>2023</v>
      </c>
      <c r="B1150" s="53" t="n">
        <v>276</v>
      </c>
    </row>
    <row r="1151">
      <c r="A1151" s="53" t="n">
        <v>2023</v>
      </c>
      <c r="B1151" s="53" t="n">
        <v>277</v>
      </c>
    </row>
    <row r="1152">
      <c r="A1152" s="53" t="n">
        <v>2023</v>
      </c>
      <c r="B1152" s="53" t="n">
        <v>278</v>
      </c>
    </row>
    <row r="1153">
      <c r="A1153" s="53" t="n">
        <v>2023</v>
      </c>
      <c r="B1153" s="53" t="n">
        <v>279</v>
      </c>
    </row>
    <row r="1154">
      <c r="A1154" s="53" t="n">
        <v>2023</v>
      </c>
      <c r="B1154" s="53" t="n">
        <v>280</v>
      </c>
    </row>
    <row r="1155">
      <c r="A1155" s="53" t="n">
        <v>2023</v>
      </c>
      <c r="B1155" s="53" t="n">
        <v>281</v>
      </c>
    </row>
    <row r="1156">
      <c r="A1156" s="53" t="n">
        <v>2023</v>
      </c>
      <c r="B1156" s="53" t="n">
        <v>282</v>
      </c>
    </row>
    <row r="1157">
      <c r="A1157" s="53" t="n">
        <v>2023</v>
      </c>
      <c r="B1157" s="53" t="n">
        <v>283</v>
      </c>
    </row>
    <row r="1158">
      <c r="A1158" s="53" t="n">
        <v>2023</v>
      </c>
      <c r="B1158" s="53" t="n">
        <v>284</v>
      </c>
    </row>
    <row r="1159">
      <c r="A1159" s="53" t="n">
        <v>2023</v>
      </c>
      <c r="B1159" s="53" t="n">
        <v>285</v>
      </c>
    </row>
    <row r="1160">
      <c r="A1160" s="53" t="n">
        <v>2023</v>
      </c>
      <c r="B1160" s="53" t="n">
        <v>286</v>
      </c>
    </row>
    <row r="1161">
      <c r="A1161" s="53" t="n">
        <v>2023</v>
      </c>
      <c r="B1161" s="53" t="n">
        <v>287</v>
      </c>
    </row>
    <row r="1162">
      <c r="A1162" s="53" t="n">
        <v>2023</v>
      </c>
      <c r="B1162" s="53" t="n">
        <v>288</v>
      </c>
    </row>
    <row r="1163">
      <c r="A1163" s="53" t="n">
        <v>2023</v>
      </c>
      <c r="B1163" s="53" t="n">
        <v>289</v>
      </c>
    </row>
    <row r="1164">
      <c r="A1164" s="53" t="n">
        <v>2023</v>
      </c>
      <c r="B1164" s="53" t="n">
        <v>290</v>
      </c>
    </row>
    <row r="1165">
      <c r="A1165" s="53" t="n">
        <v>2023</v>
      </c>
      <c r="B1165" s="53" t="n">
        <v>291</v>
      </c>
    </row>
    <row r="1166">
      <c r="A1166" s="53" t="n">
        <v>2023</v>
      </c>
      <c r="B1166" s="53" t="n">
        <v>292</v>
      </c>
    </row>
    <row r="1167">
      <c r="A1167" s="53" t="n">
        <v>2023</v>
      </c>
      <c r="B1167" s="53" t="n">
        <v>293</v>
      </c>
    </row>
    <row r="1168">
      <c r="A1168" s="53" t="n">
        <v>2023</v>
      </c>
      <c r="B1168" s="53" t="n">
        <v>294</v>
      </c>
    </row>
    <row r="1169">
      <c r="A1169" s="53" t="n">
        <v>2023</v>
      </c>
      <c r="B1169" s="53" t="n">
        <v>295</v>
      </c>
    </row>
    <row r="1170">
      <c r="A1170" s="53" t="n">
        <v>2023</v>
      </c>
      <c r="B1170" s="53" t="n">
        <v>296</v>
      </c>
    </row>
    <row r="1171">
      <c r="A1171" s="53" t="n">
        <v>2023</v>
      </c>
      <c r="B1171" s="53" t="n">
        <v>297</v>
      </c>
    </row>
    <row r="1172">
      <c r="A1172" s="53" t="n">
        <v>2023</v>
      </c>
      <c r="B1172" s="53" t="n">
        <v>298</v>
      </c>
    </row>
    <row r="1173">
      <c r="A1173" s="53" t="n">
        <v>2023</v>
      </c>
      <c r="B1173" s="53" t="n">
        <v>299</v>
      </c>
    </row>
    <row r="1174">
      <c r="A1174" s="53" t="n">
        <v>2023</v>
      </c>
      <c r="B1174" s="53" t="n">
        <v>300</v>
      </c>
    </row>
    <row r="1175">
      <c r="A1175" s="53" t="n">
        <v>2023</v>
      </c>
      <c r="B1175" s="53" t="n">
        <v>301</v>
      </c>
    </row>
    <row r="1176">
      <c r="A1176" s="53" t="n">
        <v>2023</v>
      </c>
      <c r="B1176" s="53" t="n">
        <v>302</v>
      </c>
    </row>
    <row r="1177">
      <c r="A1177" s="53" t="n">
        <v>2023</v>
      </c>
      <c r="B1177" s="53" t="n">
        <v>303</v>
      </c>
    </row>
    <row r="1178">
      <c r="A1178" s="53" t="n">
        <v>2023</v>
      </c>
      <c r="B1178" s="53" t="n">
        <v>304</v>
      </c>
    </row>
    <row r="1179">
      <c r="A1179" s="53" t="n">
        <v>2023</v>
      </c>
      <c r="B1179" s="53" t="n">
        <v>305</v>
      </c>
    </row>
    <row r="1180">
      <c r="A1180" s="53" t="n">
        <v>2023</v>
      </c>
      <c r="B1180" s="53" t="n">
        <v>306</v>
      </c>
    </row>
    <row r="1181">
      <c r="A1181" s="53" t="n">
        <v>2023</v>
      </c>
      <c r="B1181" s="53" t="n">
        <v>307</v>
      </c>
    </row>
    <row r="1182">
      <c r="A1182" s="53" t="n">
        <v>2023</v>
      </c>
      <c r="B1182" s="53" t="n">
        <v>308</v>
      </c>
    </row>
    <row r="1183">
      <c r="A1183" s="53" t="n">
        <v>2023</v>
      </c>
      <c r="B1183" s="53" t="n">
        <v>309</v>
      </c>
    </row>
    <row r="1184">
      <c r="A1184" s="53" t="n">
        <v>2023</v>
      </c>
      <c r="B1184" s="53" t="n">
        <v>310</v>
      </c>
    </row>
    <row r="1185">
      <c r="A1185" s="53" t="n">
        <v>2023</v>
      </c>
      <c r="B1185" s="53" t="n">
        <v>311</v>
      </c>
    </row>
    <row r="1186">
      <c r="A1186" s="53" t="n">
        <v>2023</v>
      </c>
      <c r="B1186" s="53" t="n">
        <v>312</v>
      </c>
    </row>
    <row r="1187">
      <c r="A1187" s="53" t="n">
        <v>2023</v>
      </c>
      <c r="B1187" s="53" t="n">
        <v>313</v>
      </c>
    </row>
    <row r="1188">
      <c r="A1188" s="53" t="n">
        <v>2023</v>
      </c>
      <c r="B1188" s="53" t="n">
        <v>314</v>
      </c>
    </row>
    <row r="1189">
      <c r="A1189" s="53" t="n">
        <v>2023</v>
      </c>
      <c r="B1189" s="53" t="n">
        <v>315</v>
      </c>
    </row>
    <row r="1190">
      <c r="A1190" s="53" t="n">
        <v>2023</v>
      </c>
      <c r="B1190" s="53" t="n">
        <v>316</v>
      </c>
    </row>
    <row r="1191">
      <c r="A1191" s="53" t="n">
        <v>2023</v>
      </c>
      <c r="B1191" s="53" t="n">
        <v>317</v>
      </c>
    </row>
    <row r="1192">
      <c r="A1192" s="53" t="n">
        <v>2023</v>
      </c>
      <c r="B1192" s="53" t="n">
        <v>318</v>
      </c>
    </row>
    <row r="1193">
      <c r="A1193" s="53" t="n">
        <v>2023</v>
      </c>
      <c r="B1193" s="53" t="n">
        <v>319</v>
      </c>
    </row>
    <row r="1194">
      <c r="A1194" s="53" t="n">
        <v>2023</v>
      </c>
      <c r="B1194" s="53" t="n">
        <v>320</v>
      </c>
    </row>
    <row r="1195">
      <c r="A1195" s="53" t="n">
        <v>2023</v>
      </c>
      <c r="B1195" s="53" t="n">
        <v>321</v>
      </c>
    </row>
    <row r="1196">
      <c r="A1196" s="53" t="n">
        <v>2023</v>
      </c>
      <c r="B1196" s="53" t="n">
        <v>322</v>
      </c>
    </row>
    <row r="1197">
      <c r="A1197" s="53" t="n">
        <v>2023</v>
      </c>
      <c r="B1197" s="53" t="n">
        <v>323</v>
      </c>
    </row>
    <row r="1198">
      <c r="A1198" s="53" t="n">
        <v>2023</v>
      </c>
      <c r="B1198" s="53" t="n">
        <v>324</v>
      </c>
    </row>
    <row r="1199">
      <c r="A1199" s="53" t="n">
        <v>2023</v>
      </c>
      <c r="B1199" s="53" t="n">
        <v>325</v>
      </c>
    </row>
    <row r="1200">
      <c r="A1200" s="53" t="n">
        <v>2023</v>
      </c>
      <c r="B1200" s="53" t="n">
        <v>326</v>
      </c>
    </row>
    <row r="1201">
      <c r="A1201" s="53" t="n">
        <v>2023</v>
      </c>
      <c r="B1201" s="53" t="n">
        <v>327</v>
      </c>
    </row>
    <row r="1202">
      <c r="A1202" s="53" t="n">
        <v>2023</v>
      </c>
      <c r="B1202" s="53" t="n">
        <v>328</v>
      </c>
    </row>
    <row r="1203">
      <c r="A1203" s="53" t="n">
        <v>2023</v>
      </c>
      <c r="B1203" s="53" t="n">
        <v>329</v>
      </c>
    </row>
    <row r="1204">
      <c r="A1204" s="53" t="n">
        <v>2023</v>
      </c>
      <c r="B1204" s="53" t="n">
        <v>330</v>
      </c>
    </row>
    <row r="1205">
      <c r="A1205" s="53" t="n">
        <v>2023</v>
      </c>
      <c r="B1205" s="53" t="n">
        <v>331</v>
      </c>
    </row>
    <row r="1206">
      <c r="A1206" s="53" t="n">
        <v>2023</v>
      </c>
      <c r="B1206" s="53" t="n">
        <v>332</v>
      </c>
    </row>
    <row r="1207">
      <c r="A1207" s="53" t="n">
        <v>2023</v>
      </c>
      <c r="B1207" s="53" t="n">
        <v>333</v>
      </c>
    </row>
    <row r="1208">
      <c r="A1208" s="53" t="n">
        <v>2023</v>
      </c>
      <c r="B1208" s="53" t="n">
        <v>334</v>
      </c>
    </row>
    <row r="1209">
      <c r="A1209" s="53" t="n">
        <v>2023</v>
      </c>
      <c r="B1209" s="53" t="n">
        <v>335</v>
      </c>
    </row>
    <row r="1210">
      <c r="A1210" s="53" t="n">
        <v>2023</v>
      </c>
      <c r="B1210" s="53" t="n">
        <v>336</v>
      </c>
    </row>
    <row r="1211">
      <c r="A1211" s="53" t="n">
        <v>2023</v>
      </c>
      <c r="B1211" s="53" t="n">
        <v>337</v>
      </c>
    </row>
    <row r="1212">
      <c r="A1212" s="53" t="n">
        <v>2023</v>
      </c>
      <c r="B1212" s="53" t="n">
        <v>338</v>
      </c>
    </row>
    <row r="1213">
      <c r="A1213" s="53" t="n">
        <v>2023</v>
      </c>
      <c r="B1213" s="53" t="n">
        <v>339</v>
      </c>
    </row>
    <row r="1214">
      <c r="A1214" s="53" t="n">
        <v>2023</v>
      </c>
      <c r="B1214" s="53" t="n">
        <v>340</v>
      </c>
    </row>
    <row r="1215">
      <c r="A1215" s="53" t="n">
        <v>2023</v>
      </c>
      <c r="B1215" s="53" t="n">
        <v>341</v>
      </c>
    </row>
    <row r="1216">
      <c r="A1216" s="53" t="n">
        <v>2023</v>
      </c>
      <c r="B1216" s="53" t="n">
        <v>342</v>
      </c>
    </row>
    <row r="1217">
      <c r="A1217" s="53" t="n">
        <v>2023</v>
      </c>
      <c r="B1217" s="53" t="n">
        <v>343</v>
      </c>
    </row>
    <row r="1218">
      <c r="A1218" s="53" t="n">
        <v>2023</v>
      </c>
      <c r="B1218" s="53" t="n">
        <v>344</v>
      </c>
    </row>
    <row r="1219">
      <c r="A1219" s="53" t="n">
        <v>2023</v>
      </c>
      <c r="B1219" s="53" t="n">
        <v>345</v>
      </c>
    </row>
    <row r="1220">
      <c r="A1220" s="53" t="n">
        <v>2023</v>
      </c>
      <c r="B1220" s="53" t="n">
        <v>346</v>
      </c>
    </row>
    <row r="1221">
      <c r="A1221" s="53" t="n">
        <v>2023</v>
      </c>
      <c r="B1221" s="53" t="n">
        <v>347</v>
      </c>
    </row>
    <row r="1222">
      <c r="A1222" s="53" t="n">
        <v>2023</v>
      </c>
      <c r="B1222" s="53" t="n">
        <v>348</v>
      </c>
    </row>
    <row r="1223">
      <c r="A1223" s="53" t="n">
        <v>2023</v>
      </c>
      <c r="B1223" s="53" t="n">
        <v>349</v>
      </c>
    </row>
    <row r="1224">
      <c r="A1224" s="53" t="n">
        <v>2023</v>
      </c>
      <c r="B1224" s="53" t="n">
        <v>350</v>
      </c>
    </row>
    <row r="1225">
      <c r="A1225" s="53" t="n">
        <v>2023</v>
      </c>
      <c r="B1225" s="53" t="n">
        <v>351</v>
      </c>
    </row>
  </sheetData>
  <autoFilter ref="A1:Y1225"/>
  <conditionalFormatting sqref="F1">
    <cfRule type="expression" priority="7530" dxfId="2">
      <formula>ISBLANK($G1)</formula>
    </cfRule>
  </conditionalFormatting>
  <conditionalFormatting sqref="L1">
    <cfRule type="expression" priority="7529" dxfId="420">
      <formula>"$G$G&gt;400"</formula>
    </cfRule>
  </conditionalFormatting>
  <conditionalFormatting sqref="G1">
    <cfRule type="expression" priority="8601" dxfId="2">
      <formula>ISBLANK(#REF!)</formula>
    </cfRule>
  </conditionalFormatting>
  <conditionalFormatting sqref="T4 T300:T301 T982:T983">
    <cfRule type="expression" priority="7525" dxfId="2">
      <formula>AND(AND($W4&lt;TODAY(),$W4&lt;&gt;""),$X4="")</formula>
    </cfRule>
  </conditionalFormatting>
  <conditionalFormatting sqref="T3">
    <cfRule type="expression" priority="7522" dxfId="2">
      <formula>AND(AND($W3&lt;TODAY(),$W3&lt;&gt;""),$X3="")</formula>
    </cfRule>
  </conditionalFormatting>
  <conditionalFormatting sqref="C1:C87 C89:C90 C92:C95 C98:C100 C102:C118 C120:C164 C166:C170 C173 C175:C180 C182 C185:C193 C195:C242 C244:C245 C249:C265 C267 C269 C271 C273 C275 C277 C279 C281 C283 C285 C289 C291 C293 C295 C297 C300:C302 C304:C307 C309 C312 C314 C317 C319 C322:C324 C327 C329 C332 C334 C339 C342 C349 C351 C353 C928 C1011 C1014 C1044 C1055 C1064 C1074:C1048576">
    <cfRule type="containsText" priority="7523" operator="containsText" dxfId="1" text="Einnahmen">
      <formula>NOT(ISERROR(SEARCH("Einnahmen",C1)))</formula>
    </cfRule>
    <cfRule type="containsText" priority="7524" operator="containsText" dxfId="0" text="Ausgaben">
      <formula>NOT(ISERROR(SEARCH("Ausgaben",C1)))</formula>
    </cfRule>
  </conditionalFormatting>
  <conditionalFormatting sqref="T5:T13 T16:T18 T21:T27">
    <cfRule type="expression" priority="7520" dxfId="2">
      <formula>AND(AND($W5&lt;TODAY(),$W5&lt;&gt;""),$X5="")</formula>
    </cfRule>
  </conditionalFormatting>
  <conditionalFormatting sqref="T2">
    <cfRule type="expression" priority="7518" dxfId="2">
      <formula>AND(AND($W2&lt;TODAY(),$W2&lt;&gt;""),$X2="")</formula>
    </cfRule>
  </conditionalFormatting>
  <conditionalFormatting sqref="T15">
    <cfRule type="expression" priority="7516" dxfId="2">
      <formula>AND(AND($W15&lt;TODAY(),$W15&lt;&gt;""),$X15="")</formula>
    </cfRule>
  </conditionalFormatting>
  <conditionalFormatting sqref="T14">
    <cfRule type="expression" priority="7515" dxfId="2">
      <formula>AND(AND($W14&lt;TODAY(),$W14&lt;&gt;""),$X14="")</formula>
    </cfRule>
  </conditionalFormatting>
  <conditionalFormatting sqref="T19">
    <cfRule type="expression" priority="7514" dxfId="2">
      <formula>AND(AND($W19&lt;TODAY(),$W19&lt;&gt;""),$X19="")</formula>
    </cfRule>
  </conditionalFormatting>
  <conditionalFormatting sqref="T20">
    <cfRule type="expression" priority="7513" dxfId="2">
      <formula>AND(AND($W20&lt;TODAY(),$W20&lt;&gt;""),$X20="")</formula>
    </cfRule>
  </conditionalFormatting>
  <conditionalFormatting sqref="J2:J27 J29:J30 J34 J37:J38 J40:J41 J43:J47 J49 J51 J53:J54 J57 J63 J65 J71 J73:J75 J78 J80 J83 J85:J89 J91:J92 J96:J105 J109 J112 J117 J119:J121 J126 J128:J135 J138 J140 J142:J144 J146:J148 J150 J152:J153 J155 J158 J163:J164 J166 J170 J180 J184 J188 J192 J194 J204 J206 J209 J216 J242 J249 J253:J254 J257:J258 J264 J324 J328 J333 J341 J358 J368 J375 J387 J407 J409 J436 J450 J453:J454 J468 J481:J482 J486 J499 J509 J523 J525 J527 J533 J538 J540 J542 J552 J582 J625 J628 J640 J664:J666 J678 J701 J707 J712 J731 J733:J734 J748 J759 J763:J764 J780 J782 J793 J796 J799 J806:J807 J817 J821 J826:J827 J829:J831 J836:J840 J843 J845 J847:J848 J858 J860 J863:J864 J870:J874 J883 J886 J888 J890 J892 J898:J901 J907:J908 J910:J912 J922 J925:J929 J932 J934 J939 J946 J948:J949 J954 J958 J961 J965 J971 J973:J974 J978:J979 J982:J983 J996:J997 J999 J1008 J1010:J1011 J1013:J1014 J1023:J1024 J1034:J1035 J1038:J1039 J1044 J1046:J1048 J1051:J1057 J1061:J1064 J1066 J1068:J1070 J1073:J1048576">
    <cfRule type="cellIs" priority="7511" operator="equal" dxfId="2034">
      <formula>"ja"</formula>
    </cfRule>
  </conditionalFormatting>
  <conditionalFormatting sqref="T28">
    <cfRule type="expression" priority="7510" dxfId="2">
      <formula>AND(AND($W28&lt;TODAY(),$W28&lt;&gt;""),$X28="")</formula>
    </cfRule>
  </conditionalFormatting>
  <conditionalFormatting sqref="J28">
    <cfRule type="cellIs" priority="7509" operator="equal" dxfId="2034">
      <formula>"ja"</formula>
    </cfRule>
  </conditionalFormatting>
  <conditionalFormatting sqref="T29">
    <cfRule type="expression" priority="7508" dxfId="2">
      <formula>AND(AND($W29&lt;TODAY(),$W29&lt;&gt;""),$X29="")</formula>
    </cfRule>
  </conditionalFormatting>
  <conditionalFormatting sqref="T34 T37 T40:T41">
    <cfRule type="expression" priority="7507" dxfId="2">
      <formula>AND(AND($W34&lt;TODAY(),$W34&lt;&gt;""),$X34="")</formula>
    </cfRule>
  </conditionalFormatting>
  <conditionalFormatting sqref="T30">
    <cfRule type="expression" priority="7506" dxfId="2">
      <formula>AND(AND($W30&lt;TODAY(),$W30&lt;&gt;""),$X30="")</formula>
    </cfRule>
  </conditionalFormatting>
  <conditionalFormatting sqref="T31">
    <cfRule type="expression" priority="7505" dxfId="2">
      <formula>AND(AND($W31&lt;TODAY(),$W31&lt;&gt;""),$X31="")</formula>
    </cfRule>
  </conditionalFormatting>
  <conditionalFormatting sqref="J31">
    <cfRule type="cellIs" priority="7504" operator="equal" dxfId="2034">
      <formula>"ja"</formula>
    </cfRule>
  </conditionalFormatting>
  <conditionalFormatting sqref="T32">
    <cfRule type="expression" priority="7503" dxfId="2">
      <formula>AND(AND($W32&lt;TODAY(),$W32&lt;&gt;""),$X32="")</formula>
    </cfRule>
  </conditionalFormatting>
  <conditionalFormatting sqref="J32">
    <cfRule type="cellIs" priority="7502" operator="equal" dxfId="2034">
      <formula>"ja"</formula>
    </cfRule>
  </conditionalFormatting>
  <conditionalFormatting sqref="T33">
    <cfRule type="expression" priority="7501" dxfId="2">
      <formula>AND(AND($W33&lt;TODAY(),$W33&lt;&gt;""),$X33="")</formula>
    </cfRule>
  </conditionalFormatting>
  <conditionalFormatting sqref="J33">
    <cfRule type="cellIs" priority="7500" operator="equal" dxfId="2034">
      <formula>"ja"</formula>
    </cfRule>
  </conditionalFormatting>
  <conditionalFormatting sqref="T35">
    <cfRule type="expression" priority="7499" dxfId="2">
      <formula>AND(AND($W35&lt;TODAY(),$W35&lt;&gt;""),$X35="")</formula>
    </cfRule>
  </conditionalFormatting>
  <conditionalFormatting sqref="J35">
    <cfRule type="cellIs" priority="7498" operator="equal" dxfId="2034">
      <formula>"ja"</formula>
    </cfRule>
  </conditionalFormatting>
  <conditionalFormatting sqref="T36">
    <cfRule type="expression" priority="7497" dxfId="2">
      <formula>AND(AND($W36&lt;TODAY(),$W36&lt;&gt;""),$X36="")</formula>
    </cfRule>
  </conditionalFormatting>
  <conditionalFormatting sqref="J36">
    <cfRule type="cellIs" priority="7496" operator="equal" dxfId="2034">
      <formula>"ja"</formula>
    </cfRule>
  </conditionalFormatting>
  <conditionalFormatting sqref="T38">
    <cfRule type="expression" priority="7495" dxfId="2">
      <formula>AND(AND($W38&lt;TODAY(),$W38&lt;&gt;""),$X38="")</formula>
    </cfRule>
  </conditionalFormatting>
  <conditionalFormatting sqref="T39">
    <cfRule type="expression" priority="7494" dxfId="2">
      <formula>AND(AND($W39&lt;TODAY(),$W39&lt;&gt;""),$X39="")</formula>
    </cfRule>
  </conditionalFormatting>
  <conditionalFormatting sqref="J39">
    <cfRule type="cellIs" priority="7493" operator="equal" dxfId="2034">
      <formula>"ja"</formula>
    </cfRule>
  </conditionalFormatting>
  <conditionalFormatting sqref="J42">
    <cfRule type="cellIs" priority="7492" operator="equal" dxfId="2034">
      <formula>"ja"</formula>
    </cfRule>
  </conditionalFormatting>
  <conditionalFormatting sqref="T42">
    <cfRule type="expression" priority="7491" dxfId="2">
      <formula>AND(AND($W42&lt;TODAY(),$W42&lt;&gt;""),$X42="")</formula>
    </cfRule>
  </conditionalFormatting>
  <conditionalFormatting sqref="T43">
    <cfRule type="expression" priority="7490" dxfId="2">
      <formula>AND(AND($W43&lt;TODAY(),$W43&lt;&gt;""),$X43="")</formula>
    </cfRule>
  </conditionalFormatting>
  <conditionalFormatting sqref="T44:T46">
    <cfRule type="expression" priority="7483" dxfId="2">
      <formula>AND(AND($W44&lt;TODAY(),$W44&lt;&gt;""),$X44="")</formula>
    </cfRule>
  </conditionalFormatting>
  <conditionalFormatting sqref="J48">
    <cfRule type="cellIs" priority="7480" operator="equal" dxfId="2034">
      <formula>"ja"</formula>
    </cfRule>
  </conditionalFormatting>
  <conditionalFormatting sqref="T47">
    <cfRule type="expression" priority="7479" dxfId="2">
      <formula>AND(AND($W47&lt;TODAY(),$W47&lt;&gt;""),$X47="")</formula>
    </cfRule>
  </conditionalFormatting>
  <conditionalFormatting sqref="T48">
    <cfRule type="expression" priority="7478" dxfId="2">
      <formula>AND(AND($W48&lt;TODAY(),$W48&lt;&gt;""),$X48="")</formula>
    </cfRule>
  </conditionalFormatting>
  <conditionalFormatting sqref="T49">
    <cfRule type="expression" priority="7477" dxfId="2">
      <formula>AND(AND($W49&lt;TODAY(),$W49&lt;&gt;""),$X49="")</formula>
    </cfRule>
  </conditionalFormatting>
  <conditionalFormatting sqref="T50">
    <cfRule type="expression" priority="7476" dxfId="2">
      <formula>AND(AND($W50&lt;TODAY(),$W50&lt;&gt;""),$X50="")</formula>
    </cfRule>
  </conditionalFormatting>
  <conditionalFormatting sqref="J50">
    <cfRule type="cellIs" priority="7475" operator="equal" dxfId="2034">
      <formula>"ja"</formula>
    </cfRule>
  </conditionalFormatting>
  <conditionalFormatting sqref="T51">
    <cfRule type="expression" priority="7474" dxfId="2">
      <formula>AND(AND($W51&lt;TODAY(),$W51&lt;&gt;""),$X51="")</formula>
    </cfRule>
  </conditionalFormatting>
  <conditionalFormatting sqref="J52">
    <cfRule type="cellIs" priority="7473" operator="equal" dxfId="2034">
      <formula>"ja"</formula>
    </cfRule>
  </conditionalFormatting>
  <conditionalFormatting sqref="T52">
    <cfRule type="expression" priority="7472" dxfId="2">
      <formula>AND(AND($W52&lt;TODAY(),$W52&lt;&gt;""),$X52="")</formula>
    </cfRule>
  </conditionalFormatting>
  <conditionalFormatting sqref="T53">
    <cfRule type="expression" priority="7471" dxfId="2">
      <formula>AND(AND($W53&lt;TODAY(),$W53&lt;&gt;""),$X53="")</formula>
    </cfRule>
  </conditionalFormatting>
  <conditionalFormatting sqref="T54">
    <cfRule type="expression" priority="7470" dxfId="2">
      <formula>AND(AND($W54&lt;TODAY(),$W54&lt;&gt;""),$X54="")</formula>
    </cfRule>
  </conditionalFormatting>
  <conditionalFormatting sqref="J55">
    <cfRule type="cellIs" priority="7469" operator="equal" dxfId="2034">
      <formula>"ja"</formula>
    </cfRule>
  </conditionalFormatting>
  <conditionalFormatting sqref="T55">
    <cfRule type="expression" priority="7468" dxfId="2">
      <formula>AND(AND($W55&lt;TODAY(),$W55&lt;&gt;""),$X55="")</formula>
    </cfRule>
  </conditionalFormatting>
  <conditionalFormatting sqref="T56">
    <cfRule type="expression" priority="7467" dxfId="2">
      <formula>AND(AND($W56&lt;TODAY(),$W56&lt;&gt;""),$X56="")</formula>
    </cfRule>
  </conditionalFormatting>
  <conditionalFormatting sqref="J56">
    <cfRule type="cellIs" priority="7466" operator="equal" dxfId="2034">
      <formula>"ja"</formula>
    </cfRule>
  </conditionalFormatting>
  <conditionalFormatting sqref="T57">
    <cfRule type="expression" priority="7465" dxfId="2">
      <formula>AND(AND($W57&lt;TODAY(),$W57&lt;&gt;""),$X57="")</formula>
    </cfRule>
  </conditionalFormatting>
  <conditionalFormatting sqref="J58">
    <cfRule type="cellIs" priority="7464" operator="equal" dxfId="2034">
      <formula>"ja"</formula>
    </cfRule>
  </conditionalFormatting>
  <conditionalFormatting sqref="T58">
    <cfRule type="expression" priority="7463" dxfId="2">
      <formula>AND(AND($W58&lt;TODAY(),$W58&lt;&gt;""),$X58="")</formula>
    </cfRule>
  </conditionalFormatting>
  <conditionalFormatting sqref="T59">
    <cfRule type="expression" priority="7462" dxfId="2">
      <formula>AND(AND($W59&lt;TODAY(),$W59&lt;&gt;""),$X59="")</formula>
    </cfRule>
  </conditionalFormatting>
  <conditionalFormatting sqref="J59">
    <cfRule type="cellIs" priority="7461" operator="equal" dxfId="2034">
      <formula>"ja"</formula>
    </cfRule>
  </conditionalFormatting>
  <conditionalFormatting sqref="T60">
    <cfRule type="expression" priority="7460" dxfId="2">
      <formula>AND(AND($W60&lt;TODAY(),$W60&lt;&gt;""),$X60="")</formula>
    </cfRule>
  </conditionalFormatting>
  <conditionalFormatting sqref="J60">
    <cfRule type="cellIs" priority="7458" operator="equal" dxfId="2034">
      <formula>"ja"</formula>
    </cfRule>
  </conditionalFormatting>
  <conditionalFormatting sqref="J61">
    <cfRule type="cellIs" priority="7456" operator="equal" dxfId="2034">
      <formula>"ja"</formula>
    </cfRule>
  </conditionalFormatting>
  <conditionalFormatting sqref="T61">
    <cfRule type="expression" priority="7455" dxfId="2">
      <formula>AND(AND($W61&lt;TODAY(),$W61&lt;&gt;""),$X61="")</formula>
    </cfRule>
  </conditionalFormatting>
  <conditionalFormatting sqref="T62">
    <cfRule type="expression" priority="7453" dxfId="2">
      <formula>AND(AND($W62&lt;TODAY(),$W62&lt;&gt;""),$X62="")</formula>
    </cfRule>
  </conditionalFormatting>
  <conditionalFormatting sqref="J62">
    <cfRule type="cellIs" priority="7452" operator="equal" dxfId="2034">
      <formula>"ja"</formula>
    </cfRule>
  </conditionalFormatting>
  <conditionalFormatting sqref="T63">
    <cfRule type="expression" priority="7451" dxfId="2">
      <formula>AND(AND($W63&lt;TODAY(),$W63&lt;&gt;""),$X63="")</formula>
    </cfRule>
  </conditionalFormatting>
  <conditionalFormatting sqref="T64">
    <cfRule type="expression" priority="7450" dxfId="2">
      <formula>AND(AND($W64&lt;TODAY(),$W64&lt;&gt;""),$X64="")</formula>
    </cfRule>
  </conditionalFormatting>
  <conditionalFormatting sqref="J64">
    <cfRule type="cellIs" priority="7448" operator="equal" dxfId="2034">
      <formula>"ja"</formula>
    </cfRule>
  </conditionalFormatting>
  <conditionalFormatting sqref="T65">
    <cfRule type="expression" priority="7447" dxfId="2">
      <formula>AND(AND($W65&lt;TODAY(),$W65&lt;&gt;""),$X65="")</formula>
    </cfRule>
  </conditionalFormatting>
  <conditionalFormatting sqref="T66">
    <cfRule type="expression" priority="7445" dxfId="2">
      <formula>AND(AND($W66&lt;TODAY(),$W66&lt;&gt;""),$X66="")</formula>
    </cfRule>
  </conditionalFormatting>
  <conditionalFormatting sqref="J66">
    <cfRule type="cellIs" priority="7444" operator="equal" dxfId="2034">
      <formula>"ja"</formula>
    </cfRule>
  </conditionalFormatting>
  <conditionalFormatting sqref="J67">
    <cfRule type="cellIs" priority="7443" operator="equal" dxfId="2034">
      <formula>"ja"</formula>
    </cfRule>
  </conditionalFormatting>
  <conditionalFormatting sqref="T67">
    <cfRule type="expression" priority="7442" dxfId="2">
      <formula>AND(AND($W67&lt;TODAY(),$W67&lt;&gt;""),$X67="")</formula>
    </cfRule>
  </conditionalFormatting>
  <conditionalFormatting sqref="J68">
    <cfRule type="cellIs" priority="7441" operator="equal" dxfId="2034">
      <formula>"ja"</formula>
    </cfRule>
  </conditionalFormatting>
  <conditionalFormatting sqref="T68">
    <cfRule type="expression" priority="7440" dxfId="2">
      <formula>AND(AND($W68&lt;TODAY(),$W68&lt;&gt;""),$X68="")</formula>
    </cfRule>
  </conditionalFormatting>
  <conditionalFormatting sqref="T69">
    <cfRule type="expression" priority="7439" dxfId="2">
      <formula>AND(AND($W69&lt;TODAY(),$W69&lt;&gt;""),$X69="")</formula>
    </cfRule>
  </conditionalFormatting>
  <conditionalFormatting sqref="J69">
    <cfRule type="cellIs" priority="7438" operator="equal" dxfId="2034">
      <formula>"ja"</formula>
    </cfRule>
  </conditionalFormatting>
  <conditionalFormatting sqref="T70">
    <cfRule type="expression" priority="7437" dxfId="2">
      <formula>AND(AND($W70&lt;TODAY(),$W70&lt;&gt;""),$X70="")</formula>
    </cfRule>
  </conditionalFormatting>
  <conditionalFormatting sqref="J70">
    <cfRule type="cellIs" priority="7436" operator="equal" dxfId="2034">
      <formula>"ja"</formula>
    </cfRule>
  </conditionalFormatting>
  <conditionalFormatting sqref="T71">
    <cfRule type="expression" priority="7435" dxfId="2">
      <formula>AND(AND($W71&lt;TODAY(),$W71&lt;&gt;""),$X71="")</formula>
    </cfRule>
  </conditionalFormatting>
  <conditionalFormatting sqref="J72">
    <cfRule type="cellIs" priority="7434" operator="equal" dxfId="2034">
      <formula>"ja"</formula>
    </cfRule>
  </conditionalFormatting>
  <conditionalFormatting sqref="T72">
    <cfRule type="expression" priority="7433" dxfId="2">
      <formula>AND(AND($W72&lt;TODAY(),$W72&lt;&gt;""),$X72="")</formula>
    </cfRule>
  </conditionalFormatting>
  <conditionalFormatting sqref="T73">
    <cfRule type="expression" priority="7432" dxfId="2">
      <formula>AND(AND($W73&lt;TODAY(),$W73&lt;&gt;""),$X73="")</formula>
    </cfRule>
  </conditionalFormatting>
  <conditionalFormatting sqref="T74">
    <cfRule type="expression" priority="7431" dxfId="2">
      <formula>AND(AND($W74&lt;TODAY(),$W74&lt;&gt;""),$X74="")</formula>
    </cfRule>
  </conditionalFormatting>
  <conditionalFormatting sqref="T75">
    <cfRule type="expression" priority="7430" dxfId="2">
      <formula>AND(AND($W75&lt;TODAY(),$W75&lt;&gt;""),$X75="")</formula>
    </cfRule>
  </conditionalFormatting>
  <conditionalFormatting sqref="T76">
    <cfRule type="expression" priority="7429" dxfId="2">
      <formula>AND(AND($W76&lt;TODAY(),$W76&lt;&gt;""),$X76="")</formula>
    </cfRule>
  </conditionalFormatting>
  <conditionalFormatting sqref="J76">
    <cfRule type="cellIs" priority="7428" operator="equal" dxfId="2034">
      <formula>"ja"</formula>
    </cfRule>
  </conditionalFormatting>
  <conditionalFormatting sqref="T77">
    <cfRule type="expression" priority="7427" dxfId="2">
      <formula>AND(AND($W77&lt;TODAY(),$W77&lt;&gt;""),$X77="")</formula>
    </cfRule>
  </conditionalFormatting>
  <conditionalFormatting sqref="J77">
    <cfRule type="cellIs" priority="7426" operator="equal" dxfId="2034">
      <formula>"ja"</formula>
    </cfRule>
  </conditionalFormatting>
  <conditionalFormatting sqref="T78">
    <cfRule type="expression" priority="7425" dxfId="2">
      <formula>AND(AND($W78&lt;TODAY(),$W78&lt;&gt;""),$X78="")</formula>
    </cfRule>
  </conditionalFormatting>
  <conditionalFormatting sqref="J79">
    <cfRule type="cellIs" priority="7424" operator="equal" dxfId="2034">
      <formula>"ja"</formula>
    </cfRule>
  </conditionalFormatting>
  <conditionalFormatting sqref="T79">
    <cfRule type="expression" priority="7423" dxfId="2">
      <formula>AND(AND($W79&lt;TODAY(),$W79&lt;&gt;""),$X79="")</formula>
    </cfRule>
  </conditionalFormatting>
  <conditionalFormatting sqref="T80">
    <cfRule type="expression" priority="7420" dxfId="2">
      <formula>AND(AND($W80&lt;TODAY(),$W80&lt;&gt;""),$X80="")</formula>
    </cfRule>
  </conditionalFormatting>
  <conditionalFormatting sqref="J84">
    <cfRule type="cellIs" priority="7419" operator="equal" dxfId="2034">
      <formula>"ja"</formula>
    </cfRule>
  </conditionalFormatting>
  <conditionalFormatting sqref="T84">
    <cfRule type="expression" priority="7418" dxfId="2">
      <formula>AND(AND($W84&lt;TODAY(),$W84&lt;&gt;""),$X84="")</formula>
    </cfRule>
  </conditionalFormatting>
  <conditionalFormatting sqref="J81">
    <cfRule type="cellIs" priority="7417" operator="equal" dxfId="2034">
      <formula>"ja"</formula>
    </cfRule>
  </conditionalFormatting>
  <conditionalFormatting sqref="T81">
    <cfRule type="expression" priority="7416" dxfId="2">
      <formula>AND(AND($W81&lt;TODAY(),$W81&lt;&gt;""),$X81="")</formula>
    </cfRule>
  </conditionalFormatting>
  <conditionalFormatting sqref="J82">
    <cfRule type="cellIs" priority="7415" operator="equal" dxfId="2034">
      <formula>"ja"</formula>
    </cfRule>
  </conditionalFormatting>
  <conditionalFormatting sqref="T82">
    <cfRule type="expression" priority="7414" dxfId="2">
      <formula>AND(AND($W82&lt;TODAY(),$W82&lt;&gt;""),$X82="")</formula>
    </cfRule>
  </conditionalFormatting>
  <conditionalFormatting sqref="T83">
    <cfRule type="expression" priority="7413" dxfId="2">
      <formula>AND(AND($W83&lt;TODAY(),$W83&lt;&gt;""),$X83="")</formula>
    </cfRule>
  </conditionalFormatting>
  <conditionalFormatting sqref="T85">
    <cfRule type="expression" priority="7411" dxfId="2">
      <formula>AND(AND($W85&lt;TODAY(),$W85&lt;&gt;""),$X85="")</formula>
    </cfRule>
  </conditionalFormatting>
  <conditionalFormatting sqref="T86:T89 T91 T96:T103 T105 T109">
    <cfRule type="expression" priority="7410" dxfId="2">
      <formula>AND(AND($W86&lt;TODAY(),$W86&lt;&gt;""),$X86="")</formula>
    </cfRule>
  </conditionalFormatting>
  <conditionalFormatting sqref="C88">
    <cfRule type="containsText" priority="7408" operator="containsText" dxfId="1" text="Einnahmen">
      <formula>NOT(ISERROR(SEARCH("Einnahmen",C88)))</formula>
    </cfRule>
    <cfRule type="containsText" priority="7409" operator="containsText" dxfId="0" text="Ausgaben">
      <formula>NOT(ISERROR(SEARCH("Ausgaben",C88)))</formula>
    </cfRule>
  </conditionalFormatting>
  <conditionalFormatting sqref="T90">
    <cfRule type="expression" priority="7407" dxfId="2">
      <formula>AND(AND($W90&lt;TODAY(),$W90&lt;&gt;""),$X90="")</formula>
    </cfRule>
  </conditionalFormatting>
  <conditionalFormatting sqref="J90">
    <cfRule type="cellIs" priority="7406" operator="equal" dxfId="2034">
      <formula>"ja"</formula>
    </cfRule>
  </conditionalFormatting>
  <conditionalFormatting sqref="C91">
    <cfRule type="containsText" priority="7404" operator="containsText" dxfId="1" text="Einnahmen">
      <formula>NOT(ISERROR(SEARCH("Einnahmen",C91)))</formula>
    </cfRule>
    <cfRule type="containsText" priority="7405" operator="containsText" dxfId="0" text="Ausgaben">
      <formula>NOT(ISERROR(SEARCH("Ausgaben",C91)))</formula>
    </cfRule>
  </conditionalFormatting>
  <conditionalFormatting sqref="T92">
    <cfRule type="expression" priority="7403" dxfId="2">
      <formula>AND(AND($W92&lt;TODAY(),$W92&lt;&gt;""),$X92="")</formula>
    </cfRule>
  </conditionalFormatting>
  <conditionalFormatting sqref="T93">
    <cfRule type="expression" priority="7402" dxfId="2">
      <formula>AND(AND($W93&lt;TODAY(),$W93&lt;&gt;""),$X93="")</formula>
    </cfRule>
  </conditionalFormatting>
  <conditionalFormatting sqref="J93">
    <cfRule type="cellIs" priority="7401" operator="equal" dxfId="2034">
      <formula>"ja"</formula>
    </cfRule>
  </conditionalFormatting>
  <conditionalFormatting sqref="T94">
    <cfRule type="expression" priority="7400" dxfId="2">
      <formula>AND(AND($W94&lt;TODAY(),$W94&lt;&gt;""),$X94="")</formula>
    </cfRule>
  </conditionalFormatting>
  <conditionalFormatting sqref="J94">
    <cfRule type="cellIs" priority="7399" operator="equal" dxfId="2034">
      <formula>"ja"</formula>
    </cfRule>
  </conditionalFormatting>
  <conditionalFormatting sqref="J95">
    <cfRule type="cellIs" priority="7398" operator="equal" dxfId="2034">
      <formula>"ja"</formula>
    </cfRule>
  </conditionalFormatting>
  <conditionalFormatting sqref="T95">
    <cfRule type="expression" priority="7397" dxfId="2">
      <formula>AND(AND($W95&lt;TODAY(),$W95&lt;&gt;""),$X95="")</formula>
    </cfRule>
  </conditionalFormatting>
  <conditionalFormatting sqref="C96:C97">
    <cfRule type="containsText" priority="7395" operator="containsText" dxfId="1" text="Einnahmen">
      <formula>NOT(ISERROR(SEARCH("Einnahmen",C96)))</formula>
    </cfRule>
    <cfRule type="containsText" priority="7396" operator="containsText" dxfId="0" text="Ausgaben">
      <formula>NOT(ISERROR(SEARCH("Ausgaben",C96)))</formula>
    </cfRule>
  </conditionalFormatting>
  <conditionalFormatting sqref="C101">
    <cfRule type="containsText" priority="7393" operator="containsText" dxfId="1" text="Einnahmen">
      <formula>NOT(ISERROR(SEARCH("Einnahmen",C101)))</formula>
    </cfRule>
    <cfRule type="containsText" priority="7394" operator="containsText" dxfId="0" text="Ausgaben">
      <formula>NOT(ISERROR(SEARCH("Ausgaben",C101)))</formula>
    </cfRule>
  </conditionalFormatting>
  <conditionalFormatting sqref="T104">
    <cfRule type="expression" priority="7392" dxfId="2">
      <formula>AND(AND($W104&lt;TODAY(),$W104&lt;&gt;""),$X104="")</formula>
    </cfRule>
  </conditionalFormatting>
  <conditionalFormatting sqref="Z2:Z105 Z109 Z664 Z707 Z712 Z731 Z748 Z763:Z764 Z780 Z796 Z799 Z807 Z827 Z848 Z864 Z890 Z928 Z932 Z999 Z1011 Z1014 Z1044 Z1055 Z1063:Z1064 Z1074:Z1048576">
    <cfRule type="dataBar" priority="7390">
      <dataBar>
        <cfvo type="min"/>
        <cfvo type="max"/>
        <color rgb="FF63C384"/>
      </dataBar>
    </cfRule>
  </conditionalFormatting>
  <conditionalFormatting sqref="J106">
    <cfRule type="cellIs" priority="7389" operator="equal" dxfId="2034">
      <formula>"ja"</formula>
    </cfRule>
  </conditionalFormatting>
  <conditionalFormatting sqref="T106">
    <cfRule type="expression" priority="7388" dxfId="2">
      <formula>AND(AND($W106&lt;TODAY(),$W106&lt;&gt;""),$X106="")</formula>
    </cfRule>
  </conditionalFormatting>
  <conditionalFormatting sqref="Z106">
    <cfRule type="dataBar" priority="7387">
      <dataBar>
        <cfvo type="min"/>
        <cfvo type="max"/>
        <color rgb="FF63C384"/>
      </dataBar>
    </cfRule>
  </conditionalFormatting>
  <conditionalFormatting sqref="J107:J108">
    <cfRule type="cellIs" priority="7385" operator="equal" dxfId="2034">
      <formula>"ja"</formula>
    </cfRule>
  </conditionalFormatting>
  <conditionalFormatting sqref="T107:T108">
    <cfRule type="expression" priority="7384" dxfId="2">
      <formula>AND(AND($W107&lt;TODAY(),$W107&lt;&gt;""),$X107="")</formula>
    </cfRule>
  </conditionalFormatting>
  <conditionalFormatting sqref="Z107:Z108">
    <cfRule type="dataBar" priority="7383">
      <dataBar>
        <cfvo type="min"/>
        <cfvo type="max"/>
        <color rgb="FF63C384"/>
      </dataBar>
    </cfRule>
  </conditionalFormatting>
  <conditionalFormatting sqref="T110">
    <cfRule type="expression" priority="7381" dxfId="2">
      <formula>AND(AND($W110&lt;TODAY(),$W110&lt;&gt;""),$X110="")</formula>
    </cfRule>
  </conditionalFormatting>
  <conditionalFormatting sqref="J110">
    <cfRule type="cellIs" priority="7380" operator="equal" dxfId="2034">
      <formula>"ja"</formula>
    </cfRule>
  </conditionalFormatting>
  <conditionalFormatting sqref="Z110">
    <cfRule type="dataBar" priority="7379">
      <dataBar>
        <cfvo type="min"/>
        <cfvo type="max"/>
        <color rgb="FF63C384"/>
      </dataBar>
    </cfRule>
  </conditionalFormatting>
  <conditionalFormatting sqref="J111">
    <cfRule type="cellIs" priority="7378" operator="equal" dxfId="2034">
      <formula>"ja"</formula>
    </cfRule>
  </conditionalFormatting>
  <conditionalFormatting sqref="T111">
    <cfRule type="expression" priority="7377" dxfId="2">
      <formula>AND(AND($W111&lt;TODAY(),$W111&lt;&gt;""),$X111="")</formula>
    </cfRule>
  </conditionalFormatting>
  <conditionalFormatting sqref="Z111">
    <cfRule type="dataBar" priority="7376">
      <dataBar>
        <cfvo type="min"/>
        <cfvo type="max"/>
        <color rgb="FF63C384"/>
      </dataBar>
    </cfRule>
  </conditionalFormatting>
  <conditionalFormatting sqref="T112">
    <cfRule type="expression" priority="7375" dxfId="2">
      <formula>AND(AND($W112&lt;TODAY(),$W112&lt;&gt;""),$X112="")</formula>
    </cfRule>
  </conditionalFormatting>
  <conditionalFormatting sqref="Z112">
    <cfRule type="dataBar" priority="7374">
      <dataBar>
        <cfvo type="min"/>
        <cfvo type="max"/>
        <color rgb="FF63C384"/>
      </dataBar>
    </cfRule>
  </conditionalFormatting>
  <conditionalFormatting sqref="J113">
    <cfRule type="cellIs" priority="7373" operator="equal" dxfId="2034">
      <formula>"ja"</formula>
    </cfRule>
  </conditionalFormatting>
  <conditionalFormatting sqref="T113">
    <cfRule type="expression" priority="7372" dxfId="2">
      <formula>AND(AND($W113&lt;TODAY(),$W113&lt;&gt;""),$X113="")</formula>
    </cfRule>
  </conditionalFormatting>
  <conditionalFormatting sqref="Z113">
    <cfRule type="dataBar" priority="7371">
      <dataBar>
        <cfvo type="min"/>
        <cfvo type="max"/>
        <color rgb="FF63C384"/>
      </dataBar>
    </cfRule>
  </conditionalFormatting>
  <conditionalFormatting sqref="T116">
    <cfRule type="expression" priority="7370" dxfId="2">
      <formula>AND(AND($W116&lt;TODAY(),$W116&lt;&gt;""),$X116="")</formula>
    </cfRule>
  </conditionalFormatting>
  <conditionalFormatting sqref="J116">
    <cfRule type="cellIs" priority="7369" operator="equal" dxfId="2034">
      <formula>"ja"</formula>
    </cfRule>
  </conditionalFormatting>
  <conditionalFormatting sqref="Z116">
    <cfRule type="dataBar" priority="7368">
      <dataBar>
        <cfvo type="min"/>
        <cfvo type="max"/>
        <color rgb="FF63C384"/>
      </dataBar>
    </cfRule>
  </conditionalFormatting>
  <conditionalFormatting sqref="T115">
    <cfRule type="expression" priority="7367" dxfId="2">
      <formula>AND(AND($W115&lt;TODAY(),$W115&lt;&gt;""),$X115="")</formula>
    </cfRule>
  </conditionalFormatting>
  <conditionalFormatting sqref="J115">
    <cfRule type="cellIs" priority="7366" operator="equal" dxfId="2034">
      <formula>"ja"</formula>
    </cfRule>
  </conditionalFormatting>
  <conditionalFormatting sqref="Z115">
    <cfRule type="dataBar" priority="7365">
      <dataBar>
        <cfvo type="min"/>
        <cfvo type="max"/>
        <color rgb="FF63C384"/>
      </dataBar>
    </cfRule>
  </conditionalFormatting>
  <conditionalFormatting sqref="J114">
    <cfRule type="cellIs" priority="7364" operator="equal" dxfId="2034">
      <formula>"ja"</formula>
    </cfRule>
  </conditionalFormatting>
  <conditionalFormatting sqref="T114">
    <cfRule type="expression" priority="7363" dxfId="2">
      <formula>AND(AND($W114&lt;TODAY(),$W114&lt;&gt;""),$X114="")</formula>
    </cfRule>
  </conditionalFormatting>
  <conditionalFormatting sqref="Z114">
    <cfRule type="dataBar" priority="7362">
      <dataBar>
        <cfvo type="min"/>
        <cfvo type="max"/>
        <color rgb="FF63C384"/>
      </dataBar>
    </cfRule>
  </conditionalFormatting>
  <conditionalFormatting sqref="T117">
    <cfRule type="expression" priority="7361" dxfId="2">
      <formula>AND(AND($W117&lt;TODAY(),$W117&lt;&gt;""),$X117="")</formula>
    </cfRule>
  </conditionalFormatting>
  <conditionalFormatting sqref="J118">
    <cfRule type="cellIs" priority="7360" operator="equal" dxfId="2034">
      <formula>"ja"</formula>
    </cfRule>
  </conditionalFormatting>
  <conditionalFormatting sqref="T118">
    <cfRule type="expression" priority="7359" dxfId="2">
      <formula>AND(AND($W118&lt;TODAY(),$W118&lt;&gt;""),$X118="")</formula>
    </cfRule>
  </conditionalFormatting>
  <conditionalFormatting sqref="C119">
    <cfRule type="containsText" priority="7356" operator="containsText" dxfId="1" text="Einnahmen">
      <formula>NOT(ISERROR(SEARCH("Einnahmen",C119)))</formula>
    </cfRule>
    <cfRule type="containsText" priority="7357" operator="containsText" dxfId="0" text="Ausgaben">
      <formula>NOT(ISERROR(SEARCH("Ausgaben",C119)))</formula>
    </cfRule>
  </conditionalFormatting>
  <conditionalFormatting sqref="T119">
    <cfRule type="expression" priority="7355" dxfId="2">
      <formula>AND(AND($W119&lt;TODAY(),$W119&lt;&gt;""),$X119="")</formula>
    </cfRule>
  </conditionalFormatting>
  <conditionalFormatting sqref="T120">
    <cfRule type="expression" priority="7354" dxfId="2">
      <formula>AND(AND($W120&lt;TODAY(),$W120&lt;&gt;""),$X120="")</formula>
    </cfRule>
  </conditionalFormatting>
  <conditionalFormatting sqref="Z117:Z120">
    <cfRule type="dataBar" priority="7353">
      <dataBar>
        <cfvo type="min"/>
        <cfvo type="max"/>
        <color rgb="FF63C384"/>
      </dataBar>
    </cfRule>
  </conditionalFormatting>
  <conditionalFormatting sqref="T121">
    <cfRule type="expression" priority="7351" dxfId="2">
      <formula>AND(AND($W121&lt;TODAY(),$W121&lt;&gt;""),$X121="")</formula>
    </cfRule>
  </conditionalFormatting>
  <conditionalFormatting sqref="Z121">
    <cfRule type="dataBar" priority="7350">
      <dataBar>
        <cfvo type="min"/>
        <cfvo type="max"/>
        <color rgb="FF63C384"/>
      </dataBar>
    </cfRule>
  </conditionalFormatting>
  <conditionalFormatting sqref="T122">
    <cfRule type="expression" priority="7349" dxfId="2">
      <formula>AND(AND($W122&lt;TODAY(),$W122&lt;&gt;""),$X122="")</formula>
    </cfRule>
  </conditionalFormatting>
  <conditionalFormatting sqref="J122">
    <cfRule type="cellIs" priority="7347" operator="equal" dxfId="2034">
      <formula>"ja"</formula>
    </cfRule>
  </conditionalFormatting>
  <conditionalFormatting sqref="Z122">
    <cfRule type="dataBar" priority="7346">
      <dataBar>
        <cfvo type="min"/>
        <cfvo type="max"/>
        <color rgb="FF63C384"/>
      </dataBar>
    </cfRule>
  </conditionalFormatting>
  <conditionalFormatting sqref="J123">
    <cfRule type="cellIs" priority="7337" operator="equal" dxfId="2034">
      <formula>"ja"</formula>
    </cfRule>
  </conditionalFormatting>
  <conditionalFormatting sqref="T123">
    <cfRule type="expression" priority="7336" dxfId="2">
      <formula>AND(AND($W123&lt;TODAY(),$W123&lt;&gt;""),$X123="")</formula>
    </cfRule>
  </conditionalFormatting>
  <conditionalFormatting sqref="Z123">
    <cfRule type="dataBar" priority="7335">
      <dataBar>
        <cfvo type="min"/>
        <cfvo type="max"/>
        <color rgb="FF63C384"/>
      </dataBar>
    </cfRule>
  </conditionalFormatting>
  <conditionalFormatting sqref="T124">
    <cfRule type="expression" priority="7334" dxfId="2">
      <formula>AND(AND($W124&lt;TODAY(),$W124&lt;&gt;""),$X124="")</formula>
    </cfRule>
  </conditionalFormatting>
  <conditionalFormatting sqref="Z124">
    <cfRule type="dataBar" priority="7333">
      <dataBar>
        <cfvo type="min"/>
        <cfvo type="max"/>
        <color rgb="FF63C384"/>
      </dataBar>
    </cfRule>
  </conditionalFormatting>
  <conditionalFormatting sqref="J124">
    <cfRule type="cellIs" priority="7331" operator="equal" dxfId="2034">
      <formula>"ja"</formula>
    </cfRule>
  </conditionalFormatting>
  <conditionalFormatting sqref="T125">
    <cfRule type="expression" priority="7330" dxfId="2">
      <formula>AND(AND($W125&lt;TODAY(),$W125&lt;&gt;""),$X125="")</formula>
    </cfRule>
  </conditionalFormatting>
  <conditionalFormatting sqref="J125">
    <cfRule type="cellIs" priority="7329" operator="equal" dxfId="2034">
      <formula>"ja"</formula>
    </cfRule>
  </conditionalFormatting>
  <conditionalFormatting sqref="Z125">
    <cfRule type="dataBar" priority="7328">
      <dataBar>
        <cfvo type="min"/>
        <cfvo type="max"/>
        <color rgb="FF63C384"/>
      </dataBar>
    </cfRule>
  </conditionalFormatting>
  <conditionalFormatting sqref="T126">
    <cfRule type="expression" priority="7327" dxfId="2">
      <formula>AND(AND($W126&lt;TODAY(),$W126&lt;&gt;""),$X126="")</formula>
    </cfRule>
  </conditionalFormatting>
  <conditionalFormatting sqref="Z126">
    <cfRule type="dataBar" priority="7326">
      <dataBar>
        <cfvo type="min"/>
        <cfvo type="max"/>
        <color rgb="FF63C384"/>
      </dataBar>
    </cfRule>
  </conditionalFormatting>
  <conditionalFormatting sqref="T127">
    <cfRule type="expression" priority="7325" dxfId="2">
      <formula>AND(AND($W127&lt;TODAY(),$W127&lt;&gt;""),$X127="")</formula>
    </cfRule>
  </conditionalFormatting>
  <conditionalFormatting sqref="J127">
    <cfRule type="cellIs" priority="7324" operator="equal" dxfId="2034">
      <formula>"ja"</formula>
    </cfRule>
  </conditionalFormatting>
  <conditionalFormatting sqref="Z127">
    <cfRule type="dataBar" priority="7323">
      <dataBar>
        <cfvo type="min"/>
        <cfvo type="max"/>
        <color rgb="FF63C384"/>
      </dataBar>
    </cfRule>
  </conditionalFormatting>
  <conditionalFormatting sqref="T128">
    <cfRule type="expression" priority="7322" dxfId="2">
      <formula>AND(AND($W128&lt;TODAY(),$W128&lt;&gt;""),$X128="")</formula>
    </cfRule>
  </conditionalFormatting>
  <conditionalFormatting sqref="Z128">
    <cfRule type="dataBar" priority="7321">
      <dataBar>
        <cfvo type="min"/>
        <cfvo type="max"/>
        <color rgb="FF63C384"/>
      </dataBar>
    </cfRule>
  </conditionalFormatting>
  <conditionalFormatting sqref="T129">
    <cfRule type="expression" priority="7320" dxfId="2">
      <formula>AND(AND($W129&lt;TODAY(),$W129&lt;&gt;""),$X129="")</formula>
    </cfRule>
  </conditionalFormatting>
  <conditionalFormatting sqref="Z129">
    <cfRule type="dataBar" priority="7319">
      <dataBar>
        <cfvo type="min"/>
        <cfvo type="max"/>
        <color rgb="FF63C384"/>
      </dataBar>
    </cfRule>
  </conditionalFormatting>
  <conditionalFormatting sqref="T130">
    <cfRule type="expression" priority="7318" dxfId="2">
      <formula>AND(AND($W130&lt;TODAY(),$W130&lt;&gt;""),$X130="")</formula>
    </cfRule>
  </conditionalFormatting>
  <conditionalFormatting sqref="Z130">
    <cfRule type="dataBar" priority="7317">
      <dataBar>
        <cfvo type="min"/>
        <cfvo type="max"/>
        <color rgb="FF63C384"/>
      </dataBar>
    </cfRule>
  </conditionalFormatting>
  <conditionalFormatting sqref="T131">
    <cfRule type="expression" priority="7316" dxfId="2">
      <formula>AND(AND($W131&lt;TODAY(),$W131&lt;&gt;""),$X131="")</formula>
    </cfRule>
  </conditionalFormatting>
  <conditionalFormatting sqref="Z131">
    <cfRule type="dataBar" priority="7315">
      <dataBar>
        <cfvo type="min"/>
        <cfvo type="max"/>
        <color rgb="FF63C384"/>
      </dataBar>
    </cfRule>
  </conditionalFormatting>
  <conditionalFormatting sqref="T132">
    <cfRule type="expression" priority="7314" dxfId="2">
      <formula>AND(AND($W132&lt;TODAY(),$W132&lt;&gt;""),$X132="")</formula>
    </cfRule>
  </conditionalFormatting>
  <conditionalFormatting sqref="Z132">
    <cfRule type="dataBar" priority="7313">
      <dataBar>
        <cfvo type="min"/>
        <cfvo type="max"/>
        <color rgb="FF63C384"/>
      </dataBar>
    </cfRule>
  </conditionalFormatting>
  <conditionalFormatting sqref="T133:T134 T138 T140 T142:T144 T146:T148 T150 T152">
    <cfRule type="expression" priority="7312" dxfId="2">
      <formula>AND(AND($W133&lt;TODAY(),$W133&lt;&gt;""),$X133="")</formula>
    </cfRule>
  </conditionalFormatting>
  <conditionalFormatting sqref="Z133:Z134 Z138 Z140 Z142:Z144 Z146:Z148 Z150 Z152">
    <cfRule type="dataBar" priority="7311">
      <dataBar>
        <cfvo type="min"/>
        <cfvo type="max"/>
        <color rgb="FF63C384"/>
      </dataBar>
    </cfRule>
  </conditionalFormatting>
  <conditionalFormatting sqref="T135">
    <cfRule type="expression" priority="7310" dxfId="2">
      <formula>AND(AND($W135&lt;TODAY(),$W135&lt;&gt;""),$X135="")</formula>
    </cfRule>
  </conditionalFormatting>
  <conditionalFormatting sqref="Z135">
    <cfRule type="dataBar" priority="7309">
      <dataBar>
        <cfvo type="min"/>
        <cfvo type="max"/>
        <color rgb="FF63C384"/>
      </dataBar>
    </cfRule>
  </conditionalFormatting>
  <conditionalFormatting sqref="T136">
    <cfRule type="expression" priority="7308" dxfId="2">
      <formula>AND(AND($W136&lt;TODAY(),$W136&lt;&gt;""),$X136="")</formula>
    </cfRule>
  </conditionalFormatting>
  <conditionalFormatting sqref="J136">
    <cfRule type="cellIs" priority="7307" operator="equal" dxfId="2034">
      <formula>"ja"</formula>
    </cfRule>
  </conditionalFormatting>
  <conditionalFormatting sqref="Z136">
    <cfRule type="dataBar" priority="7306">
      <dataBar>
        <cfvo type="min"/>
        <cfvo type="max"/>
        <color rgb="FF63C384"/>
      </dataBar>
    </cfRule>
  </conditionalFormatting>
  <conditionalFormatting sqref="J137">
    <cfRule type="cellIs" priority="7304" operator="equal" dxfId="2034">
      <formula>"ja"</formula>
    </cfRule>
  </conditionalFormatting>
  <conditionalFormatting sqref="T137">
    <cfRule type="expression" priority="7303" dxfId="2">
      <formula>AND(AND($W137&lt;TODAY(),$W137&lt;&gt;""),$X137="")</formula>
    </cfRule>
  </conditionalFormatting>
  <conditionalFormatting sqref="Z137">
    <cfRule type="dataBar" priority="7302">
      <dataBar>
        <cfvo type="min"/>
        <cfvo type="max"/>
        <color rgb="FF63C384"/>
      </dataBar>
    </cfRule>
  </conditionalFormatting>
  <conditionalFormatting sqref="J139">
    <cfRule type="cellIs" priority="7301" operator="equal" dxfId="2034">
      <formula>"ja"</formula>
    </cfRule>
  </conditionalFormatting>
  <conditionalFormatting sqref="T139">
    <cfRule type="expression" priority="7300" dxfId="2">
      <formula>AND(AND($W139&lt;TODAY(),$W139&lt;&gt;""),$X139="")</formula>
    </cfRule>
  </conditionalFormatting>
  <conditionalFormatting sqref="Z139">
    <cfRule type="dataBar" priority="7299">
      <dataBar>
        <cfvo type="min"/>
        <cfvo type="max"/>
        <color rgb="FF63C384"/>
      </dataBar>
    </cfRule>
  </conditionalFormatting>
  <conditionalFormatting sqref="J141">
    <cfRule type="cellIs" priority="7298" operator="equal" dxfId="2034">
      <formula>"ja"</formula>
    </cfRule>
  </conditionalFormatting>
  <conditionalFormatting sqref="T141">
    <cfRule type="expression" priority="7297" dxfId="2">
      <formula>AND(AND($W141&lt;TODAY(),$W141&lt;&gt;""),$X141="")</formula>
    </cfRule>
  </conditionalFormatting>
  <conditionalFormatting sqref="Z141">
    <cfRule type="dataBar" priority="7296">
      <dataBar>
        <cfvo type="min"/>
        <cfvo type="max"/>
        <color rgb="FF63C384"/>
      </dataBar>
    </cfRule>
  </conditionalFormatting>
  <conditionalFormatting sqref="T145">
    <cfRule type="expression" priority="7295" dxfId="2">
      <formula>AND(AND($W145&lt;TODAY(),$W145&lt;&gt;""),$X145="")</formula>
    </cfRule>
  </conditionalFormatting>
  <conditionalFormatting sqref="J145">
    <cfRule type="cellIs" priority="7294" operator="equal" dxfId="2034">
      <formula>"ja"</formula>
    </cfRule>
  </conditionalFormatting>
  <conditionalFormatting sqref="Z145">
    <cfRule type="dataBar" priority="7293">
      <dataBar>
        <cfvo type="min"/>
        <cfvo type="max"/>
        <color rgb="FF63C384"/>
      </dataBar>
    </cfRule>
  </conditionalFormatting>
  <conditionalFormatting sqref="J149">
    <cfRule type="cellIs" priority="7291" operator="equal" dxfId="2034">
      <formula>"ja"</formula>
    </cfRule>
  </conditionalFormatting>
  <conditionalFormatting sqref="T149">
    <cfRule type="expression" priority="7290" dxfId="2">
      <formula>AND(AND($W149&lt;TODAY(),$W149&lt;&gt;""),$X149="")</formula>
    </cfRule>
  </conditionalFormatting>
  <conditionalFormatting sqref="Z149">
    <cfRule type="dataBar" priority="7289">
      <dataBar>
        <cfvo type="min"/>
        <cfvo type="max"/>
        <color rgb="FF63C384"/>
      </dataBar>
    </cfRule>
  </conditionalFormatting>
  <conditionalFormatting sqref="J151">
    <cfRule type="cellIs" priority="7287" operator="equal" dxfId="2034">
      <formula>"ja"</formula>
    </cfRule>
  </conditionalFormatting>
  <conditionalFormatting sqref="T151">
    <cfRule type="expression" priority="7286" dxfId="2">
      <formula>AND(AND($W151&lt;TODAY(),$W151&lt;&gt;""),$X151="")</formula>
    </cfRule>
  </conditionalFormatting>
  <conditionalFormatting sqref="Z151">
    <cfRule type="dataBar" priority="7285">
      <dataBar>
        <cfvo type="min"/>
        <cfvo type="max"/>
        <color rgb="FF63C384"/>
      </dataBar>
    </cfRule>
  </conditionalFormatting>
  <conditionalFormatting sqref="T153">
    <cfRule type="expression" priority="7284" dxfId="2">
      <formula>AND(AND($W153&lt;TODAY(),$W153&lt;&gt;""),$X153="")</formula>
    </cfRule>
  </conditionalFormatting>
  <conditionalFormatting sqref="Z153">
    <cfRule type="dataBar" priority="7283">
      <dataBar>
        <cfvo type="min"/>
        <cfvo type="max"/>
        <color rgb="FF63C384"/>
      </dataBar>
    </cfRule>
  </conditionalFormatting>
  <conditionalFormatting sqref="J154">
    <cfRule type="cellIs" priority="7282" operator="equal" dxfId="2034">
      <formula>"ja"</formula>
    </cfRule>
  </conditionalFormatting>
  <conditionalFormatting sqref="T154">
    <cfRule type="expression" priority="7281" dxfId="2">
      <formula>AND(AND($W154&lt;TODAY(),$W154&lt;&gt;""),$X154="")</formula>
    </cfRule>
  </conditionalFormatting>
  <conditionalFormatting sqref="Z154">
    <cfRule type="dataBar" priority="7279">
      <dataBar>
        <cfvo type="min"/>
        <cfvo type="max"/>
        <color rgb="FF63C384"/>
      </dataBar>
    </cfRule>
  </conditionalFormatting>
  <conditionalFormatting sqref="T155">
    <cfRule type="expression" priority="7278" dxfId="2">
      <formula>AND(AND($W155&lt;TODAY(),$W155&lt;&gt;""),$X155="")</formula>
    </cfRule>
  </conditionalFormatting>
  <conditionalFormatting sqref="Z155">
    <cfRule type="dataBar" priority="7277">
      <dataBar>
        <cfvo type="min"/>
        <cfvo type="max"/>
        <color rgb="FF63C384"/>
      </dataBar>
    </cfRule>
  </conditionalFormatting>
  <conditionalFormatting sqref="J156">
    <cfRule type="cellIs" priority="7276" operator="equal" dxfId="2034">
      <formula>"ja"</formula>
    </cfRule>
  </conditionalFormatting>
  <conditionalFormatting sqref="T156">
    <cfRule type="expression" priority="7275" dxfId="2">
      <formula>AND(AND($W156&lt;TODAY(),$W156&lt;&gt;""),$X156="")</formula>
    </cfRule>
  </conditionalFormatting>
  <conditionalFormatting sqref="Z156">
    <cfRule type="dataBar" priority="7274">
      <dataBar>
        <cfvo type="min"/>
        <cfvo type="max"/>
        <color rgb="FF63C384"/>
      </dataBar>
    </cfRule>
  </conditionalFormatting>
  <conditionalFormatting sqref="J157">
    <cfRule type="cellIs" priority="7273" operator="equal" dxfId="2034">
      <formula>"ja"</formula>
    </cfRule>
  </conditionalFormatting>
  <conditionalFormatting sqref="T157">
    <cfRule type="expression" priority="7272" dxfId="2">
      <formula>AND(AND($W157&lt;TODAY(),$W157&lt;&gt;""),$X157="")</formula>
    </cfRule>
  </conditionalFormatting>
  <conditionalFormatting sqref="Z157">
    <cfRule type="dataBar" priority="7271">
      <dataBar>
        <cfvo type="min"/>
        <cfvo type="max"/>
        <color rgb="FF63C384"/>
      </dataBar>
    </cfRule>
  </conditionalFormatting>
  <conditionalFormatting sqref="T158">
    <cfRule type="expression" priority="7270" dxfId="2">
      <formula>AND(AND($W158&lt;TODAY(),$W158&lt;&gt;""),$X158="")</formula>
    </cfRule>
  </conditionalFormatting>
  <conditionalFormatting sqref="Z158">
    <cfRule type="dataBar" priority="7269">
      <dataBar>
        <cfvo type="min"/>
        <cfvo type="max"/>
        <color rgb="FF63C384"/>
      </dataBar>
    </cfRule>
  </conditionalFormatting>
  <conditionalFormatting sqref="J159">
    <cfRule type="cellIs" priority="7267" operator="equal" dxfId="2034">
      <formula>"ja"</formula>
    </cfRule>
  </conditionalFormatting>
  <conditionalFormatting sqref="T159">
    <cfRule type="expression" priority="7266" dxfId="2">
      <formula>AND(AND($W159&lt;TODAY(),$W159&lt;&gt;""),$X159="")</formula>
    </cfRule>
  </conditionalFormatting>
  <conditionalFormatting sqref="Z159">
    <cfRule type="dataBar" priority="7265">
      <dataBar>
        <cfvo type="min"/>
        <cfvo type="max"/>
        <color rgb="FF63C384"/>
      </dataBar>
    </cfRule>
  </conditionalFormatting>
  <conditionalFormatting sqref="J160">
    <cfRule type="cellIs" priority="7263" operator="equal" dxfId="2034">
      <formula>"ja"</formula>
    </cfRule>
  </conditionalFormatting>
  <conditionalFormatting sqref="T160">
    <cfRule type="expression" priority="7262" dxfId="2">
      <formula>AND(AND($W160&lt;TODAY(),$W160&lt;&gt;""),$X160="")</formula>
    </cfRule>
  </conditionalFormatting>
  <conditionalFormatting sqref="Z160">
    <cfRule type="dataBar" priority="7261">
      <dataBar>
        <cfvo type="min"/>
        <cfvo type="max"/>
        <color rgb="FF63C384"/>
      </dataBar>
    </cfRule>
  </conditionalFormatting>
  <conditionalFormatting sqref="J161">
    <cfRule type="cellIs" priority="7259" operator="equal" dxfId="2034">
      <formula>"ja"</formula>
    </cfRule>
  </conditionalFormatting>
  <conditionalFormatting sqref="T161">
    <cfRule type="expression" priority="7258" dxfId="2">
      <formula>AND(AND($W161&lt;TODAY(),$W161&lt;&gt;""),$X161="")</formula>
    </cfRule>
  </conditionalFormatting>
  <conditionalFormatting sqref="Z161">
    <cfRule type="dataBar" priority="7257">
      <dataBar>
        <cfvo type="min"/>
        <cfvo type="max"/>
        <color rgb="FF63C384"/>
      </dataBar>
    </cfRule>
  </conditionalFormatting>
  <conditionalFormatting sqref="T162">
    <cfRule type="expression" priority="7256" dxfId="2">
      <formula>AND(AND($W162&lt;TODAY(),$W162&lt;&gt;""),$X162="")</formula>
    </cfRule>
  </conditionalFormatting>
  <conditionalFormatting sqref="J162">
    <cfRule type="cellIs" priority="7255" operator="equal" dxfId="2034">
      <formula>"ja"</formula>
    </cfRule>
  </conditionalFormatting>
  <conditionalFormatting sqref="Z162">
    <cfRule type="dataBar" priority="7254">
      <dataBar>
        <cfvo type="min"/>
        <cfvo type="max"/>
        <color rgb="FF63C384"/>
      </dataBar>
    </cfRule>
  </conditionalFormatting>
  <conditionalFormatting sqref="T163">
    <cfRule type="expression" priority="7253" dxfId="2">
      <formula>AND(AND($W163&lt;TODAY(),$W163&lt;&gt;""),$X163="")</formula>
    </cfRule>
  </conditionalFormatting>
  <conditionalFormatting sqref="Z163">
    <cfRule type="dataBar" priority="7252">
      <dataBar>
        <cfvo type="min"/>
        <cfvo type="max"/>
        <color rgb="FF63C384"/>
      </dataBar>
    </cfRule>
  </conditionalFormatting>
  <conditionalFormatting sqref="T164">
    <cfRule type="expression" priority="7251" dxfId="2">
      <formula>AND(AND($W164&lt;TODAY(),$W164&lt;&gt;""),$X164="")</formula>
    </cfRule>
  </conditionalFormatting>
  <conditionalFormatting sqref="Z164">
    <cfRule type="dataBar" priority="7250">
      <dataBar>
        <cfvo type="min"/>
        <cfvo type="max"/>
        <color rgb="FF63C384"/>
      </dataBar>
    </cfRule>
  </conditionalFormatting>
  <conditionalFormatting sqref="C165">
    <cfRule type="containsText" priority="7248" operator="containsText" dxfId="1" text="Einnahmen">
      <formula>NOT(ISERROR(SEARCH("Einnahmen",C165)))</formula>
    </cfRule>
    <cfRule type="containsText" priority="7249" operator="containsText" dxfId="0" text="Ausgaben">
      <formula>NOT(ISERROR(SEARCH("Ausgaben",C165)))</formula>
    </cfRule>
  </conditionalFormatting>
  <conditionalFormatting sqref="J165">
    <cfRule type="cellIs" priority="7246" operator="equal" dxfId="2034">
      <formula>"ja"</formula>
    </cfRule>
  </conditionalFormatting>
  <conditionalFormatting sqref="T165">
    <cfRule type="expression" priority="7245" dxfId="2">
      <formula>AND(AND($W165&lt;TODAY(),$W165&lt;&gt;""),$X165="")</formula>
    </cfRule>
  </conditionalFormatting>
  <conditionalFormatting sqref="Z165">
    <cfRule type="dataBar" priority="7244">
      <dataBar>
        <cfvo type="min"/>
        <cfvo type="max"/>
        <color rgb="FF63C384"/>
      </dataBar>
    </cfRule>
  </conditionalFormatting>
  <conditionalFormatting sqref="T166">
    <cfRule type="expression" priority="7243" dxfId="2">
      <formula>AND(AND($W166&lt;TODAY(),$W166&lt;&gt;""),$X166="")</formula>
    </cfRule>
  </conditionalFormatting>
  <conditionalFormatting sqref="Z166">
    <cfRule type="dataBar" priority="7242">
      <dataBar>
        <cfvo type="min"/>
        <cfvo type="max"/>
        <color rgb="FF63C384"/>
      </dataBar>
    </cfRule>
  </conditionalFormatting>
  <conditionalFormatting sqref="J167">
    <cfRule type="cellIs" priority="7240" operator="equal" dxfId="2034">
      <formula>"ja"</formula>
    </cfRule>
  </conditionalFormatting>
  <conditionalFormatting sqref="T167">
    <cfRule type="expression" priority="7239" dxfId="2">
      <formula>AND(AND($W167&lt;TODAY(),$W167&lt;&gt;""),$X167="")</formula>
    </cfRule>
  </conditionalFormatting>
  <conditionalFormatting sqref="Z167">
    <cfRule type="dataBar" priority="7238">
      <dataBar>
        <cfvo type="min"/>
        <cfvo type="max"/>
        <color rgb="FF63C384"/>
      </dataBar>
    </cfRule>
  </conditionalFormatting>
  <conditionalFormatting sqref="J168">
    <cfRule type="cellIs" priority="7236" operator="equal" dxfId="2034">
      <formula>"ja"</formula>
    </cfRule>
  </conditionalFormatting>
  <conditionalFormatting sqref="T168">
    <cfRule type="expression" priority="7235" dxfId="2">
      <formula>AND(AND($W168&lt;TODAY(),$W168&lt;&gt;""),$X168="")</formula>
    </cfRule>
  </conditionalFormatting>
  <conditionalFormatting sqref="Z168">
    <cfRule type="dataBar" priority="7234">
      <dataBar>
        <cfvo type="min"/>
        <cfvo type="max"/>
        <color rgb="FF63C384"/>
      </dataBar>
    </cfRule>
  </conditionalFormatting>
  <conditionalFormatting sqref="T169">
    <cfRule type="expression" priority="7232" dxfId="2">
      <formula>AND(AND($W169&lt;TODAY(),$W169&lt;&gt;""),$X169="")</formula>
    </cfRule>
  </conditionalFormatting>
  <conditionalFormatting sqref="J169">
    <cfRule type="cellIs" priority="7231" operator="equal" dxfId="2034">
      <formula>"ja"</formula>
    </cfRule>
  </conditionalFormatting>
  <conditionalFormatting sqref="Z169">
    <cfRule type="dataBar" priority="7230">
      <dataBar>
        <cfvo type="min"/>
        <cfvo type="max"/>
        <color rgb="FF63C384"/>
      </dataBar>
    </cfRule>
  </conditionalFormatting>
  <conditionalFormatting sqref="T170">
    <cfRule type="expression" priority="7229" dxfId="2">
      <formula>AND(AND($W170&lt;TODAY(),$W170&lt;&gt;""),$X170="")</formula>
    </cfRule>
  </conditionalFormatting>
  <conditionalFormatting sqref="Z170">
    <cfRule type="dataBar" priority="7228">
      <dataBar>
        <cfvo type="min"/>
        <cfvo type="max"/>
        <color rgb="FF63C384"/>
      </dataBar>
    </cfRule>
  </conditionalFormatting>
  <conditionalFormatting sqref="C171">
    <cfRule type="containsText" priority="7226" operator="containsText" dxfId="1" text="Einnahmen">
      <formula>NOT(ISERROR(SEARCH("Einnahmen",C171)))</formula>
    </cfRule>
    <cfRule type="containsText" priority="7227" operator="containsText" dxfId="0" text="Ausgaben">
      <formula>NOT(ISERROR(SEARCH("Ausgaben",C171)))</formula>
    </cfRule>
  </conditionalFormatting>
  <conditionalFormatting sqref="J171">
    <cfRule type="cellIs" priority="7224" operator="equal" dxfId="2034">
      <formula>"ja"</formula>
    </cfRule>
  </conditionalFormatting>
  <conditionalFormatting sqref="T171">
    <cfRule type="expression" priority="7223" dxfId="2">
      <formula>AND(AND($W171&lt;TODAY(),$W171&lt;&gt;""),$X171="")</formula>
    </cfRule>
  </conditionalFormatting>
  <conditionalFormatting sqref="Z171">
    <cfRule type="dataBar" priority="7222">
      <dataBar>
        <cfvo type="min"/>
        <cfvo type="max"/>
        <color rgb="FF63C384"/>
      </dataBar>
    </cfRule>
  </conditionalFormatting>
  <conditionalFormatting sqref="C172">
    <cfRule type="containsText" priority="7220" operator="containsText" dxfId="1" text="Einnahmen">
      <formula>NOT(ISERROR(SEARCH("Einnahmen",C172)))</formula>
    </cfRule>
    <cfRule type="containsText" priority="7221" operator="containsText" dxfId="0" text="Ausgaben">
      <formula>NOT(ISERROR(SEARCH("Ausgaben",C172)))</formula>
    </cfRule>
  </conditionalFormatting>
  <conditionalFormatting sqref="J172">
    <cfRule type="cellIs" priority="7218" operator="equal" dxfId="2034">
      <formula>"ja"</formula>
    </cfRule>
  </conditionalFormatting>
  <conditionalFormatting sqref="T172">
    <cfRule type="expression" priority="7217" dxfId="2">
      <formula>AND(AND($W172&lt;TODAY(),$W172&lt;&gt;""),$X172="")</formula>
    </cfRule>
  </conditionalFormatting>
  <conditionalFormatting sqref="Z172">
    <cfRule type="dataBar" priority="7216">
      <dataBar>
        <cfvo type="min"/>
        <cfvo type="max"/>
        <color rgb="FF63C384"/>
      </dataBar>
    </cfRule>
  </conditionalFormatting>
  <conditionalFormatting sqref="J173">
    <cfRule type="cellIs" priority="7215" operator="equal" dxfId="2034">
      <formula>"ja"</formula>
    </cfRule>
  </conditionalFormatting>
  <conditionalFormatting sqref="T173">
    <cfRule type="expression" priority="7214" dxfId="2">
      <formula>AND(AND($W173&lt;TODAY(),$W173&lt;&gt;""),$X173="")</formula>
    </cfRule>
  </conditionalFormatting>
  <conditionalFormatting sqref="Z173">
    <cfRule type="dataBar" priority="7213">
      <dataBar>
        <cfvo type="min"/>
        <cfvo type="max"/>
        <color rgb="FF63C384"/>
      </dataBar>
    </cfRule>
  </conditionalFormatting>
  <conditionalFormatting sqref="J174">
    <cfRule type="cellIs" priority="7211" operator="equal" dxfId="2034">
      <formula>"ja"</formula>
    </cfRule>
  </conditionalFormatting>
  <conditionalFormatting sqref="T174">
    <cfRule type="expression" priority="7210" dxfId="2">
      <formula>AND(AND($W174&lt;TODAY(),$W174&lt;&gt;""),$X174="")</formula>
    </cfRule>
  </conditionalFormatting>
  <conditionalFormatting sqref="Z174">
    <cfRule type="dataBar" priority="7209">
      <dataBar>
        <cfvo type="min"/>
        <cfvo type="max"/>
        <color rgb="FF63C384"/>
      </dataBar>
    </cfRule>
  </conditionalFormatting>
  <conditionalFormatting sqref="C174">
    <cfRule type="containsText" priority="7207" operator="containsText" dxfId="1" text="Einnahmen">
      <formula>NOT(ISERROR(SEARCH("Einnahmen",C174)))</formula>
    </cfRule>
    <cfRule type="containsText" priority="7208" operator="containsText" dxfId="0" text="Ausgaben">
      <formula>NOT(ISERROR(SEARCH("Ausgaben",C174)))</formula>
    </cfRule>
  </conditionalFormatting>
  <conditionalFormatting sqref="J175">
    <cfRule type="cellIs" priority="7205" operator="equal" dxfId="2034">
      <formula>"ja"</formula>
    </cfRule>
  </conditionalFormatting>
  <conditionalFormatting sqref="T175">
    <cfRule type="expression" priority="7204" dxfId="2">
      <formula>AND(AND($W175&lt;TODAY(),$W175&lt;&gt;""),$X175="")</formula>
    </cfRule>
  </conditionalFormatting>
  <conditionalFormatting sqref="Z175">
    <cfRule type="dataBar" priority="7203">
      <dataBar>
        <cfvo type="min"/>
        <cfvo type="max"/>
        <color rgb="FF63C384"/>
      </dataBar>
    </cfRule>
  </conditionalFormatting>
  <conditionalFormatting sqref="J176">
    <cfRule type="cellIs" priority="7201" operator="equal" dxfId="2034">
      <formula>"ja"</formula>
    </cfRule>
  </conditionalFormatting>
  <conditionalFormatting sqref="T176">
    <cfRule type="expression" priority="7200" dxfId="2">
      <formula>AND(AND($W176&lt;TODAY(),$W176&lt;&gt;""),$X176="")</formula>
    </cfRule>
  </conditionalFormatting>
  <conditionalFormatting sqref="Z176">
    <cfRule type="dataBar" priority="7199">
      <dataBar>
        <cfvo type="min"/>
        <cfvo type="max"/>
        <color rgb="FF63C384"/>
      </dataBar>
    </cfRule>
  </conditionalFormatting>
  <conditionalFormatting sqref="J177">
    <cfRule type="cellIs" priority="7197" operator="equal" dxfId="2034">
      <formula>"ja"</formula>
    </cfRule>
  </conditionalFormatting>
  <conditionalFormatting sqref="T177">
    <cfRule type="expression" priority="7196" dxfId="2">
      <formula>AND(AND($W177&lt;TODAY(),$W177&lt;&gt;""),$X177="")</formula>
    </cfRule>
  </conditionalFormatting>
  <conditionalFormatting sqref="Z177">
    <cfRule type="dataBar" priority="7195">
      <dataBar>
        <cfvo type="min"/>
        <cfvo type="max"/>
        <color rgb="FF63C384"/>
      </dataBar>
    </cfRule>
  </conditionalFormatting>
  <conditionalFormatting sqref="J178">
    <cfRule type="cellIs" priority="7194" operator="equal" dxfId="2034">
      <formula>"ja"</formula>
    </cfRule>
  </conditionalFormatting>
  <conditionalFormatting sqref="T178">
    <cfRule type="expression" priority="7193" dxfId="2">
      <formula>AND(AND($W178&lt;TODAY(),$W178&lt;&gt;""),$X178="")</formula>
    </cfRule>
  </conditionalFormatting>
  <conditionalFormatting sqref="Z178">
    <cfRule type="dataBar" priority="7191">
      <dataBar>
        <cfvo type="min"/>
        <cfvo type="max"/>
        <color rgb="FF63C384"/>
      </dataBar>
    </cfRule>
  </conditionalFormatting>
  <conditionalFormatting sqref="J179">
    <cfRule type="cellIs" priority="7189" operator="equal" dxfId="2034">
      <formula>"ja"</formula>
    </cfRule>
  </conditionalFormatting>
  <conditionalFormatting sqref="T179">
    <cfRule type="expression" priority="7188" dxfId="2">
      <formula>AND(AND($W179&lt;TODAY(),$W179&lt;&gt;""),$X179="")</formula>
    </cfRule>
  </conditionalFormatting>
  <conditionalFormatting sqref="Z179">
    <cfRule type="dataBar" priority="7187">
      <dataBar>
        <cfvo type="min"/>
        <cfvo type="max"/>
        <color rgb="FF63C384"/>
      </dataBar>
    </cfRule>
  </conditionalFormatting>
  <conditionalFormatting sqref="J180">
    <cfRule type="cellIs" priority="7186" operator="equal" dxfId="2034">
      <formula>"ja"</formula>
    </cfRule>
  </conditionalFormatting>
  <conditionalFormatting sqref="Z180">
    <cfRule type="dataBar" priority="7184">
      <dataBar>
        <cfvo type="min"/>
        <cfvo type="max"/>
        <color rgb="FF63C384"/>
      </dataBar>
    </cfRule>
  </conditionalFormatting>
  <conditionalFormatting sqref="T180">
    <cfRule type="expression" priority="8605" dxfId="2">
      <formula>AND(AND($S180&lt;TODAY(),$S180&lt;&gt;""),$T180="")</formula>
    </cfRule>
  </conditionalFormatting>
  <conditionalFormatting sqref="C181">
    <cfRule type="containsText" priority="7182" operator="containsText" dxfId="1" text="Einnahmen">
      <formula>NOT(ISERROR(SEARCH("Einnahmen",C181)))</formula>
    </cfRule>
    <cfRule type="containsText" priority="7183" operator="containsText" dxfId="0" text="Ausgaben">
      <formula>NOT(ISERROR(SEARCH("Ausgaben",C181)))</formula>
    </cfRule>
  </conditionalFormatting>
  <conditionalFormatting sqref="J181">
    <cfRule type="cellIs" priority="7180" operator="equal" dxfId="2034">
      <formula>"ja"</formula>
    </cfRule>
  </conditionalFormatting>
  <conditionalFormatting sqref="T181">
    <cfRule type="expression" priority="7179" dxfId="2">
      <formula>AND(AND($W181&lt;TODAY(),$W181&lt;&gt;""),$X181="")</formula>
    </cfRule>
  </conditionalFormatting>
  <conditionalFormatting sqref="Z181">
    <cfRule type="dataBar" priority="7178">
      <dataBar>
        <cfvo type="min"/>
        <cfvo type="max"/>
        <color rgb="FF63C384"/>
      </dataBar>
    </cfRule>
  </conditionalFormatting>
  <conditionalFormatting sqref="J182">
    <cfRule type="cellIs" priority="7176" operator="equal" dxfId="2034">
      <formula>"ja"</formula>
    </cfRule>
  </conditionalFormatting>
  <conditionalFormatting sqref="T182">
    <cfRule type="expression" priority="7175" dxfId="2">
      <formula>AND(AND($W182&lt;TODAY(),$W182&lt;&gt;""),$X182="")</formula>
    </cfRule>
  </conditionalFormatting>
  <conditionalFormatting sqref="Z182">
    <cfRule type="dataBar" priority="7174">
      <dataBar>
        <cfvo type="min"/>
        <cfvo type="max"/>
        <color rgb="FF63C384"/>
      </dataBar>
    </cfRule>
  </conditionalFormatting>
  <conditionalFormatting sqref="J199">
    <cfRule type="cellIs" priority="7172" operator="equal" dxfId="2034">
      <formula>"ja"</formula>
    </cfRule>
  </conditionalFormatting>
  <conditionalFormatting sqref="T199:T200">
    <cfRule type="expression" priority="7171" dxfId="2">
      <formula>AND(AND($W199&lt;TODAY(),$W199&lt;&gt;""),$X199="")</formula>
    </cfRule>
  </conditionalFormatting>
  <conditionalFormatting sqref="Z199:Z200">
    <cfRule type="dataBar" priority="7170">
      <dataBar>
        <cfvo type="min"/>
        <cfvo type="max"/>
        <color rgb="FF63C384"/>
      </dataBar>
    </cfRule>
  </conditionalFormatting>
  <conditionalFormatting sqref="J198">
    <cfRule type="cellIs" priority="7168" operator="equal" dxfId="2034">
      <formula>"ja"</formula>
    </cfRule>
  </conditionalFormatting>
  <conditionalFormatting sqref="T198">
    <cfRule type="expression" priority="7167" dxfId="2">
      <formula>AND(AND($W198&lt;TODAY(),$W198&lt;&gt;""),$X198="")</formula>
    </cfRule>
  </conditionalFormatting>
  <conditionalFormatting sqref="Z198">
    <cfRule type="dataBar" priority="7166">
      <dataBar>
        <cfvo type="min"/>
        <cfvo type="max"/>
        <color rgb="FF63C384"/>
      </dataBar>
    </cfRule>
  </conditionalFormatting>
  <conditionalFormatting sqref="J197">
    <cfRule type="cellIs" priority="7164" operator="equal" dxfId="2034">
      <formula>"ja"</formula>
    </cfRule>
  </conditionalFormatting>
  <conditionalFormatting sqref="T197">
    <cfRule type="expression" priority="7163" dxfId="2">
      <formula>AND(AND($W197&lt;TODAY(),$W197&lt;&gt;""),$X197="")</formula>
    </cfRule>
  </conditionalFormatting>
  <conditionalFormatting sqref="Z197">
    <cfRule type="dataBar" priority="7162">
      <dataBar>
        <cfvo type="min"/>
        <cfvo type="max"/>
        <color rgb="FF63C384"/>
      </dataBar>
    </cfRule>
  </conditionalFormatting>
  <conditionalFormatting sqref="J193">
    <cfRule type="cellIs" priority="7160" operator="equal" dxfId="2034">
      <formula>"ja"</formula>
    </cfRule>
  </conditionalFormatting>
  <conditionalFormatting sqref="T193">
    <cfRule type="expression" priority="7159" dxfId="2">
      <formula>AND(AND($W193&lt;TODAY(),$W193&lt;&gt;""),$X193="")</formula>
    </cfRule>
  </conditionalFormatting>
  <conditionalFormatting sqref="Z193">
    <cfRule type="dataBar" priority="7158">
      <dataBar>
        <cfvo type="min"/>
        <cfvo type="max"/>
        <color rgb="FF63C384"/>
      </dataBar>
    </cfRule>
  </conditionalFormatting>
  <conditionalFormatting sqref="J191">
    <cfRule type="cellIs" priority="7156" operator="equal" dxfId="2034">
      <formula>"ja"</formula>
    </cfRule>
  </conditionalFormatting>
  <conditionalFormatting sqref="T191">
    <cfRule type="expression" priority="7155" dxfId="2">
      <formula>AND(AND($W191&lt;TODAY(),$W191&lt;&gt;""),$X191="")</formula>
    </cfRule>
  </conditionalFormatting>
  <conditionalFormatting sqref="Z191">
    <cfRule type="dataBar" priority="7154">
      <dataBar>
        <cfvo type="min"/>
        <cfvo type="max"/>
        <color rgb="FF63C384"/>
      </dataBar>
    </cfRule>
  </conditionalFormatting>
  <conditionalFormatting sqref="J196">
    <cfRule type="cellIs" priority="7152" operator="equal" dxfId="2034">
      <formula>"ja"</formula>
    </cfRule>
  </conditionalFormatting>
  <conditionalFormatting sqref="T196">
    <cfRule type="expression" priority="7151" dxfId="2">
      <formula>AND(AND($W196&lt;TODAY(),$W196&lt;&gt;""),$X196="")</formula>
    </cfRule>
  </conditionalFormatting>
  <conditionalFormatting sqref="Z196">
    <cfRule type="dataBar" priority="7150">
      <dataBar>
        <cfvo type="min"/>
        <cfvo type="max"/>
        <color rgb="FF63C384"/>
      </dataBar>
    </cfRule>
  </conditionalFormatting>
  <conditionalFormatting sqref="T195">
    <cfRule type="expression" priority="7148" dxfId="2">
      <formula>AND(AND($W195&lt;TODAY(),$W195&lt;&gt;""),$X195="")</formula>
    </cfRule>
  </conditionalFormatting>
  <conditionalFormatting sqref="J195">
    <cfRule type="cellIs" priority="7147" operator="equal" dxfId="2034">
      <formula>"ja"</formula>
    </cfRule>
  </conditionalFormatting>
  <conditionalFormatting sqref="Z195">
    <cfRule type="dataBar" priority="7146">
      <dataBar>
        <cfvo type="min"/>
        <cfvo type="max"/>
        <color rgb="FF63C384"/>
      </dataBar>
    </cfRule>
  </conditionalFormatting>
  <conditionalFormatting sqref="C194">
    <cfRule type="containsText" priority="7144" operator="containsText" dxfId="1" text="Einnahmen">
      <formula>NOT(ISERROR(SEARCH("Einnahmen",C194)))</formula>
    </cfRule>
    <cfRule type="containsText" priority="7145" operator="containsText" dxfId="0" text="Ausgaben">
      <formula>NOT(ISERROR(SEARCH("Ausgaben",C194)))</formula>
    </cfRule>
  </conditionalFormatting>
  <conditionalFormatting sqref="J190">
    <cfRule type="cellIs" priority="7143" operator="equal" dxfId="2034">
      <formula>"ja"</formula>
    </cfRule>
  </conditionalFormatting>
  <conditionalFormatting sqref="T190">
    <cfRule type="expression" priority="7142" dxfId="2">
      <formula>AND(AND($W190&lt;TODAY(),$W190&lt;&gt;""),$X190="")</formula>
    </cfRule>
  </conditionalFormatting>
  <conditionalFormatting sqref="Z190">
    <cfRule type="dataBar" priority="7141">
      <dataBar>
        <cfvo type="min"/>
        <cfvo type="max"/>
        <color rgb="FF63C384"/>
      </dataBar>
    </cfRule>
  </conditionalFormatting>
  <conditionalFormatting sqref="J183">
    <cfRule type="cellIs" priority="7140" operator="equal" dxfId="2034">
      <formula>"ja"</formula>
    </cfRule>
  </conditionalFormatting>
  <conditionalFormatting sqref="T185">
    <cfRule type="expression" priority="7137" dxfId="2">
      <formula>AND(AND($W185&lt;TODAY(),$W185&lt;&gt;""),$X185="")</formula>
    </cfRule>
  </conditionalFormatting>
  <conditionalFormatting sqref="J185">
    <cfRule type="cellIs" priority="7136" operator="equal" dxfId="2034">
      <formula>"ja"</formula>
    </cfRule>
  </conditionalFormatting>
  <conditionalFormatting sqref="Z185">
    <cfRule type="dataBar" priority="7135">
      <dataBar>
        <cfvo type="min"/>
        <cfvo type="max"/>
        <color rgb="FF63C384"/>
      </dataBar>
    </cfRule>
  </conditionalFormatting>
  <conditionalFormatting sqref="J186">
    <cfRule type="cellIs" priority="7133" operator="equal" dxfId="2034">
      <formula>"ja"</formula>
    </cfRule>
  </conditionalFormatting>
  <conditionalFormatting sqref="T186">
    <cfRule type="expression" priority="7132" dxfId="2">
      <formula>AND(AND($W186&lt;TODAY(),$W186&lt;&gt;""),$X186="")</formula>
    </cfRule>
  </conditionalFormatting>
  <conditionalFormatting sqref="Z186">
    <cfRule type="dataBar" priority="7131">
      <dataBar>
        <cfvo type="min"/>
        <cfvo type="max"/>
        <color rgb="FF63C384"/>
      </dataBar>
    </cfRule>
  </conditionalFormatting>
  <conditionalFormatting sqref="J187">
    <cfRule type="cellIs" priority="7129" operator="equal" dxfId="2034">
      <formula>"ja"</formula>
    </cfRule>
  </conditionalFormatting>
  <conditionalFormatting sqref="T187">
    <cfRule type="expression" priority="7128" dxfId="2">
      <formula>AND(AND($W187&lt;TODAY(),$W187&lt;&gt;""),$X187="")</formula>
    </cfRule>
  </conditionalFormatting>
  <conditionalFormatting sqref="Z187">
    <cfRule type="dataBar" priority="7127">
      <dataBar>
        <cfvo type="min"/>
        <cfvo type="max"/>
        <color rgb="FF63C384"/>
      </dataBar>
    </cfRule>
  </conditionalFormatting>
  <conditionalFormatting sqref="T188">
    <cfRule type="expression" priority="7126" dxfId="2">
      <formula>AND(AND($W188&lt;TODAY(),$W188&lt;&gt;""),$X188="")</formula>
    </cfRule>
  </conditionalFormatting>
  <conditionalFormatting sqref="Z188">
    <cfRule type="dataBar" priority="7125">
      <dataBar>
        <cfvo type="min"/>
        <cfvo type="max"/>
        <color rgb="FF63C384"/>
      </dataBar>
    </cfRule>
  </conditionalFormatting>
  <conditionalFormatting sqref="J189">
    <cfRule type="cellIs" priority="7123" operator="equal" dxfId="2034">
      <formula>"ja"</formula>
    </cfRule>
  </conditionalFormatting>
  <conditionalFormatting sqref="T189">
    <cfRule type="expression" priority="7122" dxfId="2">
      <formula>AND(AND($W189&lt;TODAY(),$W189&lt;&gt;""),$X189="")</formula>
    </cfRule>
  </conditionalFormatting>
  <conditionalFormatting sqref="Z189">
    <cfRule type="dataBar" priority="7121">
      <dataBar>
        <cfvo type="min"/>
        <cfvo type="max"/>
        <color rgb="FF63C384"/>
      </dataBar>
    </cfRule>
  </conditionalFormatting>
  <conditionalFormatting sqref="T192">
    <cfRule type="expression" priority="7120" dxfId="2">
      <formula>AND(AND($W192&lt;TODAY(),$W192&lt;&gt;""),$X192="")</formula>
    </cfRule>
  </conditionalFormatting>
  <conditionalFormatting sqref="Z192">
    <cfRule type="dataBar" priority="7119">
      <dataBar>
        <cfvo type="min"/>
        <cfvo type="max"/>
        <color rgb="FF63C384"/>
      </dataBar>
    </cfRule>
  </conditionalFormatting>
  <conditionalFormatting sqref="T194">
    <cfRule type="expression" priority="7118" dxfId="2">
      <formula>AND(AND($W194&lt;TODAY(),$W194&lt;&gt;""),$X194="")</formula>
    </cfRule>
  </conditionalFormatting>
  <conditionalFormatting sqref="Z194">
    <cfRule type="dataBar" priority="7117">
      <dataBar>
        <cfvo type="min"/>
        <cfvo type="max"/>
        <color rgb="FF63C384"/>
      </dataBar>
    </cfRule>
  </conditionalFormatting>
  <conditionalFormatting sqref="C183:C184">
    <cfRule type="containsText" priority="7115" operator="containsText" dxfId="1" text="Einnahmen">
      <formula>NOT(ISERROR(SEARCH("Einnahmen",C183)))</formula>
    </cfRule>
    <cfRule type="containsText" priority="7116" operator="containsText" dxfId="0" text="Ausgaben">
      <formula>NOT(ISERROR(SEARCH("Ausgaben",C183)))</formula>
    </cfRule>
  </conditionalFormatting>
  <conditionalFormatting sqref="T183">
    <cfRule type="expression" priority="7114" dxfId="2">
      <formula>AND(AND($W183&lt;TODAY(),$W183&lt;&gt;""),$X183="")</formula>
    </cfRule>
  </conditionalFormatting>
  <conditionalFormatting sqref="Z183">
    <cfRule type="dataBar" priority="7113">
      <dataBar>
        <cfvo type="min"/>
        <cfvo type="max"/>
        <color rgb="FF63C384"/>
      </dataBar>
    </cfRule>
  </conditionalFormatting>
  <conditionalFormatting sqref="T184">
    <cfRule type="expression" priority="7112" dxfId="2">
      <formula>AND(AND($W184&lt;TODAY(),$W184&lt;&gt;""),$X184="")</formula>
    </cfRule>
  </conditionalFormatting>
  <conditionalFormatting sqref="Z184">
    <cfRule type="dataBar" priority="7111">
      <dataBar>
        <cfvo type="min"/>
        <cfvo type="max"/>
        <color rgb="FF63C384"/>
      </dataBar>
    </cfRule>
  </conditionalFormatting>
  <conditionalFormatting sqref="J200">
    <cfRule type="cellIs" priority="7109" operator="equal" dxfId="2034">
      <formula>"ja"</formula>
    </cfRule>
  </conditionalFormatting>
  <conditionalFormatting sqref="J201">
    <cfRule type="cellIs" priority="7106" operator="equal" dxfId="2034">
      <formula>"ja"</formula>
    </cfRule>
  </conditionalFormatting>
  <conditionalFormatting sqref="T201">
    <cfRule type="expression" priority="7105" dxfId="2">
      <formula>AND(AND($W201&lt;TODAY(),$W201&lt;&gt;""),$X201="")</formula>
    </cfRule>
  </conditionalFormatting>
  <conditionalFormatting sqref="Z201">
    <cfRule type="dataBar" priority="7104">
      <dataBar>
        <cfvo type="min"/>
        <cfvo type="max"/>
        <color rgb="FF63C384"/>
      </dataBar>
    </cfRule>
  </conditionalFormatting>
  <conditionalFormatting sqref="J202:J203">
    <cfRule type="cellIs" priority="7103" operator="equal" dxfId="2034">
      <formula>"ja"</formula>
    </cfRule>
  </conditionalFormatting>
  <conditionalFormatting sqref="T202:T204">
    <cfRule type="expression" priority="7102" dxfId="2">
      <formula>AND(AND($W202&lt;TODAY(),$W202&lt;&gt;""),$X202="")</formula>
    </cfRule>
  </conditionalFormatting>
  <conditionalFormatting sqref="Z202:Z204">
    <cfRule type="dataBar" priority="7101">
      <dataBar>
        <cfvo type="min"/>
        <cfvo type="max"/>
        <color rgb="FF63C384"/>
      </dataBar>
    </cfRule>
  </conditionalFormatting>
  <conditionalFormatting sqref="J205">
    <cfRule type="cellIs" priority="7099" operator="equal" dxfId="2034">
      <formula>"ja"</formula>
    </cfRule>
  </conditionalFormatting>
  <conditionalFormatting sqref="T205">
    <cfRule type="expression" priority="7098" dxfId="2">
      <formula>AND(AND($W205&lt;TODAY(),$W205&lt;&gt;""),$X205="")</formula>
    </cfRule>
  </conditionalFormatting>
  <conditionalFormatting sqref="Z205">
    <cfRule type="dataBar" priority="7097">
      <dataBar>
        <cfvo type="min"/>
        <cfvo type="max"/>
        <color rgb="FF63C384"/>
      </dataBar>
    </cfRule>
  </conditionalFormatting>
  <conditionalFormatting sqref="T206">
    <cfRule type="expression" priority="7095" dxfId="2">
      <formula>AND(AND($W206&lt;TODAY(),$W206&lt;&gt;""),$X206="")</formula>
    </cfRule>
  </conditionalFormatting>
  <conditionalFormatting sqref="Z206">
    <cfRule type="dataBar" priority="7094">
      <dataBar>
        <cfvo type="min"/>
        <cfvo type="max"/>
        <color rgb="FF63C384"/>
      </dataBar>
    </cfRule>
  </conditionalFormatting>
  <conditionalFormatting sqref="J207">
    <cfRule type="cellIs" priority="7093" operator="equal" dxfId="2034">
      <formula>"ja"</formula>
    </cfRule>
  </conditionalFormatting>
  <conditionalFormatting sqref="T207">
    <cfRule type="expression" priority="7092" dxfId="2">
      <formula>AND(AND($W207&lt;TODAY(),$W207&lt;&gt;""),$X207="")</formula>
    </cfRule>
  </conditionalFormatting>
  <conditionalFormatting sqref="Z207">
    <cfRule type="dataBar" priority="7090">
      <dataBar>
        <cfvo type="min"/>
        <cfvo type="max"/>
        <color rgb="FF63C384"/>
      </dataBar>
    </cfRule>
  </conditionalFormatting>
  <conditionalFormatting sqref="T208">
    <cfRule type="expression" priority="7089" dxfId="2">
      <formula>AND(AND($W208&lt;TODAY(),$W208&lt;&gt;""),$X208="")</formula>
    </cfRule>
  </conditionalFormatting>
  <conditionalFormatting sqref="J208">
    <cfRule type="cellIs" priority="7088" operator="equal" dxfId="2034">
      <formula>"ja"</formula>
    </cfRule>
  </conditionalFormatting>
  <conditionalFormatting sqref="Z208">
    <cfRule type="dataBar" priority="7087">
      <dataBar>
        <cfvo type="min"/>
        <cfvo type="max"/>
        <color rgb="FF63C384"/>
      </dataBar>
    </cfRule>
  </conditionalFormatting>
  <conditionalFormatting sqref="T209">
    <cfRule type="expression" priority="7086" dxfId="2">
      <formula>AND(AND($W209&lt;TODAY(),$W209&lt;&gt;""),$X209="")</formula>
    </cfRule>
  </conditionalFormatting>
  <conditionalFormatting sqref="Z209">
    <cfRule type="dataBar" priority="7085">
      <dataBar>
        <cfvo type="min"/>
        <cfvo type="max"/>
        <color rgb="FF63C384"/>
      </dataBar>
    </cfRule>
  </conditionalFormatting>
  <conditionalFormatting sqref="J210">
    <cfRule type="cellIs" priority="7084" operator="equal" dxfId="2034">
      <formula>"ja"</formula>
    </cfRule>
  </conditionalFormatting>
  <conditionalFormatting sqref="T210">
    <cfRule type="expression" priority="7083" dxfId="2">
      <formula>AND(AND($W210&lt;TODAY(),$W210&lt;&gt;""),$X210="")</formula>
    </cfRule>
  </conditionalFormatting>
  <conditionalFormatting sqref="Z210">
    <cfRule type="dataBar" priority="7082">
      <dataBar>
        <cfvo type="min"/>
        <cfvo type="max"/>
        <color rgb="FF63C384"/>
      </dataBar>
    </cfRule>
  </conditionalFormatting>
  <conditionalFormatting sqref="T211">
    <cfRule type="expression" priority="7080" dxfId="2">
      <formula>AND(AND($W211&lt;TODAY(),$W211&lt;&gt;""),$X211="")</formula>
    </cfRule>
  </conditionalFormatting>
  <conditionalFormatting sqref="J211">
    <cfRule type="cellIs" priority="7078" operator="equal" dxfId="2034">
      <formula>"ja"</formula>
    </cfRule>
  </conditionalFormatting>
  <conditionalFormatting sqref="Z211">
    <cfRule type="dataBar" priority="7077">
      <dataBar>
        <cfvo type="min"/>
        <cfvo type="max"/>
        <color rgb="FF63C384"/>
      </dataBar>
    </cfRule>
  </conditionalFormatting>
  <conditionalFormatting sqref="J212">
    <cfRule type="cellIs" priority="7075" operator="equal" dxfId="2034">
      <formula>"ja"</formula>
    </cfRule>
  </conditionalFormatting>
  <conditionalFormatting sqref="T212">
    <cfRule type="expression" priority="7074" dxfId="2">
      <formula>AND(AND($W212&lt;TODAY(),$W212&lt;&gt;""),$X212="")</formula>
    </cfRule>
  </conditionalFormatting>
  <conditionalFormatting sqref="Z212">
    <cfRule type="dataBar" priority="7073">
      <dataBar>
        <cfvo type="min"/>
        <cfvo type="max"/>
        <color rgb="FF63C384"/>
      </dataBar>
    </cfRule>
  </conditionalFormatting>
  <conditionalFormatting sqref="T213">
    <cfRule type="expression" priority="7072" dxfId="2">
      <formula>AND(AND($W213&lt;TODAY(),$W213&lt;&gt;""),$X213="")</formula>
    </cfRule>
  </conditionalFormatting>
  <conditionalFormatting sqref="J213">
    <cfRule type="cellIs" priority="7070" operator="equal" dxfId="2034">
      <formula>"ja"</formula>
    </cfRule>
  </conditionalFormatting>
  <conditionalFormatting sqref="Z213">
    <cfRule type="dataBar" priority="7069">
      <dataBar>
        <cfvo type="min"/>
        <cfvo type="max"/>
        <color rgb="FF63C384"/>
      </dataBar>
    </cfRule>
  </conditionalFormatting>
  <conditionalFormatting sqref="J214">
    <cfRule type="cellIs" priority="7068" operator="equal" dxfId="2034">
      <formula>"ja"</formula>
    </cfRule>
  </conditionalFormatting>
  <conditionalFormatting sqref="T214">
    <cfRule type="expression" priority="7067" dxfId="2">
      <formula>AND(AND($W214&lt;TODAY(),$W214&lt;&gt;""),$X214="")</formula>
    </cfRule>
  </conditionalFormatting>
  <conditionalFormatting sqref="Z214">
    <cfRule type="dataBar" priority="7066">
      <dataBar>
        <cfvo type="min"/>
        <cfvo type="max"/>
        <color rgb="FF63C384"/>
      </dataBar>
    </cfRule>
  </conditionalFormatting>
  <conditionalFormatting sqref="Z2:Z214 Z664 Z707 Z712 Z731 Z748 Z763:Z764 Z780 Z796 Z799 Z807 Z827 Z848 Z864 Z890 Z928 Z932 Z999 Z1011 Z1014 Z1044 Z1055 Z1063:Z1064 Z1074:Z1048576">
    <cfRule type="dataBar" priority="7064">
      <dataBar>
        <cfvo type="min"/>
        <cfvo type="max"/>
        <color rgb="FF63C384"/>
      </dataBar>
    </cfRule>
  </conditionalFormatting>
  <conditionalFormatting sqref="T215">
    <cfRule type="expression" priority="7063" dxfId="2">
      <formula>AND(AND($W215&lt;TODAY(),$W215&lt;&gt;""),$X215="")</formula>
    </cfRule>
  </conditionalFormatting>
  <conditionalFormatting sqref="J215">
    <cfRule type="cellIs" priority="7061" operator="equal" dxfId="2034">
      <formula>"ja"</formula>
    </cfRule>
  </conditionalFormatting>
  <conditionalFormatting sqref="Z215">
    <cfRule type="dataBar" priority="7060">
      <dataBar>
        <cfvo type="min"/>
        <cfvo type="max"/>
        <color rgb="FF63C384"/>
      </dataBar>
    </cfRule>
    <cfRule type="dataBar" priority="7059">
      <dataBar>
        <cfvo type="min"/>
        <cfvo type="max"/>
        <color rgb="FF63C384"/>
      </dataBar>
    </cfRule>
  </conditionalFormatting>
  <conditionalFormatting sqref="T217">
    <cfRule type="expression" priority="7057" dxfId="2">
      <formula>AND(AND($W217&lt;TODAY(),$W217&lt;&gt;""),$X217="")</formula>
    </cfRule>
  </conditionalFormatting>
  <conditionalFormatting sqref="J217">
    <cfRule type="cellIs" priority="7056" operator="equal" dxfId="2034">
      <formula>"ja"</formula>
    </cfRule>
  </conditionalFormatting>
  <conditionalFormatting sqref="Z217">
    <cfRule type="dataBar" priority="7055">
      <dataBar>
        <cfvo type="min"/>
        <cfvo type="max"/>
        <color rgb="FF63C384"/>
      </dataBar>
    </cfRule>
    <cfRule type="dataBar" priority="7054">
      <dataBar>
        <cfvo type="min"/>
        <cfvo type="max"/>
        <color rgb="FF63C384"/>
      </dataBar>
    </cfRule>
  </conditionalFormatting>
  <conditionalFormatting sqref="J218:J219">
    <cfRule type="cellIs" priority="7052" operator="equal" dxfId="2034">
      <formula>"ja"</formula>
    </cfRule>
  </conditionalFormatting>
  <conditionalFormatting sqref="T218:T219">
    <cfRule type="expression" priority="7051" dxfId="2">
      <formula>AND(AND($W218&lt;TODAY(),$W218&lt;&gt;""),$X218="")</formula>
    </cfRule>
  </conditionalFormatting>
  <conditionalFormatting sqref="Z218:Z219">
    <cfRule type="dataBar" priority="7050">
      <dataBar>
        <cfvo type="min"/>
        <cfvo type="max"/>
        <color rgb="FF63C384"/>
      </dataBar>
    </cfRule>
    <cfRule type="dataBar" priority="7049">
      <dataBar>
        <cfvo type="min"/>
        <cfvo type="max"/>
        <color rgb="FF63C384"/>
      </dataBar>
    </cfRule>
  </conditionalFormatting>
  <conditionalFormatting sqref="J220">
    <cfRule type="cellIs" priority="7047" operator="equal" dxfId="2034">
      <formula>"ja"</formula>
    </cfRule>
  </conditionalFormatting>
  <conditionalFormatting sqref="T220">
    <cfRule type="expression" priority="7046" dxfId="2">
      <formula>AND(AND($W220&lt;TODAY(),$W220&lt;&gt;""),$X220="")</formula>
    </cfRule>
  </conditionalFormatting>
  <conditionalFormatting sqref="Z220">
    <cfRule type="dataBar" priority="7045">
      <dataBar>
        <cfvo type="min"/>
        <cfvo type="max"/>
        <color rgb="FF63C384"/>
      </dataBar>
    </cfRule>
    <cfRule type="dataBar" priority="7044">
      <dataBar>
        <cfvo type="min"/>
        <cfvo type="max"/>
        <color rgb="FF63C384"/>
      </dataBar>
    </cfRule>
  </conditionalFormatting>
  <conditionalFormatting sqref="J221:J222">
    <cfRule type="cellIs" priority="7043" operator="equal" dxfId="2034">
      <formula>"ja"</formula>
    </cfRule>
  </conditionalFormatting>
  <conditionalFormatting sqref="T221:T222">
    <cfRule type="expression" priority="7042" dxfId="2">
      <formula>AND(AND($W221&lt;TODAY(),$W221&lt;&gt;""),$X221="")</formula>
    </cfRule>
  </conditionalFormatting>
  <conditionalFormatting sqref="Z221:Z222">
    <cfRule type="dataBar" priority="7041">
      <dataBar>
        <cfvo type="min"/>
        <cfvo type="max"/>
        <color rgb="FF63C384"/>
      </dataBar>
    </cfRule>
    <cfRule type="dataBar" priority="7039">
      <dataBar>
        <cfvo type="min"/>
        <cfvo type="max"/>
        <color rgb="FF63C384"/>
      </dataBar>
    </cfRule>
  </conditionalFormatting>
  <conditionalFormatting sqref="J223:J224">
    <cfRule type="cellIs" priority="7037" operator="equal" dxfId="2034">
      <formula>"ja"</formula>
    </cfRule>
  </conditionalFormatting>
  <conditionalFormatting sqref="T223:T224">
    <cfRule type="expression" priority="7036" dxfId="2">
      <formula>AND(AND($W223&lt;TODAY(),$W223&lt;&gt;""),$X223="")</formula>
    </cfRule>
  </conditionalFormatting>
  <conditionalFormatting sqref="Z223:Z224">
    <cfRule type="dataBar" priority="7035">
      <dataBar>
        <cfvo type="min"/>
        <cfvo type="max"/>
        <color rgb="FF63C384"/>
      </dataBar>
    </cfRule>
    <cfRule type="dataBar" priority="7034">
      <dataBar>
        <cfvo type="min"/>
        <cfvo type="max"/>
        <color rgb="FF63C384"/>
      </dataBar>
    </cfRule>
  </conditionalFormatting>
  <conditionalFormatting sqref="J225">
    <cfRule type="cellIs" priority="7033" operator="equal" dxfId="2034">
      <formula>"ja"</formula>
    </cfRule>
  </conditionalFormatting>
  <conditionalFormatting sqref="T225">
    <cfRule type="expression" priority="7032" dxfId="2">
      <formula>AND(AND($W225&lt;TODAY(),$W225&lt;&gt;""),$X225="")</formula>
    </cfRule>
  </conditionalFormatting>
  <conditionalFormatting sqref="Z225">
    <cfRule type="dataBar" priority="7031">
      <dataBar>
        <cfvo type="min"/>
        <cfvo type="max"/>
        <color rgb="FF63C384"/>
      </dataBar>
    </cfRule>
    <cfRule type="dataBar" priority="7029">
      <dataBar>
        <cfvo type="min"/>
        <cfvo type="max"/>
        <color rgb="FF63C384"/>
      </dataBar>
    </cfRule>
  </conditionalFormatting>
  <conditionalFormatting sqref="J226">
    <cfRule type="cellIs" priority="7027" operator="equal" dxfId="2034">
      <formula>"ja"</formula>
    </cfRule>
  </conditionalFormatting>
  <conditionalFormatting sqref="T226">
    <cfRule type="expression" priority="7026" dxfId="2">
      <formula>AND(AND($W226&lt;TODAY(),$W226&lt;&gt;""),$X226="")</formula>
    </cfRule>
  </conditionalFormatting>
  <conditionalFormatting sqref="Z226">
    <cfRule type="dataBar" priority="7025">
      <dataBar>
        <cfvo type="min"/>
        <cfvo type="max"/>
        <color rgb="FF63C384"/>
      </dataBar>
    </cfRule>
    <cfRule type="dataBar" priority="7024">
      <dataBar>
        <cfvo type="min"/>
        <cfvo type="max"/>
        <color rgb="FF63C384"/>
      </dataBar>
    </cfRule>
  </conditionalFormatting>
  <conditionalFormatting sqref="T227">
    <cfRule type="expression" priority="7023" dxfId="2">
      <formula>AND(AND($W227&lt;TODAY(),$W227&lt;&gt;""),$X227="")</formula>
    </cfRule>
  </conditionalFormatting>
  <conditionalFormatting sqref="J227">
    <cfRule type="cellIs" priority="7021" operator="equal" dxfId="2034">
      <formula>"ja"</formula>
    </cfRule>
  </conditionalFormatting>
  <conditionalFormatting sqref="Z227">
    <cfRule type="dataBar" priority="7020">
      <dataBar>
        <cfvo type="min"/>
        <cfvo type="max"/>
        <color rgb="FF63C384"/>
      </dataBar>
    </cfRule>
    <cfRule type="dataBar" priority="7019">
      <dataBar>
        <cfvo type="min"/>
        <cfvo type="max"/>
        <color rgb="FF63C384"/>
      </dataBar>
    </cfRule>
  </conditionalFormatting>
  <conditionalFormatting sqref="J228:J230">
    <cfRule type="cellIs" priority="7018" operator="equal" dxfId="2034">
      <formula>"ja"</formula>
    </cfRule>
  </conditionalFormatting>
  <conditionalFormatting sqref="T228:T230">
    <cfRule type="expression" priority="7017" dxfId="2">
      <formula>AND(AND($W228&lt;TODAY(),$W228&lt;&gt;""),$X228="")</formula>
    </cfRule>
  </conditionalFormatting>
  <conditionalFormatting sqref="Z228:Z230">
    <cfRule type="dataBar" priority="7016">
      <dataBar>
        <cfvo type="min"/>
        <cfvo type="max"/>
        <color rgb="FF63C384"/>
      </dataBar>
    </cfRule>
    <cfRule type="dataBar" priority="7014">
      <dataBar>
        <cfvo type="min"/>
        <cfvo type="max"/>
        <color rgb="FF63C384"/>
      </dataBar>
    </cfRule>
  </conditionalFormatting>
  <conditionalFormatting sqref="T231">
    <cfRule type="expression" priority="7013" dxfId="2">
      <formula>AND(AND($W231&lt;TODAY(),$W231&lt;&gt;""),$X231="")</formula>
    </cfRule>
  </conditionalFormatting>
  <conditionalFormatting sqref="J231">
    <cfRule type="cellIs" priority="7011" operator="equal" dxfId="2034">
      <formula>"ja"</formula>
    </cfRule>
  </conditionalFormatting>
  <conditionalFormatting sqref="Z231">
    <cfRule type="dataBar" priority="7010">
      <dataBar>
        <cfvo type="min"/>
        <cfvo type="max"/>
        <color rgb="FF63C384"/>
      </dataBar>
    </cfRule>
    <cfRule type="dataBar" priority="7009">
      <dataBar>
        <cfvo type="min"/>
        <cfvo type="max"/>
        <color rgb="FF63C384"/>
      </dataBar>
    </cfRule>
  </conditionalFormatting>
  <conditionalFormatting sqref="J232">
    <cfRule type="cellIs" priority="7007" operator="equal" dxfId="2034">
      <formula>"ja"</formula>
    </cfRule>
  </conditionalFormatting>
  <conditionalFormatting sqref="T232">
    <cfRule type="expression" priority="7006" dxfId="2">
      <formula>AND(AND($W232&lt;TODAY(),$W232&lt;&gt;""),$X232="")</formula>
    </cfRule>
  </conditionalFormatting>
  <conditionalFormatting sqref="Z232">
    <cfRule type="dataBar" priority="7005">
      <dataBar>
        <cfvo type="min"/>
        <cfvo type="max"/>
        <color rgb="FF63C384"/>
      </dataBar>
    </cfRule>
    <cfRule type="dataBar" priority="7004">
      <dataBar>
        <cfvo type="min"/>
        <cfvo type="max"/>
        <color rgb="FF63C384"/>
      </dataBar>
    </cfRule>
  </conditionalFormatting>
  <conditionalFormatting sqref="J233">
    <cfRule type="cellIs" priority="7002" operator="equal" dxfId="2034">
      <formula>"ja"</formula>
    </cfRule>
  </conditionalFormatting>
  <conditionalFormatting sqref="T233">
    <cfRule type="expression" priority="7001" dxfId="2">
      <formula>AND(AND($W233&lt;TODAY(),$W233&lt;&gt;""),$X233="")</formula>
    </cfRule>
  </conditionalFormatting>
  <conditionalFormatting sqref="Z233">
    <cfRule type="dataBar" priority="7000">
      <dataBar>
        <cfvo type="min"/>
        <cfvo type="max"/>
        <color rgb="FF63C384"/>
      </dataBar>
    </cfRule>
    <cfRule type="dataBar" priority="6999">
      <dataBar>
        <cfvo type="min"/>
        <cfvo type="max"/>
        <color rgb="FF63C384"/>
      </dataBar>
    </cfRule>
  </conditionalFormatting>
  <conditionalFormatting sqref="J234">
    <cfRule type="cellIs" priority="6998" operator="equal" dxfId="2034">
      <formula>"ja"</formula>
    </cfRule>
  </conditionalFormatting>
  <conditionalFormatting sqref="T234">
    <cfRule type="expression" priority="6997" dxfId="2">
      <formula>AND(AND($W234&lt;TODAY(),$W234&lt;&gt;""),$X234="")</formula>
    </cfRule>
  </conditionalFormatting>
  <conditionalFormatting sqref="Z234">
    <cfRule type="dataBar" priority="6996">
      <dataBar>
        <cfvo type="min"/>
        <cfvo type="max"/>
        <color rgb="FF63C384"/>
      </dataBar>
    </cfRule>
    <cfRule type="dataBar" priority="6994">
      <dataBar>
        <cfvo type="min"/>
        <cfvo type="max"/>
        <color rgb="FF63C384"/>
      </dataBar>
    </cfRule>
  </conditionalFormatting>
  <conditionalFormatting sqref="J235">
    <cfRule type="cellIs" priority="6993" operator="equal" dxfId="2034">
      <formula>"ja"</formula>
    </cfRule>
  </conditionalFormatting>
  <conditionalFormatting sqref="T235">
    <cfRule type="expression" priority="6992" dxfId="2">
      <formula>AND(AND($W235&lt;TODAY(),$W235&lt;&gt;""),$X235="")</formula>
    </cfRule>
  </conditionalFormatting>
  <conditionalFormatting sqref="Z235">
    <cfRule type="dataBar" priority="6991">
      <dataBar>
        <cfvo type="min"/>
        <cfvo type="max"/>
        <color rgb="FF63C384"/>
      </dataBar>
    </cfRule>
    <cfRule type="dataBar" priority="6989">
      <dataBar>
        <cfvo type="min"/>
        <cfvo type="max"/>
        <color rgb="FF63C384"/>
      </dataBar>
    </cfRule>
  </conditionalFormatting>
  <conditionalFormatting sqref="J236">
    <cfRule type="cellIs" priority="6987" operator="equal" dxfId="2034">
      <formula>"ja"</formula>
    </cfRule>
  </conditionalFormatting>
  <conditionalFormatting sqref="T236">
    <cfRule type="expression" priority="6986" dxfId="2">
      <formula>AND(AND($W236&lt;TODAY(),$W236&lt;&gt;""),$X236="")</formula>
    </cfRule>
  </conditionalFormatting>
  <conditionalFormatting sqref="Z236">
    <cfRule type="dataBar" priority="6985">
      <dataBar>
        <cfvo type="min"/>
        <cfvo type="max"/>
        <color rgb="FF63C384"/>
      </dataBar>
    </cfRule>
    <cfRule type="dataBar" priority="6984">
      <dataBar>
        <cfvo type="min"/>
        <cfvo type="max"/>
        <color rgb="FF63C384"/>
      </dataBar>
    </cfRule>
  </conditionalFormatting>
  <conditionalFormatting sqref="J237">
    <cfRule type="cellIs" priority="6983" operator="equal" dxfId="2034">
      <formula>"ja"</formula>
    </cfRule>
  </conditionalFormatting>
  <conditionalFormatting sqref="T237">
    <cfRule type="expression" priority="6982" dxfId="2">
      <formula>AND(AND($W237&lt;TODAY(),$W237&lt;&gt;""),$X237="")</formula>
    </cfRule>
  </conditionalFormatting>
  <conditionalFormatting sqref="Z237">
    <cfRule type="dataBar" priority="6981">
      <dataBar>
        <cfvo type="min"/>
        <cfvo type="max"/>
        <color rgb="FF63C384"/>
      </dataBar>
    </cfRule>
    <cfRule type="dataBar" priority="6979">
      <dataBar>
        <cfvo type="min"/>
        <cfvo type="max"/>
        <color rgb="FF63C384"/>
      </dataBar>
    </cfRule>
  </conditionalFormatting>
  <conditionalFormatting sqref="J238">
    <cfRule type="cellIs" priority="6978" operator="equal" dxfId="2034">
      <formula>"ja"</formula>
    </cfRule>
  </conditionalFormatting>
  <conditionalFormatting sqref="T238">
    <cfRule type="expression" priority="6977" dxfId="2">
      <formula>AND(AND($W238&lt;TODAY(),$W238&lt;&gt;""),$X238="")</formula>
    </cfRule>
  </conditionalFormatting>
  <conditionalFormatting sqref="Z238">
    <cfRule type="dataBar" priority="6975">
      <dataBar>
        <cfvo type="min"/>
        <cfvo type="max"/>
        <color rgb="FF63C384"/>
      </dataBar>
    </cfRule>
    <cfRule type="dataBar" priority="6974">
      <dataBar>
        <cfvo type="min"/>
        <cfvo type="max"/>
        <color rgb="FF63C384"/>
      </dataBar>
    </cfRule>
  </conditionalFormatting>
  <conditionalFormatting sqref="J239">
    <cfRule type="cellIs" priority="6972" operator="equal" dxfId="2034">
      <formula>"ja"</formula>
    </cfRule>
  </conditionalFormatting>
  <conditionalFormatting sqref="T239">
    <cfRule type="expression" priority="6971" dxfId="2">
      <formula>AND(AND($W239&lt;TODAY(),$W239&lt;&gt;""),$X239="")</formula>
    </cfRule>
  </conditionalFormatting>
  <conditionalFormatting sqref="Z239">
    <cfRule type="dataBar" priority="6970">
      <dataBar>
        <cfvo type="min"/>
        <cfvo type="max"/>
        <color rgb="FF63C384"/>
      </dataBar>
    </cfRule>
    <cfRule type="dataBar" priority="6969">
      <dataBar>
        <cfvo type="min"/>
        <cfvo type="max"/>
        <color rgb="FF63C384"/>
      </dataBar>
    </cfRule>
  </conditionalFormatting>
  <conditionalFormatting sqref="J240">
    <cfRule type="cellIs" priority="6967" operator="equal" dxfId="2034">
      <formula>"ja"</formula>
    </cfRule>
  </conditionalFormatting>
  <conditionalFormatting sqref="T240">
    <cfRule type="expression" priority="6966" dxfId="2">
      <formula>AND(AND($W240&lt;TODAY(),$W240&lt;&gt;""),$X240="")</formula>
    </cfRule>
  </conditionalFormatting>
  <conditionalFormatting sqref="Z240">
    <cfRule type="dataBar" priority="6965">
      <dataBar>
        <cfvo type="min"/>
        <cfvo type="max"/>
        <color rgb="FF63C384"/>
      </dataBar>
    </cfRule>
    <cfRule type="dataBar" priority="6964">
      <dataBar>
        <cfvo type="min"/>
        <cfvo type="max"/>
        <color rgb="FF63C384"/>
      </dataBar>
    </cfRule>
  </conditionalFormatting>
  <conditionalFormatting sqref="T241:T242">
    <cfRule type="expression" priority="6962" dxfId="2">
      <formula>AND(AND($W241&lt;TODAY(),$W241&lt;&gt;""),$X241="")</formula>
    </cfRule>
  </conditionalFormatting>
  <conditionalFormatting sqref="J241">
    <cfRule type="cellIs" priority="6961" operator="equal" dxfId="2034">
      <formula>"ja"</formula>
    </cfRule>
  </conditionalFormatting>
  <conditionalFormatting sqref="Z241:Z242">
    <cfRule type="dataBar" priority="6960">
      <dataBar>
        <cfvo type="min"/>
        <cfvo type="max"/>
        <color rgb="FF63C384"/>
      </dataBar>
    </cfRule>
    <cfRule type="dataBar" priority="6959">
      <dataBar>
        <cfvo type="min"/>
        <cfvo type="max"/>
        <color rgb="FF63C384"/>
      </dataBar>
    </cfRule>
  </conditionalFormatting>
  <conditionalFormatting sqref="C243">
    <cfRule type="containsText" priority="6957" operator="containsText" dxfId="1" text="Einnahmen">
      <formula>NOT(ISERROR(SEARCH("Einnahmen",C243)))</formula>
    </cfRule>
    <cfRule type="containsText" priority="6958" operator="containsText" dxfId="0" text="Ausgaben">
      <formula>NOT(ISERROR(SEARCH("Ausgaben",C243)))</formula>
    </cfRule>
  </conditionalFormatting>
  <conditionalFormatting sqref="J243">
    <cfRule type="cellIs" priority="6955" operator="equal" dxfId="2034">
      <formula>"ja"</formula>
    </cfRule>
  </conditionalFormatting>
  <conditionalFormatting sqref="T243">
    <cfRule type="expression" priority="6954" dxfId="2">
      <formula>AND(AND($W243&lt;TODAY(),$W243&lt;&gt;""),$X243="")</formula>
    </cfRule>
  </conditionalFormatting>
  <conditionalFormatting sqref="Z243">
    <cfRule type="dataBar" priority="6953">
      <dataBar>
        <cfvo type="min"/>
        <cfvo type="max"/>
        <color rgb="FF63C384"/>
      </dataBar>
    </cfRule>
    <cfRule type="dataBar" priority="6952">
      <dataBar>
        <cfvo type="min"/>
        <cfvo type="max"/>
        <color rgb="FF63C384"/>
      </dataBar>
    </cfRule>
  </conditionalFormatting>
  <conditionalFormatting sqref="J244">
    <cfRule type="cellIs" priority="6950" operator="equal" dxfId="2034">
      <formula>"ja"</formula>
    </cfRule>
  </conditionalFormatting>
  <conditionalFormatting sqref="T244">
    <cfRule type="expression" priority="6949" dxfId="2">
      <formula>AND(AND($W244&lt;TODAY(),$W244&lt;&gt;""),$X244="")</formula>
    </cfRule>
  </conditionalFormatting>
  <conditionalFormatting sqref="Z244">
    <cfRule type="dataBar" priority="6948">
      <dataBar>
        <cfvo type="min"/>
        <cfvo type="max"/>
        <color rgb="FF63C384"/>
      </dataBar>
    </cfRule>
    <cfRule type="dataBar" priority="6947">
      <dataBar>
        <cfvo type="min"/>
        <cfvo type="max"/>
        <color rgb="FF63C384"/>
      </dataBar>
    </cfRule>
  </conditionalFormatting>
  <conditionalFormatting sqref="J245">
    <cfRule type="cellIs" priority="6945" operator="equal" dxfId="2034">
      <formula>"ja"</formula>
    </cfRule>
  </conditionalFormatting>
  <conditionalFormatting sqref="T245">
    <cfRule type="expression" priority="6944" dxfId="2">
      <formula>AND(AND($W245&lt;TODAY(),$W245&lt;&gt;""),$X245="")</formula>
    </cfRule>
  </conditionalFormatting>
  <conditionalFormatting sqref="Z245">
    <cfRule type="dataBar" priority="6943">
      <dataBar>
        <cfvo type="min"/>
        <cfvo type="max"/>
        <color rgb="FF63C384"/>
      </dataBar>
    </cfRule>
    <cfRule type="dataBar" priority="6942">
      <dataBar>
        <cfvo type="min"/>
        <cfvo type="max"/>
        <color rgb="FF63C384"/>
      </dataBar>
    </cfRule>
  </conditionalFormatting>
  <conditionalFormatting sqref="C246">
    <cfRule type="containsText" priority="6940" operator="containsText" dxfId="1" text="Einnahmen">
      <formula>NOT(ISERROR(SEARCH("Einnahmen",C246)))</formula>
    </cfRule>
    <cfRule type="containsText" priority="6941" operator="containsText" dxfId="0" text="Ausgaben">
      <formula>NOT(ISERROR(SEARCH("Ausgaben",C246)))</formula>
    </cfRule>
  </conditionalFormatting>
  <conditionalFormatting sqref="J246">
    <cfRule type="cellIs" priority="6938" operator="equal" dxfId="2034">
      <formula>"ja"</formula>
    </cfRule>
  </conditionalFormatting>
  <conditionalFormatting sqref="T246">
    <cfRule type="expression" priority="6937" dxfId="2">
      <formula>AND(AND($W246&lt;TODAY(),$W246&lt;&gt;""),$X246="")</formula>
    </cfRule>
  </conditionalFormatting>
  <conditionalFormatting sqref="Z246">
    <cfRule type="dataBar" priority="6936">
      <dataBar>
        <cfvo type="min"/>
        <cfvo type="max"/>
        <color rgb="FF63C384"/>
      </dataBar>
    </cfRule>
    <cfRule type="dataBar" priority="6935">
      <dataBar>
        <cfvo type="min"/>
        <cfvo type="max"/>
        <color rgb="FF63C384"/>
      </dataBar>
    </cfRule>
  </conditionalFormatting>
  <conditionalFormatting sqref="C247">
    <cfRule type="containsText" priority="6933" operator="containsText" dxfId="1" text="Einnahmen">
      <formula>NOT(ISERROR(SEARCH("Einnahmen",C247)))</formula>
    </cfRule>
    <cfRule type="containsText" priority="6934" operator="containsText" dxfId="0" text="Ausgaben">
      <formula>NOT(ISERROR(SEARCH("Ausgaben",C247)))</formula>
    </cfRule>
  </conditionalFormatting>
  <conditionalFormatting sqref="J247">
    <cfRule type="cellIs" priority="6931" operator="equal" dxfId="2034">
      <formula>"ja"</formula>
    </cfRule>
  </conditionalFormatting>
  <conditionalFormatting sqref="T247">
    <cfRule type="expression" priority="6930" dxfId="2">
      <formula>AND(AND($W247&lt;TODAY(),$W247&lt;&gt;""),$X247="")</formula>
    </cfRule>
  </conditionalFormatting>
  <conditionalFormatting sqref="Z247">
    <cfRule type="dataBar" priority="6929">
      <dataBar>
        <cfvo type="min"/>
        <cfvo type="max"/>
        <color rgb="FF63C384"/>
      </dataBar>
    </cfRule>
    <cfRule type="dataBar" priority="6928">
      <dataBar>
        <cfvo type="min"/>
        <cfvo type="max"/>
        <color rgb="FF63C384"/>
      </dataBar>
    </cfRule>
  </conditionalFormatting>
  <conditionalFormatting sqref="C248">
    <cfRule type="containsText" priority="6926" operator="containsText" dxfId="1" text="Einnahmen">
      <formula>NOT(ISERROR(SEARCH("Einnahmen",C248)))</formula>
    </cfRule>
    <cfRule type="containsText" priority="6927" operator="containsText" dxfId="0" text="Ausgaben">
      <formula>NOT(ISERROR(SEARCH("Ausgaben",C248)))</formula>
    </cfRule>
  </conditionalFormatting>
  <conditionalFormatting sqref="J248">
    <cfRule type="cellIs" priority="6924" operator="equal" dxfId="2034">
      <formula>"ja"</formula>
    </cfRule>
  </conditionalFormatting>
  <conditionalFormatting sqref="T248:T249">
    <cfRule type="expression" priority="6923" dxfId="2">
      <formula>AND(AND($W248&lt;TODAY(),$W248&lt;&gt;""),$X248="")</formula>
    </cfRule>
  </conditionalFormatting>
  <conditionalFormatting sqref="Z248:Z249">
    <cfRule type="dataBar" priority="6922">
      <dataBar>
        <cfvo type="min"/>
        <cfvo type="max"/>
        <color rgb="FF63C384"/>
      </dataBar>
    </cfRule>
    <cfRule type="dataBar" priority="6921">
      <dataBar>
        <cfvo type="min"/>
        <cfvo type="max"/>
        <color rgb="FF63C384"/>
      </dataBar>
    </cfRule>
  </conditionalFormatting>
  <conditionalFormatting sqref="J250">
    <cfRule type="cellIs" priority="6920" operator="equal" dxfId="2034">
      <formula>"ja"</formula>
    </cfRule>
  </conditionalFormatting>
  <conditionalFormatting sqref="T250">
    <cfRule type="expression" priority="6919" dxfId="2">
      <formula>AND(AND($W250&lt;TODAY(),$W250&lt;&gt;""),$X250="")</formula>
    </cfRule>
  </conditionalFormatting>
  <conditionalFormatting sqref="Z250">
    <cfRule type="dataBar" priority="6918">
      <dataBar>
        <cfvo type="min"/>
        <cfvo type="max"/>
        <color rgb="FF63C384"/>
      </dataBar>
    </cfRule>
    <cfRule type="dataBar" priority="6916">
      <dataBar>
        <cfvo type="min"/>
        <cfvo type="max"/>
        <color rgb="FF63C384"/>
      </dataBar>
    </cfRule>
  </conditionalFormatting>
  <conditionalFormatting sqref="T216">
    <cfRule type="expression" priority="6915" dxfId="2">
      <formula>AND(AND($W216&lt;TODAY(),$W216&lt;&gt;""),$X216="")</formula>
    </cfRule>
  </conditionalFormatting>
  <conditionalFormatting sqref="Z216">
    <cfRule type="dataBar" priority="6914">
      <dataBar>
        <cfvo type="min"/>
        <cfvo type="max"/>
        <color rgb="FF63C384"/>
      </dataBar>
    </cfRule>
    <cfRule type="dataBar" priority="6913">
      <dataBar>
        <cfvo type="min"/>
        <cfvo type="max"/>
        <color rgb="FF63C384"/>
      </dataBar>
    </cfRule>
  </conditionalFormatting>
  <conditionalFormatting sqref="T251">
    <cfRule type="expression" priority="6911" dxfId="2">
      <formula>AND(AND($W251&lt;TODAY(),$W251&lt;&gt;""),$X251="")</formula>
    </cfRule>
  </conditionalFormatting>
  <conditionalFormatting sqref="Z251">
    <cfRule type="dataBar" priority="6910">
      <dataBar>
        <cfvo type="min"/>
        <cfvo type="max"/>
        <color rgb="FF63C384"/>
      </dataBar>
    </cfRule>
    <cfRule type="dataBar" priority="6909">
      <dataBar>
        <cfvo type="min"/>
        <cfvo type="max"/>
        <color rgb="FF63C384"/>
      </dataBar>
    </cfRule>
  </conditionalFormatting>
  <conditionalFormatting sqref="T252">
    <cfRule type="expression" priority="6908" dxfId="2">
      <formula>AND(AND($W252&lt;TODAY(),$W252&lt;&gt;""),$X252="")</formula>
    </cfRule>
  </conditionalFormatting>
  <conditionalFormatting sqref="J252">
    <cfRule type="cellIs" priority="6907" operator="equal" dxfId="2034">
      <formula>"ja"</formula>
    </cfRule>
  </conditionalFormatting>
  <conditionalFormatting sqref="Z252">
    <cfRule type="dataBar" priority="6906">
      <dataBar>
        <cfvo type="min"/>
        <cfvo type="max"/>
        <color rgb="FF63C384"/>
      </dataBar>
    </cfRule>
    <cfRule type="dataBar" priority="6905">
      <dataBar>
        <cfvo type="min"/>
        <cfvo type="max"/>
        <color rgb="FF63C384"/>
      </dataBar>
    </cfRule>
  </conditionalFormatting>
  <conditionalFormatting sqref="J251">
    <cfRule type="cellIs" priority="6904" operator="equal" dxfId="2034">
      <formula>"ja"</formula>
    </cfRule>
  </conditionalFormatting>
  <conditionalFormatting sqref="T253">
    <cfRule type="expression" priority="6903" dxfId="2">
      <formula>AND(AND($W253&lt;TODAY(),$W253&lt;&gt;""),$X253="")</formula>
    </cfRule>
  </conditionalFormatting>
  <conditionalFormatting sqref="Z253">
    <cfRule type="dataBar" priority="6902">
      <dataBar>
        <cfvo type="min"/>
        <cfvo type="max"/>
        <color rgb="FF63C384"/>
      </dataBar>
    </cfRule>
    <cfRule type="dataBar" priority="6901">
      <dataBar>
        <cfvo type="min"/>
        <cfvo type="max"/>
        <color rgb="FF63C384"/>
      </dataBar>
    </cfRule>
  </conditionalFormatting>
  <conditionalFormatting sqref="T254">
    <cfRule type="expression" priority="6900" dxfId="2">
      <formula>AND(AND($W254&lt;TODAY(),$W254&lt;&gt;""),$X254="")</formula>
    </cfRule>
  </conditionalFormatting>
  <conditionalFormatting sqref="Z254">
    <cfRule type="dataBar" priority="6899">
      <dataBar>
        <cfvo type="min"/>
        <cfvo type="max"/>
        <color rgb="FF63C384"/>
      </dataBar>
    </cfRule>
    <cfRule type="dataBar" priority="6898">
      <dataBar>
        <cfvo type="min"/>
        <cfvo type="max"/>
        <color rgb="FF63C384"/>
      </dataBar>
    </cfRule>
  </conditionalFormatting>
  <conditionalFormatting sqref="J255:J256">
    <cfRule type="cellIs" priority="6897" operator="equal" dxfId="2034">
      <formula>"ja"</formula>
    </cfRule>
  </conditionalFormatting>
  <conditionalFormatting sqref="T255:T256">
    <cfRule type="expression" priority="6896" dxfId="2">
      <formula>AND(AND($W255&lt;TODAY(),$W255&lt;&gt;""),$X255="")</formula>
    </cfRule>
  </conditionalFormatting>
  <conditionalFormatting sqref="Z255:Z256">
    <cfRule type="dataBar" priority="6895">
      <dataBar>
        <cfvo type="min"/>
        <cfvo type="max"/>
        <color rgb="FF63C384"/>
      </dataBar>
    </cfRule>
    <cfRule type="dataBar" priority="6893">
      <dataBar>
        <cfvo type="min"/>
        <cfvo type="max"/>
        <color rgb="FF63C384"/>
      </dataBar>
    </cfRule>
  </conditionalFormatting>
  <conditionalFormatting sqref="T257">
    <cfRule type="expression" priority="6892" dxfId="2">
      <formula>AND(AND($W257&lt;TODAY(),$W257&lt;&gt;""),$X257="")</formula>
    </cfRule>
  </conditionalFormatting>
  <conditionalFormatting sqref="Z257">
    <cfRule type="dataBar" priority="6891">
      <dataBar>
        <cfvo type="min"/>
        <cfvo type="max"/>
        <color rgb="FF63C384"/>
      </dataBar>
    </cfRule>
    <cfRule type="dataBar" priority="6890">
      <dataBar>
        <cfvo type="min"/>
        <cfvo type="max"/>
        <color rgb="FF63C384"/>
      </dataBar>
    </cfRule>
  </conditionalFormatting>
  <conditionalFormatting sqref="T258">
    <cfRule type="expression" priority="6889" dxfId="2">
      <formula>AND(AND($W258&lt;TODAY(),$W258&lt;&gt;""),$X258="")</formula>
    </cfRule>
  </conditionalFormatting>
  <conditionalFormatting sqref="Z258">
    <cfRule type="dataBar" priority="6888">
      <dataBar>
        <cfvo type="min"/>
        <cfvo type="max"/>
        <color rgb="FF63C384"/>
      </dataBar>
    </cfRule>
    <cfRule type="dataBar" priority="6887">
      <dataBar>
        <cfvo type="min"/>
        <cfvo type="max"/>
        <color rgb="FF63C384"/>
      </dataBar>
    </cfRule>
  </conditionalFormatting>
  <conditionalFormatting sqref="T259">
    <cfRule type="expression" priority="6886" dxfId="2">
      <formula>AND(AND($W259&lt;TODAY(),$W259&lt;&gt;""),$X259="")</formula>
    </cfRule>
  </conditionalFormatting>
  <conditionalFormatting sqref="Z259">
    <cfRule type="dataBar" priority="6885">
      <dataBar>
        <cfvo type="min"/>
        <cfvo type="max"/>
        <color rgb="FF63C384"/>
      </dataBar>
    </cfRule>
    <cfRule type="dataBar" priority="6884">
      <dataBar>
        <cfvo type="min"/>
        <cfvo type="max"/>
        <color rgb="FF63C384"/>
      </dataBar>
    </cfRule>
  </conditionalFormatting>
  <conditionalFormatting sqref="J259">
    <cfRule type="cellIs" priority="6883" operator="equal" dxfId="2034">
      <formula>"ja"</formula>
    </cfRule>
  </conditionalFormatting>
  <conditionalFormatting sqref="J260:J261">
    <cfRule type="cellIs" priority="6882" operator="equal" dxfId="2034">
      <formula>"ja"</formula>
    </cfRule>
  </conditionalFormatting>
  <conditionalFormatting sqref="T260:T261">
    <cfRule type="expression" priority="6881" dxfId="2">
      <formula>AND(AND($W260&lt;TODAY(),$W260&lt;&gt;""),$X260="")</formula>
    </cfRule>
  </conditionalFormatting>
  <conditionalFormatting sqref="Z260:Z261">
    <cfRule type="dataBar" priority="6880">
      <dataBar>
        <cfvo type="min"/>
        <cfvo type="max"/>
        <color rgb="FF63C384"/>
      </dataBar>
    </cfRule>
    <cfRule type="dataBar" priority="6878">
      <dataBar>
        <cfvo type="min"/>
        <cfvo type="max"/>
        <color rgb="FF63C384"/>
      </dataBar>
    </cfRule>
  </conditionalFormatting>
  <conditionalFormatting sqref="T262">
    <cfRule type="expression" priority="6877" dxfId="2">
      <formula>AND(AND($W262&lt;TODAY(),$W262&lt;&gt;""),$X262="")</formula>
    </cfRule>
  </conditionalFormatting>
  <conditionalFormatting sqref="J262">
    <cfRule type="cellIs" priority="6876" operator="equal" dxfId="2034">
      <formula>"ja"</formula>
    </cfRule>
  </conditionalFormatting>
  <conditionalFormatting sqref="Z262">
    <cfRule type="dataBar" priority="6875">
      <dataBar>
        <cfvo type="min"/>
        <cfvo type="max"/>
        <color rgb="FF63C384"/>
      </dataBar>
    </cfRule>
    <cfRule type="dataBar" priority="6874">
      <dataBar>
        <cfvo type="min"/>
        <cfvo type="max"/>
        <color rgb="FF63C384"/>
      </dataBar>
    </cfRule>
  </conditionalFormatting>
  <conditionalFormatting sqref="J263">
    <cfRule type="cellIs" priority="6873" operator="equal" dxfId="2034">
      <formula>"ja"</formula>
    </cfRule>
  </conditionalFormatting>
  <conditionalFormatting sqref="T263">
    <cfRule type="expression" priority="6872" dxfId="2">
      <formula>AND(AND($W263&lt;TODAY(),$W263&lt;&gt;""),$X263="")</formula>
    </cfRule>
  </conditionalFormatting>
  <conditionalFormatting sqref="Z263">
    <cfRule type="dataBar" priority="6871">
      <dataBar>
        <cfvo type="min"/>
        <cfvo type="max"/>
        <color rgb="FF63C384"/>
      </dataBar>
    </cfRule>
    <cfRule type="dataBar" priority="6869">
      <dataBar>
        <cfvo type="min"/>
        <cfvo type="max"/>
        <color rgb="FF63C384"/>
      </dataBar>
    </cfRule>
  </conditionalFormatting>
  <conditionalFormatting sqref="T264">
    <cfRule type="expression" priority="6868" dxfId="2">
      <formula>AND(AND($W264&lt;TODAY(),$W264&lt;&gt;""),$X264="")</formula>
    </cfRule>
  </conditionalFormatting>
  <conditionalFormatting sqref="Z264">
    <cfRule type="dataBar" priority="6867">
      <dataBar>
        <cfvo type="min"/>
        <cfvo type="max"/>
        <color rgb="FF63C384"/>
      </dataBar>
    </cfRule>
    <cfRule type="dataBar" priority="6866">
      <dataBar>
        <cfvo type="min"/>
        <cfvo type="max"/>
        <color rgb="FF63C384"/>
      </dataBar>
    </cfRule>
  </conditionalFormatting>
  <conditionalFormatting sqref="C266 C268 C270 C272 C274 C276 C278 C280 C282 C290 C292 C294 C296 C298:C299 C303 C308 C310:C311 C313 C315:C316 C318 C320:C321 C325 C328 C330:C331 C333 C335:C336 C340:C341 C343 C348 C350 C354:C355">
    <cfRule type="containsText" priority="6861" operator="containsText" dxfId="1" text="Einnahmen">
      <formula>NOT(ISERROR(SEARCH("Einnahmen",C266)))</formula>
    </cfRule>
    <cfRule type="containsText" priority="6862" operator="containsText" dxfId="0" text="Ausgaben">
      <formula>NOT(ISERROR(SEARCH("Ausgaben",C266)))</formula>
    </cfRule>
  </conditionalFormatting>
  <conditionalFormatting sqref="J265:J268">
    <cfRule type="cellIs" priority="6855" operator="equal" dxfId="2034">
      <formula>"ja"</formula>
    </cfRule>
  </conditionalFormatting>
  <conditionalFormatting sqref="T265:T268">
    <cfRule type="expression" priority="6854" dxfId="2">
      <formula>AND(AND($W265&lt;TODAY(),$W265&lt;&gt;""),$X265="")</formula>
    </cfRule>
  </conditionalFormatting>
  <conditionalFormatting sqref="Z265:Z268">
    <cfRule type="dataBar" priority="6853">
      <dataBar>
        <cfvo type="min"/>
        <cfvo type="max"/>
        <color rgb="FF63C384"/>
      </dataBar>
    </cfRule>
    <cfRule type="dataBar" priority="6851">
      <dataBar>
        <cfvo type="min"/>
        <cfvo type="max"/>
        <color rgb="FF63C384"/>
      </dataBar>
    </cfRule>
  </conditionalFormatting>
  <conditionalFormatting sqref="J269">
    <cfRule type="cellIs" priority="6850" operator="equal" dxfId="2034">
      <formula>"ja"</formula>
    </cfRule>
  </conditionalFormatting>
  <conditionalFormatting sqref="T269">
    <cfRule type="expression" priority="6849" dxfId="2">
      <formula>AND(AND($W269&lt;TODAY(),$W269&lt;&gt;""),$X269="")</formula>
    </cfRule>
  </conditionalFormatting>
  <conditionalFormatting sqref="Z269">
    <cfRule type="dataBar" priority="6848">
      <dataBar>
        <cfvo type="min"/>
        <cfvo type="max"/>
        <color rgb="FF63C384"/>
      </dataBar>
    </cfRule>
    <cfRule type="dataBar" priority="6847">
      <dataBar>
        <cfvo type="min"/>
        <cfvo type="max"/>
        <color rgb="FF63C384"/>
      </dataBar>
    </cfRule>
  </conditionalFormatting>
  <conditionalFormatting sqref="J270">
    <cfRule type="cellIs" priority="6846" operator="equal" dxfId="2034">
      <formula>"ja"</formula>
    </cfRule>
  </conditionalFormatting>
  <conditionalFormatting sqref="T270">
    <cfRule type="expression" priority="6845" dxfId="2">
      <formula>AND(AND($W270&lt;TODAY(),$W270&lt;&gt;""),$X270="")</formula>
    </cfRule>
  </conditionalFormatting>
  <conditionalFormatting sqref="Z270">
    <cfRule type="dataBar" priority="6844">
      <dataBar>
        <cfvo type="min"/>
        <cfvo type="max"/>
        <color rgb="FF63C384"/>
      </dataBar>
    </cfRule>
    <cfRule type="dataBar" priority="6842">
      <dataBar>
        <cfvo type="min"/>
        <cfvo type="max"/>
        <color rgb="FF63C384"/>
      </dataBar>
    </cfRule>
  </conditionalFormatting>
  <conditionalFormatting sqref="T271">
    <cfRule type="expression" priority="6841" dxfId="2">
      <formula>AND(AND($W271&lt;TODAY(),$W271&lt;&gt;""),$X271="")</formula>
    </cfRule>
  </conditionalFormatting>
  <conditionalFormatting sqref="J271">
    <cfRule type="cellIs" priority="6839" operator="equal" dxfId="2034">
      <formula>"ja"</formula>
    </cfRule>
  </conditionalFormatting>
  <conditionalFormatting sqref="Z271">
    <cfRule type="dataBar" priority="6838">
      <dataBar>
        <cfvo type="min"/>
        <cfvo type="max"/>
        <color rgb="FF63C384"/>
      </dataBar>
    </cfRule>
    <cfRule type="dataBar" priority="6837">
      <dataBar>
        <cfvo type="min"/>
        <cfvo type="max"/>
        <color rgb="FF63C384"/>
      </dataBar>
    </cfRule>
  </conditionalFormatting>
  <conditionalFormatting sqref="J272">
    <cfRule type="cellIs" priority="6835" operator="equal" dxfId="2034">
      <formula>"ja"</formula>
    </cfRule>
  </conditionalFormatting>
  <conditionalFormatting sqref="T272">
    <cfRule type="expression" priority="6834" dxfId="2">
      <formula>AND(AND($W272&lt;TODAY(),$W272&lt;&gt;""),$X272="")</formula>
    </cfRule>
  </conditionalFormatting>
  <conditionalFormatting sqref="Z272">
    <cfRule type="dataBar" priority="6833">
      <dataBar>
        <cfvo type="min"/>
        <cfvo type="max"/>
        <color rgb="FF63C384"/>
      </dataBar>
    </cfRule>
    <cfRule type="dataBar" priority="6832">
      <dataBar>
        <cfvo type="min"/>
        <cfvo type="max"/>
        <color rgb="FF63C384"/>
      </dataBar>
    </cfRule>
  </conditionalFormatting>
  <conditionalFormatting sqref="J275">
    <cfRule type="cellIs" priority="6821" operator="equal" dxfId="2034">
      <formula>"ja"</formula>
    </cfRule>
  </conditionalFormatting>
  <conditionalFormatting sqref="T275">
    <cfRule type="expression" priority="6820" dxfId="2">
      <formula>AND(AND($W275&lt;TODAY(),$W275&lt;&gt;""),$X275="")</formula>
    </cfRule>
  </conditionalFormatting>
  <conditionalFormatting sqref="Z275">
    <cfRule type="dataBar" priority="6819">
      <dataBar>
        <cfvo type="min"/>
        <cfvo type="max"/>
        <color rgb="FF63C384"/>
      </dataBar>
    </cfRule>
    <cfRule type="dataBar" priority="6817">
      <dataBar>
        <cfvo type="min"/>
        <cfvo type="max"/>
        <color rgb="FF63C384"/>
      </dataBar>
    </cfRule>
  </conditionalFormatting>
  <conditionalFormatting sqref="J276">
    <cfRule type="cellIs" priority="6815" operator="equal" dxfId="2034">
      <formula>"ja"</formula>
    </cfRule>
  </conditionalFormatting>
  <conditionalFormatting sqref="T276">
    <cfRule type="expression" priority="6814" dxfId="2">
      <formula>AND(AND($W276&lt;TODAY(),$W276&lt;&gt;""),$X276="")</formula>
    </cfRule>
  </conditionalFormatting>
  <conditionalFormatting sqref="Z276">
    <cfRule type="dataBar" priority="6813">
      <dataBar>
        <cfvo type="min"/>
        <cfvo type="max"/>
        <color rgb="FF63C384"/>
      </dataBar>
    </cfRule>
    <cfRule type="dataBar" priority="6812">
      <dataBar>
        <cfvo type="min"/>
        <cfvo type="max"/>
        <color rgb="FF63C384"/>
      </dataBar>
    </cfRule>
  </conditionalFormatting>
  <conditionalFormatting sqref="J277">
    <cfRule type="cellIs" priority="6810" operator="equal" dxfId="2034">
      <formula>"ja"</formula>
    </cfRule>
  </conditionalFormatting>
  <conditionalFormatting sqref="T277">
    <cfRule type="expression" priority="6809" dxfId="2">
      <formula>AND(AND($W277&lt;TODAY(),$W277&lt;&gt;""),$X277="")</formula>
    </cfRule>
  </conditionalFormatting>
  <conditionalFormatting sqref="Z277">
    <cfRule type="dataBar" priority="6808">
      <dataBar>
        <cfvo type="min"/>
        <cfvo type="max"/>
        <color rgb="FF63C384"/>
      </dataBar>
    </cfRule>
    <cfRule type="dataBar" priority="6807">
      <dataBar>
        <cfvo type="min"/>
        <cfvo type="max"/>
        <color rgb="FF63C384"/>
      </dataBar>
    </cfRule>
  </conditionalFormatting>
  <conditionalFormatting sqref="T278">
    <cfRule type="expression" priority="6805" dxfId="2">
      <formula>AND(AND($W278&lt;TODAY(),$W278&lt;&gt;""),$X278="")</formula>
    </cfRule>
  </conditionalFormatting>
  <conditionalFormatting sqref="J278">
    <cfRule type="cellIs" priority="6804" operator="equal" dxfId="2034">
      <formula>"ja"</formula>
    </cfRule>
  </conditionalFormatting>
  <conditionalFormatting sqref="Z278">
    <cfRule type="dataBar" priority="6803">
      <dataBar>
        <cfvo type="min"/>
        <cfvo type="max"/>
        <color rgb="FF63C384"/>
      </dataBar>
    </cfRule>
    <cfRule type="dataBar" priority="6802">
      <dataBar>
        <cfvo type="min"/>
        <cfvo type="max"/>
        <color rgb="FF63C384"/>
      </dataBar>
    </cfRule>
  </conditionalFormatting>
  <conditionalFormatting sqref="J280">
    <cfRule type="cellIs" priority="6796" operator="equal" dxfId="2034">
      <formula>"ja"</formula>
    </cfRule>
  </conditionalFormatting>
  <conditionalFormatting sqref="T280">
    <cfRule type="expression" priority="6795" dxfId="2">
      <formula>AND(AND($W280&lt;TODAY(),$W280&lt;&gt;""),$X280="")</formula>
    </cfRule>
  </conditionalFormatting>
  <conditionalFormatting sqref="Z280">
    <cfRule type="dataBar" priority="6794">
      <dataBar>
        <cfvo type="min"/>
        <cfvo type="max"/>
        <color rgb="FF63C384"/>
      </dataBar>
    </cfRule>
    <cfRule type="dataBar" priority="6792">
      <dataBar>
        <cfvo type="min"/>
        <cfvo type="max"/>
        <color rgb="FF63C384"/>
      </dataBar>
    </cfRule>
  </conditionalFormatting>
  <conditionalFormatting sqref="J283">
    <cfRule type="cellIs" priority="6781" operator="equal" dxfId="2034">
      <formula>"ja"</formula>
    </cfRule>
  </conditionalFormatting>
  <conditionalFormatting sqref="T283">
    <cfRule type="expression" priority="6780" dxfId="2">
      <formula>AND(AND($W283&lt;TODAY(),$W283&lt;&gt;""),$X283="")</formula>
    </cfRule>
  </conditionalFormatting>
  <conditionalFormatting sqref="Z283">
    <cfRule type="dataBar" priority="6779">
      <dataBar>
        <cfvo type="min"/>
        <cfvo type="max"/>
        <color rgb="FF63C384"/>
      </dataBar>
    </cfRule>
    <cfRule type="dataBar" priority="6777">
      <dataBar>
        <cfvo type="min"/>
        <cfvo type="max"/>
        <color rgb="FF63C384"/>
      </dataBar>
    </cfRule>
  </conditionalFormatting>
  <conditionalFormatting sqref="J281">
    <cfRule type="cellIs" priority="6776" operator="equal" dxfId="2034">
      <formula>"ja"</formula>
    </cfRule>
  </conditionalFormatting>
  <conditionalFormatting sqref="T281">
    <cfRule type="expression" priority="6775" dxfId="2">
      <formula>AND(AND($W281&lt;TODAY(),$W281&lt;&gt;""),$X281="")</formula>
    </cfRule>
  </conditionalFormatting>
  <conditionalFormatting sqref="Z281">
    <cfRule type="dataBar" priority="6774">
      <dataBar>
        <cfvo type="min"/>
        <cfvo type="max"/>
        <color rgb="FF63C384"/>
      </dataBar>
    </cfRule>
    <cfRule type="dataBar" priority="6772">
      <dataBar>
        <cfvo type="min"/>
        <cfvo type="max"/>
        <color rgb="FF63C384"/>
      </dataBar>
    </cfRule>
  </conditionalFormatting>
  <conditionalFormatting sqref="J282">
    <cfRule type="cellIs" priority="6771" operator="equal" dxfId="2034">
      <formula>"ja"</formula>
    </cfRule>
  </conditionalFormatting>
  <conditionalFormatting sqref="T282">
    <cfRule type="expression" priority="6770" dxfId="2">
      <formula>AND(AND($W282&lt;TODAY(),$W282&lt;&gt;""),$X282="")</formula>
    </cfRule>
  </conditionalFormatting>
  <conditionalFormatting sqref="Z282">
    <cfRule type="dataBar" priority="6769">
      <dataBar>
        <cfvo type="min"/>
        <cfvo type="max"/>
        <color rgb="FF63C384"/>
      </dataBar>
    </cfRule>
    <cfRule type="dataBar" priority="6767">
      <dataBar>
        <cfvo type="min"/>
        <cfvo type="max"/>
        <color rgb="FF63C384"/>
      </dataBar>
    </cfRule>
  </conditionalFormatting>
  <conditionalFormatting sqref="T285">
    <cfRule type="expression" priority="6760" dxfId="2">
      <formula>AND(AND($W285&lt;TODAY(),$W285&lt;&gt;""),$X285="")</formula>
    </cfRule>
  </conditionalFormatting>
  <conditionalFormatting sqref="J285">
    <cfRule type="cellIs" priority="6759" operator="equal" dxfId="2034">
      <formula>"ja"</formula>
    </cfRule>
  </conditionalFormatting>
  <conditionalFormatting sqref="Z285">
    <cfRule type="dataBar" priority="6758">
      <dataBar>
        <cfvo type="min"/>
        <cfvo type="max"/>
        <color rgb="FF63C384"/>
      </dataBar>
    </cfRule>
    <cfRule type="dataBar" priority="6757">
      <dataBar>
        <cfvo type="min"/>
        <cfvo type="max"/>
        <color rgb="FF63C384"/>
      </dataBar>
    </cfRule>
  </conditionalFormatting>
  <conditionalFormatting sqref="J292">
    <cfRule type="cellIs" priority="6731" operator="equal" dxfId="2034">
      <formula>"ja"</formula>
    </cfRule>
  </conditionalFormatting>
  <conditionalFormatting sqref="T292">
    <cfRule type="expression" priority="6730" dxfId="2">
      <formula>AND(AND($W292&lt;TODAY(),$W292&lt;&gt;""),$X292="")</formula>
    </cfRule>
  </conditionalFormatting>
  <conditionalFormatting sqref="J289">
    <cfRule type="cellIs" priority="6746" operator="equal" dxfId="2034">
      <formula>"ja"</formula>
    </cfRule>
  </conditionalFormatting>
  <conditionalFormatting sqref="T289">
    <cfRule type="expression" priority="6745" dxfId="2">
      <formula>AND(AND($W289&lt;TODAY(),$W289&lt;&gt;""),$X289="")</formula>
    </cfRule>
  </conditionalFormatting>
  <conditionalFormatting sqref="Z289">
    <cfRule type="dataBar" priority="6744">
      <dataBar>
        <cfvo type="min"/>
        <cfvo type="max"/>
        <color rgb="FF63C384"/>
      </dataBar>
    </cfRule>
    <cfRule type="dataBar" priority="6742">
      <dataBar>
        <cfvo type="min"/>
        <cfvo type="max"/>
        <color rgb="FF63C384"/>
      </dataBar>
    </cfRule>
  </conditionalFormatting>
  <conditionalFormatting sqref="J290">
    <cfRule type="cellIs" priority="6741" operator="equal" dxfId="2034">
      <formula>"ja"</formula>
    </cfRule>
  </conditionalFormatting>
  <conditionalFormatting sqref="T290">
    <cfRule type="expression" priority="6740" dxfId="2">
      <formula>AND(AND($W290&lt;TODAY(),$W290&lt;&gt;""),$X290="")</formula>
    </cfRule>
  </conditionalFormatting>
  <conditionalFormatting sqref="Z290">
    <cfRule type="dataBar" priority="6739">
      <dataBar>
        <cfvo type="min"/>
        <cfvo type="max"/>
        <color rgb="FF63C384"/>
      </dataBar>
    </cfRule>
    <cfRule type="dataBar" priority="6737">
      <dataBar>
        <cfvo type="min"/>
        <cfvo type="max"/>
        <color rgb="FF63C384"/>
      </dataBar>
    </cfRule>
  </conditionalFormatting>
  <conditionalFormatting sqref="Z292">
    <cfRule type="dataBar" priority="6729">
      <dataBar>
        <cfvo type="min"/>
        <cfvo type="max"/>
        <color rgb="FF63C384"/>
      </dataBar>
    </cfRule>
    <cfRule type="dataBar" priority="6727">
      <dataBar>
        <cfvo type="min"/>
        <cfvo type="max"/>
        <color rgb="FF63C384"/>
      </dataBar>
    </cfRule>
  </conditionalFormatting>
  <conditionalFormatting sqref="J293">
    <cfRule type="cellIs" priority="6726" operator="equal" dxfId="2034">
      <formula>"ja"</formula>
    </cfRule>
  </conditionalFormatting>
  <conditionalFormatting sqref="T293">
    <cfRule type="expression" priority="6725" dxfId="2">
      <formula>AND(AND($W293&lt;TODAY(),$W293&lt;&gt;""),$X293="")</formula>
    </cfRule>
  </conditionalFormatting>
  <conditionalFormatting sqref="Z293">
    <cfRule type="dataBar" priority="6724">
      <dataBar>
        <cfvo type="min"/>
        <cfvo type="max"/>
        <color rgb="FF63C384"/>
      </dataBar>
    </cfRule>
    <cfRule type="dataBar" priority="6722">
      <dataBar>
        <cfvo type="min"/>
        <cfvo type="max"/>
        <color rgb="FF63C384"/>
      </dataBar>
    </cfRule>
  </conditionalFormatting>
  <conditionalFormatting sqref="J295">
    <cfRule type="cellIs" priority="6716" operator="equal" dxfId="2034">
      <formula>"ja"</formula>
    </cfRule>
  </conditionalFormatting>
  <conditionalFormatting sqref="T295">
    <cfRule type="expression" priority="6715" dxfId="2">
      <formula>AND(AND($W295&lt;TODAY(),$W295&lt;&gt;""),$X295="")</formula>
    </cfRule>
  </conditionalFormatting>
  <conditionalFormatting sqref="Z295">
    <cfRule type="dataBar" priority="6714">
      <dataBar>
        <cfvo type="min"/>
        <cfvo type="max"/>
        <color rgb="FF63C384"/>
      </dataBar>
    </cfRule>
    <cfRule type="dataBar" priority="6712">
      <dataBar>
        <cfvo type="min"/>
        <cfvo type="max"/>
        <color rgb="FF63C384"/>
      </dataBar>
    </cfRule>
  </conditionalFormatting>
  <conditionalFormatting sqref="J296">
    <cfRule type="cellIs" priority="6711" operator="equal" dxfId="2034">
      <formula>"ja"</formula>
    </cfRule>
  </conditionalFormatting>
  <conditionalFormatting sqref="T296">
    <cfRule type="expression" priority="6710" dxfId="2">
      <formula>AND(AND($W296&lt;TODAY(),$W296&lt;&gt;""),$X296="")</formula>
    </cfRule>
  </conditionalFormatting>
  <conditionalFormatting sqref="Z296">
    <cfRule type="dataBar" priority="6709">
      <dataBar>
        <cfvo type="min"/>
        <cfvo type="max"/>
        <color rgb="FF63C384"/>
      </dataBar>
    </cfRule>
    <cfRule type="dataBar" priority="6707">
      <dataBar>
        <cfvo type="min"/>
        <cfvo type="max"/>
        <color rgb="FF63C384"/>
      </dataBar>
    </cfRule>
  </conditionalFormatting>
  <conditionalFormatting sqref="J297">
    <cfRule type="cellIs" priority="6706" operator="equal" dxfId="2034">
      <formula>"ja"</formula>
    </cfRule>
  </conditionalFormatting>
  <conditionalFormatting sqref="T297">
    <cfRule type="expression" priority="6705" dxfId="2">
      <formula>AND(AND($W297&lt;TODAY(),$W297&lt;&gt;""),$X297="")</formula>
    </cfRule>
  </conditionalFormatting>
  <conditionalFormatting sqref="Z297">
    <cfRule type="dataBar" priority="6704">
      <dataBar>
        <cfvo type="min"/>
        <cfvo type="max"/>
        <color rgb="FF63C384"/>
      </dataBar>
    </cfRule>
    <cfRule type="dataBar" priority="6702">
      <dataBar>
        <cfvo type="min"/>
        <cfvo type="max"/>
        <color rgb="FF63C384"/>
      </dataBar>
    </cfRule>
  </conditionalFormatting>
  <conditionalFormatting sqref="J298">
    <cfRule type="cellIs" priority="6701" operator="equal" dxfId="2034">
      <formula>"ja"</formula>
    </cfRule>
  </conditionalFormatting>
  <conditionalFormatting sqref="T298">
    <cfRule type="expression" priority="6700" dxfId="2">
      <formula>AND(AND($W298&lt;TODAY(),$W298&lt;&gt;""),$X298="")</formula>
    </cfRule>
  </conditionalFormatting>
  <conditionalFormatting sqref="Z298">
    <cfRule type="dataBar" priority="6699">
      <dataBar>
        <cfvo type="min"/>
        <cfvo type="max"/>
        <color rgb="FF63C384"/>
      </dataBar>
    </cfRule>
    <cfRule type="dataBar" priority="6698">
      <dataBar>
        <cfvo type="min"/>
        <cfvo type="max"/>
        <color rgb="FF63C384"/>
      </dataBar>
    </cfRule>
  </conditionalFormatting>
  <conditionalFormatting sqref="T299">
    <cfRule type="expression" priority="6692" dxfId="2">
      <formula>AND(AND($W299&lt;TODAY(),$W299&lt;&gt;""),$X299="")</formula>
    </cfRule>
  </conditionalFormatting>
  <conditionalFormatting sqref="J299">
    <cfRule type="cellIs" priority="6690" operator="equal" dxfId="2034">
      <formula>"ja"</formula>
    </cfRule>
  </conditionalFormatting>
  <conditionalFormatting sqref="Z299">
    <cfRule type="dataBar" priority="6689">
      <dataBar>
        <cfvo type="min"/>
        <cfvo type="max"/>
        <color rgb="FF63C384"/>
      </dataBar>
    </cfRule>
    <cfRule type="dataBar" priority="6688">
      <dataBar>
        <cfvo type="min"/>
        <cfvo type="max"/>
        <color rgb="FF63C384"/>
      </dataBar>
    </cfRule>
  </conditionalFormatting>
  <conditionalFormatting sqref="J300:J301">
    <cfRule type="cellIs" priority="6685" operator="equal" dxfId="2034">
      <formula>"ja"</formula>
    </cfRule>
  </conditionalFormatting>
  <conditionalFormatting sqref="Z300">
    <cfRule type="dataBar" priority="6684">
      <dataBar>
        <cfvo type="min"/>
        <cfvo type="max"/>
        <color rgb="FF63C384"/>
      </dataBar>
    </cfRule>
  </conditionalFormatting>
  <conditionalFormatting sqref="J273">
    <cfRule type="cellIs" priority="6678" operator="equal" dxfId="2034">
      <formula>"ja"</formula>
    </cfRule>
  </conditionalFormatting>
  <conditionalFormatting sqref="T273">
    <cfRule type="expression" priority="6677" dxfId="2">
      <formula>AND(AND($W273&lt;TODAY(),$W273&lt;&gt;""),$X273="")</formula>
    </cfRule>
  </conditionalFormatting>
  <conditionalFormatting sqref="Z273">
    <cfRule type="dataBar" priority="6676">
      <dataBar>
        <cfvo type="min"/>
        <cfvo type="max"/>
        <color rgb="FF63C384"/>
      </dataBar>
    </cfRule>
    <cfRule type="dataBar" priority="6675">
      <dataBar>
        <cfvo type="min"/>
        <cfvo type="max"/>
        <color rgb="FF63C384"/>
      </dataBar>
    </cfRule>
  </conditionalFormatting>
  <conditionalFormatting sqref="J274">
    <cfRule type="cellIs" priority="6674" operator="equal" dxfId="2034">
      <formula>"ja"</formula>
    </cfRule>
  </conditionalFormatting>
  <conditionalFormatting sqref="T274">
    <cfRule type="expression" priority="6673" dxfId="2">
      <formula>AND(AND($W274&lt;TODAY(),$W274&lt;&gt;""),$X274="")</formula>
    </cfRule>
  </conditionalFormatting>
  <conditionalFormatting sqref="Z274">
    <cfRule type="dataBar" priority="6672">
      <dataBar>
        <cfvo type="min"/>
        <cfvo type="max"/>
        <color rgb="FF63C384"/>
      </dataBar>
    </cfRule>
    <cfRule type="dataBar" priority="6670">
      <dataBar>
        <cfvo type="min"/>
        <cfvo type="max"/>
        <color rgb="FF63C384"/>
      </dataBar>
    </cfRule>
  </conditionalFormatting>
  <conditionalFormatting sqref="J279">
    <cfRule type="cellIs" priority="6668" operator="equal" dxfId="2034">
      <formula>"ja"</formula>
    </cfRule>
  </conditionalFormatting>
  <conditionalFormatting sqref="T279">
    <cfRule type="expression" priority="6667" dxfId="2">
      <formula>AND(AND($W279&lt;TODAY(),$W279&lt;&gt;""),$X279="")</formula>
    </cfRule>
  </conditionalFormatting>
  <conditionalFormatting sqref="Z279">
    <cfRule type="dataBar" priority="6666">
      <dataBar>
        <cfvo type="min"/>
        <cfvo type="max"/>
        <color rgb="FF63C384"/>
      </dataBar>
    </cfRule>
    <cfRule type="dataBar" priority="6665">
      <dataBar>
        <cfvo type="min"/>
        <cfvo type="max"/>
        <color rgb="FF63C384"/>
      </dataBar>
    </cfRule>
  </conditionalFormatting>
  <conditionalFormatting sqref="C284">
    <cfRule type="containsText" priority="6663" operator="containsText" dxfId="1" text="Einnahmen">
      <formula>NOT(ISERROR(SEARCH("Einnahmen",C284)))</formula>
    </cfRule>
    <cfRule type="containsText" priority="6664" operator="containsText" dxfId="0" text="Ausgaben">
      <formula>NOT(ISERROR(SEARCH("Ausgaben",C284)))</formula>
    </cfRule>
  </conditionalFormatting>
  <conditionalFormatting sqref="J284">
    <cfRule type="cellIs" priority="6661" operator="equal" dxfId="2034">
      <formula>"ja"</formula>
    </cfRule>
  </conditionalFormatting>
  <conditionalFormatting sqref="T284">
    <cfRule type="expression" priority="6660" dxfId="2">
      <formula>AND(AND($W284&lt;TODAY(),$W284&lt;&gt;""),$X284="")</formula>
    </cfRule>
  </conditionalFormatting>
  <conditionalFormatting sqref="Z284">
    <cfRule type="dataBar" priority="6659">
      <dataBar>
        <cfvo type="min"/>
        <cfvo type="max"/>
        <color rgb="FF63C384"/>
      </dataBar>
    </cfRule>
    <cfRule type="dataBar" priority="6658">
      <dataBar>
        <cfvo type="min"/>
        <cfvo type="max"/>
        <color rgb="FF63C384"/>
      </dataBar>
    </cfRule>
  </conditionalFormatting>
  <conditionalFormatting sqref="C286">
    <cfRule type="containsText" priority="6656" operator="containsText" dxfId="1" text="Einnahmen">
      <formula>NOT(ISERROR(SEARCH("Einnahmen",C286)))</formula>
    </cfRule>
    <cfRule type="containsText" priority="6657" operator="containsText" dxfId="0" text="Ausgaben">
      <formula>NOT(ISERROR(SEARCH("Ausgaben",C286)))</formula>
    </cfRule>
  </conditionalFormatting>
  <conditionalFormatting sqref="J286">
    <cfRule type="cellIs" priority="6654" operator="equal" dxfId="2034">
      <formula>"ja"</formula>
    </cfRule>
  </conditionalFormatting>
  <conditionalFormatting sqref="T286">
    <cfRule type="expression" priority="6653" dxfId="2">
      <formula>AND(AND($W286&lt;TODAY(),$W286&lt;&gt;""),$X286="")</formula>
    </cfRule>
  </conditionalFormatting>
  <conditionalFormatting sqref="Z286">
    <cfRule type="dataBar" priority="6652">
      <dataBar>
        <cfvo type="min"/>
        <cfvo type="max"/>
        <color rgb="FF63C384"/>
      </dataBar>
    </cfRule>
    <cfRule type="dataBar" priority="6651">
      <dataBar>
        <cfvo type="min"/>
        <cfvo type="max"/>
        <color rgb="FF63C384"/>
      </dataBar>
    </cfRule>
  </conditionalFormatting>
  <conditionalFormatting sqref="C287">
    <cfRule type="containsText" priority="6649" operator="containsText" dxfId="1" text="Einnahmen">
      <formula>NOT(ISERROR(SEARCH("Einnahmen",C287)))</formula>
    </cfRule>
    <cfRule type="containsText" priority="6650" operator="containsText" dxfId="0" text="Ausgaben">
      <formula>NOT(ISERROR(SEARCH("Ausgaben",C287)))</formula>
    </cfRule>
  </conditionalFormatting>
  <conditionalFormatting sqref="J287">
    <cfRule type="cellIs" priority="6648" operator="equal" dxfId="2034">
      <formula>"ja"</formula>
    </cfRule>
  </conditionalFormatting>
  <conditionalFormatting sqref="T287">
    <cfRule type="expression" priority="6647" dxfId="2">
      <formula>AND(AND($W287&lt;TODAY(),$W287&lt;&gt;""),$X287="")</formula>
    </cfRule>
  </conditionalFormatting>
  <conditionalFormatting sqref="Z287">
    <cfRule type="dataBar" priority="6646">
      <dataBar>
        <cfvo type="min"/>
        <cfvo type="max"/>
        <color rgb="FF63C384"/>
      </dataBar>
    </cfRule>
    <cfRule type="dataBar" priority="6644">
      <dataBar>
        <cfvo type="min"/>
        <cfvo type="max"/>
        <color rgb="FF63C384"/>
      </dataBar>
    </cfRule>
  </conditionalFormatting>
  <conditionalFormatting sqref="C288">
    <cfRule type="containsText" priority="6642" operator="containsText" dxfId="1" text="Einnahmen">
      <formula>NOT(ISERROR(SEARCH("Einnahmen",C288)))</formula>
    </cfRule>
    <cfRule type="containsText" priority="6643" operator="containsText" dxfId="0" text="Ausgaben">
      <formula>NOT(ISERROR(SEARCH("Ausgaben",C288)))</formula>
    </cfRule>
  </conditionalFormatting>
  <conditionalFormatting sqref="J288">
    <cfRule type="cellIs" priority="6640" operator="equal" dxfId="2034">
      <formula>"ja"</formula>
    </cfRule>
  </conditionalFormatting>
  <conditionalFormatting sqref="T288">
    <cfRule type="expression" priority="6639" dxfId="2">
      <formula>AND(AND($W288&lt;TODAY(),$W288&lt;&gt;""),$X288="")</formula>
    </cfRule>
  </conditionalFormatting>
  <conditionalFormatting sqref="Z288">
    <cfRule type="dataBar" priority="6638">
      <dataBar>
        <cfvo type="min"/>
        <cfvo type="max"/>
        <color rgb="FF63C384"/>
      </dataBar>
    </cfRule>
    <cfRule type="dataBar" priority="6637">
      <dataBar>
        <cfvo type="min"/>
        <cfvo type="max"/>
        <color rgb="FF63C384"/>
      </dataBar>
    </cfRule>
  </conditionalFormatting>
  <conditionalFormatting sqref="J291">
    <cfRule type="cellIs" priority="6636" operator="equal" dxfId="2034">
      <formula>"ja"</formula>
    </cfRule>
  </conditionalFormatting>
  <conditionalFormatting sqref="T291">
    <cfRule type="expression" priority="6635" dxfId="2">
      <formula>AND(AND($W291&lt;TODAY(),$W291&lt;&gt;""),$X291="")</formula>
    </cfRule>
  </conditionalFormatting>
  <conditionalFormatting sqref="Z291">
    <cfRule type="dataBar" priority="6634">
      <dataBar>
        <cfvo type="min"/>
        <cfvo type="max"/>
        <color rgb="FF63C384"/>
      </dataBar>
    </cfRule>
    <cfRule type="dataBar" priority="6632">
      <dataBar>
        <cfvo type="min"/>
        <cfvo type="max"/>
        <color rgb="FF63C384"/>
      </dataBar>
    </cfRule>
  </conditionalFormatting>
  <conditionalFormatting sqref="J294">
    <cfRule type="cellIs" priority="6631" operator="equal" dxfId="2034">
      <formula>"ja"</formula>
    </cfRule>
  </conditionalFormatting>
  <conditionalFormatting sqref="T294">
    <cfRule type="expression" priority="6630" dxfId="2">
      <formula>AND(AND($W294&lt;TODAY(),$W294&lt;&gt;""),$X294="")</formula>
    </cfRule>
  </conditionalFormatting>
  <conditionalFormatting sqref="Z294">
    <cfRule type="dataBar" priority="6629">
      <dataBar>
        <cfvo type="min"/>
        <cfvo type="max"/>
        <color rgb="FF63C384"/>
      </dataBar>
    </cfRule>
    <cfRule type="dataBar" priority="6628">
      <dataBar>
        <cfvo type="min"/>
        <cfvo type="max"/>
        <color rgb="FF63C384"/>
      </dataBar>
    </cfRule>
  </conditionalFormatting>
  <conditionalFormatting sqref="J303">
    <cfRule type="cellIs" priority="6626" operator="equal" dxfId="2034">
      <formula>"ja"</formula>
    </cfRule>
  </conditionalFormatting>
  <conditionalFormatting sqref="T303">
    <cfRule type="expression" priority="6625" dxfId="2">
      <formula>AND(AND($W303&lt;TODAY(),$W303&lt;&gt;""),$X303="")</formula>
    </cfRule>
  </conditionalFormatting>
  <conditionalFormatting sqref="Z303">
    <cfRule type="dataBar" priority="6624">
      <dataBar>
        <cfvo type="min"/>
        <cfvo type="max"/>
        <color rgb="FF63C384"/>
      </dataBar>
    </cfRule>
    <cfRule type="dataBar" priority="6622">
      <dataBar>
        <cfvo type="min"/>
        <cfvo type="max"/>
        <color rgb="FF63C384"/>
      </dataBar>
    </cfRule>
  </conditionalFormatting>
  <conditionalFormatting sqref="J304">
    <cfRule type="cellIs" priority="6621" operator="equal" dxfId="2034">
      <formula>"ja"</formula>
    </cfRule>
  </conditionalFormatting>
  <conditionalFormatting sqref="T304">
    <cfRule type="expression" priority="6620" dxfId="2">
      <formula>AND(AND($W304&lt;TODAY(),$W304&lt;&gt;""),$X304="")</formula>
    </cfRule>
  </conditionalFormatting>
  <conditionalFormatting sqref="Z304">
    <cfRule type="dataBar" priority="6619">
      <dataBar>
        <cfvo type="min"/>
        <cfvo type="max"/>
        <color rgb="FF63C384"/>
      </dataBar>
    </cfRule>
    <cfRule type="dataBar" priority="6617">
      <dataBar>
        <cfvo type="min"/>
        <cfvo type="max"/>
        <color rgb="FF63C384"/>
      </dataBar>
    </cfRule>
  </conditionalFormatting>
  <conditionalFormatting sqref="J301">
    <cfRule type="cellIs" priority="6616" operator="equal" dxfId="2034">
      <formula>"ja"</formula>
    </cfRule>
  </conditionalFormatting>
  <conditionalFormatting sqref="Z301">
    <cfRule type="dataBar" priority="6614">
      <dataBar>
        <cfvo type="min"/>
        <cfvo type="max"/>
        <color rgb="FF63C384"/>
      </dataBar>
    </cfRule>
    <cfRule type="dataBar" priority="6612">
      <dataBar>
        <cfvo type="min"/>
        <cfvo type="max"/>
        <color rgb="FF63C384"/>
      </dataBar>
    </cfRule>
  </conditionalFormatting>
  <conditionalFormatting sqref="T302">
    <cfRule type="expression" priority="6611" dxfId="2">
      <formula>AND(AND($W302&lt;TODAY(),$W302&lt;&gt;""),$X302="")</formula>
    </cfRule>
  </conditionalFormatting>
  <conditionalFormatting sqref="J302">
    <cfRule type="cellIs" priority="6609" operator="equal" dxfId="2034">
      <formula>"ja"</formula>
    </cfRule>
    <cfRule type="cellIs" priority="6608" operator="equal" dxfId="2034">
      <formula>"ja"</formula>
    </cfRule>
  </conditionalFormatting>
  <conditionalFormatting sqref="Z302">
    <cfRule type="dataBar" priority="6607">
      <dataBar>
        <cfvo type="min"/>
        <cfvo type="max"/>
        <color rgb="FF63C384"/>
      </dataBar>
    </cfRule>
    <cfRule type="dataBar" priority="6605">
      <dataBar>
        <cfvo type="min"/>
        <cfvo type="max"/>
        <color rgb="FF63C384"/>
      </dataBar>
    </cfRule>
  </conditionalFormatting>
  <conditionalFormatting sqref="J305">
    <cfRule type="cellIs" priority="6604" operator="equal" dxfId="2034">
      <formula>"ja"</formula>
    </cfRule>
  </conditionalFormatting>
  <conditionalFormatting sqref="T305">
    <cfRule type="expression" priority="6603" dxfId="2">
      <formula>AND(AND($W305&lt;TODAY(),$W305&lt;&gt;""),$X305="")</formula>
    </cfRule>
  </conditionalFormatting>
  <conditionalFormatting sqref="Z305">
    <cfRule type="dataBar" priority="6602">
      <dataBar>
        <cfvo type="min"/>
        <cfvo type="max"/>
        <color rgb="FF63C384"/>
      </dataBar>
    </cfRule>
    <cfRule type="dataBar" priority="6600">
      <dataBar>
        <cfvo type="min"/>
        <cfvo type="max"/>
        <color rgb="FF63C384"/>
      </dataBar>
    </cfRule>
  </conditionalFormatting>
  <conditionalFormatting sqref="J306">
    <cfRule type="cellIs" priority="6599" operator="equal" dxfId="2034">
      <formula>"ja"</formula>
    </cfRule>
  </conditionalFormatting>
  <conditionalFormatting sqref="T306">
    <cfRule type="expression" priority="6598" dxfId="2">
      <formula>AND(AND($W306&lt;TODAY(),$W306&lt;&gt;""),$X306="")</formula>
    </cfRule>
  </conditionalFormatting>
  <conditionalFormatting sqref="Z306">
    <cfRule type="dataBar" priority="6597">
      <dataBar>
        <cfvo type="min"/>
        <cfvo type="max"/>
        <color rgb="FF63C384"/>
      </dataBar>
    </cfRule>
    <cfRule type="dataBar" priority="6595">
      <dataBar>
        <cfvo type="min"/>
        <cfvo type="max"/>
        <color rgb="FF63C384"/>
      </dataBar>
    </cfRule>
  </conditionalFormatting>
  <conditionalFormatting sqref="J307">
    <cfRule type="cellIs" priority="6594" operator="equal" dxfId="2034">
      <formula>"ja"</formula>
    </cfRule>
  </conditionalFormatting>
  <conditionalFormatting sqref="T307">
    <cfRule type="expression" priority="6593" dxfId="2">
      <formula>AND(AND($W307&lt;TODAY(),$W307&lt;&gt;""),$X307="")</formula>
    </cfRule>
  </conditionalFormatting>
  <conditionalFormatting sqref="Z307">
    <cfRule type="dataBar" priority="6592">
      <dataBar>
        <cfvo type="min"/>
        <cfvo type="max"/>
        <color rgb="FF63C384"/>
      </dataBar>
    </cfRule>
    <cfRule type="dataBar" priority="6590">
      <dataBar>
        <cfvo type="min"/>
        <cfvo type="max"/>
        <color rgb="FF63C384"/>
      </dataBar>
    </cfRule>
  </conditionalFormatting>
  <conditionalFormatting sqref="J308">
    <cfRule type="cellIs" priority="6588" operator="equal" dxfId="2034">
      <formula>"ja"</formula>
    </cfRule>
  </conditionalFormatting>
  <conditionalFormatting sqref="T308">
    <cfRule type="expression" priority="6587" dxfId="2">
      <formula>AND(AND($W308&lt;TODAY(),$W308&lt;&gt;""),$X308="")</formula>
    </cfRule>
  </conditionalFormatting>
  <conditionalFormatting sqref="Z308">
    <cfRule type="dataBar" priority="6586">
      <dataBar>
        <cfvo type="min"/>
        <cfvo type="max"/>
        <color rgb="FF63C384"/>
      </dataBar>
    </cfRule>
    <cfRule type="dataBar" priority="6585">
      <dataBar>
        <cfvo type="min"/>
        <cfvo type="max"/>
        <color rgb="FF63C384"/>
      </dataBar>
    </cfRule>
  </conditionalFormatting>
  <conditionalFormatting sqref="J309">
    <cfRule type="cellIs" priority="6583" operator="equal" dxfId="2034">
      <formula>"ja"</formula>
    </cfRule>
  </conditionalFormatting>
  <conditionalFormatting sqref="T309">
    <cfRule type="expression" priority="6582" dxfId="2">
      <formula>AND(AND($W309&lt;TODAY(),$W309&lt;&gt;""),$X309="")</formula>
    </cfRule>
  </conditionalFormatting>
  <conditionalFormatting sqref="Z309">
    <cfRule type="dataBar" priority="6581">
      <dataBar>
        <cfvo type="min"/>
        <cfvo type="max"/>
        <color rgb="FF63C384"/>
      </dataBar>
    </cfRule>
    <cfRule type="dataBar" priority="6580">
      <dataBar>
        <cfvo type="min"/>
        <cfvo type="max"/>
        <color rgb="FF63C384"/>
      </dataBar>
    </cfRule>
  </conditionalFormatting>
  <conditionalFormatting sqref="J310">
    <cfRule type="cellIs" priority="6579" operator="equal" dxfId="2034">
      <formula>"ja"</formula>
    </cfRule>
  </conditionalFormatting>
  <conditionalFormatting sqref="T310">
    <cfRule type="expression" priority="6578" dxfId="2">
      <formula>AND(AND($W310&lt;TODAY(),$W310&lt;&gt;""),$X310="")</formula>
    </cfRule>
  </conditionalFormatting>
  <conditionalFormatting sqref="Z310">
    <cfRule type="dataBar" priority="6577">
      <dataBar>
        <cfvo type="min"/>
        <cfvo type="max"/>
        <color rgb="FF63C384"/>
      </dataBar>
    </cfRule>
    <cfRule type="dataBar" priority="6575">
      <dataBar>
        <cfvo type="min"/>
        <cfvo type="max"/>
        <color rgb="FF63C384"/>
      </dataBar>
    </cfRule>
  </conditionalFormatting>
  <conditionalFormatting sqref="J311">
    <cfRule type="cellIs" priority="6574" operator="equal" dxfId="2034">
      <formula>"ja"</formula>
    </cfRule>
  </conditionalFormatting>
  <conditionalFormatting sqref="T311">
    <cfRule type="expression" priority="6573" dxfId="2">
      <formula>AND(AND($W311&lt;TODAY(),$W311&lt;&gt;""),$X311="")</formula>
    </cfRule>
  </conditionalFormatting>
  <conditionalFormatting sqref="Z311">
    <cfRule type="dataBar" priority="6572">
      <dataBar>
        <cfvo type="min"/>
        <cfvo type="max"/>
        <color rgb="FF63C384"/>
      </dataBar>
    </cfRule>
    <cfRule type="dataBar" priority="6570">
      <dataBar>
        <cfvo type="min"/>
        <cfvo type="max"/>
        <color rgb="FF63C384"/>
      </dataBar>
    </cfRule>
  </conditionalFormatting>
  <conditionalFormatting sqref="J312">
    <cfRule type="cellIs" priority="6568" operator="equal" dxfId="2034">
      <formula>"ja"</formula>
    </cfRule>
  </conditionalFormatting>
  <conditionalFormatting sqref="T312">
    <cfRule type="expression" priority="6567" dxfId="2">
      <formula>AND(AND($W312&lt;TODAY(),$W312&lt;&gt;""),$X312="")</formula>
    </cfRule>
  </conditionalFormatting>
  <conditionalFormatting sqref="Z312">
    <cfRule type="dataBar" priority="6566">
      <dataBar>
        <cfvo type="min"/>
        <cfvo type="max"/>
        <color rgb="FF63C384"/>
      </dataBar>
    </cfRule>
    <cfRule type="dataBar" priority="6565">
      <dataBar>
        <cfvo type="min"/>
        <cfvo type="max"/>
        <color rgb="FF63C384"/>
      </dataBar>
    </cfRule>
  </conditionalFormatting>
  <conditionalFormatting sqref="J313">
    <cfRule type="cellIs" priority="6564" operator="equal" dxfId="2034">
      <formula>"ja"</formula>
    </cfRule>
  </conditionalFormatting>
  <conditionalFormatting sqref="T313">
    <cfRule type="expression" priority="6563" dxfId="2">
      <formula>AND(AND($W313&lt;TODAY(),$W313&lt;&gt;""),$X313="")</formula>
    </cfRule>
  </conditionalFormatting>
  <conditionalFormatting sqref="Z313">
    <cfRule type="dataBar" priority="6562">
      <dataBar>
        <cfvo type="min"/>
        <cfvo type="max"/>
        <color rgb="FF63C384"/>
      </dataBar>
    </cfRule>
    <cfRule type="dataBar" priority="6560">
      <dataBar>
        <cfvo type="min"/>
        <cfvo type="max"/>
        <color rgb="FF63C384"/>
      </dataBar>
    </cfRule>
  </conditionalFormatting>
  <conditionalFormatting sqref="J314">
    <cfRule type="cellIs" priority="6559" operator="equal" dxfId="2034">
      <formula>"ja"</formula>
    </cfRule>
  </conditionalFormatting>
  <conditionalFormatting sqref="T314">
    <cfRule type="expression" priority="6558" dxfId="2">
      <formula>AND(AND($W314&lt;TODAY(),$W314&lt;&gt;""),$X314="")</formula>
    </cfRule>
  </conditionalFormatting>
  <conditionalFormatting sqref="Z314">
    <cfRule type="dataBar" priority="6557">
      <dataBar>
        <cfvo type="min"/>
        <cfvo type="max"/>
        <color rgb="FF63C384"/>
      </dataBar>
    </cfRule>
    <cfRule type="dataBar" priority="6555">
      <dataBar>
        <cfvo type="min"/>
        <cfvo type="max"/>
        <color rgb="FF63C384"/>
      </dataBar>
    </cfRule>
  </conditionalFormatting>
  <conditionalFormatting sqref="J315">
    <cfRule type="cellIs" priority="6553" operator="equal" dxfId="2034">
      <formula>"ja"</formula>
    </cfRule>
  </conditionalFormatting>
  <conditionalFormatting sqref="T315">
    <cfRule type="expression" priority="6552" dxfId="2">
      <formula>AND(AND($W315&lt;TODAY(),$W315&lt;&gt;""),$X315="")</formula>
    </cfRule>
  </conditionalFormatting>
  <conditionalFormatting sqref="Z315">
    <cfRule type="dataBar" priority="6551">
      <dataBar>
        <cfvo type="min"/>
        <cfvo type="max"/>
        <color rgb="FF63C384"/>
      </dataBar>
    </cfRule>
    <cfRule type="dataBar" priority="6550">
      <dataBar>
        <cfvo type="min"/>
        <cfvo type="max"/>
        <color rgb="FF63C384"/>
      </dataBar>
    </cfRule>
  </conditionalFormatting>
  <conditionalFormatting sqref="T316">
    <cfRule type="expression" priority="6548" dxfId="2">
      <formula>AND(AND($W316&lt;TODAY(),$W316&lt;&gt;""),$X316="")</formula>
    </cfRule>
  </conditionalFormatting>
  <conditionalFormatting sqref="J316">
    <cfRule type="cellIs" priority="6547" operator="equal" dxfId="2034">
      <formula>"ja"</formula>
    </cfRule>
  </conditionalFormatting>
  <conditionalFormatting sqref="Z316">
    <cfRule type="dataBar" priority="6546">
      <dataBar>
        <cfvo type="min"/>
        <cfvo type="max"/>
        <color rgb="FF63C384"/>
      </dataBar>
    </cfRule>
    <cfRule type="dataBar" priority="6545">
      <dataBar>
        <cfvo type="min"/>
        <cfvo type="max"/>
        <color rgb="FF63C384"/>
      </dataBar>
    </cfRule>
  </conditionalFormatting>
  <conditionalFormatting sqref="J317">
    <cfRule type="cellIs" priority="6543" operator="equal" dxfId="2034">
      <formula>"ja"</formula>
    </cfRule>
  </conditionalFormatting>
  <conditionalFormatting sqref="T317">
    <cfRule type="expression" priority="6542" dxfId="2">
      <formula>AND(AND($W317&lt;TODAY(),$W317&lt;&gt;""),$X317="")</formula>
    </cfRule>
  </conditionalFormatting>
  <conditionalFormatting sqref="Z317">
    <cfRule type="dataBar" priority="6541">
      <dataBar>
        <cfvo type="min"/>
        <cfvo type="max"/>
        <color rgb="FF63C384"/>
      </dataBar>
    </cfRule>
    <cfRule type="dataBar" priority="6540">
      <dataBar>
        <cfvo type="min"/>
        <cfvo type="max"/>
        <color rgb="FF63C384"/>
      </dataBar>
    </cfRule>
  </conditionalFormatting>
  <conditionalFormatting sqref="J318">
    <cfRule type="cellIs" priority="6539" operator="equal" dxfId="2034">
      <formula>"ja"</formula>
    </cfRule>
  </conditionalFormatting>
  <conditionalFormatting sqref="T318">
    <cfRule type="expression" priority="6538" dxfId="2">
      <formula>AND(AND($W318&lt;TODAY(),$W318&lt;&gt;""),$X318="")</formula>
    </cfRule>
  </conditionalFormatting>
  <conditionalFormatting sqref="Z318">
    <cfRule type="dataBar" priority="6537">
      <dataBar>
        <cfvo type="min"/>
        <cfvo type="max"/>
        <color rgb="FF63C384"/>
      </dataBar>
    </cfRule>
    <cfRule type="dataBar" priority="6535">
      <dataBar>
        <cfvo type="min"/>
        <cfvo type="max"/>
        <color rgb="FF63C384"/>
      </dataBar>
    </cfRule>
  </conditionalFormatting>
  <conditionalFormatting sqref="J319">
    <cfRule type="cellIs" priority="6534" operator="equal" dxfId="2034">
      <formula>"ja"</formula>
    </cfRule>
  </conditionalFormatting>
  <conditionalFormatting sqref="T319">
    <cfRule type="expression" priority="6533" dxfId="2">
      <formula>AND(AND($W319&lt;TODAY(),$W319&lt;&gt;""),$X319="")</formula>
    </cfRule>
  </conditionalFormatting>
  <conditionalFormatting sqref="Z319">
    <cfRule type="dataBar" priority="6532">
      <dataBar>
        <cfvo type="min"/>
        <cfvo type="max"/>
        <color rgb="FF63C384"/>
      </dataBar>
    </cfRule>
    <cfRule type="dataBar" priority="6530">
      <dataBar>
        <cfvo type="min"/>
        <cfvo type="max"/>
        <color rgb="FF63C384"/>
      </dataBar>
    </cfRule>
  </conditionalFormatting>
  <conditionalFormatting sqref="J320">
    <cfRule type="cellIs" priority="6529" operator="equal" dxfId="2034">
      <formula>"ja"</formula>
    </cfRule>
  </conditionalFormatting>
  <conditionalFormatting sqref="T320">
    <cfRule type="expression" priority="6528" dxfId="2">
      <formula>AND(AND($W320&lt;TODAY(),$W320&lt;&gt;""),$X320="")</formula>
    </cfRule>
  </conditionalFormatting>
  <conditionalFormatting sqref="Z320">
    <cfRule type="dataBar" priority="6527">
      <dataBar>
        <cfvo type="min"/>
        <cfvo type="max"/>
        <color rgb="FF63C384"/>
      </dataBar>
    </cfRule>
    <cfRule type="dataBar" priority="6525">
      <dataBar>
        <cfvo type="min"/>
        <cfvo type="max"/>
        <color rgb="FF63C384"/>
      </dataBar>
    </cfRule>
  </conditionalFormatting>
  <conditionalFormatting sqref="J321">
    <cfRule type="cellIs" priority="6523" operator="equal" dxfId="2034">
      <formula>"ja"</formula>
    </cfRule>
  </conditionalFormatting>
  <conditionalFormatting sqref="T321">
    <cfRule type="expression" priority="6522" dxfId="2">
      <formula>AND(AND($W321&lt;TODAY(),$W321&lt;&gt;""),$X321="")</formula>
    </cfRule>
  </conditionalFormatting>
  <conditionalFormatting sqref="Z321">
    <cfRule type="dataBar" priority="6521">
      <dataBar>
        <cfvo type="min"/>
        <cfvo type="max"/>
        <color rgb="FF63C384"/>
      </dataBar>
    </cfRule>
    <cfRule type="dataBar" priority="6520">
      <dataBar>
        <cfvo type="min"/>
        <cfvo type="max"/>
        <color rgb="FF63C384"/>
      </dataBar>
    </cfRule>
  </conditionalFormatting>
  <conditionalFormatting sqref="J322">
    <cfRule type="cellIs" priority="6518" operator="equal" dxfId="2034">
      <formula>"ja"</formula>
    </cfRule>
  </conditionalFormatting>
  <conditionalFormatting sqref="T322">
    <cfRule type="expression" priority="6517" dxfId="2">
      <formula>AND(AND($W322&lt;TODAY(),$W322&lt;&gt;""),$X322="")</formula>
    </cfRule>
  </conditionalFormatting>
  <conditionalFormatting sqref="Z322">
    <cfRule type="dataBar" priority="6516">
      <dataBar>
        <cfvo type="min"/>
        <cfvo type="max"/>
        <color rgb="FF63C384"/>
      </dataBar>
    </cfRule>
    <cfRule type="dataBar" priority="6515">
      <dataBar>
        <cfvo type="min"/>
        <cfvo type="max"/>
        <color rgb="FF63C384"/>
      </dataBar>
    </cfRule>
  </conditionalFormatting>
  <conditionalFormatting sqref="J323">
    <cfRule type="cellIs" priority="6513" operator="equal" dxfId="2034">
      <formula>"ja"</formula>
    </cfRule>
  </conditionalFormatting>
  <conditionalFormatting sqref="T323:T324">
    <cfRule type="expression" priority="6512" dxfId="2">
      <formula>AND(AND($W323&lt;TODAY(),$W323&lt;&gt;""),$X323="")</formula>
    </cfRule>
  </conditionalFormatting>
  <conditionalFormatting sqref="Z323:Z324">
    <cfRule type="dataBar" priority="6511">
      <dataBar>
        <cfvo type="min"/>
        <cfvo type="max"/>
        <color rgb="FF63C384"/>
      </dataBar>
    </cfRule>
    <cfRule type="dataBar" priority="6510">
      <dataBar>
        <cfvo type="min"/>
        <cfvo type="max"/>
        <color rgb="FF63C384"/>
      </dataBar>
    </cfRule>
  </conditionalFormatting>
  <conditionalFormatting sqref="J325">
    <cfRule type="cellIs" priority="6508" operator="equal" dxfId="2034">
      <formula>"ja"</formula>
    </cfRule>
  </conditionalFormatting>
  <conditionalFormatting sqref="T325">
    <cfRule type="expression" priority="6507" dxfId="2">
      <formula>AND(AND($W325&lt;TODAY(),$W325&lt;&gt;""),$X325="")</formula>
    </cfRule>
  </conditionalFormatting>
  <conditionalFormatting sqref="Z325">
    <cfRule type="dataBar" priority="6506">
      <dataBar>
        <cfvo type="min"/>
        <cfvo type="max"/>
        <color rgb="FF63C384"/>
      </dataBar>
    </cfRule>
    <cfRule type="dataBar" priority="6505">
      <dataBar>
        <cfvo type="min"/>
        <cfvo type="max"/>
        <color rgb="FF63C384"/>
      </dataBar>
    </cfRule>
  </conditionalFormatting>
  <conditionalFormatting sqref="C326">
    <cfRule type="containsText" priority="6503" operator="containsText" dxfId="1" text="Einnahmen">
      <formula>NOT(ISERROR(SEARCH("Einnahmen",C326)))</formula>
    </cfRule>
    <cfRule type="containsText" priority="6504" operator="containsText" dxfId="0" text="Ausgaben">
      <formula>NOT(ISERROR(SEARCH("Ausgaben",C326)))</formula>
    </cfRule>
  </conditionalFormatting>
  <conditionalFormatting sqref="J326">
    <cfRule type="cellIs" priority="6501" operator="equal" dxfId="2034">
      <formula>"ja"</formula>
    </cfRule>
  </conditionalFormatting>
  <conditionalFormatting sqref="T326">
    <cfRule type="expression" priority="6500" dxfId="2">
      <formula>AND(AND($W326&lt;TODAY(),$W326&lt;&gt;""),$X326="")</formula>
    </cfRule>
  </conditionalFormatting>
  <conditionalFormatting sqref="Z326">
    <cfRule type="dataBar" priority="6499">
      <dataBar>
        <cfvo type="min"/>
        <cfvo type="max"/>
        <color rgb="FF63C384"/>
      </dataBar>
    </cfRule>
    <cfRule type="dataBar" priority="6498">
      <dataBar>
        <cfvo type="min"/>
        <cfvo type="max"/>
        <color rgb="FF63C384"/>
      </dataBar>
    </cfRule>
  </conditionalFormatting>
  <conditionalFormatting sqref="T327">
    <cfRule type="expression" priority="6496" dxfId="2">
      <formula>AND(AND($W327&lt;TODAY(),$W327&lt;&gt;""),$X327="")</formula>
    </cfRule>
  </conditionalFormatting>
  <conditionalFormatting sqref="J327">
    <cfRule type="cellIs" priority="6495" operator="equal" dxfId="2034">
      <formula>"ja"</formula>
    </cfRule>
  </conditionalFormatting>
  <conditionalFormatting sqref="Z327">
    <cfRule type="dataBar" priority="6494">
      <dataBar>
        <cfvo type="min"/>
        <cfvo type="max"/>
        <color rgb="FF63C384"/>
      </dataBar>
    </cfRule>
    <cfRule type="dataBar" priority="6493">
      <dataBar>
        <cfvo type="min"/>
        <cfvo type="max"/>
        <color rgb="FF63C384"/>
      </dataBar>
    </cfRule>
  </conditionalFormatting>
  <conditionalFormatting sqref="T328">
    <cfRule type="expression" priority="6492" dxfId="2">
      <formula>AND(AND($W328&lt;TODAY(),$W328&lt;&gt;""),$X328="")</formula>
    </cfRule>
  </conditionalFormatting>
  <conditionalFormatting sqref="Z328">
    <cfRule type="dataBar" priority="6491">
      <dataBar>
        <cfvo type="min"/>
        <cfvo type="max"/>
        <color rgb="FF63C384"/>
      </dataBar>
    </cfRule>
    <cfRule type="dataBar" priority="6490">
      <dataBar>
        <cfvo type="min"/>
        <cfvo type="max"/>
        <color rgb="FF63C384"/>
      </dataBar>
    </cfRule>
  </conditionalFormatting>
  <conditionalFormatting sqref="J329">
    <cfRule type="cellIs" priority="6489" operator="equal" dxfId="2034">
      <formula>"ja"</formula>
    </cfRule>
  </conditionalFormatting>
  <conditionalFormatting sqref="T329">
    <cfRule type="expression" priority="6488" dxfId="2">
      <formula>AND(AND($W329&lt;TODAY(),$W329&lt;&gt;""),$X329="")</formula>
    </cfRule>
  </conditionalFormatting>
  <conditionalFormatting sqref="Z329">
    <cfRule type="dataBar" priority="6487">
      <dataBar>
        <cfvo type="min"/>
        <cfvo type="max"/>
        <color rgb="FF63C384"/>
      </dataBar>
    </cfRule>
    <cfRule type="dataBar" priority="6485">
      <dataBar>
        <cfvo type="min"/>
        <cfvo type="max"/>
        <color rgb="FF63C384"/>
      </dataBar>
    </cfRule>
  </conditionalFormatting>
  <conditionalFormatting sqref="J330">
    <cfRule type="cellIs" priority="6484" operator="equal" dxfId="2034">
      <formula>"ja"</formula>
    </cfRule>
  </conditionalFormatting>
  <conditionalFormatting sqref="T330">
    <cfRule type="expression" priority="6483" dxfId="2">
      <formula>AND(AND($W330&lt;TODAY(),$W330&lt;&gt;""),$X330="")</formula>
    </cfRule>
  </conditionalFormatting>
  <conditionalFormatting sqref="Z330">
    <cfRule type="dataBar" priority="6482">
      <dataBar>
        <cfvo type="min"/>
        <cfvo type="max"/>
        <color rgb="FF63C384"/>
      </dataBar>
    </cfRule>
    <cfRule type="dataBar" priority="6480">
      <dataBar>
        <cfvo type="min"/>
        <cfvo type="max"/>
        <color rgb="FF63C384"/>
      </dataBar>
    </cfRule>
  </conditionalFormatting>
  <conditionalFormatting sqref="J331">
    <cfRule type="cellIs" priority="6478" operator="equal" dxfId="2034">
      <formula>"ja"</formula>
    </cfRule>
  </conditionalFormatting>
  <conditionalFormatting sqref="T331">
    <cfRule type="expression" priority="6477" dxfId="2">
      <formula>AND(AND($W331&lt;TODAY(),$W331&lt;&gt;""),$X331="")</formula>
    </cfRule>
  </conditionalFormatting>
  <conditionalFormatting sqref="Z331">
    <cfRule type="dataBar" priority="6476">
      <dataBar>
        <cfvo type="min"/>
        <cfvo type="max"/>
        <color rgb="FF63C384"/>
      </dataBar>
    </cfRule>
    <cfRule type="dataBar" priority="6475">
      <dataBar>
        <cfvo type="min"/>
        <cfvo type="max"/>
        <color rgb="FF63C384"/>
      </dataBar>
    </cfRule>
  </conditionalFormatting>
  <conditionalFormatting sqref="T332">
    <cfRule type="expression" priority="6473" dxfId="2">
      <formula>AND(AND($W332&lt;TODAY(),$W332&lt;&gt;""),$X332="")</formula>
    </cfRule>
  </conditionalFormatting>
  <conditionalFormatting sqref="J332">
    <cfRule type="cellIs" priority="6472" operator="equal" dxfId="2034">
      <formula>"ja"</formula>
    </cfRule>
  </conditionalFormatting>
  <conditionalFormatting sqref="Z332">
    <cfRule type="dataBar" priority="6471">
      <dataBar>
        <cfvo type="min"/>
        <cfvo type="max"/>
        <color rgb="FF63C384"/>
      </dataBar>
    </cfRule>
    <cfRule type="dataBar" priority="6470">
      <dataBar>
        <cfvo type="min"/>
        <cfvo type="max"/>
        <color rgb="FF63C384"/>
      </dataBar>
    </cfRule>
  </conditionalFormatting>
  <conditionalFormatting sqref="T333">
    <cfRule type="expression" priority="6469" dxfId="2">
      <formula>AND(AND($W333&lt;TODAY(),$W333&lt;&gt;""),$X333="")</formula>
    </cfRule>
  </conditionalFormatting>
  <conditionalFormatting sqref="Z333">
    <cfRule type="dataBar" priority="6468">
      <dataBar>
        <cfvo type="min"/>
        <cfvo type="max"/>
        <color rgb="FF63C384"/>
      </dataBar>
    </cfRule>
    <cfRule type="dataBar" priority="6467">
      <dataBar>
        <cfvo type="min"/>
        <cfvo type="max"/>
        <color rgb="FF63C384"/>
      </dataBar>
    </cfRule>
  </conditionalFormatting>
  <conditionalFormatting sqref="J334">
    <cfRule type="cellIs" priority="6465" operator="equal" dxfId="2034">
      <formula>"ja"</formula>
    </cfRule>
  </conditionalFormatting>
  <conditionalFormatting sqref="T334">
    <cfRule type="expression" priority="6464" dxfId="2">
      <formula>AND(AND($W334&lt;TODAY(),$W334&lt;&gt;""),$X334="")</formula>
    </cfRule>
  </conditionalFormatting>
  <conditionalFormatting sqref="Z334">
    <cfRule type="dataBar" priority="6463">
      <dataBar>
        <cfvo type="min"/>
        <cfvo type="max"/>
        <color rgb="FF63C384"/>
      </dataBar>
    </cfRule>
    <cfRule type="dataBar" priority="6462">
      <dataBar>
        <cfvo type="min"/>
        <cfvo type="max"/>
        <color rgb="FF63C384"/>
      </dataBar>
    </cfRule>
  </conditionalFormatting>
  <conditionalFormatting sqref="J335">
    <cfRule type="cellIs" priority="6460" operator="equal" dxfId="2034">
      <formula>"ja"</formula>
    </cfRule>
  </conditionalFormatting>
  <conditionalFormatting sqref="T335">
    <cfRule type="expression" priority="6459" dxfId="2">
      <formula>AND(AND($W335&lt;TODAY(),$W335&lt;&gt;""),$X335="")</formula>
    </cfRule>
  </conditionalFormatting>
  <conditionalFormatting sqref="Z335">
    <cfRule type="dataBar" priority="6458">
      <dataBar>
        <cfvo type="min"/>
        <cfvo type="max"/>
        <color rgb="FF63C384"/>
      </dataBar>
    </cfRule>
    <cfRule type="dataBar" priority="6457">
      <dataBar>
        <cfvo type="min"/>
        <cfvo type="max"/>
        <color rgb="FF63C384"/>
      </dataBar>
    </cfRule>
  </conditionalFormatting>
  <conditionalFormatting sqref="T336">
    <cfRule type="expression" priority="6455" dxfId="2">
      <formula>AND(AND($W336&lt;TODAY(),$W336&lt;&gt;""),$X336="")</formula>
    </cfRule>
  </conditionalFormatting>
  <conditionalFormatting sqref="Z336">
    <cfRule type="dataBar" priority="6454">
      <dataBar>
        <cfvo type="min"/>
        <cfvo type="max"/>
        <color rgb="FF63C384"/>
      </dataBar>
    </cfRule>
    <cfRule type="dataBar" priority="6453">
      <dataBar>
        <cfvo type="min"/>
        <cfvo type="max"/>
        <color rgb="FF63C384"/>
      </dataBar>
    </cfRule>
  </conditionalFormatting>
  <conditionalFormatting sqref="J336">
    <cfRule type="cellIs" priority="6452" operator="equal" dxfId="2034">
      <formula>"ja"</formula>
    </cfRule>
  </conditionalFormatting>
  <conditionalFormatting sqref="C337">
    <cfRule type="containsText" priority="6450" operator="containsText" dxfId="1" text="Einnahmen">
      <formula>NOT(ISERROR(SEARCH("Einnahmen",C337)))</formula>
    </cfRule>
    <cfRule type="containsText" priority="6451" operator="containsText" dxfId="0" text="Ausgaben">
      <formula>NOT(ISERROR(SEARCH("Ausgaben",C337)))</formula>
    </cfRule>
  </conditionalFormatting>
  <conditionalFormatting sqref="J337">
    <cfRule type="cellIs" priority="6448" operator="equal" dxfId="2034">
      <formula>"ja"</formula>
    </cfRule>
  </conditionalFormatting>
  <conditionalFormatting sqref="T337">
    <cfRule type="expression" priority="6447" dxfId="2">
      <formula>AND(AND($W337&lt;TODAY(),$W337&lt;&gt;""),$X337="")</formula>
    </cfRule>
  </conditionalFormatting>
  <conditionalFormatting sqref="Z337">
    <cfRule type="dataBar" priority="6446">
      <dataBar>
        <cfvo type="min"/>
        <cfvo type="max"/>
        <color rgb="FF63C384"/>
      </dataBar>
    </cfRule>
    <cfRule type="dataBar" priority="6445">
      <dataBar>
        <cfvo type="min"/>
        <cfvo type="max"/>
        <color rgb="FF63C384"/>
      </dataBar>
    </cfRule>
  </conditionalFormatting>
  <conditionalFormatting sqref="C338">
    <cfRule type="containsText" priority="6443" operator="containsText" dxfId="1" text="Einnahmen">
      <formula>NOT(ISERROR(SEARCH("Einnahmen",C338)))</formula>
    </cfRule>
    <cfRule type="containsText" priority="6444" operator="containsText" dxfId="0" text="Ausgaben">
      <formula>NOT(ISERROR(SEARCH("Ausgaben",C338)))</formula>
    </cfRule>
  </conditionalFormatting>
  <conditionalFormatting sqref="J338">
    <cfRule type="cellIs" priority="6441" operator="equal" dxfId="2034">
      <formula>"ja"</formula>
    </cfRule>
  </conditionalFormatting>
  <conditionalFormatting sqref="T338">
    <cfRule type="expression" priority="6440" dxfId="2">
      <formula>AND(AND($W338&lt;TODAY(),$W338&lt;&gt;""),$X338="")</formula>
    </cfRule>
  </conditionalFormatting>
  <conditionalFormatting sqref="Z338">
    <cfRule type="dataBar" priority="6439">
      <dataBar>
        <cfvo type="min"/>
        <cfvo type="max"/>
        <color rgb="FF63C384"/>
      </dataBar>
    </cfRule>
    <cfRule type="dataBar" priority="6438">
      <dataBar>
        <cfvo type="min"/>
        <cfvo type="max"/>
        <color rgb="FF63C384"/>
      </dataBar>
    </cfRule>
  </conditionalFormatting>
  <conditionalFormatting sqref="J339">
    <cfRule type="cellIs" priority="6436" operator="equal" dxfId="2034">
      <formula>"ja"</formula>
    </cfRule>
  </conditionalFormatting>
  <conditionalFormatting sqref="T339">
    <cfRule type="expression" priority="6435" dxfId="2">
      <formula>AND(AND($W339&lt;TODAY(),$W339&lt;&gt;""),$X339="")</formula>
    </cfRule>
  </conditionalFormatting>
  <conditionalFormatting sqref="Z339">
    <cfRule type="dataBar" priority="6434">
      <dataBar>
        <cfvo type="min"/>
        <cfvo type="max"/>
        <color rgb="FF63C384"/>
      </dataBar>
    </cfRule>
    <cfRule type="dataBar" priority="6433">
      <dataBar>
        <cfvo type="min"/>
        <cfvo type="max"/>
        <color rgb="FF63C384"/>
      </dataBar>
    </cfRule>
  </conditionalFormatting>
  <conditionalFormatting sqref="J340">
    <cfRule type="cellIs" priority="6431" operator="equal" dxfId="2034">
      <formula>"ja"</formula>
    </cfRule>
  </conditionalFormatting>
  <conditionalFormatting sqref="T340">
    <cfRule type="expression" priority="6430" dxfId="2">
      <formula>AND(AND($W340&lt;TODAY(),$W340&lt;&gt;""),$X340="")</formula>
    </cfRule>
  </conditionalFormatting>
  <conditionalFormatting sqref="Z340">
    <cfRule type="dataBar" priority="6429">
      <dataBar>
        <cfvo type="min"/>
        <cfvo type="max"/>
        <color rgb="FF63C384"/>
      </dataBar>
    </cfRule>
    <cfRule type="dataBar" priority="6428">
      <dataBar>
        <cfvo type="min"/>
        <cfvo type="max"/>
        <color rgb="FF63C384"/>
      </dataBar>
    </cfRule>
  </conditionalFormatting>
  <conditionalFormatting sqref="T341">
    <cfRule type="expression" priority="6424" dxfId="2">
      <formula>AND(AND($W341&lt;TODAY(),$W341&lt;&gt;""),$X341="")</formula>
    </cfRule>
  </conditionalFormatting>
  <conditionalFormatting sqref="Z341">
    <cfRule type="dataBar" priority="6423">
      <dataBar>
        <cfvo type="min"/>
        <cfvo type="max"/>
        <color rgb="FF63C384"/>
      </dataBar>
    </cfRule>
    <cfRule type="dataBar" priority="6422">
      <dataBar>
        <cfvo type="min"/>
        <cfvo type="max"/>
        <color rgb="FF63C384"/>
      </dataBar>
    </cfRule>
  </conditionalFormatting>
  <conditionalFormatting sqref="T342">
    <cfRule type="expression" priority="6420" dxfId="2">
      <formula>AND(AND($W342&lt;TODAY(),$W342&lt;&gt;""),$X342="")</formula>
    </cfRule>
  </conditionalFormatting>
  <conditionalFormatting sqref="J342">
    <cfRule type="cellIs" priority="6419" operator="equal" dxfId="2034">
      <formula>"ja"</formula>
    </cfRule>
  </conditionalFormatting>
  <conditionalFormatting sqref="Z342">
    <cfRule type="dataBar" priority="6418">
      <dataBar>
        <cfvo type="min"/>
        <cfvo type="max"/>
        <color rgb="FF63C384"/>
      </dataBar>
    </cfRule>
    <cfRule type="dataBar" priority="6417">
      <dataBar>
        <cfvo type="min"/>
        <cfvo type="max"/>
        <color rgb="FF63C384"/>
      </dataBar>
    </cfRule>
  </conditionalFormatting>
  <conditionalFormatting sqref="J343">
    <cfRule type="cellIs" priority="6416" operator="equal" dxfId="2034">
      <formula>"ja"</formula>
    </cfRule>
  </conditionalFormatting>
  <conditionalFormatting sqref="T343">
    <cfRule type="expression" priority="6415" dxfId="2">
      <formula>AND(AND($W343&lt;TODAY(),$W343&lt;&gt;""),$X343="")</formula>
    </cfRule>
  </conditionalFormatting>
  <conditionalFormatting sqref="Z343">
    <cfRule type="dataBar" priority="6414">
      <dataBar>
        <cfvo type="min"/>
        <cfvo type="max"/>
        <color rgb="FF63C384"/>
      </dataBar>
    </cfRule>
    <cfRule type="dataBar" priority="6413">
      <dataBar>
        <cfvo type="min"/>
        <cfvo type="max"/>
        <color rgb="FF63C384"/>
      </dataBar>
    </cfRule>
  </conditionalFormatting>
  <conditionalFormatting sqref="C344">
    <cfRule type="containsText" priority="6411" operator="containsText" dxfId="1" text="Einnahmen">
      <formula>NOT(ISERROR(SEARCH("Einnahmen",C344)))</formula>
    </cfRule>
    <cfRule type="containsText" priority="6412" operator="containsText" dxfId="0" text="Ausgaben">
      <formula>NOT(ISERROR(SEARCH("Ausgaben",C344)))</formula>
    </cfRule>
  </conditionalFormatting>
  <conditionalFormatting sqref="J344">
    <cfRule type="cellIs" priority="6409" operator="equal" dxfId="2034">
      <formula>"ja"</formula>
    </cfRule>
  </conditionalFormatting>
  <conditionalFormatting sqref="T344">
    <cfRule type="expression" priority="6408" dxfId="2">
      <formula>AND(AND($W344&lt;TODAY(),$W344&lt;&gt;""),$X344="")</formula>
    </cfRule>
  </conditionalFormatting>
  <conditionalFormatting sqref="Z344">
    <cfRule type="dataBar" priority="6407">
      <dataBar>
        <cfvo type="min"/>
        <cfvo type="max"/>
        <color rgb="FF63C384"/>
      </dataBar>
    </cfRule>
    <cfRule type="dataBar" priority="6406">
      <dataBar>
        <cfvo type="min"/>
        <cfvo type="max"/>
        <color rgb="FF63C384"/>
      </dataBar>
    </cfRule>
  </conditionalFormatting>
  <conditionalFormatting sqref="C345">
    <cfRule type="containsText" priority="6404" operator="containsText" dxfId="1" text="Einnahmen">
      <formula>NOT(ISERROR(SEARCH("Einnahmen",C345)))</formula>
    </cfRule>
    <cfRule type="containsText" priority="6405" operator="containsText" dxfId="0" text="Ausgaben">
      <formula>NOT(ISERROR(SEARCH("Ausgaben",C345)))</formula>
    </cfRule>
  </conditionalFormatting>
  <conditionalFormatting sqref="J345">
    <cfRule type="cellIs" priority="6402" operator="equal" dxfId="2034">
      <formula>"ja"</formula>
    </cfRule>
  </conditionalFormatting>
  <conditionalFormatting sqref="T345">
    <cfRule type="expression" priority="6401" dxfId="2">
      <formula>AND(AND($W345&lt;TODAY(),$W345&lt;&gt;""),$X345="")</formula>
    </cfRule>
  </conditionalFormatting>
  <conditionalFormatting sqref="Z345">
    <cfRule type="dataBar" priority="6400">
      <dataBar>
        <cfvo type="min"/>
        <cfvo type="max"/>
        <color rgb="FF63C384"/>
      </dataBar>
    </cfRule>
    <cfRule type="dataBar" priority="6399">
      <dataBar>
        <cfvo type="min"/>
        <cfvo type="max"/>
        <color rgb="FF63C384"/>
      </dataBar>
    </cfRule>
  </conditionalFormatting>
  <conditionalFormatting sqref="C346">
    <cfRule type="containsText" priority="6397" operator="containsText" dxfId="1" text="Einnahmen">
      <formula>NOT(ISERROR(SEARCH("Einnahmen",C346)))</formula>
    </cfRule>
    <cfRule type="containsText" priority="6398" operator="containsText" dxfId="0" text="Ausgaben">
      <formula>NOT(ISERROR(SEARCH("Ausgaben",C346)))</formula>
    </cfRule>
  </conditionalFormatting>
  <conditionalFormatting sqref="J346">
    <cfRule type="cellIs" priority="6395" operator="equal" dxfId="2034">
      <formula>"ja"</formula>
    </cfRule>
  </conditionalFormatting>
  <conditionalFormatting sqref="T346">
    <cfRule type="expression" priority="6394" dxfId="2">
      <formula>AND(AND($W346&lt;TODAY(),$W346&lt;&gt;""),$X346="")</formula>
    </cfRule>
  </conditionalFormatting>
  <conditionalFormatting sqref="Z346">
    <cfRule type="dataBar" priority="6393">
      <dataBar>
        <cfvo type="min"/>
        <cfvo type="max"/>
        <color rgb="FF63C384"/>
      </dataBar>
    </cfRule>
    <cfRule type="dataBar" priority="6392">
      <dataBar>
        <cfvo type="min"/>
        <cfvo type="max"/>
        <color rgb="FF63C384"/>
      </dataBar>
    </cfRule>
  </conditionalFormatting>
  <conditionalFormatting sqref="C347">
    <cfRule type="containsText" priority="6390" operator="containsText" dxfId="1" text="Einnahmen">
      <formula>NOT(ISERROR(SEARCH("Einnahmen",C347)))</formula>
    </cfRule>
    <cfRule type="containsText" priority="6391" operator="containsText" dxfId="0" text="Ausgaben">
      <formula>NOT(ISERROR(SEARCH("Ausgaben",C347)))</formula>
    </cfRule>
  </conditionalFormatting>
  <conditionalFormatting sqref="J347">
    <cfRule type="cellIs" priority="6389" operator="equal" dxfId="2034">
      <formula>"ja"</formula>
    </cfRule>
  </conditionalFormatting>
  <conditionalFormatting sqref="T347">
    <cfRule type="expression" priority="6388" dxfId="2">
      <formula>AND(AND($W347&lt;TODAY(),$W347&lt;&gt;""),$X347="")</formula>
    </cfRule>
  </conditionalFormatting>
  <conditionalFormatting sqref="Z347">
    <cfRule type="dataBar" priority="6387">
      <dataBar>
        <cfvo type="min"/>
        <cfvo type="max"/>
        <color rgb="FF63C384"/>
      </dataBar>
    </cfRule>
    <cfRule type="dataBar" priority="6386">
      <dataBar>
        <cfvo type="min"/>
        <cfvo type="max"/>
        <color rgb="FF63C384"/>
      </dataBar>
    </cfRule>
  </conditionalFormatting>
  <conditionalFormatting sqref="T348">
    <cfRule type="expression" priority="6384" dxfId="2">
      <formula>AND(AND($W348&lt;TODAY(),$W348&lt;&gt;""),$X348="")</formula>
    </cfRule>
  </conditionalFormatting>
  <conditionalFormatting sqref="J348">
    <cfRule type="cellIs" priority="6383" operator="equal" dxfId="2034">
      <formula>"ja"</formula>
    </cfRule>
  </conditionalFormatting>
  <conditionalFormatting sqref="Z348">
    <cfRule type="dataBar" priority="6382">
      <dataBar>
        <cfvo type="min"/>
        <cfvo type="max"/>
        <color rgb="FF63C384"/>
      </dataBar>
    </cfRule>
    <cfRule type="dataBar" priority="6381">
      <dataBar>
        <cfvo type="min"/>
        <cfvo type="max"/>
        <color rgb="FF63C384"/>
      </dataBar>
    </cfRule>
  </conditionalFormatting>
  <conditionalFormatting sqref="T349">
    <cfRule type="expression" priority="6380" dxfId="2">
      <formula>AND(AND($W349&lt;TODAY(),$W349&lt;&gt;""),$X349="")</formula>
    </cfRule>
  </conditionalFormatting>
  <conditionalFormatting sqref="J349">
    <cfRule type="cellIs" priority="6379" operator="equal" dxfId="2034">
      <formula>"ja"</formula>
    </cfRule>
  </conditionalFormatting>
  <conditionalFormatting sqref="Z349">
    <cfRule type="dataBar" priority="6378">
      <dataBar>
        <cfvo type="min"/>
        <cfvo type="max"/>
        <color rgb="FF63C384"/>
      </dataBar>
    </cfRule>
    <cfRule type="dataBar" priority="6377">
      <dataBar>
        <cfvo type="min"/>
        <cfvo type="max"/>
        <color rgb="FF63C384"/>
      </dataBar>
    </cfRule>
  </conditionalFormatting>
  <conditionalFormatting sqref="J350">
    <cfRule type="cellIs" priority="6375" operator="equal" dxfId="2034">
      <formula>"ja"</formula>
    </cfRule>
  </conditionalFormatting>
  <conditionalFormatting sqref="T350">
    <cfRule type="expression" priority="6374" dxfId="2">
      <formula>AND(AND($W350&lt;TODAY(),$W350&lt;&gt;""),$X350="")</formula>
    </cfRule>
  </conditionalFormatting>
  <conditionalFormatting sqref="Z350">
    <cfRule type="dataBar" priority="6373">
      <dataBar>
        <cfvo type="min"/>
        <cfvo type="max"/>
        <color rgb="FF63C384"/>
      </dataBar>
    </cfRule>
    <cfRule type="dataBar" priority="6372">
      <dataBar>
        <cfvo type="min"/>
        <cfvo type="max"/>
        <color rgb="FF63C384"/>
      </dataBar>
    </cfRule>
  </conditionalFormatting>
  <conditionalFormatting sqref="J351">
    <cfRule type="cellIs" priority="6370" operator="equal" dxfId="2034">
      <formula>"ja"</formula>
    </cfRule>
  </conditionalFormatting>
  <conditionalFormatting sqref="T351">
    <cfRule type="expression" priority="6369" dxfId="2">
      <formula>AND(AND($W351&lt;TODAY(),$W351&lt;&gt;""),$X351="")</formula>
    </cfRule>
  </conditionalFormatting>
  <conditionalFormatting sqref="Z351">
    <cfRule type="dataBar" priority="6368">
      <dataBar>
        <cfvo type="min"/>
        <cfvo type="max"/>
        <color rgb="FF63C384"/>
      </dataBar>
    </cfRule>
    <cfRule type="dataBar" priority="6367">
      <dataBar>
        <cfvo type="min"/>
        <cfvo type="max"/>
        <color rgb="FF63C384"/>
      </dataBar>
    </cfRule>
  </conditionalFormatting>
  <conditionalFormatting sqref="C352">
    <cfRule type="containsText" priority="6360" operator="containsText" dxfId="1" text="Einnahmen">
      <formula>NOT(ISERROR(SEARCH("Einnahmen",C352)))</formula>
    </cfRule>
    <cfRule type="containsText" priority="6361" operator="containsText" dxfId="0" text="Ausgaben">
      <formula>NOT(ISERROR(SEARCH("Ausgaben",C352)))</formula>
    </cfRule>
  </conditionalFormatting>
  <conditionalFormatting sqref="J352">
    <cfRule type="cellIs" priority="6359" operator="equal" dxfId="2034">
      <formula>"ja"</formula>
    </cfRule>
  </conditionalFormatting>
  <conditionalFormatting sqref="T352">
    <cfRule type="expression" priority="6358" dxfId="2">
      <formula>AND(AND($W352&lt;TODAY(),$W352&lt;&gt;""),$X352="")</formula>
    </cfRule>
  </conditionalFormatting>
  <conditionalFormatting sqref="Z352">
    <cfRule type="dataBar" priority="6357">
      <dataBar>
        <cfvo type="min"/>
        <cfvo type="max"/>
        <color rgb="FF63C384"/>
      </dataBar>
    </cfRule>
    <cfRule type="dataBar" priority="6356">
      <dataBar>
        <cfvo type="min"/>
        <cfvo type="max"/>
        <color rgb="FF63C384"/>
      </dataBar>
    </cfRule>
  </conditionalFormatting>
  <conditionalFormatting sqref="J353">
    <cfRule type="cellIs" priority="6354" operator="equal" dxfId="2034">
      <formula>"ja"</formula>
    </cfRule>
  </conditionalFormatting>
  <conditionalFormatting sqref="T353">
    <cfRule type="expression" priority="6353" dxfId="2">
      <formula>AND(AND($W353&lt;TODAY(),$W353&lt;&gt;""),$X353="")</formula>
    </cfRule>
  </conditionalFormatting>
  <conditionalFormatting sqref="Z353">
    <cfRule type="dataBar" priority="6352">
      <dataBar>
        <cfvo type="min"/>
        <cfvo type="max"/>
        <color rgb="FF63C384"/>
      </dataBar>
    </cfRule>
    <cfRule type="dataBar" priority="6351">
      <dataBar>
        <cfvo type="min"/>
        <cfvo type="max"/>
        <color rgb="FF63C384"/>
      </dataBar>
    </cfRule>
  </conditionalFormatting>
  <conditionalFormatting sqref="J354">
    <cfRule type="cellIs" priority="6349" operator="equal" dxfId="2034">
      <formula>"ja"</formula>
    </cfRule>
  </conditionalFormatting>
  <conditionalFormatting sqref="T354">
    <cfRule type="expression" priority="6348" dxfId="2">
      <formula>AND(AND($W354&lt;TODAY(),$W354&lt;&gt;""),$X354="")</formula>
    </cfRule>
  </conditionalFormatting>
  <conditionalFormatting sqref="Z354">
    <cfRule type="dataBar" priority="6347">
      <dataBar>
        <cfvo type="min"/>
        <cfvo type="max"/>
        <color rgb="FF63C384"/>
      </dataBar>
    </cfRule>
    <cfRule type="dataBar" priority="6346">
      <dataBar>
        <cfvo type="min"/>
        <cfvo type="max"/>
        <color rgb="FF63C384"/>
      </dataBar>
    </cfRule>
  </conditionalFormatting>
  <conditionalFormatting sqref="T355">
    <cfRule type="expression" priority="6344" dxfId="2">
      <formula>AND(AND($W355&lt;TODAY(),$W355&lt;&gt;""),$X355="")</formula>
    </cfRule>
  </conditionalFormatting>
  <conditionalFormatting sqref="J355">
    <cfRule type="cellIs" priority="6343" operator="equal" dxfId="2034">
      <formula>"ja"</formula>
    </cfRule>
  </conditionalFormatting>
  <conditionalFormatting sqref="Z355">
    <cfRule type="dataBar" priority="6342">
      <dataBar>
        <cfvo type="min"/>
        <cfvo type="max"/>
        <color rgb="FF63C384"/>
      </dataBar>
    </cfRule>
    <cfRule type="dataBar" priority="6341">
      <dataBar>
        <cfvo type="min"/>
        <cfvo type="max"/>
        <color rgb="FF63C384"/>
      </dataBar>
    </cfRule>
  </conditionalFormatting>
  <conditionalFormatting sqref="T356">
    <cfRule type="expression" priority="6340" dxfId="2">
      <formula>AND(AND($W356&lt;TODAY(),$W356&lt;&gt;""),$X356="")</formula>
    </cfRule>
  </conditionalFormatting>
  <conditionalFormatting sqref="C356">
    <cfRule type="containsText" priority="6338" operator="containsText" dxfId="1" text="Einnahmen">
      <formula>NOT(ISERROR(SEARCH("Einnahmen",C356)))</formula>
    </cfRule>
    <cfRule type="containsText" priority="6339" operator="containsText" dxfId="0" text="Ausgaben">
      <formula>NOT(ISERROR(SEARCH("Ausgaben",C356)))</formula>
    </cfRule>
  </conditionalFormatting>
  <conditionalFormatting sqref="J356">
    <cfRule type="cellIs" priority="6336" operator="equal" dxfId="2034">
      <formula>"ja"</formula>
    </cfRule>
  </conditionalFormatting>
  <conditionalFormatting sqref="Z356">
    <cfRule type="dataBar" priority="6335">
      <dataBar>
        <cfvo type="min"/>
        <cfvo type="max"/>
        <color rgb="FF63C384"/>
      </dataBar>
    </cfRule>
  </conditionalFormatting>
  <conditionalFormatting sqref="C357 C360:C368 C370:C379 C387">
    <cfRule type="containsText" priority="6333" operator="containsText" dxfId="1" text="Einnahmen">
      <formula>NOT(ISERROR(SEARCH("Einnahmen",C357)))</formula>
    </cfRule>
    <cfRule type="containsText" priority="6334" operator="containsText" dxfId="0" text="Ausgaben">
      <formula>NOT(ISERROR(SEARCH("Ausgaben",C357)))</formula>
    </cfRule>
  </conditionalFormatting>
  <conditionalFormatting sqref="J357">
    <cfRule type="cellIs" priority="6331" operator="equal" dxfId="2034">
      <formula>"ja"</formula>
    </cfRule>
  </conditionalFormatting>
  <conditionalFormatting sqref="T357">
    <cfRule type="expression" priority="6330" dxfId="2">
      <formula>AND(AND($W357&lt;TODAY(),$W357&lt;&gt;""),$X357="")</formula>
    </cfRule>
  </conditionalFormatting>
  <conditionalFormatting sqref="Z357">
    <cfRule type="dataBar" priority="6329">
      <dataBar>
        <cfvo type="min"/>
        <cfvo type="max"/>
        <color rgb="FF63C384"/>
      </dataBar>
    </cfRule>
    <cfRule type="dataBar" priority="6328">
      <dataBar>
        <cfvo type="min"/>
        <cfvo type="max"/>
        <color rgb="FF63C384"/>
      </dataBar>
    </cfRule>
  </conditionalFormatting>
  <conditionalFormatting sqref="C358">
    <cfRule type="containsText" priority="6325" operator="containsText" dxfId="1" text="Einnahmen">
      <formula>NOT(ISERROR(SEARCH("Einnahmen",C358)))</formula>
    </cfRule>
    <cfRule type="containsText" priority="6326" operator="containsText" dxfId="0" text="Ausgaben">
      <formula>NOT(ISERROR(SEARCH("Ausgaben",C358)))</formula>
    </cfRule>
  </conditionalFormatting>
  <conditionalFormatting sqref="T358">
    <cfRule type="expression" priority="6324" dxfId="2">
      <formula>AND(AND($W358&lt;TODAY(),$W358&lt;&gt;""),$X358="")</formula>
    </cfRule>
  </conditionalFormatting>
  <conditionalFormatting sqref="Z358">
    <cfRule type="dataBar" priority="6323">
      <dataBar>
        <cfvo type="min"/>
        <cfvo type="max"/>
        <color rgb="FF63C384"/>
      </dataBar>
    </cfRule>
    <cfRule type="dataBar" priority="6322">
      <dataBar>
        <cfvo type="min"/>
        <cfvo type="max"/>
        <color rgb="FF63C384"/>
      </dataBar>
    </cfRule>
  </conditionalFormatting>
  <conditionalFormatting sqref="J359">
    <cfRule type="cellIs" priority="6320" operator="equal" dxfId="2034">
      <formula>"ja"</formula>
    </cfRule>
  </conditionalFormatting>
  <conditionalFormatting sqref="T359">
    <cfRule type="expression" priority="6319" dxfId="2">
      <formula>AND(AND($W359&lt;TODAY(),$W359&lt;&gt;""),$X359="")</formula>
    </cfRule>
  </conditionalFormatting>
  <conditionalFormatting sqref="Z359">
    <cfRule type="dataBar" priority="6318">
      <dataBar>
        <cfvo type="min"/>
        <cfvo type="max"/>
        <color rgb="FF63C384"/>
      </dataBar>
    </cfRule>
    <cfRule type="dataBar" priority="6317">
      <dataBar>
        <cfvo type="min"/>
        <cfvo type="max"/>
        <color rgb="FF63C384"/>
      </dataBar>
    </cfRule>
  </conditionalFormatting>
  <conditionalFormatting sqref="C359">
    <cfRule type="containsText" priority="6315" operator="containsText" dxfId="1" text="Einnahmen">
      <formula>NOT(ISERROR(SEARCH("Einnahmen",C359)))</formula>
    </cfRule>
    <cfRule type="containsText" priority="6316" operator="containsText" dxfId="0" text="Ausgaben">
      <formula>NOT(ISERROR(SEARCH("Ausgaben",C359)))</formula>
    </cfRule>
  </conditionalFormatting>
  <conditionalFormatting sqref="T360">
    <cfRule type="expression" priority="6314" dxfId="2">
      <formula>AND(AND($W360&lt;TODAY(),$W360&lt;&gt;""),$X360="")</formula>
    </cfRule>
  </conditionalFormatting>
  <conditionalFormatting sqref="J360">
    <cfRule type="cellIs" priority="6313" operator="equal" dxfId="2034">
      <formula>"ja"</formula>
    </cfRule>
  </conditionalFormatting>
  <conditionalFormatting sqref="Z360">
    <cfRule type="dataBar" priority="6312">
      <dataBar>
        <cfvo type="min"/>
        <cfvo type="max"/>
        <color rgb="FF63C384"/>
      </dataBar>
    </cfRule>
    <cfRule type="dataBar" priority="6311">
      <dataBar>
        <cfvo type="min"/>
        <cfvo type="max"/>
        <color rgb="FF63C384"/>
      </dataBar>
    </cfRule>
  </conditionalFormatting>
  <conditionalFormatting sqref="T362">
    <cfRule type="expression" priority="6305" dxfId="2">
      <formula>AND(AND($W362&lt;TODAY(),$W362&lt;&gt;""),$X362="")</formula>
    </cfRule>
  </conditionalFormatting>
  <conditionalFormatting sqref="J362">
    <cfRule type="cellIs" priority="6303" operator="equal" dxfId="2034">
      <formula>"ja"</formula>
    </cfRule>
  </conditionalFormatting>
  <conditionalFormatting sqref="Z362">
    <cfRule type="dataBar" priority="6302">
      <dataBar>
        <cfvo type="min"/>
        <cfvo type="max"/>
        <color rgb="FF63C384"/>
      </dataBar>
    </cfRule>
    <cfRule type="dataBar" priority="6301">
      <dataBar>
        <cfvo type="min"/>
        <cfvo type="max"/>
        <color rgb="FF63C384"/>
      </dataBar>
    </cfRule>
  </conditionalFormatting>
  <conditionalFormatting sqref="J361">
    <cfRule type="cellIs" priority="6299" operator="equal" dxfId="2034">
      <formula>"ja"</formula>
    </cfRule>
  </conditionalFormatting>
  <conditionalFormatting sqref="T361">
    <cfRule type="expression" priority="6298" dxfId="2">
      <formula>AND(AND($W361&lt;TODAY(),$W361&lt;&gt;""),$X361="")</formula>
    </cfRule>
  </conditionalFormatting>
  <conditionalFormatting sqref="Z361">
    <cfRule type="dataBar" priority="6297">
      <dataBar>
        <cfvo type="min"/>
        <cfvo type="max"/>
        <color rgb="FF63C384"/>
      </dataBar>
    </cfRule>
    <cfRule type="dataBar" priority="6296">
      <dataBar>
        <cfvo type="min"/>
        <cfvo type="max"/>
        <color rgb="FF63C384"/>
      </dataBar>
    </cfRule>
  </conditionalFormatting>
  <conditionalFormatting sqref="J363">
    <cfRule type="cellIs" priority="6293" operator="equal" dxfId="2034">
      <formula>"ja"</formula>
    </cfRule>
  </conditionalFormatting>
  <conditionalFormatting sqref="T363">
    <cfRule type="expression" priority="6292" dxfId="2">
      <formula>AND(AND($W363&lt;TODAY(),$W363&lt;&gt;""),$X363="")</formula>
    </cfRule>
  </conditionalFormatting>
  <conditionalFormatting sqref="Z363">
    <cfRule type="dataBar" priority="6291">
      <dataBar>
        <cfvo type="min"/>
        <cfvo type="max"/>
        <color rgb="FF63C384"/>
      </dataBar>
    </cfRule>
    <cfRule type="dataBar" priority="6290">
      <dataBar>
        <cfvo type="min"/>
        <cfvo type="max"/>
        <color rgb="FF63C384"/>
      </dataBar>
    </cfRule>
  </conditionalFormatting>
  <conditionalFormatting sqref="J364">
    <cfRule type="cellIs" priority="6288" operator="equal" dxfId="2034">
      <formula>"ja"</formula>
    </cfRule>
  </conditionalFormatting>
  <conditionalFormatting sqref="T364">
    <cfRule type="expression" priority="6287" dxfId="2">
      <formula>AND(AND($W364&lt;TODAY(),$W364&lt;&gt;""),$X364="")</formula>
    </cfRule>
  </conditionalFormatting>
  <conditionalFormatting sqref="Z364">
    <cfRule type="dataBar" priority="6286">
      <dataBar>
        <cfvo type="min"/>
        <cfvo type="max"/>
        <color rgb="FF63C384"/>
      </dataBar>
    </cfRule>
    <cfRule type="dataBar" priority="6285">
      <dataBar>
        <cfvo type="min"/>
        <cfvo type="max"/>
        <color rgb="FF63C384"/>
      </dataBar>
    </cfRule>
  </conditionalFormatting>
  <conditionalFormatting sqref="J365">
    <cfRule type="cellIs" priority="6284" operator="equal" dxfId="2034">
      <formula>"ja"</formula>
    </cfRule>
  </conditionalFormatting>
  <conditionalFormatting sqref="T365">
    <cfRule type="expression" priority="6283" dxfId="2">
      <formula>AND(AND($W365&lt;TODAY(),$W365&lt;&gt;""),$X365="")</formula>
    </cfRule>
  </conditionalFormatting>
  <conditionalFormatting sqref="Z365">
    <cfRule type="dataBar" priority="6282">
      <dataBar>
        <cfvo type="min"/>
        <cfvo type="max"/>
        <color rgb="FF63C384"/>
      </dataBar>
    </cfRule>
    <cfRule type="dataBar" priority="6281">
      <dataBar>
        <cfvo type="min"/>
        <cfvo type="max"/>
        <color rgb="FF63C384"/>
      </dataBar>
    </cfRule>
  </conditionalFormatting>
  <conditionalFormatting sqref="T366">
    <cfRule type="expression" priority="6276" dxfId="2">
      <formula>AND(AND($W366&lt;TODAY(),$W366&lt;&gt;""),$X366="")</formula>
    </cfRule>
  </conditionalFormatting>
  <conditionalFormatting sqref="J366">
    <cfRule type="cellIs" priority="6275" operator="equal" dxfId="2034">
      <formula>"ja"</formula>
    </cfRule>
  </conditionalFormatting>
  <conditionalFormatting sqref="Z366">
    <cfRule type="dataBar" priority="6274">
      <dataBar>
        <cfvo type="min"/>
        <cfvo type="max"/>
        <color rgb="FF63C384"/>
      </dataBar>
    </cfRule>
    <cfRule type="dataBar" priority="6273">
      <dataBar>
        <cfvo type="min"/>
        <cfvo type="max"/>
        <color rgb="FF63C384"/>
      </dataBar>
    </cfRule>
  </conditionalFormatting>
  <conditionalFormatting sqref="T367">
    <cfRule type="expression" priority="6272" dxfId="2">
      <formula>AND(AND($W367&lt;TODAY(),$W367&lt;&gt;""),$X367="")</formula>
    </cfRule>
  </conditionalFormatting>
  <conditionalFormatting sqref="J367">
    <cfRule type="cellIs" priority="6271" operator="equal" dxfId="2034">
      <formula>"ja"</formula>
    </cfRule>
  </conditionalFormatting>
  <conditionalFormatting sqref="Z367">
    <cfRule type="dataBar" priority="6270">
      <dataBar>
        <cfvo type="min"/>
        <cfvo type="max"/>
        <color rgb="FF63C384"/>
      </dataBar>
    </cfRule>
    <cfRule type="dataBar" priority="6269">
      <dataBar>
        <cfvo type="min"/>
        <cfvo type="max"/>
        <color rgb="FF63C384"/>
      </dataBar>
    </cfRule>
  </conditionalFormatting>
  <conditionalFormatting sqref="T368">
    <cfRule type="expression" priority="6268" dxfId="2">
      <formula>AND(AND($W368&lt;TODAY(),$W368&lt;&gt;""),$X368="")</formula>
    </cfRule>
  </conditionalFormatting>
  <conditionalFormatting sqref="Z368">
    <cfRule type="dataBar" priority="6267">
      <dataBar>
        <cfvo type="min"/>
        <cfvo type="max"/>
        <color rgb="FF63C384"/>
      </dataBar>
    </cfRule>
    <cfRule type="dataBar" priority="6266">
      <dataBar>
        <cfvo type="min"/>
        <cfvo type="max"/>
        <color rgb="FF63C384"/>
      </dataBar>
    </cfRule>
  </conditionalFormatting>
  <conditionalFormatting sqref="J369">
    <cfRule type="cellIs" priority="6265" operator="equal" dxfId="2034">
      <formula>"ja"</formula>
    </cfRule>
  </conditionalFormatting>
  <conditionalFormatting sqref="T369">
    <cfRule type="expression" priority="6264" dxfId="2">
      <formula>AND(AND($W369&lt;TODAY(),$W369&lt;&gt;""),$X369="")</formula>
    </cfRule>
  </conditionalFormatting>
  <conditionalFormatting sqref="Z369">
    <cfRule type="dataBar" priority="6263">
      <dataBar>
        <cfvo type="min"/>
        <cfvo type="max"/>
        <color rgb="FF63C384"/>
      </dataBar>
    </cfRule>
    <cfRule type="dataBar" priority="6262">
      <dataBar>
        <cfvo type="min"/>
        <cfvo type="max"/>
        <color rgb="FF63C384"/>
      </dataBar>
    </cfRule>
  </conditionalFormatting>
  <conditionalFormatting sqref="C369">
    <cfRule type="containsText" priority="6260" operator="containsText" dxfId="1" text="Einnahmen">
      <formula>NOT(ISERROR(SEARCH("Einnahmen",C369)))</formula>
    </cfRule>
    <cfRule type="containsText" priority="6261" operator="containsText" dxfId="0" text="Ausgaben">
      <formula>NOT(ISERROR(SEARCH("Ausgaben",C369)))</formula>
    </cfRule>
  </conditionalFormatting>
  <conditionalFormatting sqref="J370">
    <cfRule type="cellIs" priority="6258" operator="equal" dxfId="2034">
      <formula>"ja"</formula>
    </cfRule>
  </conditionalFormatting>
  <conditionalFormatting sqref="T370">
    <cfRule type="expression" priority="6257" dxfId="2">
      <formula>AND(AND($W370&lt;TODAY(),$W370&lt;&gt;""),$X370="")</formula>
    </cfRule>
  </conditionalFormatting>
  <conditionalFormatting sqref="Z370">
    <cfRule type="dataBar" priority="6256">
      <dataBar>
        <cfvo type="min"/>
        <cfvo type="max"/>
        <color rgb="FF63C384"/>
      </dataBar>
    </cfRule>
    <cfRule type="dataBar" priority="6255">
      <dataBar>
        <cfvo type="min"/>
        <cfvo type="max"/>
        <color rgb="FF63C384"/>
      </dataBar>
    </cfRule>
  </conditionalFormatting>
  <conditionalFormatting sqref="T374">
    <cfRule type="expression" priority="6254" dxfId="2">
      <formula>AND(AND($W374&lt;TODAY(),$W374&lt;&gt;""),$X374="")</formula>
    </cfRule>
  </conditionalFormatting>
  <conditionalFormatting sqref="Z374">
    <cfRule type="dataBar" priority="6253">
      <dataBar>
        <cfvo type="min"/>
        <cfvo type="max"/>
        <color rgb="FF63C384"/>
      </dataBar>
    </cfRule>
    <cfRule type="dataBar" priority="6252">
      <dataBar>
        <cfvo type="min"/>
        <cfvo type="max"/>
        <color rgb="FF63C384"/>
      </dataBar>
    </cfRule>
  </conditionalFormatting>
  <conditionalFormatting sqref="J374">
    <cfRule type="cellIs" priority="6251" operator="equal" dxfId="2034">
      <formula>"ja"</formula>
    </cfRule>
  </conditionalFormatting>
  <conditionalFormatting sqref="J371">
    <cfRule type="cellIs" priority="6250" operator="equal" dxfId="2034">
      <formula>"ja"</formula>
    </cfRule>
  </conditionalFormatting>
  <conditionalFormatting sqref="T371">
    <cfRule type="expression" priority="6249" dxfId="2">
      <formula>AND(AND($W371&lt;TODAY(),$W371&lt;&gt;""),$X371="")</formula>
    </cfRule>
  </conditionalFormatting>
  <conditionalFormatting sqref="Z371">
    <cfRule type="dataBar" priority="6248">
      <dataBar>
        <cfvo type="min"/>
        <cfvo type="max"/>
        <color rgb="FF63C384"/>
      </dataBar>
    </cfRule>
    <cfRule type="dataBar" priority="6247">
      <dataBar>
        <cfvo type="min"/>
        <cfvo type="max"/>
        <color rgb="FF63C384"/>
      </dataBar>
    </cfRule>
  </conditionalFormatting>
  <conditionalFormatting sqref="J372">
    <cfRule type="cellIs" priority="6245" operator="equal" dxfId="2034">
      <formula>"ja"</formula>
    </cfRule>
  </conditionalFormatting>
  <conditionalFormatting sqref="T372">
    <cfRule type="expression" priority="6244" dxfId="2">
      <formula>AND(AND($W372&lt;TODAY(),$W372&lt;&gt;""),$X372="")</formula>
    </cfRule>
  </conditionalFormatting>
  <conditionalFormatting sqref="Z372">
    <cfRule type="dataBar" priority="6243">
      <dataBar>
        <cfvo type="min"/>
        <cfvo type="max"/>
        <color rgb="FF63C384"/>
      </dataBar>
    </cfRule>
    <cfRule type="dataBar" priority="6242">
      <dataBar>
        <cfvo type="min"/>
        <cfvo type="max"/>
        <color rgb="FF63C384"/>
      </dataBar>
    </cfRule>
  </conditionalFormatting>
  <conditionalFormatting sqref="J373">
    <cfRule type="cellIs" priority="6241" operator="equal" dxfId="2034">
      <formula>"ja"</formula>
    </cfRule>
  </conditionalFormatting>
  <conditionalFormatting sqref="T373">
    <cfRule type="expression" priority="6240" dxfId="2">
      <formula>AND(AND($W373&lt;TODAY(),$W373&lt;&gt;""),$X373="")</formula>
    </cfRule>
  </conditionalFormatting>
  <conditionalFormatting sqref="Z373">
    <cfRule type="dataBar" priority="6239">
      <dataBar>
        <cfvo type="min"/>
        <cfvo type="max"/>
        <color rgb="FF63C384"/>
      </dataBar>
    </cfRule>
    <cfRule type="dataBar" priority="6238">
      <dataBar>
        <cfvo type="min"/>
        <cfvo type="max"/>
        <color rgb="FF63C384"/>
      </dataBar>
    </cfRule>
  </conditionalFormatting>
  <conditionalFormatting sqref="T375">
    <cfRule type="expression" priority="6237" dxfId="2">
      <formula>AND(AND($W375&lt;TODAY(),$W375&lt;&gt;""),$X375="")</formula>
    </cfRule>
  </conditionalFormatting>
  <conditionalFormatting sqref="Z375">
    <cfRule type="dataBar" priority="6236">
      <dataBar>
        <cfvo type="min"/>
        <cfvo type="max"/>
        <color rgb="FF63C384"/>
      </dataBar>
    </cfRule>
    <cfRule type="dataBar" priority="6235">
      <dataBar>
        <cfvo type="min"/>
        <cfvo type="max"/>
        <color rgb="FF63C384"/>
      </dataBar>
    </cfRule>
  </conditionalFormatting>
  <conditionalFormatting sqref="J376">
    <cfRule type="cellIs" priority="6233" operator="equal" dxfId="2034">
      <formula>"ja"</formula>
    </cfRule>
  </conditionalFormatting>
  <conditionalFormatting sqref="T376">
    <cfRule type="expression" priority="6232" dxfId="2">
      <formula>AND(AND($W376&lt;TODAY(),$W376&lt;&gt;""),$X376="")</formula>
    </cfRule>
  </conditionalFormatting>
  <conditionalFormatting sqref="Z376">
    <cfRule type="dataBar" priority="6231">
      <dataBar>
        <cfvo type="min"/>
        <cfvo type="max"/>
        <color rgb="FF63C384"/>
      </dataBar>
    </cfRule>
    <cfRule type="dataBar" priority="6230">
      <dataBar>
        <cfvo type="min"/>
        <cfvo type="max"/>
        <color rgb="FF63C384"/>
      </dataBar>
    </cfRule>
  </conditionalFormatting>
  <conditionalFormatting sqref="J377">
    <cfRule type="cellIs" priority="6225" operator="equal" dxfId="2034">
      <formula>"ja"</formula>
    </cfRule>
  </conditionalFormatting>
  <conditionalFormatting sqref="T377">
    <cfRule type="expression" priority="6224" dxfId="2">
      <formula>AND(AND($W377&lt;TODAY(),$W377&lt;&gt;""),$X377="")</formula>
    </cfRule>
  </conditionalFormatting>
  <conditionalFormatting sqref="Z377">
    <cfRule type="dataBar" priority="6223">
      <dataBar>
        <cfvo type="min"/>
        <cfvo type="max"/>
        <color rgb="FF63C384"/>
      </dataBar>
    </cfRule>
    <cfRule type="dataBar" priority="6222">
      <dataBar>
        <cfvo type="min"/>
        <cfvo type="max"/>
        <color rgb="FF63C384"/>
      </dataBar>
    </cfRule>
  </conditionalFormatting>
  <conditionalFormatting sqref="J378">
    <cfRule type="cellIs" priority="6221" operator="equal" dxfId="2034">
      <formula>"ja"</formula>
    </cfRule>
  </conditionalFormatting>
  <conditionalFormatting sqref="T378">
    <cfRule type="expression" priority="6220" dxfId="2">
      <formula>AND(AND($W378&lt;TODAY(),$W378&lt;&gt;""),$X378="")</formula>
    </cfRule>
  </conditionalFormatting>
  <conditionalFormatting sqref="Z378">
    <cfRule type="dataBar" priority="6219">
      <dataBar>
        <cfvo type="min"/>
        <cfvo type="max"/>
        <color rgb="FF63C384"/>
      </dataBar>
    </cfRule>
    <cfRule type="dataBar" priority="6218">
      <dataBar>
        <cfvo type="min"/>
        <cfvo type="max"/>
        <color rgb="FF63C384"/>
      </dataBar>
    </cfRule>
  </conditionalFormatting>
  <conditionalFormatting sqref="J379">
    <cfRule type="cellIs" priority="6216" operator="equal" dxfId="2034">
      <formula>"ja"</formula>
    </cfRule>
  </conditionalFormatting>
  <conditionalFormatting sqref="T379">
    <cfRule type="expression" priority="6215" dxfId="2">
      <formula>AND(AND($W379&lt;TODAY(),$W379&lt;&gt;""),$X379="")</formula>
    </cfRule>
  </conditionalFormatting>
  <conditionalFormatting sqref="Z379">
    <cfRule type="dataBar" priority="6214">
      <dataBar>
        <cfvo type="min"/>
        <cfvo type="max"/>
        <color rgb="FF63C384"/>
      </dataBar>
    </cfRule>
    <cfRule type="dataBar" priority="6213">
      <dataBar>
        <cfvo type="min"/>
        <cfvo type="max"/>
        <color rgb="FF63C384"/>
      </dataBar>
    </cfRule>
  </conditionalFormatting>
  <conditionalFormatting sqref="C380">
    <cfRule type="containsText" priority="6211" operator="containsText" dxfId="1" text="Einnahmen">
      <formula>NOT(ISERROR(SEARCH("Einnahmen",C380)))</formula>
    </cfRule>
    <cfRule type="containsText" priority="6212" operator="containsText" dxfId="0" text="Ausgaben">
      <formula>NOT(ISERROR(SEARCH("Ausgaben",C380)))</formula>
    </cfRule>
  </conditionalFormatting>
  <conditionalFormatting sqref="T380">
    <cfRule type="expression" priority="6209" dxfId="2">
      <formula>AND(AND($W380&lt;TODAY(),$W380&lt;&gt;""),$X380="")</formula>
    </cfRule>
  </conditionalFormatting>
  <conditionalFormatting sqref="J380">
    <cfRule type="cellIs" priority="6208" operator="equal" dxfId="2034">
      <formula>"ja"</formula>
    </cfRule>
  </conditionalFormatting>
  <conditionalFormatting sqref="Z380">
    <cfRule type="dataBar" priority="6207">
      <dataBar>
        <cfvo type="min"/>
        <cfvo type="max"/>
        <color rgb="FF63C384"/>
      </dataBar>
    </cfRule>
    <cfRule type="dataBar" priority="6206">
      <dataBar>
        <cfvo type="min"/>
        <cfvo type="max"/>
        <color rgb="FF63C384"/>
      </dataBar>
    </cfRule>
  </conditionalFormatting>
  <conditionalFormatting sqref="C383">
    <cfRule type="containsText" priority="6174" operator="containsText" dxfId="1" text="Einnahmen">
      <formula>NOT(ISERROR(SEARCH("Einnahmen",C383)))</formula>
    </cfRule>
    <cfRule type="containsText" priority="6175" operator="containsText" dxfId="0" text="Ausgaben">
      <formula>NOT(ISERROR(SEARCH("Ausgaben",C383)))</formula>
    </cfRule>
  </conditionalFormatting>
  <conditionalFormatting sqref="C381">
    <cfRule type="containsText" priority="6171" operator="containsText" dxfId="1" text="Einnahmen">
      <formula>NOT(ISERROR(SEARCH("Einnahmen",C381)))</formula>
    </cfRule>
    <cfRule type="containsText" priority="6172" operator="containsText" dxfId="0" text="Ausgaben">
      <formula>NOT(ISERROR(SEARCH("Ausgaben",C381)))</formula>
    </cfRule>
  </conditionalFormatting>
  <conditionalFormatting sqref="J381">
    <cfRule type="cellIs" priority="6170" operator="equal" dxfId="2034">
      <formula>"ja"</formula>
    </cfRule>
  </conditionalFormatting>
  <conditionalFormatting sqref="T381">
    <cfRule type="expression" priority="6169" dxfId="2">
      <formula>AND(AND($W381&lt;TODAY(),$W381&lt;&gt;""),$X381="")</formula>
    </cfRule>
  </conditionalFormatting>
  <conditionalFormatting sqref="Z381">
    <cfRule type="dataBar" priority="6168">
      <dataBar>
        <cfvo type="min"/>
        <cfvo type="max"/>
        <color rgb="FF63C384"/>
      </dataBar>
    </cfRule>
    <cfRule type="dataBar" priority="6167">
      <dataBar>
        <cfvo type="min"/>
        <cfvo type="max"/>
        <color rgb="FF63C384"/>
      </dataBar>
    </cfRule>
  </conditionalFormatting>
  <conditionalFormatting sqref="T383">
    <cfRule type="expression" priority="6158" dxfId="2">
      <formula>AND(AND($W383&lt;TODAY(),$W383&lt;&gt;""),$X383="")</formula>
    </cfRule>
  </conditionalFormatting>
  <conditionalFormatting sqref="J383">
    <cfRule type="cellIs" priority="6157" operator="equal" dxfId="2034">
      <formula>"ja"</formula>
    </cfRule>
  </conditionalFormatting>
  <conditionalFormatting sqref="Z383">
    <cfRule type="dataBar" priority="6156">
      <dataBar>
        <cfvo type="min"/>
        <cfvo type="max"/>
        <color rgb="FF63C384"/>
      </dataBar>
    </cfRule>
    <cfRule type="dataBar" priority="6155">
      <dataBar>
        <cfvo type="min"/>
        <cfvo type="max"/>
        <color rgb="FF63C384"/>
      </dataBar>
    </cfRule>
  </conditionalFormatting>
  <conditionalFormatting sqref="C382">
    <cfRule type="containsText" priority="6148" operator="containsText" dxfId="1" text="Einnahmen">
      <formula>NOT(ISERROR(SEARCH("Einnahmen",C382)))</formula>
    </cfRule>
    <cfRule type="containsText" priority="6149" operator="containsText" dxfId="0" text="Ausgaben">
      <formula>NOT(ISERROR(SEARCH("Ausgaben",C382)))</formula>
    </cfRule>
  </conditionalFormatting>
  <conditionalFormatting sqref="C392">
    <cfRule type="containsText" priority="6055" operator="containsText" dxfId="1" text="Einnahmen">
      <formula>NOT(ISERROR(SEARCH("Einnahmen",C392)))</formula>
    </cfRule>
    <cfRule type="containsText" priority="6056" operator="containsText" dxfId="0" text="Ausgaben">
      <formula>NOT(ISERROR(SEARCH("Ausgaben",C392)))</formula>
    </cfRule>
  </conditionalFormatting>
  <conditionalFormatting sqref="T391">
    <cfRule type="expression" priority="6060" dxfId="2">
      <formula>AND(AND($W391&lt;TODAY(),$W391&lt;&gt;""),$X391="")</formula>
    </cfRule>
  </conditionalFormatting>
  <conditionalFormatting sqref="C384">
    <cfRule type="containsText" priority="6126" operator="containsText" dxfId="1" text="Einnahmen">
      <formula>NOT(ISERROR(SEARCH("Einnahmen",C384)))</formula>
    </cfRule>
    <cfRule type="containsText" priority="6127" operator="containsText" dxfId="0" text="Ausgaben">
      <formula>NOT(ISERROR(SEARCH("Ausgaben",C384)))</formula>
    </cfRule>
  </conditionalFormatting>
  <conditionalFormatting sqref="J384">
    <cfRule type="cellIs" priority="6124" operator="equal" dxfId="2034">
      <formula>"ja"</formula>
    </cfRule>
  </conditionalFormatting>
  <conditionalFormatting sqref="T384">
    <cfRule type="expression" priority="6123" dxfId="2">
      <formula>AND(AND($W384&lt;TODAY(),$W384&lt;&gt;""),$X384="")</formula>
    </cfRule>
  </conditionalFormatting>
  <conditionalFormatting sqref="Z384">
    <cfRule type="dataBar" priority="6122">
      <dataBar>
        <cfvo type="min"/>
        <cfvo type="max"/>
        <color rgb="FF63C384"/>
      </dataBar>
    </cfRule>
    <cfRule type="dataBar" priority="6121">
      <dataBar>
        <cfvo type="min"/>
        <cfvo type="max"/>
        <color rgb="FF63C384"/>
      </dataBar>
    </cfRule>
  </conditionalFormatting>
  <conditionalFormatting sqref="C385">
    <cfRule type="containsText" priority="6118" operator="containsText" dxfId="1" text="Einnahmen">
      <formula>NOT(ISERROR(SEARCH("Einnahmen",C385)))</formula>
    </cfRule>
    <cfRule type="containsText" priority="6119" operator="containsText" dxfId="0" text="Ausgaben">
      <formula>NOT(ISERROR(SEARCH("Ausgaben",C385)))</formula>
    </cfRule>
  </conditionalFormatting>
  <conditionalFormatting sqref="T385">
    <cfRule type="expression" priority="6117" dxfId="2">
      <formula>AND(AND($W385&lt;TODAY(),$W385&lt;&gt;""),$X385="")</formula>
    </cfRule>
  </conditionalFormatting>
  <conditionalFormatting sqref="J385">
    <cfRule type="cellIs" priority="6116" operator="equal" dxfId="2034">
      <formula>"ja"</formula>
    </cfRule>
  </conditionalFormatting>
  <conditionalFormatting sqref="Z385">
    <cfRule type="dataBar" priority="6115">
      <dataBar>
        <cfvo type="min"/>
        <cfvo type="max"/>
        <color rgb="FF63C384"/>
      </dataBar>
    </cfRule>
    <cfRule type="dataBar" priority="6114">
      <dataBar>
        <cfvo type="min"/>
        <cfvo type="max"/>
        <color rgb="FF63C384"/>
      </dataBar>
    </cfRule>
  </conditionalFormatting>
  <conditionalFormatting sqref="C386">
    <cfRule type="containsText" priority="6112" operator="containsText" dxfId="1" text="Einnahmen">
      <formula>NOT(ISERROR(SEARCH("Einnahmen",C386)))</formula>
    </cfRule>
    <cfRule type="containsText" priority="6113" operator="containsText" dxfId="0" text="Ausgaben">
      <formula>NOT(ISERROR(SEARCH("Ausgaben",C386)))</formula>
    </cfRule>
  </conditionalFormatting>
  <conditionalFormatting sqref="J386">
    <cfRule type="cellIs" priority="6111" operator="equal" dxfId="2034">
      <formula>"ja"</formula>
    </cfRule>
  </conditionalFormatting>
  <conditionalFormatting sqref="T386">
    <cfRule type="expression" priority="6110" dxfId="2">
      <formula>AND(AND($W386&lt;TODAY(),$W386&lt;&gt;""),$X386="")</formula>
    </cfRule>
  </conditionalFormatting>
  <conditionalFormatting sqref="Z386">
    <cfRule type="dataBar" priority="6109">
      <dataBar>
        <cfvo type="min"/>
        <cfvo type="max"/>
        <color rgb="FF63C384"/>
      </dataBar>
    </cfRule>
    <cfRule type="dataBar" priority="6108">
      <dataBar>
        <cfvo type="min"/>
        <cfvo type="max"/>
        <color rgb="FF63C384"/>
      </dataBar>
    </cfRule>
  </conditionalFormatting>
  <conditionalFormatting sqref="T387">
    <cfRule type="expression" priority="6107" dxfId="2">
      <formula>AND(AND($W387&lt;TODAY(),$W387&lt;&gt;""),$X387="")</formula>
    </cfRule>
  </conditionalFormatting>
  <conditionalFormatting sqref="Z387">
    <cfRule type="dataBar" priority="6106">
      <dataBar>
        <cfvo type="min"/>
        <cfvo type="max"/>
        <color rgb="FF63C384"/>
      </dataBar>
    </cfRule>
    <cfRule type="dataBar" priority="6105">
      <dataBar>
        <cfvo type="min"/>
        <cfvo type="max"/>
        <color rgb="FF63C384"/>
      </dataBar>
    </cfRule>
  </conditionalFormatting>
  <conditionalFormatting sqref="C388">
    <cfRule type="containsText" priority="6103" operator="containsText" dxfId="1" text="Einnahmen">
      <formula>NOT(ISERROR(SEARCH("Einnahmen",C388)))</formula>
    </cfRule>
    <cfRule type="containsText" priority="6104" operator="containsText" dxfId="0" text="Ausgaben">
      <formula>NOT(ISERROR(SEARCH("Ausgaben",C388)))</formula>
    </cfRule>
  </conditionalFormatting>
  <conditionalFormatting sqref="J388">
    <cfRule type="cellIs" priority="6102" operator="equal" dxfId="2034">
      <formula>"ja"</formula>
    </cfRule>
  </conditionalFormatting>
  <conditionalFormatting sqref="T388">
    <cfRule type="expression" priority="6101" dxfId="2">
      <formula>AND(AND($W388&lt;TODAY(),$W388&lt;&gt;""),$X388="")</formula>
    </cfRule>
  </conditionalFormatting>
  <conditionalFormatting sqref="Z388">
    <cfRule type="dataBar" priority="6100">
      <dataBar>
        <cfvo type="min"/>
        <cfvo type="max"/>
        <color rgb="FF63C384"/>
      </dataBar>
    </cfRule>
    <cfRule type="dataBar" priority="6099">
      <dataBar>
        <cfvo type="min"/>
        <cfvo type="max"/>
        <color rgb="FF63C384"/>
      </dataBar>
    </cfRule>
  </conditionalFormatting>
  <conditionalFormatting sqref="C391">
    <cfRule type="containsText" priority="6062" operator="containsText" dxfId="1" text="Einnahmen">
      <formula>NOT(ISERROR(SEARCH("Einnahmen",C391)))</formula>
    </cfRule>
    <cfRule type="containsText" priority="6063" operator="containsText" dxfId="0" text="Ausgaben">
      <formula>NOT(ISERROR(SEARCH("Ausgaben",C391)))</formula>
    </cfRule>
  </conditionalFormatting>
  <conditionalFormatting sqref="J382">
    <cfRule type="cellIs" priority="6084" operator="equal" dxfId="2034">
      <formula>"ja"</formula>
    </cfRule>
  </conditionalFormatting>
  <conditionalFormatting sqref="T382">
    <cfRule type="expression" priority="6083" dxfId="2">
      <formula>AND(AND($W382&lt;TODAY(),$W382&lt;&gt;""),$X382="")</formula>
    </cfRule>
  </conditionalFormatting>
  <conditionalFormatting sqref="Z382">
    <cfRule type="dataBar" priority="6082">
      <dataBar>
        <cfvo type="min"/>
        <cfvo type="max"/>
        <color rgb="FF63C384"/>
      </dataBar>
    </cfRule>
    <cfRule type="dataBar" priority="6081">
      <dataBar>
        <cfvo type="min"/>
        <cfvo type="max"/>
        <color rgb="FF63C384"/>
      </dataBar>
    </cfRule>
  </conditionalFormatting>
  <conditionalFormatting sqref="J389">
    <cfRule type="cellIs" priority="6077" operator="equal" dxfId="2034">
      <formula>"ja"</formula>
    </cfRule>
  </conditionalFormatting>
  <conditionalFormatting sqref="T389">
    <cfRule type="expression" priority="6076" dxfId="2">
      <formula>AND(AND($W389&lt;TODAY(),$W389&lt;&gt;""),$X389="")</formula>
    </cfRule>
  </conditionalFormatting>
  <conditionalFormatting sqref="Z389">
    <cfRule type="dataBar" priority="6075">
      <dataBar>
        <cfvo type="min"/>
        <cfvo type="max"/>
        <color rgb="FF63C384"/>
      </dataBar>
    </cfRule>
    <cfRule type="dataBar" priority="6074">
      <dataBar>
        <cfvo type="min"/>
        <cfvo type="max"/>
        <color rgb="FF63C384"/>
      </dataBar>
    </cfRule>
  </conditionalFormatting>
  <conditionalFormatting sqref="C389">
    <cfRule type="containsText" priority="6072" operator="containsText" dxfId="1" text="Einnahmen">
      <formula>NOT(ISERROR(SEARCH("Einnahmen",C389)))</formula>
    </cfRule>
    <cfRule type="containsText" priority="6073" operator="containsText" dxfId="0" text="Ausgaben">
      <formula>NOT(ISERROR(SEARCH("Ausgaben",C389)))</formula>
    </cfRule>
  </conditionalFormatting>
  <conditionalFormatting sqref="J390">
    <cfRule type="cellIs" priority="6070" operator="equal" dxfId="2034">
      <formula>"ja"</formula>
    </cfRule>
  </conditionalFormatting>
  <conditionalFormatting sqref="T390">
    <cfRule type="expression" priority="6069" dxfId="2">
      <formula>AND(AND($W390&lt;TODAY(),$W390&lt;&gt;""),$X390="")</formula>
    </cfRule>
  </conditionalFormatting>
  <conditionalFormatting sqref="Z390">
    <cfRule type="dataBar" priority="6068">
      <dataBar>
        <cfvo type="min"/>
        <cfvo type="max"/>
        <color rgb="FF63C384"/>
      </dataBar>
    </cfRule>
    <cfRule type="dataBar" priority="6067">
      <dataBar>
        <cfvo type="min"/>
        <cfvo type="max"/>
        <color rgb="FF63C384"/>
      </dataBar>
    </cfRule>
  </conditionalFormatting>
  <conditionalFormatting sqref="C390">
    <cfRule type="containsText" priority="6065" operator="containsText" dxfId="1" text="Einnahmen">
      <formula>NOT(ISERROR(SEARCH("Einnahmen",C390)))</formula>
    </cfRule>
    <cfRule type="containsText" priority="6066" operator="containsText" dxfId="0" text="Ausgaben">
      <formula>NOT(ISERROR(SEARCH("Ausgaben",C390)))</formula>
    </cfRule>
  </conditionalFormatting>
  <conditionalFormatting sqref="J391">
    <cfRule type="cellIs" priority="6061" operator="equal" dxfId="2034">
      <formula>"ja"</formula>
    </cfRule>
  </conditionalFormatting>
  <conditionalFormatting sqref="Z391">
    <cfRule type="dataBar" priority="6059">
      <dataBar>
        <cfvo type="min"/>
        <cfvo type="max"/>
        <color rgb="FF63C384"/>
      </dataBar>
    </cfRule>
    <cfRule type="dataBar" priority="6058">
      <dataBar>
        <cfvo type="min"/>
        <cfvo type="max"/>
        <color rgb="FF63C384"/>
      </dataBar>
    </cfRule>
  </conditionalFormatting>
  <conditionalFormatting sqref="J392">
    <cfRule type="cellIs" priority="6054" operator="equal" dxfId="2034">
      <formula>"ja"</formula>
    </cfRule>
  </conditionalFormatting>
  <conditionalFormatting sqref="T392">
    <cfRule type="expression" priority="6053" dxfId="2">
      <formula>AND(AND($W392&lt;TODAY(),$W392&lt;&gt;""),$X392="")</formula>
    </cfRule>
  </conditionalFormatting>
  <conditionalFormatting sqref="Z392">
    <cfRule type="dataBar" priority="6052">
      <dataBar>
        <cfvo type="min"/>
        <cfvo type="max"/>
        <color rgb="FF63C384"/>
      </dataBar>
    </cfRule>
    <cfRule type="dataBar" priority="6051">
      <dataBar>
        <cfvo type="min"/>
        <cfvo type="max"/>
        <color rgb="FF63C384"/>
      </dataBar>
    </cfRule>
  </conditionalFormatting>
  <conditionalFormatting sqref="C393">
    <cfRule type="containsText" priority="5981" operator="containsText" dxfId="1" text="Einnahmen">
      <formula>NOT(ISERROR(SEARCH("Einnahmen",C393)))</formula>
    </cfRule>
    <cfRule type="containsText" priority="5982" operator="containsText" dxfId="0" text="Ausgaben">
      <formula>NOT(ISERROR(SEARCH("Ausgaben",C393)))</formula>
    </cfRule>
  </conditionalFormatting>
  <conditionalFormatting sqref="J393">
    <cfRule type="cellIs" priority="5979" operator="equal" dxfId="2034">
      <formula>"ja"</formula>
    </cfRule>
  </conditionalFormatting>
  <conditionalFormatting sqref="T393">
    <cfRule type="expression" priority="5978" dxfId="2">
      <formula>AND(AND($W393&lt;TODAY(),$W393&lt;&gt;""),$X393="")</formula>
    </cfRule>
  </conditionalFormatting>
  <conditionalFormatting sqref="Z393">
    <cfRule type="dataBar" priority="5977">
      <dataBar>
        <cfvo type="min"/>
        <cfvo type="max"/>
        <color rgb="FF63C384"/>
      </dataBar>
    </cfRule>
    <cfRule type="dataBar" priority="5976">
      <dataBar>
        <cfvo type="min"/>
        <cfvo type="max"/>
        <color rgb="FF63C384"/>
      </dataBar>
    </cfRule>
  </conditionalFormatting>
  <conditionalFormatting sqref="C397 C407 C409">
    <cfRule type="containsText" priority="5966" operator="containsText" dxfId="1" text="Einnahmen">
      <formula>NOT(ISERROR(SEARCH("Einnahmen",C397)))</formula>
    </cfRule>
    <cfRule type="containsText" priority="5967" operator="containsText" dxfId="0" text="Ausgaben">
      <formula>NOT(ISERROR(SEARCH("Ausgaben",C397)))</formula>
    </cfRule>
  </conditionalFormatting>
  <conditionalFormatting sqref="C396">
    <cfRule type="containsText" priority="5958" operator="containsText" dxfId="1" text="Einnahmen">
      <formula>NOT(ISERROR(SEARCH("Einnahmen",C396)))</formula>
    </cfRule>
    <cfRule type="containsText" priority="5959" operator="containsText" dxfId="0" text="Ausgaben">
      <formula>NOT(ISERROR(SEARCH("Ausgaben",C396)))</formula>
    </cfRule>
  </conditionalFormatting>
  <conditionalFormatting sqref="T396">
    <cfRule type="expression" priority="5956" dxfId="2">
      <formula>AND(AND($W396&lt;TODAY(),$W396&lt;&gt;""),$X396="")</formula>
    </cfRule>
  </conditionalFormatting>
  <conditionalFormatting sqref="J396">
    <cfRule type="cellIs" priority="5955" operator="equal" dxfId="2034">
      <formula>"ja"</formula>
    </cfRule>
  </conditionalFormatting>
  <conditionalFormatting sqref="Z396">
    <cfRule type="dataBar" priority="5954">
      <dataBar>
        <cfvo type="min"/>
        <cfvo type="max"/>
        <color rgb="FF63C384"/>
      </dataBar>
    </cfRule>
    <cfRule type="dataBar" priority="5953">
      <dataBar>
        <cfvo type="min"/>
        <cfvo type="max"/>
        <color rgb="FF63C384"/>
      </dataBar>
    </cfRule>
  </conditionalFormatting>
  <conditionalFormatting sqref="J397">
    <cfRule type="cellIs" priority="5949" operator="equal" dxfId="2034">
      <formula>"ja"</formula>
    </cfRule>
  </conditionalFormatting>
  <conditionalFormatting sqref="T397">
    <cfRule type="expression" priority="5948" dxfId="2">
      <formula>AND(AND($W397&lt;TODAY(),$W397&lt;&gt;""),$X397="")</formula>
    </cfRule>
  </conditionalFormatting>
  <conditionalFormatting sqref="Z397">
    <cfRule type="dataBar" priority="5947">
      <dataBar>
        <cfvo type="min"/>
        <cfvo type="max"/>
        <color rgb="FF63C384"/>
      </dataBar>
    </cfRule>
    <cfRule type="dataBar" priority="5946">
      <dataBar>
        <cfvo type="min"/>
        <cfvo type="max"/>
        <color rgb="FF63C384"/>
      </dataBar>
    </cfRule>
  </conditionalFormatting>
  <conditionalFormatting sqref="C398">
    <cfRule type="containsText" priority="5943" operator="containsText" dxfId="1" text="Einnahmen">
      <formula>NOT(ISERROR(SEARCH("Einnahmen",C398)))</formula>
    </cfRule>
    <cfRule type="containsText" priority="5944" operator="containsText" dxfId="0" text="Ausgaben">
      <formula>NOT(ISERROR(SEARCH("Ausgaben",C398)))</formula>
    </cfRule>
  </conditionalFormatting>
  <conditionalFormatting sqref="T398">
    <cfRule type="expression" priority="5941" dxfId="2">
      <formula>AND(AND($W398&lt;TODAY(),$W398&lt;&gt;""),$X398="")</formula>
    </cfRule>
  </conditionalFormatting>
  <conditionalFormatting sqref="Z398">
    <cfRule type="dataBar" priority="5940">
      <dataBar>
        <cfvo type="min"/>
        <cfvo type="max"/>
        <color rgb="FF63C384"/>
      </dataBar>
    </cfRule>
    <cfRule type="dataBar" priority="5939">
      <dataBar>
        <cfvo type="min"/>
        <cfvo type="max"/>
        <color rgb="FF63C384"/>
      </dataBar>
    </cfRule>
  </conditionalFormatting>
  <conditionalFormatting sqref="J398">
    <cfRule type="cellIs" priority="5938" operator="equal" dxfId="2034">
      <formula>"ja"</formula>
    </cfRule>
  </conditionalFormatting>
  <conditionalFormatting sqref="C399">
    <cfRule type="containsText" priority="5934" operator="containsText" dxfId="1" text="Einnahmen">
      <formula>NOT(ISERROR(SEARCH("Einnahmen",C399)))</formula>
    </cfRule>
    <cfRule type="containsText" priority="5935" operator="containsText" dxfId="0" text="Ausgaben">
      <formula>NOT(ISERROR(SEARCH("Ausgaben",C399)))</formula>
    </cfRule>
  </conditionalFormatting>
  <conditionalFormatting sqref="T399">
    <cfRule type="expression" priority="5933" dxfId="2">
      <formula>AND(AND($W399&lt;TODAY(),$W399&lt;&gt;""),$X399="")</formula>
    </cfRule>
  </conditionalFormatting>
  <conditionalFormatting sqref="J399">
    <cfRule type="cellIs" priority="5932" operator="equal" dxfId="2034">
      <formula>"ja"</formula>
    </cfRule>
  </conditionalFormatting>
  <conditionalFormatting sqref="Z399">
    <cfRule type="dataBar" priority="5931">
      <dataBar>
        <cfvo type="min"/>
        <cfvo type="max"/>
        <color rgb="FF63C384"/>
      </dataBar>
    </cfRule>
    <cfRule type="dataBar" priority="5930">
      <dataBar>
        <cfvo type="min"/>
        <cfvo type="max"/>
        <color rgb="FF63C384"/>
      </dataBar>
    </cfRule>
  </conditionalFormatting>
  <conditionalFormatting sqref="C400">
    <cfRule type="containsText" priority="5928" operator="containsText" dxfId="1" text="Einnahmen">
      <formula>NOT(ISERROR(SEARCH("Einnahmen",C400)))</formula>
    </cfRule>
    <cfRule type="containsText" priority="5929" operator="containsText" dxfId="0" text="Ausgaben">
      <formula>NOT(ISERROR(SEARCH("Ausgaben",C400)))</formula>
    </cfRule>
  </conditionalFormatting>
  <conditionalFormatting sqref="J400">
    <cfRule type="cellIs" priority="5926" operator="equal" dxfId="2034">
      <formula>"ja"</formula>
    </cfRule>
  </conditionalFormatting>
  <conditionalFormatting sqref="T400">
    <cfRule type="expression" priority="5925" dxfId="2">
      <formula>AND(AND($W400&lt;TODAY(),$W400&lt;&gt;""),$X400="")</formula>
    </cfRule>
  </conditionalFormatting>
  <conditionalFormatting sqref="Z400">
    <cfRule type="dataBar" priority="5924">
      <dataBar>
        <cfvo type="min"/>
        <cfvo type="max"/>
        <color rgb="FF63C384"/>
      </dataBar>
    </cfRule>
    <cfRule type="dataBar" priority="5923">
      <dataBar>
        <cfvo type="min"/>
        <cfvo type="max"/>
        <color rgb="FF63C384"/>
      </dataBar>
    </cfRule>
  </conditionalFormatting>
  <conditionalFormatting sqref="C401">
    <cfRule type="containsText" priority="5921" operator="containsText" dxfId="1" text="Einnahmen">
      <formula>NOT(ISERROR(SEARCH("Einnahmen",C401)))</formula>
    </cfRule>
    <cfRule type="containsText" priority="5922" operator="containsText" dxfId="0" text="Ausgaben">
      <formula>NOT(ISERROR(SEARCH("Ausgaben",C401)))</formula>
    </cfRule>
  </conditionalFormatting>
  <conditionalFormatting sqref="J401">
    <cfRule type="cellIs" priority="5920" operator="equal" dxfId="2034">
      <formula>"ja"</formula>
    </cfRule>
  </conditionalFormatting>
  <conditionalFormatting sqref="T401">
    <cfRule type="expression" priority="5919" dxfId="2">
      <formula>AND(AND($W401&lt;TODAY(),$W401&lt;&gt;""),$X401="")</formula>
    </cfRule>
  </conditionalFormatting>
  <conditionalFormatting sqref="Z401">
    <cfRule type="dataBar" priority="5918">
      <dataBar>
        <cfvo type="min"/>
        <cfvo type="max"/>
        <color rgb="FF63C384"/>
      </dataBar>
    </cfRule>
    <cfRule type="dataBar" priority="5917">
      <dataBar>
        <cfvo type="min"/>
        <cfvo type="max"/>
        <color rgb="FF63C384"/>
      </dataBar>
    </cfRule>
  </conditionalFormatting>
  <conditionalFormatting sqref="J406">
    <cfRule type="cellIs" priority="5906" operator="equal" dxfId="2034">
      <formula>"ja"</formula>
    </cfRule>
  </conditionalFormatting>
  <conditionalFormatting sqref="C394">
    <cfRule type="containsText" priority="5902" operator="containsText" dxfId="1" text="Einnahmen">
      <formula>NOT(ISERROR(SEARCH("Einnahmen",C394)))</formula>
    </cfRule>
    <cfRule type="containsText" priority="5903" operator="containsText" dxfId="0" text="Ausgaben">
      <formula>NOT(ISERROR(SEARCH("Ausgaben",C394)))</formula>
    </cfRule>
  </conditionalFormatting>
  <conditionalFormatting sqref="J394">
    <cfRule type="cellIs" priority="5901" operator="equal" dxfId="2034">
      <formula>"ja"</formula>
    </cfRule>
  </conditionalFormatting>
  <conditionalFormatting sqref="T394">
    <cfRule type="expression" priority="5900" dxfId="2">
      <formula>AND(AND($W394&lt;TODAY(),$W394&lt;&gt;""),$X394="")</formula>
    </cfRule>
  </conditionalFormatting>
  <conditionalFormatting sqref="Z394">
    <cfRule type="dataBar" priority="5899">
      <dataBar>
        <cfvo type="min"/>
        <cfvo type="max"/>
        <color rgb="FF63C384"/>
      </dataBar>
    </cfRule>
    <cfRule type="dataBar" priority="5898">
      <dataBar>
        <cfvo type="min"/>
        <cfvo type="max"/>
        <color rgb="FF63C384"/>
      </dataBar>
    </cfRule>
  </conditionalFormatting>
  <conditionalFormatting sqref="C395">
    <cfRule type="containsText" priority="5895" operator="containsText" dxfId="1" text="Einnahmen">
      <formula>NOT(ISERROR(SEARCH("Einnahmen",C395)))</formula>
    </cfRule>
    <cfRule type="containsText" priority="5896" operator="containsText" dxfId="0" text="Ausgaben">
      <formula>NOT(ISERROR(SEARCH("Ausgaben",C395)))</formula>
    </cfRule>
  </conditionalFormatting>
  <conditionalFormatting sqref="T395">
    <cfRule type="expression" priority="5894" dxfId="2">
      <formula>AND(AND($W395&lt;TODAY(),$W395&lt;&gt;""),$X395="")</formula>
    </cfRule>
  </conditionalFormatting>
  <conditionalFormatting sqref="J395">
    <cfRule type="cellIs" priority="5893" operator="equal" dxfId="2034">
      <formula>"ja"</formula>
    </cfRule>
  </conditionalFormatting>
  <conditionalFormatting sqref="Z395">
    <cfRule type="dataBar" priority="5892">
      <dataBar>
        <cfvo type="min"/>
        <cfvo type="max"/>
        <color rgb="FF63C384"/>
      </dataBar>
    </cfRule>
    <cfRule type="dataBar" priority="5891">
      <dataBar>
        <cfvo type="min"/>
        <cfvo type="max"/>
        <color rgb="FF63C384"/>
      </dataBar>
    </cfRule>
  </conditionalFormatting>
  <conditionalFormatting sqref="C406">
    <cfRule type="containsText" priority="5888" operator="containsText" dxfId="1" text="Einnahmen">
      <formula>NOT(ISERROR(SEARCH("Einnahmen",C406)))</formula>
    </cfRule>
    <cfRule type="containsText" priority="5889" operator="containsText" dxfId="0" text="Ausgaben">
      <formula>NOT(ISERROR(SEARCH("Ausgaben",C406)))</formula>
    </cfRule>
  </conditionalFormatting>
  <conditionalFormatting sqref="T402">
    <cfRule type="expression" priority="5882" dxfId="2">
      <formula>AND(AND($W402&lt;TODAY(),$W402&lt;&gt;""),$X402="")</formula>
    </cfRule>
  </conditionalFormatting>
  <conditionalFormatting sqref="C402">
    <cfRule type="containsText" priority="5880" operator="containsText" dxfId="1" text="Einnahmen">
      <formula>NOT(ISERROR(SEARCH("Einnahmen",C402)))</formula>
    </cfRule>
    <cfRule type="containsText" priority="5881" operator="containsText" dxfId="0" text="Ausgaben">
      <formula>NOT(ISERROR(SEARCH("Ausgaben",C402)))</formula>
    </cfRule>
  </conditionalFormatting>
  <conditionalFormatting sqref="J402">
    <cfRule type="cellIs" priority="5879" operator="equal" dxfId="2034">
      <formula>"ja"</formula>
    </cfRule>
  </conditionalFormatting>
  <conditionalFormatting sqref="Z402">
    <cfRule type="dataBar" priority="5878">
      <dataBar>
        <cfvo type="min"/>
        <cfvo type="max"/>
        <color rgb="FF63C384"/>
      </dataBar>
    </cfRule>
  </conditionalFormatting>
  <conditionalFormatting sqref="C403">
    <cfRule type="containsText" priority="5869" operator="containsText" dxfId="1" text="Einnahmen">
      <formula>NOT(ISERROR(SEARCH("Einnahmen",C403)))</formula>
    </cfRule>
    <cfRule type="containsText" priority="5870" operator="containsText" dxfId="0" text="Ausgaben">
      <formula>NOT(ISERROR(SEARCH("Ausgaben",C403)))</formula>
    </cfRule>
  </conditionalFormatting>
  <conditionalFormatting sqref="J403">
    <cfRule type="cellIs" priority="5867" operator="equal" dxfId="2034">
      <formula>"ja"</formula>
    </cfRule>
  </conditionalFormatting>
  <conditionalFormatting sqref="T403">
    <cfRule type="expression" priority="5866" dxfId="2">
      <formula>AND(AND($W403&lt;TODAY(),$W403&lt;&gt;""),$X403="")</formula>
    </cfRule>
  </conditionalFormatting>
  <conditionalFormatting sqref="Z403">
    <cfRule type="dataBar" priority="5865">
      <dataBar>
        <cfvo type="min"/>
        <cfvo type="max"/>
        <color rgb="FF63C384"/>
      </dataBar>
    </cfRule>
    <cfRule type="dataBar" priority="5864">
      <dataBar>
        <cfvo type="min"/>
        <cfvo type="max"/>
        <color rgb="FF63C384"/>
      </dataBar>
    </cfRule>
  </conditionalFormatting>
  <conditionalFormatting sqref="C404">
    <cfRule type="containsText" priority="5861" operator="containsText" dxfId="1" text="Einnahmen">
      <formula>NOT(ISERROR(SEARCH("Einnahmen",C404)))</formula>
    </cfRule>
    <cfRule type="containsText" priority="5862" operator="containsText" dxfId="0" text="Ausgaben">
      <formula>NOT(ISERROR(SEARCH("Ausgaben",C404)))</formula>
    </cfRule>
  </conditionalFormatting>
  <conditionalFormatting sqref="T404">
    <cfRule type="expression" priority="5860" dxfId="2">
      <formula>AND(AND($W404&lt;TODAY(),$W404&lt;&gt;""),$X404="")</formula>
    </cfRule>
  </conditionalFormatting>
  <conditionalFormatting sqref="Z404">
    <cfRule type="dataBar" priority="5859">
      <dataBar>
        <cfvo type="min"/>
        <cfvo type="max"/>
        <color rgb="FF63C384"/>
      </dataBar>
    </cfRule>
    <cfRule type="dataBar" priority="5858">
      <dataBar>
        <cfvo type="min"/>
        <cfvo type="max"/>
        <color rgb="FF63C384"/>
      </dataBar>
    </cfRule>
  </conditionalFormatting>
  <conditionalFormatting sqref="J404">
    <cfRule type="cellIs" priority="5857" operator="equal" dxfId="2034">
      <formula>"ja"</formula>
    </cfRule>
  </conditionalFormatting>
  <conditionalFormatting sqref="J405">
    <cfRule type="cellIs" priority="5855" operator="equal" dxfId="2034">
      <formula>"ja"</formula>
    </cfRule>
  </conditionalFormatting>
  <conditionalFormatting sqref="C405">
    <cfRule type="containsText" priority="5853" operator="containsText" dxfId="1" text="Einnahmen">
      <formula>NOT(ISERROR(SEARCH("Einnahmen",C405)))</formula>
    </cfRule>
    <cfRule type="containsText" priority="5854" operator="containsText" dxfId="0" text="Ausgaben">
      <formula>NOT(ISERROR(SEARCH("Ausgaben",C405)))</formula>
    </cfRule>
  </conditionalFormatting>
  <conditionalFormatting sqref="T405">
    <cfRule type="expression" priority="5852" dxfId="2">
      <formula>AND(AND($W405&lt;TODAY(),$W405&lt;&gt;""),$X405="")</formula>
    </cfRule>
  </conditionalFormatting>
  <conditionalFormatting sqref="Z405">
    <cfRule type="dataBar" priority="5851">
      <dataBar>
        <cfvo type="min"/>
        <cfvo type="max"/>
        <color rgb="FF63C384"/>
      </dataBar>
    </cfRule>
    <cfRule type="dataBar" priority="5850">
      <dataBar>
        <cfvo type="min"/>
        <cfvo type="max"/>
        <color rgb="FF63C384"/>
      </dataBar>
    </cfRule>
  </conditionalFormatting>
  <conditionalFormatting sqref="T406">
    <cfRule type="expression" priority="5848" dxfId="2">
      <formula>AND(AND($W406&lt;TODAY(),$W406&lt;&gt;""),$X406="")</formula>
    </cfRule>
  </conditionalFormatting>
  <conditionalFormatting sqref="Z406">
    <cfRule type="dataBar" priority="5847">
      <dataBar>
        <cfvo type="min"/>
        <cfvo type="max"/>
        <color rgb="FF63C384"/>
      </dataBar>
    </cfRule>
    <cfRule type="dataBar" priority="5846">
      <dataBar>
        <cfvo type="min"/>
        <cfvo type="max"/>
        <color rgb="FF63C384"/>
      </dataBar>
    </cfRule>
  </conditionalFormatting>
  <conditionalFormatting sqref="T407">
    <cfRule type="expression" priority="5845" dxfId="2">
      <formula>AND(AND($W407&lt;TODAY(),$W407&lt;&gt;""),$X407="")</formula>
    </cfRule>
  </conditionalFormatting>
  <conditionalFormatting sqref="Z407">
    <cfRule type="dataBar" priority="5844">
      <dataBar>
        <cfvo type="min"/>
        <cfvo type="max"/>
        <color rgb="FF63C384"/>
      </dataBar>
    </cfRule>
    <cfRule type="dataBar" priority="5843">
      <dataBar>
        <cfvo type="min"/>
        <cfvo type="max"/>
        <color rgb="FF63C384"/>
      </dataBar>
    </cfRule>
  </conditionalFormatting>
  <conditionalFormatting sqref="C408">
    <cfRule type="containsText" priority="5841" operator="containsText" dxfId="1" text="Einnahmen">
      <formula>NOT(ISERROR(SEARCH("Einnahmen",C408)))</formula>
    </cfRule>
    <cfRule type="containsText" priority="5842" operator="containsText" dxfId="0" text="Ausgaben">
      <formula>NOT(ISERROR(SEARCH("Ausgaben",C408)))</formula>
    </cfRule>
  </conditionalFormatting>
  <conditionalFormatting sqref="J408">
    <cfRule type="cellIs" priority="5840" operator="equal" dxfId="2034">
      <formula>"ja"</formula>
    </cfRule>
  </conditionalFormatting>
  <conditionalFormatting sqref="T408">
    <cfRule type="expression" priority="5839" dxfId="2">
      <formula>AND(AND($W408&lt;TODAY(),$W408&lt;&gt;""),$X408="")</formula>
    </cfRule>
  </conditionalFormatting>
  <conditionalFormatting sqref="Z408">
    <cfRule type="dataBar" priority="5838">
      <dataBar>
        <cfvo type="min"/>
        <cfvo type="max"/>
        <color rgb="FF63C384"/>
      </dataBar>
    </cfRule>
    <cfRule type="dataBar" priority="5837">
      <dataBar>
        <cfvo type="min"/>
        <cfvo type="max"/>
        <color rgb="FF63C384"/>
      </dataBar>
    </cfRule>
  </conditionalFormatting>
  <conditionalFormatting sqref="T409">
    <cfRule type="expression" priority="5834" dxfId="2">
      <formula>AND(AND($W409&lt;TODAY(),$W409&lt;&gt;""),$X409="")</formula>
    </cfRule>
  </conditionalFormatting>
  <conditionalFormatting sqref="Z409">
    <cfRule type="dataBar" priority="5833">
      <dataBar>
        <cfvo type="min"/>
        <cfvo type="max"/>
        <color rgb="FF63C384"/>
      </dataBar>
    </cfRule>
    <cfRule type="dataBar" priority="5832">
      <dataBar>
        <cfvo type="min"/>
        <cfvo type="max"/>
        <color rgb="FF63C384"/>
      </dataBar>
    </cfRule>
  </conditionalFormatting>
  <conditionalFormatting sqref="C410">
    <cfRule type="containsText" priority="5830" operator="containsText" dxfId="1" text="Einnahmen">
      <formula>NOT(ISERROR(SEARCH("Einnahmen",C410)))</formula>
    </cfRule>
    <cfRule type="containsText" priority="5831" operator="containsText" dxfId="0" text="Ausgaben">
      <formula>NOT(ISERROR(SEARCH("Ausgaben",C410)))</formula>
    </cfRule>
  </conditionalFormatting>
  <conditionalFormatting sqref="T410">
    <cfRule type="expression" priority="5829" dxfId="2">
      <formula>AND(AND($W410&lt;TODAY(),$W410&lt;&gt;""),$X410="")</formula>
    </cfRule>
  </conditionalFormatting>
  <conditionalFormatting sqref="J410">
    <cfRule type="cellIs" priority="5828" operator="equal" dxfId="2034">
      <formula>"ja"</formula>
    </cfRule>
  </conditionalFormatting>
  <conditionalFormatting sqref="Z410">
    <cfRule type="dataBar" priority="5827">
      <dataBar>
        <cfvo type="min"/>
        <cfvo type="max"/>
        <color rgb="FF63C384"/>
      </dataBar>
    </cfRule>
    <cfRule type="dataBar" priority="5826">
      <dataBar>
        <cfvo type="min"/>
        <cfvo type="max"/>
        <color rgb="FF63C384"/>
      </dataBar>
    </cfRule>
  </conditionalFormatting>
  <conditionalFormatting sqref="J411">
    <cfRule type="cellIs" priority="5824" operator="equal" dxfId="2034">
      <formula>"ja"</formula>
    </cfRule>
  </conditionalFormatting>
  <conditionalFormatting sqref="T411">
    <cfRule type="expression" priority="5823" dxfId="2">
      <formula>AND(AND($W411&lt;TODAY(),$W411&lt;&gt;""),$X411="")</formula>
    </cfRule>
  </conditionalFormatting>
  <conditionalFormatting sqref="Z411">
    <cfRule type="dataBar" priority="5822">
      <dataBar>
        <cfvo type="min"/>
        <cfvo type="max"/>
        <color rgb="FF63C384"/>
      </dataBar>
    </cfRule>
    <cfRule type="dataBar" priority="5821">
      <dataBar>
        <cfvo type="min"/>
        <cfvo type="max"/>
        <color rgb="FF63C384"/>
      </dataBar>
    </cfRule>
  </conditionalFormatting>
  <conditionalFormatting sqref="C411">
    <cfRule type="containsText" priority="5819" operator="containsText" dxfId="1" text="Einnahmen">
      <formula>NOT(ISERROR(SEARCH("Einnahmen",C411)))</formula>
    </cfRule>
    <cfRule type="containsText" priority="5820" operator="containsText" dxfId="0" text="Ausgaben">
      <formula>NOT(ISERROR(SEARCH("Ausgaben",C411)))</formula>
    </cfRule>
  </conditionalFormatting>
  <conditionalFormatting sqref="J412">
    <cfRule type="cellIs" priority="5818" operator="equal" dxfId="2034">
      <formula>"ja"</formula>
    </cfRule>
  </conditionalFormatting>
  <conditionalFormatting sqref="T412">
    <cfRule type="expression" priority="5817" dxfId="2">
      <formula>AND(AND($W412&lt;TODAY(),$W412&lt;&gt;""),$X412="")</formula>
    </cfRule>
  </conditionalFormatting>
  <conditionalFormatting sqref="Z412">
    <cfRule type="dataBar" priority="5816">
      <dataBar>
        <cfvo type="min"/>
        <cfvo type="max"/>
        <color rgb="FF63C384"/>
      </dataBar>
    </cfRule>
    <cfRule type="dataBar" priority="5815">
      <dataBar>
        <cfvo type="min"/>
        <cfvo type="max"/>
        <color rgb="FF63C384"/>
      </dataBar>
    </cfRule>
  </conditionalFormatting>
  <conditionalFormatting sqref="C412">
    <cfRule type="containsText" priority="5813" operator="containsText" dxfId="1" text="Einnahmen">
      <formula>NOT(ISERROR(SEARCH("Einnahmen",C412)))</formula>
    </cfRule>
    <cfRule type="containsText" priority="5814" operator="containsText" dxfId="0" text="Ausgaben">
      <formula>NOT(ISERROR(SEARCH("Ausgaben",C412)))</formula>
    </cfRule>
  </conditionalFormatting>
  <conditionalFormatting sqref="C413">
    <cfRule type="containsText" priority="5811" operator="containsText" dxfId="1" text="Einnahmen">
      <formula>NOT(ISERROR(SEARCH("Einnahmen",C413)))</formula>
    </cfRule>
    <cfRule type="containsText" priority="5812" operator="containsText" dxfId="0" text="Ausgaben">
      <formula>NOT(ISERROR(SEARCH("Ausgaben",C413)))</formula>
    </cfRule>
  </conditionalFormatting>
  <conditionalFormatting sqref="J413">
    <cfRule type="cellIs" priority="5810" operator="equal" dxfId="2034">
      <formula>"ja"</formula>
    </cfRule>
  </conditionalFormatting>
  <conditionalFormatting sqref="T413">
    <cfRule type="expression" priority="5809" dxfId="2">
      <formula>AND(AND($W413&lt;TODAY(),$W413&lt;&gt;""),$X413="")</formula>
    </cfRule>
  </conditionalFormatting>
  <conditionalFormatting sqref="Z413">
    <cfRule type="dataBar" priority="5808">
      <dataBar>
        <cfvo type="min"/>
        <cfvo type="max"/>
        <color rgb="FF63C384"/>
      </dataBar>
    </cfRule>
    <cfRule type="dataBar" priority="5807">
      <dataBar>
        <cfvo type="min"/>
        <cfvo type="max"/>
        <color rgb="FF63C384"/>
      </dataBar>
    </cfRule>
  </conditionalFormatting>
  <conditionalFormatting sqref="C414">
    <cfRule type="containsText" priority="5726" operator="containsText" dxfId="1" text="Einnahmen">
      <formula>NOT(ISERROR(SEARCH("Einnahmen",C414)))</formula>
    </cfRule>
    <cfRule type="containsText" priority="5727" operator="containsText" dxfId="0" text="Ausgaben">
      <formula>NOT(ISERROR(SEARCH("Ausgaben",C414)))</formula>
    </cfRule>
  </conditionalFormatting>
  <conditionalFormatting sqref="T414">
    <cfRule type="expression" priority="5725" dxfId="2">
      <formula>AND(AND($W414&lt;TODAY(),$W414&lt;&gt;""),$X414="")</formula>
    </cfRule>
  </conditionalFormatting>
  <conditionalFormatting sqref="J414">
    <cfRule type="cellIs" priority="5724" operator="equal" dxfId="2034">
      <formula>"ja"</formula>
    </cfRule>
  </conditionalFormatting>
  <conditionalFormatting sqref="Z414">
    <cfRule type="dataBar" priority="5723">
      <dataBar>
        <cfvo type="min"/>
        <cfvo type="max"/>
        <color rgb="FF63C384"/>
      </dataBar>
    </cfRule>
    <cfRule type="dataBar" priority="5722">
      <dataBar>
        <cfvo type="min"/>
        <cfvo type="max"/>
        <color rgb="FF63C384"/>
      </dataBar>
    </cfRule>
  </conditionalFormatting>
  <conditionalFormatting sqref="C415">
    <cfRule type="containsText" priority="5720" operator="containsText" dxfId="1" text="Einnahmen">
      <formula>NOT(ISERROR(SEARCH("Einnahmen",C415)))</formula>
    </cfRule>
    <cfRule type="containsText" priority="5721" operator="containsText" dxfId="0" text="Ausgaben">
      <formula>NOT(ISERROR(SEARCH("Ausgaben",C415)))</formula>
    </cfRule>
  </conditionalFormatting>
  <conditionalFormatting sqref="J415">
    <cfRule type="cellIs" priority="5718" operator="equal" dxfId="2034">
      <formula>"ja"</formula>
    </cfRule>
  </conditionalFormatting>
  <conditionalFormatting sqref="T415">
    <cfRule type="expression" priority="5717" dxfId="2">
      <formula>AND(AND($W415&lt;TODAY(),$W415&lt;&gt;""),$X415="")</formula>
    </cfRule>
  </conditionalFormatting>
  <conditionalFormatting sqref="Z415">
    <cfRule type="dataBar" priority="5716">
      <dataBar>
        <cfvo type="min"/>
        <cfvo type="max"/>
        <color rgb="FF63C384"/>
      </dataBar>
    </cfRule>
    <cfRule type="dataBar" priority="5715">
      <dataBar>
        <cfvo type="min"/>
        <cfvo type="max"/>
        <color rgb="FF63C384"/>
      </dataBar>
    </cfRule>
  </conditionalFormatting>
  <conditionalFormatting sqref="C416">
    <cfRule type="containsText" priority="5713" operator="containsText" dxfId="1" text="Einnahmen">
      <formula>NOT(ISERROR(SEARCH("Einnahmen",C416)))</formula>
    </cfRule>
    <cfRule type="containsText" priority="5714" operator="containsText" dxfId="0" text="Ausgaben">
      <formula>NOT(ISERROR(SEARCH("Ausgaben",C416)))</formula>
    </cfRule>
  </conditionalFormatting>
  <conditionalFormatting sqref="J416">
    <cfRule type="cellIs" priority="5712" operator="equal" dxfId="2034">
      <formula>"ja"</formula>
    </cfRule>
  </conditionalFormatting>
  <conditionalFormatting sqref="T416">
    <cfRule type="expression" priority="5711" dxfId="2">
      <formula>AND(AND($W416&lt;TODAY(),$W416&lt;&gt;""),$X416="")</formula>
    </cfRule>
  </conditionalFormatting>
  <conditionalFormatting sqref="Z416">
    <cfRule type="dataBar" priority="5710">
      <dataBar>
        <cfvo type="min"/>
        <cfvo type="max"/>
        <color rgb="FF63C384"/>
      </dataBar>
    </cfRule>
    <cfRule type="dataBar" priority="5709">
      <dataBar>
        <cfvo type="min"/>
        <cfvo type="max"/>
        <color rgb="FF63C384"/>
      </dataBar>
    </cfRule>
  </conditionalFormatting>
  <conditionalFormatting sqref="C417">
    <cfRule type="containsText" priority="5706" operator="containsText" dxfId="1" text="Einnahmen">
      <formula>NOT(ISERROR(SEARCH("Einnahmen",C417)))</formula>
    </cfRule>
    <cfRule type="containsText" priority="5707" operator="containsText" dxfId="0" text="Ausgaben">
      <formula>NOT(ISERROR(SEARCH("Ausgaben",C417)))</formula>
    </cfRule>
  </conditionalFormatting>
  <conditionalFormatting sqref="T417">
    <cfRule type="expression" priority="5705" dxfId="2">
      <formula>AND(AND($W417&lt;TODAY(),$W417&lt;&gt;""),$X417="")</formula>
    </cfRule>
  </conditionalFormatting>
  <conditionalFormatting sqref="J417">
    <cfRule type="cellIs" priority="5704" operator="equal" dxfId="2034">
      <formula>"ja"</formula>
    </cfRule>
  </conditionalFormatting>
  <conditionalFormatting sqref="Z417">
    <cfRule type="dataBar" priority="5703">
      <dataBar>
        <cfvo type="min"/>
        <cfvo type="max"/>
        <color rgb="FF63C384"/>
      </dataBar>
    </cfRule>
    <cfRule type="dataBar" priority="5702">
      <dataBar>
        <cfvo type="min"/>
        <cfvo type="max"/>
        <color rgb="FF63C384"/>
      </dataBar>
    </cfRule>
  </conditionalFormatting>
  <conditionalFormatting sqref="C418">
    <cfRule type="containsText" priority="5700" operator="containsText" dxfId="1" text="Einnahmen">
      <formula>NOT(ISERROR(SEARCH("Einnahmen",C418)))</formula>
    </cfRule>
    <cfRule type="containsText" priority="5701" operator="containsText" dxfId="0" text="Ausgaben">
      <formula>NOT(ISERROR(SEARCH("Ausgaben",C418)))</formula>
    </cfRule>
  </conditionalFormatting>
  <conditionalFormatting sqref="J418">
    <cfRule type="cellIs" priority="5699" operator="equal" dxfId="2034">
      <formula>"ja"</formula>
    </cfRule>
  </conditionalFormatting>
  <conditionalFormatting sqref="T418">
    <cfRule type="expression" priority="5698" dxfId="2">
      <formula>AND(AND($W418&lt;TODAY(),$W418&lt;&gt;""),$X418="")</formula>
    </cfRule>
  </conditionalFormatting>
  <conditionalFormatting sqref="Z418">
    <cfRule type="dataBar" priority="5697">
      <dataBar>
        <cfvo type="min"/>
        <cfvo type="max"/>
        <color rgb="FF63C384"/>
      </dataBar>
    </cfRule>
    <cfRule type="dataBar" priority="5696">
      <dataBar>
        <cfvo type="min"/>
        <cfvo type="max"/>
        <color rgb="FF63C384"/>
      </dataBar>
    </cfRule>
  </conditionalFormatting>
  <conditionalFormatting sqref="T419">
    <cfRule type="expression" priority="5690" dxfId="2">
      <formula>AND(AND($W419&lt;TODAY(),$W419&lt;&gt;""),$X419="")</formula>
    </cfRule>
  </conditionalFormatting>
  <conditionalFormatting sqref="C419">
    <cfRule type="containsText" priority="5692" operator="containsText" dxfId="1" text="Einnahmen">
      <formula>NOT(ISERROR(SEARCH("Einnahmen",C419)))</formula>
    </cfRule>
    <cfRule type="containsText" priority="5693" operator="containsText" dxfId="0" text="Ausgaben">
      <formula>NOT(ISERROR(SEARCH("Ausgaben",C419)))</formula>
    </cfRule>
  </conditionalFormatting>
  <conditionalFormatting sqref="J419">
    <cfRule type="cellIs" priority="5691" operator="equal" dxfId="2034">
      <formula>"ja"</formula>
    </cfRule>
  </conditionalFormatting>
  <conditionalFormatting sqref="Z419">
    <cfRule type="dataBar" priority="5689">
      <dataBar>
        <cfvo type="min"/>
        <cfvo type="max"/>
        <color rgb="FF63C384"/>
      </dataBar>
    </cfRule>
    <cfRule type="dataBar" priority="5688">
      <dataBar>
        <cfvo type="min"/>
        <cfvo type="max"/>
        <color rgb="FF63C384"/>
      </dataBar>
    </cfRule>
  </conditionalFormatting>
  <conditionalFormatting sqref="J420">
    <cfRule type="cellIs" priority="5687" operator="equal" dxfId="2034">
      <formula>"ja"</formula>
    </cfRule>
  </conditionalFormatting>
  <conditionalFormatting sqref="T420">
    <cfRule type="expression" priority="5686" dxfId="2">
      <formula>AND(AND($W420&lt;TODAY(),$W420&lt;&gt;""),$X420="")</formula>
    </cfRule>
  </conditionalFormatting>
  <conditionalFormatting sqref="Z420">
    <cfRule type="dataBar" priority="5685">
      <dataBar>
        <cfvo type="min"/>
        <cfvo type="max"/>
        <color rgb="FF63C384"/>
      </dataBar>
    </cfRule>
    <cfRule type="dataBar" priority="5684">
      <dataBar>
        <cfvo type="min"/>
        <cfvo type="max"/>
        <color rgb="FF63C384"/>
      </dataBar>
    </cfRule>
  </conditionalFormatting>
  <conditionalFormatting sqref="C420">
    <cfRule type="containsText" priority="5682" operator="containsText" dxfId="1" text="Einnahmen">
      <formula>NOT(ISERROR(SEARCH("Einnahmen",C420)))</formula>
    </cfRule>
    <cfRule type="containsText" priority="5683" operator="containsText" dxfId="0" text="Ausgaben">
      <formula>NOT(ISERROR(SEARCH("Ausgaben",C420)))</formula>
    </cfRule>
  </conditionalFormatting>
  <conditionalFormatting sqref="J421">
    <cfRule type="cellIs" priority="5681" operator="equal" dxfId="2034">
      <formula>"ja"</formula>
    </cfRule>
  </conditionalFormatting>
  <conditionalFormatting sqref="T421">
    <cfRule type="expression" priority="5680" dxfId="2">
      <formula>AND(AND($W421&lt;TODAY(),$W421&lt;&gt;""),$X421="")</formula>
    </cfRule>
  </conditionalFormatting>
  <conditionalFormatting sqref="Z421">
    <cfRule type="dataBar" priority="5679">
      <dataBar>
        <cfvo type="min"/>
        <cfvo type="max"/>
        <color rgb="FF63C384"/>
      </dataBar>
    </cfRule>
    <cfRule type="dataBar" priority="5678">
      <dataBar>
        <cfvo type="min"/>
        <cfvo type="max"/>
        <color rgb="FF63C384"/>
      </dataBar>
    </cfRule>
  </conditionalFormatting>
  <conditionalFormatting sqref="C421">
    <cfRule type="containsText" priority="5676" operator="containsText" dxfId="1" text="Einnahmen">
      <formula>NOT(ISERROR(SEARCH("Einnahmen",C421)))</formula>
    </cfRule>
    <cfRule type="containsText" priority="5677" operator="containsText" dxfId="0" text="Ausgaben">
      <formula>NOT(ISERROR(SEARCH("Ausgaben",C421)))</formula>
    </cfRule>
  </conditionalFormatting>
  <conditionalFormatting sqref="C422">
    <cfRule type="containsText" priority="5674" operator="containsText" dxfId="1" text="Einnahmen">
      <formula>NOT(ISERROR(SEARCH("Einnahmen",C422)))</formula>
    </cfRule>
    <cfRule type="containsText" priority="5675" operator="containsText" dxfId="0" text="Ausgaben">
      <formula>NOT(ISERROR(SEARCH("Ausgaben",C422)))</formula>
    </cfRule>
  </conditionalFormatting>
  <conditionalFormatting sqref="J422">
    <cfRule type="cellIs" priority="5673" operator="equal" dxfId="2034">
      <formula>"ja"</formula>
    </cfRule>
  </conditionalFormatting>
  <conditionalFormatting sqref="T422">
    <cfRule type="expression" priority="5672" dxfId="2">
      <formula>AND(AND($W422&lt;TODAY(),$W422&lt;&gt;""),$X422="")</formula>
    </cfRule>
  </conditionalFormatting>
  <conditionalFormatting sqref="Z422">
    <cfRule type="dataBar" priority="5671">
      <dataBar>
        <cfvo type="min"/>
        <cfvo type="max"/>
        <color rgb="FF63C384"/>
      </dataBar>
    </cfRule>
    <cfRule type="dataBar" priority="5670">
      <dataBar>
        <cfvo type="min"/>
        <cfvo type="max"/>
        <color rgb="FF63C384"/>
      </dataBar>
    </cfRule>
  </conditionalFormatting>
  <conditionalFormatting sqref="C423">
    <cfRule type="containsText" priority="5668" operator="containsText" dxfId="1" text="Einnahmen">
      <formula>NOT(ISERROR(SEARCH("Einnahmen",C423)))</formula>
    </cfRule>
    <cfRule type="containsText" priority="5669" operator="containsText" dxfId="0" text="Ausgaben">
      <formula>NOT(ISERROR(SEARCH("Ausgaben",C423)))</formula>
    </cfRule>
  </conditionalFormatting>
  <conditionalFormatting sqref="J423">
    <cfRule type="cellIs" priority="5667" operator="equal" dxfId="2034">
      <formula>"ja"</formula>
    </cfRule>
  </conditionalFormatting>
  <conditionalFormatting sqref="T423">
    <cfRule type="expression" priority="5666" dxfId="2">
      <formula>AND(AND($W423&lt;TODAY(),$W423&lt;&gt;""),$X423="")</formula>
    </cfRule>
  </conditionalFormatting>
  <conditionalFormatting sqref="Z423">
    <cfRule type="dataBar" priority="5665">
      <dataBar>
        <cfvo type="min"/>
        <cfvo type="max"/>
        <color rgb="FF63C384"/>
      </dataBar>
    </cfRule>
    <cfRule type="dataBar" priority="5664">
      <dataBar>
        <cfvo type="min"/>
        <cfvo type="max"/>
        <color rgb="FF63C384"/>
      </dataBar>
    </cfRule>
  </conditionalFormatting>
  <conditionalFormatting sqref="C424">
    <cfRule type="containsText" priority="5656" operator="containsText" dxfId="1" text="Einnahmen">
      <formula>NOT(ISERROR(SEARCH("Einnahmen",C424)))</formula>
    </cfRule>
    <cfRule type="containsText" priority="5657" operator="containsText" dxfId="0" text="Ausgaben">
      <formula>NOT(ISERROR(SEARCH("Ausgaben",C424)))</formula>
    </cfRule>
  </conditionalFormatting>
  <conditionalFormatting sqref="T424">
    <cfRule type="expression" priority="5655" dxfId="2">
      <formula>AND(AND($W424&lt;TODAY(),$W424&lt;&gt;""),$X424="")</formula>
    </cfRule>
  </conditionalFormatting>
  <conditionalFormatting sqref="Z424">
    <cfRule type="dataBar" priority="5654">
      <dataBar>
        <cfvo type="min"/>
        <cfvo type="max"/>
        <color rgb="FF63C384"/>
      </dataBar>
    </cfRule>
    <cfRule type="dataBar" priority="5653">
      <dataBar>
        <cfvo type="min"/>
        <cfvo type="max"/>
        <color rgb="FF63C384"/>
      </dataBar>
    </cfRule>
  </conditionalFormatting>
  <conditionalFormatting sqref="J424">
    <cfRule type="cellIs" priority="5652" operator="equal" dxfId="2034">
      <formula>"ja"</formula>
    </cfRule>
  </conditionalFormatting>
  <conditionalFormatting sqref="C425">
    <cfRule type="containsText" priority="5649" operator="containsText" dxfId="1" text="Einnahmen">
      <formula>NOT(ISERROR(SEARCH("Einnahmen",C425)))</formula>
    </cfRule>
    <cfRule type="containsText" priority="5650" operator="containsText" dxfId="0" text="Ausgaben">
      <formula>NOT(ISERROR(SEARCH("Ausgaben",C425)))</formula>
    </cfRule>
  </conditionalFormatting>
  <conditionalFormatting sqref="T425">
    <cfRule type="expression" priority="5648" dxfId="2">
      <formula>AND(AND($W425&lt;TODAY(),$W425&lt;&gt;""),$X425="")</formula>
    </cfRule>
  </conditionalFormatting>
  <conditionalFormatting sqref="J425">
    <cfRule type="cellIs" priority="5647" operator="equal" dxfId="2034">
      <formula>"ja"</formula>
    </cfRule>
  </conditionalFormatting>
  <conditionalFormatting sqref="Z425">
    <cfRule type="dataBar" priority="5646">
      <dataBar>
        <cfvo type="min"/>
        <cfvo type="max"/>
        <color rgb="FF63C384"/>
      </dataBar>
    </cfRule>
    <cfRule type="dataBar" priority="5645">
      <dataBar>
        <cfvo type="min"/>
        <cfvo type="max"/>
        <color rgb="FF63C384"/>
      </dataBar>
    </cfRule>
  </conditionalFormatting>
  <conditionalFormatting sqref="J426">
    <cfRule type="cellIs" priority="5644" operator="equal" dxfId="2034">
      <formula>"ja"</formula>
    </cfRule>
  </conditionalFormatting>
  <conditionalFormatting sqref="C426">
    <cfRule type="containsText" priority="5642" operator="containsText" dxfId="1" text="Einnahmen">
      <formula>NOT(ISERROR(SEARCH("Einnahmen",C426)))</formula>
    </cfRule>
    <cfRule type="containsText" priority="5643" operator="containsText" dxfId="0" text="Ausgaben">
      <formula>NOT(ISERROR(SEARCH("Ausgaben",C426)))</formula>
    </cfRule>
  </conditionalFormatting>
  <conditionalFormatting sqref="T426">
    <cfRule type="expression" priority="5641" dxfId="2">
      <formula>AND(AND($W426&lt;TODAY(),$W426&lt;&gt;""),$X426="")</formula>
    </cfRule>
  </conditionalFormatting>
  <conditionalFormatting sqref="Z426">
    <cfRule type="dataBar" priority="5640">
      <dataBar>
        <cfvo type="min"/>
        <cfvo type="max"/>
        <color rgb="FF63C384"/>
      </dataBar>
    </cfRule>
    <cfRule type="dataBar" priority="5639">
      <dataBar>
        <cfvo type="min"/>
        <cfvo type="max"/>
        <color rgb="FF63C384"/>
      </dataBar>
    </cfRule>
  </conditionalFormatting>
  <conditionalFormatting sqref="C427">
    <cfRule type="containsText" priority="5637" operator="containsText" dxfId="1" text="Einnahmen">
      <formula>NOT(ISERROR(SEARCH("Einnahmen",C427)))</formula>
    </cfRule>
    <cfRule type="containsText" priority="5638" operator="containsText" dxfId="0" text="Ausgaben">
      <formula>NOT(ISERROR(SEARCH("Ausgaben",C427)))</formula>
    </cfRule>
  </conditionalFormatting>
  <conditionalFormatting sqref="J427">
    <cfRule type="cellIs" priority="5636" operator="equal" dxfId="2034">
      <formula>"ja"</formula>
    </cfRule>
  </conditionalFormatting>
  <conditionalFormatting sqref="T427">
    <cfRule type="expression" priority="5635" dxfId="2">
      <formula>AND(AND($W427&lt;TODAY(),$W427&lt;&gt;""),$X427="")</formula>
    </cfRule>
  </conditionalFormatting>
  <conditionalFormatting sqref="Z427">
    <cfRule type="dataBar" priority="5634">
      <dataBar>
        <cfvo type="min"/>
        <cfvo type="max"/>
        <color rgb="FF63C384"/>
      </dataBar>
    </cfRule>
    <cfRule type="dataBar" priority="5633">
      <dataBar>
        <cfvo type="min"/>
        <cfvo type="max"/>
        <color rgb="FF63C384"/>
      </dataBar>
    </cfRule>
  </conditionalFormatting>
  <conditionalFormatting sqref="J428">
    <cfRule type="cellIs" priority="5630" operator="equal" dxfId="2034">
      <formula>"ja"</formula>
    </cfRule>
  </conditionalFormatting>
  <conditionalFormatting sqref="C428">
    <cfRule type="containsText" priority="5628" operator="containsText" dxfId="1" text="Einnahmen">
      <formula>NOT(ISERROR(SEARCH("Einnahmen",C428)))</formula>
    </cfRule>
    <cfRule type="containsText" priority="5629" operator="containsText" dxfId="0" text="Ausgaben">
      <formula>NOT(ISERROR(SEARCH("Ausgaben",C428)))</formula>
    </cfRule>
  </conditionalFormatting>
  <conditionalFormatting sqref="T428">
    <cfRule type="expression" priority="5627" dxfId="2">
      <formula>AND(AND($W428&lt;TODAY(),$W428&lt;&gt;""),$X428="")</formula>
    </cfRule>
  </conditionalFormatting>
  <conditionalFormatting sqref="Z428">
    <cfRule type="dataBar" priority="5626">
      <dataBar>
        <cfvo type="min"/>
        <cfvo type="max"/>
        <color rgb="FF63C384"/>
      </dataBar>
    </cfRule>
    <cfRule type="dataBar" priority="5625">
      <dataBar>
        <cfvo type="min"/>
        <cfvo type="max"/>
        <color rgb="FF63C384"/>
      </dataBar>
    </cfRule>
  </conditionalFormatting>
  <conditionalFormatting sqref="C429">
    <cfRule type="containsText" priority="5623" operator="containsText" dxfId="1" text="Einnahmen">
      <formula>NOT(ISERROR(SEARCH("Einnahmen",C429)))</formula>
    </cfRule>
    <cfRule type="containsText" priority="5624" operator="containsText" dxfId="0" text="Ausgaben">
      <formula>NOT(ISERROR(SEARCH("Ausgaben",C429)))</formula>
    </cfRule>
  </conditionalFormatting>
  <conditionalFormatting sqref="J429">
    <cfRule type="cellIs" priority="5622" operator="equal" dxfId="2034">
      <formula>"ja"</formula>
    </cfRule>
  </conditionalFormatting>
  <conditionalFormatting sqref="T429">
    <cfRule type="expression" priority="5621" dxfId="2">
      <formula>AND(AND($W429&lt;TODAY(),$W429&lt;&gt;""),$X429="")</formula>
    </cfRule>
  </conditionalFormatting>
  <conditionalFormatting sqref="Z429">
    <cfRule type="dataBar" priority="5620">
      <dataBar>
        <cfvo type="min"/>
        <cfvo type="max"/>
        <color rgb="FF63C384"/>
      </dataBar>
    </cfRule>
    <cfRule type="dataBar" priority="5619">
      <dataBar>
        <cfvo type="min"/>
        <cfvo type="max"/>
        <color rgb="FF63C384"/>
      </dataBar>
    </cfRule>
  </conditionalFormatting>
  <conditionalFormatting sqref="C430">
    <cfRule type="containsText" priority="5616" operator="containsText" dxfId="1" text="Einnahmen">
      <formula>NOT(ISERROR(SEARCH("Einnahmen",C430)))</formula>
    </cfRule>
    <cfRule type="containsText" priority="5617" operator="containsText" dxfId="0" text="Ausgaben">
      <formula>NOT(ISERROR(SEARCH("Ausgaben",C430)))</formula>
    </cfRule>
  </conditionalFormatting>
  <conditionalFormatting sqref="J430">
    <cfRule type="cellIs" priority="5615" operator="equal" dxfId="2034">
      <formula>"ja"</formula>
    </cfRule>
  </conditionalFormatting>
  <conditionalFormatting sqref="T430">
    <cfRule type="expression" priority="5614" dxfId="2">
      <formula>AND(AND($W430&lt;TODAY(),$W430&lt;&gt;""),$X430="")</formula>
    </cfRule>
  </conditionalFormatting>
  <conditionalFormatting sqref="Z430">
    <cfRule type="dataBar" priority="5613">
      <dataBar>
        <cfvo type="min"/>
        <cfvo type="max"/>
        <color rgb="FF63C384"/>
      </dataBar>
    </cfRule>
    <cfRule type="dataBar" priority="5612">
      <dataBar>
        <cfvo type="min"/>
        <cfvo type="max"/>
        <color rgb="FF63C384"/>
      </dataBar>
    </cfRule>
  </conditionalFormatting>
  <conditionalFormatting sqref="C431">
    <cfRule type="containsText" priority="5609" operator="containsText" dxfId="1" text="Einnahmen">
      <formula>NOT(ISERROR(SEARCH("Einnahmen",C431)))</formula>
    </cfRule>
    <cfRule type="containsText" priority="5610" operator="containsText" dxfId="0" text="Ausgaben">
      <formula>NOT(ISERROR(SEARCH("Ausgaben",C431)))</formula>
    </cfRule>
  </conditionalFormatting>
  <conditionalFormatting sqref="T431">
    <cfRule type="expression" priority="5608" dxfId="2">
      <formula>AND(AND($W431&lt;TODAY(),$W431&lt;&gt;""),$X431="")</formula>
    </cfRule>
  </conditionalFormatting>
  <conditionalFormatting sqref="J431">
    <cfRule type="cellIs" priority="5607" operator="equal" dxfId="2034">
      <formula>"ja"</formula>
    </cfRule>
  </conditionalFormatting>
  <conditionalFormatting sqref="Z431">
    <cfRule type="dataBar" priority="5606">
      <dataBar>
        <cfvo type="min"/>
        <cfvo type="max"/>
        <color rgb="FF63C384"/>
      </dataBar>
    </cfRule>
    <cfRule type="dataBar" priority="5605">
      <dataBar>
        <cfvo type="min"/>
        <cfvo type="max"/>
        <color rgb="FF63C384"/>
      </dataBar>
    </cfRule>
  </conditionalFormatting>
  <conditionalFormatting sqref="C432">
    <cfRule type="containsText" priority="5603" operator="containsText" dxfId="1" text="Einnahmen">
      <formula>NOT(ISERROR(SEARCH("Einnahmen",C432)))</formula>
    </cfRule>
    <cfRule type="containsText" priority="5604" operator="containsText" dxfId="0" text="Ausgaben">
      <formula>NOT(ISERROR(SEARCH("Ausgaben",C432)))</formula>
    </cfRule>
  </conditionalFormatting>
  <conditionalFormatting sqref="J432">
    <cfRule type="cellIs" priority="5602" operator="equal" dxfId="2034">
      <formula>"ja"</formula>
    </cfRule>
  </conditionalFormatting>
  <conditionalFormatting sqref="T432">
    <cfRule type="expression" priority="5601" dxfId="2">
      <formula>AND(AND($W432&lt;TODAY(),$W432&lt;&gt;""),$X432="")</formula>
    </cfRule>
  </conditionalFormatting>
  <conditionalFormatting sqref="Z432">
    <cfRule type="dataBar" priority="5600">
      <dataBar>
        <cfvo type="min"/>
        <cfvo type="max"/>
        <color rgb="FF63C384"/>
      </dataBar>
    </cfRule>
    <cfRule type="dataBar" priority="5599">
      <dataBar>
        <cfvo type="min"/>
        <cfvo type="max"/>
        <color rgb="FF63C384"/>
      </dataBar>
    </cfRule>
  </conditionalFormatting>
  <conditionalFormatting sqref="C433">
    <cfRule type="containsText" priority="5596" operator="containsText" dxfId="1" text="Einnahmen">
      <formula>NOT(ISERROR(SEARCH("Einnahmen",C433)))</formula>
    </cfRule>
    <cfRule type="containsText" priority="5597" operator="containsText" dxfId="0" text="Ausgaben">
      <formula>NOT(ISERROR(SEARCH("Ausgaben",C433)))</formula>
    </cfRule>
  </conditionalFormatting>
  <conditionalFormatting sqref="T433">
    <cfRule type="expression" priority="5595" dxfId="2">
      <formula>AND(AND($W433&lt;TODAY(),$W433&lt;&gt;""),$X433="")</formula>
    </cfRule>
  </conditionalFormatting>
  <conditionalFormatting sqref="J433">
    <cfRule type="cellIs" priority="5594" operator="equal" dxfId="2034">
      <formula>"ja"</formula>
    </cfRule>
  </conditionalFormatting>
  <conditionalFormatting sqref="Z433">
    <cfRule type="dataBar" priority="5593">
      <dataBar>
        <cfvo type="min"/>
        <cfvo type="max"/>
        <color rgb="FF63C384"/>
      </dataBar>
    </cfRule>
    <cfRule type="dataBar" priority="5592">
      <dataBar>
        <cfvo type="min"/>
        <cfvo type="max"/>
        <color rgb="FF63C384"/>
      </dataBar>
    </cfRule>
  </conditionalFormatting>
  <conditionalFormatting sqref="C434">
    <cfRule type="containsText" priority="5590" operator="containsText" dxfId="1" text="Einnahmen">
      <formula>NOT(ISERROR(SEARCH("Einnahmen",C434)))</formula>
    </cfRule>
    <cfRule type="containsText" priority="5591" operator="containsText" dxfId="0" text="Ausgaben">
      <formula>NOT(ISERROR(SEARCH("Ausgaben",C434)))</formula>
    </cfRule>
  </conditionalFormatting>
  <conditionalFormatting sqref="J434">
    <cfRule type="cellIs" priority="5589" operator="equal" dxfId="2034">
      <formula>"ja"</formula>
    </cfRule>
  </conditionalFormatting>
  <conditionalFormatting sqref="T434">
    <cfRule type="expression" priority="5588" dxfId="2">
      <formula>AND(AND($W434&lt;TODAY(),$W434&lt;&gt;""),$X434="")</formula>
    </cfRule>
  </conditionalFormatting>
  <conditionalFormatting sqref="Z434">
    <cfRule type="dataBar" priority="5587">
      <dataBar>
        <cfvo type="min"/>
        <cfvo type="max"/>
        <color rgb="FF63C384"/>
      </dataBar>
    </cfRule>
    <cfRule type="dataBar" priority="5586">
      <dataBar>
        <cfvo type="min"/>
        <cfvo type="max"/>
        <color rgb="FF63C384"/>
      </dataBar>
    </cfRule>
  </conditionalFormatting>
  <conditionalFormatting sqref="C435:C436 C450 C453:C454">
    <cfRule type="containsText" priority="5584" operator="containsText" dxfId="1" text="Einnahmen">
      <formula>NOT(ISERROR(SEARCH("Einnahmen",C435)))</formula>
    </cfRule>
    <cfRule type="containsText" priority="5585" operator="containsText" dxfId="0" text="Ausgaben">
      <formula>NOT(ISERROR(SEARCH("Ausgaben",C435)))</formula>
    </cfRule>
  </conditionalFormatting>
  <conditionalFormatting sqref="J435">
    <cfRule type="cellIs" priority="5583" operator="equal" dxfId="2034">
      <formula>"ja"</formula>
    </cfRule>
  </conditionalFormatting>
  <conditionalFormatting sqref="T435">
    <cfRule type="expression" priority="5582" dxfId="2">
      <formula>AND(AND($W435&lt;TODAY(),$W435&lt;&gt;""),$X435="")</formula>
    </cfRule>
  </conditionalFormatting>
  <conditionalFormatting sqref="Z435">
    <cfRule type="dataBar" priority="5581">
      <dataBar>
        <cfvo type="min"/>
        <cfvo type="max"/>
        <color rgb="FF63C384"/>
      </dataBar>
    </cfRule>
    <cfRule type="dataBar" priority="5580">
      <dataBar>
        <cfvo type="min"/>
        <cfvo type="max"/>
        <color rgb="FF63C384"/>
      </dataBar>
    </cfRule>
  </conditionalFormatting>
  <conditionalFormatting sqref="T436">
    <cfRule type="expression" priority="5579" dxfId="2">
      <formula>AND(AND($W436&lt;TODAY(),$W436&lt;&gt;""),$X436="")</formula>
    </cfRule>
  </conditionalFormatting>
  <conditionalFormatting sqref="Z436">
    <cfRule type="dataBar" priority="5578">
      <dataBar>
        <cfvo type="min"/>
        <cfvo type="max"/>
        <color rgb="FF63C384"/>
      </dataBar>
    </cfRule>
    <cfRule type="dataBar" priority="5577">
      <dataBar>
        <cfvo type="min"/>
        <cfvo type="max"/>
        <color rgb="FF63C384"/>
      </dataBar>
    </cfRule>
  </conditionalFormatting>
  <conditionalFormatting sqref="C437">
    <cfRule type="containsText" priority="5575" operator="containsText" dxfId="1" text="Einnahmen">
      <formula>NOT(ISERROR(SEARCH("Einnahmen",C437)))</formula>
    </cfRule>
    <cfRule type="containsText" priority="5576" operator="containsText" dxfId="0" text="Ausgaben">
      <formula>NOT(ISERROR(SEARCH("Ausgaben",C437)))</formula>
    </cfRule>
  </conditionalFormatting>
  <conditionalFormatting sqref="J437">
    <cfRule type="cellIs" priority="5573" operator="equal" dxfId="2034">
      <formula>"ja"</formula>
    </cfRule>
  </conditionalFormatting>
  <conditionalFormatting sqref="T437">
    <cfRule type="expression" priority="5572" dxfId="2">
      <formula>AND(AND($W437&lt;TODAY(),$W437&lt;&gt;""),$X437="")</formula>
    </cfRule>
  </conditionalFormatting>
  <conditionalFormatting sqref="Z437">
    <cfRule type="dataBar" priority="5571">
      <dataBar>
        <cfvo type="min"/>
        <cfvo type="max"/>
        <color rgb="FF63C384"/>
      </dataBar>
    </cfRule>
    <cfRule type="dataBar" priority="5570">
      <dataBar>
        <cfvo type="min"/>
        <cfvo type="max"/>
        <color rgb="FF63C384"/>
      </dataBar>
    </cfRule>
  </conditionalFormatting>
  <conditionalFormatting sqref="J438">
    <cfRule type="cellIs" priority="5568" operator="equal" dxfId="2034">
      <formula>"ja"</formula>
    </cfRule>
  </conditionalFormatting>
  <conditionalFormatting sqref="C438">
    <cfRule type="containsText" priority="5566" operator="containsText" dxfId="1" text="Einnahmen">
      <formula>NOT(ISERROR(SEARCH("Einnahmen",C438)))</formula>
    </cfRule>
    <cfRule type="containsText" priority="5567" operator="containsText" dxfId="0" text="Ausgaben">
      <formula>NOT(ISERROR(SEARCH("Ausgaben",C438)))</formula>
    </cfRule>
  </conditionalFormatting>
  <conditionalFormatting sqref="T438">
    <cfRule type="expression" priority="5565" dxfId="2">
      <formula>AND(AND($W438&lt;TODAY(),$W438&lt;&gt;""),$X438="")</formula>
    </cfRule>
  </conditionalFormatting>
  <conditionalFormatting sqref="Z438">
    <cfRule type="dataBar" priority="5564">
      <dataBar>
        <cfvo type="min"/>
        <cfvo type="max"/>
        <color rgb="FF63C384"/>
      </dataBar>
    </cfRule>
    <cfRule type="dataBar" priority="5563">
      <dataBar>
        <cfvo type="min"/>
        <cfvo type="max"/>
        <color rgb="FF63C384"/>
      </dataBar>
    </cfRule>
  </conditionalFormatting>
  <conditionalFormatting sqref="C439">
    <cfRule type="containsText" priority="5561" operator="containsText" dxfId="1" text="Einnahmen">
      <formula>NOT(ISERROR(SEARCH("Einnahmen",C439)))</formula>
    </cfRule>
    <cfRule type="containsText" priority="5562" operator="containsText" dxfId="0" text="Ausgaben">
      <formula>NOT(ISERROR(SEARCH("Ausgaben",C439)))</formula>
    </cfRule>
  </conditionalFormatting>
  <conditionalFormatting sqref="T439">
    <cfRule type="expression" priority="5560" dxfId="2">
      <formula>AND(AND($W439&lt;TODAY(),$W439&lt;&gt;""),$X439="")</formula>
    </cfRule>
  </conditionalFormatting>
  <conditionalFormatting sqref="Z439">
    <cfRule type="dataBar" priority="5559">
      <dataBar>
        <cfvo type="min"/>
        <cfvo type="max"/>
        <color rgb="FF63C384"/>
      </dataBar>
    </cfRule>
    <cfRule type="dataBar" priority="5558">
      <dataBar>
        <cfvo type="min"/>
        <cfvo type="max"/>
        <color rgb="FF63C384"/>
      </dataBar>
    </cfRule>
  </conditionalFormatting>
  <conditionalFormatting sqref="J439">
    <cfRule type="cellIs" priority="5557" operator="equal" dxfId="2034">
      <formula>"ja"</formula>
    </cfRule>
  </conditionalFormatting>
  <conditionalFormatting sqref="J440">
    <cfRule type="cellIs" priority="5555" operator="equal" dxfId="2034">
      <formula>"ja"</formula>
    </cfRule>
  </conditionalFormatting>
  <conditionalFormatting sqref="C440">
    <cfRule type="containsText" priority="5553" operator="containsText" dxfId="1" text="Einnahmen">
      <formula>NOT(ISERROR(SEARCH("Einnahmen",C440)))</formula>
    </cfRule>
    <cfRule type="containsText" priority="5554" operator="containsText" dxfId="0" text="Ausgaben">
      <formula>NOT(ISERROR(SEARCH("Ausgaben",C440)))</formula>
    </cfRule>
  </conditionalFormatting>
  <conditionalFormatting sqref="T440">
    <cfRule type="expression" priority="5552" dxfId="2">
      <formula>AND(AND($W440&lt;TODAY(),$W440&lt;&gt;""),$X440="")</formula>
    </cfRule>
  </conditionalFormatting>
  <conditionalFormatting sqref="Z440">
    <cfRule type="dataBar" priority="5551">
      <dataBar>
        <cfvo type="min"/>
        <cfvo type="max"/>
        <color rgb="FF63C384"/>
      </dataBar>
    </cfRule>
    <cfRule type="dataBar" priority="5550">
      <dataBar>
        <cfvo type="min"/>
        <cfvo type="max"/>
        <color rgb="FF63C384"/>
      </dataBar>
    </cfRule>
  </conditionalFormatting>
  <conditionalFormatting sqref="C441">
    <cfRule type="containsText" priority="5548" operator="containsText" dxfId="1" text="Einnahmen">
      <formula>NOT(ISERROR(SEARCH("Einnahmen",C441)))</formula>
    </cfRule>
    <cfRule type="containsText" priority="5549" operator="containsText" dxfId="0" text="Ausgaben">
      <formula>NOT(ISERROR(SEARCH("Ausgaben",C441)))</formula>
    </cfRule>
  </conditionalFormatting>
  <conditionalFormatting sqref="T441">
    <cfRule type="expression" priority="5547" dxfId="2">
      <formula>AND(AND($W441&lt;TODAY(),$W441&lt;&gt;""),$X441="")</formula>
    </cfRule>
  </conditionalFormatting>
  <conditionalFormatting sqref="J441">
    <cfRule type="cellIs" priority="5546" operator="equal" dxfId="2034">
      <formula>"ja"</formula>
    </cfRule>
  </conditionalFormatting>
  <conditionalFormatting sqref="Z441">
    <cfRule type="dataBar" priority="5545">
      <dataBar>
        <cfvo type="min"/>
        <cfvo type="max"/>
        <color rgb="FF63C384"/>
      </dataBar>
    </cfRule>
    <cfRule type="dataBar" priority="5544">
      <dataBar>
        <cfvo type="min"/>
        <cfvo type="max"/>
        <color rgb="FF63C384"/>
      </dataBar>
    </cfRule>
  </conditionalFormatting>
  <conditionalFormatting sqref="C442">
    <cfRule type="containsText" priority="5536" operator="containsText" dxfId="1" text="Einnahmen">
      <formula>NOT(ISERROR(SEARCH("Einnahmen",C442)))</formula>
    </cfRule>
    <cfRule type="containsText" priority="5537" operator="containsText" dxfId="0" text="Ausgaben">
      <formula>NOT(ISERROR(SEARCH("Ausgaben",C442)))</formula>
    </cfRule>
  </conditionalFormatting>
  <conditionalFormatting sqref="J442">
    <cfRule type="cellIs" priority="5535" operator="equal" dxfId="2034">
      <formula>"ja"</formula>
    </cfRule>
  </conditionalFormatting>
  <conditionalFormatting sqref="T442">
    <cfRule type="expression" priority="5534" dxfId="2">
      <formula>AND(AND($W442&lt;TODAY(),$W442&lt;&gt;""),$X442="")</formula>
    </cfRule>
  </conditionalFormatting>
  <conditionalFormatting sqref="Z442">
    <cfRule type="dataBar" priority="5533">
      <dataBar>
        <cfvo type="min"/>
        <cfvo type="max"/>
        <color rgb="FF63C384"/>
      </dataBar>
    </cfRule>
    <cfRule type="dataBar" priority="5532">
      <dataBar>
        <cfvo type="min"/>
        <cfvo type="max"/>
        <color rgb="FF63C384"/>
      </dataBar>
    </cfRule>
  </conditionalFormatting>
  <conditionalFormatting sqref="C443">
    <cfRule type="containsText" priority="5529" operator="containsText" dxfId="1" text="Einnahmen">
      <formula>NOT(ISERROR(SEARCH("Einnahmen",C443)))</formula>
    </cfRule>
    <cfRule type="containsText" priority="5530" operator="containsText" dxfId="0" text="Ausgaben">
      <formula>NOT(ISERROR(SEARCH("Ausgaben",C443)))</formula>
    </cfRule>
  </conditionalFormatting>
  <conditionalFormatting sqref="J443">
    <cfRule type="cellIs" priority="5528" operator="equal" dxfId="2034">
      <formula>"ja"</formula>
    </cfRule>
  </conditionalFormatting>
  <conditionalFormatting sqref="T443">
    <cfRule type="expression" priority="5527" dxfId="2">
      <formula>AND(AND($W443&lt;TODAY(),$W443&lt;&gt;""),$X443="")</formula>
    </cfRule>
  </conditionalFormatting>
  <conditionalFormatting sqref="Z443">
    <cfRule type="dataBar" priority="5526">
      <dataBar>
        <cfvo type="min"/>
        <cfvo type="max"/>
        <color rgb="FF63C384"/>
      </dataBar>
    </cfRule>
    <cfRule type="dataBar" priority="5525">
      <dataBar>
        <cfvo type="min"/>
        <cfvo type="max"/>
        <color rgb="FF63C384"/>
      </dataBar>
    </cfRule>
  </conditionalFormatting>
  <conditionalFormatting sqref="C444">
    <cfRule type="containsText" priority="5522" operator="containsText" dxfId="1" text="Einnahmen">
      <formula>NOT(ISERROR(SEARCH("Einnahmen",C444)))</formula>
    </cfRule>
    <cfRule type="containsText" priority="5523" operator="containsText" dxfId="0" text="Ausgaben">
      <formula>NOT(ISERROR(SEARCH("Ausgaben",C444)))</formula>
    </cfRule>
  </conditionalFormatting>
  <conditionalFormatting sqref="T444">
    <cfRule type="expression" priority="5521" dxfId="2">
      <formula>AND(AND($W444&lt;TODAY(),$W444&lt;&gt;""),$X444="")</formula>
    </cfRule>
  </conditionalFormatting>
  <conditionalFormatting sqref="J444">
    <cfRule type="cellIs" priority="5520" operator="equal" dxfId="2034">
      <formula>"ja"</formula>
    </cfRule>
  </conditionalFormatting>
  <conditionalFormatting sqref="Z444">
    <cfRule type="dataBar" priority="5519">
      <dataBar>
        <cfvo type="min"/>
        <cfvo type="max"/>
        <color rgb="FF63C384"/>
      </dataBar>
    </cfRule>
    <cfRule type="dataBar" priority="5518">
      <dataBar>
        <cfvo type="min"/>
        <cfvo type="max"/>
        <color rgb="FF63C384"/>
      </dataBar>
    </cfRule>
  </conditionalFormatting>
  <conditionalFormatting sqref="J445">
    <cfRule type="cellIs" priority="5517" operator="equal" dxfId="2034">
      <formula>"ja"</formula>
    </cfRule>
  </conditionalFormatting>
  <conditionalFormatting sqref="T445">
    <cfRule type="expression" priority="5516" dxfId="2">
      <formula>AND(AND($W445&lt;TODAY(),$W445&lt;&gt;""),$X445="")</formula>
    </cfRule>
  </conditionalFormatting>
  <conditionalFormatting sqref="Z445">
    <cfRule type="dataBar" priority="5515">
      <dataBar>
        <cfvo type="min"/>
        <cfvo type="max"/>
        <color rgb="FF63C384"/>
      </dataBar>
    </cfRule>
    <cfRule type="dataBar" priority="5514">
      <dataBar>
        <cfvo type="min"/>
        <cfvo type="max"/>
        <color rgb="FF63C384"/>
      </dataBar>
    </cfRule>
  </conditionalFormatting>
  <conditionalFormatting sqref="C445">
    <cfRule type="containsText" priority="5512" operator="containsText" dxfId="1" text="Einnahmen">
      <formula>NOT(ISERROR(SEARCH("Einnahmen",C445)))</formula>
    </cfRule>
    <cfRule type="containsText" priority="5513" operator="containsText" dxfId="0" text="Ausgaben">
      <formula>NOT(ISERROR(SEARCH("Ausgaben",C445)))</formula>
    </cfRule>
  </conditionalFormatting>
  <conditionalFormatting sqref="J446">
    <cfRule type="cellIs" priority="5511" operator="equal" dxfId="2034">
      <formula>"ja"</formula>
    </cfRule>
  </conditionalFormatting>
  <conditionalFormatting sqref="T446">
    <cfRule type="expression" priority="5510" dxfId="2">
      <formula>AND(AND($W446&lt;TODAY(),$W446&lt;&gt;""),$X446="")</formula>
    </cfRule>
  </conditionalFormatting>
  <conditionalFormatting sqref="Z446">
    <cfRule type="dataBar" priority="5509">
      <dataBar>
        <cfvo type="min"/>
        <cfvo type="max"/>
        <color rgb="FF63C384"/>
      </dataBar>
    </cfRule>
    <cfRule type="dataBar" priority="5508">
      <dataBar>
        <cfvo type="min"/>
        <cfvo type="max"/>
        <color rgb="FF63C384"/>
      </dataBar>
    </cfRule>
  </conditionalFormatting>
  <conditionalFormatting sqref="C446">
    <cfRule type="containsText" priority="5506" operator="containsText" dxfId="1" text="Einnahmen">
      <formula>NOT(ISERROR(SEARCH("Einnahmen",C446)))</formula>
    </cfRule>
    <cfRule type="containsText" priority="5507" operator="containsText" dxfId="0" text="Ausgaben">
      <formula>NOT(ISERROR(SEARCH("Ausgaben",C446)))</formula>
    </cfRule>
  </conditionalFormatting>
  <conditionalFormatting sqref="C447">
    <cfRule type="containsText" priority="5504" operator="containsText" dxfId="1" text="Einnahmen">
      <formula>NOT(ISERROR(SEARCH("Einnahmen",C447)))</formula>
    </cfRule>
    <cfRule type="containsText" priority="5505" operator="containsText" dxfId="0" text="Ausgaben">
      <formula>NOT(ISERROR(SEARCH("Ausgaben",C447)))</formula>
    </cfRule>
  </conditionalFormatting>
  <conditionalFormatting sqref="J447">
    <cfRule type="cellIs" priority="5503" operator="equal" dxfId="2034">
      <formula>"ja"</formula>
    </cfRule>
  </conditionalFormatting>
  <conditionalFormatting sqref="T447">
    <cfRule type="expression" priority="5502" dxfId="2">
      <formula>AND(AND($W447&lt;TODAY(),$W447&lt;&gt;""),$X447="")</formula>
    </cfRule>
  </conditionalFormatting>
  <conditionalFormatting sqref="Z447">
    <cfRule type="dataBar" priority="5501">
      <dataBar>
        <cfvo type="min"/>
        <cfvo type="max"/>
        <color rgb="FF63C384"/>
      </dataBar>
    </cfRule>
    <cfRule type="dataBar" priority="5500">
      <dataBar>
        <cfvo type="min"/>
        <cfvo type="max"/>
        <color rgb="FF63C384"/>
      </dataBar>
    </cfRule>
  </conditionalFormatting>
  <conditionalFormatting sqref="J448">
    <cfRule type="cellIs" priority="5498" operator="equal" dxfId="2034">
      <formula>"ja"</formula>
    </cfRule>
  </conditionalFormatting>
  <conditionalFormatting sqref="T448">
    <cfRule type="expression" priority="5497" dxfId="2">
      <formula>AND(AND($W448&lt;TODAY(),$W448&lt;&gt;""),$X448="")</formula>
    </cfRule>
  </conditionalFormatting>
  <conditionalFormatting sqref="Z448">
    <cfRule type="dataBar" priority="5496">
      <dataBar>
        <cfvo type="min"/>
        <cfvo type="max"/>
        <color rgb="FF63C384"/>
      </dataBar>
    </cfRule>
    <cfRule type="dataBar" priority="5495">
      <dataBar>
        <cfvo type="min"/>
        <cfvo type="max"/>
        <color rgb="FF63C384"/>
      </dataBar>
    </cfRule>
  </conditionalFormatting>
  <conditionalFormatting sqref="C448">
    <cfRule type="containsText" priority="5493" operator="containsText" dxfId="1" text="Einnahmen">
      <formula>NOT(ISERROR(SEARCH("Einnahmen",C448)))</formula>
    </cfRule>
    <cfRule type="containsText" priority="5494" operator="containsText" dxfId="0" text="Ausgaben">
      <formula>NOT(ISERROR(SEARCH("Ausgaben",C448)))</formula>
    </cfRule>
  </conditionalFormatting>
  <conditionalFormatting sqref="C449">
    <cfRule type="containsText" priority="5491" operator="containsText" dxfId="1" text="Einnahmen">
      <formula>NOT(ISERROR(SEARCH("Einnahmen",C449)))</formula>
    </cfRule>
    <cfRule type="containsText" priority="5492" operator="containsText" dxfId="0" text="Ausgaben">
      <formula>NOT(ISERROR(SEARCH("Ausgaben",C449)))</formula>
    </cfRule>
  </conditionalFormatting>
  <conditionalFormatting sqref="T449">
    <cfRule type="expression" priority="5490" dxfId="2">
      <formula>AND(AND($W449&lt;TODAY(),$W449&lt;&gt;""),$X449="")</formula>
    </cfRule>
  </conditionalFormatting>
  <conditionalFormatting sqref="J449">
    <cfRule type="cellIs" priority="5489" operator="equal" dxfId="2034">
      <formula>"ja"</formula>
    </cfRule>
  </conditionalFormatting>
  <conditionalFormatting sqref="Z449">
    <cfRule type="dataBar" priority="5488">
      <dataBar>
        <cfvo type="min"/>
        <cfvo type="max"/>
        <color rgb="FF63C384"/>
      </dataBar>
    </cfRule>
    <cfRule type="dataBar" priority="5487">
      <dataBar>
        <cfvo type="min"/>
        <cfvo type="max"/>
        <color rgb="FF63C384"/>
      </dataBar>
    </cfRule>
  </conditionalFormatting>
  <conditionalFormatting sqref="T450">
    <cfRule type="expression" priority="5486" dxfId="2">
      <formula>AND(AND($W450&lt;TODAY(),$W450&lt;&gt;""),$X450="")</formula>
    </cfRule>
  </conditionalFormatting>
  <conditionalFormatting sqref="Z450">
    <cfRule type="dataBar" priority="5485">
      <dataBar>
        <cfvo type="min"/>
        <cfvo type="max"/>
        <color rgb="FF63C384"/>
      </dataBar>
    </cfRule>
    <cfRule type="dataBar" priority="5484">
      <dataBar>
        <cfvo type="min"/>
        <cfvo type="max"/>
        <color rgb="FF63C384"/>
      </dataBar>
    </cfRule>
  </conditionalFormatting>
  <conditionalFormatting sqref="C451">
    <cfRule type="containsText" priority="5482" operator="containsText" dxfId="1" text="Einnahmen">
      <formula>NOT(ISERROR(SEARCH("Einnahmen",C451)))</formula>
    </cfRule>
    <cfRule type="containsText" priority="5483" operator="containsText" dxfId="0" text="Ausgaben">
      <formula>NOT(ISERROR(SEARCH("Ausgaben",C451)))</formula>
    </cfRule>
  </conditionalFormatting>
  <conditionalFormatting sqref="J451">
    <cfRule type="cellIs" priority="5481" operator="equal" dxfId="2034">
      <formula>"ja"</formula>
    </cfRule>
  </conditionalFormatting>
  <conditionalFormatting sqref="T451">
    <cfRule type="expression" priority="5480" dxfId="2">
      <formula>AND(AND($W451&lt;TODAY(),$W451&lt;&gt;""),$X451="")</formula>
    </cfRule>
  </conditionalFormatting>
  <conditionalFormatting sqref="Z451">
    <cfRule type="dataBar" priority="5479">
      <dataBar>
        <cfvo type="min"/>
        <cfvo type="max"/>
        <color rgb="FF63C384"/>
      </dataBar>
    </cfRule>
    <cfRule type="dataBar" priority="5478">
      <dataBar>
        <cfvo type="min"/>
        <cfvo type="max"/>
        <color rgb="FF63C384"/>
      </dataBar>
    </cfRule>
  </conditionalFormatting>
  <conditionalFormatting sqref="C452">
    <cfRule type="containsText" priority="5476" operator="containsText" dxfId="1" text="Einnahmen">
      <formula>NOT(ISERROR(SEARCH("Einnahmen",C452)))</formula>
    </cfRule>
    <cfRule type="containsText" priority="5477" operator="containsText" dxfId="0" text="Ausgaben">
      <formula>NOT(ISERROR(SEARCH("Ausgaben",C452)))</formula>
    </cfRule>
  </conditionalFormatting>
  <conditionalFormatting sqref="T452">
    <cfRule type="expression" priority="5475" dxfId="2">
      <formula>AND(AND($W452&lt;TODAY(),$W452&lt;&gt;""),$X452="")</formula>
    </cfRule>
  </conditionalFormatting>
  <conditionalFormatting sqref="J452">
    <cfRule type="cellIs" priority="5473" operator="equal" dxfId="2034">
      <formula>"ja"</formula>
    </cfRule>
  </conditionalFormatting>
  <conditionalFormatting sqref="Z452">
    <cfRule type="dataBar" priority="5472">
      <dataBar>
        <cfvo type="min"/>
        <cfvo type="max"/>
        <color rgb="FF63C384"/>
      </dataBar>
    </cfRule>
    <cfRule type="dataBar" priority="5471">
      <dataBar>
        <cfvo type="min"/>
        <cfvo type="max"/>
        <color rgb="FF63C384"/>
      </dataBar>
    </cfRule>
  </conditionalFormatting>
  <conditionalFormatting sqref="T453">
    <cfRule type="expression" priority="5470" dxfId="2">
      <formula>AND(AND($W453&lt;TODAY(),$W453&lt;&gt;""),$X453="")</formula>
    </cfRule>
  </conditionalFormatting>
  <conditionalFormatting sqref="Z453">
    <cfRule type="dataBar" priority="5469">
      <dataBar>
        <cfvo type="min"/>
        <cfvo type="max"/>
        <color rgb="FF63C384"/>
      </dataBar>
    </cfRule>
    <cfRule type="dataBar" priority="5468">
      <dataBar>
        <cfvo type="min"/>
        <cfvo type="max"/>
        <color rgb="FF63C384"/>
      </dataBar>
    </cfRule>
  </conditionalFormatting>
  <conditionalFormatting sqref="T454">
    <cfRule type="expression" priority="5467" dxfId="2">
      <formula>AND(AND($W454&lt;TODAY(),$W454&lt;&gt;""),$X454="")</formula>
    </cfRule>
  </conditionalFormatting>
  <conditionalFormatting sqref="Z454">
    <cfRule type="dataBar" priority="5466">
      <dataBar>
        <cfvo type="min"/>
        <cfvo type="max"/>
        <color rgb="FF63C384"/>
      </dataBar>
    </cfRule>
    <cfRule type="dataBar" priority="5465">
      <dataBar>
        <cfvo type="min"/>
        <cfvo type="max"/>
        <color rgb="FF63C384"/>
      </dataBar>
    </cfRule>
  </conditionalFormatting>
  <conditionalFormatting sqref="C455">
    <cfRule type="containsText" priority="5463" operator="containsText" dxfId="1" text="Einnahmen">
      <formula>NOT(ISERROR(SEARCH("Einnahmen",C455)))</formula>
    </cfRule>
    <cfRule type="containsText" priority="5464" operator="containsText" dxfId="0" text="Ausgaben">
      <formula>NOT(ISERROR(SEARCH("Ausgaben",C455)))</formula>
    </cfRule>
  </conditionalFormatting>
  <conditionalFormatting sqref="J455">
    <cfRule type="cellIs" priority="5462" operator="equal" dxfId="2034">
      <formula>"ja"</formula>
    </cfRule>
  </conditionalFormatting>
  <conditionalFormatting sqref="T455">
    <cfRule type="expression" priority="5461" dxfId="2">
      <formula>AND(AND($W455&lt;TODAY(),$W455&lt;&gt;""),$X455="")</formula>
    </cfRule>
  </conditionalFormatting>
  <conditionalFormatting sqref="Z455">
    <cfRule type="dataBar" priority="5460">
      <dataBar>
        <cfvo type="min"/>
        <cfvo type="max"/>
        <color rgb="FF63C384"/>
      </dataBar>
    </cfRule>
    <cfRule type="dataBar" priority="5459">
      <dataBar>
        <cfvo type="min"/>
        <cfvo type="max"/>
        <color rgb="FF63C384"/>
      </dataBar>
    </cfRule>
  </conditionalFormatting>
  <conditionalFormatting sqref="C456">
    <cfRule type="containsText" priority="5450" operator="containsText" dxfId="1" text="Einnahmen">
      <formula>NOT(ISERROR(SEARCH("Einnahmen",C456)))</formula>
    </cfRule>
    <cfRule type="containsText" priority="5451" operator="containsText" dxfId="0" text="Ausgaben">
      <formula>NOT(ISERROR(SEARCH("Ausgaben",C456)))</formula>
    </cfRule>
  </conditionalFormatting>
  <conditionalFormatting sqref="T456">
    <cfRule type="expression" priority="5449" dxfId="2">
      <formula>AND(AND($W456&lt;TODAY(),$W456&lt;&gt;""),$X456="")</formula>
    </cfRule>
  </conditionalFormatting>
  <conditionalFormatting sqref="Z456">
    <cfRule type="dataBar" priority="5448">
      <dataBar>
        <cfvo type="min"/>
        <cfvo type="max"/>
        <color rgb="FF63C384"/>
      </dataBar>
    </cfRule>
    <cfRule type="dataBar" priority="5447">
      <dataBar>
        <cfvo type="min"/>
        <cfvo type="max"/>
        <color rgb="FF63C384"/>
      </dataBar>
    </cfRule>
  </conditionalFormatting>
  <conditionalFormatting sqref="J456">
    <cfRule type="cellIs" priority="5446" operator="equal" dxfId="2034">
      <formula>"ja"</formula>
    </cfRule>
  </conditionalFormatting>
  <conditionalFormatting sqref="J457">
    <cfRule type="cellIs" priority="5443" operator="equal" dxfId="2034">
      <formula>"ja"</formula>
    </cfRule>
  </conditionalFormatting>
  <conditionalFormatting sqref="C457">
    <cfRule type="containsText" priority="5441" operator="containsText" dxfId="1" text="Einnahmen">
      <formula>NOT(ISERROR(SEARCH("Einnahmen",C457)))</formula>
    </cfRule>
    <cfRule type="containsText" priority="5442" operator="containsText" dxfId="0" text="Ausgaben">
      <formula>NOT(ISERROR(SEARCH("Ausgaben",C457)))</formula>
    </cfRule>
  </conditionalFormatting>
  <conditionalFormatting sqref="T457">
    <cfRule type="expression" priority="5440" dxfId="2">
      <formula>AND(AND($W457&lt;TODAY(),$W457&lt;&gt;""),$X457="")</formula>
    </cfRule>
  </conditionalFormatting>
  <conditionalFormatting sqref="Z457">
    <cfRule type="dataBar" priority="5439">
      <dataBar>
        <cfvo type="min"/>
        <cfvo type="max"/>
        <color rgb="FF63C384"/>
      </dataBar>
    </cfRule>
    <cfRule type="dataBar" priority="5438">
      <dataBar>
        <cfvo type="min"/>
        <cfvo type="max"/>
        <color rgb="FF63C384"/>
      </dataBar>
    </cfRule>
  </conditionalFormatting>
  <conditionalFormatting sqref="J458">
    <cfRule type="cellIs" priority="5436" operator="equal" dxfId="2034">
      <formula>"ja"</formula>
    </cfRule>
  </conditionalFormatting>
  <conditionalFormatting sqref="C458">
    <cfRule type="containsText" priority="5434" operator="containsText" dxfId="1" text="Einnahmen">
      <formula>NOT(ISERROR(SEARCH("Einnahmen",C458)))</formula>
    </cfRule>
    <cfRule type="containsText" priority="5435" operator="containsText" dxfId="0" text="Ausgaben">
      <formula>NOT(ISERROR(SEARCH("Ausgaben",C458)))</formula>
    </cfRule>
  </conditionalFormatting>
  <conditionalFormatting sqref="T458">
    <cfRule type="expression" priority="5433" dxfId="2">
      <formula>AND(AND($W458&lt;TODAY(),$W458&lt;&gt;""),$X458="")</formula>
    </cfRule>
  </conditionalFormatting>
  <conditionalFormatting sqref="Z458">
    <cfRule type="dataBar" priority="5432">
      <dataBar>
        <cfvo type="min"/>
        <cfvo type="max"/>
        <color rgb="FF63C384"/>
      </dataBar>
    </cfRule>
    <cfRule type="dataBar" priority="5431">
      <dataBar>
        <cfvo type="min"/>
        <cfvo type="max"/>
        <color rgb="FF63C384"/>
      </dataBar>
    </cfRule>
  </conditionalFormatting>
  <conditionalFormatting sqref="C459">
    <cfRule type="containsText" priority="5429" operator="containsText" dxfId="1" text="Einnahmen">
      <formula>NOT(ISERROR(SEARCH("Einnahmen",C459)))</formula>
    </cfRule>
    <cfRule type="containsText" priority="5430" operator="containsText" dxfId="0" text="Ausgaben">
      <formula>NOT(ISERROR(SEARCH("Ausgaben",C459)))</formula>
    </cfRule>
  </conditionalFormatting>
  <conditionalFormatting sqref="T459">
    <cfRule type="expression" priority="5428" dxfId="2">
      <formula>AND(AND($W459&lt;TODAY(),$W459&lt;&gt;""),$X459="")</formula>
    </cfRule>
  </conditionalFormatting>
  <conditionalFormatting sqref="J459">
    <cfRule type="cellIs" priority="5427" operator="equal" dxfId="2034">
      <formula>"ja"</formula>
    </cfRule>
  </conditionalFormatting>
  <conditionalFormatting sqref="Z459">
    <cfRule type="dataBar" priority="5426">
      <dataBar>
        <cfvo type="min"/>
        <cfvo type="max"/>
        <color rgb="FF63C384"/>
      </dataBar>
    </cfRule>
    <cfRule type="dataBar" priority="5425">
      <dataBar>
        <cfvo type="min"/>
        <cfvo type="max"/>
        <color rgb="FF63C384"/>
      </dataBar>
    </cfRule>
  </conditionalFormatting>
  <conditionalFormatting sqref="C460">
    <cfRule type="containsText" priority="5423" operator="containsText" dxfId="1" text="Einnahmen">
      <formula>NOT(ISERROR(SEARCH("Einnahmen",C460)))</formula>
    </cfRule>
    <cfRule type="containsText" priority="5424" operator="containsText" dxfId="0" text="Ausgaben">
      <formula>NOT(ISERROR(SEARCH("Ausgaben",C460)))</formula>
    </cfRule>
  </conditionalFormatting>
  <conditionalFormatting sqref="J460">
    <cfRule type="cellIs" priority="5422" operator="equal" dxfId="2034">
      <formula>"ja"</formula>
    </cfRule>
  </conditionalFormatting>
  <conditionalFormatting sqref="T460">
    <cfRule type="expression" priority="5421" dxfId="2">
      <formula>AND(AND($W460&lt;TODAY(),$W460&lt;&gt;""),$X460="")</formula>
    </cfRule>
  </conditionalFormatting>
  <conditionalFormatting sqref="Z460">
    <cfRule type="dataBar" priority="5420">
      <dataBar>
        <cfvo type="min"/>
        <cfvo type="max"/>
        <color rgb="FF63C384"/>
      </dataBar>
    </cfRule>
    <cfRule type="dataBar" priority="5419">
      <dataBar>
        <cfvo type="min"/>
        <cfvo type="max"/>
        <color rgb="FF63C384"/>
      </dataBar>
    </cfRule>
  </conditionalFormatting>
  <conditionalFormatting sqref="C461">
    <cfRule type="containsText" priority="5416" operator="containsText" dxfId="1" text="Einnahmen">
      <formula>NOT(ISERROR(SEARCH("Einnahmen",C461)))</formula>
    </cfRule>
    <cfRule type="containsText" priority="5417" operator="containsText" dxfId="0" text="Ausgaben">
      <formula>NOT(ISERROR(SEARCH("Ausgaben",C461)))</formula>
    </cfRule>
  </conditionalFormatting>
  <conditionalFormatting sqref="J461">
    <cfRule type="cellIs" priority="5415" operator="equal" dxfId="2034">
      <formula>"ja"</formula>
    </cfRule>
  </conditionalFormatting>
  <conditionalFormatting sqref="T461">
    <cfRule type="expression" priority="5414" dxfId="2">
      <formula>AND(AND($W461&lt;TODAY(),$W461&lt;&gt;""),$X461="")</formula>
    </cfRule>
  </conditionalFormatting>
  <conditionalFormatting sqref="Z461">
    <cfRule type="dataBar" priority="5413">
      <dataBar>
        <cfvo type="min"/>
        <cfvo type="max"/>
        <color rgb="FF63C384"/>
      </dataBar>
    </cfRule>
    <cfRule type="dataBar" priority="5412">
      <dataBar>
        <cfvo type="min"/>
        <cfvo type="max"/>
        <color rgb="FF63C384"/>
      </dataBar>
    </cfRule>
  </conditionalFormatting>
  <conditionalFormatting sqref="C462">
    <cfRule type="containsText" priority="5409" operator="containsText" dxfId="1" text="Einnahmen">
      <formula>NOT(ISERROR(SEARCH("Einnahmen",C462)))</formula>
    </cfRule>
    <cfRule type="containsText" priority="5410" operator="containsText" dxfId="0" text="Ausgaben">
      <formula>NOT(ISERROR(SEARCH("Ausgaben",C462)))</formula>
    </cfRule>
  </conditionalFormatting>
  <conditionalFormatting sqref="T462">
    <cfRule type="expression" priority="5408" dxfId="2">
      <formula>AND(AND($W462&lt;TODAY(),$W462&lt;&gt;""),$X462="")</formula>
    </cfRule>
  </conditionalFormatting>
  <conditionalFormatting sqref="J462">
    <cfRule type="cellIs" priority="5407" operator="equal" dxfId="2034">
      <formula>"ja"</formula>
    </cfRule>
  </conditionalFormatting>
  <conditionalFormatting sqref="Z462">
    <cfRule type="dataBar" priority="5406">
      <dataBar>
        <cfvo type="min"/>
        <cfvo type="max"/>
        <color rgb="FF63C384"/>
      </dataBar>
    </cfRule>
    <cfRule type="dataBar" priority="5405">
      <dataBar>
        <cfvo type="min"/>
        <cfvo type="max"/>
        <color rgb="FF63C384"/>
      </dataBar>
    </cfRule>
  </conditionalFormatting>
  <conditionalFormatting sqref="C463">
    <cfRule type="containsText" priority="5402" operator="containsText" dxfId="1" text="Einnahmen">
      <formula>NOT(ISERROR(SEARCH("Einnahmen",C463)))</formula>
    </cfRule>
    <cfRule type="containsText" priority="5403" operator="containsText" dxfId="0" text="Ausgaben">
      <formula>NOT(ISERROR(SEARCH("Ausgaben",C463)))</formula>
    </cfRule>
  </conditionalFormatting>
  <conditionalFormatting sqref="T463">
    <cfRule type="expression" priority="5401" dxfId="2">
      <formula>AND(AND($W463&lt;TODAY(),$W463&lt;&gt;""),$X463="")</formula>
    </cfRule>
  </conditionalFormatting>
  <conditionalFormatting sqref="J463">
    <cfRule type="cellIs" priority="5400" operator="equal" dxfId="2034">
      <formula>"ja"</formula>
    </cfRule>
  </conditionalFormatting>
  <conditionalFormatting sqref="Z463">
    <cfRule type="dataBar" priority="5399">
      <dataBar>
        <cfvo type="min"/>
        <cfvo type="max"/>
        <color rgb="FF63C384"/>
      </dataBar>
    </cfRule>
    <cfRule type="dataBar" priority="5398">
      <dataBar>
        <cfvo type="min"/>
        <cfvo type="max"/>
        <color rgb="FF63C384"/>
      </dataBar>
    </cfRule>
  </conditionalFormatting>
  <conditionalFormatting sqref="J464">
    <cfRule type="cellIs" priority="5396" operator="equal" dxfId="2034">
      <formula>"ja"</formula>
    </cfRule>
  </conditionalFormatting>
  <conditionalFormatting sqref="T464">
    <cfRule type="expression" priority="5395" dxfId="2">
      <formula>AND(AND($W464&lt;TODAY(),$W464&lt;&gt;""),$X464="")</formula>
    </cfRule>
  </conditionalFormatting>
  <conditionalFormatting sqref="Z464">
    <cfRule type="dataBar" priority="5394">
      <dataBar>
        <cfvo type="min"/>
        <cfvo type="max"/>
        <color rgb="FF63C384"/>
      </dataBar>
    </cfRule>
    <cfRule type="dataBar" priority="5393">
      <dataBar>
        <cfvo type="min"/>
        <cfvo type="max"/>
        <color rgb="FF63C384"/>
      </dataBar>
    </cfRule>
  </conditionalFormatting>
  <conditionalFormatting sqref="C464">
    <cfRule type="containsText" priority="5391" operator="containsText" dxfId="1" text="Einnahmen">
      <formula>NOT(ISERROR(SEARCH("Einnahmen",C464)))</formula>
    </cfRule>
    <cfRule type="containsText" priority="5392" operator="containsText" dxfId="0" text="Ausgaben">
      <formula>NOT(ISERROR(SEARCH("Ausgaben",C464)))</formula>
    </cfRule>
  </conditionalFormatting>
  <conditionalFormatting sqref="J465">
    <cfRule type="cellIs" priority="5388" operator="equal" dxfId="2034">
      <formula>"ja"</formula>
    </cfRule>
  </conditionalFormatting>
  <conditionalFormatting sqref="T465">
    <cfRule type="expression" priority="5387" dxfId="2">
      <formula>AND(AND($W465&lt;TODAY(),$W465&lt;&gt;""),$X465="")</formula>
    </cfRule>
  </conditionalFormatting>
  <conditionalFormatting sqref="Z465">
    <cfRule type="dataBar" priority="5386">
      <dataBar>
        <cfvo type="min"/>
        <cfvo type="max"/>
        <color rgb="FF63C384"/>
      </dataBar>
    </cfRule>
    <cfRule type="dataBar" priority="5385">
      <dataBar>
        <cfvo type="min"/>
        <cfvo type="max"/>
        <color rgb="FF63C384"/>
      </dataBar>
    </cfRule>
  </conditionalFormatting>
  <conditionalFormatting sqref="C465">
    <cfRule type="containsText" priority="5383" operator="containsText" dxfId="1" text="Einnahmen">
      <formula>NOT(ISERROR(SEARCH("Einnahmen",C465)))</formula>
    </cfRule>
    <cfRule type="containsText" priority="5384" operator="containsText" dxfId="0" text="Ausgaben">
      <formula>NOT(ISERROR(SEARCH("Ausgaben",C465)))</formula>
    </cfRule>
  </conditionalFormatting>
  <conditionalFormatting sqref="C466">
    <cfRule type="containsText" priority="5381" operator="containsText" dxfId="1" text="Einnahmen">
      <formula>NOT(ISERROR(SEARCH("Einnahmen",C466)))</formula>
    </cfRule>
    <cfRule type="containsText" priority="5382" operator="containsText" dxfId="0" text="Ausgaben">
      <formula>NOT(ISERROR(SEARCH("Ausgaben",C466)))</formula>
    </cfRule>
  </conditionalFormatting>
  <conditionalFormatting sqref="J466">
    <cfRule type="cellIs" priority="5380" operator="equal" dxfId="2034">
      <formula>"ja"</formula>
    </cfRule>
  </conditionalFormatting>
  <conditionalFormatting sqref="T466 T481:T482 T499 T509">
    <cfRule type="expression" priority="5379" dxfId="2">
      <formula>AND(AND($W466&lt;TODAY(),$W466&lt;&gt;""),$X466="")</formula>
    </cfRule>
  </conditionalFormatting>
  <conditionalFormatting sqref="Z466 Z481:Z482 Z499 Z509">
    <cfRule type="dataBar" priority="5378">
      <dataBar>
        <cfvo type="min"/>
        <cfvo type="max"/>
        <color rgb="FF63C384"/>
      </dataBar>
    </cfRule>
  </conditionalFormatting>
  <conditionalFormatting sqref="Z481:Z482">
    <cfRule type="dataBar" priority="5377">
      <dataBar>
        <cfvo type="min"/>
        <cfvo type="max"/>
        <color rgb="FF63C384"/>
      </dataBar>
    </cfRule>
  </conditionalFormatting>
  <conditionalFormatting sqref="C468 C474 C481:C482 C484 C486 C490 C499 C506:C507 C509 C523 C525 C527 C533 C543 C565 C567">
    <cfRule type="containsText" priority="5374" operator="containsText" dxfId="1" text="Einnahmen">
      <formula>NOT(ISERROR(SEARCH("Einnahmen",C468)))</formula>
    </cfRule>
    <cfRule type="containsText" priority="5375" operator="containsText" dxfId="0" text="Ausgaben">
      <formula>NOT(ISERROR(SEARCH("Ausgaben",C468)))</formula>
    </cfRule>
  </conditionalFormatting>
  <conditionalFormatting sqref="C467">
    <cfRule type="containsText" priority="5372" operator="containsText" dxfId="1" text="Einnahmen">
      <formula>NOT(ISERROR(SEARCH("Einnahmen",C467)))</formula>
    </cfRule>
    <cfRule type="containsText" priority="5373" operator="containsText" dxfId="0" text="Ausgaben">
      <formula>NOT(ISERROR(SEARCH("Ausgaben",C467)))</formula>
    </cfRule>
  </conditionalFormatting>
  <conditionalFormatting sqref="J467">
    <cfRule type="cellIs" priority="5371" operator="equal" dxfId="2034">
      <formula>"ja"</formula>
    </cfRule>
  </conditionalFormatting>
  <conditionalFormatting sqref="T467">
    <cfRule type="expression" priority="5370" dxfId="2">
      <formula>AND(AND($W467&lt;TODAY(),$W467&lt;&gt;""),$X467="")</formula>
    </cfRule>
  </conditionalFormatting>
  <conditionalFormatting sqref="Z467">
    <cfRule type="dataBar" priority="5369">
      <dataBar>
        <cfvo type="min"/>
        <cfvo type="max"/>
        <color rgb="FF63C384"/>
      </dataBar>
    </cfRule>
    <cfRule type="dataBar" priority="5368">
      <dataBar>
        <cfvo type="min"/>
        <cfvo type="max"/>
        <color rgb="FF63C384"/>
      </dataBar>
    </cfRule>
  </conditionalFormatting>
  <conditionalFormatting sqref="T468">
    <cfRule type="expression" priority="5365" dxfId="2">
      <formula>AND(AND($W468&lt;TODAY(),$W468&lt;&gt;""),$X468="")</formula>
    </cfRule>
  </conditionalFormatting>
  <conditionalFormatting sqref="Z468">
    <cfRule type="dataBar" priority="5364">
      <dataBar>
        <cfvo type="min"/>
        <cfvo type="max"/>
        <color rgb="FF63C384"/>
      </dataBar>
    </cfRule>
    <cfRule type="dataBar" priority="5363">
      <dataBar>
        <cfvo type="min"/>
        <cfvo type="max"/>
        <color rgb="FF63C384"/>
      </dataBar>
    </cfRule>
  </conditionalFormatting>
  <conditionalFormatting sqref="C469">
    <cfRule type="containsText" priority="5361" operator="containsText" dxfId="1" text="Einnahmen">
      <formula>NOT(ISERROR(SEARCH("Einnahmen",C469)))</formula>
    </cfRule>
    <cfRule type="containsText" priority="5362" operator="containsText" dxfId="0" text="Ausgaben">
      <formula>NOT(ISERROR(SEARCH("Ausgaben",C469)))</formula>
    </cfRule>
  </conditionalFormatting>
  <conditionalFormatting sqref="T469">
    <cfRule type="expression" priority="5360" dxfId="2">
      <formula>AND(AND($W469&lt;TODAY(),$W469&lt;&gt;""),$X469="")</formula>
    </cfRule>
  </conditionalFormatting>
  <conditionalFormatting sqref="J469">
    <cfRule type="cellIs" priority="5359" operator="equal" dxfId="2034">
      <formula>"ja"</formula>
    </cfRule>
  </conditionalFormatting>
  <conditionalFormatting sqref="Z469">
    <cfRule type="dataBar" priority="5358">
      <dataBar>
        <cfvo type="min"/>
        <cfvo type="max"/>
        <color rgb="FF63C384"/>
      </dataBar>
    </cfRule>
    <cfRule type="dataBar" priority="5357">
      <dataBar>
        <cfvo type="min"/>
        <cfvo type="max"/>
        <color rgb="FF63C384"/>
      </dataBar>
    </cfRule>
  </conditionalFormatting>
  <conditionalFormatting sqref="J470:J471">
    <cfRule type="cellIs" priority="5348" operator="equal" dxfId="2034">
      <formula>"ja"</formula>
    </cfRule>
  </conditionalFormatting>
  <conditionalFormatting sqref="C470">
    <cfRule type="containsText" priority="5346" operator="containsText" dxfId="1" text="Einnahmen">
      <formula>NOT(ISERROR(SEARCH("Einnahmen",C470)))</formula>
    </cfRule>
    <cfRule type="containsText" priority="5347" operator="containsText" dxfId="0" text="Ausgaben">
      <formula>NOT(ISERROR(SEARCH("Ausgaben",C470)))</formula>
    </cfRule>
  </conditionalFormatting>
  <conditionalFormatting sqref="T470">
    <cfRule type="expression" priority="5345" dxfId="2">
      <formula>AND(AND($W470&lt;TODAY(),$W470&lt;&gt;""),$X470="")</formula>
    </cfRule>
  </conditionalFormatting>
  <conditionalFormatting sqref="Z470">
    <cfRule type="dataBar" priority="5344">
      <dataBar>
        <cfvo type="min"/>
        <cfvo type="max"/>
        <color rgb="FF63C384"/>
      </dataBar>
    </cfRule>
    <cfRule type="dataBar" priority="5343">
      <dataBar>
        <cfvo type="min"/>
        <cfvo type="max"/>
        <color rgb="FF63C384"/>
      </dataBar>
    </cfRule>
  </conditionalFormatting>
  <conditionalFormatting sqref="T501">
    <cfRule type="expression" priority="5036" dxfId="2">
      <formula>AND(AND($W501&lt;TODAY(),$W501&lt;&gt;""),$X501="")</formula>
    </cfRule>
  </conditionalFormatting>
  <conditionalFormatting sqref="T474">
    <cfRule type="expression" priority="5334" dxfId="2">
      <formula>AND(AND($W474&lt;TODAY(),$W474&lt;&gt;""),$X474="")</formula>
    </cfRule>
  </conditionalFormatting>
  <conditionalFormatting sqref="Z474">
    <cfRule type="dataBar" priority="5333">
      <dataBar>
        <cfvo type="min"/>
        <cfvo type="max"/>
        <color rgb="FF63C384"/>
      </dataBar>
    </cfRule>
    <cfRule type="dataBar" priority="5332">
      <dataBar>
        <cfvo type="min"/>
        <cfvo type="max"/>
        <color rgb="FF63C384"/>
      </dataBar>
    </cfRule>
  </conditionalFormatting>
  <conditionalFormatting sqref="J474">
    <cfRule type="cellIs" priority="5331" operator="equal" dxfId="2034">
      <formula>"ja"</formula>
    </cfRule>
  </conditionalFormatting>
  <conditionalFormatting sqref="J472:J473">
    <cfRule type="cellIs" priority="5329" operator="equal" dxfId="2034">
      <formula>"ja"</formula>
    </cfRule>
  </conditionalFormatting>
  <conditionalFormatting sqref="C472:C473">
    <cfRule type="containsText" priority="5327" operator="containsText" dxfId="1" text="Einnahmen">
      <formula>NOT(ISERROR(SEARCH("Einnahmen",C472)))</formula>
    </cfRule>
    <cfRule type="containsText" priority="5328" operator="containsText" dxfId="0" text="Ausgaben">
      <formula>NOT(ISERROR(SEARCH("Ausgaben",C472)))</formula>
    </cfRule>
  </conditionalFormatting>
  <conditionalFormatting sqref="T472">
    <cfRule type="expression" priority="5326" dxfId="2">
      <formula>AND(AND($W472&lt;TODAY(),$W472&lt;&gt;""),$X472="")</formula>
    </cfRule>
  </conditionalFormatting>
  <conditionalFormatting sqref="Z472">
    <cfRule type="dataBar" priority="5325">
      <dataBar>
        <cfvo type="min"/>
        <cfvo type="max"/>
        <color rgb="FF63C384"/>
      </dataBar>
    </cfRule>
    <cfRule type="dataBar" priority="5324">
      <dataBar>
        <cfvo type="min"/>
        <cfvo type="max"/>
        <color rgb="FF63C384"/>
      </dataBar>
    </cfRule>
  </conditionalFormatting>
  <conditionalFormatting sqref="J475">
    <cfRule type="cellIs" priority="5323" operator="equal" dxfId="2034">
      <formula>"ja"</formula>
    </cfRule>
  </conditionalFormatting>
  <conditionalFormatting sqref="C475">
    <cfRule type="containsText" priority="5321" operator="containsText" dxfId="1" text="Einnahmen">
      <formula>NOT(ISERROR(SEARCH("Einnahmen",C475)))</formula>
    </cfRule>
    <cfRule type="containsText" priority="5322" operator="containsText" dxfId="0" text="Ausgaben">
      <formula>NOT(ISERROR(SEARCH("Ausgaben",C475)))</formula>
    </cfRule>
  </conditionalFormatting>
  <conditionalFormatting sqref="T475">
    <cfRule type="expression" priority="5320" dxfId="2">
      <formula>AND(AND($W475&lt;TODAY(),$W475&lt;&gt;""),$X475="")</formula>
    </cfRule>
  </conditionalFormatting>
  <conditionalFormatting sqref="Z475">
    <cfRule type="dataBar" priority="5319">
      <dataBar>
        <cfvo type="min"/>
        <cfvo type="max"/>
        <color rgb="FF63C384"/>
      </dataBar>
    </cfRule>
    <cfRule type="dataBar" priority="5318">
      <dataBar>
        <cfvo type="min"/>
        <cfvo type="max"/>
        <color rgb="FF63C384"/>
      </dataBar>
    </cfRule>
  </conditionalFormatting>
  <conditionalFormatting sqref="C476">
    <cfRule type="containsText" priority="5316" operator="containsText" dxfId="1" text="Einnahmen">
      <formula>NOT(ISERROR(SEARCH("Einnahmen",C476)))</formula>
    </cfRule>
    <cfRule type="containsText" priority="5317" operator="containsText" dxfId="0" text="Ausgaben">
      <formula>NOT(ISERROR(SEARCH("Ausgaben",C476)))</formula>
    </cfRule>
  </conditionalFormatting>
  <conditionalFormatting sqref="T476">
    <cfRule type="expression" priority="5315" dxfId="2">
      <formula>AND(AND($W476&lt;TODAY(),$W476&lt;&gt;""),$X476="")</formula>
    </cfRule>
  </conditionalFormatting>
  <conditionalFormatting sqref="J476">
    <cfRule type="cellIs" priority="5313" operator="equal" dxfId="2034">
      <formula>"ja"</formula>
    </cfRule>
  </conditionalFormatting>
  <conditionalFormatting sqref="Z476">
    <cfRule type="dataBar" priority="5312">
      <dataBar>
        <cfvo type="min"/>
        <cfvo type="max"/>
        <color rgb="FF63C384"/>
      </dataBar>
    </cfRule>
    <cfRule type="dataBar" priority="5311">
      <dataBar>
        <cfvo type="min"/>
        <cfvo type="max"/>
        <color rgb="FF63C384"/>
      </dataBar>
    </cfRule>
  </conditionalFormatting>
  <conditionalFormatting sqref="C477">
    <cfRule type="containsText" priority="5302" operator="containsText" dxfId="1" text="Einnahmen">
      <formula>NOT(ISERROR(SEARCH("Einnahmen",C477)))</formula>
    </cfRule>
    <cfRule type="containsText" priority="5303" operator="containsText" dxfId="0" text="Ausgaben">
      <formula>NOT(ISERROR(SEARCH("Ausgaben",C477)))</formula>
    </cfRule>
  </conditionalFormatting>
  <conditionalFormatting sqref="C478">
    <cfRule type="containsText" priority="5296" operator="containsText" dxfId="1" text="Einnahmen">
      <formula>NOT(ISERROR(SEARCH("Einnahmen",C478)))</formula>
    </cfRule>
    <cfRule type="containsText" priority="5297" operator="containsText" dxfId="0" text="Ausgaben">
      <formula>NOT(ISERROR(SEARCH("Ausgaben",C478)))</formula>
    </cfRule>
  </conditionalFormatting>
  <conditionalFormatting sqref="C480">
    <cfRule type="containsText" priority="5282" operator="containsText" dxfId="1" text="Einnahmen">
      <formula>NOT(ISERROR(SEARCH("Einnahmen",C480)))</formula>
    </cfRule>
    <cfRule type="containsText" priority="5283" operator="containsText" dxfId="0" text="Ausgaben">
      <formula>NOT(ISERROR(SEARCH("Ausgaben",C480)))</formula>
    </cfRule>
    <cfRule type="containsText" priority="5268" operator="containsText" dxfId="1" text="Einnahmen">
      <formula>NOT(ISERROR(SEARCH("Einnahmen",C480)))</formula>
    </cfRule>
    <cfRule type="containsText" priority="5269" operator="containsText" dxfId="0" text="Ausgaben">
      <formula>NOT(ISERROR(SEARCH("Ausgaben",C480)))</formula>
    </cfRule>
    <cfRule type="containsText" priority="5254" operator="containsText" dxfId="1" text="Einnahmen">
      <formula>NOT(ISERROR(SEARCH("Einnahmen",C480)))</formula>
    </cfRule>
    <cfRule type="containsText" priority="5255" operator="containsText" dxfId="0" text="Ausgaben">
      <formula>NOT(ISERROR(SEARCH("Ausgaben",C480)))</formula>
    </cfRule>
    <cfRule type="containsText" priority="5240" operator="containsText" dxfId="1" text="Einnahmen">
      <formula>NOT(ISERROR(SEARCH("Einnahmen",C480)))</formula>
    </cfRule>
    <cfRule type="containsText" priority="5241" operator="containsText" dxfId="0" text="Ausgaben">
      <formula>NOT(ISERROR(SEARCH("Ausgaben",C480)))</formula>
    </cfRule>
  </conditionalFormatting>
  <conditionalFormatting sqref="J480">
    <cfRule type="cellIs" priority="5280" operator="equal" dxfId="2034">
      <formula>"ja"</formula>
    </cfRule>
    <cfRule type="cellIs" priority="5267" operator="equal" dxfId="2034">
      <formula>"ja"</formula>
    </cfRule>
    <cfRule type="cellIs" priority="5253" operator="equal" dxfId="2034">
      <formula>"ja"</formula>
    </cfRule>
    <cfRule type="cellIs" priority="5238" operator="equal" dxfId="2034">
      <formula>"ja"</formula>
    </cfRule>
  </conditionalFormatting>
  <conditionalFormatting sqref="T480">
    <cfRule type="expression" priority="5279" dxfId="2">
      <formula>AND(AND($W480&lt;TODAY(),$W480&lt;&gt;""),$X480="")</formula>
    </cfRule>
    <cfRule type="expression" priority="5266" dxfId="2">
      <formula>AND(AND($W480&lt;TODAY(),$W480&lt;&gt;""),$X480="")</formula>
    </cfRule>
    <cfRule type="expression" priority="5252" dxfId="2">
      <formula>AND(AND($W480&lt;TODAY(),$W480&lt;&gt;""),$X480="")</formula>
    </cfRule>
    <cfRule type="expression" priority="5237" dxfId="2">
      <formula>AND(AND($W480&lt;TODAY(),$W480&lt;&gt;""),$X480="")</formula>
    </cfRule>
  </conditionalFormatting>
  <conditionalFormatting sqref="Z480">
    <cfRule type="dataBar" priority="5278">
      <dataBar>
        <cfvo type="min"/>
        <cfvo type="max"/>
        <color rgb="FF63C384"/>
      </dataBar>
    </cfRule>
    <cfRule type="dataBar" priority="5277">
      <dataBar>
        <cfvo type="min"/>
        <cfvo type="max"/>
        <color rgb="FF63C384"/>
      </dataBar>
    </cfRule>
    <cfRule type="dataBar" priority="5265">
      <dataBar>
        <cfvo type="min"/>
        <cfvo type="max"/>
        <color rgb="FF63C384"/>
      </dataBar>
    </cfRule>
    <cfRule type="dataBar" priority="5264">
      <dataBar>
        <cfvo type="min"/>
        <cfvo type="max"/>
        <color rgb="FF63C384"/>
      </dataBar>
    </cfRule>
    <cfRule type="dataBar" priority="5251">
      <dataBar>
        <cfvo type="min"/>
        <cfvo type="max"/>
        <color rgb="FF63C384"/>
      </dataBar>
    </cfRule>
    <cfRule type="dataBar" priority="5250">
      <dataBar>
        <cfvo type="min"/>
        <cfvo type="max"/>
        <color rgb="FF63C384"/>
      </dataBar>
    </cfRule>
    <cfRule type="dataBar" priority="5236">
      <dataBar>
        <cfvo type="min"/>
        <cfvo type="max"/>
        <color rgb="FF63C384"/>
      </dataBar>
    </cfRule>
    <cfRule type="dataBar" priority="5235">
      <dataBar>
        <cfvo type="min"/>
        <cfvo type="max"/>
        <color rgb="FF63C384"/>
      </dataBar>
    </cfRule>
  </conditionalFormatting>
  <conditionalFormatting sqref="C481">
    <cfRule type="containsText" priority="5261" operator="containsText" dxfId="1" text="Einnahmen">
      <formula>NOT(ISERROR(SEARCH("Einnahmen",C481)))</formula>
    </cfRule>
    <cfRule type="containsText" priority="5262" operator="containsText" dxfId="0" text="Ausgaben">
      <formula>NOT(ISERROR(SEARCH("Ausgaben",C481)))</formula>
    </cfRule>
    <cfRule type="containsText" priority="5247" operator="containsText" dxfId="1" text="Einnahmen">
      <formula>NOT(ISERROR(SEARCH("Einnahmen",C481)))</formula>
    </cfRule>
    <cfRule type="containsText" priority="5248" operator="containsText" dxfId="0" text="Ausgaben">
      <formula>NOT(ISERROR(SEARCH("Ausgaben",C481)))</formula>
    </cfRule>
    <cfRule type="containsText" priority="5233" operator="containsText" dxfId="1" text="Einnahmen">
      <formula>NOT(ISERROR(SEARCH("Einnahmen",C481)))</formula>
    </cfRule>
    <cfRule type="containsText" priority="5234" operator="containsText" dxfId="0" text="Ausgaben">
      <formula>NOT(ISERROR(SEARCH("Ausgaben",C481)))</formula>
    </cfRule>
  </conditionalFormatting>
  <conditionalFormatting sqref="J481">
    <cfRule type="cellIs" priority="5259" operator="equal" dxfId="2034">
      <formula>"ja"</formula>
    </cfRule>
    <cfRule type="cellIs" priority="5245" operator="equal" dxfId="2034">
      <formula>"ja"</formula>
    </cfRule>
    <cfRule type="cellIs" priority="5232" operator="equal" dxfId="2034">
      <formula>"ja"</formula>
    </cfRule>
  </conditionalFormatting>
  <conditionalFormatting sqref="T481">
    <cfRule type="expression" priority="5258" dxfId="2">
      <formula>AND(AND($W481&lt;TODAY(),$W481&lt;&gt;""),$X481="")</formula>
    </cfRule>
    <cfRule type="expression" priority="5244" dxfId="2">
      <formula>AND(AND($W481&lt;TODAY(),$W481&lt;&gt;""),$X481="")</formula>
    </cfRule>
    <cfRule type="expression" priority="5231" dxfId="2">
      <formula>AND(AND($W481&lt;TODAY(),$W481&lt;&gt;""),$X481="")</formula>
    </cfRule>
  </conditionalFormatting>
  <conditionalFormatting sqref="Z481">
    <cfRule type="dataBar" priority="5257">
      <dataBar>
        <cfvo type="min"/>
        <cfvo type="max"/>
        <color rgb="FF63C384"/>
      </dataBar>
    </cfRule>
    <cfRule type="dataBar" priority="5256">
      <dataBar>
        <cfvo type="min"/>
        <cfvo type="max"/>
        <color rgb="FF63C384"/>
      </dataBar>
    </cfRule>
    <cfRule type="dataBar" priority="5243">
      <dataBar>
        <cfvo type="min"/>
        <cfvo type="max"/>
        <color rgb="FF63C384"/>
      </dataBar>
    </cfRule>
    <cfRule type="dataBar" priority="5242">
      <dataBar>
        <cfvo type="min"/>
        <cfvo type="max"/>
        <color rgb="FF63C384"/>
      </dataBar>
    </cfRule>
    <cfRule type="dataBar" priority="5230">
      <dataBar>
        <cfvo type="min"/>
        <cfvo type="max"/>
        <color rgb="FF63C384"/>
      </dataBar>
    </cfRule>
    <cfRule type="dataBar" priority="5229">
      <dataBar>
        <cfvo type="min"/>
        <cfvo type="max"/>
        <color rgb="FF63C384"/>
      </dataBar>
    </cfRule>
  </conditionalFormatting>
  <conditionalFormatting sqref="C482">
    <cfRule type="containsText" priority="5226" operator="containsText" dxfId="1" text="Einnahmen">
      <formula>NOT(ISERROR(SEARCH("Einnahmen",C482)))</formula>
    </cfRule>
    <cfRule type="containsText" priority="5227" operator="containsText" dxfId="0" text="Ausgaben">
      <formula>NOT(ISERROR(SEARCH("Ausgaben",C482)))</formula>
    </cfRule>
  </conditionalFormatting>
  <conditionalFormatting sqref="J482">
    <cfRule type="cellIs" priority="5224" operator="equal" dxfId="2034">
      <formula>"ja"</formula>
    </cfRule>
  </conditionalFormatting>
  <conditionalFormatting sqref="T482">
    <cfRule type="expression" priority="5223" dxfId="2">
      <formula>AND(AND($W482&lt;TODAY(),$W482&lt;&gt;""),$X482="")</formula>
    </cfRule>
  </conditionalFormatting>
  <conditionalFormatting sqref="Z482">
    <cfRule type="dataBar" priority="5222">
      <dataBar>
        <cfvo type="min"/>
        <cfvo type="max"/>
        <color rgb="FF63C384"/>
      </dataBar>
    </cfRule>
    <cfRule type="dataBar" priority="5221">
      <dataBar>
        <cfvo type="min"/>
        <cfvo type="max"/>
        <color rgb="FF63C384"/>
      </dataBar>
    </cfRule>
  </conditionalFormatting>
  <conditionalFormatting sqref="T479">
    <cfRule type="expression" priority="5220" dxfId="2">
      <formula>AND(AND($W479&lt;TODAY(),$W479&lt;&gt;""),$X479="")</formula>
    </cfRule>
  </conditionalFormatting>
  <conditionalFormatting sqref="Z479">
    <cfRule type="dataBar" priority="5218">
      <dataBar>
        <cfvo type="min"/>
        <cfvo type="max"/>
        <color rgb="FF63C384"/>
      </dataBar>
    </cfRule>
    <cfRule type="dataBar" priority="5217">
      <dataBar>
        <cfvo type="min"/>
        <cfvo type="max"/>
        <color rgb="FF63C384"/>
      </dataBar>
    </cfRule>
  </conditionalFormatting>
  <conditionalFormatting sqref="C479">
    <cfRule type="containsText" priority="5214" operator="containsText" dxfId="1" text="Einnahmen">
      <formula>NOT(ISERROR(SEARCH("Einnahmen",C479)))</formula>
    </cfRule>
    <cfRule type="containsText" priority="5215" operator="containsText" dxfId="0" text="Ausgaben">
      <formula>NOT(ISERROR(SEARCH("Ausgaben",C479)))</formula>
    </cfRule>
  </conditionalFormatting>
  <conditionalFormatting sqref="J478">
    <cfRule type="cellIs" priority="5213" operator="equal" dxfId="2034">
      <formula>"ja"</formula>
    </cfRule>
  </conditionalFormatting>
  <conditionalFormatting sqref="T478">
    <cfRule type="expression" priority="5212" dxfId="2">
      <formula>AND(AND($W478&lt;TODAY(),$W478&lt;&gt;""),$X478="")</formula>
    </cfRule>
  </conditionalFormatting>
  <conditionalFormatting sqref="Z478">
    <cfRule type="dataBar" priority="5211">
      <dataBar>
        <cfvo type="min"/>
        <cfvo type="max"/>
        <color rgb="FF63C384"/>
      </dataBar>
    </cfRule>
    <cfRule type="dataBar" priority="5210">
      <dataBar>
        <cfvo type="min"/>
        <cfvo type="max"/>
        <color rgb="FF63C384"/>
      </dataBar>
    </cfRule>
  </conditionalFormatting>
  <conditionalFormatting sqref="J477">
    <cfRule type="cellIs" priority="5209" operator="equal" dxfId="2034">
      <formula>"ja"</formula>
    </cfRule>
  </conditionalFormatting>
  <conditionalFormatting sqref="T477">
    <cfRule type="expression" priority="5208" dxfId="2">
      <formula>AND(AND($W477&lt;TODAY(),$W477&lt;&gt;""),$X477="")</formula>
    </cfRule>
  </conditionalFormatting>
  <conditionalFormatting sqref="Z477">
    <cfRule type="dataBar" priority="5207">
      <dataBar>
        <cfvo type="min"/>
        <cfvo type="max"/>
        <color rgb="FF63C384"/>
      </dataBar>
    </cfRule>
    <cfRule type="dataBar" priority="5206">
      <dataBar>
        <cfvo type="min"/>
        <cfvo type="max"/>
        <color rgb="FF63C384"/>
      </dataBar>
    </cfRule>
  </conditionalFormatting>
  <conditionalFormatting sqref="T483">
    <cfRule type="expression" priority="5204" dxfId="2">
      <formula>AND(AND($W483&lt;TODAY(),$W483&lt;&gt;""),$X483="")</formula>
    </cfRule>
  </conditionalFormatting>
  <conditionalFormatting sqref="C483">
    <cfRule type="containsText" priority="5202" operator="containsText" dxfId="1" text="Einnahmen">
      <formula>NOT(ISERROR(SEARCH("Einnahmen",C483)))</formula>
    </cfRule>
    <cfRule type="containsText" priority="5203" operator="containsText" dxfId="0" text="Ausgaben">
      <formula>NOT(ISERROR(SEARCH("Ausgaben",C483)))</formula>
    </cfRule>
  </conditionalFormatting>
  <conditionalFormatting sqref="J483">
    <cfRule type="cellIs" priority="5200" operator="equal" dxfId="2034">
      <formula>"ja"</formula>
    </cfRule>
  </conditionalFormatting>
  <conditionalFormatting sqref="Z483">
    <cfRule type="dataBar" priority="5199">
      <dataBar>
        <cfvo type="min"/>
        <cfvo type="max"/>
        <color rgb="FF63C384"/>
      </dataBar>
    </cfRule>
    <cfRule type="dataBar" priority="5198">
      <dataBar>
        <cfvo type="min"/>
        <cfvo type="max"/>
        <color rgb="FF63C384"/>
      </dataBar>
    </cfRule>
  </conditionalFormatting>
  <conditionalFormatting sqref="T484">
    <cfRule type="expression" priority="5197" dxfId="2">
      <formula>AND(AND($W484&lt;TODAY(),$W484&lt;&gt;""),$X484="")</formula>
    </cfRule>
  </conditionalFormatting>
  <conditionalFormatting sqref="J484">
    <cfRule type="cellIs" priority="5196" operator="equal" dxfId="2034">
      <formula>"ja"</formula>
    </cfRule>
  </conditionalFormatting>
  <conditionalFormatting sqref="Z484">
    <cfRule type="dataBar" priority="5195">
      <dataBar>
        <cfvo type="min"/>
        <cfvo type="max"/>
        <color rgb="FF63C384"/>
      </dataBar>
    </cfRule>
    <cfRule type="dataBar" priority="5194">
      <dataBar>
        <cfvo type="min"/>
        <cfvo type="max"/>
        <color rgb="FF63C384"/>
      </dataBar>
    </cfRule>
  </conditionalFormatting>
  <conditionalFormatting sqref="T485">
    <cfRule type="expression" priority="5193" dxfId="2">
      <formula>AND(AND($W485&lt;TODAY(),$W485&lt;&gt;""),$X485="")</formula>
    </cfRule>
  </conditionalFormatting>
  <conditionalFormatting sqref="J485">
    <cfRule type="cellIs" priority="5192" operator="equal" dxfId="2034">
      <formula>"ja"</formula>
    </cfRule>
  </conditionalFormatting>
  <conditionalFormatting sqref="Z485">
    <cfRule type="dataBar" priority="5191">
      <dataBar>
        <cfvo type="min"/>
        <cfvo type="max"/>
        <color rgb="FF63C384"/>
      </dataBar>
    </cfRule>
    <cfRule type="dataBar" priority="5190">
      <dataBar>
        <cfvo type="min"/>
        <cfvo type="max"/>
        <color rgb="FF63C384"/>
      </dataBar>
    </cfRule>
  </conditionalFormatting>
  <conditionalFormatting sqref="C485">
    <cfRule type="containsText" priority="5187" operator="containsText" dxfId="1" text="Einnahmen">
      <formula>NOT(ISERROR(SEARCH("Einnahmen",C485)))</formula>
    </cfRule>
    <cfRule type="containsText" priority="5188" operator="containsText" dxfId="0" text="Ausgaben">
      <formula>NOT(ISERROR(SEARCH("Ausgaben",C485)))</formula>
    </cfRule>
  </conditionalFormatting>
  <conditionalFormatting sqref="T486">
    <cfRule type="expression" priority="5186" dxfId="2">
      <formula>AND(AND($W486&lt;TODAY(),$W486&lt;&gt;""),$X486="")</formula>
    </cfRule>
  </conditionalFormatting>
  <conditionalFormatting sqref="Z486">
    <cfRule type="dataBar" priority="5185">
      <dataBar>
        <cfvo type="min"/>
        <cfvo type="max"/>
        <color rgb="FF63C384"/>
      </dataBar>
    </cfRule>
    <cfRule type="dataBar" priority="5184">
      <dataBar>
        <cfvo type="min"/>
        <cfvo type="max"/>
        <color rgb="FF63C384"/>
      </dataBar>
    </cfRule>
  </conditionalFormatting>
  <conditionalFormatting sqref="C487">
    <cfRule type="containsText" priority="5182" operator="containsText" dxfId="1" text="Einnahmen">
      <formula>NOT(ISERROR(SEARCH("Einnahmen",C487)))</formula>
    </cfRule>
    <cfRule type="containsText" priority="5183" operator="containsText" dxfId="0" text="Ausgaben">
      <formula>NOT(ISERROR(SEARCH("Ausgaben",C487)))</formula>
    </cfRule>
  </conditionalFormatting>
  <conditionalFormatting sqref="J487">
    <cfRule type="cellIs" priority="5181" operator="equal" dxfId="2034">
      <formula>"ja"</formula>
    </cfRule>
  </conditionalFormatting>
  <conditionalFormatting sqref="T487">
    <cfRule type="expression" priority="5180" dxfId="2">
      <formula>AND(AND($W487&lt;TODAY(),$W487&lt;&gt;""),$X487="")</formula>
    </cfRule>
  </conditionalFormatting>
  <conditionalFormatting sqref="Z487">
    <cfRule type="dataBar" priority="5179">
      <dataBar>
        <cfvo type="min"/>
        <cfvo type="max"/>
        <color rgb="FF63C384"/>
      </dataBar>
    </cfRule>
    <cfRule type="dataBar" priority="5178">
      <dataBar>
        <cfvo type="min"/>
        <cfvo type="max"/>
        <color rgb="FF63C384"/>
      </dataBar>
    </cfRule>
  </conditionalFormatting>
  <conditionalFormatting sqref="C488">
    <cfRule type="containsText" priority="5175" operator="containsText" dxfId="1" text="Einnahmen">
      <formula>NOT(ISERROR(SEARCH("Einnahmen",C488)))</formula>
    </cfRule>
    <cfRule type="containsText" priority="5176" operator="containsText" dxfId="0" text="Ausgaben">
      <formula>NOT(ISERROR(SEARCH("Ausgaben",C488)))</formula>
    </cfRule>
  </conditionalFormatting>
  <conditionalFormatting sqref="J488">
    <cfRule type="cellIs" priority="5174" operator="equal" dxfId="2034">
      <formula>"ja"</formula>
    </cfRule>
  </conditionalFormatting>
  <conditionalFormatting sqref="T488">
    <cfRule type="expression" priority="5173" dxfId="2">
      <formula>AND(AND($W488&lt;TODAY(),$W488&lt;&gt;""),$X488="")</formula>
    </cfRule>
  </conditionalFormatting>
  <conditionalFormatting sqref="Z488">
    <cfRule type="dataBar" priority="5172">
      <dataBar>
        <cfvo type="min"/>
        <cfvo type="max"/>
        <color rgb="FF63C384"/>
      </dataBar>
    </cfRule>
    <cfRule type="dataBar" priority="5171">
      <dataBar>
        <cfvo type="min"/>
        <cfvo type="max"/>
        <color rgb="FF63C384"/>
      </dataBar>
    </cfRule>
  </conditionalFormatting>
  <conditionalFormatting sqref="C489">
    <cfRule type="containsText" priority="5169" operator="containsText" dxfId="1" text="Einnahmen">
      <formula>NOT(ISERROR(SEARCH("Einnahmen",C489)))</formula>
    </cfRule>
    <cfRule type="containsText" priority="5170" operator="containsText" dxfId="0" text="Ausgaben">
      <formula>NOT(ISERROR(SEARCH("Ausgaben",C489)))</formula>
    </cfRule>
  </conditionalFormatting>
  <conditionalFormatting sqref="J489">
    <cfRule type="cellIs" priority="5167" operator="equal" dxfId="2034">
      <formula>"ja"</formula>
    </cfRule>
  </conditionalFormatting>
  <conditionalFormatting sqref="T489">
    <cfRule type="expression" priority="5166" dxfId="2">
      <formula>AND(AND($W489&lt;TODAY(),$W489&lt;&gt;""),$X489="")</formula>
    </cfRule>
  </conditionalFormatting>
  <conditionalFormatting sqref="Z489">
    <cfRule type="dataBar" priority="5165">
      <dataBar>
        <cfvo type="min"/>
        <cfvo type="max"/>
        <color rgb="FF63C384"/>
      </dataBar>
    </cfRule>
    <cfRule type="dataBar" priority="5164">
      <dataBar>
        <cfvo type="min"/>
        <cfvo type="max"/>
        <color rgb="FF63C384"/>
      </dataBar>
    </cfRule>
  </conditionalFormatting>
  <conditionalFormatting sqref="T490">
    <cfRule type="expression" priority="5163" dxfId="2">
      <formula>AND(AND($W490&lt;TODAY(),$W490&lt;&gt;""),$X490="")</formula>
    </cfRule>
  </conditionalFormatting>
  <conditionalFormatting sqref="J490">
    <cfRule type="cellIs" priority="5162" operator="equal" dxfId="2034">
      <formula>"ja"</formula>
    </cfRule>
  </conditionalFormatting>
  <conditionalFormatting sqref="Z490">
    <cfRule type="dataBar" priority="5161">
      <dataBar>
        <cfvo type="min"/>
        <cfvo type="max"/>
        <color rgb="FF63C384"/>
      </dataBar>
    </cfRule>
    <cfRule type="dataBar" priority="5160">
      <dataBar>
        <cfvo type="min"/>
        <cfvo type="max"/>
        <color rgb="FF63C384"/>
      </dataBar>
    </cfRule>
  </conditionalFormatting>
  <conditionalFormatting sqref="J491">
    <cfRule type="cellIs" priority="5158" operator="equal" dxfId="2034">
      <formula>"ja"</formula>
    </cfRule>
  </conditionalFormatting>
  <conditionalFormatting sqref="C491">
    <cfRule type="containsText" priority="5156" operator="containsText" dxfId="1" text="Einnahmen">
      <formula>NOT(ISERROR(SEARCH("Einnahmen",C491)))</formula>
    </cfRule>
    <cfRule type="containsText" priority="5157" operator="containsText" dxfId="0" text="Ausgaben">
      <formula>NOT(ISERROR(SEARCH("Ausgaben",C491)))</formula>
    </cfRule>
  </conditionalFormatting>
  <conditionalFormatting sqref="T491">
    <cfRule type="expression" priority="5155" dxfId="2">
      <formula>AND(AND($W491&lt;TODAY(),$W491&lt;&gt;""),$X491="")</formula>
    </cfRule>
  </conditionalFormatting>
  <conditionalFormatting sqref="Z491">
    <cfRule type="dataBar" priority="5154">
      <dataBar>
        <cfvo type="min"/>
        <cfvo type="max"/>
        <color rgb="FF63C384"/>
      </dataBar>
    </cfRule>
    <cfRule type="dataBar" priority="5153">
      <dataBar>
        <cfvo type="min"/>
        <cfvo type="max"/>
        <color rgb="FF63C384"/>
      </dataBar>
    </cfRule>
  </conditionalFormatting>
  <conditionalFormatting sqref="C492">
    <cfRule type="containsText" priority="5151" operator="containsText" dxfId="1" text="Einnahmen">
      <formula>NOT(ISERROR(SEARCH("Einnahmen",C492)))</formula>
    </cfRule>
    <cfRule type="containsText" priority="5152" operator="containsText" dxfId="0" text="Ausgaben">
      <formula>NOT(ISERROR(SEARCH("Ausgaben",C492)))</formula>
    </cfRule>
  </conditionalFormatting>
  <conditionalFormatting sqref="T492">
    <cfRule type="expression" priority="5148" dxfId="2">
      <formula>AND(AND($W492&lt;TODAY(),$W492&lt;&gt;""),$X492="")</formula>
    </cfRule>
  </conditionalFormatting>
  <conditionalFormatting sqref="Z492">
    <cfRule type="dataBar" priority="5147">
      <dataBar>
        <cfvo type="min"/>
        <cfvo type="max"/>
        <color rgb="FF63C384"/>
      </dataBar>
    </cfRule>
    <cfRule type="dataBar" priority="5146">
      <dataBar>
        <cfvo type="min"/>
        <cfvo type="max"/>
        <color rgb="FF63C384"/>
      </dataBar>
    </cfRule>
  </conditionalFormatting>
  <conditionalFormatting sqref="C493">
    <cfRule type="containsText" priority="5144" operator="containsText" dxfId="1" text="Einnahmen">
      <formula>NOT(ISERROR(SEARCH("Einnahmen",C493)))</formula>
    </cfRule>
    <cfRule type="containsText" priority="5145" operator="containsText" dxfId="0" text="Ausgaben">
      <formula>NOT(ISERROR(SEARCH("Ausgaben",C493)))</formula>
    </cfRule>
  </conditionalFormatting>
  <conditionalFormatting sqref="T493">
    <cfRule type="expression" priority="5143" dxfId="2">
      <formula>AND(AND($W493&lt;TODAY(),$W493&lt;&gt;""),$X493="")</formula>
    </cfRule>
  </conditionalFormatting>
  <conditionalFormatting sqref="J493">
    <cfRule type="cellIs" priority="5141" operator="equal" dxfId="2034">
      <formula>"ja"</formula>
    </cfRule>
  </conditionalFormatting>
  <conditionalFormatting sqref="Z493">
    <cfRule type="dataBar" priority="5140">
      <dataBar>
        <cfvo type="min"/>
        <cfvo type="max"/>
        <color rgb="FF63C384"/>
      </dataBar>
    </cfRule>
    <cfRule type="dataBar" priority="5139">
      <dataBar>
        <cfvo type="min"/>
        <cfvo type="max"/>
        <color rgb="FF63C384"/>
      </dataBar>
    </cfRule>
  </conditionalFormatting>
  <conditionalFormatting sqref="C494">
    <cfRule type="containsText" priority="5137" operator="containsText" dxfId="1" text="Einnahmen">
      <formula>NOT(ISERROR(SEARCH("Einnahmen",C494)))</formula>
    </cfRule>
    <cfRule type="containsText" priority="5138" operator="containsText" dxfId="0" text="Ausgaben">
      <formula>NOT(ISERROR(SEARCH("Ausgaben",C494)))</formula>
    </cfRule>
  </conditionalFormatting>
  <conditionalFormatting sqref="T494">
    <cfRule type="expression" priority="5136" dxfId="2">
      <formula>AND(AND($W494&lt;TODAY(),$W494&lt;&gt;""),$X494="")</formula>
    </cfRule>
  </conditionalFormatting>
  <conditionalFormatting sqref="Z494">
    <cfRule type="dataBar" priority="5135">
      <dataBar>
        <cfvo type="min"/>
        <cfvo type="max"/>
        <color rgb="FF63C384"/>
      </dataBar>
    </cfRule>
    <cfRule type="dataBar" priority="5134">
      <dataBar>
        <cfvo type="min"/>
        <cfvo type="max"/>
        <color rgb="FF63C384"/>
      </dataBar>
    </cfRule>
  </conditionalFormatting>
  <conditionalFormatting sqref="J494">
    <cfRule type="cellIs" priority="5133" operator="equal" dxfId="2034">
      <formula>"ja"</formula>
    </cfRule>
  </conditionalFormatting>
  <conditionalFormatting sqref="J495">
    <cfRule type="cellIs" priority="5131" operator="equal" dxfId="2034">
      <formula>"ja"</formula>
    </cfRule>
  </conditionalFormatting>
  <conditionalFormatting sqref="C495">
    <cfRule type="containsText" priority="5129" operator="containsText" dxfId="1" text="Einnahmen">
      <formula>NOT(ISERROR(SEARCH("Einnahmen",C495)))</formula>
    </cfRule>
    <cfRule type="containsText" priority="5130" operator="containsText" dxfId="0" text="Ausgaben">
      <formula>NOT(ISERROR(SEARCH("Ausgaben",C495)))</formula>
    </cfRule>
  </conditionalFormatting>
  <conditionalFormatting sqref="T495">
    <cfRule type="expression" priority="5128" dxfId="2">
      <formula>AND(AND($W495&lt;TODAY(),$W495&lt;&gt;""),$X495="")</formula>
    </cfRule>
  </conditionalFormatting>
  <conditionalFormatting sqref="Z495">
    <cfRule type="dataBar" priority="5127">
      <dataBar>
        <cfvo type="min"/>
        <cfvo type="max"/>
        <color rgb="FF63C384"/>
      </dataBar>
    </cfRule>
    <cfRule type="dataBar" priority="5126">
      <dataBar>
        <cfvo type="min"/>
        <cfvo type="max"/>
        <color rgb="FF63C384"/>
      </dataBar>
    </cfRule>
  </conditionalFormatting>
  <conditionalFormatting sqref="J496">
    <cfRule type="cellIs" priority="5125" operator="equal" dxfId="2034">
      <formula>"ja"</formula>
    </cfRule>
  </conditionalFormatting>
  <conditionalFormatting sqref="T496">
    <cfRule type="expression" priority="5124" dxfId="2">
      <formula>AND(AND($W496&lt;TODAY(),$W496&lt;&gt;""),$X496="")</formula>
    </cfRule>
  </conditionalFormatting>
  <conditionalFormatting sqref="Z496">
    <cfRule type="dataBar" priority="5123">
      <dataBar>
        <cfvo type="min"/>
        <cfvo type="max"/>
        <color rgb="FF63C384"/>
      </dataBar>
    </cfRule>
    <cfRule type="dataBar" priority="5122">
      <dataBar>
        <cfvo type="min"/>
        <cfvo type="max"/>
        <color rgb="FF63C384"/>
      </dataBar>
    </cfRule>
  </conditionalFormatting>
  <conditionalFormatting sqref="C496">
    <cfRule type="containsText" priority="5120" operator="containsText" dxfId="1" text="Einnahmen">
      <formula>NOT(ISERROR(SEARCH("Einnahmen",C496)))</formula>
    </cfRule>
    <cfRule type="containsText" priority="5121" operator="containsText" dxfId="0" text="Ausgaben">
      <formula>NOT(ISERROR(SEARCH("Ausgaben",C496)))</formula>
    </cfRule>
  </conditionalFormatting>
  <conditionalFormatting sqref="C497">
    <cfRule type="containsText" priority="5110" operator="containsText" dxfId="1" text="Einnahmen">
      <formula>NOT(ISERROR(SEARCH("Einnahmen",C497)))</formula>
    </cfRule>
    <cfRule type="containsText" priority="5111" operator="containsText" dxfId="0" text="Ausgaben">
      <formula>NOT(ISERROR(SEARCH("Ausgaben",C497)))</formula>
    </cfRule>
  </conditionalFormatting>
  <conditionalFormatting sqref="J497">
    <cfRule type="cellIs" priority="5067" operator="equal" dxfId="2034">
      <formula>"ja"</formula>
    </cfRule>
    <cfRule type="cellIs" priority="5055" operator="equal" dxfId="2034">
      <formula>"ja"</formula>
    </cfRule>
    <cfRule type="cellIs" priority="5063" operator="equal" dxfId="2034">
      <formula>"ja"</formula>
    </cfRule>
    <cfRule type="cellIs" priority="5059" operator="equal" dxfId="2034">
      <formula>"ja"</formula>
    </cfRule>
  </conditionalFormatting>
  <conditionalFormatting sqref="J498">
    <cfRule type="cellIs" priority="5102" operator="equal" dxfId="2034">
      <formula>"ja"</formula>
    </cfRule>
    <cfRule type="cellIs" priority="5096" operator="equal" dxfId="2034">
      <formula>"ja"</formula>
    </cfRule>
  </conditionalFormatting>
  <conditionalFormatting sqref="T498">
    <cfRule type="expression" priority="5101" dxfId="2">
      <formula>AND(AND($W498&lt;TODAY(),$W498&lt;&gt;""),$X498="")</formula>
    </cfRule>
    <cfRule type="expression" priority="5097" dxfId="2">
      <formula>AND(AND($W498&lt;TODAY(),$W498&lt;&gt;""),$X498="")</formula>
    </cfRule>
  </conditionalFormatting>
  <conditionalFormatting sqref="Z498">
    <cfRule type="dataBar" priority="5100">
      <dataBar>
        <cfvo type="min"/>
        <cfvo type="max"/>
        <color rgb="FF63C384"/>
      </dataBar>
    </cfRule>
    <cfRule type="dataBar" priority="5099">
      <dataBar>
        <cfvo type="min"/>
        <cfvo type="max"/>
        <color rgb="FF63C384"/>
      </dataBar>
    </cfRule>
    <cfRule type="dataBar" priority="5095">
      <dataBar>
        <cfvo type="min"/>
        <cfvo type="max"/>
        <color rgb="FF63C384"/>
      </dataBar>
    </cfRule>
    <cfRule type="dataBar" priority="5094">
      <dataBar>
        <cfvo type="min"/>
        <cfvo type="max"/>
        <color rgb="FF63C384"/>
      </dataBar>
    </cfRule>
  </conditionalFormatting>
  <conditionalFormatting sqref="J499">
    <cfRule type="cellIs" priority="5092" operator="equal" dxfId="2034">
      <formula>"ja"</formula>
    </cfRule>
  </conditionalFormatting>
  <conditionalFormatting sqref="T499">
    <cfRule type="expression" priority="5091" dxfId="2">
      <formula>AND(AND($W499&lt;TODAY(),$W499&lt;&gt;""),$X499="")</formula>
    </cfRule>
  </conditionalFormatting>
  <conditionalFormatting sqref="Z499">
    <cfRule type="dataBar" priority="5090">
      <dataBar>
        <cfvo type="min"/>
        <cfvo type="max"/>
        <color rgb="FF63C384"/>
      </dataBar>
    </cfRule>
    <cfRule type="dataBar" priority="5089">
      <dataBar>
        <cfvo type="min"/>
        <cfvo type="max"/>
        <color rgb="FF63C384"/>
      </dataBar>
    </cfRule>
  </conditionalFormatting>
  <conditionalFormatting sqref="T497">
    <cfRule type="expression" priority="5054" dxfId="2">
      <formula>AND(AND($W497&lt;TODAY(),$W497&lt;&gt;""),$X497="")</formula>
    </cfRule>
    <cfRule type="expression" priority="5066" dxfId="2">
      <formula>AND(AND($W497&lt;TODAY(),$W497&lt;&gt;""),$X497="")</formula>
    </cfRule>
    <cfRule type="expression" priority="5062" dxfId="2">
      <formula>AND(AND($W497&lt;TODAY(),$W497&lt;&gt;""),$X497="")</formula>
    </cfRule>
    <cfRule type="expression" priority="5058" dxfId="2">
      <formula>AND(AND($W497&lt;TODAY(),$W497&lt;&gt;""),$X497="")</formula>
    </cfRule>
  </conditionalFormatting>
  <conditionalFormatting sqref="Z497">
    <cfRule type="dataBar" priority="5065">
      <dataBar>
        <cfvo type="min"/>
        <cfvo type="max"/>
        <color rgb="FF63C384"/>
      </dataBar>
    </cfRule>
    <cfRule type="dataBar" priority="5064">
      <dataBar>
        <cfvo type="min"/>
        <cfvo type="max"/>
        <color rgb="FF63C384"/>
      </dataBar>
    </cfRule>
    <cfRule type="dataBar" priority="5061">
      <dataBar>
        <cfvo type="min"/>
        <cfvo type="max"/>
        <color rgb="FF63C384"/>
      </dataBar>
    </cfRule>
    <cfRule type="dataBar" priority="5060">
      <dataBar>
        <cfvo type="min"/>
        <cfvo type="max"/>
        <color rgb="FF63C384"/>
      </dataBar>
    </cfRule>
    <cfRule type="dataBar" priority="5057">
      <dataBar>
        <cfvo type="min"/>
        <cfvo type="max"/>
        <color rgb="FF63C384"/>
      </dataBar>
    </cfRule>
    <cfRule type="dataBar" priority="5056">
      <dataBar>
        <cfvo type="min"/>
        <cfvo type="max"/>
        <color rgb="FF63C384"/>
      </dataBar>
    </cfRule>
    <cfRule type="dataBar" priority="5053">
      <dataBar>
        <cfvo type="min"/>
        <cfvo type="max"/>
        <color rgb="FF63C384"/>
      </dataBar>
    </cfRule>
    <cfRule type="dataBar" priority="5052">
      <dataBar>
        <cfvo type="min"/>
        <cfvo type="max"/>
        <color rgb="FF63C384"/>
      </dataBar>
    </cfRule>
  </conditionalFormatting>
  <conditionalFormatting sqref="C500">
    <cfRule type="containsText" priority="5046" operator="containsText" dxfId="1" text="Einnahmen">
      <formula>NOT(ISERROR(SEARCH("Einnahmen",C500)))</formula>
    </cfRule>
    <cfRule type="containsText" priority="5047" operator="containsText" dxfId="0" text="Ausgaben">
      <formula>NOT(ISERROR(SEARCH("Ausgaben",C500)))</formula>
    </cfRule>
  </conditionalFormatting>
  <conditionalFormatting sqref="J500">
    <cfRule type="cellIs" priority="5044" operator="equal" dxfId="2034">
      <formula>"ja"</formula>
    </cfRule>
  </conditionalFormatting>
  <conditionalFormatting sqref="T500">
    <cfRule type="expression" priority="5043" dxfId="2">
      <formula>AND(AND($W500&lt;TODAY(),$W500&lt;&gt;""),$X500="")</formula>
    </cfRule>
  </conditionalFormatting>
  <conditionalFormatting sqref="Z500">
    <cfRule type="dataBar" priority="5042">
      <dataBar>
        <cfvo type="min"/>
        <cfvo type="max"/>
        <color rgb="FF63C384"/>
      </dataBar>
    </cfRule>
    <cfRule type="dataBar" priority="5041">
      <dataBar>
        <cfvo type="min"/>
        <cfvo type="max"/>
        <color rgb="FF63C384"/>
      </dataBar>
    </cfRule>
  </conditionalFormatting>
  <conditionalFormatting sqref="C501">
    <cfRule type="containsText" priority="5038" operator="containsText" dxfId="1" text="Einnahmen">
      <formula>NOT(ISERROR(SEARCH("Einnahmen",C501)))</formula>
    </cfRule>
    <cfRule type="containsText" priority="5039" operator="containsText" dxfId="0" text="Ausgaben">
      <formula>NOT(ISERROR(SEARCH("Ausgaben",C501)))</formula>
    </cfRule>
  </conditionalFormatting>
  <conditionalFormatting sqref="J501">
    <cfRule type="cellIs" priority="5037" operator="equal" dxfId="2034">
      <formula>"ja"</formula>
    </cfRule>
  </conditionalFormatting>
  <conditionalFormatting sqref="Z501">
    <cfRule type="dataBar" priority="5035">
      <dataBar>
        <cfvo type="min"/>
        <cfvo type="max"/>
        <color rgb="FF63C384"/>
      </dataBar>
    </cfRule>
    <cfRule type="dataBar" priority="5034">
      <dataBar>
        <cfvo type="min"/>
        <cfvo type="max"/>
        <color rgb="FF63C384"/>
      </dataBar>
    </cfRule>
  </conditionalFormatting>
  <conditionalFormatting sqref="T502">
    <cfRule type="expression" priority="5033" dxfId="2">
      <formula>AND(AND($W502&lt;TODAY(),$W502&lt;&gt;""),$X502="")</formula>
    </cfRule>
  </conditionalFormatting>
  <conditionalFormatting sqref="Z502">
    <cfRule type="dataBar" priority="5031">
      <dataBar>
        <cfvo type="min"/>
        <cfvo type="max"/>
        <color rgb="FF63C384"/>
      </dataBar>
    </cfRule>
    <cfRule type="dataBar" priority="5030">
      <dataBar>
        <cfvo type="min"/>
        <cfvo type="max"/>
        <color rgb="FF63C384"/>
      </dataBar>
    </cfRule>
  </conditionalFormatting>
  <conditionalFormatting sqref="C502">
    <cfRule type="containsText" priority="5027" operator="containsText" dxfId="1" text="Einnahmen">
      <formula>NOT(ISERROR(SEARCH("Einnahmen",C502)))</formula>
    </cfRule>
    <cfRule type="containsText" priority="5028" operator="containsText" dxfId="0" text="Ausgaben">
      <formula>NOT(ISERROR(SEARCH("Ausgaben",C502)))</formula>
    </cfRule>
  </conditionalFormatting>
  <conditionalFormatting sqref="C471">
    <cfRule type="containsText" priority="5025" operator="containsText" dxfId="1" text="Einnahmen">
      <formula>NOT(ISERROR(SEARCH("Einnahmen",C471)))</formula>
    </cfRule>
    <cfRule type="containsText" priority="5026" operator="containsText" dxfId="0" text="Ausgaben">
      <formula>NOT(ISERROR(SEARCH("Ausgaben",C471)))</formula>
    </cfRule>
  </conditionalFormatting>
  <conditionalFormatting sqref="T471">
    <cfRule type="expression" priority="5024" dxfId="2">
      <formula>AND(AND($W471&lt;TODAY(),$W471&lt;&gt;""),$X471="")</formula>
    </cfRule>
  </conditionalFormatting>
  <conditionalFormatting sqref="Z471">
    <cfRule type="dataBar" priority="5023">
      <dataBar>
        <cfvo type="min"/>
        <cfvo type="max"/>
        <color rgb="FF63C384"/>
      </dataBar>
    </cfRule>
    <cfRule type="dataBar" priority="5022">
      <dataBar>
        <cfvo type="min"/>
        <cfvo type="max"/>
        <color rgb="FF63C384"/>
      </dataBar>
    </cfRule>
  </conditionalFormatting>
  <conditionalFormatting sqref="T473">
    <cfRule type="expression" priority="5021" dxfId="2">
      <formula>AND(AND($W473&lt;TODAY(),$W473&lt;&gt;""),$X473="")</formula>
    </cfRule>
  </conditionalFormatting>
  <conditionalFormatting sqref="Z473">
    <cfRule type="dataBar" priority="5020">
      <dataBar>
        <cfvo type="min"/>
        <cfvo type="max"/>
        <color rgb="FF63C384"/>
      </dataBar>
    </cfRule>
    <cfRule type="dataBar" priority="5019">
      <dataBar>
        <cfvo type="min"/>
        <cfvo type="max"/>
        <color rgb="FF63C384"/>
      </dataBar>
    </cfRule>
  </conditionalFormatting>
  <conditionalFormatting sqref="C498">
    <cfRule type="containsText" priority="5017" operator="containsText" dxfId="1" text="Einnahmen">
      <formula>NOT(ISERROR(SEARCH("Einnahmen",C498)))</formula>
    </cfRule>
    <cfRule type="containsText" priority="5018" operator="containsText" dxfId="0" text="Ausgaben">
      <formula>NOT(ISERROR(SEARCH("Ausgaben",C498)))</formula>
    </cfRule>
  </conditionalFormatting>
  <conditionalFormatting sqref="J503">
    <cfRule type="cellIs" priority="5016" operator="equal" dxfId="2034">
      <formula>"ja"</formula>
    </cfRule>
  </conditionalFormatting>
  <conditionalFormatting sqref="C503">
    <cfRule type="containsText" priority="5013" operator="containsText" dxfId="1" text="Einnahmen">
      <formula>NOT(ISERROR(SEARCH("Einnahmen",C503)))</formula>
    </cfRule>
    <cfRule type="containsText" priority="5014" operator="containsText" dxfId="0" text="Ausgaben">
      <formula>NOT(ISERROR(SEARCH("Ausgaben",C503)))</formula>
    </cfRule>
  </conditionalFormatting>
  <conditionalFormatting sqref="T504">
    <cfRule type="expression" priority="5009" dxfId="2">
      <formula>AND(AND($W504&lt;TODAY(),$W504&lt;&gt;""),$X504="")</formula>
    </cfRule>
  </conditionalFormatting>
  <conditionalFormatting sqref="J504">
    <cfRule type="cellIs" priority="5008" operator="equal" dxfId="2034">
      <formula>"ja"</formula>
    </cfRule>
  </conditionalFormatting>
  <conditionalFormatting sqref="Z504">
    <cfRule type="dataBar" priority="5007">
      <dataBar>
        <cfvo type="min"/>
        <cfvo type="max"/>
        <color rgb="FF63C384"/>
      </dataBar>
    </cfRule>
    <cfRule type="dataBar" priority="5006">
      <dataBar>
        <cfvo type="min"/>
        <cfvo type="max"/>
        <color rgb="FF63C384"/>
      </dataBar>
    </cfRule>
  </conditionalFormatting>
  <conditionalFormatting sqref="C504">
    <cfRule type="containsText" priority="5003" operator="containsText" dxfId="1" text="Einnahmen">
      <formula>NOT(ISERROR(SEARCH("Einnahmen",C504)))</formula>
    </cfRule>
    <cfRule type="containsText" priority="5004" operator="containsText" dxfId="0" text="Ausgaben">
      <formula>NOT(ISERROR(SEARCH("Ausgaben",C504)))</formula>
    </cfRule>
  </conditionalFormatting>
  <conditionalFormatting sqref="C505">
    <cfRule type="containsText" priority="4979" operator="containsText" dxfId="1" text="Einnahmen">
      <formula>NOT(ISERROR(SEARCH("Einnahmen",C505)))</formula>
    </cfRule>
    <cfRule type="containsText" priority="4980" operator="containsText" dxfId="0" text="Ausgaben">
      <formula>NOT(ISERROR(SEARCH("Ausgaben",C505)))</formula>
    </cfRule>
  </conditionalFormatting>
  <conditionalFormatting sqref="J506">
    <cfRule type="cellIs" priority="4974" operator="equal" dxfId="2034">
      <formula>"ja"</formula>
    </cfRule>
  </conditionalFormatting>
  <conditionalFormatting sqref="T506">
    <cfRule type="expression" priority="4973" dxfId="2">
      <formula>AND(AND($W506&lt;TODAY(),$W506&lt;&gt;""),$X506="")</formula>
    </cfRule>
  </conditionalFormatting>
  <conditionalFormatting sqref="Z506">
    <cfRule type="dataBar" priority="4972">
      <dataBar>
        <cfvo type="min"/>
        <cfvo type="max"/>
        <color rgb="FF63C384"/>
      </dataBar>
    </cfRule>
  </conditionalFormatting>
  <conditionalFormatting sqref="J505">
    <cfRule type="cellIs" priority="4970" operator="equal" dxfId="2034">
      <formula>"ja"</formula>
    </cfRule>
    <cfRule type="cellIs" priority="4958" operator="equal" dxfId="2034">
      <formula>"ja"</formula>
    </cfRule>
    <cfRule type="cellIs" priority="4966" operator="equal" dxfId="2034">
      <formula>"ja"</formula>
    </cfRule>
    <cfRule type="cellIs" priority="4962" operator="equal" dxfId="2034">
      <formula>"ja"</formula>
    </cfRule>
  </conditionalFormatting>
  <conditionalFormatting sqref="T505">
    <cfRule type="expression" priority="4957" dxfId="2">
      <formula>AND(AND($W505&lt;TODAY(),$W505&lt;&gt;""),$X505="")</formula>
    </cfRule>
    <cfRule type="expression" priority="4969" dxfId="2">
      <formula>AND(AND($W505&lt;TODAY(),$W505&lt;&gt;""),$X505="")</formula>
    </cfRule>
    <cfRule type="expression" priority="4965" dxfId="2">
      <formula>AND(AND($W505&lt;TODAY(),$W505&lt;&gt;""),$X505="")</formula>
    </cfRule>
    <cfRule type="expression" priority="4961" dxfId="2">
      <formula>AND(AND($W505&lt;TODAY(),$W505&lt;&gt;""),$X505="")</formula>
    </cfRule>
  </conditionalFormatting>
  <conditionalFormatting sqref="Z505">
    <cfRule type="dataBar" priority="4968">
      <dataBar>
        <cfvo type="min"/>
        <cfvo type="max"/>
        <color rgb="FF63C384"/>
      </dataBar>
    </cfRule>
    <cfRule type="dataBar" priority="4967">
      <dataBar>
        <cfvo type="min"/>
        <cfvo type="max"/>
        <color rgb="FF63C384"/>
      </dataBar>
    </cfRule>
    <cfRule type="dataBar" priority="4964">
      <dataBar>
        <cfvo type="min"/>
        <cfvo type="max"/>
        <color rgb="FF63C384"/>
      </dataBar>
    </cfRule>
    <cfRule type="dataBar" priority="4963">
      <dataBar>
        <cfvo type="min"/>
        <cfvo type="max"/>
        <color rgb="FF63C384"/>
      </dataBar>
    </cfRule>
    <cfRule type="dataBar" priority="4960">
      <dataBar>
        <cfvo type="min"/>
        <cfvo type="max"/>
        <color rgb="FF63C384"/>
      </dataBar>
    </cfRule>
    <cfRule type="dataBar" priority="4959">
      <dataBar>
        <cfvo type="min"/>
        <cfvo type="max"/>
        <color rgb="FF63C384"/>
      </dataBar>
    </cfRule>
    <cfRule type="dataBar" priority="4956">
      <dataBar>
        <cfvo type="min"/>
        <cfvo type="max"/>
        <color rgb="FF63C384"/>
      </dataBar>
    </cfRule>
    <cfRule type="dataBar" priority="4955">
      <dataBar>
        <cfvo type="min"/>
        <cfvo type="max"/>
        <color rgb="FF63C384"/>
      </dataBar>
    </cfRule>
  </conditionalFormatting>
  <conditionalFormatting sqref="J507">
    <cfRule type="cellIs" priority="4950" operator="equal" dxfId="2034">
      <formula>"ja"</formula>
    </cfRule>
  </conditionalFormatting>
  <conditionalFormatting sqref="T507">
    <cfRule type="expression" priority="4949" dxfId="2">
      <formula>AND(AND($W507&lt;TODAY(),$W507&lt;&gt;""),$X507="")</formula>
    </cfRule>
  </conditionalFormatting>
  <conditionalFormatting sqref="Z507">
    <cfRule type="dataBar" priority="4948">
      <dataBar>
        <cfvo type="min"/>
        <cfvo type="max"/>
        <color rgb="FF63C384"/>
      </dataBar>
    </cfRule>
  </conditionalFormatting>
  <conditionalFormatting sqref="C508">
    <cfRule type="containsText" priority="4945" operator="containsText" dxfId="1" text="Einnahmen">
      <formula>NOT(ISERROR(SEARCH("Einnahmen",C508)))</formula>
    </cfRule>
    <cfRule type="containsText" priority="4946" operator="containsText" dxfId="0" text="Ausgaben">
      <formula>NOT(ISERROR(SEARCH("Ausgaben",C508)))</formula>
    </cfRule>
  </conditionalFormatting>
  <conditionalFormatting sqref="T508">
    <cfRule type="expression" priority="4944" dxfId="2">
      <formula>AND(AND($W508&lt;TODAY(),$W508&lt;&gt;""),$X508="")</formula>
    </cfRule>
  </conditionalFormatting>
  <conditionalFormatting sqref="Z508">
    <cfRule type="dataBar" priority="4943">
      <dataBar>
        <cfvo type="min"/>
        <cfvo type="max"/>
        <color rgb="FF63C384"/>
      </dataBar>
    </cfRule>
    <cfRule type="dataBar" priority="4942">
      <dataBar>
        <cfvo type="min"/>
        <cfvo type="max"/>
        <color rgb="FF63C384"/>
      </dataBar>
    </cfRule>
  </conditionalFormatting>
  <conditionalFormatting sqref="J508">
    <cfRule type="cellIs" priority="4941" operator="equal" dxfId="2034">
      <formula>"ja"</formula>
    </cfRule>
  </conditionalFormatting>
  <conditionalFormatting sqref="J510">
    <cfRule type="cellIs" priority="4938" operator="equal" dxfId="2034">
      <formula>"ja"</formula>
    </cfRule>
  </conditionalFormatting>
  <conditionalFormatting sqref="T510">
    <cfRule type="expression" priority="4937" dxfId="2">
      <formula>AND(AND($W510&lt;TODAY(),$W510&lt;&gt;""),$X510="")</formula>
    </cfRule>
  </conditionalFormatting>
  <conditionalFormatting sqref="Z510">
    <cfRule type="dataBar" priority="4936">
      <dataBar>
        <cfvo type="min"/>
        <cfvo type="max"/>
        <color rgb="FF63C384"/>
      </dataBar>
    </cfRule>
  </conditionalFormatting>
  <conditionalFormatting sqref="C510">
    <cfRule type="containsText" priority="4934" operator="containsText" dxfId="1" text="Einnahmen">
      <formula>NOT(ISERROR(SEARCH("Einnahmen",C510)))</formula>
    </cfRule>
    <cfRule type="containsText" priority="4935" operator="containsText" dxfId="0" text="Ausgaben">
      <formula>NOT(ISERROR(SEARCH("Ausgaben",C510)))</formula>
    </cfRule>
  </conditionalFormatting>
  <conditionalFormatting sqref="J511">
    <cfRule type="cellIs" priority="4933" operator="equal" dxfId="2034">
      <formula>"ja"</formula>
    </cfRule>
  </conditionalFormatting>
  <conditionalFormatting sqref="C511">
    <cfRule type="containsText" priority="4931" operator="containsText" dxfId="1" text="Einnahmen">
      <formula>NOT(ISERROR(SEARCH("Einnahmen",C511)))</formula>
    </cfRule>
    <cfRule type="containsText" priority="4932" operator="containsText" dxfId="0" text="Ausgaben">
      <formula>NOT(ISERROR(SEARCH("Ausgaben",C511)))</formula>
    </cfRule>
  </conditionalFormatting>
  <conditionalFormatting sqref="T511">
    <cfRule type="expression" priority="4930" dxfId="2">
      <formula>AND(AND($W511&lt;TODAY(),$W511&lt;&gt;""),$X511="")</formula>
    </cfRule>
  </conditionalFormatting>
  <conditionalFormatting sqref="Z511">
    <cfRule type="dataBar" priority="4929">
      <dataBar>
        <cfvo type="min"/>
        <cfvo type="max"/>
        <color rgb="FF63C384"/>
      </dataBar>
    </cfRule>
    <cfRule type="dataBar" priority="4928">
      <dataBar>
        <cfvo type="min"/>
        <cfvo type="max"/>
        <color rgb="FF63C384"/>
      </dataBar>
    </cfRule>
  </conditionalFormatting>
  <conditionalFormatting sqref="C512">
    <cfRule type="containsText" priority="4926" operator="containsText" dxfId="1" text="Einnahmen">
      <formula>NOT(ISERROR(SEARCH("Einnahmen",C512)))</formula>
    </cfRule>
    <cfRule type="containsText" priority="4927" operator="containsText" dxfId="0" text="Ausgaben">
      <formula>NOT(ISERROR(SEARCH("Ausgaben",C512)))</formula>
    </cfRule>
  </conditionalFormatting>
  <conditionalFormatting sqref="J512">
    <cfRule type="cellIs" priority="4925" operator="equal" dxfId="2034">
      <formula>"ja"</formula>
    </cfRule>
    <cfRule type="cellIs" priority="4913" operator="equal" dxfId="2034">
      <formula>"ja"</formula>
    </cfRule>
    <cfRule type="cellIs" priority="4921" operator="equal" dxfId="2034">
      <formula>"ja"</formula>
    </cfRule>
    <cfRule type="cellIs" priority="4917" operator="equal" dxfId="2034">
      <formula>"ja"</formula>
    </cfRule>
  </conditionalFormatting>
  <conditionalFormatting sqref="T512">
    <cfRule type="expression" priority="4912" dxfId="2">
      <formula>AND(AND($W512&lt;TODAY(),$W512&lt;&gt;""),$X512="")</formula>
    </cfRule>
    <cfRule type="expression" priority="4924" dxfId="2">
      <formula>AND(AND($W512&lt;TODAY(),$W512&lt;&gt;""),$X512="")</formula>
    </cfRule>
    <cfRule type="expression" priority="4920" dxfId="2">
      <formula>AND(AND($W512&lt;TODAY(),$W512&lt;&gt;""),$X512="")</formula>
    </cfRule>
    <cfRule type="expression" priority="4916" dxfId="2">
      <formula>AND(AND($W512&lt;TODAY(),$W512&lt;&gt;""),$X512="")</formula>
    </cfRule>
  </conditionalFormatting>
  <conditionalFormatting sqref="Z512">
    <cfRule type="dataBar" priority="4923">
      <dataBar>
        <cfvo type="min"/>
        <cfvo type="max"/>
        <color rgb="FF63C384"/>
      </dataBar>
    </cfRule>
    <cfRule type="dataBar" priority="4922">
      <dataBar>
        <cfvo type="min"/>
        <cfvo type="max"/>
        <color rgb="FF63C384"/>
      </dataBar>
    </cfRule>
    <cfRule type="dataBar" priority="4919">
      <dataBar>
        <cfvo type="min"/>
        <cfvo type="max"/>
        <color rgb="FF63C384"/>
      </dataBar>
    </cfRule>
    <cfRule type="dataBar" priority="4918">
      <dataBar>
        <cfvo type="min"/>
        <cfvo type="max"/>
        <color rgb="FF63C384"/>
      </dataBar>
    </cfRule>
    <cfRule type="dataBar" priority="4915">
      <dataBar>
        <cfvo type="min"/>
        <cfvo type="max"/>
        <color rgb="FF63C384"/>
      </dataBar>
    </cfRule>
    <cfRule type="dataBar" priority="4914">
      <dataBar>
        <cfvo type="min"/>
        <cfvo type="max"/>
        <color rgb="FF63C384"/>
      </dataBar>
    </cfRule>
    <cfRule type="dataBar" priority="4911">
      <dataBar>
        <cfvo type="min"/>
        <cfvo type="max"/>
        <color rgb="FF63C384"/>
      </dataBar>
    </cfRule>
    <cfRule type="dataBar" priority="4910">
      <dataBar>
        <cfvo type="min"/>
        <cfvo type="max"/>
        <color rgb="FF63C384"/>
      </dataBar>
    </cfRule>
  </conditionalFormatting>
  <conditionalFormatting sqref="C513">
    <cfRule type="containsText" priority="4904" operator="containsText" dxfId="1" text="Einnahmen">
      <formula>NOT(ISERROR(SEARCH("Einnahmen",C513)))</formula>
    </cfRule>
    <cfRule type="containsText" priority="4905" operator="containsText" dxfId="0" text="Ausgaben">
      <formula>NOT(ISERROR(SEARCH("Ausgaben",C513)))</formula>
    </cfRule>
  </conditionalFormatting>
  <conditionalFormatting sqref="J513">
    <cfRule type="cellIs" priority="4903" operator="equal" dxfId="2034">
      <formula>"ja"</formula>
    </cfRule>
  </conditionalFormatting>
  <conditionalFormatting sqref="T513">
    <cfRule type="expression" priority="4902" dxfId="2">
      <formula>AND(AND($W513&lt;TODAY(),$W513&lt;&gt;""),$X513="")</formula>
    </cfRule>
  </conditionalFormatting>
  <conditionalFormatting sqref="Z513">
    <cfRule type="dataBar" priority="4901">
      <dataBar>
        <cfvo type="min"/>
        <cfvo type="max"/>
        <color rgb="FF63C384"/>
      </dataBar>
    </cfRule>
    <cfRule type="dataBar" priority="4900">
      <dataBar>
        <cfvo type="min"/>
        <cfvo type="max"/>
        <color rgb="FF63C384"/>
      </dataBar>
    </cfRule>
  </conditionalFormatting>
  <conditionalFormatting sqref="C514">
    <cfRule type="containsText" priority="4898" operator="containsText" dxfId="1" text="Einnahmen">
      <formula>NOT(ISERROR(SEARCH("Einnahmen",C514)))</formula>
    </cfRule>
    <cfRule type="containsText" priority="4899" operator="containsText" dxfId="0" text="Ausgaben">
      <formula>NOT(ISERROR(SEARCH("Ausgaben",C514)))</formula>
    </cfRule>
  </conditionalFormatting>
  <conditionalFormatting sqref="J514">
    <cfRule type="cellIs" priority="4896" operator="equal" dxfId="2034">
      <formula>"ja"</formula>
    </cfRule>
  </conditionalFormatting>
  <conditionalFormatting sqref="T514">
    <cfRule type="expression" priority="4895" dxfId="2">
      <formula>AND(AND($W514&lt;TODAY(),$W514&lt;&gt;""),$X514="")</formula>
    </cfRule>
  </conditionalFormatting>
  <conditionalFormatting sqref="Z514">
    <cfRule type="dataBar" priority="4894">
      <dataBar>
        <cfvo type="min"/>
        <cfvo type="max"/>
        <color rgb="FF63C384"/>
      </dataBar>
    </cfRule>
    <cfRule type="dataBar" priority="4893">
      <dataBar>
        <cfvo type="min"/>
        <cfvo type="max"/>
        <color rgb="FF63C384"/>
      </dataBar>
    </cfRule>
  </conditionalFormatting>
  <conditionalFormatting sqref="J515">
    <cfRule type="cellIs" priority="4892" operator="equal" dxfId="2034">
      <formula>"ja"</formula>
    </cfRule>
    <cfRule type="cellIs" priority="4886" operator="equal" dxfId="2034">
      <formula>"ja"</formula>
    </cfRule>
  </conditionalFormatting>
  <conditionalFormatting sqref="T515">
    <cfRule type="expression" priority="4891" dxfId="2">
      <formula>AND(AND($W515&lt;TODAY(),$W515&lt;&gt;""),$X515="")</formula>
    </cfRule>
    <cfRule type="expression" priority="4887" dxfId="2">
      <formula>AND(AND($W515&lt;TODAY(),$W515&lt;&gt;""),$X515="")</formula>
    </cfRule>
  </conditionalFormatting>
  <conditionalFormatting sqref="Z515">
    <cfRule type="dataBar" priority="4890">
      <dataBar>
        <cfvo type="min"/>
        <cfvo type="max"/>
        <color rgb="FF63C384"/>
      </dataBar>
    </cfRule>
    <cfRule type="dataBar" priority="4889">
      <dataBar>
        <cfvo type="min"/>
        <cfvo type="max"/>
        <color rgb="FF63C384"/>
      </dataBar>
    </cfRule>
    <cfRule type="dataBar" priority="4885">
      <dataBar>
        <cfvo type="min"/>
        <cfvo type="max"/>
        <color rgb="FF63C384"/>
      </dataBar>
    </cfRule>
    <cfRule type="dataBar" priority="4884">
      <dataBar>
        <cfvo type="min"/>
        <cfvo type="max"/>
        <color rgb="FF63C384"/>
      </dataBar>
    </cfRule>
  </conditionalFormatting>
  <conditionalFormatting sqref="C515">
    <cfRule type="containsText" priority="4881" operator="containsText" dxfId="1" text="Einnahmen">
      <formula>NOT(ISERROR(SEARCH("Einnahmen",C515)))</formula>
    </cfRule>
    <cfRule type="containsText" priority="4882" operator="containsText" dxfId="0" text="Ausgaben">
      <formula>NOT(ISERROR(SEARCH("Ausgaben",C515)))</formula>
    </cfRule>
  </conditionalFormatting>
  <conditionalFormatting sqref="J516">
    <cfRule type="cellIs" priority="4879" operator="equal" dxfId="2034">
      <formula>"ja"</formula>
    </cfRule>
    <cfRule type="cellIs" priority="4874" operator="equal" dxfId="2034">
      <formula>"ja"</formula>
    </cfRule>
  </conditionalFormatting>
  <conditionalFormatting sqref="T516">
    <cfRule type="expression" priority="4878" dxfId="2">
      <formula>AND(AND($W516&lt;TODAY(),$W516&lt;&gt;""),$X516="")</formula>
    </cfRule>
    <cfRule type="expression" priority="4873" dxfId="2">
      <formula>AND(AND($W516&lt;TODAY(),$W516&lt;&gt;""),$X516="")</formula>
    </cfRule>
  </conditionalFormatting>
  <conditionalFormatting sqref="Z516">
    <cfRule type="dataBar" priority="4877">
      <dataBar>
        <cfvo type="min"/>
        <cfvo type="max"/>
        <color rgb="FF63C384"/>
      </dataBar>
    </cfRule>
    <cfRule type="dataBar" priority="4872">
      <dataBar>
        <cfvo type="min"/>
        <cfvo type="max"/>
        <color rgb="FF63C384"/>
      </dataBar>
    </cfRule>
    <cfRule type="dataBar" priority="4871">
      <dataBar>
        <cfvo type="min"/>
        <cfvo type="max"/>
        <color rgb="FF63C384"/>
      </dataBar>
    </cfRule>
  </conditionalFormatting>
  <conditionalFormatting sqref="C516">
    <cfRule type="containsText" priority="4875" operator="containsText" dxfId="1" text="Einnahmen">
      <formula>NOT(ISERROR(SEARCH("Einnahmen",C516)))</formula>
    </cfRule>
    <cfRule type="containsText" priority="4876" operator="containsText" dxfId="0" text="Ausgaben">
      <formula>NOT(ISERROR(SEARCH("Ausgaben",C516)))</formula>
    </cfRule>
  </conditionalFormatting>
  <conditionalFormatting sqref="T517">
    <cfRule type="expression" priority="4869" dxfId="2">
      <formula>AND(AND($W517&lt;TODAY(),$W517&lt;&gt;""),$X517="")</formula>
    </cfRule>
  </conditionalFormatting>
  <conditionalFormatting sqref="Z517">
    <cfRule type="dataBar" priority="4867">
      <dataBar>
        <cfvo type="min"/>
        <cfvo type="max"/>
        <color rgb="FF63C384"/>
      </dataBar>
    </cfRule>
    <cfRule type="dataBar" priority="4866">
      <dataBar>
        <cfvo type="min"/>
        <cfvo type="max"/>
        <color rgb="FF63C384"/>
      </dataBar>
    </cfRule>
  </conditionalFormatting>
  <conditionalFormatting sqref="C517">
    <cfRule type="containsText" priority="4863" operator="containsText" dxfId="1" text="Einnahmen">
      <formula>NOT(ISERROR(SEARCH("Einnahmen",C517)))</formula>
    </cfRule>
    <cfRule type="containsText" priority="4864" operator="containsText" dxfId="0" text="Ausgaben">
      <formula>NOT(ISERROR(SEARCH("Ausgaben",C517)))</formula>
    </cfRule>
  </conditionalFormatting>
  <conditionalFormatting sqref="J518">
    <cfRule type="cellIs" priority="4862" operator="equal" dxfId="2034">
      <formula>"ja"</formula>
    </cfRule>
  </conditionalFormatting>
  <conditionalFormatting sqref="C518">
    <cfRule type="containsText" priority="4859" operator="containsText" dxfId="1" text="Einnahmen">
      <formula>NOT(ISERROR(SEARCH("Einnahmen",C518)))</formula>
    </cfRule>
    <cfRule type="containsText" priority="4860" operator="containsText" dxfId="0" text="Ausgaben">
      <formula>NOT(ISERROR(SEARCH("Ausgaben",C518)))</formula>
    </cfRule>
  </conditionalFormatting>
  <conditionalFormatting sqref="T519">
    <cfRule type="expression" priority="4855" dxfId="2">
      <formula>AND(AND($W519&lt;TODAY(),$W519&lt;&gt;""),$X519="")</formula>
    </cfRule>
  </conditionalFormatting>
  <conditionalFormatting sqref="J519">
    <cfRule type="cellIs" priority="4854" operator="equal" dxfId="2034">
      <formula>"ja"</formula>
    </cfRule>
  </conditionalFormatting>
  <conditionalFormatting sqref="Z519">
    <cfRule type="dataBar" priority="4853">
      <dataBar>
        <cfvo type="min"/>
        <cfvo type="max"/>
        <color rgb="FF63C384"/>
      </dataBar>
    </cfRule>
    <cfRule type="dataBar" priority="4852">
      <dataBar>
        <cfvo type="min"/>
        <cfvo type="max"/>
        <color rgb="FF63C384"/>
      </dataBar>
    </cfRule>
  </conditionalFormatting>
  <conditionalFormatting sqref="C519">
    <cfRule type="containsText" priority="4849" operator="containsText" dxfId="1" text="Einnahmen">
      <formula>NOT(ISERROR(SEARCH("Einnahmen",C519)))</formula>
    </cfRule>
    <cfRule type="containsText" priority="4850" operator="containsText" dxfId="0" text="Ausgaben">
      <formula>NOT(ISERROR(SEARCH("Ausgaben",C519)))</formula>
    </cfRule>
  </conditionalFormatting>
  <conditionalFormatting sqref="C520">
    <cfRule type="containsText" priority="4847" operator="containsText" dxfId="1" text="Einnahmen">
      <formula>NOT(ISERROR(SEARCH("Einnahmen",C520)))</formula>
    </cfRule>
    <cfRule type="containsText" priority="4848" operator="containsText" dxfId="0" text="Ausgaben">
      <formula>NOT(ISERROR(SEARCH("Ausgaben",C520)))</formula>
    </cfRule>
  </conditionalFormatting>
  <conditionalFormatting sqref="T520">
    <cfRule type="expression" priority="4846" dxfId="2">
      <formula>AND(AND($W520&lt;TODAY(),$W520&lt;&gt;""),$X520="")</formula>
    </cfRule>
  </conditionalFormatting>
  <conditionalFormatting sqref="Z520">
    <cfRule type="dataBar" priority="4845">
      <dataBar>
        <cfvo type="min"/>
        <cfvo type="max"/>
        <color rgb="FF63C384"/>
      </dataBar>
    </cfRule>
    <cfRule type="dataBar" priority="4844">
      <dataBar>
        <cfvo type="min"/>
        <cfvo type="max"/>
        <color rgb="FF63C384"/>
      </dataBar>
    </cfRule>
  </conditionalFormatting>
  <conditionalFormatting sqref="J520">
    <cfRule type="cellIs" priority="4843" operator="equal" dxfId="2034">
      <formula>"ja"</formula>
    </cfRule>
  </conditionalFormatting>
  <conditionalFormatting sqref="C521">
    <cfRule type="containsText" priority="4840" operator="containsText" dxfId="1" text="Einnahmen">
      <formula>NOT(ISERROR(SEARCH("Einnahmen",C521)))</formula>
    </cfRule>
    <cfRule type="containsText" priority="4841" operator="containsText" dxfId="0" text="Ausgaben">
      <formula>NOT(ISERROR(SEARCH("Ausgaben",C521)))</formula>
    </cfRule>
  </conditionalFormatting>
  <conditionalFormatting sqref="J521">
    <cfRule type="cellIs" priority="4839" operator="equal" dxfId="2034">
      <formula>"ja"</formula>
    </cfRule>
  </conditionalFormatting>
  <conditionalFormatting sqref="T521">
    <cfRule type="expression" priority="4838" dxfId="2">
      <formula>AND(AND($W521&lt;TODAY(),$W521&lt;&gt;""),$X521="")</formula>
    </cfRule>
  </conditionalFormatting>
  <conditionalFormatting sqref="Z521">
    <cfRule type="dataBar" priority="4837">
      <dataBar>
        <cfvo type="min"/>
        <cfvo type="max"/>
        <color rgb="FF63C384"/>
      </dataBar>
    </cfRule>
  </conditionalFormatting>
  <conditionalFormatting sqref="J492">
    <cfRule type="cellIs" priority="4823" operator="equal" dxfId="2034">
      <formula>"ja"</formula>
    </cfRule>
  </conditionalFormatting>
  <conditionalFormatting sqref="C522">
    <cfRule type="containsText" priority="4820" operator="containsText" dxfId="1" text="Einnahmen">
      <formula>NOT(ISERROR(SEARCH("Einnahmen",C522)))</formula>
    </cfRule>
    <cfRule type="containsText" priority="4821" operator="containsText" dxfId="0" text="Ausgaben">
      <formula>NOT(ISERROR(SEARCH("Ausgaben",C522)))</formula>
    </cfRule>
  </conditionalFormatting>
  <conditionalFormatting sqref="T522">
    <cfRule type="expression" priority="4819" dxfId="2">
      <formula>AND(AND($W522&lt;TODAY(),$W522&lt;&gt;""),$X522="")</formula>
    </cfRule>
  </conditionalFormatting>
  <conditionalFormatting sqref="J522">
    <cfRule type="cellIs" priority="4818" operator="equal" dxfId="2034">
      <formula>"ja"</formula>
    </cfRule>
  </conditionalFormatting>
  <conditionalFormatting sqref="Z522">
    <cfRule type="dataBar" priority="4817">
      <dataBar>
        <cfvo type="min"/>
        <cfvo type="max"/>
        <color rgb="FF63C384"/>
      </dataBar>
    </cfRule>
    <cfRule type="dataBar" priority="4816">
      <dataBar>
        <cfvo type="min"/>
        <cfvo type="max"/>
        <color rgb="FF63C384"/>
      </dataBar>
    </cfRule>
  </conditionalFormatting>
  <conditionalFormatting sqref="T523">
    <cfRule type="expression" priority="4815" dxfId="2">
      <formula>AND(AND($W523&lt;TODAY(),$W523&lt;&gt;""),$X523="")</formula>
    </cfRule>
  </conditionalFormatting>
  <conditionalFormatting sqref="Z523">
    <cfRule type="dataBar" priority="4814">
      <dataBar>
        <cfvo type="min"/>
        <cfvo type="max"/>
        <color rgb="FF63C384"/>
      </dataBar>
    </cfRule>
    <cfRule type="dataBar" priority="4813">
      <dataBar>
        <cfvo type="min"/>
        <cfvo type="max"/>
        <color rgb="FF63C384"/>
      </dataBar>
    </cfRule>
  </conditionalFormatting>
  <conditionalFormatting sqref="C524">
    <cfRule type="containsText" priority="4811" operator="containsText" dxfId="1" text="Einnahmen">
      <formula>NOT(ISERROR(SEARCH("Einnahmen",C524)))</formula>
    </cfRule>
    <cfRule type="containsText" priority="4812" operator="containsText" dxfId="0" text="Ausgaben">
      <formula>NOT(ISERROR(SEARCH("Ausgaben",C524)))</formula>
    </cfRule>
  </conditionalFormatting>
  <conditionalFormatting sqref="T524">
    <cfRule type="expression" priority="4810" dxfId="2">
      <formula>AND(AND($W524&lt;TODAY(),$W524&lt;&gt;""),$X524="")</formula>
    </cfRule>
  </conditionalFormatting>
  <conditionalFormatting sqref="Z524">
    <cfRule type="dataBar" priority="4809">
      <dataBar>
        <cfvo type="min"/>
        <cfvo type="max"/>
        <color rgb="FF63C384"/>
      </dataBar>
    </cfRule>
    <cfRule type="dataBar" priority="4808">
      <dataBar>
        <cfvo type="min"/>
        <cfvo type="max"/>
        <color rgb="FF63C384"/>
      </dataBar>
    </cfRule>
  </conditionalFormatting>
  <conditionalFormatting sqref="J524">
    <cfRule type="cellIs" priority="4807" operator="equal" dxfId="2034">
      <formula>"ja"</formula>
    </cfRule>
  </conditionalFormatting>
  <conditionalFormatting sqref="T525">
    <cfRule type="expression" priority="4806" dxfId="2">
      <formula>AND(AND($W525&lt;TODAY(),$W525&lt;&gt;""),$X525="")</formula>
    </cfRule>
  </conditionalFormatting>
  <conditionalFormatting sqref="Z525">
    <cfRule type="dataBar" priority="4805">
      <dataBar>
        <cfvo type="min"/>
        <cfvo type="max"/>
        <color rgb="FF63C384"/>
      </dataBar>
    </cfRule>
    <cfRule type="dataBar" priority="4804">
      <dataBar>
        <cfvo type="min"/>
        <cfvo type="max"/>
        <color rgb="FF63C384"/>
      </dataBar>
    </cfRule>
  </conditionalFormatting>
  <conditionalFormatting sqref="C526">
    <cfRule type="containsText" priority="4802" operator="containsText" dxfId="1" text="Einnahmen">
      <formula>NOT(ISERROR(SEARCH("Einnahmen",C526)))</formula>
    </cfRule>
    <cfRule type="containsText" priority="4803" operator="containsText" dxfId="0" text="Ausgaben">
      <formula>NOT(ISERROR(SEARCH("Ausgaben",C526)))</formula>
    </cfRule>
  </conditionalFormatting>
  <conditionalFormatting sqref="J526">
    <cfRule type="cellIs" priority="4801" operator="equal" dxfId="2034">
      <formula>"ja"</formula>
    </cfRule>
  </conditionalFormatting>
  <conditionalFormatting sqref="T526">
    <cfRule type="expression" priority="4800" dxfId="2">
      <formula>AND(AND($W526&lt;TODAY(),$W526&lt;&gt;""),$X526="")</formula>
    </cfRule>
  </conditionalFormatting>
  <conditionalFormatting sqref="Z526">
    <cfRule type="dataBar" priority="4799">
      <dataBar>
        <cfvo type="min"/>
        <cfvo type="max"/>
        <color rgb="FF63C384"/>
      </dataBar>
    </cfRule>
    <cfRule type="dataBar" priority="4798">
      <dataBar>
        <cfvo type="min"/>
        <cfvo type="max"/>
        <color rgb="FF63C384"/>
      </dataBar>
    </cfRule>
  </conditionalFormatting>
  <conditionalFormatting sqref="T527">
    <cfRule type="expression" priority="4797" dxfId="2">
      <formula>AND(AND($W527&lt;TODAY(),$W527&lt;&gt;""),$X527="")</formula>
    </cfRule>
  </conditionalFormatting>
  <conditionalFormatting sqref="Z527">
    <cfRule type="dataBar" priority="4796">
      <dataBar>
        <cfvo type="min"/>
        <cfvo type="max"/>
        <color rgb="FF63C384"/>
      </dataBar>
    </cfRule>
    <cfRule type="dataBar" priority="4795">
      <dataBar>
        <cfvo type="min"/>
        <cfvo type="max"/>
        <color rgb="FF63C384"/>
      </dataBar>
    </cfRule>
  </conditionalFormatting>
  <conditionalFormatting sqref="J528">
    <cfRule type="cellIs" priority="4794" operator="equal" dxfId="2034">
      <formula>"ja"</formula>
    </cfRule>
    <cfRule type="cellIs" priority="4788" operator="equal" dxfId="2034">
      <formula>"ja"</formula>
    </cfRule>
  </conditionalFormatting>
  <conditionalFormatting sqref="T528">
    <cfRule type="expression" priority="4793" dxfId="2">
      <formula>AND(AND($W528&lt;TODAY(),$W528&lt;&gt;""),$X528="")</formula>
    </cfRule>
    <cfRule type="expression" priority="4789" dxfId="2">
      <formula>AND(AND($W528&lt;TODAY(),$W528&lt;&gt;""),$X528="")</formula>
    </cfRule>
  </conditionalFormatting>
  <conditionalFormatting sqref="Z528">
    <cfRule type="dataBar" priority="4792">
      <dataBar>
        <cfvo type="min"/>
        <cfvo type="max"/>
        <color rgb="FF63C384"/>
      </dataBar>
    </cfRule>
    <cfRule type="dataBar" priority="4791">
      <dataBar>
        <cfvo type="min"/>
        <cfvo type="max"/>
        <color rgb="FF63C384"/>
      </dataBar>
    </cfRule>
    <cfRule type="dataBar" priority="4787">
      <dataBar>
        <cfvo type="min"/>
        <cfvo type="max"/>
        <color rgb="FF63C384"/>
      </dataBar>
    </cfRule>
    <cfRule type="dataBar" priority="4786">
      <dataBar>
        <cfvo type="min"/>
        <cfvo type="max"/>
        <color rgb="FF63C384"/>
      </dataBar>
    </cfRule>
  </conditionalFormatting>
  <conditionalFormatting sqref="C528 C538 C540 C542 C552">
    <cfRule type="containsText" priority="4783" operator="containsText" dxfId="1" text="Einnahmen">
      <formula>NOT(ISERROR(SEARCH("Einnahmen",C528)))</formula>
    </cfRule>
    <cfRule type="containsText" priority="4784" operator="containsText" dxfId="0" text="Ausgaben">
      <formula>NOT(ISERROR(SEARCH("Ausgaben",C528)))</formula>
    </cfRule>
  </conditionalFormatting>
  <conditionalFormatting sqref="J529">
    <cfRule type="cellIs" priority="4782" operator="equal" dxfId="2034">
      <formula>"ja"</formula>
    </cfRule>
  </conditionalFormatting>
  <conditionalFormatting sqref="C529">
    <cfRule type="containsText" priority="4780" operator="containsText" dxfId="1" text="Einnahmen">
      <formula>NOT(ISERROR(SEARCH("Einnahmen",C529)))</formula>
    </cfRule>
    <cfRule type="containsText" priority="4781" operator="containsText" dxfId="0" text="Ausgaben">
      <formula>NOT(ISERROR(SEARCH("Ausgaben",C529)))</formula>
    </cfRule>
  </conditionalFormatting>
  <conditionalFormatting sqref="T529">
    <cfRule type="expression" priority="4779" dxfId="2">
      <formula>AND(AND($W529&lt;TODAY(),$W529&lt;&gt;""),$X529="")</formula>
    </cfRule>
  </conditionalFormatting>
  <conditionalFormatting sqref="Z529">
    <cfRule type="dataBar" priority="4778">
      <dataBar>
        <cfvo type="min"/>
        <cfvo type="max"/>
        <color rgb="FF63C384"/>
      </dataBar>
    </cfRule>
    <cfRule type="dataBar" priority="4777">
      <dataBar>
        <cfvo type="min"/>
        <cfvo type="max"/>
        <color rgb="FF63C384"/>
      </dataBar>
    </cfRule>
  </conditionalFormatting>
  <conditionalFormatting sqref="C530">
    <cfRule type="containsText" priority="4775" operator="containsText" dxfId="1" text="Einnahmen">
      <formula>NOT(ISERROR(SEARCH("Einnahmen",C530)))</formula>
    </cfRule>
    <cfRule type="containsText" priority="4776" operator="containsText" dxfId="0" text="Ausgaben">
      <formula>NOT(ISERROR(SEARCH("Ausgaben",C530)))</formula>
    </cfRule>
  </conditionalFormatting>
  <conditionalFormatting sqref="J530">
    <cfRule type="cellIs" priority="4774" operator="equal" dxfId="2034">
      <formula>"ja"</formula>
    </cfRule>
    <cfRule type="cellIs" priority="4762" operator="equal" dxfId="2034">
      <formula>"ja"</formula>
    </cfRule>
    <cfRule type="cellIs" priority="4770" operator="equal" dxfId="2034">
      <formula>"ja"</formula>
    </cfRule>
    <cfRule type="cellIs" priority="4766" operator="equal" dxfId="2034">
      <formula>"ja"</formula>
    </cfRule>
  </conditionalFormatting>
  <conditionalFormatting sqref="T530">
    <cfRule type="expression" priority="4761" dxfId="2">
      <formula>AND(AND($W530&lt;TODAY(),$W530&lt;&gt;""),$X530="")</formula>
    </cfRule>
    <cfRule type="expression" priority="4773" dxfId="2">
      <formula>AND(AND($W530&lt;TODAY(),$W530&lt;&gt;""),$X530="")</formula>
    </cfRule>
    <cfRule type="expression" priority="4769" dxfId="2">
      <formula>AND(AND($W530&lt;TODAY(),$W530&lt;&gt;""),$X530="")</formula>
    </cfRule>
    <cfRule type="expression" priority="4765" dxfId="2">
      <formula>AND(AND($W530&lt;TODAY(),$W530&lt;&gt;""),$X530="")</formula>
    </cfRule>
  </conditionalFormatting>
  <conditionalFormatting sqref="Z530">
    <cfRule type="dataBar" priority="4772">
      <dataBar>
        <cfvo type="min"/>
        <cfvo type="max"/>
        <color rgb="FF63C384"/>
      </dataBar>
    </cfRule>
    <cfRule type="dataBar" priority="4771">
      <dataBar>
        <cfvo type="min"/>
        <cfvo type="max"/>
        <color rgb="FF63C384"/>
      </dataBar>
    </cfRule>
    <cfRule type="dataBar" priority="4768">
      <dataBar>
        <cfvo type="min"/>
        <cfvo type="max"/>
        <color rgb="FF63C384"/>
      </dataBar>
    </cfRule>
    <cfRule type="dataBar" priority="4767">
      <dataBar>
        <cfvo type="min"/>
        <cfvo type="max"/>
        <color rgb="FF63C384"/>
      </dataBar>
    </cfRule>
    <cfRule type="dataBar" priority="4764">
      <dataBar>
        <cfvo type="min"/>
        <cfvo type="max"/>
        <color rgb="FF63C384"/>
      </dataBar>
    </cfRule>
    <cfRule type="dataBar" priority="4763">
      <dataBar>
        <cfvo type="min"/>
        <cfvo type="max"/>
        <color rgb="FF63C384"/>
      </dataBar>
    </cfRule>
    <cfRule type="dataBar" priority="4760">
      <dataBar>
        <cfvo type="min"/>
        <cfvo type="max"/>
        <color rgb="FF63C384"/>
      </dataBar>
    </cfRule>
    <cfRule type="dataBar" priority="4759">
      <dataBar>
        <cfvo type="min"/>
        <cfvo type="max"/>
        <color rgb="FF63C384"/>
      </dataBar>
    </cfRule>
  </conditionalFormatting>
  <conditionalFormatting sqref="C531">
    <cfRule type="containsText" priority="4742" operator="containsText" dxfId="1" text="Einnahmen">
      <formula>NOT(ISERROR(SEARCH("Einnahmen",C531)))</formula>
    </cfRule>
    <cfRule type="containsText" priority="4743" operator="containsText" dxfId="0" text="Ausgaben">
      <formula>NOT(ISERROR(SEARCH("Ausgaben",C531)))</formula>
    </cfRule>
    <cfRule type="containsText" priority="4735" operator="containsText" dxfId="1" text="Einnahmen">
      <formula>NOT(ISERROR(SEARCH("Einnahmen",C531)))</formula>
    </cfRule>
    <cfRule type="containsText" priority="4736" operator="containsText" dxfId="0" text="Ausgaben">
      <formula>NOT(ISERROR(SEARCH("Ausgaben",C531)))</formula>
    </cfRule>
    <cfRule type="containsText" priority="4728" operator="containsText" dxfId="1" text="Einnahmen">
      <formula>NOT(ISERROR(SEARCH("Einnahmen",C531)))</formula>
    </cfRule>
    <cfRule type="containsText" priority="4729" operator="containsText" dxfId="0" text="Ausgaben">
      <formula>NOT(ISERROR(SEARCH("Ausgaben",C531)))</formula>
    </cfRule>
    <cfRule type="containsText" priority="4721" operator="containsText" dxfId="1" text="Einnahmen">
      <formula>NOT(ISERROR(SEARCH("Einnahmen",C531)))</formula>
    </cfRule>
    <cfRule type="containsText" priority="4722" operator="containsText" dxfId="0" text="Ausgaben">
      <formula>NOT(ISERROR(SEARCH("Ausgaben",C531)))</formula>
    </cfRule>
  </conditionalFormatting>
  <conditionalFormatting sqref="J531">
    <cfRule type="cellIs" priority="4740" operator="equal" dxfId="2034">
      <formula>"ja"</formula>
    </cfRule>
    <cfRule type="cellIs" priority="4734" operator="equal" dxfId="2034">
      <formula>"ja"</formula>
    </cfRule>
    <cfRule type="cellIs" priority="4727" operator="equal" dxfId="2034">
      <formula>"ja"</formula>
    </cfRule>
    <cfRule type="cellIs" priority="4719" operator="equal" dxfId="2034">
      <formula>"ja"</formula>
    </cfRule>
  </conditionalFormatting>
  <conditionalFormatting sqref="T531">
    <cfRule type="expression" priority="4739" dxfId="2">
      <formula>AND(AND($W531&lt;TODAY(),$W531&lt;&gt;""),$X531="")</formula>
    </cfRule>
    <cfRule type="expression" priority="4733" dxfId="2">
      <formula>AND(AND($W531&lt;TODAY(),$W531&lt;&gt;""),$X531="")</formula>
    </cfRule>
    <cfRule type="expression" priority="4726" dxfId="2">
      <formula>AND(AND($W531&lt;TODAY(),$W531&lt;&gt;""),$X531="")</formula>
    </cfRule>
    <cfRule type="expression" priority="4718" dxfId="2">
      <formula>AND(AND($W531&lt;TODAY(),$W531&lt;&gt;""),$X531="")</formula>
    </cfRule>
  </conditionalFormatting>
  <conditionalFormatting sqref="Z531">
    <cfRule type="dataBar" priority="4738">
      <dataBar>
        <cfvo type="min"/>
        <cfvo type="max"/>
        <color rgb="FF63C384"/>
      </dataBar>
    </cfRule>
    <cfRule type="dataBar" priority="4737">
      <dataBar>
        <cfvo type="min"/>
        <cfvo type="max"/>
        <color rgb="FF63C384"/>
      </dataBar>
    </cfRule>
    <cfRule type="dataBar" priority="4732">
      <dataBar>
        <cfvo type="min"/>
        <cfvo type="max"/>
        <color rgb="FF63C384"/>
      </dataBar>
    </cfRule>
    <cfRule type="dataBar" priority="4731">
      <dataBar>
        <cfvo type="min"/>
        <cfvo type="max"/>
        <color rgb="FF63C384"/>
      </dataBar>
    </cfRule>
    <cfRule type="dataBar" priority="4725">
      <dataBar>
        <cfvo type="min"/>
        <cfvo type="max"/>
        <color rgb="FF63C384"/>
      </dataBar>
    </cfRule>
    <cfRule type="dataBar" priority="4724">
      <dataBar>
        <cfvo type="min"/>
        <cfvo type="max"/>
        <color rgb="FF63C384"/>
      </dataBar>
    </cfRule>
    <cfRule type="dataBar" priority="4717">
      <dataBar>
        <cfvo type="min"/>
        <cfvo type="max"/>
        <color rgb="FF63C384"/>
      </dataBar>
    </cfRule>
    <cfRule type="dataBar" priority="4716">
      <dataBar>
        <cfvo type="min"/>
        <cfvo type="max"/>
        <color rgb="FF63C384"/>
      </dataBar>
    </cfRule>
  </conditionalFormatting>
  <conditionalFormatting sqref="J532">
    <cfRule type="cellIs" priority="4714" operator="equal" dxfId="2034">
      <formula>"ja"</formula>
    </cfRule>
    <cfRule type="cellIs" priority="4709" operator="equal" dxfId="2034">
      <formula>"ja"</formula>
    </cfRule>
  </conditionalFormatting>
  <conditionalFormatting sqref="T532">
    <cfRule type="expression" priority="4713" dxfId="2">
      <formula>AND(AND($W532&lt;TODAY(),$W532&lt;&gt;""),$X532="")</formula>
    </cfRule>
    <cfRule type="expression" priority="4708" dxfId="2">
      <formula>AND(AND($W532&lt;TODAY(),$W532&lt;&gt;""),$X532="")</formula>
    </cfRule>
  </conditionalFormatting>
  <conditionalFormatting sqref="Z532">
    <cfRule type="dataBar" priority="4712">
      <dataBar>
        <cfvo type="min"/>
        <cfvo type="max"/>
        <color rgb="FF63C384"/>
      </dataBar>
    </cfRule>
    <cfRule type="dataBar" priority="4707">
      <dataBar>
        <cfvo type="min"/>
        <cfvo type="max"/>
        <color rgb="FF63C384"/>
      </dataBar>
    </cfRule>
    <cfRule type="dataBar" priority="4706">
      <dataBar>
        <cfvo type="min"/>
        <cfvo type="max"/>
        <color rgb="FF63C384"/>
      </dataBar>
    </cfRule>
  </conditionalFormatting>
  <conditionalFormatting sqref="C532">
    <cfRule type="containsText" priority="4710" operator="containsText" dxfId="1" text="Einnahmen">
      <formula>NOT(ISERROR(SEARCH("Einnahmen",C532)))</formula>
    </cfRule>
    <cfRule type="containsText" priority="4711" operator="containsText" dxfId="0" text="Ausgaben">
      <formula>NOT(ISERROR(SEARCH("Ausgaben",C532)))</formula>
    </cfRule>
  </conditionalFormatting>
  <conditionalFormatting sqref="T533">
    <cfRule type="expression" priority="4699" dxfId="2">
      <formula>AND(AND($W533&lt;TODAY(),$W533&lt;&gt;""),$X533="")</formula>
    </cfRule>
    <cfRule type="expression" priority="4697" dxfId="2">
      <formula>AND(AND($W533&lt;TODAY(),$W533&lt;&gt;""),$X533="")</formula>
    </cfRule>
  </conditionalFormatting>
  <conditionalFormatting sqref="Z533">
    <cfRule type="dataBar" priority="4698">
      <dataBar>
        <cfvo type="min"/>
        <cfvo type="max"/>
        <color rgb="FF63C384"/>
      </dataBar>
    </cfRule>
    <cfRule type="dataBar" priority="4696">
      <dataBar>
        <cfvo type="min"/>
        <cfvo type="max"/>
        <color rgb="FF63C384"/>
      </dataBar>
    </cfRule>
    <cfRule type="dataBar" priority="4695">
      <dataBar>
        <cfvo type="min"/>
        <cfvo type="max"/>
        <color rgb="FF63C384"/>
      </dataBar>
    </cfRule>
  </conditionalFormatting>
  <conditionalFormatting sqref="T534">
    <cfRule type="expression" priority="4694" dxfId="2">
      <formula>AND(AND($W534&lt;TODAY(),$W534&lt;&gt;""),$X534="")</formula>
    </cfRule>
  </conditionalFormatting>
  <conditionalFormatting sqref="Z534">
    <cfRule type="dataBar" priority="4692">
      <dataBar>
        <cfvo type="min"/>
        <cfvo type="max"/>
        <color rgb="FF63C384"/>
      </dataBar>
    </cfRule>
    <cfRule type="dataBar" priority="4691">
      <dataBar>
        <cfvo type="min"/>
        <cfvo type="max"/>
        <color rgb="FF63C384"/>
      </dataBar>
    </cfRule>
  </conditionalFormatting>
  <conditionalFormatting sqref="C534">
    <cfRule type="containsText" priority="4688" operator="containsText" dxfId="1" text="Einnahmen">
      <formula>NOT(ISERROR(SEARCH("Einnahmen",C534)))</formula>
    </cfRule>
    <cfRule type="containsText" priority="4689" operator="containsText" dxfId="0" text="Ausgaben">
      <formula>NOT(ISERROR(SEARCH("Ausgaben",C534)))</formula>
    </cfRule>
  </conditionalFormatting>
  <conditionalFormatting sqref="C535">
    <cfRule type="containsText" priority="4686" operator="containsText" dxfId="1" text="Einnahmen">
      <formula>NOT(ISERROR(SEARCH("Einnahmen",C535)))</formula>
    </cfRule>
    <cfRule type="containsText" priority="4687" operator="containsText" dxfId="0" text="Ausgaben">
      <formula>NOT(ISERROR(SEARCH("Ausgaben",C535)))</formula>
    </cfRule>
  </conditionalFormatting>
  <conditionalFormatting sqref="J535">
    <cfRule type="cellIs" priority="4685" operator="equal" dxfId="2034">
      <formula>"ja"</formula>
    </cfRule>
  </conditionalFormatting>
  <conditionalFormatting sqref="T535">
    <cfRule type="expression" priority="4684" dxfId="2">
      <formula>AND(AND($W535&lt;TODAY(),$W535&lt;&gt;""),$X535="")</formula>
    </cfRule>
  </conditionalFormatting>
  <conditionalFormatting sqref="Z535">
    <cfRule type="dataBar" priority="4683">
      <dataBar>
        <cfvo type="min"/>
        <cfvo type="max"/>
        <color rgb="FF63C384"/>
      </dataBar>
    </cfRule>
    <cfRule type="dataBar" priority="4682">
      <dataBar>
        <cfvo type="min"/>
        <cfvo type="max"/>
        <color rgb="FF63C384"/>
      </dataBar>
    </cfRule>
  </conditionalFormatting>
  <conditionalFormatting sqref="J536">
    <cfRule type="cellIs" priority="4681" operator="equal" dxfId="2034">
      <formula>"ja"</formula>
    </cfRule>
  </conditionalFormatting>
  <conditionalFormatting sqref="C536">
    <cfRule type="containsText" priority="4678" operator="containsText" dxfId="1" text="Einnahmen">
      <formula>NOT(ISERROR(SEARCH("Einnahmen",C536)))</formula>
    </cfRule>
    <cfRule type="containsText" priority="4679" operator="containsText" dxfId="0" text="Ausgaben">
      <formula>NOT(ISERROR(SEARCH("Ausgaben",C536)))</formula>
    </cfRule>
  </conditionalFormatting>
  <conditionalFormatting sqref="T536">
    <cfRule type="expression" priority="4677" dxfId="2">
      <formula>AND(AND($W536&lt;TODAY(),$W536&lt;&gt;""),$X536="")</formula>
    </cfRule>
  </conditionalFormatting>
  <conditionalFormatting sqref="Z536">
    <cfRule type="dataBar" priority="4676">
      <dataBar>
        <cfvo type="min"/>
        <cfvo type="max"/>
        <color rgb="FF63C384"/>
      </dataBar>
    </cfRule>
    <cfRule type="dataBar" priority="4675">
      <dataBar>
        <cfvo type="min"/>
        <cfvo type="max"/>
        <color rgb="FF63C384"/>
      </dataBar>
    </cfRule>
  </conditionalFormatting>
  <conditionalFormatting sqref="T518">
    <cfRule type="expression" priority="4674" dxfId="2">
      <formula>AND(AND($W518&lt;TODAY(),$W518&lt;&gt;""),$X518="")</formula>
    </cfRule>
  </conditionalFormatting>
  <conditionalFormatting sqref="Z518">
    <cfRule type="dataBar" priority="4673">
      <dataBar>
        <cfvo type="min"/>
        <cfvo type="max"/>
        <color rgb="FF63C384"/>
      </dataBar>
    </cfRule>
    <cfRule type="dataBar" priority="4672">
      <dataBar>
        <cfvo type="min"/>
        <cfvo type="max"/>
        <color rgb="FF63C384"/>
      </dataBar>
    </cfRule>
  </conditionalFormatting>
  <conditionalFormatting sqref="T503">
    <cfRule type="expression" priority="4671" dxfId="2">
      <formula>AND(AND($W503&lt;TODAY(),$W503&lt;&gt;""),$X503="")</formula>
    </cfRule>
  </conditionalFormatting>
  <conditionalFormatting sqref="Z503">
    <cfRule type="dataBar" priority="4670">
      <dataBar>
        <cfvo type="min"/>
        <cfvo type="max"/>
        <color rgb="FF63C384"/>
      </dataBar>
    </cfRule>
    <cfRule type="dataBar" priority="4669">
      <dataBar>
        <cfvo type="min"/>
        <cfvo type="max"/>
        <color rgb="FF63C384"/>
      </dataBar>
    </cfRule>
  </conditionalFormatting>
  <conditionalFormatting sqref="T537">
    <cfRule type="expression" priority="4668" dxfId="2">
      <formula>AND(AND($W537&lt;TODAY(),$W537&lt;&gt;""),$X537="")</formula>
    </cfRule>
  </conditionalFormatting>
  <conditionalFormatting sqref="J537">
    <cfRule type="cellIs" priority="4667" operator="equal" dxfId="2034">
      <formula>"ja"</formula>
    </cfRule>
  </conditionalFormatting>
  <conditionalFormatting sqref="Z537">
    <cfRule type="dataBar" priority="4666">
      <dataBar>
        <cfvo type="min"/>
        <cfvo type="max"/>
        <color rgb="FF63C384"/>
      </dataBar>
    </cfRule>
    <cfRule type="dataBar" priority="4665">
      <dataBar>
        <cfvo type="min"/>
        <cfvo type="max"/>
        <color rgb="FF63C384"/>
      </dataBar>
    </cfRule>
  </conditionalFormatting>
  <conditionalFormatting sqref="C537">
    <cfRule type="containsText" priority="4662" operator="containsText" dxfId="1" text="Einnahmen">
      <formula>NOT(ISERROR(SEARCH("Einnahmen",C537)))</formula>
    </cfRule>
    <cfRule type="containsText" priority="4663" operator="containsText" dxfId="0" text="Ausgaben">
      <formula>NOT(ISERROR(SEARCH("Ausgaben",C537)))</formula>
    </cfRule>
  </conditionalFormatting>
  <conditionalFormatting sqref="T538">
    <cfRule type="expression" priority="4661" dxfId="2">
      <formula>AND(AND($W538&lt;TODAY(),$W538&lt;&gt;""),$X538="")</formula>
    </cfRule>
  </conditionalFormatting>
  <conditionalFormatting sqref="Z538">
    <cfRule type="dataBar" priority="4660">
      <dataBar>
        <cfvo type="min"/>
        <cfvo type="max"/>
        <color rgb="FF63C384"/>
      </dataBar>
    </cfRule>
    <cfRule type="dataBar" priority="4659">
      <dataBar>
        <cfvo type="min"/>
        <cfvo type="max"/>
        <color rgb="FF63C384"/>
      </dataBar>
    </cfRule>
  </conditionalFormatting>
  <conditionalFormatting sqref="C539">
    <cfRule type="containsText" priority="4657" operator="containsText" dxfId="1" text="Einnahmen">
      <formula>NOT(ISERROR(SEARCH("Einnahmen",C539)))</formula>
    </cfRule>
    <cfRule type="containsText" priority="4658" operator="containsText" dxfId="0" text="Ausgaben">
      <formula>NOT(ISERROR(SEARCH("Ausgaben",C539)))</formula>
    </cfRule>
  </conditionalFormatting>
  <conditionalFormatting sqref="T539">
    <cfRule type="expression" priority="4656" dxfId="2">
      <formula>AND(AND($W539&lt;TODAY(),$W539&lt;&gt;""),$X539="")</formula>
    </cfRule>
  </conditionalFormatting>
  <conditionalFormatting sqref="Z539">
    <cfRule type="dataBar" priority="4655">
      <dataBar>
        <cfvo type="min"/>
        <cfvo type="max"/>
        <color rgb="FF63C384"/>
      </dataBar>
    </cfRule>
    <cfRule type="dataBar" priority="4654">
      <dataBar>
        <cfvo type="min"/>
        <cfvo type="max"/>
        <color rgb="FF63C384"/>
      </dataBar>
    </cfRule>
  </conditionalFormatting>
  <conditionalFormatting sqref="J539">
    <cfRule type="cellIs" priority="4653" operator="equal" dxfId="2034">
      <formula>"ja"</formula>
    </cfRule>
  </conditionalFormatting>
  <conditionalFormatting sqref="T540">
    <cfRule type="expression" priority="4651" dxfId="2">
      <formula>AND(AND($W540&lt;TODAY(),$W540&lt;&gt;""),$X540="")</formula>
    </cfRule>
  </conditionalFormatting>
  <conditionalFormatting sqref="Z540">
    <cfRule type="dataBar" priority="4650">
      <dataBar>
        <cfvo type="min"/>
        <cfvo type="max"/>
        <color rgb="FF63C384"/>
      </dataBar>
    </cfRule>
    <cfRule type="dataBar" priority="4649">
      <dataBar>
        <cfvo type="min"/>
        <cfvo type="max"/>
        <color rgb="FF63C384"/>
      </dataBar>
    </cfRule>
  </conditionalFormatting>
  <conditionalFormatting sqref="C541">
    <cfRule type="containsText" priority="4647" operator="containsText" dxfId="1" text="Einnahmen">
      <formula>NOT(ISERROR(SEARCH("Einnahmen",C541)))</formula>
    </cfRule>
    <cfRule type="containsText" priority="4648" operator="containsText" dxfId="0" text="Ausgaben">
      <formula>NOT(ISERROR(SEARCH("Ausgaben",C541)))</formula>
    </cfRule>
  </conditionalFormatting>
  <conditionalFormatting sqref="J541">
    <cfRule type="cellIs" priority="4646" operator="equal" dxfId="2034">
      <formula>"ja"</formula>
    </cfRule>
  </conditionalFormatting>
  <conditionalFormatting sqref="T541">
    <cfRule type="expression" priority="4645" dxfId="2">
      <formula>AND(AND($W541&lt;TODAY(),$W541&lt;&gt;""),$X541="")</formula>
    </cfRule>
  </conditionalFormatting>
  <conditionalFormatting sqref="Z541">
    <cfRule type="dataBar" priority="4644">
      <dataBar>
        <cfvo type="min"/>
        <cfvo type="max"/>
        <color rgb="FF63C384"/>
      </dataBar>
    </cfRule>
  </conditionalFormatting>
  <conditionalFormatting sqref="T542">
    <cfRule type="expression" priority="4641" dxfId="2">
      <formula>AND(AND($W542&lt;TODAY(),$W542&lt;&gt;""),$X542="")</formula>
    </cfRule>
  </conditionalFormatting>
  <conditionalFormatting sqref="Z542">
    <cfRule type="dataBar" priority="4640">
      <dataBar>
        <cfvo type="min"/>
        <cfvo type="max"/>
        <color rgb="FF63C384"/>
      </dataBar>
    </cfRule>
  </conditionalFormatting>
  <conditionalFormatting sqref="J543">
    <cfRule type="cellIs" priority="4629" operator="equal" dxfId="2034">
      <formula>"ja"</formula>
    </cfRule>
    <cfRule type="cellIs" priority="4624" operator="equal" dxfId="2034">
      <formula>"ja"</formula>
    </cfRule>
  </conditionalFormatting>
  <conditionalFormatting sqref="T543">
    <cfRule type="expression" priority="4628" dxfId="2">
      <formula>AND(AND($W543&lt;TODAY(),$W543&lt;&gt;""),$X543="")</formula>
    </cfRule>
    <cfRule type="expression" priority="4625" dxfId="2">
      <formula>AND(AND($W543&lt;TODAY(),$W543&lt;&gt;""),$X543="")</formula>
    </cfRule>
  </conditionalFormatting>
  <conditionalFormatting sqref="Z543">
    <cfRule type="dataBar" priority="4627">
      <dataBar>
        <cfvo type="min"/>
        <cfvo type="max"/>
        <color rgb="FF63C384"/>
      </dataBar>
    </cfRule>
    <cfRule type="dataBar" priority="4626">
      <dataBar>
        <cfvo type="min"/>
        <cfvo type="max"/>
        <color rgb="FF63C384"/>
      </dataBar>
    </cfRule>
    <cfRule type="dataBar" priority="4623">
      <dataBar>
        <cfvo type="min"/>
        <cfvo type="max"/>
        <color rgb="FF63C384"/>
      </dataBar>
    </cfRule>
    <cfRule type="dataBar" priority="4622">
      <dataBar>
        <cfvo type="min"/>
        <cfvo type="max"/>
        <color rgb="FF63C384"/>
      </dataBar>
    </cfRule>
  </conditionalFormatting>
  <conditionalFormatting sqref="C544">
    <cfRule type="containsText" priority="4620" operator="containsText" dxfId="1" text="Einnahmen">
      <formula>NOT(ISERROR(SEARCH("Einnahmen",C544)))</formula>
    </cfRule>
    <cfRule type="containsText" priority="4621" operator="containsText" dxfId="0" text="Ausgaben">
      <formula>NOT(ISERROR(SEARCH("Ausgaben",C544)))</formula>
    </cfRule>
  </conditionalFormatting>
  <conditionalFormatting sqref="T544">
    <cfRule type="expression" priority="4619" dxfId="2">
      <formula>AND(AND($W544&lt;TODAY(),$W544&lt;&gt;""),$X544="")</formula>
    </cfRule>
  </conditionalFormatting>
  <conditionalFormatting sqref="Z544">
    <cfRule type="dataBar" priority="4618">
      <dataBar>
        <cfvo type="min"/>
        <cfvo type="max"/>
        <color rgb="FF63C384"/>
      </dataBar>
    </cfRule>
    <cfRule type="dataBar" priority="4617">
      <dataBar>
        <cfvo type="min"/>
        <cfvo type="max"/>
        <color rgb="FF63C384"/>
      </dataBar>
    </cfRule>
  </conditionalFormatting>
  <conditionalFormatting sqref="J544">
    <cfRule type="cellIs" priority="4616" operator="equal" dxfId="2034">
      <formula>"ja"</formula>
    </cfRule>
  </conditionalFormatting>
  <conditionalFormatting sqref="J545">
    <cfRule type="cellIs" priority="4613" operator="equal" dxfId="2034">
      <formula>"ja"</formula>
    </cfRule>
  </conditionalFormatting>
  <conditionalFormatting sqref="C545">
    <cfRule type="containsText" priority="4611" operator="containsText" dxfId="1" text="Einnahmen">
      <formula>NOT(ISERROR(SEARCH("Einnahmen",C545)))</formula>
    </cfRule>
    <cfRule type="containsText" priority="4612" operator="containsText" dxfId="0" text="Ausgaben">
      <formula>NOT(ISERROR(SEARCH("Ausgaben",C545)))</formula>
    </cfRule>
  </conditionalFormatting>
  <conditionalFormatting sqref="T545">
    <cfRule type="expression" priority="4610" dxfId="2">
      <formula>AND(AND($W545&lt;TODAY(),$W545&lt;&gt;""),$X545="")</formula>
    </cfRule>
  </conditionalFormatting>
  <conditionalFormatting sqref="Z545">
    <cfRule type="dataBar" priority="4609">
      <dataBar>
        <cfvo type="min"/>
        <cfvo type="max"/>
        <color rgb="FF63C384"/>
      </dataBar>
    </cfRule>
    <cfRule type="dataBar" priority="4608">
      <dataBar>
        <cfvo type="min"/>
        <cfvo type="max"/>
        <color rgb="FF63C384"/>
      </dataBar>
    </cfRule>
  </conditionalFormatting>
  <conditionalFormatting sqref="C546">
    <cfRule type="containsText" priority="4606" operator="containsText" dxfId="1" text="Einnahmen">
      <formula>NOT(ISERROR(SEARCH("Einnahmen",C546)))</formula>
    </cfRule>
    <cfRule type="containsText" priority="4607" operator="containsText" dxfId="0" text="Ausgaben">
      <formula>NOT(ISERROR(SEARCH("Ausgaben",C546)))</formula>
    </cfRule>
  </conditionalFormatting>
  <conditionalFormatting sqref="J546">
    <cfRule type="cellIs" priority="4605" operator="equal" dxfId="2034">
      <formula>"ja"</formula>
    </cfRule>
    <cfRule type="cellIs" priority="4593" operator="equal" dxfId="2034">
      <formula>"ja"</formula>
    </cfRule>
    <cfRule type="cellIs" priority="4601" operator="equal" dxfId="2034">
      <formula>"ja"</formula>
    </cfRule>
    <cfRule type="cellIs" priority="4597" operator="equal" dxfId="2034">
      <formula>"ja"</formula>
    </cfRule>
  </conditionalFormatting>
  <conditionalFormatting sqref="T546">
    <cfRule type="expression" priority="4592" dxfId="2">
      <formula>AND(AND($W546&lt;TODAY(),$W546&lt;&gt;""),$X546="")</formula>
    </cfRule>
    <cfRule type="expression" priority="4604" dxfId="2">
      <formula>AND(AND($W546&lt;TODAY(),$W546&lt;&gt;""),$X546="")</formula>
    </cfRule>
    <cfRule type="expression" priority="4600" dxfId="2">
      <formula>AND(AND($W546&lt;TODAY(),$W546&lt;&gt;""),$X546="")</formula>
    </cfRule>
    <cfRule type="expression" priority="4596" dxfId="2">
      <formula>AND(AND($W546&lt;TODAY(),$W546&lt;&gt;""),$X546="")</formula>
    </cfRule>
  </conditionalFormatting>
  <conditionalFormatting sqref="Z546">
    <cfRule type="dataBar" priority="4603">
      <dataBar>
        <cfvo type="min"/>
        <cfvo type="max"/>
        <color rgb="FF63C384"/>
      </dataBar>
    </cfRule>
    <cfRule type="dataBar" priority="4602">
      <dataBar>
        <cfvo type="min"/>
        <cfvo type="max"/>
        <color rgb="FF63C384"/>
      </dataBar>
    </cfRule>
    <cfRule type="dataBar" priority="4599">
      <dataBar>
        <cfvo type="min"/>
        <cfvo type="max"/>
        <color rgb="FF63C384"/>
      </dataBar>
    </cfRule>
    <cfRule type="dataBar" priority="4598">
      <dataBar>
        <cfvo type="min"/>
        <cfvo type="max"/>
        <color rgb="FF63C384"/>
      </dataBar>
    </cfRule>
    <cfRule type="dataBar" priority="4595">
      <dataBar>
        <cfvo type="min"/>
        <cfvo type="max"/>
        <color rgb="FF63C384"/>
      </dataBar>
    </cfRule>
    <cfRule type="dataBar" priority="4594">
      <dataBar>
        <cfvo type="min"/>
        <cfvo type="max"/>
        <color rgb="FF63C384"/>
      </dataBar>
    </cfRule>
    <cfRule type="dataBar" priority="4591">
      <dataBar>
        <cfvo type="min"/>
        <cfvo type="max"/>
        <color rgb="FF63C384"/>
      </dataBar>
    </cfRule>
    <cfRule type="dataBar" priority="4590">
      <dataBar>
        <cfvo type="min"/>
        <cfvo type="max"/>
        <color rgb="FF63C384"/>
      </dataBar>
    </cfRule>
  </conditionalFormatting>
  <conditionalFormatting sqref="J547">
    <cfRule type="cellIs" priority="4584" operator="equal" dxfId="2034">
      <formula>"ja"</formula>
    </cfRule>
    <cfRule type="cellIs" priority="4579" operator="equal" dxfId="2034">
      <formula>"ja"</formula>
    </cfRule>
  </conditionalFormatting>
  <conditionalFormatting sqref="T547">
    <cfRule type="expression" priority="4583" dxfId="2">
      <formula>AND(AND($W547&lt;TODAY(),$W547&lt;&gt;""),$X547="")</formula>
    </cfRule>
    <cfRule type="expression" priority="4578" dxfId="2">
      <formula>AND(AND($W547&lt;TODAY(),$W547&lt;&gt;""),$X547="")</formula>
    </cfRule>
  </conditionalFormatting>
  <conditionalFormatting sqref="Z547">
    <cfRule type="dataBar" priority="4582">
      <dataBar>
        <cfvo type="min"/>
        <cfvo type="max"/>
        <color rgb="FF63C384"/>
      </dataBar>
    </cfRule>
    <cfRule type="dataBar" priority="4577">
      <dataBar>
        <cfvo type="min"/>
        <cfvo type="max"/>
        <color rgb="FF63C384"/>
      </dataBar>
    </cfRule>
    <cfRule type="dataBar" priority="4576">
      <dataBar>
        <cfvo type="min"/>
        <cfvo type="max"/>
        <color rgb="FF63C384"/>
      </dataBar>
    </cfRule>
  </conditionalFormatting>
  <conditionalFormatting sqref="C547">
    <cfRule type="containsText" priority="4580" operator="containsText" dxfId="1" text="Einnahmen">
      <formula>NOT(ISERROR(SEARCH("Einnahmen",C547)))</formula>
    </cfRule>
    <cfRule type="containsText" priority="4581" operator="containsText" dxfId="0" text="Ausgaben">
      <formula>NOT(ISERROR(SEARCH("Ausgaben",C547)))</formula>
    </cfRule>
  </conditionalFormatting>
  <conditionalFormatting sqref="T548">
    <cfRule type="expression" priority="4574" dxfId="2">
      <formula>AND(AND($W548&lt;TODAY(),$W548&lt;&gt;""),$X548="")</formula>
    </cfRule>
  </conditionalFormatting>
  <conditionalFormatting sqref="Z548">
    <cfRule type="dataBar" priority="4572">
      <dataBar>
        <cfvo type="min"/>
        <cfvo type="max"/>
        <color rgb="FF63C384"/>
      </dataBar>
    </cfRule>
    <cfRule type="dataBar" priority="4571">
      <dataBar>
        <cfvo type="min"/>
        <cfvo type="max"/>
        <color rgb="FF63C384"/>
      </dataBar>
    </cfRule>
  </conditionalFormatting>
  <conditionalFormatting sqref="C548">
    <cfRule type="containsText" priority="4568" operator="containsText" dxfId="1" text="Einnahmen">
      <formula>NOT(ISERROR(SEARCH("Einnahmen",C548)))</formula>
    </cfRule>
    <cfRule type="containsText" priority="4569" operator="containsText" dxfId="0" text="Ausgaben">
      <formula>NOT(ISERROR(SEARCH("Ausgaben",C548)))</formula>
    </cfRule>
  </conditionalFormatting>
  <conditionalFormatting sqref="J549">
    <cfRule type="cellIs" priority="4567" operator="equal" dxfId="2034">
      <formula>"ja"</formula>
    </cfRule>
  </conditionalFormatting>
  <conditionalFormatting sqref="C549">
    <cfRule type="containsText" priority="4564" operator="containsText" dxfId="1" text="Einnahmen">
      <formula>NOT(ISERROR(SEARCH("Einnahmen",C549)))</formula>
    </cfRule>
    <cfRule type="containsText" priority="4565" operator="containsText" dxfId="0" text="Ausgaben">
      <formula>NOT(ISERROR(SEARCH("Ausgaben",C549)))</formula>
    </cfRule>
  </conditionalFormatting>
  <conditionalFormatting sqref="T549">
    <cfRule type="expression" priority="4563" dxfId="2">
      <formula>AND(AND($W549&lt;TODAY(),$W549&lt;&gt;""),$X549="")</formula>
    </cfRule>
  </conditionalFormatting>
  <conditionalFormatting sqref="Z549">
    <cfRule type="dataBar" priority="4562">
      <dataBar>
        <cfvo type="min"/>
        <cfvo type="max"/>
        <color rgb="FF63C384"/>
      </dataBar>
    </cfRule>
    <cfRule type="dataBar" priority="4561">
      <dataBar>
        <cfvo type="min"/>
        <cfvo type="max"/>
        <color rgb="FF63C384"/>
      </dataBar>
    </cfRule>
  </conditionalFormatting>
  <conditionalFormatting sqref="T550">
    <cfRule type="expression" priority="4560" dxfId="2">
      <formula>AND(AND($W550&lt;TODAY(),$W550&lt;&gt;""),$X550="")</formula>
    </cfRule>
  </conditionalFormatting>
  <conditionalFormatting sqref="J550">
    <cfRule type="cellIs" priority="4559" operator="equal" dxfId="2034">
      <formula>"ja"</formula>
    </cfRule>
  </conditionalFormatting>
  <conditionalFormatting sqref="Z550">
    <cfRule type="dataBar" priority="4558">
      <dataBar>
        <cfvo type="min"/>
        <cfvo type="max"/>
        <color rgb="FF63C384"/>
      </dataBar>
    </cfRule>
    <cfRule type="dataBar" priority="4557">
      <dataBar>
        <cfvo type="min"/>
        <cfvo type="max"/>
        <color rgb="FF63C384"/>
      </dataBar>
    </cfRule>
  </conditionalFormatting>
  <conditionalFormatting sqref="C550">
    <cfRule type="containsText" priority="4554" operator="containsText" dxfId="1" text="Einnahmen">
      <formula>NOT(ISERROR(SEARCH("Einnahmen",C550)))</formula>
    </cfRule>
    <cfRule type="containsText" priority="4555" operator="containsText" dxfId="0" text="Ausgaben">
      <formula>NOT(ISERROR(SEARCH("Ausgaben",C550)))</formula>
    </cfRule>
  </conditionalFormatting>
  <conditionalFormatting sqref="C551">
    <cfRule type="containsText" priority="4552" operator="containsText" dxfId="1" text="Einnahmen">
      <formula>NOT(ISERROR(SEARCH("Einnahmen",C551)))</formula>
    </cfRule>
    <cfRule type="containsText" priority="4553" operator="containsText" dxfId="0" text="Ausgaben">
      <formula>NOT(ISERROR(SEARCH("Ausgaben",C551)))</formula>
    </cfRule>
  </conditionalFormatting>
  <conditionalFormatting sqref="J551">
    <cfRule type="cellIs" priority="4551" operator="equal" dxfId="2034">
      <formula>"ja"</formula>
    </cfRule>
  </conditionalFormatting>
  <conditionalFormatting sqref="T551">
    <cfRule type="expression" priority="4550" dxfId="2">
      <formula>AND(AND($W551&lt;TODAY(),$W551&lt;&gt;""),$X551="")</formula>
    </cfRule>
  </conditionalFormatting>
  <conditionalFormatting sqref="Z551">
    <cfRule type="dataBar" priority="4549">
      <dataBar>
        <cfvo type="min"/>
        <cfvo type="max"/>
        <color rgb="FF63C384"/>
      </dataBar>
    </cfRule>
  </conditionalFormatting>
  <conditionalFormatting sqref="T552">
    <cfRule type="expression" priority="4547" dxfId="2">
      <formula>AND(AND($W552&lt;TODAY(),$W552&lt;&gt;""),$X552="")</formula>
    </cfRule>
  </conditionalFormatting>
  <conditionalFormatting sqref="Z552">
    <cfRule type="dataBar" priority="4546">
      <dataBar>
        <cfvo type="min"/>
        <cfvo type="max"/>
        <color rgb="FF63C384"/>
      </dataBar>
    </cfRule>
  </conditionalFormatting>
  <conditionalFormatting sqref="C553">
    <cfRule type="containsText" priority="4543" operator="containsText" dxfId="1" text="Einnahmen">
      <formula>NOT(ISERROR(SEARCH("Einnahmen",C553)))</formula>
    </cfRule>
    <cfRule type="containsText" priority="4544" operator="containsText" dxfId="0" text="Ausgaben">
      <formula>NOT(ISERROR(SEARCH("Ausgaben",C553)))</formula>
    </cfRule>
  </conditionalFormatting>
  <conditionalFormatting sqref="J553">
    <cfRule type="cellIs" priority="4542" operator="equal" dxfId="2034">
      <formula>"ja"</formula>
    </cfRule>
    <cfRule type="cellIs" priority="4537" operator="equal" dxfId="2034">
      <formula>"ja"</formula>
    </cfRule>
  </conditionalFormatting>
  <conditionalFormatting sqref="T553">
    <cfRule type="expression" priority="4541" dxfId="2">
      <formula>AND(AND($W553&lt;TODAY(),$W553&lt;&gt;""),$X553="")</formula>
    </cfRule>
    <cfRule type="expression" priority="4538" dxfId="2">
      <formula>AND(AND($W553&lt;TODAY(),$W553&lt;&gt;""),$X553="")</formula>
    </cfRule>
  </conditionalFormatting>
  <conditionalFormatting sqref="Z553">
    <cfRule type="dataBar" priority="4540">
      <dataBar>
        <cfvo type="min"/>
        <cfvo type="max"/>
        <color rgb="FF63C384"/>
      </dataBar>
    </cfRule>
    <cfRule type="dataBar" priority="4539">
      <dataBar>
        <cfvo type="min"/>
        <cfvo type="max"/>
        <color rgb="FF63C384"/>
      </dataBar>
    </cfRule>
    <cfRule type="dataBar" priority="4536">
      <dataBar>
        <cfvo type="min"/>
        <cfvo type="max"/>
        <color rgb="FF63C384"/>
      </dataBar>
    </cfRule>
    <cfRule type="dataBar" priority="4535">
      <dataBar>
        <cfvo type="min"/>
        <cfvo type="max"/>
        <color rgb="FF63C384"/>
      </dataBar>
    </cfRule>
  </conditionalFormatting>
  <conditionalFormatting sqref="C554">
    <cfRule type="containsText" priority="4533" operator="containsText" dxfId="1" text="Einnahmen">
      <formula>NOT(ISERROR(SEARCH("Einnahmen",C554)))</formula>
    </cfRule>
    <cfRule type="containsText" priority="4534" operator="containsText" dxfId="0" text="Ausgaben">
      <formula>NOT(ISERROR(SEARCH("Ausgaben",C554)))</formula>
    </cfRule>
  </conditionalFormatting>
  <conditionalFormatting sqref="J554">
    <cfRule type="cellIs" priority="4531" operator="equal" dxfId="2034">
      <formula>"ja"</formula>
    </cfRule>
  </conditionalFormatting>
  <conditionalFormatting sqref="T554">
    <cfRule type="expression" priority="4530" dxfId="2">
      <formula>AND(AND($W554&lt;TODAY(),$W554&lt;&gt;""),$X554="")</formula>
    </cfRule>
  </conditionalFormatting>
  <conditionalFormatting sqref="Z554">
    <cfRule type="dataBar" priority="4529">
      <dataBar>
        <cfvo type="min"/>
        <cfvo type="max"/>
        <color rgb="FF63C384"/>
      </dataBar>
    </cfRule>
    <cfRule type="dataBar" priority="4528">
      <dataBar>
        <cfvo type="min"/>
        <cfvo type="max"/>
        <color rgb="FF63C384"/>
      </dataBar>
    </cfRule>
  </conditionalFormatting>
  <conditionalFormatting sqref="C555">
    <cfRule type="containsText" priority="4526" operator="containsText" dxfId="1" text="Einnahmen">
      <formula>NOT(ISERROR(SEARCH("Einnahmen",C555)))</formula>
    </cfRule>
    <cfRule type="containsText" priority="4527" operator="containsText" dxfId="0" text="Ausgaben">
      <formula>NOT(ISERROR(SEARCH("Ausgaben",C555)))</formula>
    </cfRule>
  </conditionalFormatting>
  <conditionalFormatting sqref="T555">
    <cfRule type="expression" priority="4525" dxfId="2">
      <formula>AND(AND($W555&lt;TODAY(),$W555&lt;&gt;""),$X555="")</formula>
    </cfRule>
  </conditionalFormatting>
  <conditionalFormatting sqref="Z555">
    <cfRule type="dataBar" priority="4524">
      <dataBar>
        <cfvo type="min"/>
        <cfvo type="max"/>
        <color rgb="FF63C384"/>
      </dataBar>
    </cfRule>
    <cfRule type="dataBar" priority="4523">
      <dataBar>
        <cfvo type="min"/>
        <cfvo type="max"/>
        <color rgb="FF63C384"/>
      </dataBar>
    </cfRule>
  </conditionalFormatting>
  <conditionalFormatting sqref="J555">
    <cfRule type="cellIs" priority="4522" operator="equal" dxfId="2034">
      <formula>"ja"</formula>
    </cfRule>
  </conditionalFormatting>
  <conditionalFormatting sqref="J556">
    <cfRule type="cellIs" priority="4520" operator="equal" dxfId="2034">
      <formula>"ja"</formula>
    </cfRule>
  </conditionalFormatting>
  <conditionalFormatting sqref="C556">
    <cfRule type="containsText" priority="4518" operator="containsText" dxfId="1" text="Einnahmen">
      <formula>NOT(ISERROR(SEARCH("Einnahmen",C556)))</formula>
    </cfRule>
    <cfRule type="containsText" priority="4519" operator="containsText" dxfId="0" text="Ausgaben">
      <formula>NOT(ISERROR(SEARCH("Ausgaben",C556)))</formula>
    </cfRule>
  </conditionalFormatting>
  <conditionalFormatting sqref="T556">
    <cfRule type="expression" priority="4517" dxfId="2">
      <formula>AND(AND($W556&lt;TODAY(),$W556&lt;&gt;""),$X556="")</formula>
    </cfRule>
  </conditionalFormatting>
  <conditionalFormatting sqref="Z556">
    <cfRule type="dataBar" priority="4516">
      <dataBar>
        <cfvo type="min"/>
        <cfvo type="max"/>
        <color rgb="FF63C384"/>
      </dataBar>
    </cfRule>
    <cfRule type="dataBar" priority="4515">
      <dataBar>
        <cfvo type="min"/>
        <cfvo type="max"/>
        <color rgb="FF63C384"/>
      </dataBar>
    </cfRule>
  </conditionalFormatting>
  <conditionalFormatting sqref="C557">
    <cfRule type="containsText" priority="4513" operator="containsText" dxfId="1" text="Einnahmen">
      <formula>NOT(ISERROR(SEARCH("Einnahmen",C557)))</formula>
    </cfRule>
    <cfRule type="containsText" priority="4514" operator="containsText" dxfId="0" text="Ausgaben">
      <formula>NOT(ISERROR(SEARCH("Ausgaben",C557)))</formula>
    </cfRule>
  </conditionalFormatting>
  <conditionalFormatting sqref="J557">
    <cfRule type="cellIs" priority="4512" operator="equal" dxfId="2034">
      <formula>"ja"</formula>
    </cfRule>
    <cfRule type="cellIs" priority="4500" operator="equal" dxfId="2034">
      <formula>"ja"</formula>
    </cfRule>
    <cfRule type="cellIs" priority="4508" operator="equal" dxfId="2034">
      <formula>"ja"</formula>
    </cfRule>
    <cfRule type="cellIs" priority="4504" operator="equal" dxfId="2034">
      <formula>"ja"</formula>
    </cfRule>
  </conditionalFormatting>
  <conditionalFormatting sqref="T557">
    <cfRule type="expression" priority="4499" dxfId="2">
      <formula>AND(AND($W557&lt;TODAY(),$W557&lt;&gt;""),$X557="")</formula>
    </cfRule>
    <cfRule type="expression" priority="4511" dxfId="2">
      <formula>AND(AND($W557&lt;TODAY(),$W557&lt;&gt;""),$X557="")</formula>
    </cfRule>
    <cfRule type="expression" priority="4507" dxfId="2">
      <formula>AND(AND($W557&lt;TODAY(),$W557&lt;&gt;""),$X557="")</formula>
    </cfRule>
    <cfRule type="expression" priority="4503" dxfId="2">
      <formula>AND(AND($W557&lt;TODAY(),$W557&lt;&gt;""),$X557="")</formula>
    </cfRule>
  </conditionalFormatting>
  <conditionalFormatting sqref="Z557">
    <cfRule type="dataBar" priority="4510">
      <dataBar>
        <cfvo type="min"/>
        <cfvo type="max"/>
        <color rgb="FF63C384"/>
      </dataBar>
    </cfRule>
    <cfRule type="dataBar" priority="4509">
      <dataBar>
        <cfvo type="min"/>
        <cfvo type="max"/>
        <color rgb="FF63C384"/>
      </dataBar>
    </cfRule>
    <cfRule type="dataBar" priority="4506">
      <dataBar>
        <cfvo type="min"/>
        <cfvo type="max"/>
        <color rgb="FF63C384"/>
      </dataBar>
    </cfRule>
    <cfRule type="dataBar" priority="4505">
      <dataBar>
        <cfvo type="min"/>
        <cfvo type="max"/>
        <color rgb="FF63C384"/>
      </dataBar>
    </cfRule>
    <cfRule type="dataBar" priority="4502">
      <dataBar>
        <cfvo type="min"/>
        <cfvo type="max"/>
        <color rgb="FF63C384"/>
      </dataBar>
    </cfRule>
    <cfRule type="dataBar" priority="4501">
      <dataBar>
        <cfvo type="min"/>
        <cfvo type="max"/>
        <color rgb="FF63C384"/>
      </dataBar>
    </cfRule>
    <cfRule type="dataBar" priority="4498">
      <dataBar>
        <cfvo type="min"/>
        <cfvo type="max"/>
        <color rgb="FF63C384"/>
      </dataBar>
    </cfRule>
    <cfRule type="dataBar" priority="4497">
      <dataBar>
        <cfvo type="min"/>
        <cfvo type="max"/>
        <color rgb="FF63C384"/>
      </dataBar>
    </cfRule>
  </conditionalFormatting>
  <conditionalFormatting sqref="J558">
    <cfRule type="cellIs" priority="4491" operator="equal" dxfId="2034">
      <formula>"ja"</formula>
    </cfRule>
    <cfRule type="cellIs" priority="4486" operator="equal" dxfId="2034">
      <formula>"ja"</formula>
    </cfRule>
  </conditionalFormatting>
  <conditionalFormatting sqref="T558">
    <cfRule type="expression" priority="4490" dxfId="2">
      <formula>AND(AND($W558&lt;TODAY(),$W558&lt;&gt;""),$X558="")</formula>
    </cfRule>
    <cfRule type="expression" priority="4485" dxfId="2">
      <formula>AND(AND($W558&lt;TODAY(),$W558&lt;&gt;""),$X558="")</formula>
    </cfRule>
  </conditionalFormatting>
  <conditionalFormatting sqref="Z558">
    <cfRule type="dataBar" priority="4489">
      <dataBar>
        <cfvo type="min"/>
        <cfvo type="max"/>
        <color rgb="FF63C384"/>
      </dataBar>
    </cfRule>
    <cfRule type="dataBar" priority="4484">
      <dataBar>
        <cfvo type="min"/>
        <cfvo type="max"/>
        <color rgb="FF63C384"/>
      </dataBar>
    </cfRule>
    <cfRule type="dataBar" priority="4483">
      <dataBar>
        <cfvo type="min"/>
        <cfvo type="max"/>
        <color rgb="FF63C384"/>
      </dataBar>
    </cfRule>
  </conditionalFormatting>
  <conditionalFormatting sqref="C558">
    <cfRule type="containsText" priority="4487" operator="containsText" dxfId="1" text="Einnahmen">
      <formula>NOT(ISERROR(SEARCH("Einnahmen",C558)))</formula>
    </cfRule>
    <cfRule type="containsText" priority="4488" operator="containsText" dxfId="0" text="Ausgaben">
      <formula>NOT(ISERROR(SEARCH("Ausgaben",C558)))</formula>
    </cfRule>
  </conditionalFormatting>
  <conditionalFormatting sqref="J559">
    <cfRule type="cellIs" priority="4481" operator="equal" dxfId="2034">
      <formula>"ja"</formula>
    </cfRule>
  </conditionalFormatting>
  <conditionalFormatting sqref="T559">
    <cfRule type="expression" priority="4480" dxfId="2">
      <formula>AND(AND($W559&lt;TODAY(),$W559&lt;&gt;""),$X559="")</formula>
    </cfRule>
  </conditionalFormatting>
  <conditionalFormatting sqref="Z559">
    <cfRule type="dataBar" priority="4479">
      <dataBar>
        <cfvo type="min"/>
        <cfvo type="max"/>
        <color rgb="FF63C384"/>
      </dataBar>
    </cfRule>
    <cfRule type="dataBar" priority="4478">
      <dataBar>
        <cfvo type="min"/>
        <cfvo type="max"/>
        <color rgb="FF63C384"/>
      </dataBar>
    </cfRule>
  </conditionalFormatting>
  <conditionalFormatting sqref="C559">
    <cfRule type="containsText" priority="4476" operator="containsText" dxfId="1" text="Einnahmen">
      <formula>NOT(ISERROR(SEARCH("Einnahmen",C559)))</formula>
    </cfRule>
    <cfRule type="containsText" priority="4477" operator="containsText" dxfId="0" text="Ausgaben">
      <formula>NOT(ISERROR(SEARCH("Ausgaben",C559)))</formula>
    </cfRule>
  </conditionalFormatting>
  <conditionalFormatting sqref="T560">
    <cfRule type="expression" priority="4475" dxfId="2">
      <formula>AND(AND($W560&lt;TODAY(),$W560&lt;&gt;""),$X560="")</formula>
    </cfRule>
  </conditionalFormatting>
  <conditionalFormatting sqref="Z560">
    <cfRule type="dataBar" priority="4473">
      <dataBar>
        <cfvo type="min"/>
        <cfvo type="max"/>
        <color rgb="FF63C384"/>
      </dataBar>
    </cfRule>
    <cfRule type="dataBar" priority="4472">
      <dataBar>
        <cfvo type="min"/>
        <cfvo type="max"/>
        <color rgb="FF63C384"/>
      </dataBar>
    </cfRule>
  </conditionalFormatting>
  <conditionalFormatting sqref="C560">
    <cfRule type="containsText" priority="4469" operator="containsText" dxfId="1" text="Einnahmen">
      <formula>NOT(ISERROR(SEARCH("Einnahmen",C560)))</formula>
    </cfRule>
    <cfRule type="containsText" priority="4470" operator="containsText" dxfId="0" text="Ausgaben">
      <formula>NOT(ISERROR(SEARCH("Ausgaben",C560)))</formula>
    </cfRule>
  </conditionalFormatting>
  <conditionalFormatting sqref="J561">
    <cfRule type="cellIs" priority="4468" operator="equal" dxfId="2034">
      <formula>"ja"</formula>
    </cfRule>
  </conditionalFormatting>
  <conditionalFormatting sqref="C561">
    <cfRule type="containsText" priority="4465" operator="containsText" dxfId="1" text="Einnahmen">
      <formula>NOT(ISERROR(SEARCH("Einnahmen",C561)))</formula>
    </cfRule>
    <cfRule type="containsText" priority="4466" operator="containsText" dxfId="0" text="Ausgaben">
      <formula>NOT(ISERROR(SEARCH("Ausgaben",C561)))</formula>
    </cfRule>
  </conditionalFormatting>
  <conditionalFormatting sqref="T561">
    <cfRule type="expression" priority="4464" dxfId="2">
      <formula>AND(AND($W561&lt;TODAY(),$W561&lt;&gt;""),$X561="")</formula>
    </cfRule>
  </conditionalFormatting>
  <conditionalFormatting sqref="Z561">
    <cfRule type="dataBar" priority="4463">
      <dataBar>
        <cfvo type="min"/>
        <cfvo type="max"/>
        <color rgb="FF63C384"/>
      </dataBar>
    </cfRule>
    <cfRule type="dataBar" priority="4462">
      <dataBar>
        <cfvo type="min"/>
        <cfvo type="max"/>
        <color rgb="FF63C384"/>
      </dataBar>
    </cfRule>
  </conditionalFormatting>
  <conditionalFormatting sqref="T562">
    <cfRule type="expression" priority="4461" dxfId="2">
      <formula>AND(AND($W562&lt;TODAY(),$W562&lt;&gt;""),$X562="")</formula>
    </cfRule>
  </conditionalFormatting>
  <conditionalFormatting sqref="J562">
    <cfRule type="cellIs" priority="4460" operator="equal" dxfId="2034">
      <formula>"ja"</formula>
    </cfRule>
  </conditionalFormatting>
  <conditionalFormatting sqref="Z562">
    <cfRule type="dataBar" priority="4459">
      <dataBar>
        <cfvo type="min"/>
        <cfvo type="max"/>
        <color rgb="FF63C384"/>
      </dataBar>
    </cfRule>
    <cfRule type="dataBar" priority="4458">
      <dataBar>
        <cfvo type="min"/>
        <cfvo type="max"/>
        <color rgb="FF63C384"/>
      </dataBar>
    </cfRule>
  </conditionalFormatting>
  <conditionalFormatting sqref="C562">
    <cfRule type="containsText" priority="4455" operator="containsText" dxfId="1" text="Einnahmen">
      <formula>NOT(ISERROR(SEARCH("Einnahmen",C562)))</formula>
    </cfRule>
    <cfRule type="containsText" priority="4456" operator="containsText" dxfId="0" text="Ausgaben">
      <formula>NOT(ISERROR(SEARCH("Ausgaben",C562)))</formula>
    </cfRule>
  </conditionalFormatting>
  <conditionalFormatting sqref="C563">
    <cfRule type="containsText" priority="4451" operator="containsText" dxfId="1" text="Einnahmen">
      <formula>NOT(ISERROR(SEARCH("Einnahmen",C563)))</formula>
    </cfRule>
    <cfRule type="containsText" priority="4452" operator="containsText" dxfId="0" text="Ausgaben">
      <formula>NOT(ISERROR(SEARCH("Ausgaben",C563)))</formula>
    </cfRule>
  </conditionalFormatting>
  <conditionalFormatting sqref="T563">
    <cfRule type="expression" priority="4450" dxfId="2">
      <formula>AND(AND($W563&lt;TODAY(),$W563&lt;&gt;""),$X563="")</formula>
    </cfRule>
  </conditionalFormatting>
  <conditionalFormatting sqref="Z563">
    <cfRule type="dataBar" priority="4449">
      <dataBar>
        <cfvo type="min"/>
        <cfvo type="max"/>
        <color rgb="FF63C384"/>
      </dataBar>
    </cfRule>
    <cfRule type="dataBar" priority="4448">
      <dataBar>
        <cfvo type="min"/>
        <cfvo type="max"/>
        <color rgb="FF63C384"/>
      </dataBar>
    </cfRule>
  </conditionalFormatting>
  <conditionalFormatting sqref="C564">
    <cfRule type="containsText" priority="4444" operator="containsText" dxfId="1" text="Einnahmen">
      <formula>NOT(ISERROR(SEARCH("Einnahmen",C564)))</formula>
    </cfRule>
    <cfRule type="containsText" priority="4445" operator="containsText" dxfId="0" text="Ausgaben">
      <formula>NOT(ISERROR(SEARCH("Ausgaben",C564)))</formula>
    </cfRule>
  </conditionalFormatting>
  <conditionalFormatting sqref="J564">
    <cfRule type="cellIs" priority="4443" operator="equal" dxfId="2034">
      <formula>"ja"</formula>
    </cfRule>
  </conditionalFormatting>
  <conditionalFormatting sqref="T564">
    <cfRule type="expression" priority="4442" dxfId="2">
      <formula>AND(AND($W564&lt;TODAY(),$W564&lt;&gt;""),$X564="")</formula>
    </cfRule>
  </conditionalFormatting>
  <conditionalFormatting sqref="Z564">
    <cfRule type="dataBar" priority="4441">
      <dataBar>
        <cfvo type="min"/>
        <cfvo type="max"/>
        <color rgb="FF63C384"/>
      </dataBar>
    </cfRule>
    <cfRule type="dataBar" priority="4440">
      <dataBar>
        <cfvo type="min"/>
        <cfvo type="max"/>
        <color rgb="FF63C384"/>
      </dataBar>
    </cfRule>
  </conditionalFormatting>
  <conditionalFormatting sqref="T565">
    <cfRule type="expression" priority="4435" dxfId="2">
      <formula>AND(AND($W565&lt;TODAY(),$W565&lt;&gt;""),$X565="")</formula>
    </cfRule>
  </conditionalFormatting>
  <conditionalFormatting sqref="Z565">
    <cfRule type="dataBar" priority="4434">
      <dataBar>
        <cfvo type="min"/>
        <cfvo type="max"/>
        <color rgb="FF63C384"/>
      </dataBar>
    </cfRule>
    <cfRule type="dataBar" priority="4433">
      <dataBar>
        <cfvo type="min"/>
        <cfvo type="max"/>
        <color rgb="FF63C384"/>
      </dataBar>
    </cfRule>
  </conditionalFormatting>
  <conditionalFormatting sqref="C566">
    <cfRule type="containsText" priority="4424" operator="containsText" dxfId="1" text="Einnahmen">
      <formula>NOT(ISERROR(SEARCH("Einnahmen",C566)))</formula>
    </cfRule>
    <cfRule type="containsText" priority="4425" operator="containsText" dxfId="0" text="Ausgaben">
      <formula>NOT(ISERROR(SEARCH("Ausgaben",C566)))</formula>
    </cfRule>
  </conditionalFormatting>
  <conditionalFormatting sqref="T566">
    <cfRule type="expression" priority="4423" dxfId="2">
      <formula>AND(AND($W566&lt;TODAY(),$W566&lt;&gt;""),$X566="")</formula>
    </cfRule>
  </conditionalFormatting>
  <conditionalFormatting sqref="Z566">
    <cfRule type="dataBar" priority="4422">
      <dataBar>
        <cfvo type="min"/>
        <cfvo type="max"/>
        <color rgb="FF63C384"/>
      </dataBar>
    </cfRule>
    <cfRule type="dataBar" priority="4421">
      <dataBar>
        <cfvo type="min"/>
        <cfvo type="max"/>
        <color rgb="FF63C384"/>
      </dataBar>
    </cfRule>
  </conditionalFormatting>
  <conditionalFormatting sqref="J565">
    <cfRule type="cellIs" priority="4417" operator="equal" dxfId="2034">
      <formula>"ja"</formula>
    </cfRule>
  </conditionalFormatting>
  <conditionalFormatting sqref="J563">
    <cfRule type="cellIs" priority="4416" operator="equal" dxfId="2034">
      <formula>"ja"</formula>
    </cfRule>
  </conditionalFormatting>
  <conditionalFormatting sqref="J560">
    <cfRule type="cellIs" priority="4415" operator="equal" dxfId="2034">
      <formula>"ja"</formula>
    </cfRule>
  </conditionalFormatting>
  <conditionalFormatting sqref="T567">
    <cfRule type="expression" priority="4414" dxfId="2">
      <formula>AND(AND($W567&lt;TODAY(),$W567&lt;&gt;""),$X567="")</formula>
    </cfRule>
  </conditionalFormatting>
  <conditionalFormatting sqref="Z567">
    <cfRule type="dataBar" priority="4413">
      <dataBar>
        <cfvo type="min"/>
        <cfvo type="max"/>
        <color rgb="FF63C384"/>
      </dataBar>
    </cfRule>
    <cfRule type="dataBar" priority="4412">
      <dataBar>
        <cfvo type="min"/>
        <cfvo type="max"/>
        <color rgb="FF63C384"/>
      </dataBar>
    </cfRule>
  </conditionalFormatting>
  <conditionalFormatting sqref="J567">
    <cfRule type="cellIs" priority="4411" operator="equal" dxfId="2034">
      <formula>"ja"</formula>
    </cfRule>
  </conditionalFormatting>
  <conditionalFormatting sqref="J566">
    <cfRule type="cellIs" priority="4409" operator="equal" dxfId="2034">
      <formula>"ja"</formula>
    </cfRule>
  </conditionalFormatting>
  <conditionalFormatting sqref="C568">
    <cfRule type="containsText" priority="4406" operator="containsText" dxfId="1" text="Einnahmen">
      <formula>NOT(ISERROR(SEARCH("Einnahmen",C568)))</formula>
    </cfRule>
    <cfRule type="containsText" priority="4407" operator="containsText" dxfId="0" text="Ausgaben">
      <formula>NOT(ISERROR(SEARCH("Ausgaben",C568)))</formula>
    </cfRule>
  </conditionalFormatting>
  <conditionalFormatting sqref="J568">
    <cfRule type="cellIs" priority="4405" operator="equal" dxfId="2034">
      <formula>"ja"</formula>
    </cfRule>
    <cfRule type="cellIs" priority="4400" operator="equal" dxfId="2034">
      <formula>"ja"</formula>
    </cfRule>
  </conditionalFormatting>
  <conditionalFormatting sqref="T568">
    <cfRule type="expression" priority="4404" dxfId="2">
      <formula>AND(AND($W568&lt;TODAY(),$W568&lt;&gt;""),$X568="")</formula>
    </cfRule>
    <cfRule type="expression" priority="4401" dxfId="2">
      <formula>AND(AND($W568&lt;TODAY(),$W568&lt;&gt;""),$X568="")</formula>
    </cfRule>
  </conditionalFormatting>
  <conditionalFormatting sqref="Z568">
    <cfRule type="dataBar" priority="4403">
      <dataBar>
        <cfvo type="min"/>
        <cfvo type="max"/>
        <color rgb="FF63C384"/>
      </dataBar>
    </cfRule>
    <cfRule type="dataBar" priority="4402">
      <dataBar>
        <cfvo type="min"/>
        <cfvo type="max"/>
        <color rgb="FF63C384"/>
      </dataBar>
    </cfRule>
    <cfRule type="dataBar" priority="4399">
      <dataBar>
        <cfvo type="min"/>
        <cfvo type="max"/>
        <color rgb="FF63C384"/>
      </dataBar>
    </cfRule>
    <cfRule type="dataBar" priority="4398">
      <dataBar>
        <cfvo type="min"/>
        <cfvo type="max"/>
        <color rgb="FF63C384"/>
      </dataBar>
    </cfRule>
  </conditionalFormatting>
  <conditionalFormatting sqref="J570">
    <cfRule type="cellIs" priority="4382" operator="equal" dxfId="2034">
      <formula>"ja"</formula>
    </cfRule>
  </conditionalFormatting>
  <conditionalFormatting sqref="C570">
    <cfRule type="containsText" priority="4380" operator="containsText" dxfId="1" text="Einnahmen">
      <formula>NOT(ISERROR(SEARCH("Einnahmen",C570)))</formula>
    </cfRule>
    <cfRule type="containsText" priority="4381" operator="containsText" dxfId="0" text="Ausgaben">
      <formula>NOT(ISERROR(SEARCH("Ausgaben",C570)))</formula>
    </cfRule>
  </conditionalFormatting>
  <conditionalFormatting sqref="T570">
    <cfRule type="expression" priority="4379" dxfId="2">
      <formula>AND(AND($W570&lt;TODAY(),$W570&lt;&gt;""),$X570="")</formula>
    </cfRule>
  </conditionalFormatting>
  <conditionalFormatting sqref="Z570">
    <cfRule type="dataBar" priority="4378">
      <dataBar>
        <cfvo type="min"/>
        <cfvo type="max"/>
        <color rgb="FF63C384"/>
      </dataBar>
    </cfRule>
    <cfRule type="dataBar" priority="4377">
      <dataBar>
        <cfvo type="min"/>
        <cfvo type="max"/>
        <color rgb="FF63C384"/>
      </dataBar>
    </cfRule>
  </conditionalFormatting>
  <conditionalFormatting sqref="T569">
    <cfRule type="expression" priority="4376" dxfId="2">
      <formula>AND(AND($W569&lt;TODAY(),$W569&lt;&gt;""),$X569="")</formula>
    </cfRule>
  </conditionalFormatting>
  <conditionalFormatting sqref="Z569">
    <cfRule type="dataBar" priority="4375">
      <dataBar>
        <cfvo type="min"/>
        <cfvo type="max"/>
        <color rgb="FF63C384"/>
      </dataBar>
    </cfRule>
    <cfRule type="dataBar" priority="4374">
      <dataBar>
        <cfvo type="min"/>
        <cfvo type="max"/>
        <color rgb="FF63C384"/>
      </dataBar>
    </cfRule>
  </conditionalFormatting>
  <conditionalFormatting sqref="J569">
    <cfRule type="cellIs" priority="4373" operator="equal" dxfId="2034">
      <formula>"ja"</formula>
    </cfRule>
  </conditionalFormatting>
  <conditionalFormatting sqref="C569">
    <cfRule type="containsText" priority="4371" operator="containsText" dxfId="1" text="Einnahmen">
      <formula>NOT(ISERROR(SEARCH("Einnahmen",C569)))</formula>
    </cfRule>
    <cfRule type="containsText" priority="4372" operator="containsText" dxfId="0" text="Ausgaben">
      <formula>NOT(ISERROR(SEARCH("Ausgaben",C569)))</formula>
    </cfRule>
  </conditionalFormatting>
  <conditionalFormatting sqref="C571">
    <cfRule type="containsText" priority="4368" operator="containsText" dxfId="1" text="Einnahmen">
      <formula>NOT(ISERROR(SEARCH("Einnahmen",C571)))</formula>
    </cfRule>
    <cfRule type="containsText" priority="4369" operator="containsText" dxfId="0" text="Ausgaben">
      <formula>NOT(ISERROR(SEARCH("Ausgaben",C571)))</formula>
    </cfRule>
  </conditionalFormatting>
  <conditionalFormatting sqref="J571">
    <cfRule type="cellIs" priority="4367" operator="equal" dxfId="2034">
      <formula>"ja"</formula>
    </cfRule>
  </conditionalFormatting>
  <conditionalFormatting sqref="T571">
    <cfRule type="expression" priority="4366" dxfId="2">
      <formula>AND(AND($W571&lt;TODAY(),$W571&lt;&gt;""),$X571="")</formula>
    </cfRule>
  </conditionalFormatting>
  <conditionalFormatting sqref="Z571">
    <cfRule type="dataBar" priority="4365">
      <dataBar>
        <cfvo type="min"/>
        <cfvo type="max"/>
        <color rgb="FF63C384"/>
      </dataBar>
    </cfRule>
    <cfRule type="dataBar" priority="4364">
      <dataBar>
        <cfvo type="min"/>
        <cfvo type="max"/>
        <color rgb="FF63C384"/>
      </dataBar>
    </cfRule>
  </conditionalFormatting>
  <conditionalFormatting sqref="T572">
    <cfRule type="expression" priority="4363" dxfId="2">
      <formula>AND(AND($W572&lt;TODAY(),$W572&lt;&gt;""),$X572="")</formula>
    </cfRule>
  </conditionalFormatting>
  <conditionalFormatting sqref="C572">
    <cfRule type="containsText" priority="4361" operator="containsText" dxfId="1" text="Einnahmen">
      <formula>NOT(ISERROR(SEARCH("Einnahmen",C572)))</formula>
    </cfRule>
    <cfRule type="containsText" priority="4362" operator="containsText" dxfId="0" text="Ausgaben">
      <formula>NOT(ISERROR(SEARCH("Ausgaben",C572)))</formula>
    </cfRule>
  </conditionalFormatting>
  <conditionalFormatting sqref="J572">
    <cfRule type="cellIs" priority="4359" operator="equal" dxfId="2034">
      <formula>"ja"</formula>
    </cfRule>
  </conditionalFormatting>
  <conditionalFormatting sqref="Z572">
    <cfRule type="dataBar" priority="4358">
      <dataBar>
        <cfvo type="min"/>
        <cfvo type="max"/>
        <color rgb="FF63C384"/>
      </dataBar>
    </cfRule>
    <cfRule type="dataBar" priority="4357">
      <dataBar>
        <cfvo type="min"/>
        <cfvo type="max"/>
        <color rgb="FF63C384"/>
      </dataBar>
    </cfRule>
  </conditionalFormatting>
  <conditionalFormatting sqref="J573">
    <cfRule type="cellIs" priority="4356" operator="equal" dxfId="2034">
      <formula>"ja"</formula>
    </cfRule>
  </conditionalFormatting>
  <conditionalFormatting sqref="C573">
    <cfRule type="containsText" priority="4354" operator="containsText" dxfId="1" text="Einnahmen">
      <formula>NOT(ISERROR(SEARCH("Einnahmen",C573)))</formula>
    </cfRule>
    <cfRule type="containsText" priority="4355" operator="containsText" dxfId="0" text="Ausgaben">
      <formula>NOT(ISERROR(SEARCH("Ausgaben",C573)))</formula>
    </cfRule>
  </conditionalFormatting>
  <conditionalFormatting sqref="T573">
    <cfRule type="expression" priority="4353" dxfId="2">
      <formula>AND(AND($W573&lt;TODAY(),$W573&lt;&gt;""),$X573="")</formula>
    </cfRule>
  </conditionalFormatting>
  <conditionalFormatting sqref="Z573">
    <cfRule type="dataBar" priority="4352">
      <dataBar>
        <cfvo type="min"/>
        <cfvo type="max"/>
        <color rgb="FF63C384"/>
      </dataBar>
    </cfRule>
    <cfRule type="dataBar" priority="4351">
      <dataBar>
        <cfvo type="min"/>
        <cfvo type="max"/>
        <color rgb="FF63C384"/>
      </dataBar>
    </cfRule>
  </conditionalFormatting>
  <conditionalFormatting sqref="J574">
    <cfRule type="cellIs" priority="4347" operator="equal" dxfId="2034">
      <formula>"ja"</formula>
    </cfRule>
  </conditionalFormatting>
  <conditionalFormatting sqref="T574">
    <cfRule type="expression" priority="4346" dxfId="2">
      <formula>AND(AND($W574&lt;TODAY(),$W574&lt;&gt;""),$X574="")</formula>
    </cfRule>
  </conditionalFormatting>
  <conditionalFormatting sqref="Z574">
    <cfRule type="dataBar" priority="4345">
      <dataBar>
        <cfvo type="min"/>
        <cfvo type="max"/>
        <color rgb="FF63C384"/>
      </dataBar>
    </cfRule>
    <cfRule type="dataBar" priority="4344">
      <dataBar>
        <cfvo type="min"/>
        <cfvo type="max"/>
        <color rgb="FF63C384"/>
      </dataBar>
    </cfRule>
  </conditionalFormatting>
  <conditionalFormatting sqref="C574">
    <cfRule type="containsText" priority="4342" operator="containsText" dxfId="1" text="Einnahmen">
      <formula>NOT(ISERROR(SEARCH("Einnahmen",C574)))</formula>
    </cfRule>
    <cfRule type="containsText" priority="4343" operator="containsText" dxfId="0" text="Ausgaben">
      <formula>NOT(ISERROR(SEARCH("Ausgaben",C574)))</formula>
    </cfRule>
  </conditionalFormatting>
  <conditionalFormatting sqref="C575">
    <cfRule type="containsText" priority="4340" operator="containsText" dxfId="1" text="Einnahmen">
      <formula>NOT(ISERROR(SEARCH("Einnahmen",C575)))</formula>
    </cfRule>
    <cfRule type="containsText" priority="4341" operator="containsText" dxfId="0" text="Ausgaben">
      <formula>NOT(ISERROR(SEARCH("Ausgaben",C575)))</formula>
    </cfRule>
  </conditionalFormatting>
  <conditionalFormatting sqref="J575">
    <cfRule type="cellIs" priority="4339" operator="equal" dxfId="2034">
      <formula>"ja"</formula>
    </cfRule>
    <cfRule type="cellIs" priority="4327" operator="equal" dxfId="2034">
      <formula>"ja"</formula>
    </cfRule>
    <cfRule type="cellIs" priority="4335" operator="equal" dxfId="2034">
      <formula>"ja"</formula>
    </cfRule>
    <cfRule type="cellIs" priority="4331" operator="equal" dxfId="2034">
      <formula>"ja"</formula>
    </cfRule>
  </conditionalFormatting>
  <conditionalFormatting sqref="T575">
    <cfRule type="expression" priority="4326" dxfId="2">
      <formula>AND(AND($W575&lt;TODAY(),$W575&lt;&gt;""),$X575="")</formula>
    </cfRule>
    <cfRule type="expression" priority="4338" dxfId="2">
      <formula>AND(AND($W575&lt;TODAY(),$W575&lt;&gt;""),$X575="")</formula>
    </cfRule>
    <cfRule type="expression" priority="4334" dxfId="2">
      <formula>AND(AND($W575&lt;TODAY(),$W575&lt;&gt;""),$X575="")</formula>
    </cfRule>
    <cfRule type="expression" priority="4330" dxfId="2">
      <formula>AND(AND($W575&lt;TODAY(),$W575&lt;&gt;""),$X575="")</formula>
    </cfRule>
  </conditionalFormatting>
  <conditionalFormatting sqref="Z575">
    <cfRule type="dataBar" priority="4337">
      <dataBar>
        <cfvo type="min"/>
        <cfvo type="max"/>
        <color rgb="FF63C384"/>
      </dataBar>
    </cfRule>
    <cfRule type="dataBar" priority="4336">
      <dataBar>
        <cfvo type="min"/>
        <cfvo type="max"/>
        <color rgb="FF63C384"/>
      </dataBar>
    </cfRule>
    <cfRule type="dataBar" priority="4333">
      <dataBar>
        <cfvo type="min"/>
        <cfvo type="max"/>
        <color rgb="FF63C384"/>
      </dataBar>
    </cfRule>
    <cfRule type="dataBar" priority="4332">
      <dataBar>
        <cfvo type="min"/>
        <cfvo type="max"/>
        <color rgb="FF63C384"/>
      </dataBar>
    </cfRule>
    <cfRule type="dataBar" priority="4329">
      <dataBar>
        <cfvo type="min"/>
        <cfvo type="max"/>
        <color rgb="FF63C384"/>
      </dataBar>
    </cfRule>
    <cfRule type="dataBar" priority="4328">
      <dataBar>
        <cfvo type="min"/>
        <cfvo type="max"/>
        <color rgb="FF63C384"/>
      </dataBar>
    </cfRule>
    <cfRule type="dataBar" priority="4325">
      <dataBar>
        <cfvo type="min"/>
        <cfvo type="max"/>
        <color rgb="FF63C384"/>
      </dataBar>
    </cfRule>
    <cfRule type="dataBar" priority="4324">
      <dataBar>
        <cfvo type="min"/>
        <cfvo type="max"/>
        <color rgb="FF63C384"/>
      </dataBar>
    </cfRule>
  </conditionalFormatting>
  <conditionalFormatting sqref="J576">
    <cfRule type="cellIs" priority="4318" operator="equal" dxfId="2034">
      <formula>"ja"</formula>
    </cfRule>
    <cfRule type="cellIs" priority="4313" operator="equal" dxfId="2034">
      <formula>"ja"</formula>
    </cfRule>
  </conditionalFormatting>
  <conditionalFormatting sqref="T576">
    <cfRule type="expression" priority="4317" dxfId="2">
      <formula>AND(AND($W576&lt;TODAY(),$W576&lt;&gt;""),$X576="")</formula>
    </cfRule>
    <cfRule type="expression" priority="4312" dxfId="2">
      <formula>AND(AND($W576&lt;TODAY(),$W576&lt;&gt;""),$X576="")</formula>
    </cfRule>
  </conditionalFormatting>
  <conditionalFormatting sqref="Z576">
    <cfRule type="dataBar" priority="4316">
      <dataBar>
        <cfvo type="min"/>
        <cfvo type="max"/>
        <color rgb="FF63C384"/>
      </dataBar>
    </cfRule>
    <cfRule type="dataBar" priority="4311">
      <dataBar>
        <cfvo type="min"/>
        <cfvo type="max"/>
        <color rgb="FF63C384"/>
      </dataBar>
    </cfRule>
    <cfRule type="dataBar" priority="4310">
      <dataBar>
        <cfvo type="min"/>
        <cfvo type="max"/>
        <color rgb="FF63C384"/>
      </dataBar>
    </cfRule>
  </conditionalFormatting>
  <conditionalFormatting sqref="C576">
    <cfRule type="containsText" priority="4314" operator="containsText" dxfId="1" text="Einnahmen">
      <formula>NOT(ISERROR(SEARCH("Einnahmen",C576)))</formula>
    </cfRule>
    <cfRule type="containsText" priority="4315" operator="containsText" dxfId="0" text="Ausgaben">
      <formula>NOT(ISERROR(SEARCH("Ausgaben",C576)))</formula>
    </cfRule>
  </conditionalFormatting>
  <conditionalFormatting sqref="T577">
    <cfRule type="expression" priority="4301" dxfId="2">
      <formula>AND(AND($W577&lt;TODAY(),$W577&lt;&gt;""),$X577="")</formula>
    </cfRule>
  </conditionalFormatting>
  <conditionalFormatting sqref="Z577">
    <cfRule type="dataBar" priority="4300">
      <dataBar>
        <cfvo type="min"/>
        <cfvo type="max"/>
        <color rgb="FF63C384"/>
      </dataBar>
    </cfRule>
    <cfRule type="dataBar" priority="4299">
      <dataBar>
        <cfvo type="min"/>
        <cfvo type="max"/>
        <color rgb="FF63C384"/>
      </dataBar>
    </cfRule>
  </conditionalFormatting>
  <conditionalFormatting sqref="C577">
    <cfRule type="containsText" priority="4296" operator="containsText" dxfId="1" text="Einnahmen">
      <formula>NOT(ISERROR(SEARCH("Einnahmen",C577)))</formula>
    </cfRule>
    <cfRule type="containsText" priority="4297" operator="containsText" dxfId="0" text="Ausgaben">
      <formula>NOT(ISERROR(SEARCH("Ausgaben",C577)))</formula>
    </cfRule>
  </conditionalFormatting>
  <conditionalFormatting sqref="J577">
    <cfRule type="cellIs" priority="4295" operator="equal" dxfId="2034">
      <formula>"ja"</formula>
    </cfRule>
  </conditionalFormatting>
  <conditionalFormatting sqref="J578">
    <cfRule type="cellIs" priority="4294" operator="equal" dxfId="2034">
      <formula>"ja"</formula>
    </cfRule>
  </conditionalFormatting>
  <conditionalFormatting sqref="C578">
    <cfRule type="containsText" priority="4292" operator="containsText" dxfId="1" text="Einnahmen">
      <formula>NOT(ISERROR(SEARCH("Einnahmen",C578)))</formula>
    </cfRule>
    <cfRule type="containsText" priority="4293" operator="containsText" dxfId="0" text="Ausgaben">
      <formula>NOT(ISERROR(SEARCH("Ausgaben",C578)))</formula>
    </cfRule>
  </conditionalFormatting>
  <conditionalFormatting sqref="T578">
    <cfRule type="expression" priority="4291" dxfId="2">
      <formula>AND(AND($W578&lt;TODAY(),$W578&lt;&gt;""),$X578="")</formula>
    </cfRule>
  </conditionalFormatting>
  <conditionalFormatting sqref="Z578">
    <cfRule type="dataBar" priority="4290">
      <dataBar>
        <cfvo type="min"/>
        <cfvo type="max"/>
        <color rgb="FF63C384"/>
      </dataBar>
    </cfRule>
    <cfRule type="dataBar" priority="4289">
      <dataBar>
        <cfvo type="min"/>
        <cfvo type="max"/>
        <color rgb="FF63C384"/>
      </dataBar>
    </cfRule>
  </conditionalFormatting>
  <conditionalFormatting sqref="C579">
    <cfRule type="containsText" priority="4286" operator="containsText" dxfId="1" text="Einnahmen">
      <formula>NOT(ISERROR(SEARCH("Einnahmen",C579)))</formula>
    </cfRule>
    <cfRule type="containsText" priority="4287" operator="containsText" dxfId="0" text="Ausgaben">
      <formula>NOT(ISERROR(SEARCH("Ausgaben",C579)))</formula>
    </cfRule>
  </conditionalFormatting>
  <conditionalFormatting sqref="T579">
    <cfRule type="expression" priority="4285" dxfId="2">
      <formula>AND(AND($W579&lt;TODAY(),$W579&lt;&gt;""),$X579="")</formula>
    </cfRule>
  </conditionalFormatting>
  <conditionalFormatting sqref="J579">
    <cfRule type="cellIs" priority="4284" operator="equal" dxfId="2034">
      <formula>"ja"</formula>
    </cfRule>
  </conditionalFormatting>
  <conditionalFormatting sqref="Z579">
    <cfRule type="dataBar" priority="4283">
      <dataBar>
        <cfvo type="min"/>
        <cfvo type="max"/>
        <color rgb="FF63C384"/>
      </dataBar>
    </cfRule>
    <cfRule type="dataBar" priority="4282">
      <dataBar>
        <cfvo type="min"/>
        <cfvo type="max"/>
        <color rgb="FF63C384"/>
      </dataBar>
    </cfRule>
  </conditionalFormatting>
  <conditionalFormatting sqref="J580">
    <cfRule type="cellIs" priority="4280" operator="equal" dxfId="2034">
      <formula>"ja"</formula>
    </cfRule>
  </conditionalFormatting>
  <conditionalFormatting sqref="C580">
    <cfRule type="containsText" priority="4278" operator="containsText" dxfId="1" text="Einnahmen">
      <formula>NOT(ISERROR(SEARCH("Einnahmen",C580)))</formula>
    </cfRule>
    <cfRule type="containsText" priority="4279" operator="containsText" dxfId="0" text="Ausgaben">
      <formula>NOT(ISERROR(SEARCH("Ausgaben",C580)))</formula>
    </cfRule>
  </conditionalFormatting>
  <conditionalFormatting sqref="T580">
    <cfRule type="expression" priority="4277" dxfId="2">
      <formula>AND(AND($W580&lt;TODAY(),$W580&lt;&gt;""),$X580="")</formula>
    </cfRule>
  </conditionalFormatting>
  <conditionalFormatting sqref="Z580">
    <cfRule type="dataBar" priority="4276">
      <dataBar>
        <cfvo type="min"/>
        <cfvo type="max"/>
        <color rgb="FF63C384"/>
      </dataBar>
    </cfRule>
    <cfRule type="dataBar" priority="4275">
      <dataBar>
        <cfvo type="min"/>
        <cfvo type="max"/>
        <color rgb="FF63C384"/>
      </dataBar>
    </cfRule>
  </conditionalFormatting>
  <conditionalFormatting sqref="J581">
    <cfRule type="cellIs" priority="4274" operator="equal" dxfId="2034">
      <formula>"ja"</formula>
    </cfRule>
  </conditionalFormatting>
  <conditionalFormatting sqref="T581">
    <cfRule type="expression" priority="4273" dxfId="2">
      <formula>AND(AND($W581&lt;TODAY(),$W581&lt;&gt;""),$X581="")</formula>
    </cfRule>
  </conditionalFormatting>
  <conditionalFormatting sqref="Z581">
    <cfRule type="dataBar" priority="4272">
      <dataBar>
        <cfvo type="min"/>
        <cfvo type="max"/>
        <color rgb="FF63C384"/>
      </dataBar>
    </cfRule>
    <cfRule type="dataBar" priority="4271">
      <dataBar>
        <cfvo type="min"/>
        <cfvo type="max"/>
        <color rgb="FF63C384"/>
      </dataBar>
    </cfRule>
  </conditionalFormatting>
  <conditionalFormatting sqref="C581">
    <cfRule type="containsText" priority="4269" operator="containsText" dxfId="1" text="Einnahmen">
      <formula>NOT(ISERROR(SEARCH("Einnahmen",C581)))</formula>
    </cfRule>
    <cfRule type="containsText" priority="4270" operator="containsText" dxfId="0" text="Ausgaben">
      <formula>NOT(ISERROR(SEARCH("Ausgaben",C581)))</formula>
    </cfRule>
  </conditionalFormatting>
  <conditionalFormatting sqref="T582">
    <cfRule type="expression" priority="4268" dxfId="2">
      <formula>AND(AND($W582&lt;TODAY(),$W582&lt;&gt;""),$X582="")</formula>
    </cfRule>
  </conditionalFormatting>
  <conditionalFormatting sqref="Z582">
    <cfRule type="dataBar" priority="4267">
      <dataBar>
        <cfvo type="min"/>
        <cfvo type="max"/>
        <color rgb="FF63C384"/>
      </dataBar>
    </cfRule>
    <cfRule type="dataBar" priority="4266">
      <dataBar>
        <cfvo type="min"/>
        <cfvo type="max"/>
        <color rgb="FF63C384"/>
      </dataBar>
    </cfRule>
  </conditionalFormatting>
  <conditionalFormatting sqref="C582">
    <cfRule type="containsText" priority="4264" operator="containsText" dxfId="1" text="Einnahmen">
      <formula>NOT(ISERROR(SEARCH("Einnahmen",C582)))</formula>
    </cfRule>
    <cfRule type="containsText" priority="4265" operator="containsText" dxfId="0" text="Ausgaben">
      <formula>NOT(ISERROR(SEARCH("Ausgaben",C582)))</formula>
    </cfRule>
  </conditionalFormatting>
  <conditionalFormatting sqref="C583">
    <cfRule type="containsText" priority="4262" operator="containsText" dxfId="1" text="Einnahmen">
      <formula>NOT(ISERROR(SEARCH("Einnahmen",C583)))</formula>
    </cfRule>
    <cfRule type="containsText" priority="4263" operator="containsText" dxfId="0" text="Ausgaben">
      <formula>NOT(ISERROR(SEARCH("Ausgaben",C583)))</formula>
    </cfRule>
  </conditionalFormatting>
  <conditionalFormatting sqref="T583">
    <cfRule type="expression" priority="4261" dxfId="2">
      <formula>AND(AND($W583&lt;TODAY(),$W583&lt;&gt;""),$X583="")</formula>
    </cfRule>
  </conditionalFormatting>
  <conditionalFormatting sqref="Z583">
    <cfRule type="dataBar" priority="4260">
      <dataBar>
        <cfvo type="min"/>
        <cfvo type="max"/>
        <color rgb="FF63C384"/>
      </dataBar>
    </cfRule>
    <cfRule type="dataBar" priority="4259">
      <dataBar>
        <cfvo type="min"/>
        <cfvo type="max"/>
        <color rgb="FF63C384"/>
      </dataBar>
    </cfRule>
  </conditionalFormatting>
  <conditionalFormatting sqref="J583">
    <cfRule type="cellIs" priority="4257" operator="equal" dxfId="2034">
      <formula>"ja"</formula>
    </cfRule>
  </conditionalFormatting>
  <conditionalFormatting sqref="C584">
    <cfRule type="containsText" priority="4255" operator="containsText" dxfId="1" text="Einnahmen">
      <formula>NOT(ISERROR(SEARCH("Einnahmen",C584)))</formula>
    </cfRule>
    <cfRule type="containsText" priority="4256" operator="containsText" dxfId="0" text="Ausgaben">
      <formula>NOT(ISERROR(SEARCH("Ausgaben",C584)))</formula>
    </cfRule>
  </conditionalFormatting>
  <conditionalFormatting sqref="T584">
    <cfRule type="expression" priority="4254" dxfId="2">
      <formula>AND(AND($W584&lt;TODAY(),$W584&lt;&gt;""),$X584="")</formula>
    </cfRule>
  </conditionalFormatting>
  <conditionalFormatting sqref="Z584">
    <cfRule type="dataBar" priority="4253">
      <dataBar>
        <cfvo type="min"/>
        <cfvo type="max"/>
        <color rgb="FF63C384"/>
      </dataBar>
    </cfRule>
    <cfRule type="dataBar" priority="4252">
      <dataBar>
        <cfvo type="min"/>
        <cfvo type="max"/>
        <color rgb="FF63C384"/>
      </dataBar>
    </cfRule>
  </conditionalFormatting>
  <conditionalFormatting sqref="J584">
    <cfRule type="cellIs" priority="4251" operator="equal" dxfId="2034">
      <formula>"ja"</formula>
    </cfRule>
  </conditionalFormatting>
  <conditionalFormatting sqref="C585">
    <cfRule type="containsText" priority="4248" operator="containsText" dxfId="1" text="Einnahmen">
      <formula>NOT(ISERROR(SEARCH("Einnahmen",C585)))</formula>
    </cfRule>
    <cfRule type="containsText" priority="4249" operator="containsText" dxfId="0" text="Ausgaben">
      <formula>NOT(ISERROR(SEARCH("Ausgaben",C585)))</formula>
    </cfRule>
  </conditionalFormatting>
  <conditionalFormatting sqref="T585">
    <cfRule type="expression" priority="4247" dxfId="2">
      <formula>AND(AND($W585&lt;TODAY(),$W585&lt;&gt;""),$X585="")</formula>
    </cfRule>
    <cfRule type="expression" priority="4232" dxfId="2">
      <formula>AND(AND($W585&lt;TODAY(),$W585&lt;&gt;""),$X585="")</formula>
    </cfRule>
  </conditionalFormatting>
  <conditionalFormatting sqref="Z585">
    <cfRule type="dataBar" priority="4246">
      <dataBar>
        <cfvo type="min"/>
        <cfvo type="max"/>
        <color rgb="FF63C384"/>
      </dataBar>
    </cfRule>
    <cfRule type="dataBar" priority="4245">
      <dataBar>
        <cfvo type="min"/>
        <cfvo type="max"/>
        <color rgb="FF63C384"/>
      </dataBar>
    </cfRule>
    <cfRule type="dataBar" priority="4231">
      <dataBar>
        <cfvo type="min"/>
        <cfvo type="max"/>
        <color rgb="FF63C384"/>
      </dataBar>
    </cfRule>
    <cfRule type="dataBar" priority="4230">
      <dataBar>
        <cfvo type="min"/>
        <cfvo type="max"/>
        <color rgb="FF63C384"/>
      </dataBar>
    </cfRule>
  </conditionalFormatting>
  <conditionalFormatting sqref="J585">
    <cfRule type="cellIs" priority="4244" operator="equal" dxfId="2034">
      <formula>"ja"</formula>
    </cfRule>
    <cfRule type="cellIs" priority="4229" operator="equal" dxfId="2034">
      <formula>"ja"</formula>
    </cfRule>
  </conditionalFormatting>
  <conditionalFormatting sqref="T586">
    <cfRule type="expression" priority="4242" dxfId="2">
      <formula>AND(AND($W586&lt;TODAY(),$W586&lt;&gt;""),$X586="")</formula>
    </cfRule>
    <cfRule type="expression" priority="4227" dxfId="2">
      <formula>AND(AND($W586&lt;TODAY(),$W586&lt;&gt;""),$X586="")</formula>
    </cfRule>
  </conditionalFormatting>
  <conditionalFormatting sqref="Z586">
    <cfRule type="dataBar" priority="4241">
      <dataBar>
        <cfvo type="min"/>
        <cfvo type="max"/>
        <color rgb="FF63C384"/>
      </dataBar>
    </cfRule>
    <cfRule type="dataBar" priority="4240">
      <dataBar>
        <cfvo type="min"/>
        <cfvo type="max"/>
        <color rgb="FF63C384"/>
      </dataBar>
    </cfRule>
    <cfRule type="dataBar" priority="4226">
      <dataBar>
        <cfvo type="min"/>
        <cfvo type="max"/>
        <color rgb="FF63C384"/>
      </dataBar>
    </cfRule>
    <cfRule type="dataBar" priority="4225">
      <dataBar>
        <cfvo type="min"/>
        <cfvo type="max"/>
        <color rgb="FF63C384"/>
      </dataBar>
    </cfRule>
  </conditionalFormatting>
  <conditionalFormatting sqref="J586">
    <cfRule type="cellIs" priority="4239" operator="equal" dxfId="2034">
      <formula>"ja"</formula>
    </cfRule>
    <cfRule type="cellIs" priority="4224" operator="equal" dxfId="2034">
      <formula>"ja"</formula>
    </cfRule>
  </conditionalFormatting>
  <conditionalFormatting sqref="C586">
    <cfRule type="containsText" priority="4220" operator="containsText" dxfId="1" text="Einnahmen">
      <formula>NOT(ISERROR(SEARCH("Einnahmen",C586)))</formula>
    </cfRule>
    <cfRule type="containsText" priority="4221" operator="containsText" dxfId="0" text="Ausgaben">
      <formula>NOT(ISERROR(SEARCH("Ausgaben",C586)))</formula>
    </cfRule>
  </conditionalFormatting>
  <conditionalFormatting sqref="C587">
    <cfRule type="containsText" priority="4209" operator="containsText" dxfId="1" text="Einnahmen">
      <formula>NOT(ISERROR(SEARCH("Einnahmen",C587)))</formula>
    </cfRule>
    <cfRule type="containsText" priority="4210" operator="containsText" dxfId="0" text="Ausgaben">
      <formula>NOT(ISERROR(SEARCH("Ausgaben",C587)))</formula>
    </cfRule>
  </conditionalFormatting>
  <conditionalFormatting sqref="J587">
    <cfRule type="cellIs" priority="4208" operator="equal" dxfId="2034">
      <formula>"ja"</formula>
    </cfRule>
    <cfRule type="cellIs" priority="4203" operator="equal" dxfId="2034">
      <formula>"ja"</formula>
    </cfRule>
  </conditionalFormatting>
  <conditionalFormatting sqref="T587">
    <cfRule type="expression" priority="4207" dxfId="2">
      <formula>AND(AND($W587&lt;TODAY(),$W587&lt;&gt;""),$X587="")</formula>
    </cfRule>
    <cfRule type="expression" priority="4204" dxfId="2">
      <formula>AND(AND($W587&lt;TODAY(),$W587&lt;&gt;""),$X587="")</formula>
    </cfRule>
  </conditionalFormatting>
  <conditionalFormatting sqref="Z587">
    <cfRule type="dataBar" priority="4206">
      <dataBar>
        <cfvo type="min"/>
        <cfvo type="max"/>
        <color rgb="FF63C384"/>
      </dataBar>
    </cfRule>
    <cfRule type="dataBar" priority="4205">
      <dataBar>
        <cfvo type="min"/>
        <cfvo type="max"/>
        <color rgb="FF63C384"/>
      </dataBar>
    </cfRule>
    <cfRule type="dataBar" priority="4202">
      <dataBar>
        <cfvo type="min"/>
        <cfvo type="max"/>
        <color rgb="FF63C384"/>
      </dataBar>
    </cfRule>
    <cfRule type="dataBar" priority="4201">
      <dataBar>
        <cfvo type="min"/>
        <cfvo type="max"/>
        <color rgb="FF63C384"/>
      </dataBar>
    </cfRule>
  </conditionalFormatting>
  <conditionalFormatting sqref="T588">
    <cfRule type="expression" priority="4196" dxfId="2">
      <formula>AND(AND($W588&lt;TODAY(),$W588&lt;&gt;""),$X588="")</formula>
    </cfRule>
  </conditionalFormatting>
  <conditionalFormatting sqref="C588">
    <cfRule type="containsText" priority="4198" operator="containsText" dxfId="1" text="Einnahmen">
      <formula>NOT(ISERROR(SEARCH("Einnahmen",C588)))</formula>
    </cfRule>
    <cfRule type="containsText" priority="4199" operator="containsText" dxfId="0" text="Ausgaben">
      <formula>NOT(ISERROR(SEARCH("Ausgaben",C588)))</formula>
    </cfRule>
  </conditionalFormatting>
  <conditionalFormatting sqref="J588">
    <cfRule type="cellIs" priority="4197" operator="equal" dxfId="2034">
      <formula>"ja"</formula>
    </cfRule>
  </conditionalFormatting>
  <conditionalFormatting sqref="Z588">
    <cfRule type="dataBar" priority="4195">
      <dataBar>
        <cfvo type="min"/>
        <cfvo type="max"/>
        <color rgb="FF63C384"/>
      </dataBar>
    </cfRule>
    <cfRule type="dataBar" priority="4194">
      <dataBar>
        <cfvo type="min"/>
        <cfvo type="max"/>
        <color rgb="FF63C384"/>
      </dataBar>
    </cfRule>
  </conditionalFormatting>
  <conditionalFormatting sqref="C589">
    <cfRule type="containsText" priority="4192" operator="containsText" dxfId="1" text="Einnahmen">
      <formula>NOT(ISERROR(SEARCH("Einnahmen",C589)))</formula>
    </cfRule>
    <cfRule type="containsText" priority="4193" operator="containsText" dxfId="0" text="Ausgaben">
      <formula>NOT(ISERROR(SEARCH("Ausgaben",C589)))</formula>
    </cfRule>
  </conditionalFormatting>
  <conditionalFormatting sqref="J589">
    <cfRule type="cellIs" priority="4191" operator="equal" dxfId="2034">
      <formula>"ja"</formula>
    </cfRule>
    <cfRule type="cellIs" priority="4179" operator="equal" dxfId="2034">
      <formula>"ja"</formula>
    </cfRule>
    <cfRule type="cellIs" priority="4187" operator="equal" dxfId="2034">
      <formula>"ja"</formula>
    </cfRule>
    <cfRule type="cellIs" priority="4183" operator="equal" dxfId="2034">
      <formula>"ja"</formula>
    </cfRule>
  </conditionalFormatting>
  <conditionalFormatting sqref="T589">
    <cfRule type="expression" priority="4178" dxfId="2">
      <formula>AND(AND($W589&lt;TODAY(),$W589&lt;&gt;""),$X589="")</formula>
    </cfRule>
    <cfRule type="expression" priority="4190" dxfId="2">
      <formula>AND(AND($W589&lt;TODAY(),$W589&lt;&gt;""),$X589="")</formula>
    </cfRule>
    <cfRule type="expression" priority="4186" dxfId="2">
      <formula>AND(AND($W589&lt;TODAY(),$W589&lt;&gt;""),$X589="")</formula>
    </cfRule>
    <cfRule type="expression" priority="4182" dxfId="2">
      <formula>AND(AND($W589&lt;TODAY(),$W589&lt;&gt;""),$X589="")</formula>
    </cfRule>
  </conditionalFormatting>
  <conditionalFormatting sqref="Z589">
    <cfRule type="dataBar" priority="4189">
      <dataBar>
        <cfvo type="min"/>
        <cfvo type="max"/>
        <color rgb="FF63C384"/>
      </dataBar>
    </cfRule>
    <cfRule type="dataBar" priority="4188">
      <dataBar>
        <cfvo type="min"/>
        <cfvo type="max"/>
        <color rgb="FF63C384"/>
      </dataBar>
    </cfRule>
    <cfRule type="dataBar" priority="4185">
      <dataBar>
        <cfvo type="min"/>
        <cfvo type="max"/>
        <color rgb="FF63C384"/>
      </dataBar>
    </cfRule>
    <cfRule type="dataBar" priority="4184">
      <dataBar>
        <cfvo type="min"/>
        <cfvo type="max"/>
        <color rgb="FF63C384"/>
      </dataBar>
    </cfRule>
    <cfRule type="dataBar" priority="4181">
      <dataBar>
        <cfvo type="min"/>
        <cfvo type="max"/>
        <color rgb="FF63C384"/>
      </dataBar>
    </cfRule>
    <cfRule type="dataBar" priority="4180">
      <dataBar>
        <cfvo type="min"/>
        <cfvo type="max"/>
        <color rgb="FF63C384"/>
      </dataBar>
    </cfRule>
    <cfRule type="dataBar" priority="4177">
      <dataBar>
        <cfvo type="min"/>
        <cfvo type="max"/>
        <color rgb="FF63C384"/>
      </dataBar>
    </cfRule>
    <cfRule type="dataBar" priority="4176">
      <dataBar>
        <cfvo type="min"/>
        <cfvo type="max"/>
        <color rgb="FF63C384"/>
      </dataBar>
    </cfRule>
  </conditionalFormatting>
  <conditionalFormatting sqref="J590">
    <cfRule type="cellIs" priority="4170" operator="equal" dxfId="2034">
      <formula>"ja"</formula>
    </cfRule>
  </conditionalFormatting>
  <conditionalFormatting sqref="C590">
    <cfRule type="containsText" priority="4168" operator="containsText" dxfId="1" text="Einnahmen">
      <formula>NOT(ISERROR(SEARCH("Einnahmen",C590)))</formula>
    </cfRule>
    <cfRule type="containsText" priority="4169" operator="containsText" dxfId="0" text="Ausgaben">
      <formula>NOT(ISERROR(SEARCH("Ausgaben",C590)))</formula>
    </cfRule>
  </conditionalFormatting>
  <conditionalFormatting sqref="T590">
    <cfRule type="expression" priority="4167" dxfId="2">
      <formula>AND(AND($W590&lt;TODAY(),$W590&lt;&gt;""),$X590="")</formula>
    </cfRule>
  </conditionalFormatting>
  <conditionalFormatting sqref="Z590">
    <cfRule type="dataBar" priority="4166">
      <dataBar>
        <cfvo type="min"/>
        <cfvo type="max"/>
        <color rgb="FF63C384"/>
      </dataBar>
    </cfRule>
    <cfRule type="dataBar" priority="4165">
      <dataBar>
        <cfvo type="min"/>
        <cfvo type="max"/>
        <color rgb="FF63C384"/>
      </dataBar>
    </cfRule>
  </conditionalFormatting>
  <conditionalFormatting sqref="C591">
    <cfRule type="containsText" priority="4163" operator="containsText" dxfId="1" text="Einnahmen">
      <formula>NOT(ISERROR(SEARCH("Einnahmen",C591)))</formula>
    </cfRule>
    <cfRule type="containsText" priority="4164" operator="containsText" dxfId="0" text="Ausgaben">
      <formula>NOT(ISERROR(SEARCH("Ausgaben",C591)))</formula>
    </cfRule>
  </conditionalFormatting>
  <conditionalFormatting sqref="T591">
    <cfRule type="expression" priority="4162" dxfId="2">
      <formula>AND(AND($W591&lt;TODAY(),$W591&lt;&gt;""),$X591="")</formula>
    </cfRule>
  </conditionalFormatting>
  <conditionalFormatting sqref="Z591">
    <cfRule type="dataBar" priority="4161">
      <dataBar>
        <cfvo type="min"/>
        <cfvo type="max"/>
        <color rgb="FF63C384"/>
      </dataBar>
    </cfRule>
    <cfRule type="dataBar" priority="4160">
      <dataBar>
        <cfvo type="min"/>
        <cfvo type="max"/>
        <color rgb="FF63C384"/>
      </dataBar>
    </cfRule>
  </conditionalFormatting>
  <conditionalFormatting sqref="J591">
    <cfRule type="cellIs" priority="4159" operator="equal" dxfId="2034">
      <formula>"ja"</formula>
    </cfRule>
  </conditionalFormatting>
  <conditionalFormatting sqref="C592">
    <cfRule type="containsText" priority="4147" operator="containsText" dxfId="1" text="Einnahmen">
      <formula>NOT(ISERROR(SEARCH("Einnahmen",C592)))</formula>
    </cfRule>
    <cfRule type="containsText" priority="4148" operator="containsText" dxfId="0" text="Ausgaben">
      <formula>NOT(ISERROR(SEARCH("Ausgaben",C592)))</formula>
    </cfRule>
  </conditionalFormatting>
  <conditionalFormatting sqref="T592">
    <cfRule type="expression" priority="4146" dxfId="2">
      <formula>AND(AND($W592&lt;TODAY(),$W592&lt;&gt;""),$X592="")</formula>
    </cfRule>
  </conditionalFormatting>
  <conditionalFormatting sqref="Z592">
    <cfRule type="dataBar" priority="4145">
      <dataBar>
        <cfvo type="min"/>
        <cfvo type="max"/>
        <color rgb="FF63C384"/>
      </dataBar>
    </cfRule>
    <cfRule type="dataBar" priority="4144">
      <dataBar>
        <cfvo type="min"/>
        <cfvo type="max"/>
        <color rgb="FF63C384"/>
      </dataBar>
    </cfRule>
  </conditionalFormatting>
  <conditionalFormatting sqref="J592">
    <cfRule type="cellIs" priority="4143" operator="equal" dxfId="2034">
      <formula>"ja"</formula>
    </cfRule>
  </conditionalFormatting>
  <conditionalFormatting sqref="C593">
    <cfRule type="containsText" priority="4139" operator="containsText" dxfId="1" text="Einnahmen">
      <formula>NOT(ISERROR(SEARCH("Einnahmen",C593)))</formula>
    </cfRule>
    <cfRule type="containsText" priority="4140" operator="containsText" dxfId="0" text="Ausgaben">
      <formula>NOT(ISERROR(SEARCH("Ausgaben",C593)))</formula>
    </cfRule>
  </conditionalFormatting>
  <conditionalFormatting sqref="J593">
    <cfRule type="cellIs" priority="4138" operator="equal" dxfId="2034">
      <formula>"ja"</formula>
    </cfRule>
  </conditionalFormatting>
  <conditionalFormatting sqref="T593">
    <cfRule type="expression" priority="4137" dxfId="2">
      <formula>AND(AND($W593&lt;TODAY(),$W593&lt;&gt;""),$X593="")</formula>
    </cfRule>
  </conditionalFormatting>
  <conditionalFormatting sqref="Z593">
    <cfRule type="dataBar" priority="4136">
      <dataBar>
        <cfvo type="min"/>
        <cfvo type="max"/>
        <color rgb="FF63C384"/>
      </dataBar>
    </cfRule>
    <cfRule type="dataBar" priority="4135">
      <dataBar>
        <cfvo type="min"/>
        <cfvo type="max"/>
        <color rgb="FF63C384"/>
      </dataBar>
    </cfRule>
  </conditionalFormatting>
  <conditionalFormatting sqref="T594">
    <cfRule type="expression" priority="4134" dxfId="2">
      <formula>AND(AND($W594&lt;TODAY(),$W594&lt;&gt;""),$X594="")</formula>
    </cfRule>
  </conditionalFormatting>
  <conditionalFormatting sqref="Z594">
    <cfRule type="dataBar" priority="4133">
      <dataBar>
        <cfvo type="min"/>
        <cfvo type="max"/>
        <color rgb="FF63C384"/>
      </dataBar>
    </cfRule>
    <cfRule type="dataBar" priority="4132">
      <dataBar>
        <cfvo type="min"/>
        <cfvo type="max"/>
        <color rgb="FF63C384"/>
      </dataBar>
    </cfRule>
  </conditionalFormatting>
  <conditionalFormatting sqref="C594">
    <cfRule type="containsText" priority="4129" operator="containsText" dxfId="1" text="Einnahmen">
      <formula>NOT(ISERROR(SEARCH("Einnahmen",C594)))</formula>
    </cfRule>
    <cfRule type="containsText" priority="4130" operator="containsText" dxfId="0" text="Ausgaben">
      <formula>NOT(ISERROR(SEARCH("Ausgaben",C594)))</formula>
    </cfRule>
  </conditionalFormatting>
  <conditionalFormatting sqref="J594">
    <cfRule type="cellIs" priority="4128" operator="equal" dxfId="2034">
      <formula>"ja"</formula>
    </cfRule>
  </conditionalFormatting>
  <conditionalFormatting sqref="J595">
    <cfRule type="cellIs" priority="4126" operator="equal" dxfId="2034">
      <formula>"ja"</formula>
    </cfRule>
  </conditionalFormatting>
  <conditionalFormatting sqref="T595">
    <cfRule type="expression" priority="4125" dxfId="2">
      <formula>AND(AND($W595&lt;TODAY(),$W595&lt;&gt;""),$X595="")</formula>
    </cfRule>
  </conditionalFormatting>
  <conditionalFormatting sqref="Z595">
    <cfRule type="dataBar" priority="4124">
      <dataBar>
        <cfvo type="min"/>
        <cfvo type="max"/>
        <color rgb="FF63C384"/>
      </dataBar>
    </cfRule>
    <cfRule type="dataBar" priority="4123">
      <dataBar>
        <cfvo type="min"/>
        <cfvo type="max"/>
        <color rgb="FF63C384"/>
      </dataBar>
    </cfRule>
  </conditionalFormatting>
  <conditionalFormatting sqref="C595">
    <cfRule type="containsText" priority="4121" operator="containsText" dxfId="1" text="Einnahmen">
      <formula>NOT(ISERROR(SEARCH("Einnahmen",C595)))</formula>
    </cfRule>
    <cfRule type="containsText" priority="4122" operator="containsText" dxfId="0" text="Ausgaben">
      <formula>NOT(ISERROR(SEARCH("Ausgaben",C595)))</formula>
    </cfRule>
  </conditionalFormatting>
  <conditionalFormatting sqref="J596">
    <cfRule type="cellIs" priority="4113" operator="equal" dxfId="2034">
      <formula>"ja"</formula>
    </cfRule>
  </conditionalFormatting>
  <conditionalFormatting sqref="C596">
    <cfRule type="containsText" priority="4111" operator="containsText" dxfId="1" text="Einnahmen">
      <formula>NOT(ISERROR(SEARCH("Einnahmen",C596)))</formula>
    </cfRule>
    <cfRule type="containsText" priority="4112" operator="containsText" dxfId="0" text="Ausgaben">
      <formula>NOT(ISERROR(SEARCH("Ausgaben",C596)))</formula>
    </cfRule>
  </conditionalFormatting>
  <conditionalFormatting sqref="T596">
    <cfRule type="expression" priority="4110" dxfId="2">
      <formula>AND(AND($W596&lt;TODAY(),$W596&lt;&gt;""),$X596="")</formula>
    </cfRule>
  </conditionalFormatting>
  <conditionalFormatting sqref="Z596">
    <cfRule type="dataBar" priority="4109">
      <dataBar>
        <cfvo type="min"/>
        <cfvo type="max"/>
        <color rgb="FF63C384"/>
      </dataBar>
    </cfRule>
    <cfRule type="dataBar" priority="4108">
      <dataBar>
        <cfvo type="min"/>
        <cfvo type="max"/>
        <color rgb="FF63C384"/>
      </dataBar>
    </cfRule>
  </conditionalFormatting>
  <conditionalFormatting sqref="C597">
    <cfRule type="containsText" priority="4104" operator="containsText" dxfId="1" text="Einnahmen">
      <formula>NOT(ISERROR(SEARCH("Einnahmen",C597)))</formula>
    </cfRule>
    <cfRule type="containsText" priority="4105" operator="containsText" dxfId="0" text="Ausgaben">
      <formula>NOT(ISERROR(SEARCH("Ausgaben",C597)))</formula>
    </cfRule>
  </conditionalFormatting>
  <conditionalFormatting sqref="T597">
    <cfRule type="expression" priority="4103" dxfId="2">
      <formula>AND(AND($W597&lt;TODAY(),$W597&lt;&gt;""),$X597="")</formula>
    </cfRule>
  </conditionalFormatting>
  <conditionalFormatting sqref="J597">
    <cfRule type="cellIs" priority="4102" operator="equal" dxfId="2034">
      <formula>"ja"</formula>
    </cfRule>
  </conditionalFormatting>
  <conditionalFormatting sqref="Z597">
    <cfRule type="dataBar" priority="4101">
      <dataBar>
        <cfvo type="min"/>
        <cfvo type="max"/>
        <color rgb="FF63C384"/>
      </dataBar>
    </cfRule>
    <cfRule type="dataBar" priority="4100">
      <dataBar>
        <cfvo type="min"/>
        <cfvo type="max"/>
        <color rgb="FF63C384"/>
      </dataBar>
    </cfRule>
  </conditionalFormatting>
  <conditionalFormatting sqref="J598">
    <cfRule type="cellIs" priority="4099" operator="equal" dxfId="2034">
      <formula>"ja"</formula>
    </cfRule>
  </conditionalFormatting>
  <conditionalFormatting sqref="T598">
    <cfRule type="expression" priority="4098" dxfId="2">
      <formula>AND(AND($W598&lt;TODAY(),$W598&lt;&gt;""),$X598="")</formula>
    </cfRule>
  </conditionalFormatting>
  <conditionalFormatting sqref="Z598">
    <cfRule type="dataBar" priority="4097">
      <dataBar>
        <cfvo type="min"/>
        <cfvo type="max"/>
        <color rgb="FF63C384"/>
      </dataBar>
    </cfRule>
    <cfRule type="dataBar" priority="4096">
      <dataBar>
        <cfvo type="min"/>
        <cfvo type="max"/>
        <color rgb="FF63C384"/>
      </dataBar>
    </cfRule>
  </conditionalFormatting>
  <conditionalFormatting sqref="C598">
    <cfRule type="containsText" priority="4094" operator="containsText" dxfId="1" text="Einnahmen">
      <formula>NOT(ISERROR(SEARCH("Einnahmen",C598)))</formula>
    </cfRule>
    <cfRule type="containsText" priority="4095" operator="containsText" dxfId="0" text="Ausgaben">
      <formula>NOT(ISERROR(SEARCH("Ausgaben",C598)))</formula>
    </cfRule>
  </conditionalFormatting>
  <conditionalFormatting sqref="C599">
    <cfRule type="containsText" priority="4092" operator="containsText" dxfId="1" text="Einnahmen">
      <formula>NOT(ISERROR(SEARCH("Einnahmen",C599)))</formula>
    </cfRule>
    <cfRule type="containsText" priority="4093" operator="containsText" dxfId="0" text="Ausgaben">
      <formula>NOT(ISERROR(SEARCH("Ausgaben",C599)))</formula>
    </cfRule>
  </conditionalFormatting>
  <conditionalFormatting sqref="T599">
    <cfRule type="expression" priority="4091" dxfId="2">
      <formula>AND(AND($W599&lt;TODAY(),$W599&lt;&gt;""),$X599="")</formula>
    </cfRule>
  </conditionalFormatting>
  <conditionalFormatting sqref="Z599">
    <cfRule type="dataBar" priority="4090">
      <dataBar>
        <cfvo type="min"/>
        <cfvo type="max"/>
        <color rgb="FF63C384"/>
      </dataBar>
    </cfRule>
    <cfRule type="dataBar" priority="4089">
      <dataBar>
        <cfvo type="min"/>
        <cfvo type="max"/>
        <color rgb="FF63C384"/>
      </dataBar>
    </cfRule>
  </conditionalFormatting>
  <conditionalFormatting sqref="J599">
    <cfRule type="cellIs" priority="4087" operator="equal" dxfId="2034">
      <formula>"ja"</formula>
    </cfRule>
  </conditionalFormatting>
  <conditionalFormatting sqref="C600">
    <cfRule type="containsText" priority="4084" operator="containsText" dxfId="1" text="Einnahmen">
      <formula>NOT(ISERROR(SEARCH("Einnahmen",C600)))</formula>
    </cfRule>
    <cfRule type="containsText" priority="4085" operator="containsText" dxfId="0" text="Ausgaben">
      <formula>NOT(ISERROR(SEARCH("Ausgaben",C600)))</formula>
    </cfRule>
  </conditionalFormatting>
  <conditionalFormatting sqref="T600">
    <cfRule type="expression" priority="4083" dxfId="2">
      <formula>AND(AND($W600&lt;TODAY(),$W600&lt;&gt;""),$X600="")</formula>
    </cfRule>
  </conditionalFormatting>
  <conditionalFormatting sqref="Z600">
    <cfRule type="dataBar" priority="4082">
      <dataBar>
        <cfvo type="min"/>
        <cfvo type="max"/>
        <color rgb="FF63C384"/>
      </dataBar>
    </cfRule>
    <cfRule type="dataBar" priority="4081">
      <dataBar>
        <cfvo type="min"/>
        <cfvo type="max"/>
        <color rgb="FF63C384"/>
      </dataBar>
    </cfRule>
  </conditionalFormatting>
  <conditionalFormatting sqref="J600">
    <cfRule type="cellIs" priority="4080" operator="equal" dxfId="2034">
      <formula>"ja"</formula>
    </cfRule>
  </conditionalFormatting>
  <conditionalFormatting sqref="C601">
    <cfRule type="containsText" priority="4077" operator="containsText" dxfId="1" text="Einnahmen">
      <formula>NOT(ISERROR(SEARCH("Einnahmen",C601)))</formula>
    </cfRule>
    <cfRule type="containsText" priority="4078" operator="containsText" dxfId="0" text="Ausgaben">
      <formula>NOT(ISERROR(SEARCH("Ausgaben",C601)))</formula>
    </cfRule>
  </conditionalFormatting>
  <conditionalFormatting sqref="J601">
    <cfRule type="cellIs" priority="4075" operator="equal" dxfId="2034">
      <formula>"ja"</formula>
    </cfRule>
  </conditionalFormatting>
  <conditionalFormatting sqref="T601">
    <cfRule type="expression" priority="4074" dxfId="2">
      <formula>AND(AND($W601&lt;TODAY(),$W601&lt;&gt;""),$X601="")</formula>
    </cfRule>
  </conditionalFormatting>
  <conditionalFormatting sqref="Z601">
    <cfRule type="dataBar" priority="4073">
      <dataBar>
        <cfvo type="min"/>
        <cfvo type="max"/>
        <color rgb="FF63C384"/>
      </dataBar>
    </cfRule>
    <cfRule type="dataBar" priority="4072">
      <dataBar>
        <cfvo type="min"/>
        <cfvo type="max"/>
        <color rgb="FF63C384"/>
      </dataBar>
    </cfRule>
  </conditionalFormatting>
  <conditionalFormatting sqref="T602">
    <cfRule type="expression" priority="4071" dxfId="2">
      <formula>AND(AND($W602&lt;TODAY(),$W602&lt;&gt;""),$X602="")</formula>
    </cfRule>
  </conditionalFormatting>
  <conditionalFormatting sqref="Z602">
    <cfRule type="dataBar" priority="4070">
      <dataBar>
        <cfvo type="min"/>
        <cfvo type="max"/>
        <color rgb="FF63C384"/>
      </dataBar>
    </cfRule>
    <cfRule type="dataBar" priority="4069">
      <dataBar>
        <cfvo type="min"/>
        <cfvo type="max"/>
        <color rgb="FF63C384"/>
      </dataBar>
    </cfRule>
  </conditionalFormatting>
  <conditionalFormatting sqref="J602">
    <cfRule type="cellIs" priority="4068" operator="equal" dxfId="2034">
      <formula>"ja"</formula>
    </cfRule>
  </conditionalFormatting>
  <conditionalFormatting sqref="C602">
    <cfRule type="containsText" priority="4066" operator="containsText" dxfId="1" text="Einnahmen">
      <formula>NOT(ISERROR(SEARCH("Einnahmen",C602)))</formula>
    </cfRule>
    <cfRule type="containsText" priority="4067" operator="containsText" dxfId="0" text="Ausgaben">
      <formula>NOT(ISERROR(SEARCH("Ausgaben",C602)))</formula>
    </cfRule>
  </conditionalFormatting>
  <conditionalFormatting sqref="C603">
    <cfRule type="containsText" priority="4061" operator="containsText" dxfId="1" text="Einnahmen">
      <formula>NOT(ISERROR(SEARCH("Einnahmen",C603)))</formula>
    </cfRule>
    <cfRule type="containsText" priority="4062" operator="containsText" dxfId="0" text="Ausgaben">
      <formula>NOT(ISERROR(SEARCH("Ausgaben",C603)))</formula>
    </cfRule>
  </conditionalFormatting>
  <conditionalFormatting sqref="J603">
    <cfRule type="cellIs" priority="4060" operator="equal" dxfId="2034">
      <formula>"ja"</formula>
    </cfRule>
    <cfRule type="cellIs" priority="4055" operator="equal" dxfId="2034">
      <formula>"ja"</formula>
    </cfRule>
  </conditionalFormatting>
  <conditionalFormatting sqref="T603">
    <cfRule type="expression" priority="4059" dxfId="2">
      <formula>AND(AND($W603&lt;TODAY(),$W603&lt;&gt;""),$X603="")</formula>
    </cfRule>
    <cfRule type="expression" priority="4056" dxfId="2">
      <formula>AND(AND($W603&lt;TODAY(),$W603&lt;&gt;""),$X603="")</formula>
    </cfRule>
  </conditionalFormatting>
  <conditionalFormatting sqref="Z603">
    <cfRule type="dataBar" priority="4058">
      <dataBar>
        <cfvo type="min"/>
        <cfvo type="max"/>
        <color rgb="FF63C384"/>
      </dataBar>
    </cfRule>
    <cfRule type="dataBar" priority="4057">
      <dataBar>
        <cfvo type="min"/>
        <cfvo type="max"/>
        <color rgb="FF63C384"/>
      </dataBar>
    </cfRule>
    <cfRule type="dataBar" priority="4054">
      <dataBar>
        <cfvo type="min"/>
        <cfvo type="max"/>
        <color rgb="FF63C384"/>
      </dataBar>
    </cfRule>
    <cfRule type="dataBar" priority="4053">
      <dataBar>
        <cfvo type="min"/>
        <cfvo type="max"/>
        <color rgb="FF63C384"/>
      </dataBar>
    </cfRule>
  </conditionalFormatting>
  <conditionalFormatting sqref="C604">
    <cfRule type="containsText" priority="4050" operator="containsText" dxfId="1" text="Einnahmen">
      <formula>NOT(ISERROR(SEARCH("Einnahmen",C604)))</formula>
    </cfRule>
    <cfRule type="containsText" priority="4051" operator="containsText" dxfId="0" text="Ausgaben">
      <formula>NOT(ISERROR(SEARCH("Ausgaben",C604)))</formula>
    </cfRule>
  </conditionalFormatting>
  <conditionalFormatting sqref="J604">
    <cfRule type="cellIs" priority="4049" operator="equal" dxfId="2034">
      <formula>"ja"</formula>
    </cfRule>
    <cfRule type="cellIs" priority="4037" operator="equal" dxfId="2034">
      <formula>"ja"</formula>
    </cfRule>
    <cfRule type="cellIs" priority="4045" operator="equal" dxfId="2034">
      <formula>"ja"</formula>
    </cfRule>
    <cfRule type="cellIs" priority="4041" operator="equal" dxfId="2034">
      <formula>"ja"</formula>
    </cfRule>
  </conditionalFormatting>
  <conditionalFormatting sqref="T604">
    <cfRule type="expression" priority="4036" dxfId="2">
      <formula>AND(AND($W604&lt;TODAY(),$W604&lt;&gt;""),$X604="")</formula>
    </cfRule>
    <cfRule type="expression" priority="4048" dxfId="2">
      <formula>AND(AND($W604&lt;TODAY(),$W604&lt;&gt;""),$X604="")</formula>
    </cfRule>
    <cfRule type="expression" priority="4044" dxfId="2">
      <formula>AND(AND($W604&lt;TODAY(),$W604&lt;&gt;""),$X604="")</formula>
    </cfRule>
    <cfRule type="expression" priority="4040" dxfId="2">
      <formula>AND(AND($W604&lt;TODAY(),$W604&lt;&gt;""),$X604="")</formula>
    </cfRule>
  </conditionalFormatting>
  <conditionalFormatting sqref="Z604">
    <cfRule type="dataBar" priority="4047">
      <dataBar>
        <cfvo type="min"/>
        <cfvo type="max"/>
        <color rgb="FF63C384"/>
      </dataBar>
    </cfRule>
    <cfRule type="dataBar" priority="4046">
      <dataBar>
        <cfvo type="min"/>
        <cfvo type="max"/>
        <color rgb="FF63C384"/>
      </dataBar>
    </cfRule>
    <cfRule type="dataBar" priority="4043">
      <dataBar>
        <cfvo type="min"/>
        <cfvo type="max"/>
        <color rgb="FF63C384"/>
      </dataBar>
    </cfRule>
    <cfRule type="dataBar" priority="4042">
      <dataBar>
        <cfvo type="min"/>
        <cfvo type="max"/>
        <color rgb="FF63C384"/>
      </dataBar>
    </cfRule>
    <cfRule type="dataBar" priority="4039">
      <dataBar>
        <cfvo type="min"/>
        <cfvo type="max"/>
        <color rgb="FF63C384"/>
      </dataBar>
    </cfRule>
    <cfRule type="dataBar" priority="4038">
      <dataBar>
        <cfvo type="min"/>
        <cfvo type="max"/>
        <color rgb="FF63C384"/>
      </dataBar>
    </cfRule>
    <cfRule type="dataBar" priority="4035">
      <dataBar>
        <cfvo type="min"/>
        <cfvo type="max"/>
        <color rgb="FF63C384"/>
      </dataBar>
    </cfRule>
    <cfRule type="dataBar" priority="4034">
      <dataBar>
        <cfvo type="min"/>
        <cfvo type="max"/>
        <color rgb="FF63C384"/>
      </dataBar>
    </cfRule>
  </conditionalFormatting>
  <conditionalFormatting sqref="J605">
    <cfRule type="cellIs" priority="4029" operator="equal" dxfId="2034">
      <formula>"ja"</formula>
    </cfRule>
  </conditionalFormatting>
  <conditionalFormatting sqref="C605">
    <cfRule type="containsText" priority="4027" operator="containsText" dxfId="1" text="Einnahmen">
      <formula>NOT(ISERROR(SEARCH("Einnahmen",C605)))</formula>
    </cfRule>
    <cfRule type="containsText" priority="4028" operator="containsText" dxfId="0" text="Ausgaben">
      <formula>NOT(ISERROR(SEARCH("Ausgaben",C605)))</formula>
    </cfRule>
  </conditionalFormatting>
  <conditionalFormatting sqref="T605">
    <cfRule type="expression" priority="4026" dxfId="2">
      <formula>AND(AND($W605&lt;TODAY(),$W605&lt;&gt;""),$X605="")</formula>
    </cfRule>
  </conditionalFormatting>
  <conditionalFormatting sqref="Z605">
    <cfRule type="dataBar" priority="4025">
      <dataBar>
        <cfvo type="min"/>
        <cfvo type="max"/>
        <color rgb="FF63C384"/>
      </dataBar>
    </cfRule>
    <cfRule type="dataBar" priority="4024">
      <dataBar>
        <cfvo type="min"/>
        <cfvo type="max"/>
        <color rgb="FF63C384"/>
      </dataBar>
    </cfRule>
  </conditionalFormatting>
  <conditionalFormatting sqref="C606">
    <cfRule type="containsText" priority="4022" operator="containsText" dxfId="1" text="Einnahmen">
      <formula>NOT(ISERROR(SEARCH("Einnahmen",C606)))</formula>
    </cfRule>
    <cfRule type="containsText" priority="4023" operator="containsText" dxfId="0" text="Ausgaben">
      <formula>NOT(ISERROR(SEARCH("Ausgaben",C606)))</formula>
    </cfRule>
  </conditionalFormatting>
  <conditionalFormatting sqref="T606">
    <cfRule type="expression" priority="4021" dxfId="2">
      <formula>AND(AND($W606&lt;TODAY(),$W606&lt;&gt;""),$X606="")</formula>
    </cfRule>
  </conditionalFormatting>
  <conditionalFormatting sqref="Z606">
    <cfRule type="dataBar" priority="4020">
      <dataBar>
        <cfvo type="min"/>
        <cfvo type="max"/>
        <color rgb="FF63C384"/>
      </dataBar>
    </cfRule>
    <cfRule type="dataBar" priority="4019">
      <dataBar>
        <cfvo type="min"/>
        <cfvo type="max"/>
        <color rgb="FF63C384"/>
      </dataBar>
    </cfRule>
  </conditionalFormatting>
  <conditionalFormatting sqref="J606">
    <cfRule type="cellIs" priority="4018" operator="equal" dxfId="2034">
      <formula>"ja"</formula>
    </cfRule>
  </conditionalFormatting>
  <conditionalFormatting sqref="J607">
    <cfRule type="cellIs" priority="4015" operator="equal" dxfId="2034">
      <formula>"ja"</formula>
    </cfRule>
  </conditionalFormatting>
  <conditionalFormatting sqref="C607">
    <cfRule type="containsText" priority="4013" operator="containsText" dxfId="1" text="Einnahmen">
      <formula>NOT(ISERROR(SEARCH("Einnahmen",C607)))</formula>
    </cfRule>
    <cfRule type="containsText" priority="4014" operator="containsText" dxfId="0" text="Ausgaben">
      <formula>NOT(ISERROR(SEARCH("Ausgaben",C607)))</formula>
    </cfRule>
  </conditionalFormatting>
  <conditionalFormatting sqref="T607">
    <cfRule type="expression" priority="4012" dxfId="2">
      <formula>AND(AND($W607&lt;TODAY(),$W607&lt;&gt;""),$X607="")</formula>
    </cfRule>
  </conditionalFormatting>
  <conditionalFormatting sqref="Z607">
    <cfRule type="dataBar" priority="4011">
      <dataBar>
        <cfvo type="min"/>
        <cfvo type="max"/>
        <color rgb="FF63C384"/>
      </dataBar>
    </cfRule>
    <cfRule type="dataBar" priority="4010">
      <dataBar>
        <cfvo type="min"/>
        <cfvo type="max"/>
        <color rgb="FF63C384"/>
      </dataBar>
    </cfRule>
  </conditionalFormatting>
  <conditionalFormatting sqref="T608">
    <cfRule type="expression" priority="4009" dxfId="2">
      <formula>AND(AND($W608&lt;TODAY(),$W608&lt;&gt;""),$X608="")</formula>
    </cfRule>
  </conditionalFormatting>
  <conditionalFormatting sqref="Z608">
    <cfRule type="dataBar" priority="4008">
      <dataBar>
        <cfvo type="min"/>
        <cfvo type="max"/>
        <color rgb="FF63C384"/>
      </dataBar>
    </cfRule>
    <cfRule type="dataBar" priority="4007">
      <dataBar>
        <cfvo type="min"/>
        <cfvo type="max"/>
        <color rgb="FF63C384"/>
      </dataBar>
    </cfRule>
  </conditionalFormatting>
  <conditionalFormatting sqref="C608">
    <cfRule type="containsText" priority="4004" operator="containsText" dxfId="1" text="Einnahmen">
      <formula>NOT(ISERROR(SEARCH("Einnahmen",C608)))</formula>
    </cfRule>
    <cfRule type="containsText" priority="4005" operator="containsText" dxfId="0" text="Ausgaben">
      <formula>NOT(ISERROR(SEARCH("Ausgaben",C608)))</formula>
    </cfRule>
  </conditionalFormatting>
  <conditionalFormatting sqref="J608">
    <cfRule type="cellIs" priority="4003" operator="equal" dxfId="2034">
      <formula>"ja"</formula>
    </cfRule>
  </conditionalFormatting>
  <conditionalFormatting sqref="J609">
    <cfRule type="cellIs" priority="4002" operator="equal" dxfId="2034">
      <formula>"ja"</formula>
    </cfRule>
  </conditionalFormatting>
  <conditionalFormatting sqref="C609">
    <cfRule type="containsText" priority="4000" operator="containsText" dxfId="1" text="Einnahmen">
      <formula>NOT(ISERROR(SEARCH("Einnahmen",C609)))</formula>
    </cfRule>
    <cfRule type="containsText" priority="4001" operator="containsText" dxfId="0" text="Ausgaben">
      <formula>NOT(ISERROR(SEARCH("Ausgaben",C609)))</formula>
    </cfRule>
  </conditionalFormatting>
  <conditionalFormatting sqref="T609">
    <cfRule type="expression" priority="3999" dxfId="2">
      <formula>AND(AND($W609&lt;TODAY(),$W609&lt;&gt;""),$X609="")</formula>
    </cfRule>
  </conditionalFormatting>
  <conditionalFormatting sqref="Z609">
    <cfRule type="dataBar" priority="3998">
      <dataBar>
        <cfvo type="min"/>
        <cfvo type="max"/>
        <color rgb="FF63C384"/>
      </dataBar>
    </cfRule>
    <cfRule type="dataBar" priority="3997">
      <dataBar>
        <cfvo type="min"/>
        <cfvo type="max"/>
        <color rgb="FF63C384"/>
      </dataBar>
    </cfRule>
  </conditionalFormatting>
  <conditionalFormatting sqref="C610">
    <cfRule type="containsText" priority="3993" operator="containsText" dxfId="1" text="Einnahmen">
      <formula>NOT(ISERROR(SEARCH("Einnahmen",C610)))</formula>
    </cfRule>
    <cfRule type="containsText" priority="3994" operator="containsText" dxfId="0" text="Ausgaben">
      <formula>NOT(ISERROR(SEARCH("Ausgaben",C610)))</formula>
    </cfRule>
  </conditionalFormatting>
  <conditionalFormatting sqref="T610">
    <cfRule type="expression" priority="3992" dxfId="2">
      <formula>AND(AND($W610&lt;TODAY(),$W610&lt;&gt;""),$X610="")</formula>
    </cfRule>
  </conditionalFormatting>
  <conditionalFormatting sqref="J610">
    <cfRule type="cellIs" priority="3991" operator="equal" dxfId="2034">
      <formula>"ja"</formula>
    </cfRule>
  </conditionalFormatting>
  <conditionalFormatting sqref="Z610">
    <cfRule type="dataBar" priority="3990">
      <dataBar>
        <cfvo type="min"/>
        <cfvo type="max"/>
        <color rgb="FF63C384"/>
      </dataBar>
    </cfRule>
    <cfRule type="dataBar" priority="3989">
      <dataBar>
        <cfvo type="min"/>
        <cfvo type="max"/>
        <color rgb="FF63C384"/>
      </dataBar>
    </cfRule>
  </conditionalFormatting>
  <conditionalFormatting sqref="C611">
    <cfRule type="containsText" priority="3987" operator="containsText" dxfId="1" text="Einnahmen">
      <formula>NOT(ISERROR(SEARCH("Einnahmen",C611)))</formula>
    </cfRule>
    <cfRule type="containsText" priority="3988" operator="containsText" dxfId="0" text="Ausgaben">
      <formula>NOT(ISERROR(SEARCH("Ausgaben",C611)))</formula>
    </cfRule>
  </conditionalFormatting>
  <conditionalFormatting sqref="T611">
    <cfRule type="expression" priority="3986" dxfId="2">
      <formula>AND(AND($W611&lt;TODAY(),$W611&lt;&gt;""),$X611="")</formula>
    </cfRule>
  </conditionalFormatting>
  <conditionalFormatting sqref="Z611">
    <cfRule type="dataBar" priority="3985">
      <dataBar>
        <cfvo type="min"/>
        <cfvo type="max"/>
        <color rgb="FF63C384"/>
      </dataBar>
    </cfRule>
    <cfRule type="dataBar" priority="3984">
      <dataBar>
        <cfvo type="min"/>
        <cfvo type="max"/>
        <color rgb="FF63C384"/>
      </dataBar>
    </cfRule>
  </conditionalFormatting>
  <conditionalFormatting sqref="J611">
    <cfRule type="cellIs" priority="3983" operator="equal" dxfId="2034">
      <formula>"ja"</formula>
    </cfRule>
  </conditionalFormatting>
  <conditionalFormatting sqref="T612">
    <cfRule type="expression" priority="3981" dxfId="2">
      <formula>AND(AND($W612&lt;TODAY(),$W612&lt;&gt;""),$X612="")</formula>
    </cfRule>
  </conditionalFormatting>
  <conditionalFormatting sqref="Z612">
    <cfRule type="dataBar" priority="3980">
      <dataBar>
        <cfvo type="min"/>
        <cfvo type="max"/>
        <color rgb="FF63C384"/>
      </dataBar>
    </cfRule>
    <cfRule type="dataBar" priority="3979">
      <dataBar>
        <cfvo type="min"/>
        <cfvo type="max"/>
        <color rgb="FF63C384"/>
      </dataBar>
    </cfRule>
  </conditionalFormatting>
  <conditionalFormatting sqref="J612">
    <cfRule type="cellIs" priority="3978" operator="equal" dxfId="2034">
      <formula>"ja"</formula>
    </cfRule>
  </conditionalFormatting>
  <conditionalFormatting sqref="C612">
    <cfRule type="containsText" priority="3976" operator="containsText" dxfId="1" text="Einnahmen">
      <formula>NOT(ISERROR(SEARCH("Einnahmen",C612)))</formula>
    </cfRule>
    <cfRule type="containsText" priority="3977" operator="containsText" dxfId="0" text="Ausgaben">
      <formula>NOT(ISERROR(SEARCH("Ausgaben",C612)))</formula>
    </cfRule>
  </conditionalFormatting>
  <conditionalFormatting sqref="C613">
    <cfRule type="containsText" priority="3973" operator="containsText" dxfId="1" text="Einnahmen">
      <formula>NOT(ISERROR(SEARCH("Einnahmen",C613)))</formula>
    </cfRule>
    <cfRule type="containsText" priority="3974" operator="containsText" dxfId="0" text="Ausgaben">
      <formula>NOT(ISERROR(SEARCH("Ausgaben",C613)))</formula>
    </cfRule>
  </conditionalFormatting>
  <conditionalFormatting sqref="J613">
    <cfRule type="cellIs" priority="3972" operator="equal" dxfId="2034">
      <formula>"ja"</formula>
    </cfRule>
    <cfRule type="cellIs" priority="3967" operator="equal" dxfId="2034">
      <formula>"ja"</formula>
    </cfRule>
  </conditionalFormatting>
  <conditionalFormatting sqref="T613">
    <cfRule type="expression" priority="3971" dxfId="2">
      <formula>AND(AND($W613&lt;TODAY(),$W613&lt;&gt;""),$X613="")</formula>
    </cfRule>
    <cfRule type="expression" priority="3968" dxfId="2">
      <formula>AND(AND($W613&lt;TODAY(),$W613&lt;&gt;""),$X613="")</formula>
    </cfRule>
  </conditionalFormatting>
  <conditionalFormatting sqref="Z613">
    <cfRule type="dataBar" priority="3970">
      <dataBar>
        <cfvo type="min"/>
        <cfvo type="max"/>
        <color rgb="FF63C384"/>
      </dataBar>
    </cfRule>
    <cfRule type="dataBar" priority="3969">
      <dataBar>
        <cfvo type="min"/>
        <cfvo type="max"/>
        <color rgb="FF63C384"/>
      </dataBar>
    </cfRule>
    <cfRule type="dataBar" priority="3966">
      <dataBar>
        <cfvo type="min"/>
        <cfvo type="max"/>
        <color rgb="FF63C384"/>
      </dataBar>
    </cfRule>
    <cfRule type="dataBar" priority="3965">
      <dataBar>
        <cfvo type="min"/>
        <cfvo type="max"/>
        <color rgb="FF63C384"/>
      </dataBar>
    </cfRule>
  </conditionalFormatting>
  <conditionalFormatting sqref="J614">
    <cfRule type="cellIs" priority="3963" operator="equal" dxfId="2034">
      <formula>"ja"</formula>
    </cfRule>
  </conditionalFormatting>
  <conditionalFormatting sqref="C614">
    <cfRule type="containsText" priority="3961" operator="containsText" dxfId="1" text="Einnahmen">
      <formula>NOT(ISERROR(SEARCH("Einnahmen",C614)))</formula>
    </cfRule>
    <cfRule type="containsText" priority="3962" operator="containsText" dxfId="0" text="Ausgaben">
      <formula>NOT(ISERROR(SEARCH("Ausgaben",C614)))</formula>
    </cfRule>
  </conditionalFormatting>
  <conditionalFormatting sqref="T614">
    <cfRule type="expression" priority="3960" dxfId="2">
      <formula>AND(AND($W614&lt;TODAY(),$W614&lt;&gt;""),$X614="")</formula>
    </cfRule>
  </conditionalFormatting>
  <conditionalFormatting sqref="Z614">
    <cfRule type="dataBar" priority="3959">
      <dataBar>
        <cfvo type="min"/>
        <cfvo type="max"/>
        <color rgb="FF63C384"/>
      </dataBar>
    </cfRule>
    <cfRule type="dataBar" priority="3958">
      <dataBar>
        <cfvo type="min"/>
        <cfvo type="max"/>
        <color rgb="FF63C384"/>
      </dataBar>
    </cfRule>
  </conditionalFormatting>
  <conditionalFormatting sqref="J615">
    <cfRule type="cellIs" priority="3956" operator="equal" dxfId="2034">
      <formula>"ja"</formula>
    </cfRule>
  </conditionalFormatting>
  <conditionalFormatting sqref="C615">
    <cfRule type="containsText" priority="3954" operator="containsText" dxfId="1" text="Einnahmen">
      <formula>NOT(ISERROR(SEARCH("Einnahmen",C615)))</formula>
    </cfRule>
    <cfRule type="containsText" priority="3955" operator="containsText" dxfId="0" text="Ausgaben">
      <formula>NOT(ISERROR(SEARCH("Ausgaben",C615)))</formula>
    </cfRule>
  </conditionalFormatting>
  <conditionalFormatting sqref="T615">
    <cfRule type="expression" priority="3953" dxfId="2">
      <formula>AND(AND($W615&lt;TODAY(),$W615&lt;&gt;""),$X615="")</formula>
    </cfRule>
  </conditionalFormatting>
  <conditionalFormatting sqref="Z615">
    <cfRule type="dataBar" priority="3952">
      <dataBar>
        <cfvo type="min"/>
        <cfvo type="max"/>
        <color rgb="FF63C384"/>
      </dataBar>
    </cfRule>
    <cfRule type="dataBar" priority="3951">
      <dataBar>
        <cfvo type="min"/>
        <cfvo type="max"/>
        <color rgb="FF63C384"/>
      </dataBar>
    </cfRule>
  </conditionalFormatting>
  <conditionalFormatting sqref="C616">
    <cfRule type="containsText" priority="3949" operator="containsText" dxfId="1" text="Einnahmen">
      <formula>NOT(ISERROR(SEARCH("Einnahmen",C616)))</formula>
    </cfRule>
    <cfRule type="containsText" priority="3950" operator="containsText" dxfId="0" text="Ausgaben">
      <formula>NOT(ISERROR(SEARCH("Ausgaben",C616)))</formula>
    </cfRule>
  </conditionalFormatting>
  <conditionalFormatting sqref="J616">
    <cfRule type="cellIs" priority="3948" operator="equal" dxfId="2034">
      <formula>"ja"</formula>
    </cfRule>
  </conditionalFormatting>
  <conditionalFormatting sqref="T616">
    <cfRule type="expression" priority="3947" dxfId="2">
      <formula>AND(AND($W616&lt;TODAY(),$W616&lt;&gt;""),$X616="")</formula>
    </cfRule>
  </conditionalFormatting>
  <conditionalFormatting sqref="Z616">
    <cfRule type="dataBar" priority="3946">
      <dataBar>
        <cfvo type="min"/>
        <cfvo type="max"/>
        <color rgb="FF63C384"/>
      </dataBar>
    </cfRule>
    <cfRule type="dataBar" priority="3945">
      <dataBar>
        <cfvo type="min"/>
        <cfvo type="max"/>
        <color rgb="FF63C384"/>
      </dataBar>
    </cfRule>
  </conditionalFormatting>
  <conditionalFormatting sqref="J617">
    <cfRule type="cellIs" priority="3944" operator="equal" dxfId="2034">
      <formula>"ja"</formula>
    </cfRule>
  </conditionalFormatting>
  <conditionalFormatting sqref="C617">
    <cfRule type="containsText" priority="3942" operator="containsText" dxfId="1" text="Einnahmen">
      <formula>NOT(ISERROR(SEARCH("Einnahmen",C617)))</formula>
    </cfRule>
    <cfRule type="containsText" priority="3943" operator="containsText" dxfId="0" text="Ausgaben">
      <formula>NOT(ISERROR(SEARCH("Ausgaben",C617)))</formula>
    </cfRule>
  </conditionalFormatting>
  <conditionalFormatting sqref="T617">
    <cfRule type="expression" priority="3941" dxfId="2">
      <formula>AND(AND($W617&lt;TODAY(),$W617&lt;&gt;""),$X617="")</formula>
    </cfRule>
  </conditionalFormatting>
  <conditionalFormatting sqref="Z617">
    <cfRule type="dataBar" priority="3940">
      <dataBar>
        <cfvo type="min"/>
        <cfvo type="max"/>
        <color rgb="FF63C384"/>
      </dataBar>
    </cfRule>
    <cfRule type="dataBar" priority="3939">
      <dataBar>
        <cfvo type="min"/>
        <cfvo type="max"/>
        <color rgb="FF63C384"/>
      </dataBar>
    </cfRule>
  </conditionalFormatting>
  <conditionalFormatting sqref="T618">
    <cfRule type="expression" priority="3937" dxfId="2">
      <formula>AND(AND($W618&lt;TODAY(),$W618&lt;&gt;""),$X618="")</formula>
    </cfRule>
  </conditionalFormatting>
  <conditionalFormatting sqref="Z618">
    <cfRule type="dataBar" priority="3936">
      <dataBar>
        <cfvo type="min"/>
        <cfvo type="max"/>
        <color rgb="FF63C384"/>
      </dataBar>
    </cfRule>
    <cfRule type="dataBar" priority="3935">
      <dataBar>
        <cfvo type="min"/>
        <cfvo type="max"/>
        <color rgb="FF63C384"/>
      </dataBar>
    </cfRule>
  </conditionalFormatting>
  <conditionalFormatting sqref="C618">
    <cfRule type="containsText" priority="3932" operator="containsText" dxfId="1" text="Einnahmen">
      <formula>NOT(ISERROR(SEARCH("Einnahmen",C618)))</formula>
    </cfRule>
    <cfRule type="containsText" priority="3933" operator="containsText" dxfId="0" text="Ausgaben">
      <formula>NOT(ISERROR(SEARCH("Ausgaben",C618)))</formula>
    </cfRule>
  </conditionalFormatting>
  <conditionalFormatting sqref="J618">
    <cfRule type="cellIs" priority="3931" operator="equal" dxfId="2034">
      <formula>"ja"</formula>
    </cfRule>
  </conditionalFormatting>
  <conditionalFormatting sqref="C619">
    <cfRule type="containsText" priority="3929" operator="containsText" dxfId="1" text="Einnahmen">
      <formula>NOT(ISERROR(SEARCH("Einnahmen",C619)))</formula>
    </cfRule>
    <cfRule type="containsText" priority="3930" operator="containsText" dxfId="0" text="Ausgaben">
      <formula>NOT(ISERROR(SEARCH("Ausgaben",C619)))</formula>
    </cfRule>
  </conditionalFormatting>
  <conditionalFormatting sqref="J619">
    <cfRule type="cellIs" priority="3928" operator="equal" dxfId="2034">
      <formula>"ja"</formula>
    </cfRule>
    <cfRule type="cellIs" priority="3916" operator="equal" dxfId="2034">
      <formula>"ja"</formula>
    </cfRule>
    <cfRule type="cellIs" priority="3924" operator="equal" dxfId="2034">
      <formula>"ja"</formula>
    </cfRule>
    <cfRule type="cellIs" priority="3920" operator="equal" dxfId="2034">
      <formula>"ja"</formula>
    </cfRule>
  </conditionalFormatting>
  <conditionalFormatting sqref="T619">
    <cfRule type="expression" priority="3915" dxfId="2">
      <formula>AND(AND($W619&lt;TODAY(),$W619&lt;&gt;""),$X619="")</formula>
    </cfRule>
    <cfRule type="expression" priority="3927" dxfId="2">
      <formula>AND(AND($W619&lt;TODAY(),$W619&lt;&gt;""),$X619="")</formula>
    </cfRule>
    <cfRule type="expression" priority="3923" dxfId="2">
      <formula>AND(AND($W619&lt;TODAY(),$W619&lt;&gt;""),$X619="")</formula>
    </cfRule>
    <cfRule type="expression" priority="3919" dxfId="2">
      <formula>AND(AND($W619&lt;TODAY(),$W619&lt;&gt;""),$X619="")</formula>
    </cfRule>
  </conditionalFormatting>
  <conditionalFormatting sqref="Z619">
    <cfRule type="dataBar" priority="3926">
      <dataBar>
        <cfvo type="min"/>
        <cfvo type="max"/>
        <color rgb="FF63C384"/>
      </dataBar>
    </cfRule>
    <cfRule type="dataBar" priority="3925">
      <dataBar>
        <cfvo type="min"/>
        <cfvo type="max"/>
        <color rgb="FF63C384"/>
      </dataBar>
    </cfRule>
    <cfRule type="dataBar" priority="3922">
      <dataBar>
        <cfvo type="min"/>
        <cfvo type="max"/>
        <color rgb="FF63C384"/>
      </dataBar>
    </cfRule>
    <cfRule type="dataBar" priority="3921">
      <dataBar>
        <cfvo type="min"/>
        <cfvo type="max"/>
        <color rgb="FF63C384"/>
      </dataBar>
    </cfRule>
    <cfRule type="dataBar" priority="3918">
      <dataBar>
        <cfvo type="min"/>
        <cfvo type="max"/>
        <color rgb="FF63C384"/>
      </dataBar>
    </cfRule>
    <cfRule type="dataBar" priority="3917">
      <dataBar>
        <cfvo type="min"/>
        <cfvo type="max"/>
        <color rgb="FF63C384"/>
      </dataBar>
    </cfRule>
    <cfRule type="dataBar" priority="3914">
      <dataBar>
        <cfvo type="min"/>
        <cfvo type="max"/>
        <color rgb="FF63C384"/>
      </dataBar>
    </cfRule>
    <cfRule type="dataBar" priority="3913">
      <dataBar>
        <cfvo type="min"/>
        <cfvo type="max"/>
        <color rgb="FF63C384"/>
      </dataBar>
    </cfRule>
  </conditionalFormatting>
  <conditionalFormatting sqref="C620">
    <cfRule type="containsText" priority="3907" operator="containsText" dxfId="1" text="Einnahmen">
      <formula>NOT(ISERROR(SEARCH("Einnahmen",C620)))</formula>
    </cfRule>
    <cfRule type="containsText" priority="3908" operator="containsText" dxfId="0" text="Ausgaben">
      <formula>NOT(ISERROR(SEARCH("Ausgaben",C620)))</formula>
    </cfRule>
  </conditionalFormatting>
  <conditionalFormatting sqref="T620">
    <cfRule type="expression" priority="3906" dxfId="2">
      <formula>AND(AND($W620&lt;TODAY(),$W620&lt;&gt;""),$X620="")</formula>
    </cfRule>
  </conditionalFormatting>
  <conditionalFormatting sqref="Z620">
    <cfRule type="dataBar" priority="3905">
      <dataBar>
        <cfvo type="min"/>
        <cfvo type="max"/>
        <color rgb="FF63C384"/>
      </dataBar>
    </cfRule>
    <cfRule type="dataBar" priority="3904">
      <dataBar>
        <cfvo type="min"/>
        <cfvo type="max"/>
        <color rgb="FF63C384"/>
      </dataBar>
    </cfRule>
  </conditionalFormatting>
  <conditionalFormatting sqref="J620">
    <cfRule type="cellIs" priority="3903" operator="equal" dxfId="2034">
      <formula>"ja"</formula>
    </cfRule>
  </conditionalFormatting>
  <conditionalFormatting sqref="J621">
    <cfRule type="cellIs" priority="3900" operator="equal" dxfId="2034">
      <formula>"ja"</formula>
    </cfRule>
  </conditionalFormatting>
  <conditionalFormatting sqref="C621">
    <cfRule type="containsText" priority="3898" operator="containsText" dxfId="1" text="Einnahmen">
      <formula>NOT(ISERROR(SEARCH("Einnahmen",C621)))</formula>
    </cfRule>
    <cfRule type="containsText" priority="3899" operator="containsText" dxfId="0" text="Ausgaben">
      <formula>NOT(ISERROR(SEARCH("Ausgaben",C621)))</formula>
    </cfRule>
  </conditionalFormatting>
  <conditionalFormatting sqref="T621">
    <cfRule type="expression" priority="3897" dxfId="2">
      <formula>AND(AND($W621&lt;TODAY(),$W621&lt;&gt;""),$X621="")</formula>
    </cfRule>
  </conditionalFormatting>
  <conditionalFormatting sqref="Z621">
    <cfRule type="dataBar" priority="3896">
      <dataBar>
        <cfvo type="min"/>
        <cfvo type="max"/>
        <color rgb="FF63C384"/>
      </dataBar>
    </cfRule>
    <cfRule type="dataBar" priority="3895">
      <dataBar>
        <cfvo type="min"/>
        <cfvo type="max"/>
        <color rgb="FF63C384"/>
      </dataBar>
    </cfRule>
  </conditionalFormatting>
  <conditionalFormatting sqref="J622">
    <cfRule type="cellIs" priority="3893" operator="equal" dxfId="2034">
      <formula>"ja"</formula>
    </cfRule>
  </conditionalFormatting>
  <conditionalFormatting sqref="C622">
    <cfRule type="containsText" priority="3891" operator="containsText" dxfId="1" text="Einnahmen">
      <formula>NOT(ISERROR(SEARCH("Einnahmen",C622)))</formula>
    </cfRule>
    <cfRule type="containsText" priority="3892" operator="containsText" dxfId="0" text="Ausgaben">
      <formula>NOT(ISERROR(SEARCH("Ausgaben",C622)))</formula>
    </cfRule>
  </conditionalFormatting>
  <conditionalFormatting sqref="T622">
    <cfRule type="expression" priority="3890" dxfId="2">
      <formula>AND(AND($W622&lt;TODAY(),$W622&lt;&gt;""),$X622="")</formula>
    </cfRule>
  </conditionalFormatting>
  <conditionalFormatting sqref="Z622">
    <cfRule type="dataBar" priority="3889">
      <dataBar>
        <cfvo type="min"/>
        <cfvo type="max"/>
        <color rgb="FF63C384"/>
      </dataBar>
    </cfRule>
    <cfRule type="dataBar" priority="3888">
      <dataBar>
        <cfvo type="min"/>
        <cfvo type="max"/>
        <color rgb="FF63C384"/>
      </dataBar>
    </cfRule>
  </conditionalFormatting>
  <conditionalFormatting sqref="J623">
    <cfRule type="cellIs" priority="3886" operator="equal" dxfId="2034">
      <formula>"ja"</formula>
    </cfRule>
  </conditionalFormatting>
  <conditionalFormatting sqref="C623">
    <cfRule type="containsText" priority="3884" operator="containsText" dxfId="1" text="Einnahmen">
      <formula>NOT(ISERROR(SEARCH("Einnahmen",C623)))</formula>
    </cfRule>
    <cfRule type="containsText" priority="3885" operator="containsText" dxfId="0" text="Ausgaben">
      <formula>NOT(ISERROR(SEARCH("Ausgaben",C623)))</formula>
    </cfRule>
  </conditionalFormatting>
  <conditionalFormatting sqref="T623">
    <cfRule type="expression" priority="3883" dxfId="2">
      <formula>AND(AND($W623&lt;TODAY(),$W623&lt;&gt;""),$X623="")</formula>
    </cfRule>
  </conditionalFormatting>
  <conditionalFormatting sqref="Z623">
    <cfRule type="dataBar" priority="3882">
      <dataBar>
        <cfvo type="min"/>
        <cfvo type="max"/>
        <color rgb="FF63C384"/>
      </dataBar>
    </cfRule>
    <cfRule type="dataBar" priority="3881">
      <dataBar>
        <cfvo type="min"/>
        <cfvo type="max"/>
        <color rgb="FF63C384"/>
      </dataBar>
    </cfRule>
  </conditionalFormatting>
  <conditionalFormatting sqref="C624">
    <cfRule type="containsText" priority="3878" operator="containsText" dxfId="1" text="Einnahmen">
      <formula>NOT(ISERROR(SEARCH("Einnahmen",C624)))</formula>
    </cfRule>
    <cfRule type="containsText" priority="3879" operator="containsText" dxfId="0" text="Ausgaben">
      <formula>NOT(ISERROR(SEARCH("Ausgaben",C624)))</formula>
    </cfRule>
  </conditionalFormatting>
  <conditionalFormatting sqref="T624">
    <cfRule type="expression" priority="3877" dxfId="2">
      <formula>AND(AND($W624&lt;TODAY(),$W624&lt;&gt;""),$X624="")</formula>
    </cfRule>
  </conditionalFormatting>
  <conditionalFormatting sqref="J624">
    <cfRule type="cellIs" priority="3876" operator="equal" dxfId="2034">
      <formula>"ja"</formula>
    </cfRule>
  </conditionalFormatting>
  <conditionalFormatting sqref="Z624">
    <cfRule type="dataBar" priority="3875">
      <dataBar>
        <cfvo type="min"/>
        <cfvo type="max"/>
        <color rgb="FF63C384"/>
      </dataBar>
    </cfRule>
    <cfRule type="dataBar" priority="3874">
      <dataBar>
        <cfvo type="min"/>
        <cfvo type="max"/>
        <color rgb="FF63C384"/>
      </dataBar>
    </cfRule>
  </conditionalFormatting>
  <conditionalFormatting sqref="C625 C628 C640 C665:C666 C701 C707 C712 C731 C733 C748 C763:C764">
    <cfRule type="containsText" priority="3872" operator="containsText" dxfId="1" text="Einnahmen">
      <formula>NOT(ISERROR(SEARCH("Einnahmen",C625)))</formula>
    </cfRule>
    <cfRule type="containsText" priority="3873" operator="containsText" dxfId="0" text="Ausgaben">
      <formula>NOT(ISERROR(SEARCH("Ausgaben",C625)))</formula>
    </cfRule>
  </conditionalFormatting>
  <conditionalFormatting sqref="T625">
    <cfRule type="expression" priority="3871" dxfId="2">
      <formula>AND(AND($W625&lt;TODAY(),$W625&lt;&gt;""),$X625="")</formula>
    </cfRule>
  </conditionalFormatting>
  <conditionalFormatting sqref="Z625">
    <cfRule type="dataBar" priority="3870">
      <dataBar>
        <cfvo type="min"/>
        <cfvo type="max"/>
        <color rgb="FF63C384"/>
      </dataBar>
    </cfRule>
    <cfRule type="dataBar" priority="3869">
      <dataBar>
        <cfvo type="min"/>
        <cfvo type="max"/>
        <color rgb="FF63C384"/>
      </dataBar>
    </cfRule>
  </conditionalFormatting>
  <conditionalFormatting sqref="C626">
    <cfRule type="containsText" priority="3867" operator="containsText" dxfId="1" text="Einnahmen">
      <formula>NOT(ISERROR(SEARCH("Einnahmen",C626)))</formula>
    </cfRule>
    <cfRule type="containsText" priority="3868" operator="containsText" dxfId="0" text="Ausgaben">
      <formula>NOT(ISERROR(SEARCH("Ausgaben",C626)))</formula>
    </cfRule>
  </conditionalFormatting>
  <conditionalFormatting sqref="T626">
    <cfRule type="expression" priority="3866" dxfId="2">
      <formula>AND(AND($W626&lt;TODAY(),$W626&lt;&gt;""),$X626="")</formula>
    </cfRule>
  </conditionalFormatting>
  <conditionalFormatting sqref="Z626">
    <cfRule type="dataBar" priority="3865">
      <dataBar>
        <cfvo type="min"/>
        <cfvo type="max"/>
        <color rgb="FF63C384"/>
      </dataBar>
    </cfRule>
    <cfRule type="dataBar" priority="3864">
      <dataBar>
        <cfvo type="min"/>
        <cfvo type="max"/>
        <color rgb="FF63C384"/>
      </dataBar>
    </cfRule>
  </conditionalFormatting>
  <conditionalFormatting sqref="J626">
    <cfRule type="cellIs" priority="3863" operator="equal" dxfId="2034">
      <formula>"ja"</formula>
    </cfRule>
  </conditionalFormatting>
  <conditionalFormatting sqref="J627">
    <cfRule type="cellIs" priority="3862" operator="equal" dxfId="2034">
      <formula>"ja"</formula>
    </cfRule>
  </conditionalFormatting>
  <conditionalFormatting sqref="C627">
    <cfRule type="containsText" priority="3860" operator="containsText" dxfId="1" text="Einnahmen">
      <formula>NOT(ISERROR(SEARCH("Einnahmen",C627)))</formula>
    </cfRule>
    <cfRule type="containsText" priority="3861" operator="containsText" dxfId="0" text="Ausgaben">
      <formula>NOT(ISERROR(SEARCH("Ausgaben",C627)))</formula>
    </cfRule>
  </conditionalFormatting>
  <conditionalFormatting sqref="T627">
    <cfRule type="expression" priority="3859" dxfId="2">
      <formula>AND(AND($W627&lt;TODAY(),$W627&lt;&gt;""),$X627="")</formula>
    </cfRule>
  </conditionalFormatting>
  <conditionalFormatting sqref="Z627">
    <cfRule type="dataBar" priority="3858">
      <dataBar>
        <cfvo type="min"/>
        <cfvo type="max"/>
        <color rgb="FF63C384"/>
      </dataBar>
    </cfRule>
    <cfRule type="dataBar" priority="3857">
      <dataBar>
        <cfvo type="min"/>
        <cfvo type="max"/>
        <color rgb="FF63C384"/>
      </dataBar>
    </cfRule>
  </conditionalFormatting>
  <conditionalFormatting sqref="T628">
    <cfRule type="expression" priority="3856" dxfId="2">
      <formula>AND(AND($W628&lt;TODAY(),$W628&lt;&gt;""),$X628="")</formula>
    </cfRule>
  </conditionalFormatting>
  <conditionalFormatting sqref="Z628">
    <cfRule type="dataBar" priority="3855">
      <dataBar>
        <cfvo type="min"/>
        <cfvo type="max"/>
        <color rgb="FF63C384"/>
      </dataBar>
    </cfRule>
    <cfRule type="dataBar" priority="3854">
      <dataBar>
        <cfvo type="min"/>
        <cfvo type="max"/>
        <color rgb="FF63C384"/>
      </dataBar>
    </cfRule>
  </conditionalFormatting>
  <conditionalFormatting sqref="J629">
    <cfRule type="cellIs" priority="3853" operator="equal" dxfId="2034">
      <formula>"ja"</formula>
    </cfRule>
  </conditionalFormatting>
  <conditionalFormatting sqref="C629">
    <cfRule type="containsText" priority="3851" operator="containsText" dxfId="1" text="Einnahmen">
      <formula>NOT(ISERROR(SEARCH("Einnahmen",C629)))</formula>
    </cfRule>
    <cfRule type="containsText" priority="3852" operator="containsText" dxfId="0" text="Ausgaben">
      <formula>NOT(ISERROR(SEARCH("Ausgaben",C629)))</formula>
    </cfRule>
  </conditionalFormatting>
  <conditionalFormatting sqref="T629">
    <cfRule type="expression" priority="3850" dxfId="2">
      <formula>AND(AND($W629&lt;TODAY(),$W629&lt;&gt;""),$X629="")</formula>
    </cfRule>
  </conditionalFormatting>
  <conditionalFormatting sqref="Z629">
    <cfRule type="dataBar" priority="3849">
      <dataBar>
        <cfvo type="min"/>
        <cfvo type="max"/>
        <color rgb="FF63C384"/>
      </dataBar>
    </cfRule>
    <cfRule type="dataBar" priority="3848">
      <dataBar>
        <cfvo type="min"/>
        <cfvo type="max"/>
        <color rgb="FF63C384"/>
      </dataBar>
    </cfRule>
  </conditionalFormatting>
  <conditionalFormatting sqref="T630">
    <cfRule type="expression" priority="3847" dxfId="2">
      <formula>AND(AND($W630&lt;TODAY(),$W630&lt;&gt;""),$X630="")</formula>
    </cfRule>
  </conditionalFormatting>
  <conditionalFormatting sqref="Z630">
    <cfRule type="dataBar" priority="3846">
      <dataBar>
        <cfvo type="min"/>
        <cfvo type="max"/>
        <color rgb="FF63C384"/>
      </dataBar>
    </cfRule>
    <cfRule type="dataBar" priority="3845">
      <dataBar>
        <cfvo type="min"/>
        <cfvo type="max"/>
        <color rgb="FF63C384"/>
      </dataBar>
    </cfRule>
  </conditionalFormatting>
  <conditionalFormatting sqref="J630">
    <cfRule type="cellIs" priority="3844" operator="equal" dxfId="2034">
      <formula>"ja"</formula>
    </cfRule>
  </conditionalFormatting>
  <conditionalFormatting sqref="C630">
    <cfRule type="containsText" priority="3842" operator="containsText" dxfId="1" text="Einnahmen">
      <formula>NOT(ISERROR(SEARCH("Einnahmen",C630)))</formula>
    </cfRule>
    <cfRule type="containsText" priority="3843" operator="containsText" dxfId="0" text="Ausgaben">
      <formula>NOT(ISERROR(SEARCH("Ausgaben",C630)))</formula>
    </cfRule>
  </conditionalFormatting>
  <conditionalFormatting sqref="C631">
    <cfRule type="containsText" priority="3839" operator="containsText" dxfId="1" text="Einnahmen">
      <formula>NOT(ISERROR(SEARCH("Einnahmen",C631)))</formula>
    </cfRule>
    <cfRule type="containsText" priority="3840" operator="containsText" dxfId="0" text="Ausgaben">
      <formula>NOT(ISERROR(SEARCH("Ausgaben",C631)))</formula>
    </cfRule>
  </conditionalFormatting>
  <conditionalFormatting sqref="J631">
    <cfRule type="cellIs" priority="3838" operator="equal" dxfId="2034">
      <formula>"ja"</formula>
    </cfRule>
    <cfRule type="cellIs" priority="3833" operator="equal" dxfId="2034">
      <formula>"ja"</formula>
    </cfRule>
  </conditionalFormatting>
  <conditionalFormatting sqref="T631">
    <cfRule type="expression" priority="3837" dxfId="2">
      <formula>AND(AND($W631&lt;TODAY(),$W631&lt;&gt;""),$X631="")</formula>
    </cfRule>
    <cfRule type="expression" priority="3834" dxfId="2">
      <formula>AND(AND($W631&lt;TODAY(),$W631&lt;&gt;""),$X631="")</formula>
    </cfRule>
  </conditionalFormatting>
  <conditionalFormatting sqref="Z631">
    <cfRule type="dataBar" priority="3836">
      <dataBar>
        <cfvo type="min"/>
        <cfvo type="max"/>
        <color rgb="FF63C384"/>
      </dataBar>
    </cfRule>
    <cfRule type="dataBar" priority="3835">
      <dataBar>
        <cfvo type="min"/>
        <cfvo type="max"/>
        <color rgb="FF63C384"/>
      </dataBar>
    </cfRule>
    <cfRule type="dataBar" priority="3832">
      <dataBar>
        <cfvo type="min"/>
        <cfvo type="max"/>
        <color rgb="FF63C384"/>
      </dataBar>
    </cfRule>
    <cfRule type="dataBar" priority="3831">
      <dataBar>
        <cfvo type="min"/>
        <cfvo type="max"/>
        <color rgb="FF63C384"/>
      </dataBar>
    </cfRule>
  </conditionalFormatting>
  <conditionalFormatting sqref="J632">
    <cfRule type="cellIs" priority="3829" operator="equal" dxfId="2034">
      <formula>"ja"</formula>
    </cfRule>
  </conditionalFormatting>
  <conditionalFormatting sqref="C632">
    <cfRule type="containsText" priority="3827" operator="containsText" dxfId="1" text="Einnahmen">
      <formula>NOT(ISERROR(SEARCH("Einnahmen",C632)))</formula>
    </cfRule>
    <cfRule type="containsText" priority="3828" operator="containsText" dxfId="0" text="Ausgaben">
      <formula>NOT(ISERROR(SEARCH("Ausgaben",C632)))</formula>
    </cfRule>
  </conditionalFormatting>
  <conditionalFormatting sqref="T632">
    <cfRule type="expression" priority="3826" dxfId="2">
      <formula>AND(AND($W632&lt;TODAY(),$W632&lt;&gt;""),$X632="")</formula>
    </cfRule>
  </conditionalFormatting>
  <conditionalFormatting sqref="Z632">
    <cfRule type="dataBar" priority="3825">
      <dataBar>
        <cfvo type="min"/>
        <cfvo type="max"/>
        <color rgb="FF63C384"/>
      </dataBar>
    </cfRule>
    <cfRule type="dataBar" priority="3824">
      <dataBar>
        <cfvo type="min"/>
        <cfvo type="max"/>
        <color rgb="FF63C384"/>
      </dataBar>
    </cfRule>
  </conditionalFormatting>
  <conditionalFormatting sqref="J633">
    <cfRule type="cellIs" priority="3823" operator="equal" dxfId="2034">
      <formula>"ja"</formula>
    </cfRule>
  </conditionalFormatting>
  <conditionalFormatting sqref="C633">
    <cfRule type="containsText" priority="3821" operator="containsText" dxfId="1" text="Einnahmen">
      <formula>NOT(ISERROR(SEARCH("Einnahmen",C633)))</formula>
    </cfRule>
    <cfRule type="containsText" priority="3822" operator="containsText" dxfId="0" text="Ausgaben">
      <formula>NOT(ISERROR(SEARCH("Ausgaben",C633)))</formula>
    </cfRule>
  </conditionalFormatting>
  <conditionalFormatting sqref="T633">
    <cfRule type="expression" priority="3820" dxfId="2">
      <formula>AND(AND($W633&lt;TODAY(),$W633&lt;&gt;""),$X633="")</formula>
    </cfRule>
  </conditionalFormatting>
  <conditionalFormatting sqref="Z633">
    <cfRule type="dataBar" priority="3819">
      <dataBar>
        <cfvo type="min"/>
        <cfvo type="max"/>
        <color rgb="FF63C384"/>
      </dataBar>
    </cfRule>
    <cfRule type="dataBar" priority="3818">
      <dataBar>
        <cfvo type="min"/>
        <cfvo type="max"/>
        <color rgb="FF63C384"/>
      </dataBar>
    </cfRule>
  </conditionalFormatting>
  <conditionalFormatting sqref="C634">
    <cfRule type="containsText" priority="3816" operator="containsText" dxfId="1" text="Einnahmen">
      <formula>NOT(ISERROR(SEARCH("Einnahmen",C634)))</formula>
    </cfRule>
    <cfRule type="containsText" priority="3817" operator="containsText" dxfId="0" text="Ausgaben">
      <formula>NOT(ISERROR(SEARCH("Ausgaben",C634)))</formula>
    </cfRule>
  </conditionalFormatting>
  <conditionalFormatting sqref="J634">
    <cfRule type="cellIs" priority="3815" operator="equal" dxfId="2034">
      <formula>"ja"</formula>
    </cfRule>
    <cfRule type="cellIs" priority="3803" operator="equal" dxfId="2034">
      <formula>"ja"</formula>
    </cfRule>
    <cfRule type="cellIs" priority="3811" operator="equal" dxfId="2034">
      <formula>"ja"</formula>
    </cfRule>
    <cfRule type="cellIs" priority="3807" operator="equal" dxfId="2034">
      <formula>"ja"</formula>
    </cfRule>
  </conditionalFormatting>
  <conditionalFormatting sqref="T634">
    <cfRule type="expression" priority="3802" dxfId="2">
      <formula>AND(AND($W634&lt;TODAY(),$W634&lt;&gt;""),$X634="")</formula>
    </cfRule>
    <cfRule type="expression" priority="3814" dxfId="2">
      <formula>AND(AND($W634&lt;TODAY(),$W634&lt;&gt;""),$X634="")</formula>
    </cfRule>
    <cfRule type="expression" priority="3810" dxfId="2">
      <formula>AND(AND($W634&lt;TODAY(),$W634&lt;&gt;""),$X634="")</formula>
    </cfRule>
    <cfRule type="expression" priority="3806" dxfId="2">
      <formula>AND(AND($W634&lt;TODAY(),$W634&lt;&gt;""),$X634="")</formula>
    </cfRule>
  </conditionalFormatting>
  <conditionalFormatting sqref="Z634">
    <cfRule type="dataBar" priority="3813">
      <dataBar>
        <cfvo type="min"/>
        <cfvo type="max"/>
        <color rgb="FF63C384"/>
      </dataBar>
    </cfRule>
    <cfRule type="dataBar" priority="3812">
      <dataBar>
        <cfvo type="min"/>
        <cfvo type="max"/>
        <color rgb="FF63C384"/>
      </dataBar>
    </cfRule>
    <cfRule type="dataBar" priority="3809">
      <dataBar>
        <cfvo type="min"/>
        <cfvo type="max"/>
        <color rgb="FF63C384"/>
      </dataBar>
    </cfRule>
    <cfRule type="dataBar" priority="3808">
      <dataBar>
        <cfvo type="min"/>
        <cfvo type="max"/>
        <color rgb="FF63C384"/>
      </dataBar>
    </cfRule>
    <cfRule type="dataBar" priority="3805">
      <dataBar>
        <cfvo type="min"/>
        <cfvo type="max"/>
        <color rgb="FF63C384"/>
      </dataBar>
    </cfRule>
    <cfRule type="dataBar" priority="3804">
      <dataBar>
        <cfvo type="min"/>
        <cfvo type="max"/>
        <color rgb="FF63C384"/>
      </dataBar>
    </cfRule>
    <cfRule type="dataBar" priority="3801">
      <dataBar>
        <cfvo type="min"/>
        <cfvo type="max"/>
        <color rgb="FF63C384"/>
      </dataBar>
    </cfRule>
    <cfRule type="dataBar" priority="3800">
      <dataBar>
        <cfvo type="min"/>
        <cfvo type="max"/>
        <color rgb="FF63C384"/>
      </dataBar>
    </cfRule>
  </conditionalFormatting>
  <conditionalFormatting sqref="C635">
    <cfRule type="containsText" priority="3794" operator="containsText" dxfId="1" text="Einnahmen">
      <formula>NOT(ISERROR(SEARCH("Einnahmen",C635)))</formula>
    </cfRule>
    <cfRule type="containsText" priority="3795" operator="containsText" dxfId="0" text="Ausgaben">
      <formula>NOT(ISERROR(SEARCH("Ausgaben",C635)))</formula>
    </cfRule>
  </conditionalFormatting>
  <conditionalFormatting sqref="T635">
    <cfRule type="expression" priority="3793" dxfId="2">
      <formula>AND(AND($W635&lt;TODAY(),$W635&lt;&gt;""),$X635="")</formula>
    </cfRule>
  </conditionalFormatting>
  <conditionalFormatting sqref="Z635">
    <cfRule type="dataBar" priority="3792">
      <dataBar>
        <cfvo type="min"/>
        <cfvo type="max"/>
        <color rgb="FF63C384"/>
      </dataBar>
    </cfRule>
    <cfRule type="dataBar" priority="3791">
      <dataBar>
        <cfvo type="min"/>
        <cfvo type="max"/>
        <color rgb="FF63C384"/>
      </dataBar>
    </cfRule>
  </conditionalFormatting>
  <conditionalFormatting sqref="J635">
    <cfRule type="cellIs" priority="3790" operator="equal" dxfId="2034">
      <formula>"ja"</formula>
    </cfRule>
  </conditionalFormatting>
  <conditionalFormatting sqref="J636">
    <cfRule type="cellIs" priority="3787" operator="equal" dxfId="2034">
      <formula>"ja"</formula>
    </cfRule>
  </conditionalFormatting>
  <conditionalFormatting sqref="C636">
    <cfRule type="containsText" priority="3785" operator="containsText" dxfId="1" text="Einnahmen">
      <formula>NOT(ISERROR(SEARCH("Einnahmen",C636)))</formula>
    </cfRule>
    <cfRule type="containsText" priority="3786" operator="containsText" dxfId="0" text="Ausgaben">
      <formula>NOT(ISERROR(SEARCH("Ausgaben",C636)))</formula>
    </cfRule>
  </conditionalFormatting>
  <conditionalFormatting sqref="T636">
    <cfRule type="expression" priority="3784" dxfId="2">
      <formula>AND(AND($W636&lt;TODAY(),$W636&lt;&gt;""),$X636="")</formula>
    </cfRule>
  </conditionalFormatting>
  <conditionalFormatting sqref="Z636">
    <cfRule type="dataBar" priority="3783">
      <dataBar>
        <cfvo type="min"/>
        <cfvo type="max"/>
        <color rgb="FF63C384"/>
      </dataBar>
    </cfRule>
    <cfRule type="dataBar" priority="3782">
      <dataBar>
        <cfvo type="min"/>
        <cfvo type="max"/>
        <color rgb="FF63C384"/>
      </dataBar>
    </cfRule>
  </conditionalFormatting>
  <conditionalFormatting sqref="Z637">
    <cfRule type="dataBar" priority="3780">
      <dataBar>
        <cfvo type="min"/>
        <cfvo type="max"/>
        <color rgb="FF63C384"/>
      </dataBar>
    </cfRule>
    <cfRule type="dataBar" priority="3779">
      <dataBar>
        <cfvo type="min"/>
        <cfvo type="max"/>
        <color rgb="FF63C384"/>
      </dataBar>
    </cfRule>
  </conditionalFormatting>
  <conditionalFormatting sqref="C637">
    <cfRule type="containsText" priority="3776" operator="containsText" dxfId="1" text="Einnahmen">
      <formula>NOT(ISERROR(SEARCH("Einnahmen",C637)))</formula>
    </cfRule>
    <cfRule type="containsText" priority="3777" operator="containsText" dxfId="0" text="Ausgaben">
      <formula>NOT(ISERROR(SEARCH("Ausgaben",C637)))</formula>
    </cfRule>
  </conditionalFormatting>
  <conditionalFormatting sqref="J637">
    <cfRule type="cellIs" priority="3775" operator="equal" dxfId="2034">
      <formula>"ja"</formula>
    </cfRule>
  </conditionalFormatting>
  <conditionalFormatting sqref="T637">
    <cfRule type="expression" priority="3774" dxfId="2">
      <formula>AND(AND($W637&lt;TODAY(),$W637&lt;&gt;""),$X637="")</formula>
    </cfRule>
  </conditionalFormatting>
  <conditionalFormatting sqref="J638">
    <cfRule type="cellIs" priority="3773" operator="equal" dxfId="2034">
      <formula>"ja"</formula>
    </cfRule>
  </conditionalFormatting>
  <conditionalFormatting sqref="C638">
    <cfRule type="containsText" priority="3771" operator="containsText" dxfId="1" text="Einnahmen">
      <formula>NOT(ISERROR(SEARCH("Einnahmen",C638)))</formula>
    </cfRule>
    <cfRule type="containsText" priority="3772" operator="containsText" dxfId="0" text="Ausgaben">
      <formula>NOT(ISERROR(SEARCH("Ausgaben",C638)))</formula>
    </cfRule>
  </conditionalFormatting>
  <conditionalFormatting sqref="T638">
    <cfRule type="expression" priority="3770" dxfId="2">
      <formula>AND(AND($W638&lt;TODAY(),$W638&lt;&gt;""),$X638="")</formula>
    </cfRule>
  </conditionalFormatting>
  <conditionalFormatting sqref="Z638">
    <cfRule type="dataBar" priority="3769">
      <dataBar>
        <cfvo type="min"/>
        <cfvo type="max"/>
        <color rgb="FF63C384"/>
      </dataBar>
    </cfRule>
    <cfRule type="dataBar" priority="3768">
      <dataBar>
        <cfvo type="min"/>
        <cfvo type="max"/>
        <color rgb="FF63C384"/>
      </dataBar>
    </cfRule>
  </conditionalFormatting>
  <conditionalFormatting sqref="C639">
    <cfRule type="containsText" priority="3764" operator="containsText" dxfId="1" text="Einnahmen">
      <formula>NOT(ISERROR(SEARCH("Einnahmen",C639)))</formula>
    </cfRule>
    <cfRule type="containsText" priority="3765" operator="containsText" dxfId="0" text="Ausgaben">
      <formula>NOT(ISERROR(SEARCH("Ausgaben",C639)))</formula>
    </cfRule>
  </conditionalFormatting>
  <conditionalFormatting sqref="T639">
    <cfRule type="expression" priority="3763" dxfId="2">
      <formula>AND(AND($W639&lt;TODAY(),$W639&lt;&gt;""),$X639="")</formula>
    </cfRule>
  </conditionalFormatting>
  <conditionalFormatting sqref="J639">
    <cfRule type="cellIs" priority="3762" operator="equal" dxfId="2034">
      <formula>"ja"</formula>
    </cfRule>
  </conditionalFormatting>
  <conditionalFormatting sqref="Z639">
    <cfRule type="dataBar" priority="3761">
      <dataBar>
        <cfvo type="min"/>
        <cfvo type="max"/>
        <color rgb="FF63C384"/>
      </dataBar>
    </cfRule>
    <cfRule type="dataBar" priority="3760">
      <dataBar>
        <cfvo type="min"/>
        <cfvo type="max"/>
        <color rgb="FF63C384"/>
      </dataBar>
    </cfRule>
  </conditionalFormatting>
  <conditionalFormatting sqref="T640">
    <cfRule type="expression" priority="3759" dxfId="2">
      <formula>AND(AND($W640&lt;TODAY(),$W640&lt;&gt;""),$X640="")</formula>
    </cfRule>
  </conditionalFormatting>
  <conditionalFormatting sqref="Z640">
    <cfRule type="dataBar" priority="3758">
      <dataBar>
        <cfvo type="min"/>
        <cfvo type="max"/>
        <color rgb="FF63C384"/>
      </dataBar>
    </cfRule>
    <cfRule type="dataBar" priority="3757">
      <dataBar>
        <cfvo type="min"/>
        <cfvo type="max"/>
        <color rgb="FF63C384"/>
      </dataBar>
    </cfRule>
  </conditionalFormatting>
  <conditionalFormatting sqref="J641">
    <cfRule type="cellIs" priority="3756" operator="equal" dxfId="2034">
      <formula>"ja"</formula>
    </cfRule>
  </conditionalFormatting>
  <conditionalFormatting sqref="C641">
    <cfRule type="containsText" priority="3754" operator="containsText" dxfId="1" text="Einnahmen">
      <formula>NOT(ISERROR(SEARCH("Einnahmen",C641)))</formula>
    </cfRule>
    <cfRule type="containsText" priority="3755" operator="containsText" dxfId="0" text="Ausgaben">
      <formula>NOT(ISERROR(SEARCH("Ausgaben",C641)))</formula>
    </cfRule>
  </conditionalFormatting>
  <conditionalFormatting sqref="T641">
    <cfRule type="expression" priority="3753" dxfId="2">
      <formula>AND(AND($W641&lt;TODAY(),$W641&lt;&gt;""),$X641="")</formula>
    </cfRule>
  </conditionalFormatting>
  <conditionalFormatting sqref="Z641">
    <cfRule type="dataBar" priority="3752">
      <dataBar>
        <cfvo type="min"/>
        <cfvo type="max"/>
        <color rgb="FF63C384"/>
      </dataBar>
    </cfRule>
    <cfRule type="dataBar" priority="3751">
      <dataBar>
        <cfvo type="min"/>
        <cfvo type="max"/>
        <color rgb="FF63C384"/>
      </dataBar>
    </cfRule>
  </conditionalFormatting>
  <conditionalFormatting sqref="C642">
    <cfRule type="containsText" priority="3749" operator="containsText" dxfId="1" text="Einnahmen">
      <formula>NOT(ISERROR(SEARCH("Einnahmen",C642)))</formula>
    </cfRule>
    <cfRule type="containsText" priority="3750" operator="containsText" dxfId="0" text="Ausgaben">
      <formula>NOT(ISERROR(SEARCH("Ausgaben",C642)))</formula>
    </cfRule>
  </conditionalFormatting>
  <conditionalFormatting sqref="J642">
    <cfRule type="cellIs" priority="3748" operator="equal" dxfId="2034">
      <formula>"ja"</formula>
    </cfRule>
  </conditionalFormatting>
  <conditionalFormatting sqref="T642">
    <cfRule type="expression" priority="3747" dxfId="2">
      <formula>AND(AND($W642&lt;TODAY(),$W642&lt;&gt;""),$X642="")</formula>
    </cfRule>
  </conditionalFormatting>
  <conditionalFormatting sqref="Z642">
    <cfRule type="dataBar" priority="3746">
      <dataBar>
        <cfvo type="min"/>
        <cfvo type="max"/>
        <color rgb="FF63C384"/>
      </dataBar>
    </cfRule>
    <cfRule type="dataBar" priority="3745">
      <dataBar>
        <cfvo type="min"/>
        <cfvo type="max"/>
        <color rgb="FF63C384"/>
      </dataBar>
    </cfRule>
  </conditionalFormatting>
  <conditionalFormatting sqref="C643">
    <cfRule type="containsText" priority="3743" operator="containsText" dxfId="1" text="Einnahmen">
      <formula>NOT(ISERROR(SEARCH("Einnahmen",C643)))</formula>
    </cfRule>
    <cfRule type="containsText" priority="3744" operator="containsText" dxfId="0" text="Ausgaben">
      <formula>NOT(ISERROR(SEARCH("Ausgaben",C643)))</formula>
    </cfRule>
  </conditionalFormatting>
  <conditionalFormatting sqref="T643">
    <cfRule type="expression" priority="3742" dxfId="2">
      <formula>AND(AND($W643&lt;TODAY(),$W643&lt;&gt;""),$X643="")</formula>
    </cfRule>
  </conditionalFormatting>
  <conditionalFormatting sqref="Z643">
    <cfRule type="dataBar" priority="3741">
      <dataBar>
        <cfvo type="min"/>
        <cfvo type="max"/>
        <color rgb="FF63C384"/>
      </dataBar>
    </cfRule>
    <cfRule type="dataBar" priority="3740">
      <dataBar>
        <cfvo type="min"/>
        <cfvo type="max"/>
        <color rgb="FF63C384"/>
      </dataBar>
    </cfRule>
  </conditionalFormatting>
  <conditionalFormatting sqref="J643">
    <cfRule type="cellIs" priority="3739" operator="equal" dxfId="2034">
      <formula>"ja"</formula>
    </cfRule>
  </conditionalFormatting>
  <conditionalFormatting sqref="J644">
    <cfRule type="cellIs" priority="3738" operator="equal" dxfId="2034">
      <formula>"ja"</formula>
    </cfRule>
  </conditionalFormatting>
  <conditionalFormatting sqref="T644">
    <cfRule type="expression" priority="3737" dxfId="2">
      <formula>AND(AND($W644&lt;TODAY(),$W644&lt;&gt;""),$X644="")</formula>
    </cfRule>
  </conditionalFormatting>
  <conditionalFormatting sqref="Z644">
    <cfRule type="dataBar" priority="3736">
      <dataBar>
        <cfvo type="min"/>
        <cfvo type="max"/>
        <color rgb="FF63C384"/>
      </dataBar>
    </cfRule>
    <cfRule type="dataBar" priority="3735">
      <dataBar>
        <cfvo type="min"/>
        <cfvo type="max"/>
        <color rgb="FF63C384"/>
      </dataBar>
    </cfRule>
  </conditionalFormatting>
  <conditionalFormatting sqref="C644">
    <cfRule type="containsText" priority="3733" operator="containsText" dxfId="1" text="Einnahmen">
      <formula>NOT(ISERROR(SEARCH("Einnahmen",C644)))</formula>
    </cfRule>
    <cfRule type="containsText" priority="3734" operator="containsText" dxfId="0" text="Ausgaben">
      <formula>NOT(ISERROR(SEARCH("Ausgaben",C644)))</formula>
    </cfRule>
  </conditionalFormatting>
  <conditionalFormatting sqref="J645">
    <cfRule type="cellIs" priority="3731" operator="equal" dxfId="2034">
      <formula>"ja"</formula>
    </cfRule>
  </conditionalFormatting>
  <conditionalFormatting sqref="C645">
    <cfRule type="containsText" priority="3729" operator="containsText" dxfId="1" text="Einnahmen">
      <formula>NOT(ISERROR(SEARCH("Einnahmen",C645)))</formula>
    </cfRule>
    <cfRule type="containsText" priority="3730" operator="containsText" dxfId="0" text="Ausgaben">
      <formula>NOT(ISERROR(SEARCH("Ausgaben",C645)))</formula>
    </cfRule>
  </conditionalFormatting>
  <conditionalFormatting sqref="T645">
    <cfRule type="expression" priority="3728" dxfId="2">
      <formula>AND(AND($W645&lt;TODAY(),$W645&lt;&gt;""),$X645="")</formula>
    </cfRule>
  </conditionalFormatting>
  <conditionalFormatting sqref="Z645">
    <cfRule type="dataBar" priority="3727">
      <dataBar>
        <cfvo type="min"/>
        <cfvo type="max"/>
        <color rgb="FF63C384"/>
      </dataBar>
    </cfRule>
    <cfRule type="dataBar" priority="3726">
      <dataBar>
        <cfvo type="min"/>
        <cfvo type="max"/>
        <color rgb="FF63C384"/>
      </dataBar>
    </cfRule>
  </conditionalFormatting>
  <conditionalFormatting sqref="J646">
    <cfRule type="cellIs" priority="3725" operator="equal" dxfId="2034">
      <formula>"ja"</formula>
    </cfRule>
  </conditionalFormatting>
  <conditionalFormatting sqref="C646">
    <cfRule type="containsText" priority="3723" operator="containsText" dxfId="1" text="Einnahmen">
      <formula>NOT(ISERROR(SEARCH("Einnahmen",C646)))</formula>
    </cfRule>
    <cfRule type="containsText" priority="3724" operator="containsText" dxfId="0" text="Ausgaben">
      <formula>NOT(ISERROR(SEARCH("Ausgaben",C646)))</formula>
    </cfRule>
  </conditionalFormatting>
  <conditionalFormatting sqref="T646">
    <cfRule type="expression" priority="3722" dxfId="2">
      <formula>AND(AND($W646&lt;TODAY(),$W646&lt;&gt;""),$X646="")</formula>
    </cfRule>
  </conditionalFormatting>
  <conditionalFormatting sqref="Z646">
    <cfRule type="dataBar" priority="3721">
      <dataBar>
        <cfvo type="min"/>
        <cfvo type="max"/>
        <color rgb="FF63C384"/>
      </dataBar>
    </cfRule>
    <cfRule type="dataBar" priority="3720">
      <dataBar>
        <cfvo type="min"/>
        <cfvo type="max"/>
        <color rgb="FF63C384"/>
      </dataBar>
    </cfRule>
  </conditionalFormatting>
  <conditionalFormatting sqref="J647">
    <cfRule type="cellIs" priority="3719" operator="equal" dxfId="2034">
      <formula>"ja"</formula>
    </cfRule>
  </conditionalFormatting>
  <conditionalFormatting sqref="C647">
    <cfRule type="containsText" priority="3717" operator="containsText" dxfId="1" text="Einnahmen">
      <formula>NOT(ISERROR(SEARCH("Einnahmen",C647)))</formula>
    </cfRule>
    <cfRule type="containsText" priority="3718" operator="containsText" dxfId="0" text="Ausgaben">
      <formula>NOT(ISERROR(SEARCH("Ausgaben",C647)))</formula>
    </cfRule>
  </conditionalFormatting>
  <conditionalFormatting sqref="T647">
    <cfRule type="expression" priority="3716" dxfId="2">
      <formula>AND(AND($W647&lt;TODAY(),$W647&lt;&gt;""),$X647="")</formula>
    </cfRule>
  </conditionalFormatting>
  <conditionalFormatting sqref="Z647">
    <cfRule type="dataBar" priority="3715">
      <dataBar>
        <cfvo type="min"/>
        <cfvo type="max"/>
        <color rgb="FF63C384"/>
      </dataBar>
    </cfRule>
    <cfRule type="dataBar" priority="3714">
      <dataBar>
        <cfvo type="min"/>
        <cfvo type="max"/>
        <color rgb="FF63C384"/>
      </dataBar>
    </cfRule>
  </conditionalFormatting>
  <conditionalFormatting sqref="C648">
    <cfRule type="containsText" priority="3712" operator="containsText" dxfId="1" text="Einnahmen">
      <formula>NOT(ISERROR(SEARCH("Einnahmen",C648)))</formula>
    </cfRule>
    <cfRule type="containsText" priority="3713" operator="containsText" dxfId="0" text="Ausgaben">
      <formula>NOT(ISERROR(SEARCH("Ausgaben",C648)))</formula>
    </cfRule>
  </conditionalFormatting>
  <conditionalFormatting sqref="T648">
    <cfRule type="expression" priority="3711" dxfId="2">
      <formula>AND(AND($W648&lt;TODAY(),$W648&lt;&gt;""),$X648="")</formula>
    </cfRule>
  </conditionalFormatting>
  <conditionalFormatting sqref="Z648">
    <cfRule type="dataBar" priority="3710">
      <dataBar>
        <cfvo type="min"/>
        <cfvo type="max"/>
        <color rgb="FF63C384"/>
      </dataBar>
    </cfRule>
    <cfRule type="dataBar" priority="3709">
      <dataBar>
        <cfvo type="min"/>
        <cfvo type="max"/>
        <color rgb="FF63C384"/>
      </dataBar>
    </cfRule>
  </conditionalFormatting>
  <conditionalFormatting sqref="J648">
    <cfRule type="cellIs" priority="3708" operator="equal" dxfId="2034">
      <formula>"ja"</formula>
    </cfRule>
  </conditionalFormatting>
  <conditionalFormatting sqref="T649">
    <cfRule type="expression" priority="3707" dxfId="2">
      <formula>AND(AND($W649&lt;TODAY(),$W649&lt;&gt;""),$X649="")</formula>
    </cfRule>
  </conditionalFormatting>
  <conditionalFormatting sqref="Z649">
    <cfRule type="dataBar" priority="3706">
      <dataBar>
        <cfvo type="min"/>
        <cfvo type="max"/>
        <color rgb="FF63C384"/>
      </dataBar>
    </cfRule>
    <cfRule type="dataBar" priority="3705">
      <dataBar>
        <cfvo type="min"/>
        <cfvo type="max"/>
        <color rgb="FF63C384"/>
      </dataBar>
    </cfRule>
  </conditionalFormatting>
  <conditionalFormatting sqref="J649">
    <cfRule type="cellIs" priority="3704" operator="equal" dxfId="2034">
      <formula>"ja"</formula>
    </cfRule>
  </conditionalFormatting>
  <conditionalFormatting sqref="C649">
    <cfRule type="containsText" priority="3702" operator="containsText" dxfId="1" text="Einnahmen">
      <formula>NOT(ISERROR(SEARCH("Einnahmen",C649)))</formula>
    </cfRule>
    <cfRule type="containsText" priority="3703" operator="containsText" dxfId="0" text="Ausgaben">
      <formula>NOT(ISERROR(SEARCH("Ausgaben",C649)))</formula>
    </cfRule>
  </conditionalFormatting>
  <conditionalFormatting sqref="J650">
    <cfRule type="cellIs" priority="3700" operator="equal" dxfId="2034">
      <formula>"ja"</formula>
    </cfRule>
  </conditionalFormatting>
  <conditionalFormatting sqref="C650">
    <cfRule type="containsText" priority="3698" operator="containsText" dxfId="1" text="Einnahmen">
      <formula>NOT(ISERROR(SEARCH("Einnahmen",C650)))</formula>
    </cfRule>
    <cfRule type="containsText" priority="3699" operator="containsText" dxfId="0" text="Ausgaben">
      <formula>NOT(ISERROR(SEARCH("Ausgaben",C650)))</formula>
    </cfRule>
  </conditionalFormatting>
  <conditionalFormatting sqref="T650">
    <cfRule type="expression" priority="3697" dxfId="2">
      <formula>AND(AND($W650&lt;TODAY(),$W650&lt;&gt;""),$X650="")</formula>
    </cfRule>
  </conditionalFormatting>
  <conditionalFormatting sqref="Z650">
    <cfRule type="dataBar" priority="3696">
      <dataBar>
        <cfvo type="min"/>
        <cfvo type="max"/>
        <color rgb="FF63C384"/>
      </dataBar>
    </cfRule>
    <cfRule type="dataBar" priority="3695">
      <dataBar>
        <cfvo type="min"/>
        <cfvo type="max"/>
        <color rgb="FF63C384"/>
      </dataBar>
    </cfRule>
  </conditionalFormatting>
  <conditionalFormatting sqref="C651">
    <cfRule type="containsText" priority="3693" operator="containsText" dxfId="1" text="Einnahmen">
      <formula>NOT(ISERROR(SEARCH("Einnahmen",C651)))</formula>
    </cfRule>
    <cfRule type="containsText" priority="3694" operator="containsText" dxfId="0" text="Ausgaben">
      <formula>NOT(ISERROR(SEARCH("Ausgaben",C651)))</formula>
    </cfRule>
  </conditionalFormatting>
  <conditionalFormatting sqref="J651">
    <cfRule type="cellIs" priority="3692" operator="equal" dxfId="2034">
      <formula>"ja"</formula>
    </cfRule>
    <cfRule type="cellIs" priority="3687" operator="equal" dxfId="2034">
      <formula>"ja"</formula>
    </cfRule>
  </conditionalFormatting>
  <conditionalFormatting sqref="T651">
    <cfRule type="expression" priority="3691" dxfId="2">
      <formula>AND(AND($W651&lt;TODAY(),$W651&lt;&gt;""),$X651="")</formula>
    </cfRule>
    <cfRule type="expression" priority="3688" dxfId="2">
      <formula>AND(AND($W651&lt;TODAY(),$W651&lt;&gt;""),$X651="")</formula>
    </cfRule>
  </conditionalFormatting>
  <conditionalFormatting sqref="Z651">
    <cfRule type="dataBar" priority="3690">
      <dataBar>
        <cfvo type="min"/>
        <cfvo type="max"/>
        <color rgb="FF63C384"/>
      </dataBar>
    </cfRule>
    <cfRule type="dataBar" priority="3689">
      <dataBar>
        <cfvo type="min"/>
        <cfvo type="max"/>
        <color rgb="FF63C384"/>
      </dataBar>
    </cfRule>
    <cfRule type="dataBar" priority="3686">
      <dataBar>
        <cfvo type="min"/>
        <cfvo type="max"/>
        <color rgb="FF63C384"/>
      </dataBar>
    </cfRule>
    <cfRule type="dataBar" priority="3685">
      <dataBar>
        <cfvo type="min"/>
        <cfvo type="max"/>
        <color rgb="FF63C384"/>
      </dataBar>
    </cfRule>
  </conditionalFormatting>
  <conditionalFormatting sqref="C652">
    <cfRule type="containsText" priority="3682" operator="containsText" dxfId="1" text="Einnahmen">
      <formula>NOT(ISERROR(SEARCH("Einnahmen",C652)))</formula>
    </cfRule>
    <cfRule type="containsText" priority="3683" operator="containsText" dxfId="0" text="Ausgaben">
      <formula>NOT(ISERROR(SEARCH("Ausgaben",C652)))</formula>
    </cfRule>
  </conditionalFormatting>
  <conditionalFormatting sqref="J652">
    <cfRule type="cellIs" priority="3681" operator="equal" dxfId="2034">
      <formula>"ja"</formula>
    </cfRule>
    <cfRule type="cellIs" priority="3669" operator="equal" dxfId="2034">
      <formula>"ja"</formula>
    </cfRule>
    <cfRule type="cellIs" priority="3677" operator="equal" dxfId="2034">
      <formula>"ja"</formula>
    </cfRule>
    <cfRule type="cellIs" priority="3673" operator="equal" dxfId="2034">
      <formula>"ja"</formula>
    </cfRule>
  </conditionalFormatting>
  <conditionalFormatting sqref="T652">
    <cfRule type="expression" priority="3668" dxfId="2">
      <formula>AND(AND($W652&lt;TODAY(),$W652&lt;&gt;""),$X652="")</formula>
    </cfRule>
    <cfRule type="expression" priority="3680" dxfId="2">
      <formula>AND(AND($W652&lt;TODAY(),$W652&lt;&gt;""),$X652="")</formula>
    </cfRule>
    <cfRule type="expression" priority="3676" dxfId="2">
      <formula>AND(AND($W652&lt;TODAY(),$W652&lt;&gt;""),$X652="")</formula>
    </cfRule>
    <cfRule type="expression" priority="3672" dxfId="2">
      <formula>AND(AND($W652&lt;TODAY(),$W652&lt;&gt;""),$X652="")</formula>
    </cfRule>
  </conditionalFormatting>
  <conditionalFormatting sqref="Z652">
    <cfRule type="dataBar" priority="3679">
      <dataBar>
        <cfvo type="min"/>
        <cfvo type="max"/>
        <color rgb="FF63C384"/>
      </dataBar>
    </cfRule>
    <cfRule type="dataBar" priority="3678">
      <dataBar>
        <cfvo type="min"/>
        <cfvo type="max"/>
        <color rgb="FF63C384"/>
      </dataBar>
    </cfRule>
    <cfRule type="dataBar" priority="3675">
      <dataBar>
        <cfvo type="min"/>
        <cfvo type="max"/>
        <color rgb="FF63C384"/>
      </dataBar>
    </cfRule>
    <cfRule type="dataBar" priority="3674">
      <dataBar>
        <cfvo type="min"/>
        <cfvo type="max"/>
        <color rgb="FF63C384"/>
      </dataBar>
    </cfRule>
    <cfRule type="dataBar" priority="3671">
      <dataBar>
        <cfvo type="min"/>
        <cfvo type="max"/>
        <color rgb="FF63C384"/>
      </dataBar>
    </cfRule>
    <cfRule type="dataBar" priority="3670">
      <dataBar>
        <cfvo type="min"/>
        <cfvo type="max"/>
        <color rgb="FF63C384"/>
      </dataBar>
    </cfRule>
    <cfRule type="dataBar" priority="3667">
      <dataBar>
        <cfvo type="min"/>
        <cfvo type="max"/>
        <color rgb="FF63C384"/>
      </dataBar>
    </cfRule>
    <cfRule type="dataBar" priority="3666">
      <dataBar>
        <cfvo type="min"/>
        <cfvo type="max"/>
        <color rgb="FF63C384"/>
      </dataBar>
    </cfRule>
  </conditionalFormatting>
  <conditionalFormatting sqref="C653">
    <cfRule type="containsText" priority="3660" operator="containsText" dxfId="1" text="Einnahmen">
      <formula>NOT(ISERROR(SEARCH("Einnahmen",C653)))</formula>
    </cfRule>
    <cfRule type="containsText" priority="3661" operator="containsText" dxfId="0" text="Ausgaben">
      <formula>NOT(ISERROR(SEARCH("Ausgaben",C653)))</formula>
    </cfRule>
  </conditionalFormatting>
  <conditionalFormatting sqref="T653">
    <cfRule type="expression" priority="3659" dxfId="2">
      <formula>AND(AND($W653&lt;TODAY(),$W653&lt;&gt;""),$X653="")</formula>
    </cfRule>
  </conditionalFormatting>
  <conditionalFormatting sqref="Z653">
    <cfRule type="dataBar" priority="3658">
      <dataBar>
        <cfvo type="min"/>
        <cfvo type="max"/>
        <color rgb="FF63C384"/>
      </dataBar>
    </cfRule>
    <cfRule type="dataBar" priority="3657">
      <dataBar>
        <cfvo type="min"/>
        <cfvo type="max"/>
        <color rgb="FF63C384"/>
      </dataBar>
    </cfRule>
  </conditionalFormatting>
  <conditionalFormatting sqref="J653">
    <cfRule type="cellIs" priority="3656" operator="equal" dxfId="2034">
      <formula>"ja"</formula>
    </cfRule>
  </conditionalFormatting>
  <conditionalFormatting sqref="J654">
    <cfRule type="cellIs" priority="3652" operator="equal" dxfId="2034">
      <formula>"ja"</formula>
    </cfRule>
    <cfRule type="cellIs" priority="3643" operator="equal" dxfId="2034">
      <formula>"ja"</formula>
    </cfRule>
  </conditionalFormatting>
  <conditionalFormatting sqref="T654">
    <cfRule type="expression" priority="3651" dxfId="2">
      <formula>AND(AND($W654&lt;TODAY(),$W654&lt;&gt;""),$X654="")</formula>
    </cfRule>
    <cfRule type="expression" priority="3642" dxfId="2">
      <formula>AND(AND($W654&lt;TODAY(),$W654&lt;&gt;""),$X654="")</formula>
    </cfRule>
  </conditionalFormatting>
  <conditionalFormatting sqref="Z654">
    <cfRule type="dataBar" priority="3650">
      <dataBar>
        <cfvo type="min"/>
        <cfvo type="max"/>
        <color rgb="FF63C384"/>
      </dataBar>
    </cfRule>
    <cfRule type="dataBar" priority="3649">
      <dataBar>
        <cfvo type="min"/>
        <cfvo type="max"/>
        <color rgb="FF63C384"/>
      </dataBar>
    </cfRule>
    <cfRule type="dataBar" priority="3641">
      <dataBar>
        <cfvo type="min"/>
        <cfvo type="max"/>
        <color rgb="FF63C384"/>
      </dataBar>
    </cfRule>
    <cfRule type="dataBar" priority="3640">
      <dataBar>
        <cfvo type="min"/>
        <cfvo type="max"/>
        <color rgb="FF63C384"/>
      </dataBar>
    </cfRule>
  </conditionalFormatting>
  <conditionalFormatting sqref="C654">
    <cfRule type="containsText" priority="3647" operator="containsText" dxfId="1" text="Einnahmen">
      <formula>NOT(ISERROR(SEARCH("Einnahmen",C654)))</formula>
    </cfRule>
    <cfRule type="containsText" priority="3648" operator="containsText" dxfId="0" text="Ausgaben">
      <formula>NOT(ISERROR(SEARCH("Ausgaben",C654)))</formula>
    </cfRule>
    <cfRule type="containsText" priority="3645" operator="containsText" dxfId="1" text="Einnahmen">
      <formula>NOT(ISERROR(SEARCH("Einnahmen",C654)))</formula>
    </cfRule>
    <cfRule type="containsText" priority="3646" operator="containsText" dxfId="0" text="Ausgaben">
      <formula>NOT(ISERROR(SEARCH("Ausgaben",C654)))</formula>
    </cfRule>
  </conditionalFormatting>
  <conditionalFormatting sqref="Z655">
    <cfRule type="dataBar" priority="3639">
      <dataBar>
        <cfvo type="min"/>
        <cfvo type="max"/>
        <color rgb="FF63C384"/>
      </dataBar>
    </cfRule>
    <cfRule type="dataBar" priority="3638">
      <dataBar>
        <cfvo type="min"/>
        <cfvo type="max"/>
        <color rgb="FF63C384"/>
      </dataBar>
    </cfRule>
  </conditionalFormatting>
  <conditionalFormatting sqref="C655">
    <cfRule type="containsText" priority="3636" operator="containsText" dxfId="1" text="Einnahmen">
      <formula>NOT(ISERROR(SEARCH("Einnahmen",C655)))</formula>
    </cfRule>
    <cfRule type="containsText" priority="3637" operator="containsText" dxfId="0" text="Ausgaben">
      <formula>NOT(ISERROR(SEARCH("Ausgaben",C655)))</formula>
    </cfRule>
  </conditionalFormatting>
  <conditionalFormatting sqref="J655">
    <cfRule type="cellIs" priority="3635" operator="equal" dxfId="2034">
      <formula>"ja"</formula>
    </cfRule>
  </conditionalFormatting>
  <conditionalFormatting sqref="T655">
    <cfRule type="expression" priority="3634" dxfId="2">
      <formula>AND(AND($W655&lt;TODAY(),$W655&lt;&gt;""),$X655="")</formula>
    </cfRule>
  </conditionalFormatting>
  <conditionalFormatting sqref="C656">
    <cfRule type="containsText" priority="3631" operator="containsText" dxfId="1" text="Einnahmen">
      <formula>NOT(ISERROR(SEARCH("Einnahmen",C656)))</formula>
    </cfRule>
    <cfRule type="containsText" priority="3632" operator="containsText" dxfId="0" text="Ausgaben">
      <formula>NOT(ISERROR(SEARCH("Ausgaben",C656)))</formula>
    </cfRule>
  </conditionalFormatting>
  <conditionalFormatting sqref="T656">
    <cfRule type="expression" priority="3630" dxfId="2">
      <formula>AND(AND($W656&lt;TODAY(),$W656&lt;&gt;""),$X656="")</formula>
    </cfRule>
  </conditionalFormatting>
  <conditionalFormatting sqref="J656">
    <cfRule type="cellIs" priority="3629" operator="equal" dxfId="2034">
      <formula>"ja"</formula>
    </cfRule>
  </conditionalFormatting>
  <conditionalFormatting sqref="Z656">
    <cfRule type="dataBar" priority="3628">
      <dataBar>
        <cfvo type="min"/>
        <cfvo type="max"/>
        <color rgb="FF63C384"/>
      </dataBar>
    </cfRule>
    <cfRule type="dataBar" priority="3627">
      <dataBar>
        <cfvo type="min"/>
        <cfvo type="max"/>
        <color rgb="FF63C384"/>
      </dataBar>
    </cfRule>
  </conditionalFormatting>
  <conditionalFormatting sqref="J657">
    <cfRule type="cellIs" priority="3626" operator="equal" dxfId="2034">
      <formula>"ja"</formula>
    </cfRule>
  </conditionalFormatting>
  <conditionalFormatting sqref="T657">
    <cfRule type="expression" priority="3625" dxfId="2">
      <formula>AND(AND($W657&lt;TODAY(),$W657&lt;&gt;""),$X657="")</formula>
    </cfRule>
  </conditionalFormatting>
  <conditionalFormatting sqref="Z657">
    <cfRule type="dataBar" priority="3624">
      <dataBar>
        <cfvo type="min"/>
        <cfvo type="max"/>
        <color rgb="FF63C384"/>
      </dataBar>
    </cfRule>
    <cfRule type="dataBar" priority="3623">
      <dataBar>
        <cfvo type="min"/>
        <cfvo type="max"/>
        <color rgb="FF63C384"/>
      </dataBar>
    </cfRule>
  </conditionalFormatting>
  <conditionalFormatting sqref="C657">
    <cfRule type="containsText" priority="3621" operator="containsText" dxfId="1" text="Einnahmen">
      <formula>NOT(ISERROR(SEARCH("Einnahmen",C657)))</formula>
    </cfRule>
    <cfRule type="containsText" priority="3622" operator="containsText" dxfId="0" text="Ausgaben">
      <formula>NOT(ISERROR(SEARCH("Ausgaben",C657)))</formula>
    </cfRule>
  </conditionalFormatting>
  <conditionalFormatting sqref="C658">
    <cfRule type="containsText" priority="3619" operator="containsText" dxfId="1" text="Einnahmen">
      <formula>NOT(ISERROR(SEARCH("Einnahmen",C658)))</formula>
    </cfRule>
    <cfRule type="containsText" priority="3620" operator="containsText" dxfId="0" text="Ausgaben">
      <formula>NOT(ISERROR(SEARCH("Ausgaben",C658)))</formula>
    </cfRule>
  </conditionalFormatting>
  <conditionalFormatting sqref="T658">
    <cfRule type="expression" priority="3618" dxfId="2">
      <formula>AND(AND($W658&lt;TODAY(),$W658&lt;&gt;""),$X658="")</formula>
    </cfRule>
  </conditionalFormatting>
  <conditionalFormatting sqref="Z658">
    <cfRule type="dataBar" priority="3617">
      <dataBar>
        <cfvo type="min"/>
        <cfvo type="max"/>
        <color rgb="FF63C384"/>
      </dataBar>
    </cfRule>
    <cfRule type="dataBar" priority="3616">
      <dataBar>
        <cfvo type="min"/>
        <cfvo type="max"/>
        <color rgb="FF63C384"/>
      </dataBar>
    </cfRule>
  </conditionalFormatting>
  <conditionalFormatting sqref="J658">
    <cfRule type="cellIs" priority="3615" operator="equal" dxfId="2034">
      <formula>"ja"</formula>
    </cfRule>
  </conditionalFormatting>
  <conditionalFormatting sqref="J659">
    <cfRule type="cellIs" priority="3612" operator="equal" dxfId="2034">
      <formula>"ja"</formula>
    </cfRule>
    <cfRule type="cellIs" priority="3577" operator="equal" dxfId="2034">
      <formula>"ja"</formula>
    </cfRule>
  </conditionalFormatting>
  <conditionalFormatting sqref="T659">
    <cfRule type="expression" priority="3611" dxfId="2">
      <formula>AND(AND($W659&lt;TODAY(),$W659&lt;&gt;""),$X659="")</formula>
    </cfRule>
    <cfRule type="expression" priority="3580" dxfId="2">
      <formula>AND(AND($W659&lt;TODAY(),$W659&lt;&gt;""),$X659="")</formula>
    </cfRule>
  </conditionalFormatting>
  <conditionalFormatting sqref="Z659">
    <cfRule type="dataBar" priority="3610">
      <dataBar>
        <cfvo type="min"/>
        <cfvo type="max"/>
        <color rgb="FF63C384"/>
      </dataBar>
    </cfRule>
    <cfRule type="dataBar" priority="3609">
      <dataBar>
        <cfvo type="min"/>
        <cfvo type="max"/>
        <color rgb="FF63C384"/>
      </dataBar>
    </cfRule>
    <cfRule type="dataBar" priority="3579">
      <dataBar>
        <cfvo type="min"/>
        <cfvo type="max"/>
        <color rgb="FF63C384"/>
      </dataBar>
    </cfRule>
    <cfRule type="dataBar" priority="3578">
      <dataBar>
        <cfvo type="min"/>
        <cfvo type="max"/>
        <color rgb="FF63C384"/>
      </dataBar>
    </cfRule>
  </conditionalFormatting>
  <conditionalFormatting sqref="J660">
    <cfRule type="cellIs" priority="3606" operator="equal" dxfId="2034">
      <formula>"ja"</formula>
    </cfRule>
    <cfRule type="cellIs" priority="3576" operator="equal" dxfId="2034">
      <formula>"ja"</formula>
    </cfRule>
  </conditionalFormatting>
  <conditionalFormatting sqref="T660">
    <cfRule type="expression" priority="3605" dxfId="2">
      <formula>AND(AND($W660&lt;TODAY(),$W660&lt;&gt;""),$X660="")</formula>
    </cfRule>
    <cfRule type="expression" priority="3575" dxfId="2">
      <formula>AND(AND($W660&lt;TODAY(),$W660&lt;&gt;""),$X660="")</formula>
    </cfRule>
  </conditionalFormatting>
  <conditionalFormatting sqref="Z660">
    <cfRule type="dataBar" priority="3604">
      <dataBar>
        <cfvo type="min"/>
        <cfvo type="max"/>
        <color rgb="FF63C384"/>
      </dataBar>
    </cfRule>
    <cfRule type="dataBar" priority="3603">
      <dataBar>
        <cfvo type="min"/>
        <cfvo type="max"/>
        <color rgb="FF63C384"/>
      </dataBar>
    </cfRule>
    <cfRule type="dataBar" priority="3574">
      <dataBar>
        <cfvo type="min"/>
        <cfvo type="max"/>
        <color rgb="FF63C384"/>
      </dataBar>
    </cfRule>
    <cfRule type="dataBar" priority="3573">
      <dataBar>
        <cfvo type="min"/>
        <cfvo type="max"/>
        <color rgb="FF63C384"/>
      </dataBar>
    </cfRule>
  </conditionalFormatting>
  <conditionalFormatting sqref="J661">
    <cfRule type="cellIs" priority="3601" operator="equal" dxfId="2034">
      <formula>"ja"</formula>
    </cfRule>
    <cfRule type="cellIs" priority="3572" operator="equal" dxfId="2034">
      <formula>"ja"</formula>
    </cfRule>
  </conditionalFormatting>
  <conditionalFormatting sqref="C661">
    <cfRule type="containsText" priority="3599" operator="containsText" dxfId="1" text="Einnahmen">
      <formula>NOT(ISERROR(SEARCH("Einnahmen",C661)))</formula>
    </cfRule>
    <cfRule type="containsText" priority="3600" operator="containsText" dxfId="0" text="Ausgaben">
      <formula>NOT(ISERROR(SEARCH("Ausgaben",C661)))</formula>
    </cfRule>
  </conditionalFormatting>
  <conditionalFormatting sqref="T661">
    <cfRule type="expression" priority="3598" dxfId="2">
      <formula>AND(AND($W661&lt;TODAY(),$W661&lt;&gt;""),$X661="")</formula>
    </cfRule>
    <cfRule type="expression" priority="3571" dxfId="2">
      <formula>AND(AND($W661&lt;TODAY(),$W661&lt;&gt;""),$X661="")</formula>
    </cfRule>
  </conditionalFormatting>
  <conditionalFormatting sqref="Z661">
    <cfRule type="dataBar" priority="3597">
      <dataBar>
        <cfvo type="min"/>
        <cfvo type="max"/>
        <color rgb="FF63C384"/>
      </dataBar>
    </cfRule>
    <cfRule type="dataBar" priority="3596">
      <dataBar>
        <cfvo type="min"/>
        <cfvo type="max"/>
        <color rgb="FF63C384"/>
      </dataBar>
    </cfRule>
    <cfRule type="dataBar" priority="3570">
      <dataBar>
        <cfvo type="min"/>
        <cfvo type="max"/>
        <color rgb="FF63C384"/>
      </dataBar>
    </cfRule>
    <cfRule type="dataBar" priority="3569">
      <dataBar>
        <cfvo type="min"/>
        <cfvo type="max"/>
        <color rgb="FF63C384"/>
      </dataBar>
    </cfRule>
  </conditionalFormatting>
  <conditionalFormatting sqref="C662">
    <cfRule type="containsText" priority="3592" operator="containsText" dxfId="1" text="Einnahmen">
      <formula>NOT(ISERROR(SEARCH("Einnahmen",C662)))</formula>
    </cfRule>
    <cfRule type="containsText" priority="3593" operator="containsText" dxfId="0" text="Ausgaben">
      <formula>NOT(ISERROR(SEARCH("Ausgaben",C662)))</formula>
    </cfRule>
  </conditionalFormatting>
  <conditionalFormatting sqref="T662">
    <cfRule type="expression" priority="3591" dxfId="2">
      <formula>AND(AND($W662&lt;TODAY(),$W662&lt;&gt;""),$X662="")</formula>
    </cfRule>
    <cfRule type="expression" priority="3567" dxfId="2">
      <formula>AND(AND($W662&lt;TODAY(),$W662&lt;&gt;""),$X662="")</formula>
    </cfRule>
  </conditionalFormatting>
  <conditionalFormatting sqref="J662">
    <cfRule type="cellIs" priority="3590" operator="equal" dxfId="2034">
      <formula>"ja"</formula>
    </cfRule>
    <cfRule type="cellIs" priority="3568" operator="equal" dxfId="2034">
      <formula>"ja"</formula>
    </cfRule>
  </conditionalFormatting>
  <conditionalFormatting sqref="Z662">
    <cfRule type="dataBar" priority="3589">
      <dataBar>
        <cfvo type="min"/>
        <cfvo type="max"/>
        <color rgb="FF63C384"/>
      </dataBar>
    </cfRule>
    <cfRule type="dataBar" priority="3588">
      <dataBar>
        <cfvo type="min"/>
        <cfvo type="max"/>
        <color rgb="FF63C384"/>
      </dataBar>
    </cfRule>
    <cfRule type="dataBar" priority="3566">
      <dataBar>
        <cfvo type="min"/>
        <cfvo type="max"/>
        <color rgb="FF63C384"/>
      </dataBar>
    </cfRule>
    <cfRule type="dataBar" priority="3565">
      <dataBar>
        <cfvo type="min"/>
        <cfvo type="max"/>
        <color rgb="FF63C384"/>
      </dataBar>
    </cfRule>
  </conditionalFormatting>
  <conditionalFormatting sqref="J663">
    <cfRule type="cellIs" priority="3586" operator="equal" dxfId="2034">
      <formula>"ja"</formula>
    </cfRule>
    <cfRule type="cellIs" priority="3562" operator="equal" dxfId="2034">
      <formula>"ja"</formula>
    </cfRule>
  </conditionalFormatting>
  <conditionalFormatting sqref="T663">
    <cfRule type="expression" priority="3583" dxfId="2">
      <formula>AND(AND($W663&lt;TODAY(),$W663&lt;&gt;""),$X663="")</formula>
    </cfRule>
    <cfRule type="expression" priority="3563" dxfId="2">
      <formula>AND(AND($W663&lt;TODAY(),$W663&lt;&gt;""),$X663="")</formula>
    </cfRule>
  </conditionalFormatting>
  <conditionalFormatting sqref="Z663">
    <cfRule type="dataBar" priority="3582">
      <dataBar>
        <cfvo type="min"/>
        <cfvo type="max"/>
        <color rgb="FF63C384"/>
      </dataBar>
    </cfRule>
    <cfRule type="dataBar" priority="3581">
      <dataBar>
        <cfvo type="min"/>
        <cfvo type="max"/>
        <color rgb="FF63C384"/>
      </dataBar>
    </cfRule>
    <cfRule type="dataBar" priority="3561">
      <dataBar>
        <cfvo type="min"/>
        <cfvo type="max"/>
        <color rgb="FF63C384"/>
      </dataBar>
    </cfRule>
    <cfRule type="dataBar" priority="3560">
      <dataBar>
        <cfvo type="min"/>
        <cfvo type="max"/>
        <color rgb="FF63C384"/>
      </dataBar>
    </cfRule>
  </conditionalFormatting>
  <conditionalFormatting sqref="J664">
    <cfRule type="cellIs" priority="3559" operator="equal" dxfId="2034">
      <formula>"ja"</formula>
    </cfRule>
  </conditionalFormatting>
  <conditionalFormatting sqref="T664">
    <cfRule type="expression" priority="3558" dxfId="2">
      <formula>AND(AND($W664&lt;TODAY(),$W664&lt;&gt;""),$X664="")</formula>
    </cfRule>
  </conditionalFormatting>
  <conditionalFormatting sqref="Z664">
    <cfRule type="dataBar" priority="3557">
      <dataBar>
        <cfvo type="min"/>
        <cfvo type="max"/>
        <color rgb="FF63C384"/>
      </dataBar>
    </cfRule>
    <cfRule type="dataBar" priority="3556">
      <dataBar>
        <cfvo type="min"/>
        <cfvo type="max"/>
        <color rgb="FF63C384"/>
      </dataBar>
    </cfRule>
  </conditionalFormatting>
  <conditionalFormatting sqref="C664">
    <cfRule type="containsText" priority="3554" operator="containsText" dxfId="1" text="Einnahmen">
      <formula>NOT(ISERROR(SEARCH("Einnahmen",C664)))</formula>
    </cfRule>
    <cfRule type="containsText" priority="3555" operator="containsText" dxfId="0" text="Ausgaben">
      <formula>NOT(ISERROR(SEARCH("Ausgaben",C664)))</formula>
    </cfRule>
  </conditionalFormatting>
  <conditionalFormatting sqref="C663">
    <cfRule type="containsText" priority="3552" operator="containsText" dxfId="1" text="Einnahmen">
      <formula>NOT(ISERROR(SEARCH("Einnahmen",C663)))</formula>
    </cfRule>
    <cfRule type="containsText" priority="3553" operator="containsText" dxfId="0" text="Ausgaben">
      <formula>NOT(ISERROR(SEARCH("Ausgaben",C663)))</formula>
    </cfRule>
  </conditionalFormatting>
  <conditionalFormatting sqref="C659">
    <cfRule type="containsText" priority="3550" operator="containsText" dxfId="1" text="Einnahmen">
      <formula>NOT(ISERROR(SEARCH("Einnahmen",C659)))</formula>
    </cfRule>
    <cfRule type="containsText" priority="3551" operator="containsText" dxfId="0" text="Ausgaben">
      <formula>NOT(ISERROR(SEARCH("Ausgaben",C659)))</formula>
    </cfRule>
  </conditionalFormatting>
  <conditionalFormatting sqref="C660">
    <cfRule type="containsText" priority="3548" operator="containsText" dxfId="1" text="Einnahmen">
      <formula>NOT(ISERROR(SEARCH("Einnahmen",C660)))</formula>
    </cfRule>
    <cfRule type="containsText" priority="3549" operator="containsText" dxfId="0" text="Ausgaben">
      <formula>NOT(ISERROR(SEARCH("Ausgaben",C660)))</formula>
    </cfRule>
  </conditionalFormatting>
  <conditionalFormatting sqref="T665">
    <cfRule type="expression" priority="3547" dxfId="2">
      <formula>AND(AND($W665&lt;TODAY(),$W665&lt;&gt;""),$X665="")</formula>
    </cfRule>
    <cfRule type="expression" priority="3544" dxfId="2">
      <formula>AND(AND($W665&lt;TODAY(),$W665&lt;&gt;""),$X665="")</formula>
    </cfRule>
  </conditionalFormatting>
  <conditionalFormatting sqref="Z665">
    <cfRule type="dataBar" priority="3546">
      <dataBar>
        <cfvo type="min"/>
        <cfvo type="max"/>
        <color rgb="FF63C384"/>
      </dataBar>
    </cfRule>
    <cfRule type="dataBar" priority="3545">
      <dataBar>
        <cfvo type="min"/>
        <cfvo type="max"/>
        <color rgb="FF63C384"/>
      </dataBar>
    </cfRule>
    <cfRule type="dataBar" priority="3543">
      <dataBar>
        <cfvo type="min"/>
        <cfvo type="max"/>
        <color rgb="FF63C384"/>
      </dataBar>
    </cfRule>
    <cfRule type="dataBar" priority="3542">
      <dataBar>
        <cfvo type="min"/>
        <cfvo type="max"/>
        <color rgb="FF63C384"/>
      </dataBar>
    </cfRule>
  </conditionalFormatting>
  <conditionalFormatting sqref="T666">
    <cfRule type="expression" priority="3541" dxfId="2">
      <formula>AND(AND($W666&lt;TODAY(),$W666&lt;&gt;""),$X666="")</formula>
    </cfRule>
    <cfRule type="expression" priority="3538" dxfId="2">
      <formula>AND(AND($W666&lt;TODAY(),$W666&lt;&gt;""),$X666="")</formula>
    </cfRule>
  </conditionalFormatting>
  <conditionalFormatting sqref="Z666">
    <cfRule type="dataBar" priority="3540">
      <dataBar>
        <cfvo type="min"/>
        <cfvo type="max"/>
        <color rgb="FF63C384"/>
      </dataBar>
    </cfRule>
    <cfRule type="dataBar" priority="3539">
      <dataBar>
        <cfvo type="min"/>
        <cfvo type="max"/>
        <color rgb="FF63C384"/>
      </dataBar>
    </cfRule>
    <cfRule type="dataBar" priority="3537">
      <dataBar>
        <cfvo type="min"/>
        <cfvo type="max"/>
        <color rgb="FF63C384"/>
      </dataBar>
    </cfRule>
    <cfRule type="dataBar" priority="3536">
      <dataBar>
        <cfvo type="min"/>
        <cfvo type="max"/>
        <color rgb="FF63C384"/>
      </dataBar>
    </cfRule>
  </conditionalFormatting>
  <conditionalFormatting sqref="J548">
    <cfRule type="cellIs" priority="3534" operator="equal" dxfId="2034">
      <formula>"ja"</formula>
    </cfRule>
  </conditionalFormatting>
  <conditionalFormatting sqref="J534">
    <cfRule type="cellIs" priority="3533" operator="equal" dxfId="2034">
      <formula>"ja"</formula>
    </cfRule>
  </conditionalFormatting>
  <conditionalFormatting sqref="J517">
    <cfRule type="cellIs" priority="3532" operator="equal" dxfId="2034">
      <formula>"ja"</formula>
    </cfRule>
  </conditionalFormatting>
  <conditionalFormatting sqref="J502">
    <cfRule type="cellIs" priority="3531" operator="equal" dxfId="2034">
      <formula>"ja"</formula>
    </cfRule>
  </conditionalFormatting>
  <conditionalFormatting sqref="J479">
    <cfRule type="cellIs" priority="3530" operator="equal" dxfId="2034">
      <formula>"ja"</formula>
    </cfRule>
  </conditionalFormatting>
  <conditionalFormatting sqref="C667">
    <cfRule type="containsText" priority="3528" operator="containsText" dxfId="1" text="Einnahmen">
      <formula>NOT(ISERROR(SEARCH("Einnahmen",C667)))</formula>
    </cfRule>
    <cfRule type="containsText" priority="3529" operator="containsText" dxfId="0" text="Ausgaben">
      <formula>NOT(ISERROR(SEARCH("Ausgaben",C667)))</formula>
    </cfRule>
  </conditionalFormatting>
  <conditionalFormatting sqref="J667">
    <cfRule type="cellIs" priority="3527" operator="equal" dxfId="2034">
      <formula>"ja"</formula>
    </cfRule>
    <cfRule type="cellIs" priority="3522" operator="equal" dxfId="2034">
      <formula>"ja"</formula>
    </cfRule>
  </conditionalFormatting>
  <conditionalFormatting sqref="T667">
    <cfRule type="expression" priority="3526" dxfId="2">
      <formula>AND(AND($W667&lt;TODAY(),$W667&lt;&gt;""),$X667="")</formula>
    </cfRule>
    <cfRule type="expression" priority="3523" dxfId="2">
      <formula>AND(AND($W667&lt;TODAY(),$W667&lt;&gt;""),$X667="")</formula>
    </cfRule>
  </conditionalFormatting>
  <conditionalFormatting sqref="Z667">
    <cfRule type="dataBar" priority="3525">
      <dataBar>
        <cfvo type="min"/>
        <cfvo type="max"/>
        <color rgb="FF63C384"/>
      </dataBar>
    </cfRule>
    <cfRule type="dataBar" priority="3524">
      <dataBar>
        <cfvo type="min"/>
        <cfvo type="max"/>
        <color rgb="FF63C384"/>
      </dataBar>
    </cfRule>
    <cfRule type="dataBar" priority="3521">
      <dataBar>
        <cfvo type="min"/>
        <cfvo type="max"/>
        <color rgb="FF63C384"/>
      </dataBar>
    </cfRule>
    <cfRule type="dataBar" priority="3520">
      <dataBar>
        <cfvo type="min"/>
        <cfvo type="max"/>
        <color rgb="FF63C384"/>
      </dataBar>
    </cfRule>
  </conditionalFormatting>
  <conditionalFormatting sqref="J668">
    <cfRule type="cellIs" priority="3518" operator="equal" dxfId="2034">
      <formula>"ja"</formula>
    </cfRule>
  </conditionalFormatting>
  <conditionalFormatting sqref="C668">
    <cfRule type="containsText" priority="3516" operator="containsText" dxfId="1" text="Einnahmen">
      <formula>NOT(ISERROR(SEARCH("Einnahmen",C668)))</formula>
    </cfRule>
    <cfRule type="containsText" priority="3517" operator="containsText" dxfId="0" text="Ausgaben">
      <formula>NOT(ISERROR(SEARCH("Ausgaben",C668)))</formula>
    </cfRule>
  </conditionalFormatting>
  <conditionalFormatting sqref="T668">
    <cfRule type="expression" priority="3515" dxfId="2">
      <formula>AND(AND($W668&lt;TODAY(),$W668&lt;&gt;""),$X668="")</formula>
    </cfRule>
  </conditionalFormatting>
  <conditionalFormatting sqref="Z668">
    <cfRule type="dataBar" priority="3514">
      <dataBar>
        <cfvo type="min"/>
        <cfvo type="max"/>
        <color rgb="FF63C384"/>
      </dataBar>
    </cfRule>
    <cfRule type="dataBar" priority="3513">
      <dataBar>
        <cfvo type="min"/>
        <cfvo type="max"/>
        <color rgb="FF63C384"/>
      </dataBar>
    </cfRule>
  </conditionalFormatting>
  <conditionalFormatting sqref="J669">
    <cfRule type="cellIs" priority="3512" operator="equal" dxfId="2034">
      <formula>"ja"</formula>
    </cfRule>
  </conditionalFormatting>
  <conditionalFormatting sqref="T669">
    <cfRule type="expression" priority="3511" dxfId="2">
      <formula>AND(AND($W669&lt;TODAY(),$W669&lt;&gt;""),$X669="")</formula>
    </cfRule>
  </conditionalFormatting>
  <conditionalFormatting sqref="Z669">
    <cfRule type="dataBar" priority="3510">
      <dataBar>
        <cfvo type="min"/>
        <cfvo type="max"/>
        <color rgb="FF63C384"/>
      </dataBar>
    </cfRule>
    <cfRule type="dataBar" priority="3509">
      <dataBar>
        <cfvo type="min"/>
        <cfvo type="max"/>
        <color rgb="FF63C384"/>
      </dataBar>
    </cfRule>
  </conditionalFormatting>
  <conditionalFormatting sqref="C669">
    <cfRule type="containsText" priority="3507" operator="containsText" dxfId="1" text="Einnahmen">
      <formula>NOT(ISERROR(SEARCH("Einnahmen",C669)))</formula>
    </cfRule>
    <cfRule type="containsText" priority="3508" operator="containsText" dxfId="0" text="Ausgaben">
      <formula>NOT(ISERROR(SEARCH("Ausgaben",C669)))</formula>
    </cfRule>
  </conditionalFormatting>
  <conditionalFormatting sqref="T670">
    <cfRule type="expression" priority="3506" dxfId="2">
      <formula>AND(AND($W670&lt;TODAY(),$W670&lt;&gt;""),$X670="")</formula>
    </cfRule>
  </conditionalFormatting>
  <conditionalFormatting sqref="Z670">
    <cfRule type="dataBar" priority="3505">
      <dataBar>
        <cfvo type="min"/>
        <cfvo type="max"/>
        <color rgb="FF63C384"/>
      </dataBar>
    </cfRule>
    <cfRule type="dataBar" priority="3504">
      <dataBar>
        <cfvo type="min"/>
        <cfvo type="max"/>
        <color rgb="FF63C384"/>
      </dataBar>
    </cfRule>
  </conditionalFormatting>
  <conditionalFormatting sqref="J670">
    <cfRule type="cellIs" priority="3503" operator="equal" dxfId="2034">
      <formula>"ja"</formula>
    </cfRule>
  </conditionalFormatting>
  <conditionalFormatting sqref="C670">
    <cfRule type="containsText" priority="3501" operator="containsText" dxfId="1" text="Einnahmen">
      <formula>NOT(ISERROR(SEARCH("Einnahmen",C670)))</formula>
    </cfRule>
    <cfRule type="containsText" priority="3502" operator="containsText" dxfId="0" text="Ausgaben">
      <formula>NOT(ISERROR(SEARCH("Ausgaben",C670)))</formula>
    </cfRule>
  </conditionalFormatting>
  <conditionalFormatting sqref="T671">
    <cfRule type="expression" priority="3499" dxfId="2">
      <formula>AND(AND($W671&lt;TODAY(),$W671&lt;&gt;""),$X671="")</formula>
    </cfRule>
  </conditionalFormatting>
  <conditionalFormatting sqref="C671">
    <cfRule type="containsText" priority="3497" operator="containsText" dxfId="1" text="Einnahmen">
      <formula>NOT(ISERROR(SEARCH("Einnahmen",C671)))</formula>
    </cfRule>
    <cfRule type="containsText" priority="3498" operator="containsText" dxfId="0" text="Ausgaben">
      <formula>NOT(ISERROR(SEARCH("Ausgaben",C671)))</formula>
    </cfRule>
  </conditionalFormatting>
  <conditionalFormatting sqref="J671">
    <cfRule type="cellIs" priority="3495" operator="equal" dxfId="2034">
      <formula>"ja"</formula>
    </cfRule>
  </conditionalFormatting>
  <conditionalFormatting sqref="Z671">
    <cfRule type="dataBar" priority="3494">
      <dataBar>
        <cfvo type="min"/>
        <cfvo type="max"/>
        <color rgb="FF63C384"/>
      </dataBar>
    </cfRule>
    <cfRule type="dataBar" priority="3493">
      <dataBar>
        <cfvo type="min"/>
        <cfvo type="max"/>
        <color rgb="FF63C384"/>
      </dataBar>
    </cfRule>
  </conditionalFormatting>
  <conditionalFormatting sqref="C672">
    <cfRule type="containsText" priority="3491" operator="containsText" dxfId="1" text="Einnahmen">
      <formula>NOT(ISERROR(SEARCH("Einnahmen",C672)))</formula>
    </cfRule>
    <cfRule type="containsText" priority="3492" operator="containsText" dxfId="0" text="Ausgaben">
      <formula>NOT(ISERROR(SEARCH("Ausgaben",C672)))</formula>
    </cfRule>
  </conditionalFormatting>
  <conditionalFormatting sqref="T672">
    <cfRule type="expression" priority="3490" dxfId="2">
      <formula>AND(AND($W672&lt;TODAY(),$W672&lt;&gt;""),$X672="")</formula>
    </cfRule>
  </conditionalFormatting>
  <conditionalFormatting sqref="Z672">
    <cfRule type="dataBar" priority="3489">
      <dataBar>
        <cfvo type="min"/>
        <cfvo type="max"/>
        <color rgb="FF63C384"/>
      </dataBar>
    </cfRule>
    <cfRule type="dataBar" priority="3488">
      <dataBar>
        <cfvo type="min"/>
        <cfvo type="max"/>
        <color rgb="FF63C384"/>
      </dataBar>
    </cfRule>
  </conditionalFormatting>
  <conditionalFormatting sqref="J672">
    <cfRule type="cellIs" priority="3487" operator="equal" dxfId="2034">
      <formula>"ja"</formula>
    </cfRule>
  </conditionalFormatting>
  <conditionalFormatting sqref="Z673">
    <cfRule type="dataBar" priority="3462">
      <dataBar>
        <cfvo type="min"/>
        <cfvo type="max"/>
        <color rgb="FF63C384"/>
      </dataBar>
    </cfRule>
    <cfRule type="dataBar" priority="3461">
      <dataBar>
        <cfvo type="min"/>
        <cfvo type="max"/>
        <color rgb="FF63C384"/>
      </dataBar>
    </cfRule>
  </conditionalFormatting>
  <conditionalFormatting sqref="C673">
    <cfRule type="containsText" priority="3459" operator="containsText" dxfId="1" text="Einnahmen">
      <formula>NOT(ISERROR(SEARCH("Einnahmen",C673)))</formula>
    </cfRule>
    <cfRule type="containsText" priority="3460" operator="containsText" dxfId="0" text="Ausgaben">
      <formula>NOT(ISERROR(SEARCH("Ausgaben",C673)))</formula>
    </cfRule>
  </conditionalFormatting>
  <conditionalFormatting sqref="J673">
    <cfRule type="cellIs" priority="3458" operator="equal" dxfId="2034">
      <formula>"ja"</formula>
    </cfRule>
  </conditionalFormatting>
  <conditionalFormatting sqref="T673">
    <cfRule type="expression" priority="3457" dxfId="2">
      <formula>AND(AND($W673&lt;TODAY(),$W673&lt;&gt;""),$X673="")</formula>
    </cfRule>
  </conditionalFormatting>
  <conditionalFormatting sqref="C674">
    <cfRule type="containsText" priority="3455" operator="containsText" dxfId="1" text="Einnahmen">
      <formula>NOT(ISERROR(SEARCH("Einnahmen",C674)))</formula>
    </cfRule>
    <cfRule type="containsText" priority="3456" operator="containsText" dxfId="0" text="Ausgaben">
      <formula>NOT(ISERROR(SEARCH("Ausgaben",C674)))</formula>
    </cfRule>
  </conditionalFormatting>
  <conditionalFormatting sqref="J674">
    <cfRule type="cellIs" priority="3454" operator="equal" dxfId="2034">
      <formula>"ja"</formula>
    </cfRule>
    <cfRule type="cellIs" priority="3442" operator="equal" dxfId="2034">
      <formula>"ja"</formula>
    </cfRule>
    <cfRule type="cellIs" priority="3450" operator="equal" dxfId="2034">
      <formula>"ja"</formula>
    </cfRule>
    <cfRule type="cellIs" priority="3446" operator="equal" dxfId="2034">
      <formula>"ja"</formula>
    </cfRule>
  </conditionalFormatting>
  <conditionalFormatting sqref="T674">
    <cfRule type="expression" priority="3441" dxfId="2">
      <formula>AND(AND($W674&lt;TODAY(),$W674&lt;&gt;""),$X674="")</formula>
    </cfRule>
    <cfRule type="expression" priority="3453" dxfId="2">
      <formula>AND(AND($W674&lt;TODAY(),$W674&lt;&gt;""),$X674="")</formula>
    </cfRule>
    <cfRule type="expression" priority="3449" dxfId="2">
      <formula>AND(AND($W674&lt;TODAY(),$W674&lt;&gt;""),$X674="")</formula>
    </cfRule>
    <cfRule type="expression" priority="3445" dxfId="2">
      <formula>AND(AND($W674&lt;TODAY(),$W674&lt;&gt;""),$X674="")</formula>
    </cfRule>
  </conditionalFormatting>
  <conditionalFormatting sqref="Z674">
    <cfRule type="dataBar" priority="3452">
      <dataBar>
        <cfvo type="min"/>
        <cfvo type="max"/>
        <color rgb="FF63C384"/>
      </dataBar>
    </cfRule>
    <cfRule type="dataBar" priority="3451">
      <dataBar>
        <cfvo type="min"/>
        <cfvo type="max"/>
        <color rgb="FF63C384"/>
      </dataBar>
    </cfRule>
    <cfRule type="dataBar" priority="3448">
      <dataBar>
        <cfvo type="min"/>
        <cfvo type="max"/>
        <color rgb="FF63C384"/>
      </dataBar>
    </cfRule>
    <cfRule type="dataBar" priority="3447">
      <dataBar>
        <cfvo type="min"/>
        <cfvo type="max"/>
        <color rgb="FF63C384"/>
      </dataBar>
    </cfRule>
    <cfRule type="dataBar" priority="3444">
      <dataBar>
        <cfvo type="min"/>
        <cfvo type="max"/>
        <color rgb="FF63C384"/>
      </dataBar>
    </cfRule>
    <cfRule type="dataBar" priority="3443">
      <dataBar>
        <cfvo type="min"/>
        <cfvo type="max"/>
        <color rgb="FF63C384"/>
      </dataBar>
    </cfRule>
    <cfRule type="dataBar" priority="3440">
      <dataBar>
        <cfvo type="min"/>
        <cfvo type="max"/>
        <color rgb="FF63C384"/>
      </dataBar>
    </cfRule>
    <cfRule type="dataBar" priority="3439">
      <dataBar>
        <cfvo type="min"/>
        <cfvo type="max"/>
        <color rgb="FF63C384"/>
      </dataBar>
    </cfRule>
  </conditionalFormatting>
  <conditionalFormatting sqref="C675">
    <cfRule type="containsText" priority="3433" operator="containsText" dxfId="1" text="Einnahmen">
      <formula>NOT(ISERROR(SEARCH("Einnahmen",C675)))</formula>
    </cfRule>
    <cfRule type="containsText" priority="3434" operator="containsText" dxfId="0" text="Ausgaben">
      <formula>NOT(ISERROR(SEARCH("Ausgaben",C675)))</formula>
    </cfRule>
  </conditionalFormatting>
  <conditionalFormatting sqref="J675">
    <cfRule type="cellIs" priority="3432" operator="equal" dxfId="2034">
      <formula>"ja"</formula>
    </cfRule>
  </conditionalFormatting>
  <conditionalFormatting sqref="T675">
    <cfRule type="expression" priority="3431" dxfId="2">
      <formula>AND(AND($W675&lt;TODAY(),$W675&lt;&gt;""),$X675="")</formula>
    </cfRule>
  </conditionalFormatting>
  <conditionalFormatting sqref="Z675">
    <cfRule type="dataBar" priority="3430">
      <dataBar>
        <cfvo type="min"/>
        <cfvo type="max"/>
        <color rgb="FF63C384"/>
      </dataBar>
    </cfRule>
    <cfRule type="dataBar" priority="3429">
      <dataBar>
        <cfvo type="min"/>
        <cfvo type="max"/>
        <color rgb="FF63C384"/>
      </dataBar>
    </cfRule>
  </conditionalFormatting>
  <conditionalFormatting sqref="J676">
    <cfRule type="cellIs" priority="3428" operator="equal" dxfId="2034">
      <formula>"ja"</formula>
    </cfRule>
  </conditionalFormatting>
  <conditionalFormatting sqref="C676">
    <cfRule type="containsText" priority="3426" operator="containsText" dxfId="1" text="Einnahmen">
      <formula>NOT(ISERROR(SEARCH("Einnahmen",C676)))</formula>
    </cfRule>
    <cfRule type="containsText" priority="3427" operator="containsText" dxfId="0" text="Ausgaben">
      <formula>NOT(ISERROR(SEARCH("Ausgaben",C676)))</formula>
    </cfRule>
  </conditionalFormatting>
  <conditionalFormatting sqref="T676">
    <cfRule type="expression" priority="3425" dxfId="2">
      <formula>AND(AND($W676&lt;TODAY(),$W676&lt;&gt;""),$X676="")</formula>
    </cfRule>
  </conditionalFormatting>
  <conditionalFormatting sqref="Z676">
    <cfRule type="dataBar" priority="3424">
      <dataBar>
        <cfvo type="min"/>
        <cfvo type="max"/>
        <color rgb="FF63C384"/>
      </dataBar>
    </cfRule>
    <cfRule type="dataBar" priority="3423">
      <dataBar>
        <cfvo type="min"/>
        <cfvo type="max"/>
        <color rgb="FF63C384"/>
      </dataBar>
    </cfRule>
  </conditionalFormatting>
  <conditionalFormatting sqref="C677">
    <cfRule type="containsText" priority="3419" operator="containsText" dxfId="1" text="Einnahmen">
      <formula>NOT(ISERROR(SEARCH("Einnahmen",C677)))</formula>
    </cfRule>
    <cfRule type="containsText" priority="3420" operator="containsText" dxfId="0" text="Ausgaben">
      <formula>NOT(ISERROR(SEARCH("Ausgaben",C677)))</formula>
    </cfRule>
  </conditionalFormatting>
  <conditionalFormatting sqref="T677">
    <cfRule type="expression" priority="3418" dxfId="2">
      <formula>AND(AND($W677&lt;TODAY(),$W677&lt;&gt;""),$X677="")</formula>
    </cfRule>
  </conditionalFormatting>
  <conditionalFormatting sqref="J677">
    <cfRule type="cellIs" priority="3417" operator="equal" dxfId="2034">
      <formula>"ja"</formula>
    </cfRule>
  </conditionalFormatting>
  <conditionalFormatting sqref="Z677">
    <cfRule type="dataBar" priority="3416">
      <dataBar>
        <cfvo type="min"/>
        <cfvo type="max"/>
        <color rgb="FF63C384"/>
      </dataBar>
    </cfRule>
    <cfRule type="dataBar" priority="3415">
      <dataBar>
        <cfvo type="min"/>
        <cfvo type="max"/>
        <color rgb="FF63C384"/>
      </dataBar>
    </cfRule>
  </conditionalFormatting>
  <conditionalFormatting sqref="C678">
    <cfRule type="containsText" priority="3413" operator="containsText" dxfId="1" text="Einnahmen">
      <formula>NOT(ISERROR(SEARCH("Einnahmen",C678)))</formula>
    </cfRule>
    <cfRule type="containsText" priority="3414" operator="containsText" dxfId="0" text="Ausgaben">
      <formula>NOT(ISERROR(SEARCH("Ausgaben",C678)))</formula>
    </cfRule>
  </conditionalFormatting>
  <conditionalFormatting sqref="T678">
    <cfRule type="expression" priority="3412" dxfId="2">
      <formula>AND(AND($W678&lt;TODAY(),$W678&lt;&gt;""),$X678="")</formula>
    </cfRule>
  </conditionalFormatting>
  <conditionalFormatting sqref="Z678">
    <cfRule type="dataBar" priority="3411">
      <dataBar>
        <cfvo type="min"/>
        <cfvo type="max"/>
        <color rgb="FF63C384"/>
      </dataBar>
    </cfRule>
    <cfRule type="dataBar" priority="3410">
      <dataBar>
        <cfvo type="min"/>
        <cfvo type="max"/>
        <color rgb="FF63C384"/>
      </dataBar>
    </cfRule>
  </conditionalFormatting>
  <conditionalFormatting sqref="C679">
    <cfRule type="containsText" priority="3408" operator="containsText" dxfId="1" text="Einnahmen">
      <formula>NOT(ISERROR(SEARCH("Einnahmen",C679)))</formula>
    </cfRule>
    <cfRule type="containsText" priority="3409" operator="containsText" dxfId="0" text="Ausgaben">
      <formula>NOT(ISERROR(SEARCH("Ausgaben",C679)))</formula>
    </cfRule>
  </conditionalFormatting>
  <conditionalFormatting sqref="J679">
    <cfRule type="cellIs" priority="3407" operator="equal" dxfId="2034">
      <formula>"ja"</formula>
    </cfRule>
    <cfRule type="cellIs" priority="3395" operator="equal" dxfId="2034">
      <formula>"ja"</formula>
    </cfRule>
    <cfRule type="cellIs" priority="3403" operator="equal" dxfId="2034">
      <formula>"ja"</formula>
    </cfRule>
    <cfRule type="cellIs" priority="3399" operator="equal" dxfId="2034">
      <formula>"ja"</formula>
    </cfRule>
  </conditionalFormatting>
  <conditionalFormatting sqref="T679">
    <cfRule type="expression" priority="3394" dxfId="2">
      <formula>AND(AND($W679&lt;TODAY(),$W679&lt;&gt;""),$X679="")</formula>
    </cfRule>
    <cfRule type="expression" priority="3406" dxfId="2">
      <formula>AND(AND($W679&lt;TODAY(),$W679&lt;&gt;""),$X679="")</formula>
    </cfRule>
    <cfRule type="expression" priority="3402" dxfId="2">
      <formula>AND(AND($W679&lt;TODAY(),$W679&lt;&gt;""),$X679="")</formula>
    </cfRule>
    <cfRule type="expression" priority="3398" dxfId="2">
      <formula>AND(AND($W679&lt;TODAY(),$W679&lt;&gt;""),$X679="")</formula>
    </cfRule>
  </conditionalFormatting>
  <conditionalFormatting sqref="Z679">
    <cfRule type="dataBar" priority="3405">
      <dataBar>
        <cfvo type="min"/>
        <cfvo type="max"/>
        <color rgb="FF63C384"/>
      </dataBar>
    </cfRule>
    <cfRule type="dataBar" priority="3404">
      <dataBar>
        <cfvo type="min"/>
        <cfvo type="max"/>
        <color rgb="FF63C384"/>
      </dataBar>
    </cfRule>
    <cfRule type="dataBar" priority="3401">
      <dataBar>
        <cfvo type="min"/>
        <cfvo type="max"/>
        <color rgb="FF63C384"/>
      </dataBar>
    </cfRule>
    <cfRule type="dataBar" priority="3400">
      <dataBar>
        <cfvo type="min"/>
        <cfvo type="max"/>
        <color rgb="FF63C384"/>
      </dataBar>
    </cfRule>
    <cfRule type="dataBar" priority="3397">
      <dataBar>
        <cfvo type="min"/>
        <cfvo type="max"/>
        <color rgb="FF63C384"/>
      </dataBar>
    </cfRule>
    <cfRule type="dataBar" priority="3396">
      <dataBar>
        <cfvo type="min"/>
        <cfvo type="max"/>
        <color rgb="FF63C384"/>
      </dataBar>
    </cfRule>
    <cfRule type="dataBar" priority="3393">
      <dataBar>
        <cfvo type="min"/>
        <cfvo type="max"/>
        <color rgb="FF63C384"/>
      </dataBar>
    </cfRule>
    <cfRule type="dataBar" priority="3392">
      <dataBar>
        <cfvo type="min"/>
        <cfvo type="max"/>
        <color rgb="FF63C384"/>
      </dataBar>
    </cfRule>
  </conditionalFormatting>
  <conditionalFormatting sqref="C680">
    <cfRule type="containsText" priority="3385" operator="containsText" dxfId="1" text="Einnahmen">
      <formula>NOT(ISERROR(SEARCH("Einnahmen",C680)))</formula>
    </cfRule>
    <cfRule type="containsText" priority="3386" operator="containsText" dxfId="0" text="Ausgaben">
      <formula>NOT(ISERROR(SEARCH("Ausgaben",C680)))</formula>
    </cfRule>
  </conditionalFormatting>
  <conditionalFormatting sqref="T680">
    <cfRule type="expression" priority="3384" dxfId="2">
      <formula>AND(AND($W680&lt;TODAY(),$W680&lt;&gt;""),$X680="")</formula>
    </cfRule>
  </conditionalFormatting>
  <conditionalFormatting sqref="J680">
    <cfRule type="cellIs" priority="3382" operator="equal" dxfId="2034">
      <formula>"ja"</formula>
    </cfRule>
  </conditionalFormatting>
  <conditionalFormatting sqref="Z680">
    <cfRule type="dataBar" priority="3381">
      <dataBar>
        <cfvo type="min"/>
        <cfvo type="max"/>
        <color rgb="FF63C384"/>
      </dataBar>
    </cfRule>
    <cfRule type="dataBar" priority="3380">
      <dataBar>
        <cfvo type="min"/>
        <cfvo type="max"/>
        <color rgb="FF63C384"/>
      </dataBar>
    </cfRule>
  </conditionalFormatting>
  <conditionalFormatting sqref="J681">
    <cfRule type="cellIs" priority="3378" operator="equal" dxfId="2034">
      <formula>"ja"</formula>
    </cfRule>
    <cfRule type="cellIs" priority="3371" operator="equal" dxfId="2034">
      <formula>"ja"</formula>
    </cfRule>
  </conditionalFormatting>
  <conditionalFormatting sqref="C681">
    <cfRule type="containsText" priority="3376" operator="containsText" dxfId="1" text="Einnahmen">
      <formula>NOT(ISERROR(SEARCH("Einnahmen",C681)))</formula>
    </cfRule>
    <cfRule type="containsText" priority="3377" operator="containsText" dxfId="0" text="Ausgaben">
      <formula>NOT(ISERROR(SEARCH("Ausgaben",C681)))</formula>
    </cfRule>
  </conditionalFormatting>
  <conditionalFormatting sqref="T681">
    <cfRule type="expression" priority="3375" dxfId="2">
      <formula>AND(AND($W681&lt;TODAY(),$W681&lt;&gt;""),$X681="")</formula>
    </cfRule>
    <cfRule type="expression" priority="3370" dxfId="2">
      <formula>AND(AND($W681&lt;TODAY(),$W681&lt;&gt;""),$X681="")</formula>
    </cfRule>
  </conditionalFormatting>
  <conditionalFormatting sqref="Z681">
    <cfRule type="dataBar" priority="3374">
      <dataBar>
        <cfvo type="min"/>
        <cfvo type="max"/>
        <color rgb="FF63C384"/>
      </dataBar>
    </cfRule>
    <cfRule type="dataBar" priority="3373">
      <dataBar>
        <cfvo type="min"/>
        <cfvo type="max"/>
        <color rgb="FF63C384"/>
      </dataBar>
    </cfRule>
    <cfRule type="dataBar" priority="3369">
      <dataBar>
        <cfvo type="min"/>
        <cfvo type="max"/>
        <color rgb="FF63C384"/>
      </dataBar>
    </cfRule>
    <cfRule type="dataBar" priority="3368">
      <dataBar>
        <cfvo type="min"/>
        <cfvo type="max"/>
        <color rgb="FF63C384"/>
      </dataBar>
    </cfRule>
  </conditionalFormatting>
  <conditionalFormatting sqref="J682">
    <cfRule type="cellIs" priority="3367" operator="equal" dxfId="2034">
      <formula>"ja"</formula>
    </cfRule>
    <cfRule type="cellIs" priority="3360" operator="equal" dxfId="2034">
      <formula>"ja"</formula>
    </cfRule>
  </conditionalFormatting>
  <conditionalFormatting sqref="T682">
    <cfRule type="expression" priority="3366" dxfId="2">
      <formula>AND(AND($W682&lt;TODAY(),$W682&lt;&gt;""),$X682="")</formula>
    </cfRule>
    <cfRule type="expression" priority="3363" dxfId="2">
      <formula>AND(AND($W682&lt;TODAY(),$W682&lt;&gt;""),$X682="")</formula>
    </cfRule>
  </conditionalFormatting>
  <conditionalFormatting sqref="Z682">
    <cfRule type="dataBar" priority="3365">
      <dataBar>
        <cfvo type="min"/>
        <cfvo type="max"/>
        <color rgb="FF63C384"/>
      </dataBar>
    </cfRule>
    <cfRule type="dataBar" priority="3364">
      <dataBar>
        <cfvo type="min"/>
        <cfvo type="max"/>
        <color rgb="FF63C384"/>
      </dataBar>
    </cfRule>
    <cfRule type="dataBar" priority="3362">
      <dataBar>
        <cfvo type="min"/>
        <cfvo type="max"/>
        <color rgb="FF63C384"/>
      </dataBar>
    </cfRule>
    <cfRule type="dataBar" priority="3361">
      <dataBar>
        <cfvo type="min"/>
        <cfvo type="max"/>
        <color rgb="FF63C384"/>
      </dataBar>
    </cfRule>
  </conditionalFormatting>
  <conditionalFormatting sqref="C682">
    <cfRule type="containsText" priority="3358" operator="containsText" dxfId="1" text="Einnahmen">
      <formula>NOT(ISERROR(SEARCH("Einnahmen",C682)))</formula>
    </cfRule>
    <cfRule type="containsText" priority="3359" operator="containsText" dxfId="0" text="Ausgaben">
      <formula>NOT(ISERROR(SEARCH("Ausgaben",C682)))</formula>
    </cfRule>
  </conditionalFormatting>
  <conditionalFormatting sqref="J683">
    <cfRule type="cellIs" priority="3344" operator="equal" dxfId="2034">
      <formula>"ja"</formula>
    </cfRule>
  </conditionalFormatting>
  <conditionalFormatting sqref="C683">
    <cfRule type="containsText" priority="3342" operator="containsText" dxfId="1" text="Einnahmen">
      <formula>NOT(ISERROR(SEARCH("Einnahmen",C683)))</formula>
    </cfRule>
    <cfRule type="containsText" priority="3343" operator="containsText" dxfId="0" text="Ausgaben">
      <formula>NOT(ISERROR(SEARCH("Ausgaben",C683)))</formula>
    </cfRule>
  </conditionalFormatting>
  <conditionalFormatting sqref="T683">
    <cfRule type="expression" priority="3341" dxfId="2">
      <formula>AND(AND($W683&lt;TODAY(),$W683&lt;&gt;""),$X683="")</formula>
    </cfRule>
  </conditionalFormatting>
  <conditionalFormatting sqref="Z683">
    <cfRule type="dataBar" priority="3340">
      <dataBar>
        <cfvo type="min"/>
        <cfvo type="max"/>
        <color rgb="FF63C384"/>
      </dataBar>
    </cfRule>
    <cfRule type="dataBar" priority="3339">
      <dataBar>
        <cfvo type="min"/>
        <cfvo type="max"/>
        <color rgb="FF63C384"/>
      </dataBar>
    </cfRule>
  </conditionalFormatting>
  <conditionalFormatting sqref="C684">
    <cfRule type="containsText" priority="3337" operator="containsText" dxfId="1" text="Einnahmen">
      <formula>NOT(ISERROR(SEARCH("Einnahmen",C684)))</formula>
    </cfRule>
    <cfRule type="containsText" priority="3338" operator="containsText" dxfId="0" text="Ausgaben">
      <formula>NOT(ISERROR(SEARCH("Ausgaben",C684)))</formula>
    </cfRule>
  </conditionalFormatting>
  <conditionalFormatting sqref="T684">
    <cfRule type="expression" priority="3336" dxfId="2">
      <formula>AND(AND($W684&lt;TODAY(),$W684&lt;&gt;""),$X684="")</formula>
    </cfRule>
  </conditionalFormatting>
  <conditionalFormatting sqref="J684">
    <cfRule type="cellIs" priority="3334" operator="equal" dxfId="2034">
      <formula>"ja"</formula>
    </cfRule>
  </conditionalFormatting>
  <conditionalFormatting sqref="Z684">
    <cfRule type="dataBar" priority="3333">
      <dataBar>
        <cfvo type="min"/>
        <cfvo type="max"/>
        <color rgb="FF63C384"/>
      </dataBar>
    </cfRule>
    <cfRule type="dataBar" priority="3332">
      <dataBar>
        <cfvo type="min"/>
        <cfvo type="max"/>
        <color rgb="FF63C384"/>
      </dataBar>
    </cfRule>
  </conditionalFormatting>
  <conditionalFormatting sqref="C685">
    <cfRule type="containsText" priority="3330" operator="containsText" dxfId="1" text="Einnahmen">
      <formula>NOT(ISERROR(SEARCH("Einnahmen",C685)))</formula>
    </cfRule>
    <cfRule type="containsText" priority="3331" operator="containsText" dxfId="0" text="Ausgaben">
      <formula>NOT(ISERROR(SEARCH("Ausgaben",C685)))</formula>
    </cfRule>
  </conditionalFormatting>
  <conditionalFormatting sqref="T685">
    <cfRule type="expression" priority="3329" dxfId="2">
      <formula>AND(AND($W685&lt;TODAY(),$W685&lt;&gt;""),$X685="")</formula>
    </cfRule>
  </conditionalFormatting>
  <conditionalFormatting sqref="Z685">
    <cfRule type="dataBar" priority="3328">
      <dataBar>
        <cfvo type="min"/>
        <cfvo type="max"/>
        <color rgb="FF63C384"/>
      </dataBar>
    </cfRule>
    <cfRule type="dataBar" priority="3327">
      <dataBar>
        <cfvo type="min"/>
        <cfvo type="max"/>
        <color rgb="FF63C384"/>
      </dataBar>
    </cfRule>
  </conditionalFormatting>
  <conditionalFormatting sqref="J685">
    <cfRule type="cellIs" priority="3326" operator="equal" dxfId="2034">
      <formula>"ja"</formula>
    </cfRule>
  </conditionalFormatting>
  <conditionalFormatting sqref="T686">
    <cfRule type="expression" priority="3323" dxfId="2">
      <formula>AND(AND($W686&lt;TODAY(),$W686&lt;&gt;""),$X686="")</formula>
    </cfRule>
  </conditionalFormatting>
  <conditionalFormatting sqref="Z686">
    <cfRule type="dataBar" priority="3322">
      <dataBar>
        <cfvo type="min"/>
        <cfvo type="max"/>
        <color rgb="FF63C384"/>
      </dataBar>
    </cfRule>
    <cfRule type="dataBar" priority="3321">
      <dataBar>
        <cfvo type="min"/>
        <cfvo type="max"/>
        <color rgb="FF63C384"/>
      </dataBar>
    </cfRule>
  </conditionalFormatting>
  <conditionalFormatting sqref="J686">
    <cfRule type="cellIs" priority="3320" operator="equal" dxfId="2034">
      <formula>"ja"</formula>
    </cfRule>
  </conditionalFormatting>
  <conditionalFormatting sqref="C686">
    <cfRule type="containsText" priority="3318" operator="containsText" dxfId="1" text="Einnahmen">
      <formula>NOT(ISERROR(SEARCH("Einnahmen",C686)))</formula>
    </cfRule>
    <cfRule type="containsText" priority="3319" operator="containsText" dxfId="0" text="Ausgaben">
      <formula>NOT(ISERROR(SEARCH("Ausgaben",C686)))</formula>
    </cfRule>
  </conditionalFormatting>
  <conditionalFormatting sqref="C687">
    <cfRule type="containsText" priority="3315" operator="containsText" dxfId="1" text="Einnahmen">
      <formula>NOT(ISERROR(SEARCH("Einnahmen",C687)))</formula>
    </cfRule>
    <cfRule type="containsText" priority="3316" operator="containsText" dxfId="0" text="Ausgaben">
      <formula>NOT(ISERROR(SEARCH("Ausgaben",C687)))</formula>
    </cfRule>
  </conditionalFormatting>
  <conditionalFormatting sqref="J687">
    <cfRule type="cellIs" priority="3314" operator="equal" dxfId="2034">
      <formula>"ja"</formula>
    </cfRule>
    <cfRule type="cellIs" priority="3309" operator="equal" dxfId="2034">
      <formula>"ja"</formula>
    </cfRule>
  </conditionalFormatting>
  <conditionalFormatting sqref="T687">
    <cfRule type="expression" priority="3313" dxfId="2">
      <formula>AND(AND($W687&lt;TODAY(),$W687&lt;&gt;""),$X687="")</formula>
    </cfRule>
    <cfRule type="expression" priority="3310" dxfId="2">
      <formula>AND(AND($W687&lt;TODAY(),$W687&lt;&gt;""),$X687="")</formula>
    </cfRule>
  </conditionalFormatting>
  <conditionalFormatting sqref="Z687">
    <cfRule type="dataBar" priority="3312">
      <dataBar>
        <cfvo type="min"/>
        <cfvo type="max"/>
        <color rgb="FF63C384"/>
      </dataBar>
    </cfRule>
    <cfRule type="dataBar" priority="3311">
      <dataBar>
        <cfvo type="min"/>
        <cfvo type="max"/>
        <color rgb="FF63C384"/>
      </dataBar>
    </cfRule>
    <cfRule type="dataBar" priority="3308">
      <dataBar>
        <cfvo type="min"/>
        <cfvo type="max"/>
        <color rgb="FF63C384"/>
      </dataBar>
    </cfRule>
    <cfRule type="dataBar" priority="3307">
      <dataBar>
        <cfvo type="min"/>
        <cfvo type="max"/>
        <color rgb="FF63C384"/>
      </dataBar>
    </cfRule>
  </conditionalFormatting>
  <conditionalFormatting sqref="J688">
    <cfRule type="cellIs" priority="3305" operator="equal" dxfId="2034">
      <formula>"ja"</formula>
    </cfRule>
  </conditionalFormatting>
  <conditionalFormatting sqref="C688">
    <cfRule type="containsText" priority="3303" operator="containsText" dxfId="1" text="Einnahmen">
      <formula>NOT(ISERROR(SEARCH("Einnahmen",C688)))</formula>
    </cfRule>
    <cfRule type="containsText" priority="3304" operator="containsText" dxfId="0" text="Ausgaben">
      <formula>NOT(ISERROR(SEARCH("Ausgaben",C688)))</formula>
    </cfRule>
  </conditionalFormatting>
  <conditionalFormatting sqref="T688">
    <cfRule type="expression" priority="3302" dxfId="2">
      <formula>AND(AND($W688&lt;TODAY(),$W688&lt;&gt;""),$X688="")</formula>
    </cfRule>
  </conditionalFormatting>
  <conditionalFormatting sqref="Z688">
    <cfRule type="dataBar" priority="3301">
      <dataBar>
        <cfvo type="min"/>
        <cfvo type="max"/>
        <color rgb="FF63C384"/>
      </dataBar>
    </cfRule>
    <cfRule type="dataBar" priority="3300">
      <dataBar>
        <cfvo type="min"/>
        <cfvo type="max"/>
        <color rgb="FF63C384"/>
      </dataBar>
    </cfRule>
  </conditionalFormatting>
  <conditionalFormatting sqref="J689">
    <cfRule type="cellIs" priority="3299" operator="equal" dxfId="2034">
      <formula>"ja"</formula>
    </cfRule>
  </conditionalFormatting>
  <conditionalFormatting sqref="C689">
    <cfRule type="containsText" priority="3297" operator="containsText" dxfId="1" text="Einnahmen">
      <formula>NOT(ISERROR(SEARCH("Einnahmen",C689)))</formula>
    </cfRule>
    <cfRule type="containsText" priority="3298" operator="containsText" dxfId="0" text="Ausgaben">
      <formula>NOT(ISERROR(SEARCH("Ausgaben",C689)))</formula>
    </cfRule>
  </conditionalFormatting>
  <conditionalFormatting sqref="T689">
    <cfRule type="expression" priority="3296" dxfId="2">
      <formula>AND(AND($W689&lt;TODAY(),$W689&lt;&gt;""),$X689="")</formula>
    </cfRule>
  </conditionalFormatting>
  <conditionalFormatting sqref="Z689">
    <cfRule type="dataBar" priority="3295">
      <dataBar>
        <cfvo type="min"/>
        <cfvo type="max"/>
        <color rgb="FF63C384"/>
      </dataBar>
    </cfRule>
    <cfRule type="dataBar" priority="3294">
      <dataBar>
        <cfvo type="min"/>
        <cfvo type="max"/>
        <color rgb="FF63C384"/>
      </dataBar>
    </cfRule>
  </conditionalFormatting>
  <conditionalFormatting sqref="C690">
    <cfRule type="containsText" priority="3292" operator="containsText" dxfId="1" text="Einnahmen">
      <formula>NOT(ISERROR(SEARCH("Einnahmen",C690)))</formula>
    </cfRule>
    <cfRule type="containsText" priority="3293" operator="containsText" dxfId="0" text="Ausgaben">
      <formula>NOT(ISERROR(SEARCH("Ausgaben",C690)))</formula>
    </cfRule>
  </conditionalFormatting>
  <conditionalFormatting sqref="J690">
    <cfRule type="cellIs" priority="3291" operator="equal" dxfId="2034">
      <formula>"ja"</formula>
    </cfRule>
    <cfRule type="cellIs" priority="3279" operator="equal" dxfId="2034">
      <formula>"ja"</formula>
    </cfRule>
    <cfRule type="cellIs" priority="3287" operator="equal" dxfId="2034">
      <formula>"ja"</formula>
    </cfRule>
    <cfRule type="cellIs" priority="3283" operator="equal" dxfId="2034">
      <formula>"ja"</formula>
    </cfRule>
  </conditionalFormatting>
  <conditionalFormatting sqref="T690">
    <cfRule type="expression" priority="3278" dxfId="2">
      <formula>AND(AND($W690&lt;TODAY(),$W690&lt;&gt;""),$X690="")</formula>
    </cfRule>
    <cfRule type="expression" priority="3290" dxfId="2">
      <formula>AND(AND($W690&lt;TODAY(),$W690&lt;&gt;""),$X690="")</formula>
    </cfRule>
    <cfRule type="expression" priority="3286" dxfId="2">
      <formula>AND(AND($W690&lt;TODAY(),$W690&lt;&gt;""),$X690="")</formula>
    </cfRule>
    <cfRule type="expression" priority="3282" dxfId="2">
      <formula>AND(AND($W690&lt;TODAY(),$W690&lt;&gt;""),$X690="")</formula>
    </cfRule>
  </conditionalFormatting>
  <conditionalFormatting sqref="Z690">
    <cfRule type="dataBar" priority="3289">
      <dataBar>
        <cfvo type="min"/>
        <cfvo type="max"/>
        <color rgb="FF63C384"/>
      </dataBar>
    </cfRule>
    <cfRule type="dataBar" priority="3288">
      <dataBar>
        <cfvo type="min"/>
        <cfvo type="max"/>
        <color rgb="FF63C384"/>
      </dataBar>
    </cfRule>
    <cfRule type="dataBar" priority="3285">
      <dataBar>
        <cfvo type="min"/>
        <cfvo type="max"/>
        <color rgb="FF63C384"/>
      </dataBar>
    </cfRule>
    <cfRule type="dataBar" priority="3284">
      <dataBar>
        <cfvo type="min"/>
        <cfvo type="max"/>
        <color rgb="FF63C384"/>
      </dataBar>
    </cfRule>
    <cfRule type="dataBar" priority="3281">
      <dataBar>
        <cfvo type="min"/>
        <cfvo type="max"/>
        <color rgb="FF63C384"/>
      </dataBar>
    </cfRule>
    <cfRule type="dataBar" priority="3280">
      <dataBar>
        <cfvo type="min"/>
        <cfvo type="max"/>
        <color rgb="FF63C384"/>
      </dataBar>
    </cfRule>
    <cfRule type="dataBar" priority="3277">
      <dataBar>
        <cfvo type="min"/>
        <cfvo type="max"/>
        <color rgb="FF63C384"/>
      </dataBar>
    </cfRule>
    <cfRule type="dataBar" priority="3276">
      <dataBar>
        <cfvo type="min"/>
        <cfvo type="max"/>
        <color rgb="FF63C384"/>
      </dataBar>
    </cfRule>
  </conditionalFormatting>
  <conditionalFormatting sqref="J691">
    <cfRule type="cellIs" priority="3270" operator="equal" dxfId="2034">
      <formula>"ja"</formula>
    </cfRule>
  </conditionalFormatting>
  <conditionalFormatting sqref="C691">
    <cfRule type="containsText" priority="3268" operator="containsText" dxfId="1" text="Einnahmen">
      <formula>NOT(ISERROR(SEARCH("Einnahmen",C691)))</formula>
    </cfRule>
    <cfRule type="containsText" priority="3269" operator="containsText" dxfId="0" text="Ausgaben">
      <formula>NOT(ISERROR(SEARCH("Ausgaben",C691)))</formula>
    </cfRule>
  </conditionalFormatting>
  <conditionalFormatting sqref="T691">
    <cfRule type="expression" priority="3267" dxfId="2">
      <formula>AND(AND($W691&lt;TODAY(),$W691&lt;&gt;""),$X691="")</formula>
    </cfRule>
  </conditionalFormatting>
  <conditionalFormatting sqref="Z691">
    <cfRule type="dataBar" priority="3266">
      <dataBar>
        <cfvo type="min"/>
        <cfvo type="max"/>
        <color rgb="FF63C384"/>
      </dataBar>
    </cfRule>
    <cfRule type="dataBar" priority="3265">
      <dataBar>
        <cfvo type="min"/>
        <cfvo type="max"/>
        <color rgb="FF63C384"/>
      </dataBar>
    </cfRule>
  </conditionalFormatting>
  <conditionalFormatting sqref="Z692">
    <cfRule type="dataBar" priority="3264">
      <dataBar>
        <cfvo type="min"/>
        <cfvo type="max"/>
        <color rgb="FF63C384"/>
      </dataBar>
    </cfRule>
    <cfRule type="dataBar" priority="3263">
      <dataBar>
        <cfvo type="min"/>
        <cfvo type="max"/>
        <color rgb="FF63C384"/>
      </dataBar>
    </cfRule>
  </conditionalFormatting>
  <conditionalFormatting sqref="C692">
    <cfRule type="containsText" priority="3261" operator="containsText" dxfId="1" text="Einnahmen">
      <formula>NOT(ISERROR(SEARCH("Einnahmen",C692)))</formula>
    </cfRule>
    <cfRule type="containsText" priority="3262" operator="containsText" dxfId="0" text="Ausgaben">
      <formula>NOT(ISERROR(SEARCH("Ausgaben",C692)))</formula>
    </cfRule>
  </conditionalFormatting>
  <conditionalFormatting sqref="J692">
    <cfRule type="cellIs" priority="3260" operator="equal" dxfId="2034">
      <formula>"ja"</formula>
    </cfRule>
  </conditionalFormatting>
  <conditionalFormatting sqref="T692">
    <cfRule type="expression" priority="3259" dxfId="2">
      <formula>AND(AND($W692&lt;TODAY(),$W692&lt;&gt;""),$X692="")</formula>
    </cfRule>
  </conditionalFormatting>
  <conditionalFormatting sqref="C693">
    <cfRule type="containsText" priority="3257" operator="containsText" dxfId="1" text="Einnahmen">
      <formula>NOT(ISERROR(SEARCH("Einnahmen",C693)))</formula>
    </cfRule>
    <cfRule type="containsText" priority="3258" operator="containsText" dxfId="0" text="Ausgaben">
      <formula>NOT(ISERROR(SEARCH("Ausgaben",C693)))</formula>
    </cfRule>
  </conditionalFormatting>
  <conditionalFormatting sqref="T693">
    <cfRule type="expression" priority="3256" dxfId="2">
      <formula>AND(AND($W693&lt;TODAY(),$W693&lt;&gt;""),$X693="")</formula>
    </cfRule>
  </conditionalFormatting>
  <conditionalFormatting sqref="Z693">
    <cfRule type="dataBar" priority="3255">
      <dataBar>
        <cfvo type="min"/>
        <cfvo type="max"/>
        <color rgb="FF63C384"/>
      </dataBar>
    </cfRule>
    <cfRule type="dataBar" priority="3254">
      <dataBar>
        <cfvo type="min"/>
        <cfvo type="max"/>
        <color rgb="FF63C384"/>
      </dataBar>
    </cfRule>
  </conditionalFormatting>
  <conditionalFormatting sqref="J693">
    <cfRule type="cellIs" priority="3253" operator="equal" dxfId="2034">
      <formula>"ja"</formula>
    </cfRule>
  </conditionalFormatting>
  <conditionalFormatting sqref="J694">
    <cfRule type="cellIs" priority="3250" operator="equal" dxfId="2034">
      <formula>"ja"</formula>
    </cfRule>
  </conditionalFormatting>
  <conditionalFormatting sqref="C694">
    <cfRule type="containsText" priority="3248" operator="containsText" dxfId="1" text="Einnahmen">
      <formula>NOT(ISERROR(SEARCH("Einnahmen",C694)))</formula>
    </cfRule>
    <cfRule type="containsText" priority="3249" operator="containsText" dxfId="0" text="Ausgaben">
      <formula>NOT(ISERROR(SEARCH("Ausgaben",C694)))</formula>
    </cfRule>
  </conditionalFormatting>
  <conditionalFormatting sqref="T694">
    <cfRule type="expression" priority="3247" dxfId="2">
      <formula>AND(AND($W694&lt;TODAY(),$W694&lt;&gt;""),$X694="")</formula>
    </cfRule>
  </conditionalFormatting>
  <conditionalFormatting sqref="Z694">
    <cfRule type="dataBar" priority="3246">
      <dataBar>
        <cfvo type="min"/>
        <cfvo type="max"/>
        <color rgb="FF63C384"/>
      </dataBar>
    </cfRule>
    <cfRule type="dataBar" priority="3245">
      <dataBar>
        <cfvo type="min"/>
        <cfvo type="max"/>
        <color rgb="FF63C384"/>
      </dataBar>
    </cfRule>
  </conditionalFormatting>
  <conditionalFormatting sqref="C695">
    <cfRule type="containsText" priority="3239" operator="containsText" dxfId="1" text="Einnahmen">
      <formula>NOT(ISERROR(SEARCH("Einnahmen",C695)))</formula>
    </cfRule>
    <cfRule type="containsText" priority="3240" operator="containsText" dxfId="0" text="Ausgaben">
      <formula>NOT(ISERROR(SEARCH("Ausgaben",C695)))</formula>
    </cfRule>
  </conditionalFormatting>
  <conditionalFormatting sqref="T695">
    <cfRule type="expression" priority="3238" dxfId="2">
      <formula>AND(AND($W695&lt;TODAY(),$W695&lt;&gt;""),$X695="")</formula>
    </cfRule>
  </conditionalFormatting>
  <conditionalFormatting sqref="J695">
    <cfRule type="cellIs" priority="3237" operator="equal" dxfId="2034">
      <formula>"ja"</formula>
    </cfRule>
  </conditionalFormatting>
  <conditionalFormatting sqref="Z695">
    <cfRule type="dataBar" priority="3236">
      <dataBar>
        <cfvo type="min"/>
        <cfvo type="max"/>
        <color rgb="FF63C384"/>
      </dataBar>
    </cfRule>
    <cfRule type="dataBar" priority="3235">
      <dataBar>
        <cfvo type="min"/>
        <cfvo type="max"/>
        <color rgb="FF63C384"/>
      </dataBar>
    </cfRule>
  </conditionalFormatting>
  <conditionalFormatting sqref="J696">
    <cfRule type="cellIs" priority="3228" operator="equal" dxfId="2034">
      <formula>"ja"</formula>
    </cfRule>
  </conditionalFormatting>
  <conditionalFormatting sqref="T696">
    <cfRule type="expression" priority="3227" dxfId="2">
      <formula>AND(AND($W696&lt;TODAY(),$W696&lt;&gt;""),$X696="")</formula>
    </cfRule>
  </conditionalFormatting>
  <conditionalFormatting sqref="Z696">
    <cfRule type="dataBar" priority="3226">
      <dataBar>
        <cfvo type="min"/>
        <cfvo type="max"/>
        <color rgb="FF63C384"/>
      </dataBar>
    </cfRule>
    <cfRule type="dataBar" priority="3225">
      <dataBar>
        <cfvo type="min"/>
        <cfvo type="max"/>
        <color rgb="FF63C384"/>
      </dataBar>
    </cfRule>
  </conditionalFormatting>
  <conditionalFormatting sqref="C696">
    <cfRule type="containsText" priority="3223" operator="containsText" dxfId="1" text="Einnahmen">
      <formula>NOT(ISERROR(SEARCH("Einnahmen",C696)))</formula>
    </cfRule>
    <cfRule type="containsText" priority="3224" operator="containsText" dxfId="0" text="Ausgaben">
      <formula>NOT(ISERROR(SEARCH("Ausgaben",C696)))</formula>
    </cfRule>
  </conditionalFormatting>
  <conditionalFormatting sqref="J697">
    <cfRule type="cellIs" priority="3222" operator="equal" dxfId="2034">
      <formula>"ja"</formula>
    </cfRule>
    <cfRule type="cellIs" priority="3215" operator="equal" dxfId="2034">
      <formula>"ja"</formula>
    </cfRule>
  </conditionalFormatting>
  <conditionalFormatting sqref="C697">
    <cfRule type="containsText" priority="3220" operator="containsText" dxfId="1" text="Einnahmen">
      <formula>NOT(ISERROR(SEARCH("Einnahmen",C697)))</formula>
    </cfRule>
    <cfRule type="containsText" priority="3221" operator="containsText" dxfId="0" text="Ausgaben">
      <formula>NOT(ISERROR(SEARCH("Ausgaben",C697)))</formula>
    </cfRule>
  </conditionalFormatting>
  <conditionalFormatting sqref="T697">
    <cfRule type="expression" priority="3219" dxfId="2">
      <formula>AND(AND($W697&lt;TODAY(),$W697&lt;&gt;""),$X697="")</formula>
    </cfRule>
    <cfRule type="expression" priority="3214" dxfId="2">
      <formula>AND(AND($W697&lt;TODAY(),$W697&lt;&gt;""),$X697="")</formula>
    </cfRule>
  </conditionalFormatting>
  <conditionalFormatting sqref="Z697">
    <cfRule type="dataBar" priority="3218">
      <dataBar>
        <cfvo type="min"/>
        <cfvo type="max"/>
        <color rgb="FF63C384"/>
      </dataBar>
    </cfRule>
    <cfRule type="dataBar" priority="3217">
      <dataBar>
        <cfvo type="min"/>
        <cfvo type="max"/>
        <color rgb="FF63C384"/>
      </dataBar>
    </cfRule>
    <cfRule type="dataBar" priority="3213">
      <dataBar>
        <cfvo type="min"/>
        <cfvo type="max"/>
        <color rgb="FF63C384"/>
      </dataBar>
    </cfRule>
    <cfRule type="dataBar" priority="3212">
      <dataBar>
        <cfvo type="min"/>
        <cfvo type="max"/>
        <color rgb="FF63C384"/>
      </dataBar>
    </cfRule>
  </conditionalFormatting>
  <conditionalFormatting sqref="J698">
    <cfRule type="cellIs" priority="3211" operator="equal" dxfId="2034">
      <formula>"ja"</formula>
    </cfRule>
    <cfRule type="cellIs" priority="3204" operator="equal" dxfId="2034">
      <formula>"ja"</formula>
    </cfRule>
  </conditionalFormatting>
  <conditionalFormatting sqref="T698">
    <cfRule type="expression" priority="3210" dxfId="2">
      <formula>AND(AND($W698&lt;TODAY(),$W698&lt;&gt;""),$X698="")</formula>
    </cfRule>
    <cfRule type="expression" priority="3207" dxfId="2">
      <formula>AND(AND($W698&lt;TODAY(),$W698&lt;&gt;""),$X698="")</formula>
    </cfRule>
  </conditionalFormatting>
  <conditionalFormatting sqref="Z698">
    <cfRule type="dataBar" priority="3209">
      <dataBar>
        <cfvo type="min"/>
        <cfvo type="max"/>
        <color rgb="FF63C384"/>
      </dataBar>
    </cfRule>
    <cfRule type="dataBar" priority="3208">
      <dataBar>
        <cfvo type="min"/>
        <cfvo type="max"/>
        <color rgb="FF63C384"/>
      </dataBar>
    </cfRule>
    <cfRule type="dataBar" priority="3206">
      <dataBar>
        <cfvo type="min"/>
        <cfvo type="max"/>
        <color rgb="FF63C384"/>
      </dataBar>
    </cfRule>
    <cfRule type="dataBar" priority="3205">
      <dataBar>
        <cfvo type="min"/>
        <cfvo type="max"/>
        <color rgb="FF63C384"/>
      </dataBar>
    </cfRule>
  </conditionalFormatting>
  <conditionalFormatting sqref="C698">
    <cfRule type="containsText" priority="3202" operator="containsText" dxfId="1" text="Einnahmen">
      <formula>NOT(ISERROR(SEARCH("Einnahmen",C698)))</formula>
    </cfRule>
    <cfRule type="containsText" priority="3203" operator="containsText" dxfId="0" text="Ausgaben">
      <formula>NOT(ISERROR(SEARCH("Ausgaben",C698)))</formula>
    </cfRule>
  </conditionalFormatting>
  <conditionalFormatting sqref="C699">
    <cfRule type="containsText" priority="3200" operator="containsText" dxfId="1" text="Einnahmen">
      <formula>NOT(ISERROR(SEARCH("Einnahmen",C699)))</formula>
    </cfRule>
    <cfRule type="containsText" priority="3201" operator="containsText" dxfId="0" text="Ausgaben">
      <formula>NOT(ISERROR(SEARCH("Ausgaben",C699)))</formula>
    </cfRule>
  </conditionalFormatting>
  <conditionalFormatting sqref="T699">
    <cfRule type="expression" priority="3199" dxfId="2">
      <formula>AND(AND($W699&lt;TODAY(),$W699&lt;&gt;""),$X699="")</formula>
    </cfRule>
  </conditionalFormatting>
  <conditionalFormatting sqref="J699">
    <cfRule type="cellIs" priority="3197" operator="equal" dxfId="2034">
      <formula>"ja"</formula>
    </cfRule>
  </conditionalFormatting>
  <conditionalFormatting sqref="Z699">
    <cfRule type="dataBar" priority="3196">
      <dataBar>
        <cfvo type="min"/>
        <cfvo type="max"/>
        <color rgb="FF63C384"/>
      </dataBar>
    </cfRule>
    <cfRule type="dataBar" priority="3195">
      <dataBar>
        <cfvo type="min"/>
        <cfvo type="max"/>
        <color rgb="FF63C384"/>
      </dataBar>
    </cfRule>
  </conditionalFormatting>
  <conditionalFormatting sqref="C700">
    <cfRule type="containsText" priority="3193" operator="containsText" dxfId="1" text="Einnahmen">
      <formula>NOT(ISERROR(SEARCH("Einnahmen",C700)))</formula>
    </cfRule>
    <cfRule type="containsText" priority="3194" operator="containsText" dxfId="0" text="Ausgaben">
      <formula>NOT(ISERROR(SEARCH("Ausgaben",C700)))</formula>
    </cfRule>
  </conditionalFormatting>
  <conditionalFormatting sqref="T700">
    <cfRule type="expression" priority="3192" dxfId="2">
      <formula>AND(AND($W700&lt;TODAY(),$W700&lt;&gt;""),$X700="")</formula>
    </cfRule>
  </conditionalFormatting>
  <conditionalFormatting sqref="Z700">
    <cfRule type="dataBar" priority="3191">
      <dataBar>
        <cfvo type="min"/>
        <cfvo type="max"/>
        <color rgb="FF63C384"/>
      </dataBar>
    </cfRule>
    <cfRule type="dataBar" priority="3190">
      <dataBar>
        <cfvo type="min"/>
        <cfvo type="max"/>
        <color rgb="FF63C384"/>
      </dataBar>
    </cfRule>
  </conditionalFormatting>
  <conditionalFormatting sqref="J700">
    <cfRule type="cellIs" priority="3189" operator="equal" dxfId="2034">
      <formula>"ja"</formula>
    </cfRule>
  </conditionalFormatting>
  <conditionalFormatting sqref="T701">
    <cfRule type="expression" priority="3187" dxfId="2">
      <formula>AND(AND($W701&lt;TODAY(),$W701&lt;&gt;""),$X701="")</formula>
    </cfRule>
  </conditionalFormatting>
  <conditionalFormatting sqref="Z701">
    <cfRule type="dataBar" priority="3186">
      <dataBar>
        <cfvo type="min"/>
        <cfvo type="max"/>
        <color rgb="FF63C384"/>
      </dataBar>
    </cfRule>
    <cfRule type="dataBar" priority="3185">
      <dataBar>
        <cfvo type="min"/>
        <cfvo type="max"/>
        <color rgb="FF63C384"/>
      </dataBar>
    </cfRule>
  </conditionalFormatting>
  <conditionalFormatting sqref="T702">
    <cfRule type="expression" priority="3184" dxfId="2">
      <formula>AND(AND($W702&lt;TODAY(),$W702&lt;&gt;""),$X702="")</formula>
    </cfRule>
  </conditionalFormatting>
  <conditionalFormatting sqref="Z702">
    <cfRule type="dataBar" priority="3183">
      <dataBar>
        <cfvo type="min"/>
        <cfvo type="max"/>
        <color rgb="FF63C384"/>
      </dataBar>
    </cfRule>
    <cfRule type="dataBar" priority="3182">
      <dataBar>
        <cfvo type="min"/>
        <cfvo type="max"/>
        <color rgb="FF63C384"/>
      </dataBar>
    </cfRule>
  </conditionalFormatting>
  <conditionalFormatting sqref="J702">
    <cfRule type="cellIs" priority="3181" operator="equal" dxfId="2034">
      <formula>"ja"</formula>
    </cfRule>
  </conditionalFormatting>
  <conditionalFormatting sqref="C702">
    <cfRule type="containsText" priority="3179" operator="containsText" dxfId="1" text="Einnahmen">
      <formula>NOT(ISERROR(SEARCH("Einnahmen",C702)))</formula>
    </cfRule>
    <cfRule type="containsText" priority="3180" operator="containsText" dxfId="0" text="Ausgaben">
      <formula>NOT(ISERROR(SEARCH("Ausgaben",C702)))</formula>
    </cfRule>
  </conditionalFormatting>
  <conditionalFormatting sqref="J703">
    <cfRule type="cellIs" priority="3177" operator="equal" dxfId="2034">
      <formula>"ja"</formula>
    </cfRule>
  </conditionalFormatting>
  <conditionalFormatting sqref="C703">
    <cfRule type="containsText" priority="3175" operator="containsText" dxfId="1" text="Einnahmen">
      <formula>NOT(ISERROR(SEARCH("Einnahmen",C703)))</formula>
    </cfRule>
    <cfRule type="containsText" priority="3176" operator="containsText" dxfId="0" text="Ausgaben">
      <formula>NOT(ISERROR(SEARCH("Ausgaben",C703)))</formula>
    </cfRule>
  </conditionalFormatting>
  <conditionalFormatting sqref="T703">
    <cfRule type="expression" priority="3174" dxfId="2">
      <formula>AND(AND($W703&lt;TODAY(),$W703&lt;&gt;""),$X703="")</formula>
    </cfRule>
  </conditionalFormatting>
  <conditionalFormatting sqref="Z703">
    <cfRule type="dataBar" priority="3173">
      <dataBar>
        <cfvo type="min"/>
        <cfvo type="max"/>
        <color rgb="FF63C384"/>
      </dataBar>
    </cfRule>
    <cfRule type="dataBar" priority="3172">
      <dataBar>
        <cfvo type="min"/>
        <cfvo type="max"/>
        <color rgb="FF63C384"/>
      </dataBar>
    </cfRule>
  </conditionalFormatting>
  <conditionalFormatting sqref="C704">
    <cfRule type="containsText" priority="3170" operator="containsText" dxfId="1" text="Einnahmen">
      <formula>NOT(ISERROR(SEARCH("Einnahmen",C704)))</formula>
    </cfRule>
    <cfRule type="containsText" priority="3171" operator="containsText" dxfId="0" text="Ausgaben">
      <formula>NOT(ISERROR(SEARCH("Ausgaben",C704)))</formula>
    </cfRule>
  </conditionalFormatting>
  <conditionalFormatting sqref="J704">
    <cfRule type="cellIs" priority="3169" operator="equal" dxfId="2034">
      <formula>"ja"</formula>
    </cfRule>
    <cfRule type="cellIs" priority="3157" operator="equal" dxfId="2034">
      <formula>"ja"</formula>
    </cfRule>
    <cfRule type="cellIs" priority="3165" operator="equal" dxfId="2034">
      <formula>"ja"</formula>
    </cfRule>
    <cfRule type="cellIs" priority="3161" operator="equal" dxfId="2034">
      <formula>"ja"</formula>
    </cfRule>
  </conditionalFormatting>
  <conditionalFormatting sqref="T704">
    <cfRule type="expression" priority="3156" dxfId="2">
      <formula>AND(AND($W704&lt;TODAY(),$W704&lt;&gt;""),$X704="")</formula>
    </cfRule>
    <cfRule type="expression" priority="3168" dxfId="2">
      <formula>AND(AND($W704&lt;TODAY(),$W704&lt;&gt;""),$X704="")</formula>
    </cfRule>
    <cfRule type="expression" priority="3164" dxfId="2">
      <formula>AND(AND($W704&lt;TODAY(),$W704&lt;&gt;""),$X704="")</formula>
    </cfRule>
    <cfRule type="expression" priority="3160" dxfId="2">
      <formula>AND(AND($W704&lt;TODAY(),$W704&lt;&gt;""),$X704="")</formula>
    </cfRule>
  </conditionalFormatting>
  <conditionalFormatting sqref="Z704">
    <cfRule type="dataBar" priority="3167">
      <dataBar>
        <cfvo type="min"/>
        <cfvo type="max"/>
        <color rgb="FF63C384"/>
      </dataBar>
    </cfRule>
    <cfRule type="dataBar" priority="3166">
      <dataBar>
        <cfvo type="min"/>
        <cfvo type="max"/>
        <color rgb="FF63C384"/>
      </dataBar>
    </cfRule>
    <cfRule type="dataBar" priority="3163">
      <dataBar>
        <cfvo type="min"/>
        <cfvo type="max"/>
        <color rgb="FF63C384"/>
      </dataBar>
    </cfRule>
    <cfRule type="dataBar" priority="3162">
      <dataBar>
        <cfvo type="min"/>
        <cfvo type="max"/>
        <color rgb="FF63C384"/>
      </dataBar>
    </cfRule>
    <cfRule type="dataBar" priority="3159">
      <dataBar>
        <cfvo type="min"/>
        <cfvo type="max"/>
        <color rgb="FF63C384"/>
      </dataBar>
    </cfRule>
    <cfRule type="dataBar" priority="3158">
      <dataBar>
        <cfvo type="min"/>
        <cfvo type="max"/>
        <color rgb="FF63C384"/>
      </dataBar>
    </cfRule>
    <cfRule type="dataBar" priority="3155">
      <dataBar>
        <cfvo type="min"/>
        <cfvo type="max"/>
        <color rgb="FF63C384"/>
      </dataBar>
    </cfRule>
    <cfRule type="dataBar" priority="3154">
      <dataBar>
        <cfvo type="min"/>
        <cfvo type="max"/>
        <color rgb="FF63C384"/>
      </dataBar>
    </cfRule>
  </conditionalFormatting>
  <conditionalFormatting sqref="C705">
    <cfRule type="containsText" priority="3139" operator="containsText" dxfId="1" text="Einnahmen">
      <formula>NOT(ISERROR(SEARCH("Einnahmen",C705)))</formula>
    </cfRule>
    <cfRule type="containsText" priority="3140" operator="containsText" dxfId="0" text="Ausgaben">
      <formula>NOT(ISERROR(SEARCH("Ausgaben",C705)))</formula>
    </cfRule>
  </conditionalFormatting>
  <conditionalFormatting sqref="C706">
    <cfRule type="containsText" priority="3131" operator="containsText" dxfId="1" text="Einnahmen">
      <formula>NOT(ISERROR(SEARCH("Einnahmen",C706)))</formula>
    </cfRule>
    <cfRule type="containsText" priority="3132" operator="containsText" dxfId="0" text="Ausgaben">
      <formula>NOT(ISERROR(SEARCH("Ausgaben",C706)))</formula>
    </cfRule>
  </conditionalFormatting>
  <conditionalFormatting sqref="J706">
    <cfRule type="cellIs" priority="3130" operator="equal" dxfId="2034">
      <formula>"ja"</formula>
    </cfRule>
    <cfRule type="cellIs" priority="3122" operator="equal" dxfId="2034">
      <formula>"ja"</formula>
    </cfRule>
  </conditionalFormatting>
  <conditionalFormatting sqref="T706">
    <cfRule type="expression" priority="3129" dxfId="2">
      <formula>AND(AND($W706&lt;TODAY(),$W706&lt;&gt;""),$X706="")</formula>
    </cfRule>
    <cfRule type="expression" priority="3125" dxfId="2">
      <formula>AND(AND($W706&lt;TODAY(),$W706&lt;&gt;""),$X706="")</formula>
    </cfRule>
  </conditionalFormatting>
  <conditionalFormatting sqref="Z706">
    <cfRule type="dataBar" priority="3128">
      <dataBar>
        <cfvo type="min"/>
        <cfvo type="max"/>
        <color rgb="FF63C384"/>
      </dataBar>
    </cfRule>
    <cfRule type="dataBar" priority="3127">
      <dataBar>
        <cfvo type="min"/>
        <cfvo type="max"/>
        <color rgb="FF63C384"/>
      </dataBar>
    </cfRule>
    <cfRule type="dataBar" priority="3124">
      <dataBar>
        <cfvo type="min"/>
        <cfvo type="max"/>
        <color rgb="FF63C384"/>
      </dataBar>
    </cfRule>
    <cfRule type="dataBar" priority="3123">
      <dataBar>
        <cfvo type="min"/>
        <cfvo type="max"/>
        <color rgb="FF63C384"/>
      </dataBar>
    </cfRule>
  </conditionalFormatting>
  <conditionalFormatting sqref="J707">
    <cfRule type="cellIs" priority="3119" operator="equal" dxfId="2034">
      <formula>"ja"</formula>
    </cfRule>
  </conditionalFormatting>
  <conditionalFormatting sqref="T707">
    <cfRule type="expression" priority="3118" dxfId="2">
      <formula>AND(AND($W707&lt;TODAY(),$W707&lt;&gt;""),$X707="")</formula>
    </cfRule>
  </conditionalFormatting>
  <conditionalFormatting sqref="Z707">
    <cfRule type="dataBar" priority="3117">
      <dataBar>
        <cfvo type="min"/>
        <cfvo type="max"/>
        <color rgb="FF63C384"/>
      </dataBar>
    </cfRule>
    <cfRule type="dataBar" priority="3116">
      <dataBar>
        <cfvo type="min"/>
        <cfvo type="max"/>
        <color rgb="FF63C384"/>
      </dataBar>
    </cfRule>
  </conditionalFormatting>
  <conditionalFormatting sqref="J705">
    <cfRule type="cellIs" priority="3114" operator="equal" dxfId="2034">
      <formula>"ja"</formula>
    </cfRule>
  </conditionalFormatting>
  <conditionalFormatting sqref="T705">
    <cfRule type="expression" priority="3113" dxfId="2">
      <formula>AND(AND($W705&lt;TODAY(),$W705&lt;&gt;""),$X705="")</formula>
    </cfRule>
  </conditionalFormatting>
  <conditionalFormatting sqref="Z705">
    <cfRule type="dataBar" priority="3112">
      <dataBar>
        <cfvo type="min"/>
        <cfvo type="max"/>
        <color rgb="FF63C384"/>
      </dataBar>
    </cfRule>
    <cfRule type="dataBar" priority="3111">
      <dataBar>
        <cfvo type="min"/>
        <cfvo type="max"/>
        <color rgb="FF63C384"/>
      </dataBar>
    </cfRule>
  </conditionalFormatting>
  <conditionalFormatting sqref="C708">
    <cfRule type="containsText" priority="3109" operator="containsText" dxfId="1" text="Einnahmen">
      <formula>NOT(ISERROR(SEARCH("Einnahmen",C708)))</formula>
    </cfRule>
    <cfRule type="containsText" priority="3110" operator="containsText" dxfId="0" text="Ausgaben">
      <formula>NOT(ISERROR(SEARCH("Ausgaben",C708)))</formula>
    </cfRule>
  </conditionalFormatting>
  <conditionalFormatting sqref="J708">
    <cfRule type="cellIs" priority="3108" operator="equal" dxfId="2034">
      <formula>"ja"</formula>
    </cfRule>
    <cfRule type="cellIs" priority="3103" operator="equal" dxfId="2034">
      <formula>"ja"</formula>
    </cfRule>
  </conditionalFormatting>
  <conditionalFormatting sqref="T708">
    <cfRule type="expression" priority="3107" dxfId="2">
      <formula>AND(AND($W708&lt;TODAY(),$W708&lt;&gt;""),$X708="")</formula>
    </cfRule>
    <cfRule type="expression" priority="3104" dxfId="2">
      <formula>AND(AND($W708&lt;TODAY(),$W708&lt;&gt;""),$X708="")</formula>
    </cfRule>
  </conditionalFormatting>
  <conditionalFormatting sqref="Z708">
    <cfRule type="dataBar" priority="3106">
      <dataBar>
        <cfvo type="min"/>
        <cfvo type="max"/>
        <color rgb="FF63C384"/>
      </dataBar>
    </cfRule>
    <cfRule type="dataBar" priority="3105">
      <dataBar>
        <cfvo type="min"/>
        <cfvo type="max"/>
        <color rgb="FF63C384"/>
      </dataBar>
    </cfRule>
    <cfRule type="dataBar" priority="3102">
      <dataBar>
        <cfvo type="min"/>
        <cfvo type="max"/>
        <color rgb="FF63C384"/>
      </dataBar>
    </cfRule>
    <cfRule type="dataBar" priority="3101">
      <dataBar>
        <cfvo type="min"/>
        <cfvo type="max"/>
        <color rgb="FF63C384"/>
      </dataBar>
    </cfRule>
  </conditionalFormatting>
  <conditionalFormatting sqref="J710">
    <cfRule type="cellIs" priority="3085" operator="equal" dxfId="2034">
      <formula>"ja"</formula>
    </cfRule>
    <cfRule type="cellIs" priority="3064" operator="equal" dxfId="2034">
      <formula>"ja"</formula>
    </cfRule>
  </conditionalFormatting>
  <conditionalFormatting sqref="C710">
    <cfRule type="containsText" priority="3083" operator="containsText" dxfId="1" text="Einnahmen">
      <formula>NOT(ISERROR(SEARCH("Einnahmen",C710)))</formula>
    </cfRule>
    <cfRule type="containsText" priority="3084" operator="containsText" dxfId="0" text="Ausgaben">
      <formula>NOT(ISERROR(SEARCH("Ausgaben",C710)))</formula>
    </cfRule>
    <cfRule type="containsText" priority="3066" operator="containsText" dxfId="1" text="Einnahmen">
      <formula>NOT(ISERROR(SEARCH("Einnahmen",C710)))</formula>
    </cfRule>
    <cfRule type="containsText" priority="3067" operator="containsText" dxfId="0" text="Ausgaben">
      <formula>NOT(ISERROR(SEARCH("Ausgaben",C710)))</formula>
    </cfRule>
  </conditionalFormatting>
  <conditionalFormatting sqref="T710">
    <cfRule type="expression" priority="3082" dxfId="2">
      <formula>AND(AND($W710&lt;TODAY(),$W710&lt;&gt;""),$X710="")</formula>
    </cfRule>
    <cfRule type="expression" priority="3065" dxfId="2">
      <formula>AND(AND($W710&lt;TODAY(),$W710&lt;&gt;""),$X710="")</formula>
    </cfRule>
  </conditionalFormatting>
  <conditionalFormatting sqref="Z710">
    <cfRule type="dataBar" priority="3081">
      <dataBar>
        <cfvo type="min"/>
        <cfvo type="max"/>
        <color rgb="FF63C384"/>
      </dataBar>
    </cfRule>
    <cfRule type="dataBar" priority="3080">
      <dataBar>
        <cfvo type="min"/>
        <cfvo type="max"/>
        <color rgb="FF63C384"/>
      </dataBar>
    </cfRule>
    <cfRule type="dataBar" priority="3063">
      <dataBar>
        <cfvo type="min"/>
        <cfvo type="max"/>
        <color rgb="FF63C384"/>
      </dataBar>
    </cfRule>
    <cfRule type="dataBar" priority="3062">
      <dataBar>
        <cfvo type="min"/>
        <cfvo type="max"/>
        <color rgb="FF63C384"/>
      </dataBar>
    </cfRule>
  </conditionalFormatting>
  <conditionalFormatting sqref="J711">
    <cfRule type="cellIs" priority="3079" operator="equal" dxfId="2034">
      <formula>"ja"</formula>
    </cfRule>
    <cfRule type="cellIs" priority="3072" operator="equal" dxfId="2034">
      <formula>"ja"</formula>
    </cfRule>
    <cfRule type="cellIs" priority="3061" operator="equal" dxfId="2034">
      <formula>"ja"</formula>
    </cfRule>
  </conditionalFormatting>
  <conditionalFormatting sqref="C711">
    <cfRule type="containsText" priority="3077" operator="containsText" dxfId="1" text="Einnahmen">
      <formula>NOT(ISERROR(SEARCH("Einnahmen",C711)))</formula>
    </cfRule>
    <cfRule type="containsText" priority="3078" operator="containsText" dxfId="0" text="Ausgaben">
      <formula>NOT(ISERROR(SEARCH("Ausgaben",C711)))</formula>
    </cfRule>
    <cfRule type="containsText" priority="3059" operator="containsText" dxfId="1" text="Einnahmen">
      <formula>NOT(ISERROR(SEARCH("Einnahmen",C711)))</formula>
    </cfRule>
    <cfRule type="containsText" priority="3060" operator="containsText" dxfId="0" text="Ausgaben">
      <formula>NOT(ISERROR(SEARCH("Ausgaben",C711)))</formula>
    </cfRule>
  </conditionalFormatting>
  <conditionalFormatting sqref="T711">
    <cfRule type="expression" priority="3076" dxfId="2">
      <formula>AND(AND($W711&lt;TODAY(),$W711&lt;&gt;""),$X711="")</formula>
    </cfRule>
    <cfRule type="expression" priority="3071" dxfId="2">
      <formula>AND(AND($W711&lt;TODAY(),$W711&lt;&gt;""),$X711="")</formula>
    </cfRule>
    <cfRule type="expression" priority="3058" dxfId="2">
      <formula>AND(AND($W711&lt;TODAY(),$W711&lt;&gt;""),$X711="")</formula>
    </cfRule>
  </conditionalFormatting>
  <conditionalFormatting sqref="Z711">
    <cfRule type="dataBar" priority="3075">
      <dataBar>
        <cfvo type="min"/>
        <cfvo type="max"/>
        <color rgb="FF63C384"/>
      </dataBar>
    </cfRule>
    <cfRule type="dataBar" priority="3074">
      <dataBar>
        <cfvo type="min"/>
        <cfvo type="max"/>
        <color rgb="FF63C384"/>
      </dataBar>
    </cfRule>
    <cfRule type="dataBar" priority="3070">
      <dataBar>
        <cfvo type="min"/>
        <cfvo type="max"/>
        <color rgb="FF63C384"/>
      </dataBar>
    </cfRule>
    <cfRule type="dataBar" priority="3069">
      <dataBar>
        <cfvo type="min"/>
        <cfvo type="max"/>
        <color rgb="FF63C384"/>
      </dataBar>
    </cfRule>
    <cfRule type="dataBar" priority="3057">
      <dataBar>
        <cfvo type="min"/>
        <cfvo type="max"/>
        <color rgb="FF63C384"/>
      </dataBar>
    </cfRule>
    <cfRule type="dataBar" priority="3056">
      <dataBar>
        <cfvo type="min"/>
        <cfvo type="max"/>
        <color rgb="FF63C384"/>
      </dataBar>
    </cfRule>
  </conditionalFormatting>
  <conditionalFormatting sqref="J712">
    <cfRule type="cellIs" priority="3055" operator="equal" dxfId="2034">
      <formula>"ja"</formula>
    </cfRule>
    <cfRule type="cellIs" priority="3048" operator="equal" dxfId="2034">
      <formula>"ja"</formula>
    </cfRule>
  </conditionalFormatting>
  <conditionalFormatting sqref="C712">
    <cfRule type="containsText" priority="3053" operator="containsText" dxfId="1" text="Einnahmen">
      <formula>NOT(ISERROR(SEARCH("Einnahmen",C712)))</formula>
    </cfRule>
    <cfRule type="containsText" priority="3054" operator="containsText" dxfId="0" text="Ausgaben">
      <formula>NOT(ISERROR(SEARCH("Ausgaben",C712)))</formula>
    </cfRule>
  </conditionalFormatting>
  <conditionalFormatting sqref="T712">
    <cfRule type="expression" priority="3052" dxfId="2">
      <formula>AND(AND($W712&lt;TODAY(),$W712&lt;&gt;""),$X712="")</formula>
    </cfRule>
    <cfRule type="expression" priority="3047" dxfId="2">
      <formula>AND(AND($W712&lt;TODAY(),$W712&lt;&gt;""),$X712="")</formula>
    </cfRule>
  </conditionalFormatting>
  <conditionalFormatting sqref="Z712">
    <cfRule type="dataBar" priority="3051">
      <dataBar>
        <cfvo type="min"/>
        <cfvo type="max"/>
        <color rgb="FF63C384"/>
      </dataBar>
    </cfRule>
    <cfRule type="dataBar" priority="3050">
      <dataBar>
        <cfvo type="min"/>
        <cfvo type="max"/>
        <color rgb="FF63C384"/>
      </dataBar>
    </cfRule>
    <cfRule type="dataBar" priority="3046">
      <dataBar>
        <cfvo type="min"/>
        <cfvo type="max"/>
        <color rgb="FF63C384"/>
      </dataBar>
    </cfRule>
    <cfRule type="dataBar" priority="3045">
      <dataBar>
        <cfvo type="min"/>
        <cfvo type="max"/>
        <color rgb="FF63C384"/>
      </dataBar>
    </cfRule>
  </conditionalFormatting>
  <conditionalFormatting sqref="J709">
    <cfRule type="cellIs" priority="3044" operator="equal" dxfId="2034">
      <formula>"ja"</formula>
    </cfRule>
  </conditionalFormatting>
  <conditionalFormatting sqref="C709">
    <cfRule type="containsText" priority="3042" operator="containsText" dxfId="1" text="Einnahmen">
      <formula>NOT(ISERROR(SEARCH("Einnahmen",C709)))</formula>
    </cfRule>
    <cfRule type="containsText" priority="3043" operator="containsText" dxfId="0" text="Ausgaben">
      <formula>NOT(ISERROR(SEARCH("Ausgaben",C709)))</formula>
    </cfRule>
  </conditionalFormatting>
  <conditionalFormatting sqref="T709">
    <cfRule type="expression" priority="3041" dxfId="2">
      <formula>AND(AND($W709&lt;TODAY(),$W709&lt;&gt;""),$X709="")</formula>
    </cfRule>
  </conditionalFormatting>
  <conditionalFormatting sqref="Z709">
    <cfRule type="dataBar" priority="3040">
      <dataBar>
        <cfvo type="min"/>
        <cfvo type="max"/>
        <color rgb="FF63C384"/>
      </dataBar>
    </cfRule>
    <cfRule type="dataBar" priority="3039">
      <dataBar>
        <cfvo type="min"/>
        <cfvo type="max"/>
        <color rgb="FF63C384"/>
      </dataBar>
    </cfRule>
  </conditionalFormatting>
  <conditionalFormatting sqref="J713">
    <cfRule type="cellIs" priority="3037" operator="equal" dxfId="2034">
      <formula>"ja"</formula>
    </cfRule>
    <cfRule type="cellIs" priority="3030" operator="equal" dxfId="2034">
      <formula>"ja"</formula>
    </cfRule>
  </conditionalFormatting>
  <conditionalFormatting sqref="T713">
    <cfRule type="expression" priority="3036" dxfId="2">
      <formula>AND(AND($W713&lt;TODAY(),$W713&lt;&gt;""),$X713="")</formula>
    </cfRule>
    <cfRule type="expression" priority="3033" dxfId="2">
      <formula>AND(AND($W713&lt;TODAY(),$W713&lt;&gt;""),$X713="")</formula>
    </cfRule>
  </conditionalFormatting>
  <conditionalFormatting sqref="Z713">
    <cfRule type="dataBar" priority="3035">
      <dataBar>
        <cfvo type="min"/>
        <cfvo type="max"/>
        <color rgb="FF63C384"/>
      </dataBar>
    </cfRule>
    <cfRule type="dataBar" priority="3034">
      <dataBar>
        <cfvo type="min"/>
        <cfvo type="max"/>
        <color rgb="FF63C384"/>
      </dataBar>
    </cfRule>
    <cfRule type="dataBar" priority="3032">
      <dataBar>
        <cfvo type="min"/>
        <cfvo type="max"/>
        <color rgb="FF63C384"/>
      </dataBar>
    </cfRule>
    <cfRule type="dataBar" priority="3031">
      <dataBar>
        <cfvo type="min"/>
        <cfvo type="max"/>
        <color rgb="FF63C384"/>
      </dataBar>
    </cfRule>
  </conditionalFormatting>
  <conditionalFormatting sqref="C713">
    <cfRule type="containsText" priority="3028" operator="containsText" dxfId="1" text="Einnahmen">
      <formula>NOT(ISERROR(SEARCH("Einnahmen",C713)))</formula>
    </cfRule>
    <cfRule type="containsText" priority="3029" operator="containsText" dxfId="0" text="Ausgaben">
      <formula>NOT(ISERROR(SEARCH("Ausgaben",C713)))</formula>
    </cfRule>
  </conditionalFormatting>
  <conditionalFormatting sqref="C714">
    <cfRule type="containsText" priority="3026" operator="containsText" dxfId="1" text="Einnahmen">
      <formula>NOT(ISERROR(SEARCH("Einnahmen",C714)))</formula>
    </cfRule>
    <cfRule type="containsText" priority="3027" operator="containsText" dxfId="0" text="Ausgaben">
      <formula>NOT(ISERROR(SEARCH("Ausgaben",C714)))</formula>
    </cfRule>
  </conditionalFormatting>
  <conditionalFormatting sqref="T714">
    <cfRule type="expression" priority="3025" dxfId="2">
      <formula>AND(AND($W714&lt;TODAY(),$W714&lt;&gt;""),$X714="")</formula>
    </cfRule>
  </conditionalFormatting>
  <conditionalFormatting sqref="J714">
    <cfRule type="cellIs" priority="3023" operator="equal" dxfId="2034">
      <formula>"ja"</formula>
    </cfRule>
  </conditionalFormatting>
  <conditionalFormatting sqref="Z714">
    <cfRule type="dataBar" priority="3022">
      <dataBar>
        <cfvo type="min"/>
        <cfvo type="max"/>
        <color rgb="FF63C384"/>
      </dataBar>
    </cfRule>
    <cfRule type="dataBar" priority="3021">
      <dataBar>
        <cfvo type="min"/>
        <cfvo type="max"/>
        <color rgb="FF63C384"/>
      </dataBar>
    </cfRule>
  </conditionalFormatting>
  <conditionalFormatting sqref="C715">
    <cfRule type="containsText" priority="3019" operator="containsText" dxfId="1" text="Einnahmen">
      <formula>NOT(ISERROR(SEARCH("Einnahmen",C715)))</formula>
    </cfRule>
    <cfRule type="containsText" priority="3020" operator="containsText" dxfId="0" text="Ausgaben">
      <formula>NOT(ISERROR(SEARCH("Ausgaben",C715)))</formula>
    </cfRule>
  </conditionalFormatting>
  <conditionalFormatting sqref="J715">
    <cfRule type="cellIs" priority="3017" operator="equal" dxfId="2034">
      <formula>"ja"</formula>
    </cfRule>
  </conditionalFormatting>
  <conditionalFormatting sqref="T715">
    <cfRule type="expression" priority="3016" dxfId="2">
      <formula>AND(AND($W715&lt;TODAY(),$W715&lt;&gt;""),$X715="")</formula>
    </cfRule>
  </conditionalFormatting>
  <conditionalFormatting sqref="Z715">
    <cfRule type="dataBar" priority="3015">
      <dataBar>
        <cfvo type="min"/>
        <cfvo type="max"/>
        <color rgb="FF63C384"/>
      </dataBar>
    </cfRule>
    <cfRule type="dataBar" priority="3014">
      <dataBar>
        <cfvo type="min"/>
        <cfvo type="max"/>
        <color rgb="FF63C384"/>
      </dataBar>
    </cfRule>
  </conditionalFormatting>
  <conditionalFormatting sqref="C716">
    <cfRule type="containsText" priority="3012" operator="containsText" dxfId="1" text="Einnahmen">
      <formula>NOT(ISERROR(SEARCH("Einnahmen",C716)))</formula>
    </cfRule>
    <cfRule type="containsText" priority="3013" operator="containsText" dxfId="0" text="Ausgaben">
      <formula>NOT(ISERROR(SEARCH("Ausgaben",C716)))</formula>
    </cfRule>
  </conditionalFormatting>
  <conditionalFormatting sqref="J716">
    <cfRule type="cellIs" priority="3010" operator="equal" dxfId="2034">
      <formula>"ja"</formula>
    </cfRule>
  </conditionalFormatting>
  <conditionalFormatting sqref="T716">
    <cfRule type="expression" priority="3009" dxfId="2">
      <formula>AND(AND($W716&lt;TODAY(),$W716&lt;&gt;""),$X716="")</formula>
    </cfRule>
  </conditionalFormatting>
  <conditionalFormatting sqref="Z716">
    <cfRule type="dataBar" priority="3008">
      <dataBar>
        <cfvo type="min"/>
        <cfvo type="max"/>
        <color rgb="FF63C384"/>
      </dataBar>
    </cfRule>
    <cfRule type="dataBar" priority="3007">
      <dataBar>
        <cfvo type="min"/>
        <cfvo type="max"/>
        <color rgb="FF63C384"/>
      </dataBar>
    </cfRule>
  </conditionalFormatting>
  <conditionalFormatting sqref="J717">
    <cfRule type="cellIs" priority="3006" operator="equal" dxfId="2034">
      <formula>"ja"</formula>
    </cfRule>
    <cfRule type="cellIs" priority="3002" operator="equal" dxfId="2034">
      <formula>"ja"</formula>
    </cfRule>
  </conditionalFormatting>
  <conditionalFormatting sqref="T717">
    <cfRule type="expression" priority="3005" dxfId="2">
      <formula>AND(AND($W717&lt;TODAY(),$W717&lt;&gt;""),$X717="")</formula>
    </cfRule>
    <cfRule type="expression" priority="3001" dxfId="2">
      <formula>AND(AND($W717&lt;TODAY(),$W717&lt;&gt;""),$X717="")</formula>
    </cfRule>
  </conditionalFormatting>
  <conditionalFormatting sqref="Z717">
    <cfRule type="dataBar" priority="3004">
      <dataBar>
        <cfvo type="min"/>
        <cfvo type="max"/>
        <color rgb="FF63C384"/>
      </dataBar>
    </cfRule>
    <cfRule type="dataBar" priority="3003">
      <dataBar>
        <cfvo type="min"/>
        <cfvo type="max"/>
        <color rgb="FF63C384"/>
      </dataBar>
    </cfRule>
    <cfRule type="dataBar" priority="3000">
      <dataBar>
        <cfvo type="min"/>
        <cfvo type="max"/>
        <color rgb="FF63C384"/>
      </dataBar>
    </cfRule>
    <cfRule type="dataBar" priority="2999">
      <dataBar>
        <cfvo type="min"/>
        <cfvo type="max"/>
        <color rgb="FF63C384"/>
      </dataBar>
    </cfRule>
  </conditionalFormatting>
  <conditionalFormatting sqref="C717">
    <cfRule type="containsText" priority="2997" operator="containsText" dxfId="1" text="Einnahmen">
      <formula>NOT(ISERROR(SEARCH("Einnahmen",C717)))</formula>
    </cfRule>
    <cfRule type="containsText" priority="2998" operator="containsText" dxfId="0" text="Ausgaben">
      <formula>NOT(ISERROR(SEARCH("Ausgaben",C717)))</formula>
    </cfRule>
  </conditionalFormatting>
  <conditionalFormatting sqref="T718">
    <cfRule type="expression" priority="2980" dxfId="2">
      <formula>AND(AND($W718&lt;TODAY(),$W718&lt;&gt;""),$X718="")</formula>
    </cfRule>
  </conditionalFormatting>
  <conditionalFormatting sqref="Z718">
    <cfRule type="dataBar" priority="2979">
      <dataBar>
        <cfvo type="min"/>
        <cfvo type="max"/>
        <color rgb="FF63C384"/>
      </dataBar>
    </cfRule>
    <cfRule type="dataBar" priority="2978">
      <dataBar>
        <cfvo type="min"/>
        <cfvo type="max"/>
        <color rgb="FF63C384"/>
      </dataBar>
    </cfRule>
  </conditionalFormatting>
  <conditionalFormatting sqref="J718">
    <cfRule type="cellIs" priority="2977" operator="equal" dxfId="2034">
      <formula>"ja"</formula>
    </cfRule>
  </conditionalFormatting>
  <conditionalFormatting sqref="C718">
    <cfRule type="containsText" priority="2975" operator="containsText" dxfId="1" text="Einnahmen">
      <formula>NOT(ISERROR(SEARCH("Einnahmen",C718)))</formula>
    </cfRule>
    <cfRule type="containsText" priority="2976" operator="containsText" dxfId="0" text="Ausgaben">
      <formula>NOT(ISERROR(SEARCH("Ausgaben",C718)))</formula>
    </cfRule>
  </conditionalFormatting>
  <conditionalFormatting sqref="C719">
    <cfRule type="containsText" priority="2973" operator="containsText" dxfId="1" text="Einnahmen">
      <formula>NOT(ISERROR(SEARCH("Einnahmen",C719)))</formula>
    </cfRule>
    <cfRule type="containsText" priority="2974" operator="containsText" dxfId="0" text="Ausgaben">
      <formula>NOT(ISERROR(SEARCH("Ausgaben",C719)))</formula>
    </cfRule>
  </conditionalFormatting>
  <conditionalFormatting sqref="J719">
    <cfRule type="cellIs" priority="2972" operator="equal" dxfId="2034">
      <formula>"ja"</formula>
    </cfRule>
    <cfRule type="cellIs" priority="2967" operator="equal" dxfId="2034">
      <formula>"ja"</formula>
    </cfRule>
  </conditionalFormatting>
  <conditionalFormatting sqref="T719">
    <cfRule type="expression" priority="2971" dxfId="2">
      <formula>AND(AND($W719&lt;TODAY(),$W719&lt;&gt;""),$X719="")</formula>
    </cfRule>
    <cfRule type="expression" priority="2968" dxfId="2">
      <formula>AND(AND($W719&lt;TODAY(),$W719&lt;&gt;""),$X719="")</formula>
    </cfRule>
  </conditionalFormatting>
  <conditionalFormatting sqref="Z719">
    <cfRule type="dataBar" priority="2970">
      <dataBar>
        <cfvo type="min"/>
        <cfvo type="max"/>
        <color rgb="FF63C384"/>
      </dataBar>
    </cfRule>
    <cfRule type="dataBar" priority="2969">
      <dataBar>
        <cfvo type="min"/>
        <cfvo type="max"/>
        <color rgb="FF63C384"/>
      </dataBar>
    </cfRule>
    <cfRule type="dataBar" priority="2966">
      <dataBar>
        <cfvo type="min"/>
        <cfvo type="max"/>
        <color rgb="FF63C384"/>
      </dataBar>
    </cfRule>
    <cfRule type="dataBar" priority="2965">
      <dataBar>
        <cfvo type="min"/>
        <cfvo type="max"/>
        <color rgb="FF63C384"/>
      </dataBar>
    </cfRule>
  </conditionalFormatting>
  <conditionalFormatting sqref="J720">
    <cfRule type="cellIs" priority="2964" operator="equal" dxfId="2034">
      <formula>"ja"</formula>
    </cfRule>
  </conditionalFormatting>
  <conditionalFormatting sqref="C720">
    <cfRule type="containsText" priority="2962" operator="containsText" dxfId="1" text="Einnahmen">
      <formula>NOT(ISERROR(SEARCH("Einnahmen",C720)))</formula>
    </cfRule>
    <cfRule type="containsText" priority="2963" operator="containsText" dxfId="0" text="Ausgaben">
      <formula>NOT(ISERROR(SEARCH("Ausgaben",C720)))</formula>
    </cfRule>
  </conditionalFormatting>
  <conditionalFormatting sqref="T720">
    <cfRule type="expression" priority="2961" dxfId="2">
      <formula>AND(AND($W720&lt;TODAY(),$W720&lt;&gt;""),$X720="")</formula>
    </cfRule>
  </conditionalFormatting>
  <conditionalFormatting sqref="Z720">
    <cfRule type="dataBar" priority="2960">
      <dataBar>
        <cfvo type="min"/>
        <cfvo type="max"/>
        <color rgb="FF63C384"/>
      </dataBar>
    </cfRule>
    <cfRule type="dataBar" priority="2959">
      <dataBar>
        <cfvo type="min"/>
        <cfvo type="max"/>
        <color rgb="FF63C384"/>
      </dataBar>
    </cfRule>
  </conditionalFormatting>
  <conditionalFormatting sqref="C721">
    <cfRule type="containsText" priority="2957" operator="containsText" dxfId="1" text="Einnahmen">
      <formula>NOT(ISERROR(SEARCH("Einnahmen",C721)))</formula>
    </cfRule>
    <cfRule type="containsText" priority="2958" operator="containsText" dxfId="0" text="Ausgaben">
      <formula>NOT(ISERROR(SEARCH("Ausgaben",C721)))</formula>
    </cfRule>
  </conditionalFormatting>
  <conditionalFormatting sqref="J721">
    <cfRule type="cellIs" priority="2956" operator="equal" dxfId="2034">
      <formula>"ja"</formula>
    </cfRule>
  </conditionalFormatting>
  <conditionalFormatting sqref="T721">
    <cfRule type="expression" priority="2955" dxfId="2">
      <formula>AND(AND($W721&lt;TODAY(),$W721&lt;&gt;""),$X721="")</formula>
    </cfRule>
  </conditionalFormatting>
  <conditionalFormatting sqref="Z721">
    <cfRule type="dataBar" priority="2954">
      <dataBar>
        <cfvo type="min"/>
        <cfvo type="max"/>
        <color rgb="FF63C384"/>
      </dataBar>
    </cfRule>
    <cfRule type="dataBar" priority="2953">
      <dataBar>
        <cfvo type="min"/>
        <cfvo type="max"/>
        <color rgb="FF63C384"/>
      </dataBar>
    </cfRule>
  </conditionalFormatting>
  <conditionalFormatting sqref="C722">
    <cfRule type="containsText" priority="2951" operator="containsText" dxfId="1" text="Einnahmen">
      <formula>NOT(ISERROR(SEARCH("Einnahmen",C722)))</formula>
    </cfRule>
    <cfRule type="containsText" priority="2952" operator="containsText" dxfId="0" text="Ausgaben">
      <formula>NOT(ISERROR(SEARCH("Ausgaben",C722)))</formula>
    </cfRule>
  </conditionalFormatting>
  <conditionalFormatting sqref="T722">
    <cfRule type="expression" priority="2950" dxfId="2">
      <formula>AND(AND($W722&lt;TODAY(),$W722&lt;&gt;""),$X722="")</formula>
    </cfRule>
    <cfRule type="expression" priority="2945" dxfId="2">
      <formula>AND(AND($W722&lt;TODAY(),$W722&lt;&gt;""),$X722="")</formula>
    </cfRule>
  </conditionalFormatting>
  <conditionalFormatting sqref="J722">
    <cfRule type="cellIs" priority="2949" operator="equal" dxfId="2034">
      <formula>"ja"</formula>
    </cfRule>
    <cfRule type="cellIs" priority="2946" operator="equal" dxfId="2034">
      <formula>"ja"</formula>
    </cfRule>
  </conditionalFormatting>
  <conditionalFormatting sqref="Z722">
    <cfRule type="dataBar" priority="2948">
      <dataBar>
        <cfvo type="min"/>
        <cfvo type="max"/>
        <color rgb="FF63C384"/>
      </dataBar>
    </cfRule>
    <cfRule type="dataBar" priority="2947">
      <dataBar>
        <cfvo type="min"/>
        <cfvo type="max"/>
        <color rgb="FF63C384"/>
      </dataBar>
    </cfRule>
    <cfRule type="dataBar" priority="2944">
      <dataBar>
        <cfvo type="min"/>
        <cfvo type="max"/>
        <color rgb="FF63C384"/>
      </dataBar>
    </cfRule>
    <cfRule type="dataBar" priority="2943">
      <dataBar>
        <cfvo type="min"/>
        <cfvo type="max"/>
        <color rgb="FF63C384"/>
      </dataBar>
    </cfRule>
  </conditionalFormatting>
  <conditionalFormatting sqref="J723">
    <cfRule type="cellIs" priority="2942" operator="equal" dxfId="2034">
      <formula>"ja"</formula>
    </cfRule>
  </conditionalFormatting>
  <conditionalFormatting sqref="C723">
    <cfRule type="containsText" priority="2940" operator="containsText" dxfId="1" text="Einnahmen">
      <formula>NOT(ISERROR(SEARCH("Einnahmen",C723)))</formula>
    </cfRule>
    <cfRule type="containsText" priority="2941" operator="containsText" dxfId="0" text="Ausgaben">
      <formula>NOT(ISERROR(SEARCH("Ausgaben",C723)))</formula>
    </cfRule>
  </conditionalFormatting>
  <conditionalFormatting sqref="T723">
    <cfRule type="expression" priority="2939" dxfId="2">
      <formula>AND(AND($W723&lt;TODAY(),$W723&lt;&gt;""),$X723="")</formula>
    </cfRule>
  </conditionalFormatting>
  <conditionalFormatting sqref="Z723">
    <cfRule type="dataBar" priority="2938">
      <dataBar>
        <cfvo type="min"/>
        <cfvo type="max"/>
        <color rgb="FF63C384"/>
      </dataBar>
    </cfRule>
    <cfRule type="dataBar" priority="2937">
      <dataBar>
        <cfvo type="min"/>
        <cfvo type="max"/>
        <color rgb="FF63C384"/>
      </dataBar>
    </cfRule>
  </conditionalFormatting>
  <conditionalFormatting sqref="C724">
    <cfRule type="containsText" priority="2935" operator="containsText" dxfId="1" text="Einnahmen">
      <formula>NOT(ISERROR(SEARCH("Einnahmen",C724)))</formula>
    </cfRule>
    <cfRule type="containsText" priority="2936" operator="containsText" dxfId="0" text="Ausgaben">
      <formula>NOT(ISERROR(SEARCH("Ausgaben",C724)))</formula>
    </cfRule>
  </conditionalFormatting>
  <conditionalFormatting sqref="J724">
    <cfRule type="cellIs" priority="2934" operator="equal" dxfId="2034">
      <formula>"ja"</formula>
    </cfRule>
    <cfRule type="cellIs" priority="2922" operator="equal" dxfId="2034">
      <formula>"ja"</formula>
    </cfRule>
    <cfRule type="cellIs" priority="2930" operator="equal" dxfId="2034">
      <formula>"ja"</formula>
    </cfRule>
    <cfRule type="cellIs" priority="2926" operator="equal" dxfId="2034">
      <formula>"ja"</formula>
    </cfRule>
  </conditionalFormatting>
  <conditionalFormatting sqref="T724">
    <cfRule type="expression" priority="2921" dxfId="2">
      <formula>AND(AND($W724&lt;TODAY(),$W724&lt;&gt;""),$X724="")</formula>
    </cfRule>
    <cfRule type="expression" priority="2933" dxfId="2">
      <formula>AND(AND($W724&lt;TODAY(),$W724&lt;&gt;""),$X724="")</formula>
    </cfRule>
    <cfRule type="expression" priority="2929" dxfId="2">
      <formula>AND(AND($W724&lt;TODAY(),$W724&lt;&gt;""),$X724="")</formula>
    </cfRule>
    <cfRule type="expression" priority="2925" dxfId="2">
      <formula>AND(AND($W724&lt;TODAY(),$W724&lt;&gt;""),$X724="")</formula>
    </cfRule>
  </conditionalFormatting>
  <conditionalFormatting sqref="Z724">
    <cfRule type="dataBar" priority="2932">
      <dataBar>
        <cfvo type="min"/>
        <cfvo type="max"/>
        <color rgb="FF63C384"/>
      </dataBar>
    </cfRule>
    <cfRule type="dataBar" priority="2931">
      <dataBar>
        <cfvo type="min"/>
        <cfvo type="max"/>
        <color rgb="FF63C384"/>
      </dataBar>
    </cfRule>
    <cfRule type="dataBar" priority="2928">
      <dataBar>
        <cfvo type="min"/>
        <cfvo type="max"/>
        <color rgb="FF63C384"/>
      </dataBar>
    </cfRule>
    <cfRule type="dataBar" priority="2927">
      <dataBar>
        <cfvo type="min"/>
        <cfvo type="max"/>
        <color rgb="FF63C384"/>
      </dataBar>
    </cfRule>
    <cfRule type="dataBar" priority="2924">
      <dataBar>
        <cfvo type="min"/>
        <cfvo type="max"/>
        <color rgb="FF63C384"/>
      </dataBar>
    </cfRule>
    <cfRule type="dataBar" priority="2923">
      <dataBar>
        <cfvo type="min"/>
        <cfvo type="max"/>
        <color rgb="FF63C384"/>
      </dataBar>
    </cfRule>
    <cfRule type="dataBar" priority="2920">
      <dataBar>
        <cfvo type="min"/>
        <cfvo type="max"/>
        <color rgb="FF63C384"/>
      </dataBar>
    </cfRule>
    <cfRule type="dataBar" priority="2919">
      <dataBar>
        <cfvo type="min"/>
        <cfvo type="max"/>
        <color rgb="FF63C384"/>
      </dataBar>
    </cfRule>
  </conditionalFormatting>
  <conditionalFormatting sqref="C725">
    <cfRule type="containsText" priority="2917" operator="containsText" dxfId="1" text="Einnahmen">
      <formula>NOT(ISERROR(SEARCH("Einnahmen",C725)))</formula>
    </cfRule>
    <cfRule type="containsText" priority="2918" operator="containsText" dxfId="0" text="Ausgaben">
      <formula>NOT(ISERROR(SEARCH("Ausgaben",C725)))</formula>
    </cfRule>
  </conditionalFormatting>
  <conditionalFormatting sqref="J725">
    <cfRule type="cellIs" priority="2916" operator="equal" dxfId="2034">
      <formula>"ja"</formula>
    </cfRule>
    <cfRule type="cellIs" priority="2909" operator="equal" dxfId="2034">
      <formula>"ja"</formula>
    </cfRule>
  </conditionalFormatting>
  <conditionalFormatting sqref="T725">
    <cfRule type="expression" priority="2915" dxfId="2">
      <formula>AND(AND($W725&lt;TODAY(),$W725&lt;&gt;""),$X725="")</formula>
    </cfRule>
    <cfRule type="expression" priority="2912" dxfId="2">
      <formula>AND(AND($W725&lt;TODAY(),$W725&lt;&gt;""),$X725="")</formula>
    </cfRule>
  </conditionalFormatting>
  <conditionalFormatting sqref="Z725">
    <cfRule type="dataBar" priority="2914">
      <dataBar>
        <cfvo type="min"/>
        <cfvo type="max"/>
        <color rgb="FF63C384"/>
      </dataBar>
    </cfRule>
    <cfRule type="dataBar" priority="2913">
      <dataBar>
        <cfvo type="min"/>
        <cfvo type="max"/>
        <color rgb="FF63C384"/>
      </dataBar>
    </cfRule>
    <cfRule type="dataBar" priority="2911">
      <dataBar>
        <cfvo type="min"/>
        <cfvo type="max"/>
        <color rgb="FF63C384"/>
      </dataBar>
    </cfRule>
    <cfRule type="dataBar" priority="2910">
      <dataBar>
        <cfvo type="min"/>
        <cfvo type="max"/>
        <color rgb="FF63C384"/>
      </dataBar>
    </cfRule>
  </conditionalFormatting>
  <conditionalFormatting sqref="T726">
    <cfRule type="expression" priority="2905" dxfId="2">
      <formula>AND(AND($W726&lt;TODAY(),$W726&lt;&gt;""),$X726="")</formula>
    </cfRule>
  </conditionalFormatting>
  <conditionalFormatting sqref="C726">
    <cfRule type="containsText" priority="2907" operator="containsText" dxfId="1" text="Einnahmen">
      <formula>NOT(ISERROR(SEARCH("Einnahmen",C726)))</formula>
    </cfRule>
    <cfRule type="containsText" priority="2908" operator="containsText" dxfId="0" text="Ausgaben">
      <formula>NOT(ISERROR(SEARCH("Ausgaben",C726)))</formula>
    </cfRule>
  </conditionalFormatting>
  <conditionalFormatting sqref="J726">
    <cfRule type="cellIs" priority="2906" operator="equal" dxfId="2034">
      <formula>"ja"</formula>
    </cfRule>
  </conditionalFormatting>
  <conditionalFormatting sqref="Z726">
    <cfRule type="dataBar" priority="2904">
      <dataBar>
        <cfvo type="min"/>
        <cfvo type="max"/>
        <color rgb="FF63C384"/>
      </dataBar>
    </cfRule>
    <cfRule type="dataBar" priority="2903">
      <dataBar>
        <cfvo type="min"/>
        <cfvo type="max"/>
        <color rgb="FF63C384"/>
      </dataBar>
    </cfRule>
  </conditionalFormatting>
  <conditionalFormatting sqref="C727">
    <cfRule type="containsText" priority="2901" operator="containsText" dxfId="1" text="Einnahmen">
      <formula>NOT(ISERROR(SEARCH("Einnahmen",C727)))</formula>
    </cfRule>
    <cfRule type="containsText" priority="2902" operator="containsText" dxfId="0" text="Ausgaben">
      <formula>NOT(ISERROR(SEARCH("Ausgaben",C727)))</formula>
    </cfRule>
  </conditionalFormatting>
  <conditionalFormatting sqref="J727">
    <cfRule type="cellIs" priority="2900" operator="equal" dxfId="2034">
      <formula>"ja"</formula>
    </cfRule>
  </conditionalFormatting>
  <conditionalFormatting sqref="T727">
    <cfRule type="expression" priority="2899" dxfId="2">
      <formula>AND(AND($W727&lt;TODAY(),$W727&lt;&gt;""),$X727="")</formula>
    </cfRule>
  </conditionalFormatting>
  <conditionalFormatting sqref="Z727">
    <cfRule type="dataBar" priority="2898">
      <dataBar>
        <cfvo type="min"/>
        <cfvo type="max"/>
        <color rgb="FF63C384"/>
      </dataBar>
    </cfRule>
    <cfRule type="dataBar" priority="2897">
      <dataBar>
        <cfvo type="min"/>
        <cfvo type="max"/>
        <color rgb="FF63C384"/>
      </dataBar>
    </cfRule>
  </conditionalFormatting>
  <conditionalFormatting sqref="J728">
    <cfRule type="cellIs" priority="2896" operator="equal" dxfId="2034">
      <formula>"ja"</formula>
    </cfRule>
  </conditionalFormatting>
  <conditionalFormatting sqref="C728">
    <cfRule type="containsText" priority="2894" operator="containsText" dxfId="1" text="Einnahmen">
      <formula>NOT(ISERROR(SEARCH("Einnahmen",C728)))</formula>
    </cfRule>
    <cfRule type="containsText" priority="2895" operator="containsText" dxfId="0" text="Ausgaben">
      <formula>NOT(ISERROR(SEARCH("Ausgaben",C728)))</formula>
    </cfRule>
  </conditionalFormatting>
  <conditionalFormatting sqref="T728">
    <cfRule type="expression" priority="2893" dxfId="2">
      <formula>AND(AND($W728&lt;TODAY(),$W728&lt;&gt;""),$X728="")</formula>
    </cfRule>
  </conditionalFormatting>
  <conditionalFormatting sqref="Z728">
    <cfRule type="dataBar" priority="2892">
      <dataBar>
        <cfvo type="min"/>
        <cfvo type="max"/>
        <color rgb="FF63C384"/>
      </dataBar>
    </cfRule>
    <cfRule type="dataBar" priority="2891">
      <dataBar>
        <cfvo type="min"/>
        <cfvo type="max"/>
        <color rgb="FF63C384"/>
      </dataBar>
    </cfRule>
  </conditionalFormatting>
  <conditionalFormatting sqref="J729">
    <cfRule type="cellIs" priority="2890" operator="equal" dxfId="2034">
      <formula>"ja"</formula>
    </cfRule>
    <cfRule type="cellIs" priority="2881" operator="equal" dxfId="2034">
      <formula>"ja"</formula>
    </cfRule>
  </conditionalFormatting>
  <conditionalFormatting sqref="C729">
    <cfRule type="containsText" priority="2888" operator="containsText" dxfId="1" text="Einnahmen">
      <formula>NOT(ISERROR(SEARCH("Einnahmen",C729)))</formula>
    </cfRule>
    <cfRule type="containsText" priority="2889" operator="containsText" dxfId="0" text="Ausgaben">
      <formula>NOT(ISERROR(SEARCH("Ausgaben",C729)))</formula>
    </cfRule>
    <cfRule type="containsText" priority="2883" operator="containsText" dxfId="1" text="Einnahmen">
      <formula>NOT(ISERROR(SEARCH("Einnahmen",C729)))</formula>
    </cfRule>
    <cfRule type="containsText" priority="2884" operator="containsText" dxfId="0" text="Ausgaben">
      <formula>NOT(ISERROR(SEARCH("Ausgaben",C729)))</formula>
    </cfRule>
  </conditionalFormatting>
  <conditionalFormatting sqref="T729">
    <cfRule type="expression" priority="2887" dxfId="2">
      <formula>AND(AND($W729&lt;TODAY(),$W729&lt;&gt;""),$X729="")</formula>
    </cfRule>
    <cfRule type="expression" priority="2882" dxfId="2">
      <formula>AND(AND($W729&lt;TODAY(),$W729&lt;&gt;""),$X729="")</formula>
    </cfRule>
  </conditionalFormatting>
  <conditionalFormatting sqref="Z729">
    <cfRule type="dataBar" priority="2886">
      <dataBar>
        <cfvo type="min"/>
        <cfvo type="max"/>
        <color rgb="FF63C384"/>
      </dataBar>
    </cfRule>
    <cfRule type="dataBar" priority="2885">
      <dataBar>
        <cfvo type="min"/>
        <cfvo type="max"/>
        <color rgb="FF63C384"/>
      </dataBar>
    </cfRule>
    <cfRule type="dataBar" priority="2880">
      <dataBar>
        <cfvo type="min"/>
        <cfvo type="max"/>
        <color rgb="FF63C384"/>
      </dataBar>
    </cfRule>
    <cfRule type="dataBar" priority="2879">
      <dataBar>
        <cfvo type="min"/>
        <cfvo type="max"/>
        <color rgb="FF63C384"/>
      </dataBar>
    </cfRule>
  </conditionalFormatting>
  <conditionalFormatting sqref="J730">
    <cfRule type="cellIs" priority="2878" operator="equal" dxfId="2034">
      <formula>"ja"</formula>
    </cfRule>
    <cfRule type="cellIs" priority="2872" operator="equal" dxfId="2034">
      <formula>"ja"</formula>
    </cfRule>
    <cfRule type="cellIs" priority="2868" operator="equal" dxfId="2034">
      <formula>"ja"</formula>
    </cfRule>
  </conditionalFormatting>
  <conditionalFormatting sqref="C730">
    <cfRule type="containsText" priority="2876" operator="containsText" dxfId="1" text="Einnahmen">
      <formula>NOT(ISERROR(SEARCH("Einnahmen",C730)))</formula>
    </cfRule>
    <cfRule type="containsText" priority="2877" operator="containsText" dxfId="0" text="Ausgaben">
      <formula>NOT(ISERROR(SEARCH("Ausgaben",C730)))</formula>
    </cfRule>
    <cfRule type="containsText" priority="2866" operator="containsText" dxfId="1" text="Einnahmen">
      <formula>NOT(ISERROR(SEARCH("Einnahmen",C730)))</formula>
    </cfRule>
    <cfRule type="containsText" priority="2867" operator="containsText" dxfId="0" text="Ausgaben">
      <formula>NOT(ISERROR(SEARCH("Ausgaben",C730)))</formula>
    </cfRule>
  </conditionalFormatting>
  <conditionalFormatting sqref="T730">
    <cfRule type="expression" priority="2875" dxfId="2">
      <formula>AND(AND($W730&lt;TODAY(),$W730&lt;&gt;""),$X730="")</formula>
    </cfRule>
    <cfRule type="expression" priority="2871" dxfId="2">
      <formula>AND(AND($W730&lt;TODAY(),$W730&lt;&gt;""),$X730="")</formula>
    </cfRule>
    <cfRule type="expression" priority="2865" dxfId="2">
      <formula>AND(AND($W730&lt;TODAY(),$W730&lt;&gt;""),$X730="")</formula>
    </cfRule>
  </conditionalFormatting>
  <conditionalFormatting sqref="Z730">
    <cfRule type="dataBar" priority="2874">
      <dataBar>
        <cfvo type="min"/>
        <cfvo type="max"/>
        <color rgb="FF63C384"/>
      </dataBar>
    </cfRule>
    <cfRule type="dataBar" priority="2873">
      <dataBar>
        <cfvo type="min"/>
        <cfvo type="max"/>
        <color rgb="FF63C384"/>
      </dataBar>
    </cfRule>
    <cfRule type="dataBar" priority="2870">
      <dataBar>
        <cfvo type="min"/>
        <cfvo type="max"/>
        <color rgb="FF63C384"/>
      </dataBar>
    </cfRule>
    <cfRule type="dataBar" priority="2869">
      <dataBar>
        <cfvo type="min"/>
        <cfvo type="max"/>
        <color rgb="FF63C384"/>
      </dataBar>
    </cfRule>
    <cfRule type="dataBar" priority="2864">
      <dataBar>
        <cfvo type="min"/>
        <cfvo type="max"/>
        <color rgb="FF63C384"/>
      </dataBar>
    </cfRule>
    <cfRule type="dataBar" priority="2863">
      <dataBar>
        <cfvo type="min"/>
        <cfvo type="max"/>
        <color rgb="FF63C384"/>
      </dataBar>
    </cfRule>
  </conditionalFormatting>
  <conditionalFormatting sqref="J731">
    <cfRule type="cellIs" priority="2862" operator="equal" dxfId="2034">
      <formula>"ja"</formula>
    </cfRule>
    <cfRule type="cellIs" priority="2856" operator="equal" dxfId="2034">
      <formula>"ja"</formula>
    </cfRule>
  </conditionalFormatting>
  <conditionalFormatting sqref="C731">
    <cfRule type="containsText" priority="2860" operator="containsText" dxfId="1" text="Einnahmen">
      <formula>NOT(ISERROR(SEARCH("Einnahmen",C731)))</formula>
    </cfRule>
    <cfRule type="containsText" priority="2861" operator="containsText" dxfId="0" text="Ausgaben">
      <formula>NOT(ISERROR(SEARCH("Ausgaben",C731)))</formula>
    </cfRule>
  </conditionalFormatting>
  <conditionalFormatting sqref="T731">
    <cfRule type="expression" priority="2859" dxfId="2">
      <formula>AND(AND($W731&lt;TODAY(),$W731&lt;&gt;""),$X731="")</formula>
    </cfRule>
    <cfRule type="expression" priority="2855" dxfId="2">
      <formula>AND(AND($W731&lt;TODAY(),$W731&lt;&gt;""),$X731="")</formula>
    </cfRule>
  </conditionalFormatting>
  <conditionalFormatting sqref="Z731">
    <cfRule type="dataBar" priority="2858">
      <dataBar>
        <cfvo type="min"/>
        <cfvo type="max"/>
        <color rgb="FF63C384"/>
      </dataBar>
    </cfRule>
    <cfRule type="dataBar" priority="2857">
      <dataBar>
        <cfvo type="min"/>
        <cfvo type="max"/>
        <color rgb="FF63C384"/>
      </dataBar>
    </cfRule>
    <cfRule type="dataBar" priority="2854">
      <dataBar>
        <cfvo type="min"/>
        <cfvo type="max"/>
        <color rgb="FF63C384"/>
      </dataBar>
    </cfRule>
    <cfRule type="dataBar" priority="2853">
      <dataBar>
        <cfvo type="min"/>
        <cfvo type="max"/>
        <color rgb="FF63C384"/>
      </dataBar>
    </cfRule>
  </conditionalFormatting>
  <conditionalFormatting sqref="J732">
    <cfRule type="cellIs" priority="2852" operator="equal" dxfId="2034">
      <formula>"ja"</formula>
    </cfRule>
    <cfRule type="cellIs" priority="2845" operator="equal" dxfId="2034">
      <formula>"ja"</formula>
    </cfRule>
  </conditionalFormatting>
  <conditionalFormatting sqref="T732">
    <cfRule type="expression" priority="2851" dxfId="2">
      <formula>AND(AND($W732&lt;TODAY(),$W732&lt;&gt;""),$X732="")</formula>
    </cfRule>
    <cfRule type="expression" priority="2848" dxfId="2">
      <formula>AND(AND($W732&lt;TODAY(),$W732&lt;&gt;""),$X732="")</formula>
    </cfRule>
  </conditionalFormatting>
  <conditionalFormatting sqref="Z732">
    <cfRule type="dataBar" priority="2850">
      <dataBar>
        <cfvo type="min"/>
        <cfvo type="max"/>
        <color rgb="FF63C384"/>
      </dataBar>
    </cfRule>
    <cfRule type="dataBar" priority="2849">
      <dataBar>
        <cfvo type="min"/>
        <cfvo type="max"/>
        <color rgb="FF63C384"/>
      </dataBar>
    </cfRule>
    <cfRule type="dataBar" priority="2847">
      <dataBar>
        <cfvo type="min"/>
        <cfvo type="max"/>
        <color rgb="FF63C384"/>
      </dataBar>
    </cfRule>
    <cfRule type="dataBar" priority="2846">
      <dataBar>
        <cfvo type="min"/>
        <cfvo type="max"/>
        <color rgb="FF63C384"/>
      </dataBar>
    </cfRule>
  </conditionalFormatting>
  <conditionalFormatting sqref="C732">
    <cfRule type="containsText" priority="2843" operator="containsText" dxfId="1" text="Einnahmen">
      <formula>NOT(ISERROR(SEARCH("Einnahmen",C732)))</formula>
    </cfRule>
    <cfRule type="containsText" priority="2844" operator="containsText" dxfId="0" text="Ausgaben">
      <formula>NOT(ISERROR(SEARCH("Ausgaben",C732)))</formula>
    </cfRule>
  </conditionalFormatting>
  <conditionalFormatting sqref="T733">
    <cfRule type="expression" priority="2842" dxfId="2">
      <formula>AND(AND($W733&lt;TODAY(),$W733&lt;&gt;""),$X733="")</formula>
    </cfRule>
  </conditionalFormatting>
  <conditionalFormatting sqref="Z733">
    <cfRule type="dataBar" priority="2841">
      <dataBar>
        <cfvo type="min"/>
        <cfvo type="max"/>
        <color rgb="FF63C384"/>
      </dataBar>
    </cfRule>
    <cfRule type="dataBar" priority="2840">
      <dataBar>
        <cfvo type="min"/>
        <cfvo type="max"/>
        <color rgb="FF63C384"/>
      </dataBar>
    </cfRule>
  </conditionalFormatting>
  <conditionalFormatting sqref="C734">
    <cfRule type="containsText" priority="2838" operator="containsText" dxfId="1" text="Einnahmen">
      <formula>NOT(ISERROR(SEARCH("Einnahmen",C734)))</formula>
    </cfRule>
    <cfRule type="containsText" priority="2839" operator="containsText" dxfId="0" text="Ausgaben">
      <formula>NOT(ISERROR(SEARCH("Ausgaben",C734)))</formula>
    </cfRule>
  </conditionalFormatting>
  <conditionalFormatting sqref="T734">
    <cfRule type="expression" priority="2837" dxfId="2">
      <formula>AND(AND($W734&lt;TODAY(),$W734&lt;&gt;""),$X734="")</formula>
    </cfRule>
  </conditionalFormatting>
  <conditionalFormatting sqref="Z734">
    <cfRule type="dataBar" priority="2836">
      <dataBar>
        <cfvo type="min"/>
        <cfvo type="max"/>
        <color rgb="FF63C384"/>
      </dataBar>
    </cfRule>
    <cfRule type="dataBar" priority="2835">
      <dataBar>
        <cfvo type="min"/>
        <cfvo type="max"/>
        <color rgb="FF63C384"/>
      </dataBar>
    </cfRule>
  </conditionalFormatting>
  <conditionalFormatting sqref="J735:J736">
    <cfRule type="cellIs" priority="2834" operator="equal" dxfId="2034">
      <formula>"ja"</formula>
    </cfRule>
  </conditionalFormatting>
  <conditionalFormatting sqref="T735:T736">
    <cfRule type="expression" priority="2833" dxfId="2">
      <formula>AND(AND($W735&lt;TODAY(),$W735&lt;&gt;""),$X735="")</formula>
    </cfRule>
  </conditionalFormatting>
  <conditionalFormatting sqref="Z735:Z736">
    <cfRule type="dataBar" priority="2832">
      <dataBar>
        <cfvo type="min"/>
        <cfvo type="max"/>
        <color rgb="FF63C384"/>
      </dataBar>
    </cfRule>
    <cfRule type="dataBar" priority="2831">
      <dataBar>
        <cfvo type="min"/>
        <cfvo type="max"/>
        <color rgb="FF63C384"/>
      </dataBar>
    </cfRule>
  </conditionalFormatting>
  <conditionalFormatting sqref="C735:C736">
    <cfRule type="containsText" priority="2829" operator="containsText" dxfId="1" text="Einnahmen">
      <formula>NOT(ISERROR(SEARCH("Einnahmen",C735)))</formula>
    </cfRule>
    <cfRule type="containsText" priority="2830" operator="containsText" dxfId="0" text="Ausgaben">
      <formula>NOT(ISERROR(SEARCH("Ausgaben",C735)))</formula>
    </cfRule>
  </conditionalFormatting>
  <conditionalFormatting sqref="T737">
    <cfRule type="expression" priority="2828" dxfId="2">
      <formula>AND(AND($W737&lt;TODAY(),$W737&lt;&gt;""),$X737="")</formula>
    </cfRule>
  </conditionalFormatting>
  <conditionalFormatting sqref="Z737">
    <cfRule type="dataBar" priority="2827">
      <dataBar>
        <cfvo type="min"/>
        <cfvo type="max"/>
        <color rgb="FF63C384"/>
      </dataBar>
    </cfRule>
    <cfRule type="dataBar" priority="2826">
      <dataBar>
        <cfvo type="min"/>
        <cfvo type="max"/>
        <color rgb="FF63C384"/>
      </dataBar>
    </cfRule>
  </conditionalFormatting>
  <conditionalFormatting sqref="J737">
    <cfRule type="cellIs" priority="2825" operator="equal" dxfId="2034">
      <formula>"ja"</formula>
    </cfRule>
  </conditionalFormatting>
  <conditionalFormatting sqref="C737">
    <cfRule type="containsText" priority="2823" operator="containsText" dxfId="1" text="Einnahmen">
      <formula>NOT(ISERROR(SEARCH("Einnahmen",C737)))</formula>
    </cfRule>
    <cfRule type="containsText" priority="2824" operator="containsText" dxfId="0" text="Ausgaben">
      <formula>NOT(ISERROR(SEARCH("Ausgaben",C737)))</formula>
    </cfRule>
  </conditionalFormatting>
  <conditionalFormatting sqref="J738">
    <cfRule type="cellIs" priority="2822" operator="equal" dxfId="2034">
      <formula>"ja"</formula>
    </cfRule>
  </conditionalFormatting>
  <conditionalFormatting sqref="C738">
    <cfRule type="containsText" priority="2820" operator="containsText" dxfId="1" text="Einnahmen">
      <formula>NOT(ISERROR(SEARCH("Einnahmen",C738)))</formula>
    </cfRule>
    <cfRule type="containsText" priority="2821" operator="containsText" dxfId="0" text="Ausgaben">
      <formula>NOT(ISERROR(SEARCH("Ausgaben",C738)))</formula>
    </cfRule>
  </conditionalFormatting>
  <conditionalFormatting sqref="T738">
    <cfRule type="expression" priority="2819" dxfId="2">
      <formula>AND(AND($W738&lt;TODAY(),$W738&lt;&gt;""),$X738="")</formula>
    </cfRule>
  </conditionalFormatting>
  <conditionalFormatting sqref="Z738">
    <cfRule type="dataBar" priority="2818">
      <dataBar>
        <cfvo type="min"/>
        <cfvo type="max"/>
        <color rgb="FF63C384"/>
      </dataBar>
    </cfRule>
    <cfRule type="dataBar" priority="2817">
      <dataBar>
        <cfvo type="min"/>
        <cfvo type="max"/>
        <color rgb="FF63C384"/>
      </dataBar>
    </cfRule>
  </conditionalFormatting>
  <conditionalFormatting sqref="C739">
    <cfRule type="containsText" priority="2815" operator="containsText" dxfId="1" text="Einnahmen">
      <formula>NOT(ISERROR(SEARCH("Einnahmen",C739)))</formula>
    </cfRule>
    <cfRule type="containsText" priority="2816" operator="containsText" dxfId="0" text="Ausgaben">
      <formula>NOT(ISERROR(SEARCH("Ausgaben",C739)))</formula>
    </cfRule>
  </conditionalFormatting>
  <conditionalFormatting sqref="J739">
    <cfRule type="cellIs" priority="2814" operator="equal" dxfId="2034">
      <formula>"ja"</formula>
    </cfRule>
  </conditionalFormatting>
  <conditionalFormatting sqref="T739">
    <cfRule type="expression" priority="2813" dxfId="2">
      <formula>AND(AND($W739&lt;TODAY(),$W739&lt;&gt;""),$X739="")</formula>
    </cfRule>
  </conditionalFormatting>
  <conditionalFormatting sqref="Z739">
    <cfRule type="dataBar" priority="2812">
      <dataBar>
        <cfvo type="min"/>
        <cfvo type="max"/>
        <color rgb="FF63C384"/>
      </dataBar>
    </cfRule>
    <cfRule type="dataBar" priority="2811">
      <dataBar>
        <cfvo type="min"/>
        <cfvo type="max"/>
        <color rgb="FF63C384"/>
      </dataBar>
    </cfRule>
  </conditionalFormatting>
  <conditionalFormatting sqref="C740">
    <cfRule type="containsText" priority="2809" operator="containsText" dxfId="1" text="Einnahmen">
      <formula>NOT(ISERROR(SEARCH("Einnahmen",C740)))</formula>
    </cfRule>
    <cfRule type="containsText" priority="2810" operator="containsText" dxfId="0" text="Ausgaben">
      <formula>NOT(ISERROR(SEARCH("Ausgaben",C740)))</formula>
    </cfRule>
  </conditionalFormatting>
  <conditionalFormatting sqref="J740">
    <cfRule type="cellIs" priority="2808" operator="equal" dxfId="2034">
      <formula>"ja"</formula>
    </cfRule>
    <cfRule type="cellIs" priority="2803" operator="equal" dxfId="2034">
      <formula>"ja"</formula>
    </cfRule>
  </conditionalFormatting>
  <conditionalFormatting sqref="T740">
    <cfRule type="expression" priority="2807" dxfId="2">
      <formula>AND(AND($W740&lt;TODAY(),$W740&lt;&gt;""),$X740="")</formula>
    </cfRule>
    <cfRule type="expression" priority="2804" dxfId="2">
      <formula>AND(AND($W740&lt;TODAY(),$W740&lt;&gt;""),$X740="")</formula>
    </cfRule>
  </conditionalFormatting>
  <conditionalFormatting sqref="Z740">
    <cfRule type="dataBar" priority="2806">
      <dataBar>
        <cfvo type="min"/>
        <cfvo type="max"/>
        <color rgb="FF63C384"/>
      </dataBar>
    </cfRule>
    <cfRule type="dataBar" priority="2805">
      <dataBar>
        <cfvo type="min"/>
        <cfvo type="max"/>
        <color rgb="FF63C384"/>
      </dataBar>
    </cfRule>
    <cfRule type="dataBar" priority="2802">
      <dataBar>
        <cfvo type="min"/>
        <cfvo type="max"/>
        <color rgb="FF63C384"/>
      </dataBar>
    </cfRule>
    <cfRule type="dataBar" priority="2801">
      <dataBar>
        <cfvo type="min"/>
        <cfvo type="max"/>
        <color rgb="FF63C384"/>
      </dataBar>
    </cfRule>
  </conditionalFormatting>
  <conditionalFormatting sqref="C741">
    <cfRule type="containsText" priority="2799" operator="containsText" dxfId="1" text="Einnahmen">
      <formula>NOT(ISERROR(SEARCH("Einnahmen",C741)))</formula>
    </cfRule>
    <cfRule type="containsText" priority="2800" operator="containsText" dxfId="0" text="Ausgaben">
      <formula>NOT(ISERROR(SEARCH("Ausgaben",C741)))</formula>
    </cfRule>
  </conditionalFormatting>
  <conditionalFormatting sqref="T741">
    <cfRule type="expression" priority="2798" dxfId="2">
      <formula>AND(AND($W741&lt;TODAY(),$W741&lt;&gt;""),$X741="")</formula>
    </cfRule>
    <cfRule type="expression" priority="2793" dxfId="2">
      <formula>AND(AND($W741&lt;TODAY(),$W741&lt;&gt;""),$X741="")</formula>
    </cfRule>
  </conditionalFormatting>
  <conditionalFormatting sqref="J741">
    <cfRule type="cellIs" priority="2797" operator="equal" dxfId="2034">
      <formula>"ja"</formula>
    </cfRule>
    <cfRule type="cellIs" priority="2794" operator="equal" dxfId="2034">
      <formula>"ja"</formula>
    </cfRule>
  </conditionalFormatting>
  <conditionalFormatting sqref="Z741">
    <cfRule type="dataBar" priority="2796">
      <dataBar>
        <cfvo type="min"/>
        <cfvo type="max"/>
        <color rgb="FF63C384"/>
      </dataBar>
    </cfRule>
    <cfRule type="dataBar" priority="2795">
      <dataBar>
        <cfvo type="min"/>
        <cfvo type="max"/>
        <color rgb="FF63C384"/>
      </dataBar>
    </cfRule>
    <cfRule type="dataBar" priority="2792">
      <dataBar>
        <cfvo type="min"/>
        <cfvo type="max"/>
        <color rgb="FF63C384"/>
      </dataBar>
    </cfRule>
    <cfRule type="dataBar" priority="2791">
      <dataBar>
        <cfvo type="min"/>
        <cfvo type="max"/>
        <color rgb="FF63C384"/>
      </dataBar>
    </cfRule>
  </conditionalFormatting>
  <conditionalFormatting sqref="C742">
    <cfRule type="containsText" priority="2789" operator="containsText" dxfId="1" text="Einnahmen">
      <formula>NOT(ISERROR(SEARCH("Einnahmen",C742)))</formula>
    </cfRule>
    <cfRule type="containsText" priority="2790" operator="containsText" dxfId="0" text="Ausgaben">
      <formula>NOT(ISERROR(SEARCH("Ausgaben",C742)))</formula>
    </cfRule>
  </conditionalFormatting>
  <conditionalFormatting sqref="J742">
    <cfRule type="cellIs" priority="2788" operator="equal" dxfId="2034">
      <formula>"ja"</formula>
    </cfRule>
    <cfRule type="cellIs" priority="2776" operator="equal" dxfId="2034">
      <formula>"ja"</formula>
    </cfRule>
    <cfRule type="cellIs" priority="2784" operator="equal" dxfId="2034">
      <formula>"ja"</formula>
    </cfRule>
    <cfRule type="cellIs" priority="2780" operator="equal" dxfId="2034">
      <formula>"ja"</formula>
    </cfRule>
  </conditionalFormatting>
  <conditionalFormatting sqref="T742">
    <cfRule type="expression" priority="2775" dxfId="2">
      <formula>AND(AND($W742&lt;TODAY(),$W742&lt;&gt;""),$X742="")</formula>
    </cfRule>
    <cfRule type="expression" priority="2787" dxfId="2">
      <formula>AND(AND($W742&lt;TODAY(),$W742&lt;&gt;""),$X742="")</formula>
    </cfRule>
    <cfRule type="expression" priority="2783" dxfId="2">
      <formula>AND(AND($W742&lt;TODAY(),$W742&lt;&gt;""),$X742="")</formula>
    </cfRule>
    <cfRule type="expression" priority="2779" dxfId="2">
      <formula>AND(AND($W742&lt;TODAY(),$W742&lt;&gt;""),$X742="")</formula>
    </cfRule>
  </conditionalFormatting>
  <conditionalFormatting sqref="Z742">
    <cfRule type="dataBar" priority="2786">
      <dataBar>
        <cfvo type="min"/>
        <cfvo type="max"/>
        <color rgb="FF63C384"/>
      </dataBar>
    </cfRule>
    <cfRule type="dataBar" priority="2785">
      <dataBar>
        <cfvo type="min"/>
        <cfvo type="max"/>
        <color rgb="FF63C384"/>
      </dataBar>
    </cfRule>
    <cfRule type="dataBar" priority="2782">
      <dataBar>
        <cfvo type="min"/>
        <cfvo type="max"/>
        <color rgb="FF63C384"/>
      </dataBar>
    </cfRule>
    <cfRule type="dataBar" priority="2781">
      <dataBar>
        <cfvo type="min"/>
        <cfvo type="max"/>
        <color rgb="FF63C384"/>
      </dataBar>
    </cfRule>
    <cfRule type="dataBar" priority="2778">
      <dataBar>
        <cfvo type="min"/>
        <cfvo type="max"/>
        <color rgb="FF63C384"/>
      </dataBar>
    </cfRule>
    <cfRule type="dataBar" priority="2777">
      <dataBar>
        <cfvo type="min"/>
        <cfvo type="max"/>
        <color rgb="FF63C384"/>
      </dataBar>
    </cfRule>
    <cfRule type="dataBar" priority="2774">
      <dataBar>
        <cfvo type="min"/>
        <cfvo type="max"/>
        <color rgb="FF63C384"/>
      </dataBar>
    </cfRule>
    <cfRule type="dataBar" priority="2773">
      <dataBar>
        <cfvo type="min"/>
        <cfvo type="max"/>
        <color rgb="FF63C384"/>
      </dataBar>
    </cfRule>
  </conditionalFormatting>
  <conditionalFormatting sqref="C743">
    <cfRule type="containsText" priority="2771" operator="containsText" dxfId="1" text="Einnahmen">
      <formula>NOT(ISERROR(SEARCH("Einnahmen",C743)))</formula>
    </cfRule>
    <cfRule type="containsText" priority="2772" operator="containsText" dxfId="0" text="Ausgaben">
      <formula>NOT(ISERROR(SEARCH("Ausgaben",C743)))</formula>
    </cfRule>
  </conditionalFormatting>
  <conditionalFormatting sqref="J743">
    <cfRule type="cellIs" priority="2770" operator="equal" dxfId="2034">
      <formula>"ja"</formula>
    </cfRule>
    <cfRule type="cellIs" priority="2763" operator="equal" dxfId="2034">
      <formula>"ja"</formula>
    </cfRule>
  </conditionalFormatting>
  <conditionalFormatting sqref="T743">
    <cfRule type="expression" priority="2769" dxfId="2">
      <formula>AND(AND($W743&lt;TODAY(),$W743&lt;&gt;""),$X743="")</formula>
    </cfRule>
    <cfRule type="expression" priority="2766" dxfId="2">
      <formula>AND(AND($W743&lt;TODAY(),$W743&lt;&gt;""),$X743="")</formula>
    </cfRule>
  </conditionalFormatting>
  <conditionalFormatting sqref="Z743">
    <cfRule type="dataBar" priority="2768">
      <dataBar>
        <cfvo type="min"/>
        <cfvo type="max"/>
        <color rgb="FF63C384"/>
      </dataBar>
    </cfRule>
    <cfRule type="dataBar" priority="2767">
      <dataBar>
        <cfvo type="min"/>
        <cfvo type="max"/>
        <color rgb="FF63C384"/>
      </dataBar>
    </cfRule>
    <cfRule type="dataBar" priority="2765">
      <dataBar>
        <cfvo type="min"/>
        <cfvo type="max"/>
        <color rgb="FF63C384"/>
      </dataBar>
    </cfRule>
    <cfRule type="dataBar" priority="2764">
      <dataBar>
        <cfvo type="min"/>
        <cfvo type="max"/>
        <color rgb="FF63C384"/>
      </dataBar>
    </cfRule>
  </conditionalFormatting>
  <conditionalFormatting sqref="J744">
    <cfRule type="cellIs" priority="2762" operator="equal" dxfId="2034">
      <formula>"ja"</formula>
    </cfRule>
  </conditionalFormatting>
  <conditionalFormatting sqref="C744">
    <cfRule type="containsText" priority="2760" operator="containsText" dxfId="1" text="Einnahmen">
      <formula>NOT(ISERROR(SEARCH("Einnahmen",C744)))</formula>
    </cfRule>
    <cfRule type="containsText" priority="2761" operator="containsText" dxfId="0" text="Ausgaben">
      <formula>NOT(ISERROR(SEARCH("Ausgaben",C744)))</formula>
    </cfRule>
  </conditionalFormatting>
  <conditionalFormatting sqref="T744">
    <cfRule type="expression" priority="2759" dxfId="2">
      <formula>AND(AND($W744&lt;TODAY(),$W744&lt;&gt;""),$X744="")</formula>
    </cfRule>
  </conditionalFormatting>
  <conditionalFormatting sqref="Z744">
    <cfRule type="dataBar" priority="2758">
      <dataBar>
        <cfvo type="min"/>
        <cfvo type="max"/>
        <color rgb="FF63C384"/>
      </dataBar>
    </cfRule>
    <cfRule type="dataBar" priority="2757">
      <dataBar>
        <cfvo type="min"/>
        <cfvo type="max"/>
        <color rgb="FF63C384"/>
      </dataBar>
    </cfRule>
  </conditionalFormatting>
  <conditionalFormatting sqref="J745">
    <cfRule type="cellIs" priority="2756" operator="equal" dxfId="2034">
      <formula>"ja"</formula>
    </cfRule>
    <cfRule type="cellIs" priority="2747" operator="equal" dxfId="2034">
      <formula>"ja"</formula>
    </cfRule>
  </conditionalFormatting>
  <conditionalFormatting sqref="C745">
    <cfRule type="containsText" priority="2754" operator="containsText" dxfId="1" text="Einnahmen">
      <formula>NOT(ISERROR(SEARCH("Einnahmen",C745)))</formula>
    </cfRule>
    <cfRule type="containsText" priority="2755" operator="containsText" dxfId="0" text="Ausgaben">
      <formula>NOT(ISERROR(SEARCH("Ausgaben",C745)))</formula>
    </cfRule>
    <cfRule type="containsText" priority="2749" operator="containsText" dxfId="1" text="Einnahmen">
      <formula>NOT(ISERROR(SEARCH("Einnahmen",C745)))</formula>
    </cfRule>
    <cfRule type="containsText" priority="2750" operator="containsText" dxfId="0" text="Ausgaben">
      <formula>NOT(ISERROR(SEARCH("Ausgaben",C745)))</formula>
    </cfRule>
  </conditionalFormatting>
  <conditionalFormatting sqref="T745">
    <cfRule type="expression" priority="2753" dxfId="2">
      <formula>AND(AND($W745&lt;TODAY(),$W745&lt;&gt;""),$X745="")</formula>
    </cfRule>
    <cfRule type="expression" priority="2748" dxfId="2">
      <formula>AND(AND($W745&lt;TODAY(),$W745&lt;&gt;""),$X745="")</formula>
    </cfRule>
  </conditionalFormatting>
  <conditionalFormatting sqref="Z745">
    <cfRule type="dataBar" priority="2752">
      <dataBar>
        <cfvo type="min"/>
        <cfvo type="max"/>
        <color rgb="FF63C384"/>
      </dataBar>
    </cfRule>
    <cfRule type="dataBar" priority="2751">
      <dataBar>
        <cfvo type="min"/>
        <cfvo type="max"/>
        <color rgb="FF63C384"/>
      </dataBar>
    </cfRule>
    <cfRule type="dataBar" priority="2746">
      <dataBar>
        <cfvo type="min"/>
        <cfvo type="max"/>
        <color rgb="FF63C384"/>
      </dataBar>
    </cfRule>
    <cfRule type="dataBar" priority="2745">
      <dataBar>
        <cfvo type="min"/>
        <cfvo type="max"/>
        <color rgb="FF63C384"/>
      </dataBar>
    </cfRule>
  </conditionalFormatting>
  <conditionalFormatting sqref="J746">
    <cfRule type="cellIs" priority="2744" operator="equal" dxfId="2034">
      <formula>"ja"</formula>
    </cfRule>
    <cfRule type="cellIs" priority="2738" operator="equal" dxfId="2034">
      <formula>"ja"</formula>
    </cfRule>
    <cfRule type="cellIs" priority="2734" operator="equal" dxfId="2034">
      <formula>"ja"</formula>
    </cfRule>
  </conditionalFormatting>
  <conditionalFormatting sqref="C746">
    <cfRule type="containsText" priority="2742" operator="containsText" dxfId="1" text="Einnahmen">
      <formula>NOT(ISERROR(SEARCH("Einnahmen",C746)))</formula>
    </cfRule>
    <cfRule type="containsText" priority="2743" operator="containsText" dxfId="0" text="Ausgaben">
      <formula>NOT(ISERROR(SEARCH("Ausgaben",C746)))</formula>
    </cfRule>
    <cfRule type="containsText" priority="2732" operator="containsText" dxfId="1" text="Einnahmen">
      <formula>NOT(ISERROR(SEARCH("Einnahmen",C746)))</formula>
    </cfRule>
    <cfRule type="containsText" priority="2733" operator="containsText" dxfId="0" text="Ausgaben">
      <formula>NOT(ISERROR(SEARCH("Ausgaben",C746)))</formula>
    </cfRule>
  </conditionalFormatting>
  <conditionalFormatting sqref="T746">
    <cfRule type="expression" priority="2741" dxfId="2">
      <formula>AND(AND($W746&lt;TODAY(),$W746&lt;&gt;""),$X746="")</formula>
    </cfRule>
    <cfRule type="expression" priority="2737" dxfId="2">
      <formula>AND(AND($W746&lt;TODAY(),$W746&lt;&gt;""),$X746="")</formula>
    </cfRule>
    <cfRule type="expression" priority="2731" dxfId="2">
      <formula>AND(AND($W746&lt;TODAY(),$W746&lt;&gt;""),$X746="")</formula>
    </cfRule>
  </conditionalFormatting>
  <conditionalFormatting sqref="Z746">
    <cfRule type="dataBar" priority="2740">
      <dataBar>
        <cfvo type="min"/>
        <cfvo type="max"/>
        <color rgb="FF63C384"/>
      </dataBar>
    </cfRule>
    <cfRule type="dataBar" priority="2739">
      <dataBar>
        <cfvo type="min"/>
        <cfvo type="max"/>
        <color rgb="FF63C384"/>
      </dataBar>
    </cfRule>
    <cfRule type="dataBar" priority="2736">
      <dataBar>
        <cfvo type="min"/>
        <cfvo type="max"/>
        <color rgb="FF63C384"/>
      </dataBar>
    </cfRule>
    <cfRule type="dataBar" priority="2735">
      <dataBar>
        <cfvo type="min"/>
        <cfvo type="max"/>
        <color rgb="FF63C384"/>
      </dataBar>
    </cfRule>
    <cfRule type="dataBar" priority="2730">
      <dataBar>
        <cfvo type="min"/>
        <cfvo type="max"/>
        <color rgb="FF63C384"/>
      </dataBar>
    </cfRule>
    <cfRule type="dataBar" priority="2729">
      <dataBar>
        <cfvo type="min"/>
        <cfvo type="max"/>
        <color rgb="FF63C384"/>
      </dataBar>
    </cfRule>
  </conditionalFormatting>
  <conditionalFormatting sqref="C747">
    <cfRule type="containsText" priority="2727" operator="containsText" dxfId="1" text="Einnahmen">
      <formula>NOT(ISERROR(SEARCH("Einnahmen",C747)))</formula>
    </cfRule>
    <cfRule type="containsText" priority="2728" operator="containsText" dxfId="0" text="Ausgaben">
      <formula>NOT(ISERROR(SEARCH("Ausgaben",C747)))</formula>
    </cfRule>
  </conditionalFormatting>
  <conditionalFormatting sqref="J747">
    <cfRule type="cellIs" priority="2726" operator="equal" dxfId="2034">
      <formula>"ja"</formula>
    </cfRule>
  </conditionalFormatting>
  <conditionalFormatting sqref="T747">
    <cfRule type="expression" priority="2725" dxfId="2">
      <formula>AND(AND($W747&lt;TODAY(),$W747&lt;&gt;""),$X747="")</formula>
    </cfRule>
  </conditionalFormatting>
  <conditionalFormatting sqref="Z747">
    <cfRule type="dataBar" priority="2724">
      <dataBar>
        <cfvo type="min"/>
        <cfvo type="max"/>
        <color rgb="FF63C384"/>
      </dataBar>
    </cfRule>
    <cfRule type="dataBar" priority="2723">
      <dataBar>
        <cfvo type="min"/>
        <cfvo type="max"/>
        <color rgb="FF63C384"/>
      </dataBar>
    </cfRule>
  </conditionalFormatting>
  <conditionalFormatting sqref="J748">
    <cfRule type="cellIs" priority="2722" operator="equal" dxfId="2034">
      <formula>"ja"</formula>
    </cfRule>
    <cfRule type="cellIs" priority="2716" operator="equal" dxfId="2034">
      <formula>"ja"</formula>
    </cfRule>
  </conditionalFormatting>
  <conditionalFormatting sqref="C748">
    <cfRule type="containsText" priority="2720" operator="containsText" dxfId="1" text="Einnahmen">
      <formula>NOT(ISERROR(SEARCH("Einnahmen",C748)))</formula>
    </cfRule>
    <cfRule type="containsText" priority="2721" operator="containsText" dxfId="0" text="Ausgaben">
      <formula>NOT(ISERROR(SEARCH("Ausgaben",C748)))</formula>
    </cfRule>
  </conditionalFormatting>
  <conditionalFormatting sqref="T748">
    <cfRule type="expression" priority="2719" dxfId="2">
      <formula>AND(AND($W748&lt;TODAY(),$W748&lt;&gt;""),$X748="")</formula>
    </cfRule>
    <cfRule type="expression" priority="2715" dxfId="2">
      <formula>AND(AND($W748&lt;TODAY(),$W748&lt;&gt;""),$X748="")</formula>
    </cfRule>
  </conditionalFormatting>
  <conditionalFormatting sqref="Z748">
    <cfRule type="dataBar" priority="2718">
      <dataBar>
        <cfvo type="min"/>
        <cfvo type="max"/>
        <color rgb="FF63C384"/>
      </dataBar>
    </cfRule>
    <cfRule type="dataBar" priority="2717">
      <dataBar>
        <cfvo type="min"/>
        <cfvo type="max"/>
        <color rgb="FF63C384"/>
      </dataBar>
    </cfRule>
    <cfRule type="dataBar" priority="2714">
      <dataBar>
        <cfvo type="min"/>
        <cfvo type="max"/>
        <color rgb="FF63C384"/>
      </dataBar>
    </cfRule>
    <cfRule type="dataBar" priority="2713">
      <dataBar>
        <cfvo type="min"/>
        <cfvo type="max"/>
        <color rgb="FF63C384"/>
      </dataBar>
    </cfRule>
  </conditionalFormatting>
  <conditionalFormatting sqref="J749">
    <cfRule type="cellIs" priority="2712" operator="equal" dxfId="2034">
      <formula>"ja"</formula>
    </cfRule>
    <cfRule type="cellIs" priority="2705" operator="equal" dxfId="2034">
      <formula>"ja"</formula>
    </cfRule>
  </conditionalFormatting>
  <conditionalFormatting sqref="T749">
    <cfRule type="expression" priority="2711" dxfId="2">
      <formula>AND(AND($W749&lt;TODAY(),$W749&lt;&gt;""),$X749="")</formula>
    </cfRule>
    <cfRule type="expression" priority="2708" dxfId="2">
      <formula>AND(AND($W749&lt;TODAY(),$W749&lt;&gt;""),$X749="")</formula>
    </cfRule>
  </conditionalFormatting>
  <conditionalFormatting sqref="Z749">
    <cfRule type="dataBar" priority="2710">
      <dataBar>
        <cfvo type="min"/>
        <cfvo type="max"/>
        <color rgb="FF63C384"/>
      </dataBar>
    </cfRule>
    <cfRule type="dataBar" priority="2709">
      <dataBar>
        <cfvo type="min"/>
        <cfvo type="max"/>
        <color rgb="FF63C384"/>
      </dataBar>
    </cfRule>
    <cfRule type="dataBar" priority="2707">
      <dataBar>
        <cfvo type="min"/>
        <cfvo type="max"/>
        <color rgb="FF63C384"/>
      </dataBar>
    </cfRule>
    <cfRule type="dataBar" priority="2706">
      <dataBar>
        <cfvo type="min"/>
        <cfvo type="max"/>
        <color rgb="FF63C384"/>
      </dataBar>
    </cfRule>
  </conditionalFormatting>
  <conditionalFormatting sqref="C749">
    <cfRule type="containsText" priority="2703" operator="containsText" dxfId="1" text="Einnahmen">
      <formula>NOT(ISERROR(SEARCH("Einnahmen",C749)))</formula>
    </cfRule>
    <cfRule type="containsText" priority="2704" operator="containsText" dxfId="0" text="Ausgaben">
      <formula>NOT(ISERROR(SEARCH("Ausgaben",C749)))</formula>
    </cfRule>
  </conditionalFormatting>
  <conditionalFormatting sqref="C750">
    <cfRule type="containsText" priority="2701" operator="containsText" dxfId="1" text="Einnahmen">
      <formula>NOT(ISERROR(SEARCH("Einnahmen",C750)))</formula>
    </cfRule>
    <cfRule type="containsText" priority="2702" operator="containsText" dxfId="0" text="Ausgaben">
      <formula>NOT(ISERROR(SEARCH("Ausgaben",C750)))</formula>
    </cfRule>
  </conditionalFormatting>
  <conditionalFormatting sqref="T750">
    <cfRule type="expression" priority="2700" dxfId="2">
      <formula>AND(AND($W750&lt;TODAY(),$W750&lt;&gt;""),$X750="")</formula>
    </cfRule>
  </conditionalFormatting>
  <conditionalFormatting sqref="J750">
    <cfRule type="cellIs" priority="2699" operator="equal" dxfId="2034">
      <formula>"ja"</formula>
    </cfRule>
  </conditionalFormatting>
  <conditionalFormatting sqref="Z750">
    <cfRule type="dataBar" priority="2698">
      <dataBar>
        <cfvo type="min"/>
        <cfvo type="max"/>
        <color rgb="FF63C384"/>
      </dataBar>
    </cfRule>
    <cfRule type="dataBar" priority="2697">
      <dataBar>
        <cfvo type="min"/>
        <cfvo type="max"/>
        <color rgb="FF63C384"/>
      </dataBar>
    </cfRule>
  </conditionalFormatting>
  <conditionalFormatting sqref="T751">
    <cfRule type="expression" priority="2696" dxfId="2">
      <formula>AND(AND($W751&lt;TODAY(),$W751&lt;&gt;""),$X751="")</formula>
    </cfRule>
  </conditionalFormatting>
  <conditionalFormatting sqref="Z751">
    <cfRule type="dataBar" priority="2695">
      <dataBar>
        <cfvo type="min"/>
        <cfvo type="max"/>
        <color rgb="FF63C384"/>
      </dataBar>
    </cfRule>
    <cfRule type="dataBar" priority="2694">
      <dataBar>
        <cfvo type="min"/>
        <cfvo type="max"/>
        <color rgb="FF63C384"/>
      </dataBar>
    </cfRule>
  </conditionalFormatting>
  <conditionalFormatting sqref="J751">
    <cfRule type="cellIs" priority="2693" operator="equal" dxfId="2034">
      <formula>"ja"</formula>
    </cfRule>
  </conditionalFormatting>
  <conditionalFormatting sqref="C751">
    <cfRule type="containsText" priority="2691" operator="containsText" dxfId="1" text="Einnahmen">
      <formula>NOT(ISERROR(SEARCH("Einnahmen",C751)))</formula>
    </cfRule>
    <cfRule type="containsText" priority="2692" operator="containsText" dxfId="0" text="Ausgaben">
      <formula>NOT(ISERROR(SEARCH("Ausgaben",C751)))</formula>
    </cfRule>
  </conditionalFormatting>
  <conditionalFormatting sqref="J752">
    <cfRule type="cellIs" priority="2690" operator="equal" dxfId="2034">
      <formula>"ja"</formula>
    </cfRule>
  </conditionalFormatting>
  <conditionalFormatting sqref="C752">
    <cfRule type="containsText" priority="2688" operator="containsText" dxfId="1" text="Einnahmen">
      <formula>NOT(ISERROR(SEARCH("Einnahmen",C752)))</formula>
    </cfRule>
    <cfRule type="containsText" priority="2689" operator="containsText" dxfId="0" text="Ausgaben">
      <formula>NOT(ISERROR(SEARCH("Ausgaben",C752)))</formula>
    </cfRule>
  </conditionalFormatting>
  <conditionalFormatting sqref="T752">
    <cfRule type="expression" priority="2687" dxfId="2">
      <formula>AND(AND($W752&lt;TODAY(),$W752&lt;&gt;""),$X752="")</formula>
    </cfRule>
  </conditionalFormatting>
  <conditionalFormatting sqref="Z752">
    <cfRule type="dataBar" priority="2686">
      <dataBar>
        <cfvo type="min"/>
        <cfvo type="max"/>
        <color rgb="FF63C384"/>
      </dataBar>
    </cfRule>
    <cfRule type="dataBar" priority="2685">
      <dataBar>
        <cfvo type="min"/>
        <cfvo type="max"/>
        <color rgb="FF63C384"/>
      </dataBar>
    </cfRule>
  </conditionalFormatting>
  <conditionalFormatting sqref="C753">
    <cfRule type="containsText" priority="2683" operator="containsText" dxfId="1" text="Einnahmen">
      <formula>NOT(ISERROR(SEARCH("Einnahmen",C753)))</formula>
    </cfRule>
    <cfRule type="containsText" priority="2684" operator="containsText" dxfId="0" text="Ausgaben">
      <formula>NOT(ISERROR(SEARCH("Ausgaben",C753)))</formula>
    </cfRule>
  </conditionalFormatting>
  <conditionalFormatting sqref="J753">
    <cfRule type="cellIs" priority="2682" operator="equal" dxfId="2034">
      <formula>"ja"</formula>
    </cfRule>
  </conditionalFormatting>
  <conditionalFormatting sqref="T753">
    <cfRule type="expression" priority="2681" dxfId="2">
      <formula>AND(AND($W753&lt;TODAY(),$W753&lt;&gt;""),$X753="")</formula>
    </cfRule>
  </conditionalFormatting>
  <conditionalFormatting sqref="Z753">
    <cfRule type="dataBar" priority="2680">
      <dataBar>
        <cfvo type="min"/>
        <cfvo type="max"/>
        <color rgb="FF63C384"/>
      </dataBar>
    </cfRule>
    <cfRule type="dataBar" priority="2679">
      <dataBar>
        <cfvo type="min"/>
        <cfvo type="max"/>
        <color rgb="FF63C384"/>
      </dataBar>
    </cfRule>
  </conditionalFormatting>
  <conditionalFormatting sqref="C754">
    <cfRule type="containsText" priority="2677" operator="containsText" dxfId="1" text="Einnahmen">
      <formula>NOT(ISERROR(SEARCH("Einnahmen",C754)))</formula>
    </cfRule>
    <cfRule type="containsText" priority="2678" operator="containsText" dxfId="0" text="Ausgaben">
      <formula>NOT(ISERROR(SEARCH("Ausgaben",C754)))</formula>
    </cfRule>
  </conditionalFormatting>
  <conditionalFormatting sqref="J754">
    <cfRule type="cellIs" priority="2676" operator="equal" dxfId="2034">
      <formula>"ja"</formula>
    </cfRule>
    <cfRule type="cellIs" priority="2664" operator="equal" dxfId="2034">
      <formula>"ja"</formula>
    </cfRule>
    <cfRule type="cellIs" priority="2672" operator="equal" dxfId="2034">
      <formula>"ja"</formula>
    </cfRule>
    <cfRule type="cellIs" priority="2668" operator="equal" dxfId="2034">
      <formula>"ja"</formula>
    </cfRule>
  </conditionalFormatting>
  <conditionalFormatting sqref="T754">
    <cfRule type="expression" priority="2663" dxfId="2">
      <formula>AND(AND($W754&lt;TODAY(),$W754&lt;&gt;""),$X754="")</formula>
    </cfRule>
    <cfRule type="expression" priority="2675" dxfId="2">
      <formula>AND(AND($W754&lt;TODAY(),$W754&lt;&gt;""),$X754="")</formula>
    </cfRule>
    <cfRule type="expression" priority="2671" dxfId="2">
      <formula>AND(AND($W754&lt;TODAY(),$W754&lt;&gt;""),$X754="")</formula>
    </cfRule>
    <cfRule type="expression" priority="2667" dxfId="2">
      <formula>AND(AND($W754&lt;TODAY(),$W754&lt;&gt;""),$X754="")</formula>
    </cfRule>
  </conditionalFormatting>
  <conditionalFormatting sqref="Z754">
    <cfRule type="dataBar" priority="2674">
      <dataBar>
        <cfvo type="min"/>
        <cfvo type="max"/>
        <color rgb="FF63C384"/>
      </dataBar>
    </cfRule>
    <cfRule type="dataBar" priority="2673">
      <dataBar>
        <cfvo type="min"/>
        <cfvo type="max"/>
        <color rgb="FF63C384"/>
      </dataBar>
    </cfRule>
    <cfRule type="dataBar" priority="2670">
      <dataBar>
        <cfvo type="min"/>
        <cfvo type="max"/>
        <color rgb="FF63C384"/>
      </dataBar>
    </cfRule>
    <cfRule type="dataBar" priority="2669">
      <dataBar>
        <cfvo type="min"/>
        <cfvo type="max"/>
        <color rgb="FF63C384"/>
      </dataBar>
    </cfRule>
    <cfRule type="dataBar" priority="2666">
      <dataBar>
        <cfvo type="min"/>
        <cfvo type="max"/>
        <color rgb="FF63C384"/>
      </dataBar>
    </cfRule>
    <cfRule type="dataBar" priority="2665">
      <dataBar>
        <cfvo type="min"/>
        <cfvo type="max"/>
        <color rgb="FF63C384"/>
      </dataBar>
    </cfRule>
    <cfRule type="dataBar" priority="2662">
      <dataBar>
        <cfvo type="min"/>
        <cfvo type="max"/>
        <color rgb="FF63C384"/>
      </dataBar>
    </cfRule>
    <cfRule type="dataBar" priority="2661">
      <dataBar>
        <cfvo type="min"/>
        <cfvo type="max"/>
        <color rgb="FF63C384"/>
      </dataBar>
    </cfRule>
  </conditionalFormatting>
  <conditionalFormatting sqref="C755">
    <cfRule type="containsText" priority="2659" operator="containsText" dxfId="1" text="Einnahmen">
      <formula>NOT(ISERROR(SEARCH("Einnahmen",C755)))</formula>
    </cfRule>
    <cfRule type="containsText" priority="2660" operator="containsText" dxfId="0" text="Ausgaben">
      <formula>NOT(ISERROR(SEARCH("Ausgaben",C755)))</formula>
    </cfRule>
  </conditionalFormatting>
  <conditionalFormatting sqref="J755">
    <cfRule type="cellIs" priority="2658" operator="equal" dxfId="2034">
      <formula>"ja"</formula>
    </cfRule>
    <cfRule type="cellIs" priority="2651" operator="equal" dxfId="2034">
      <formula>"ja"</formula>
    </cfRule>
  </conditionalFormatting>
  <conditionalFormatting sqref="T755">
    <cfRule type="expression" priority="2657" dxfId="2">
      <formula>AND(AND($W755&lt;TODAY(),$W755&lt;&gt;""),$X755="")</formula>
    </cfRule>
    <cfRule type="expression" priority="2654" dxfId="2">
      <formula>AND(AND($W755&lt;TODAY(),$W755&lt;&gt;""),$X755="")</formula>
    </cfRule>
  </conditionalFormatting>
  <conditionalFormatting sqref="Z755">
    <cfRule type="dataBar" priority="2656">
      <dataBar>
        <cfvo type="min"/>
        <cfvo type="max"/>
        <color rgb="FF63C384"/>
      </dataBar>
    </cfRule>
    <cfRule type="dataBar" priority="2655">
      <dataBar>
        <cfvo type="min"/>
        <cfvo type="max"/>
        <color rgb="FF63C384"/>
      </dataBar>
    </cfRule>
    <cfRule type="dataBar" priority="2653">
      <dataBar>
        <cfvo type="min"/>
        <cfvo type="max"/>
        <color rgb="FF63C384"/>
      </dataBar>
    </cfRule>
    <cfRule type="dataBar" priority="2652">
      <dataBar>
        <cfvo type="min"/>
        <cfvo type="max"/>
        <color rgb="FF63C384"/>
      </dataBar>
    </cfRule>
  </conditionalFormatting>
  <conditionalFormatting sqref="C756">
    <cfRule type="containsText" priority="2649" operator="containsText" dxfId="1" text="Einnahmen">
      <formula>NOT(ISERROR(SEARCH("Einnahmen",C756)))</formula>
    </cfRule>
    <cfRule type="containsText" priority="2650" operator="containsText" dxfId="0" text="Ausgaben">
      <formula>NOT(ISERROR(SEARCH("Ausgaben",C756)))</formula>
    </cfRule>
  </conditionalFormatting>
  <conditionalFormatting sqref="J756">
    <cfRule type="cellIs" priority="2648" operator="equal" dxfId="2034">
      <formula>"ja"</formula>
    </cfRule>
    <cfRule type="cellIs" priority="2643" operator="equal" dxfId="2034">
      <formula>"ja"</formula>
    </cfRule>
  </conditionalFormatting>
  <conditionalFormatting sqref="T756">
    <cfRule type="expression" priority="2647" dxfId="2">
      <formula>AND(AND($W756&lt;TODAY(),$W756&lt;&gt;""),$X756="")</formula>
    </cfRule>
    <cfRule type="expression" priority="2644" dxfId="2">
      <formula>AND(AND($W756&lt;TODAY(),$W756&lt;&gt;""),$X756="")</formula>
    </cfRule>
  </conditionalFormatting>
  <conditionalFormatting sqref="Z756">
    <cfRule type="dataBar" priority="2646">
      <dataBar>
        <cfvo type="min"/>
        <cfvo type="max"/>
        <color rgb="FF63C384"/>
      </dataBar>
    </cfRule>
    <cfRule type="dataBar" priority="2645">
      <dataBar>
        <cfvo type="min"/>
        <cfvo type="max"/>
        <color rgb="FF63C384"/>
      </dataBar>
    </cfRule>
    <cfRule type="dataBar" priority="2642">
      <dataBar>
        <cfvo type="min"/>
        <cfvo type="max"/>
        <color rgb="FF63C384"/>
      </dataBar>
    </cfRule>
    <cfRule type="dataBar" priority="2641">
      <dataBar>
        <cfvo type="min"/>
        <cfvo type="max"/>
        <color rgb="FF63C384"/>
      </dataBar>
    </cfRule>
  </conditionalFormatting>
  <conditionalFormatting sqref="C757">
    <cfRule type="containsText" priority="2639" operator="containsText" dxfId="1" text="Einnahmen">
      <formula>NOT(ISERROR(SEARCH("Einnahmen",C757)))</formula>
    </cfRule>
    <cfRule type="containsText" priority="2640" operator="containsText" dxfId="0" text="Ausgaben">
      <formula>NOT(ISERROR(SEARCH("Ausgaben",C757)))</formula>
    </cfRule>
  </conditionalFormatting>
  <conditionalFormatting sqref="J757">
    <cfRule type="cellIs" priority="2638" operator="equal" dxfId="2034">
      <formula>"ja"</formula>
    </cfRule>
    <cfRule type="cellIs" priority="2631" operator="equal" dxfId="2034">
      <formula>"ja"</formula>
    </cfRule>
  </conditionalFormatting>
  <conditionalFormatting sqref="T757">
    <cfRule type="expression" priority="2637" dxfId="2">
      <formula>AND(AND($W757&lt;TODAY(),$W757&lt;&gt;""),$X757="")</formula>
    </cfRule>
    <cfRule type="expression" priority="2634" dxfId="2">
      <formula>AND(AND($W757&lt;TODAY(),$W757&lt;&gt;""),$X757="")</formula>
    </cfRule>
  </conditionalFormatting>
  <conditionalFormatting sqref="Z757">
    <cfRule type="dataBar" priority="2636">
      <dataBar>
        <cfvo type="min"/>
        <cfvo type="max"/>
        <color rgb="FF63C384"/>
      </dataBar>
    </cfRule>
    <cfRule type="dataBar" priority="2635">
      <dataBar>
        <cfvo type="min"/>
        <cfvo type="max"/>
        <color rgb="FF63C384"/>
      </dataBar>
    </cfRule>
    <cfRule type="dataBar" priority="2633">
      <dataBar>
        <cfvo type="min"/>
        <cfvo type="max"/>
        <color rgb="FF63C384"/>
      </dataBar>
    </cfRule>
    <cfRule type="dataBar" priority="2632">
      <dataBar>
        <cfvo type="min"/>
        <cfvo type="max"/>
        <color rgb="FF63C384"/>
      </dataBar>
    </cfRule>
  </conditionalFormatting>
  <conditionalFormatting sqref="J758">
    <cfRule type="cellIs" priority="2630" operator="equal" dxfId="2034">
      <formula>"ja"</formula>
    </cfRule>
  </conditionalFormatting>
  <conditionalFormatting sqref="C758">
    <cfRule type="containsText" priority="2628" operator="containsText" dxfId="1" text="Einnahmen">
      <formula>NOT(ISERROR(SEARCH("Einnahmen",C758)))</formula>
    </cfRule>
    <cfRule type="containsText" priority="2629" operator="containsText" dxfId="0" text="Ausgaben">
      <formula>NOT(ISERROR(SEARCH("Ausgaben",C758)))</formula>
    </cfRule>
  </conditionalFormatting>
  <conditionalFormatting sqref="T758">
    <cfRule type="expression" priority="2627" dxfId="2">
      <formula>AND(AND($W758&lt;TODAY(),$W758&lt;&gt;""),$X758="")</formula>
    </cfRule>
  </conditionalFormatting>
  <conditionalFormatting sqref="Z758">
    <cfRule type="dataBar" priority="2626">
      <dataBar>
        <cfvo type="min"/>
        <cfvo type="max"/>
        <color rgb="FF63C384"/>
      </dataBar>
    </cfRule>
    <cfRule type="dataBar" priority="2625">
      <dataBar>
        <cfvo type="min"/>
        <cfvo type="max"/>
        <color rgb="FF63C384"/>
      </dataBar>
    </cfRule>
  </conditionalFormatting>
  <conditionalFormatting sqref="C759">
    <cfRule type="containsText" priority="2623" operator="containsText" dxfId="1" text="Einnahmen">
      <formula>NOT(ISERROR(SEARCH("Einnahmen",C759)))</formula>
    </cfRule>
    <cfRule type="containsText" priority="2624" operator="containsText" dxfId="0" text="Ausgaben">
      <formula>NOT(ISERROR(SEARCH("Ausgaben",C759)))</formula>
    </cfRule>
  </conditionalFormatting>
  <conditionalFormatting sqref="T759">
    <cfRule type="expression" priority="2622" dxfId="2">
      <formula>AND(AND($W759&lt;TODAY(),$W759&lt;&gt;""),$X759="")</formula>
    </cfRule>
  </conditionalFormatting>
  <conditionalFormatting sqref="Z759">
    <cfRule type="dataBar" priority="2621">
      <dataBar>
        <cfvo type="min"/>
        <cfvo type="max"/>
        <color rgb="FF63C384"/>
      </dataBar>
    </cfRule>
    <cfRule type="dataBar" priority="2620">
      <dataBar>
        <cfvo type="min"/>
        <cfvo type="max"/>
        <color rgb="FF63C384"/>
      </dataBar>
    </cfRule>
  </conditionalFormatting>
  <conditionalFormatting sqref="J760">
    <cfRule type="cellIs" priority="2619" operator="equal" dxfId="2034">
      <formula>"ja"</formula>
    </cfRule>
    <cfRule type="cellIs" priority="2610" operator="equal" dxfId="2034">
      <formula>"ja"</formula>
    </cfRule>
  </conditionalFormatting>
  <conditionalFormatting sqref="C760">
    <cfRule type="containsText" priority="2617" operator="containsText" dxfId="1" text="Einnahmen">
      <formula>NOT(ISERROR(SEARCH("Einnahmen",C760)))</formula>
    </cfRule>
    <cfRule type="containsText" priority="2618" operator="containsText" dxfId="0" text="Ausgaben">
      <formula>NOT(ISERROR(SEARCH("Ausgaben",C760)))</formula>
    </cfRule>
    <cfRule type="containsText" priority="2612" operator="containsText" dxfId="1" text="Einnahmen">
      <formula>NOT(ISERROR(SEARCH("Einnahmen",C760)))</formula>
    </cfRule>
    <cfRule type="containsText" priority="2613" operator="containsText" dxfId="0" text="Ausgaben">
      <formula>NOT(ISERROR(SEARCH("Ausgaben",C760)))</formula>
    </cfRule>
  </conditionalFormatting>
  <conditionalFormatting sqref="T760">
    <cfRule type="expression" priority="2616" dxfId="2">
      <formula>AND(AND($W760&lt;TODAY(),$W760&lt;&gt;""),$X760="")</formula>
    </cfRule>
    <cfRule type="expression" priority="2611" dxfId="2">
      <formula>AND(AND($W760&lt;TODAY(),$W760&lt;&gt;""),$X760="")</formula>
    </cfRule>
  </conditionalFormatting>
  <conditionalFormatting sqref="Z760">
    <cfRule type="dataBar" priority="2615">
      <dataBar>
        <cfvo type="min"/>
        <cfvo type="max"/>
        <color rgb="FF63C384"/>
      </dataBar>
    </cfRule>
    <cfRule type="dataBar" priority="2614">
      <dataBar>
        <cfvo type="min"/>
        <cfvo type="max"/>
        <color rgb="FF63C384"/>
      </dataBar>
    </cfRule>
    <cfRule type="dataBar" priority="2609">
      <dataBar>
        <cfvo type="min"/>
        <cfvo type="max"/>
        <color rgb="FF63C384"/>
      </dataBar>
    </cfRule>
    <cfRule type="dataBar" priority="2608">
      <dataBar>
        <cfvo type="min"/>
        <cfvo type="max"/>
        <color rgb="FF63C384"/>
      </dataBar>
    </cfRule>
  </conditionalFormatting>
  <conditionalFormatting sqref="C761">
    <cfRule type="containsText" priority="2606" operator="containsText" dxfId="1" text="Einnahmen">
      <formula>NOT(ISERROR(SEARCH("Einnahmen",C761)))</formula>
    </cfRule>
    <cfRule type="containsText" priority="2607" operator="containsText" dxfId="0" text="Ausgaben">
      <formula>NOT(ISERROR(SEARCH("Ausgaben",C761)))</formula>
    </cfRule>
  </conditionalFormatting>
  <conditionalFormatting sqref="J761">
    <cfRule type="cellIs" priority="2605" operator="equal" dxfId="2034">
      <formula>"ja"</formula>
    </cfRule>
  </conditionalFormatting>
  <conditionalFormatting sqref="T761">
    <cfRule type="expression" priority="2604" dxfId="2">
      <formula>AND(AND($W761&lt;TODAY(),$W761&lt;&gt;""),$X761="")</formula>
    </cfRule>
  </conditionalFormatting>
  <conditionalFormatting sqref="Z761">
    <cfRule type="dataBar" priority="2603">
      <dataBar>
        <cfvo type="min"/>
        <cfvo type="max"/>
        <color rgb="FF63C384"/>
      </dataBar>
    </cfRule>
    <cfRule type="dataBar" priority="2602">
      <dataBar>
        <cfvo type="min"/>
        <cfvo type="max"/>
        <color rgb="FF63C384"/>
      </dataBar>
    </cfRule>
  </conditionalFormatting>
  <conditionalFormatting sqref="J762">
    <cfRule type="cellIs" priority="2601" operator="equal" dxfId="2034">
      <formula>"ja"</formula>
    </cfRule>
    <cfRule type="cellIs" priority="2595" operator="equal" dxfId="2034">
      <formula>"ja"</formula>
    </cfRule>
    <cfRule type="cellIs" priority="2591" operator="equal" dxfId="2034">
      <formula>"ja"</formula>
    </cfRule>
  </conditionalFormatting>
  <conditionalFormatting sqref="C762">
    <cfRule type="containsText" priority="2599" operator="containsText" dxfId="1" text="Einnahmen">
      <formula>NOT(ISERROR(SEARCH("Einnahmen",C762)))</formula>
    </cfRule>
    <cfRule type="containsText" priority="2600" operator="containsText" dxfId="0" text="Ausgaben">
      <formula>NOT(ISERROR(SEARCH("Ausgaben",C762)))</formula>
    </cfRule>
    <cfRule type="containsText" priority="2589" operator="containsText" dxfId="1" text="Einnahmen">
      <formula>NOT(ISERROR(SEARCH("Einnahmen",C762)))</formula>
    </cfRule>
    <cfRule type="containsText" priority="2590" operator="containsText" dxfId="0" text="Ausgaben">
      <formula>NOT(ISERROR(SEARCH("Ausgaben",C762)))</formula>
    </cfRule>
  </conditionalFormatting>
  <conditionalFormatting sqref="T762">
    <cfRule type="expression" priority="2598" dxfId="2">
      <formula>AND(AND($W762&lt;TODAY(),$W762&lt;&gt;""),$X762="")</formula>
    </cfRule>
    <cfRule type="expression" priority="2594" dxfId="2">
      <formula>AND(AND($W762&lt;TODAY(),$W762&lt;&gt;""),$X762="")</formula>
    </cfRule>
    <cfRule type="expression" priority="2588" dxfId="2">
      <formula>AND(AND($W762&lt;TODAY(),$W762&lt;&gt;""),$X762="")</formula>
    </cfRule>
  </conditionalFormatting>
  <conditionalFormatting sqref="Z762">
    <cfRule type="dataBar" priority="2597">
      <dataBar>
        <cfvo type="min"/>
        <cfvo type="max"/>
        <color rgb="FF63C384"/>
      </dataBar>
    </cfRule>
    <cfRule type="dataBar" priority="2596">
      <dataBar>
        <cfvo type="min"/>
        <cfvo type="max"/>
        <color rgb="FF63C384"/>
      </dataBar>
    </cfRule>
    <cfRule type="dataBar" priority="2593">
      <dataBar>
        <cfvo type="min"/>
        <cfvo type="max"/>
        <color rgb="FF63C384"/>
      </dataBar>
    </cfRule>
    <cfRule type="dataBar" priority="2592">
      <dataBar>
        <cfvo type="min"/>
        <cfvo type="max"/>
        <color rgb="FF63C384"/>
      </dataBar>
    </cfRule>
    <cfRule type="dataBar" priority="2587">
      <dataBar>
        <cfvo type="min"/>
        <cfvo type="max"/>
        <color rgb="FF63C384"/>
      </dataBar>
    </cfRule>
    <cfRule type="dataBar" priority="2586">
      <dataBar>
        <cfvo type="min"/>
        <cfvo type="max"/>
        <color rgb="FF63C384"/>
      </dataBar>
    </cfRule>
  </conditionalFormatting>
  <conditionalFormatting sqref="J763:J764">
    <cfRule type="cellIs" priority="2585" operator="equal" dxfId="2034">
      <formula>"ja"</formula>
    </cfRule>
    <cfRule type="cellIs" priority="2579" operator="equal" dxfId="2034">
      <formula>"ja"</formula>
    </cfRule>
  </conditionalFormatting>
  <conditionalFormatting sqref="C763:C764">
    <cfRule type="containsText" priority="2583" operator="containsText" dxfId="1" text="Einnahmen">
      <formula>NOT(ISERROR(SEARCH("Einnahmen",C763)))</formula>
    </cfRule>
    <cfRule type="containsText" priority="2584" operator="containsText" dxfId="0" text="Ausgaben">
      <formula>NOT(ISERROR(SEARCH("Ausgaben",C763)))</formula>
    </cfRule>
  </conditionalFormatting>
  <conditionalFormatting sqref="T763:T764">
    <cfRule type="expression" priority="2582" dxfId="2">
      <formula>AND(AND($W763&lt;TODAY(),$W763&lt;&gt;""),$X763="")</formula>
    </cfRule>
    <cfRule type="expression" priority="2578" dxfId="2">
      <formula>AND(AND($W763&lt;TODAY(),$W763&lt;&gt;""),$X763="")</formula>
    </cfRule>
  </conditionalFormatting>
  <conditionalFormatting sqref="Z763:Z764">
    <cfRule type="dataBar" priority="2581">
      <dataBar>
        <cfvo type="min"/>
        <cfvo type="max"/>
        <color rgb="FF63C384"/>
      </dataBar>
    </cfRule>
    <cfRule type="dataBar" priority="2580">
      <dataBar>
        <cfvo type="min"/>
        <cfvo type="max"/>
        <color rgb="FF63C384"/>
      </dataBar>
    </cfRule>
    <cfRule type="dataBar" priority="2577">
      <dataBar>
        <cfvo type="min"/>
        <cfvo type="max"/>
        <color rgb="FF63C384"/>
      </dataBar>
    </cfRule>
    <cfRule type="dataBar" priority="2576">
      <dataBar>
        <cfvo type="min"/>
        <cfvo type="max"/>
        <color rgb="FF63C384"/>
      </dataBar>
    </cfRule>
  </conditionalFormatting>
  <conditionalFormatting sqref="J765">
    <cfRule type="cellIs" priority="2565" operator="equal" dxfId="2034">
      <formula>"ja"</formula>
    </cfRule>
    <cfRule type="cellIs" priority="2558" operator="equal" dxfId="2034">
      <formula>"ja"</formula>
    </cfRule>
  </conditionalFormatting>
  <conditionalFormatting sqref="T765">
    <cfRule type="expression" priority="2564" dxfId="2">
      <formula>AND(AND($W765&lt;TODAY(),$W765&lt;&gt;""),$X765="")</formula>
    </cfRule>
    <cfRule type="expression" priority="2561" dxfId="2">
      <formula>AND(AND($W765&lt;TODAY(),$W765&lt;&gt;""),$X765="")</formula>
    </cfRule>
  </conditionalFormatting>
  <conditionalFormatting sqref="Z765">
    <cfRule type="dataBar" priority="2563">
      <dataBar>
        <cfvo type="min"/>
        <cfvo type="max"/>
        <color rgb="FF63C384"/>
      </dataBar>
    </cfRule>
    <cfRule type="dataBar" priority="2562">
      <dataBar>
        <cfvo type="min"/>
        <cfvo type="max"/>
        <color rgb="FF63C384"/>
      </dataBar>
    </cfRule>
    <cfRule type="dataBar" priority="2560">
      <dataBar>
        <cfvo type="min"/>
        <cfvo type="max"/>
        <color rgb="FF63C384"/>
      </dataBar>
    </cfRule>
    <cfRule type="dataBar" priority="2559">
      <dataBar>
        <cfvo type="min"/>
        <cfvo type="max"/>
        <color rgb="FF63C384"/>
      </dataBar>
    </cfRule>
  </conditionalFormatting>
  <conditionalFormatting sqref="C765">
    <cfRule type="containsText" priority="2556" operator="containsText" dxfId="1" text="Einnahmen">
      <formula>NOT(ISERROR(SEARCH("Einnahmen",C765)))</formula>
    </cfRule>
    <cfRule type="containsText" priority="2557" operator="containsText" dxfId="0" text="Ausgaben">
      <formula>NOT(ISERROR(SEARCH("Ausgaben",C765)))</formula>
    </cfRule>
  </conditionalFormatting>
  <conditionalFormatting sqref="T766">
    <cfRule type="expression" priority="2555" dxfId="2">
      <formula>AND(AND($W766&lt;TODAY(),$W766&lt;&gt;""),$X766="")</formula>
    </cfRule>
  </conditionalFormatting>
  <conditionalFormatting sqref="Z766">
    <cfRule type="dataBar" priority="2554">
      <dataBar>
        <cfvo type="min"/>
        <cfvo type="max"/>
        <color rgb="FF63C384"/>
      </dataBar>
    </cfRule>
    <cfRule type="dataBar" priority="2553">
      <dataBar>
        <cfvo type="min"/>
        <cfvo type="max"/>
        <color rgb="FF63C384"/>
      </dataBar>
    </cfRule>
  </conditionalFormatting>
  <conditionalFormatting sqref="J766">
    <cfRule type="cellIs" priority="2552" operator="equal" dxfId="2034">
      <formula>"ja"</formula>
    </cfRule>
  </conditionalFormatting>
  <conditionalFormatting sqref="C766">
    <cfRule type="containsText" priority="2550" operator="containsText" dxfId="1" text="Einnahmen">
      <formula>NOT(ISERROR(SEARCH("Einnahmen",C766)))</formula>
    </cfRule>
    <cfRule type="containsText" priority="2551" operator="containsText" dxfId="0" text="Ausgaben">
      <formula>NOT(ISERROR(SEARCH("Ausgaben",C766)))</formula>
    </cfRule>
  </conditionalFormatting>
  <conditionalFormatting sqref="J767">
    <cfRule type="cellIs" priority="2549" operator="equal" dxfId="2034">
      <formula>"ja"</formula>
    </cfRule>
  </conditionalFormatting>
  <conditionalFormatting sqref="T767">
    <cfRule type="expression" priority="2548" dxfId="2">
      <formula>AND(AND($W767&lt;TODAY(),$W767&lt;&gt;""),$X767="")</formula>
    </cfRule>
  </conditionalFormatting>
  <conditionalFormatting sqref="Z767">
    <cfRule type="dataBar" priority="2547">
      <dataBar>
        <cfvo type="min"/>
        <cfvo type="max"/>
        <color rgb="FF63C384"/>
      </dataBar>
    </cfRule>
    <cfRule type="dataBar" priority="2546">
      <dataBar>
        <cfvo type="min"/>
        <cfvo type="max"/>
        <color rgb="FF63C384"/>
      </dataBar>
    </cfRule>
  </conditionalFormatting>
  <conditionalFormatting sqref="C767">
    <cfRule type="containsText" priority="2544" operator="containsText" dxfId="1" text="Einnahmen">
      <formula>NOT(ISERROR(SEARCH("Einnahmen",C767)))</formula>
    </cfRule>
    <cfRule type="containsText" priority="2545" operator="containsText" dxfId="0" text="Ausgaben">
      <formula>NOT(ISERROR(SEARCH("Ausgaben",C767)))</formula>
    </cfRule>
  </conditionalFormatting>
  <conditionalFormatting sqref="J768">
    <cfRule type="cellIs" priority="2543" operator="equal" dxfId="2034">
      <formula>"ja"</formula>
    </cfRule>
  </conditionalFormatting>
  <conditionalFormatting sqref="C768">
    <cfRule type="containsText" priority="2541" operator="containsText" dxfId="1" text="Einnahmen">
      <formula>NOT(ISERROR(SEARCH("Einnahmen",C768)))</formula>
    </cfRule>
    <cfRule type="containsText" priority="2542" operator="containsText" dxfId="0" text="Ausgaben">
      <formula>NOT(ISERROR(SEARCH("Ausgaben",C768)))</formula>
    </cfRule>
  </conditionalFormatting>
  <conditionalFormatting sqref="T768">
    <cfRule type="expression" priority="2540" dxfId="2">
      <formula>AND(AND($W768&lt;TODAY(),$W768&lt;&gt;""),$X768="")</formula>
    </cfRule>
  </conditionalFormatting>
  <conditionalFormatting sqref="Z768">
    <cfRule type="dataBar" priority="2539">
      <dataBar>
        <cfvo type="min"/>
        <cfvo type="max"/>
        <color rgb="FF63C384"/>
      </dataBar>
    </cfRule>
    <cfRule type="dataBar" priority="2538">
      <dataBar>
        <cfvo type="min"/>
        <cfvo type="max"/>
        <color rgb="FF63C384"/>
      </dataBar>
    </cfRule>
  </conditionalFormatting>
  <conditionalFormatting sqref="C769">
    <cfRule type="containsText" priority="2536" operator="containsText" dxfId="1" text="Einnahmen">
      <formula>NOT(ISERROR(SEARCH("Einnahmen",C769)))</formula>
    </cfRule>
    <cfRule type="containsText" priority="2537" operator="containsText" dxfId="0" text="Ausgaben">
      <formula>NOT(ISERROR(SEARCH("Ausgaben",C769)))</formula>
    </cfRule>
  </conditionalFormatting>
  <conditionalFormatting sqref="J769">
    <cfRule type="cellIs" priority="2535" operator="equal" dxfId="2034">
      <formula>"ja"</formula>
    </cfRule>
  </conditionalFormatting>
  <conditionalFormatting sqref="T769">
    <cfRule type="expression" priority="2534" dxfId="2">
      <formula>AND(AND($W769&lt;TODAY(),$W769&lt;&gt;""),$X769="")</formula>
    </cfRule>
  </conditionalFormatting>
  <conditionalFormatting sqref="Z769">
    <cfRule type="dataBar" priority="2533">
      <dataBar>
        <cfvo type="min"/>
        <cfvo type="max"/>
        <color rgb="FF63C384"/>
      </dataBar>
    </cfRule>
    <cfRule type="dataBar" priority="2532">
      <dataBar>
        <cfvo type="min"/>
        <cfvo type="max"/>
        <color rgb="FF63C384"/>
      </dataBar>
    </cfRule>
  </conditionalFormatting>
  <conditionalFormatting sqref="J770">
    <cfRule type="cellIs" priority="2531" operator="equal" dxfId="2034">
      <formula>"ja"</formula>
    </cfRule>
    <cfRule type="cellIs" priority="2527" operator="equal" dxfId="2034">
      <formula>"ja"</formula>
    </cfRule>
  </conditionalFormatting>
  <conditionalFormatting sqref="T770">
    <cfRule type="expression" priority="2530" dxfId="2">
      <formula>AND(AND($W770&lt;TODAY(),$W770&lt;&gt;""),$X770="")</formula>
    </cfRule>
    <cfRule type="expression" priority="2526" dxfId="2">
      <formula>AND(AND($W770&lt;TODAY(),$W770&lt;&gt;""),$X770="")</formula>
    </cfRule>
  </conditionalFormatting>
  <conditionalFormatting sqref="Z770">
    <cfRule type="dataBar" priority="2529">
      <dataBar>
        <cfvo type="min"/>
        <cfvo type="max"/>
        <color rgb="FF63C384"/>
      </dataBar>
    </cfRule>
    <cfRule type="dataBar" priority="2528">
      <dataBar>
        <cfvo type="min"/>
        <cfvo type="max"/>
        <color rgb="FF63C384"/>
      </dataBar>
    </cfRule>
    <cfRule type="dataBar" priority="2525">
      <dataBar>
        <cfvo type="min"/>
        <cfvo type="max"/>
        <color rgb="FF63C384"/>
      </dataBar>
    </cfRule>
    <cfRule type="dataBar" priority="2524">
      <dataBar>
        <cfvo type="min"/>
        <cfvo type="max"/>
        <color rgb="FF63C384"/>
      </dataBar>
    </cfRule>
  </conditionalFormatting>
  <conditionalFormatting sqref="C770">
    <cfRule type="containsText" priority="2522" operator="containsText" dxfId="1" text="Einnahmen">
      <formula>NOT(ISERROR(SEARCH("Einnahmen",C770)))</formula>
    </cfRule>
    <cfRule type="containsText" priority="2523" operator="containsText" dxfId="0" text="Ausgaben">
      <formula>NOT(ISERROR(SEARCH("Ausgaben",C770)))</formula>
    </cfRule>
  </conditionalFormatting>
  <conditionalFormatting sqref="J771">
    <cfRule type="cellIs" priority="2521" operator="equal" dxfId="2034">
      <formula>"ja"</formula>
    </cfRule>
  </conditionalFormatting>
  <conditionalFormatting sqref="C771">
    <cfRule type="containsText" priority="2519" operator="containsText" dxfId="1" text="Einnahmen">
      <formula>NOT(ISERROR(SEARCH("Einnahmen",C771)))</formula>
    </cfRule>
    <cfRule type="containsText" priority="2520" operator="containsText" dxfId="0" text="Ausgaben">
      <formula>NOT(ISERROR(SEARCH("Ausgaben",C771)))</formula>
    </cfRule>
  </conditionalFormatting>
  <conditionalFormatting sqref="T771">
    <cfRule type="expression" priority="2518" dxfId="2">
      <formula>AND(AND($W771&lt;TODAY(),$W771&lt;&gt;""),$X771="")</formula>
    </cfRule>
  </conditionalFormatting>
  <conditionalFormatting sqref="Z771">
    <cfRule type="dataBar" priority="2517">
      <dataBar>
        <cfvo type="min"/>
        <cfvo type="max"/>
        <color rgb="FF63C384"/>
      </dataBar>
    </cfRule>
    <cfRule type="dataBar" priority="2516">
      <dataBar>
        <cfvo type="min"/>
        <cfvo type="max"/>
        <color rgb="FF63C384"/>
      </dataBar>
    </cfRule>
  </conditionalFormatting>
  <conditionalFormatting sqref="C772">
    <cfRule type="containsText" priority="2514" operator="containsText" dxfId="1" text="Einnahmen">
      <formula>NOT(ISERROR(SEARCH("Einnahmen",C772)))</formula>
    </cfRule>
    <cfRule type="containsText" priority="2515" operator="containsText" dxfId="0" text="Ausgaben">
      <formula>NOT(ISERROR(SEARCH("Ausgaben",C772)))</formula>
    </cfRule>
  </conditionalFormatting>
  <conditionalFormatting sqref="J772">
    <cfRule type="cellIs" priority="2513" operator="equal" dxfId="2034">
      <formula>"ja"</formula>
    </cfRule>
    <cfRule type="cellIs" priority="2501" operator="equal" dxfId="2034">
      <formula>"ja"</formula>
    </cfRule>
    <cfRule type="cellIs" priority="2509" operator="equal" dxfId="2034">
      <formula>"ja"</formula>
    </cfRule>
    <cfRule type="cellIs" priority="2505" operator="equal" dxfId="2034">
      <formula>"ja"</formula>
    </cfRule>
  </conditionalFormatting>
  <conditionalFormatting sqref="T772">
    <cfRule type="expression" priority="2500" dxfId="2">
      <formula>AND(AND($W772&lt;TODAY(),$W772&lt;&gt;""),$X772="")</formula>
    </cfRule>
    <cfRule type="expression" priority="2512" dxfId="2">
      <formula>AND(AND($W772&lt;TODAY(),$W772&lt;&gt;""),$X772="")</formula>
    </cfRule>
    <cfRule type="expression" priority="2508" dxfId="2">
      <formula>AND(AND($W772&lt;TODAY(),$W772&lt;&gt;""),$X772="")</formula>
    </cfRule>
    <cfRule type="expression" priority="2504" dxfId="2">
      <formula>AND(AND($W772&lt;TODAY(),$W772&lt;&gt;""),$X772="")</formula>
    </cfRule>
  </conditionalFormatting>
  <conditionalFormatting sqref="Z772">
    <cfRule type="dataBar" priority="2511">
      <dataBar>
        <cfvo type="min"/>
        <cfvo type="max"/>
        <color rgb="FF63C384"/>
      </dataBar>
    </cfRule>
    <cfRule type="dataBar" priority="2510">
      <dataBar>
        <cfvo type="min"/>
        <cfvo type="max"/>
        <color rgb="FF63C384"/>
      </dataBar>
    </cfRule>
    <cfRule type="dataBar" priority="2507">
      <dataBar>
        <cfvo type="min"/>
        <cfvo type="max"/>
        <color rgb="FF63C384"/>
      </dataBar>
    </cfRule>
    <cfRule type="dataBar" priority="2506">
      <dataBar>
        <cfvo type="min"/>
        <cfvo type="max"/>
        <color rgb="FF63C384"/>
      </dataBar>
    </cfRule>
    <cfRule type="dataBar" priority="2503">
      <dataBar>
        <cfvo type="min"/>
        <cfvo type="max"/>
        <color rgb="FF63C384"/>
      </dataBar>
    </cfRule>
    <cfRule type="dataBar" priority="2502">
      <dataBar>
        <cfvo type="min"/>
        <cfvo type="max"/>
        <color rgb="FF63C384"/>
      </dataBar>
    </cfRule>
    <cfRule type="dataBar" priority="2499">
      <dataBar>
        <cfvo type="min"/>
        <cfvo type="max"/>
        <color rgb="FF63C384"/>
      </dataBar>
    </cfRule>
    <cfRule type="dataBar" priority="2498">
      <dataBar>
        <cfvo type="min"/>
        <cfvo type="max"/>
        <color rgb="FF63C384"/>
      </dataBar>
    </cfRule>
  </conditionalFormatting>
  <conditionalFormatting sqref="C773">
    <cfRule type="containsText" priority="2486" operator="containsText" dxfId="1" text="Einnahmen">
      <formula>NOT(ISERROR(SEARCH("Einnahmen",C773)))</formula>
    </cfRule>
    <cfRule type="containsText" priority="2487" operator="containsText" dxfId="0" text="Ausgaben">
      <formula>NOT(ISERROR(SEARCH("Ausgaben",C773)))</formula>
    </cfRule>
  </conditionalFormatting>
  <conditionalFormatting sqref="J773">
    <cfRule type="cellIs" priority="2485" operator="equal" dxfId="2034">
      <formula>"ja"</formula>
    </cfRule>
    <cfRule type="cellIs" priority="2480" operator="equal" dxfId="2034">
      <formula>"ja"</formula>
    </cfRule>
  </conditionalFormatting>
  <conditionalFormatting sqref="T773">
    <cfRule type="expression" priority="2484" dxfId="2">
      <formula>AND(AND($W773&lt;TODAY(),$W773&lt;&gt;""),$X773="")</formula>
    </cfRule>
    <cfRule type="expression" priority="2481" dxfId="2">
      <formula>AND(AND($W773&lt;TODAY(),$W773&lt;&gt;""),$X773="")</formula>
    </cfRule>
  </conditionalFormatting>
  <conditionalFormatting sqref="Z773">
    <cfRule type="dataBar" priority="2483">
      <dataBar>
        <cfvo type="min"/>
        <cfvo type="max"/>
        <color rgb="FF63C384"/>
      </dataBar>
    </cfRule>
    <cfRule type="dataBar" priority="2482">
      <dataBar>
        <cfvo type="min"/>
        <cfvo type="max"/>
        <color rgb="FF63C384"/>
      </dataBar>
    </cfRule>
    <cfRule type="dataBar" priority="2479">
      <dataBar>
        <cfvo type="min"/>
        <cfvo type="max"/>
        <color rgb="FF63C384"/>
      </dataBar>
    </cfRule>
    <cfRule type="dataBar" priority="2478">
      <dataBar>
        <cfvo type="min"/>
        <cfvo type="max"/>
        <color rgb="FF63C384"/>
      </dataBar>
    </cfRule>
  </conditionalFormatting>
  <conditionalFormatting sqref="C774">
    <cfRule type="containsText" priority="2476" operator="containsText" dxfId="1" text="Einnahmen">
      <formula>NOT(ISERROR(SEARCH("Einnahmen",C774)))</formula>
    </cfRule>
    <cfRule type="containsText" priority="2477" operator="containsText" dxfId="0" text="Ausgaben">
      <formula>NOT(ISERROR(SEARCH("Ausgaben",C774)))</formula>
    </cfRule>
  </conditionalFormatting>
  <conditionalFormatting sqref="J774">
    <cfRule type="cellIs" priority="2475" operator="equal" dxfId="2034">
      <formula>"ja"</formula>
    </cfRule>
    <cfRule type="cellIs" priority="2468" operator="equal" dxfId="2034">
      <formula>"ja"</formula>
    </cfRule>
  </conditionalFormatting>
  <conditionalFormatting sqref="T774">
    <cfRule type="expression" priority="2474" dxfId="2">
      <formula>AND(AND($W774&lt;TODAY(),$W774&lt;&gt;""),$X774="")</formula>
    </cfRule>
    <cfRule type="expression" priority="2471" dxfId="2">
      <formula>AND(AND($W774&lt;TODAY(),$W774&lt;&gt;""),$X774="")</formula>
    </cfRule>
  </conditionalFormatting>
  <conditionalFormatting sqref="Z774">
    <cfRule type="dataBar" priority="2473">
      <dataBar>
        <cfvo type="min"/>
        <cfvo type="max"/>
        <color rgb="FF63C384"/>
      </dataBar>
    </cfRule>
    <cfRule type="dataBar" priority="2472">
      <dataBar>
        <cfvo type="min"/>
        <cfvo type="max"/>
        <color rgb="FF63C384"/>
      </dataBar>
    </cfRule>
    <cfRule type="dataBar" priority="2470">
      <dataBar>
        <cfvo type="min"/>
        <cfvo type="max"/>
        <color rgb="FF63C384"/>
      </dataBar>
    </cfRule>
    <cfRule type="dataBar" priority="2469">
      <dataBar>
        <cfvo type="min"/>
        <cfvo type="max"/>
        <color rgb="FF63C384"/>
      </dataBar>
    </cfRule>
  </conditionalFormatting>
  <conditionalFormatting sqref="J775">
    <cfRule type="cellIs" priority="2467" operator="equal" dxfId="2034">
      <formula>"ja"</formula>
    </cfRule>
  </conditionalFormatting>
  <conditionalFormatting sqref="C775">
    <cfRule type="containsText" priority="2465" operator="containsText" dxfId="1" text="Einnahmen">
      <formula>NOT(ISERROR(SEARCH("Einnahmen",C775)))</formula>
    </cfRule>
    <cfRule type="containsText" priority="2466" operator="containsText" dxfId="0" text="Ausgaben">
      <formula>NOT(ISERROR(SEARCH("Ausgaben",C775)))</formula>
    </cfRule>
  </conditionalFormatting>
  <conditionalFormatting sqref="T775">
    <cfRule type="expression" priority="2464" dxfId="2">
      <formula>AND(AND($W775&lt;TODAY(),$W775&lt;&gt;""),$X775="")</formula>
    </cfRule>
  </conditionalFormatting>
  <conditionalFormatting sqref="Z775">
    <cfRule type="dataBar" priority="2463">
      <dataBar>
        <cfvo type="min"/>
        <cfvo type="max"/>
        <color rgb="FF63C384"/>
      </dataBar>
    </cfRule>
    <cfRule type="dataBar" priority="2462">
      <dataBar>
        <cfvo type="min"/>
        <cfvo type="max"/>
        <color rgb="FF63C384"/>
      </dataBar>
    </cfRule>
  </conditionalFormatting>
  <conditionalFormatting sqref="J776">
    <cfRule type="cellIs" priority="2461" operator="equal" dxfId="2034">
      <formula>"ja"</formula>
    </cfRule>
    <cfRule type="cellIs" priority="2452" operator="equal" dxfId="2034">
      <formula>"ja"</formula>
    </cfRule>
  </conditionalFormatting>
  <conditionalFormatting sqref="C776">
    <cfRule type="containsText" priority="2459" operator="containsText" dxfId="1" text="Einnahmen">
      <formula>NOT(ISERROR(SEARCH("Einnahmen",C776)))</formula>
    </cfRule>
    <cfRule type="containsText" priority="2460" operator="containsText" dxfId="0" text="Ausgaben">
      <formula>NOT(ISERROR(SEARCH("Ausgaben",C776)))</formula>
    </cfRule>
    <cfRule type="containsText" priority="2454" operator="containsText" dxfId="1" text="Einnahmen">
      <formula>NOT(ISERROR(SEARCH("Einnahmen",C776)))</formula>
    </cfRule>
    <cfRule type="containsText" priority="2455" operator="containsText" dxfId="0" text="Ausgaben">
      <formula>NOT(ISERROR(SEARCH("Ausgaben",C776)))</formula>
    </cfRule>
  </conditionalFormatting>
  <conditionalFormatting sqref="T776">
    <cfRule type="expression" priority="2458" dxfId="2">
      <formula>AND(AND($W776&lt;TODAY(),$W776&lt;&gt;""),$X776="")</formula>
    </cfRule>
    <cfRule type="expression" priority="2453" dxfId="2">
      <formula>AND(AND($W776&lt;TODAY(),$W776&lt;&gt;""),$X776="")</formula>
    </cfRule>
  </conditionalFormatting>
  <conditionalFormatting sqref="Z776">
    <cfRule type="dataBar" priority="2457">
      <dataBar>
        <cfvo type="min"/>
        <cfvo type="max"/>
        <color rgb="FF63C384"/>
      </dataBar>
    </cfRule>
    <cfRule type="dataBar" priority="2456">
      <dataBar>
        <cfvo type="min"/>
        <cfvo type="max"/>
        <color rgb="FF63C384"/>
      </dataBar>
    </cfRule>
    <cfRule type="dataBar" priority="2451">
      <dataBar>
        <cfvo type="min"/>
        <cfvo type="max"/>
        <color rgb="FF63C384"/>
      </dataBar>
    </cfRule>
    <cfRule type="dataBar" priority="2450">
      <dataBar>
        <cfvo type="min"/>
        <cfvo type="max"/>
        <color rgb="FF63C384"/>
      </dataBar>
    </cfRule>
  </conditionalFormatting>
  <conditionalFormatting sqref="J777">
    <cfRule type="cellIs" priority="2449" operator="equal" dxfId="2034">
      <formula>"ja"</formula>
    </cfRule>
    <cfRule type="cellIs" priority="2443" operator="equal" dxfId="2034">
      <formula>"ja"</formula>
    </cfRule>
    <cfRule type="cellIs" priority="2439" operator="equal" dxfId="2034">
      <formula>"ja"</formula>
    </cfRule>
  </conditionalFormatting>
  <conditionalFormatting sqref="C777">
    <cfRule type="containsText" priority="2447" operator="containsText" dxfId="1" text="Einnahmen">
      <formula>NOT(ISERROR(SEARCH("Einnahmen",C777)))</formula>
    </cfRule>
    <cfRule type="containsText" priority="2448" operator="containsText" dxfId="0" text="Ausgaben">
      <formula>NOT(ISERROR(SEARCH("Ausgaben",C777)))</formula>
    </cfRule>
    <cfRule type="containsText" priority="2437" operator="containsText" dxfId="1" text="Einnahmen">
      <formula>NOT(ISERROR(SEARCH("Einnahmen",C777)))</formula>
    </cfRule>
    <cfRule type="containsText" priority="2438" operator="containsText" dxfId="0" text="Ausgaben">
      <formula>NOT(ISERROR(SEARCH("Ausgaben",C777)))</formula>
    </cfRule>
  </conditionalFormatting>
  <conditionalFormatting sqref="T777">
    <cfRule type="expression" priority="2446" dxfId="2">
      <formula>AND(AND($W777&lt;TODAY(),$W777&lt;&gt;""),$X777="")</formula>
    </cfRule>
    <cfRule type="expression" priority="2442" dxfId="2">
      <formula>AND(AND($W777&lt;TODAY(),$W777&lt;&gt;""),$X777="")</formula>
    </cfRule>
    <cfRule type="expression" priority="2436" dxfId="2">
      <formula>AND(AND($W777&lt;TODAY(),$W777&lt;&gt;""),$X777="")</formula>
    </cfRule>
  </conditionalFormatting>
  <conditionalFormatting sqref="Z777">
    <cfRule type="dataBar" priority="2445">
      <dataBar>
        <cfvo type="min"/>
        <cfvo type="max"/>
        <color rgb="FF63C384"/>
      </dataBar>
    </cfRule>
    <cfRule type="dataBar" priority="2444">
      <dataBar>
        <cfvo type="min"/>
        <cfvo type="max"/>
        <color rgb="FF63C384"/>
      </dataBar>
    </cfRule>
    <cfRule type="dataBar" priority="2441">
      <dataBar>
        <cfvo type="min"/>
        <cfvo type="max"/>
        <color rgb="FF63C384"/>
      </dataBar>
    </cfRule>
    <cfRule type="dataBar" priority="2440">
      <dataBar>
        <cfvo type="min"/>
        <cfvo type="max"/>
        <color rgb="FF63C384"/>
      </dataBar>
    </cfRule>
    <cfRule type="dataBar" priority="2435">
      <dataBar>
        <cfvo type="min"/>
        <cfvo type="max"/>
        <color rgb="FF63C384"/>
      </dataBar>
    </cfRule>
    <cfRule type="dataBar" priority="2434">
      <dataBar>
        <cfvo type="min"/>
        <cfvo type="max"/>
        <color rgb="FF63C384"/>
      </dataBar>
    </cfRule>
  </conditionalFormatting>
  <conditionalFormatting sqref="C778">
    <cfRule type="containsText" priority="2432" operator="containsText" dxfId="1" text="Einnahmen">
      <formula>NOT(ISERROR(SEARCH("Einnahmen",C778)))</formula>
    </cfRule>
    <cfRule type="containsText" priority="2433" operator="containsText" dxfId="0" text="Ausgaben">
      <formula>NOT(ISERROR(SEARCH("Ausgaben",C778)))</formula>
    </cfRule>
  </conditionalFormatting>
  <conditionalFormatting sqref="J778">
    <cfRule type="cellIs" priority="2431" operator="equal" dxfId="2034">
      <formula>"ja"</formula>
    </cfRule>
  </conditionalFormatting>
  <conditionalFormatting sqref="T778">
    <cfRule type="expression" priority="2430" dxfId="2">
      <formula>AND(AND($W778&lt;TODAY(),$W778&lt;&gt;""),$X778="")</formula>
    </cfRule>
  </conditionalFormatting>
  <conditionalFormatting sqref="Z778">
    <cfRule type="dataBar" priority="2429">
      <dataBar>
        <cfvo type="min"/>
        <cfvo type="max"/>
        <color rgb="FF63C384"/>
      </dataBar>
    </cfRule>
    <cfRule type="dataBar" priority="2428">
      <dataBar>
        <cfvo type="min"/>
        <cfvo type="max"/>
        <color rgb="FF63C384"/>
      </dataBar>
    </cfRule>
  </conditionalFormatting>
  <conditionalFormatting sqref="J779">
    <cfRule type="cellIs" priority="2427" operator="equal" dxfId="2034">
      <formula>"ja"</formula>
    </cfRule>
    <cfRule type="cellIs" priority="2420" operator="equal" dxfId="2034">
      <formula>"ja"</formula>
    </cfRule>
  </conditionalFormatting>
  <conditionalFormatting sqref="T779">
    <cfRule type="expression" priority="2426" dxfId="2">
      <formula>AND(AND($W779&lt;TODAY(),$W779&lt;&gt;""),$X779="")</formula>
    </cfRule>
    <cfRule type="expression" priority="2423" dxfId="2">
      <formula>AND(AND($W779&lt;TODAY(),$W779&lt;&gt;""),$X779="")</formula>
    </cfRule>
  </conditionalFormatting>
  <conditionalFormatting sqref="Z779">
    <cfRule type="dataBar" priority="2425">
      <dataBar>
        <cfvo type="min"/>
        <cfvo type="max"/>
        <color rgb="FF63C384"/>
      </dataBar>
    </cfRule>
    <cfRule type="dataBar" priority="2424">
      <dataBar>
        <cfvo type="min"/>
        <cfvo type="max"/>
        <color rgb="FF63C384"/>
      </dataBar>
    </cfRule>
    <cfRule type="dataBar" priority="2422">
      <dataBar>
        <cfvo type="min"/>
        <cfvo type="max"/>
        <color rgb="FF63C384"/>
      </dataBar>
    </cfRule>
    <cfRule type="dataBar" priority="2421">
      <dataBar>
        <cfvo type="min"/>
        <cfvo type="max"/>
        <color rgb="FF63C384"/>
      </dataBar>
    </cfRule>
  </conditionalFormatting>
  <conditionalFormatting sqref="C779">
    <cfRule type="containsText" priority="2418" operator="containsText" dxfId="1" text="Einnahmen">
      <formula>NOT(ISERROR(SEARCH("Einnahmen",C779)))</formula>
    </cfRule>
    <cfRule type="containsText" priority="2419" operator="containsText" dxfId="0" text="Ausgaben">
      <formula>NOT(ISERROR(SEARCH("Ausgaben",C779)))</formula>
    </cfRule>
  </conditionalFormatting>
  <conditionalFormatting sqref="C780">
    <cfRule type="containsText" priority="2416" operator="containsText" dxfId="1" text="Einnahmen">
      <formula>NOT(ISERROR(SEARCH("Einnahmen",C780)))</formula>
    </cfRule>
    <cfRule type="containsText" priority="2417" operator="containsText" dxfId="0" text="Ausgaben">
      <formula>NOT(ISERROR(SEARCH("Ausgaben",C780)))</formula>
    </cfRule>
    <cfRule type="containsText" priority="2413" operator="containsText" dxfId="1" text="Einnahmen">
      <formula>NOT(ISERROR(SEARCH("Einnahmen",C780)))</formula>
    </cfRule>
    <cfRule type="containsText" priority="2414" operator="containsText" dxfId="0" text="Ausgaben">
      <formula>NOT(ISERROR(SEARCH("Ausgaben",C780)))</formula>
    </cfRule>
  </conditionalFormatting>
  <conditionalFormatting sqref="J780">
    <cfRule type="cellIs" priority="2415" operator="equal" dxfId="2034">
      <formula>"ja"</formula>
    </cfRule>
    <cfRule type="cellIs" priority="2409" operator="equal" dxfId="2034">
      <formula>"ja"</formula>
    </cfRule>
  </conditionalFormatting>
  <conditionalFormatting sqref="T780">
    <cfRule type="expression" priority="2412" dxfId="2">
      <formula>AND(AND($W780&lt;TODAY(),$W780&lt;&gt;""),$X780="")</formula>
    </cfRule>
    <cfRule type="expression" priority="2408" dxfId="2">
      <formula>AND(AND($W780&lt;TODAY(),$W780&lt;&gt;""),$X780="")</formula>
    </cfRule>
  </conditionalFormatting>
  <conditionalFormatting sqref="Z780">
    <cfRule type="dataBar" priority="2411">
      <dataBar>
        <cfvo type="min"/>
        <cfvo type="max"/>
        <color rgb="FF63C384"/>
      </dataBar>
    </cfRule>
    <cfRule type="dataBar" priority="2410">
      <dataBar>
        <cfvo type="min"/>
        <cfvo type="max"/>
        <color rgb="FF63C384"/>
      </dataBar>
    </cfRule>
    <cfRule type="dataBar" priority="2407">
      <dataBar>
        <cfvo type="min"/>
        <cfvo type="max"/>
        <color rgb="FF63C384"/>
      </dataBar>
    </cfRule>
    <cfRule type="dataBar" priority="2406">
      <dataBar>
        <cfvo type="min"/>
        <cfvo type="max"/>
        <color rgb="FF63C384"/>
      </dataBar>
    </cfRule>
  </conditionalFormatting>
  <conditionalFormatting sqref="C781">
    <cfRule type="containsText" priority="2404" operator="containsText" dxfId="1" text="Einnahmen">
      <formula>NOT(ISERROR(SEARCH("Einnahmen",C781)))</formula>
    </cfRule>
    <cfRule type="containsText" priority="2405" operator="containsText" dxfId="0" text="Ausgaben">
      <formula>NOT(ISERROR(SEARCH("Ausgaben",C781)))</formula>
    </cfRule>
  </conditionalFormatting>
  <conditionalFormatting sqref="J781">
    <cfRule type="cellIs" priority="2403" operator="equal" dxfId="2034">
      <formula>"ja"</formula>
    </cfRule>
  </conditionalFormatting>
  <conditionalFormatting sqref="T781:T782">
    <cfRule type="expression" priority="2402" dxfId="2">
      <formula>AND(AND($W781&lt;TODAY(),$W781&lt;&gt;""),$X781="")</formula>
    </cfRule>
  </conditionalFormatting>
  <conditionalFormatting sqref="Z781:Z782">
    <cfRule type="dataBar" priority="2401">
      <dataBar>
        <cfvo type="min"/>
        <cfvo type="max"/>
        <color rgb="FF63C384"/>
      </dataBar>
    </cfRule>
    <cfRule type="dataBar" priority="2400">
      <dataBar>
        <cfvo type="min"/>
        <cfvo type="max"/>
        <color rgb="FF63C384"/>
      </dataBar>
    </cfRule>
  </conditionalFormatting>
  <conditionalFormatting sqref="C782">
    <cfRule type="containsText" priority="2396" operator="containsText" dxfId="1" text="Einnahmen">
      <formula>NOT(ISERROR(SEARCH("Einnahmen",C782)))</formula>
    </cfRule>
    <cfRule type="containsText" priority="2397" operator="containsText" dxfId="0" text="Ausgaben">
      <formula>NOT(ISERROR(SEARCH("Ausgaben",C782)))</formula>
    </cfRule>
    <cfRule type="containsText" priority="2394" operator="containsText" dxfId="1" text="Einnahmen">
      <formula>NOT(ISERROR(SEARCH("Einnahmen",C782)))</formula>
    </cfRule>
    <cfRule type="containsText" priority="2395" operator="containsText" dxfId="0" text="Ausgaben">
      <formula>NOT(ISERROR(SEARCH("Ausgaben",C782)))</formula>
    </cfRule>
  </conditionalFormatting>
  <conditionalFormatting sqref="C807 C817 C827 C837 C839 C847:C848 C864 C871 C873 C888 C898">
    <cfRule type="containsText" priority="2374" operator="containsText" dxfId="1" text="Einnahmen">
      <formula>NOT(ISERROR(SEARCH("Einnahmen",C807)))</formula>
    </cfRule>
    <cfRule type="containsText" priority="2375" operator="containsText" dxfId="0" text="Ausgaben">
      <formula>NOT(ISERROR(SEARCH("Ausgaben",C807)))</formula>
    </cfRule>
  </conditionalFormatting>
  <conditionalFormatting sqref="C806 C826 C836 C838 C840 C844:C845 C858:C860 C866 C870 C872 C884 C886">
    <cfRule type="containsText" priority="2372" operator="containsText" dxfId="1" text="Einnahmen">
      <formula>NOT(ISERROR(SEARCH("Einnahmen",C806)))</formula>
    </cfRule>
    <cfRule type="containsText" priority="2373" operator="containsText" dxfId="0" text="Ausgaben">
      <formula>NOT(ISERROR(SEARCH("Ausgaben",C806)))</formula>
    </cfRule>
  </conditionalFormatting>
  <conditionalFormatting sqref="C783">
    <cfRule type="containsText" priority="2310" operator="containsText" dxfId="1" text="Einnahmen">
      <formula>NOT(ISERROR(SEARCH("Einnahmen",C783)))</formula>
    </cfRule>
    <cfRule type="containsText" priority="2311" operator="containsText" dxfId="0" text="Ausgaben">
      <formula>NOT(ISERROR(SEARCH("Ausgaben",C783)))</formula>
    </cfRule>
  </conditionalFormatting>
  <conditionalFormatting sqref="T783">
    <cfRule type="expression" priority="2309" dxfId="2">
      <formula>AND(AND($W783&lt;TODAY(),$W783&lt;&gt;""),$X783="")</formula>
    </cfRule>
  </conditionalFormatting>
  <conditionalFormatting sqref="Z783">
    <cfRule type="dataBar" priority="2308">
      <dataBar>
        <cfvo type="min"/>
        <cfvo type="max"/>
        <color rgb="FF63C384"/>
      </dataBar>
    </cfRule>
    <cfRule type="dataBar" priority="2307">
      <dataBar>
        <cfvo type="min"/>
        <cfvo type="max"/>
        <color rgb="FF63C384"/>
      </dataBar>
    </cfRule>
  </conditionalFormatting>
  <conditionalFormatting sqref="J783">
    <cfRule type="cellIs" priority="2306" operator="equal" dxfId="2034">
      <formula>"ja"</formula>
    </cfRule>
  </conditionalFormatting>
  <conditionalFormatting sqref="T784">
    <cfRule type="expression" priority="2302" dxfId="2">
      <formula>AND(AND($W784&lt;TODAY(),$W784&lt;&gt;""),$X784="")</formula>
    </cfRule>
  </conditionalFormatting>
  <conditionalFormatting sqref="C784">
    <cfRule type="containsText" priority="2304" operator="containsText" dxfId="1" text="Einnahmen">
      <formula>NOT(ISERROR(SEARCH("Einnahmen",C784)))</formula>
    </cfRule>
    <cfRule type="containsText" priority="2305" operator="containsText" dxfId="0" text="Ausgaben">
      <formula>NOT(ISERROR(SEARCH("Ausgaben",C784)))</formula>
    </cfRule>
  </conditionalFormatting>
  <conditionalFormatting sqref="J784">
    <cfRule type="cellIs" priority="2303" operator="equal" dxfId="2034">
      <formula>"ja"</formula>
    </cfRule>
  </conditionalFormatting>
  <conditionalFormatting sqref="Z784">
    <cfRule type="dataBar" priority="2301">
      <dataBar>
        <cfvo type="min"/>
        <cfvo type="max"/>
        <color rgb="FF63C384"/>
      </dataBar>
    </cfRule>
    <cfRule type="dataBar" priority="2300">
      <dataBar>
        <cfvo type="min"/>
        <cfvo type="max"/>
        <color rgb="FF63C384"/>
      </dataBar>
    </cfRule>
  </conditionalFormatting>
  <conditionalFormatting sqref="T785">
    <cfRule type="expression" priority="2299" dxfId="2">
      <formula>AND(AND($W785&lt;TODAY(),$W785&lt;&gt;""),$X785="")</formula>
    </cfRule>
  </conditionalFormatting>
  <conditionalFormatting sqref="Z785">
    <cfRule type="dataBar" priority="2298">
      <dataBar>
        <cfvo type="min"/>
        <cfvo type="max"/>
        <color rgb="FF63C384"/>
      </dataBar>
    </cfRule>
    <cfRule type="dataBar" priority="2297">
      <dataBar>
        <cfvo type="min"/>
        <cfvo type="max"/>
        <color rgb="FF63C384"/>
      </dataBar>
    </cfRule>
  </conditionalFormatting>
  <conditionalFormatting sqref="J785">
    <cfRule type="cellIs" priority="2296" operator="equal" dxfId="2034">
      <formula>"ja"</formula>
    </cfRule>
  </conditionalFormatting>
  <conditionalFormatting sqref="C785">
    <cfRule type="containsText" priority="2294" operator="containsText" dxfId="1" text="Einnahmen">
      <formula>NOT(ISERROR(SEARCH("Einnahmen",C785)))</formula>
    </cfRule>
    <cfRule type="containsText" priority="2295" operator="containsText" dxfId="0" text="Ausgaben">
      <formula>NOT(ISERROR(SEARCH("Ausgaben",C785)))</formula>
    </cfRule>
  </conditionalFormatting>
  <conditionalFormatting sqref="C786">
    <cfRule type="containsText" priority="2292" operator="containsText" dxfId="1" text="Einnahmen">
      <formula>NOT(ISERROR(SEARCH("Einnahmen",C786)))</formula>
    </cfRule>
    <cfRule type="containsText" priority="2293" operator="containsText" dxfId="0" text="Ausgaben">
      <formula>NOT(ISERROR(SEARCH("Ausgaben",C786)))</formula>
    </cfRule>
  </conditionalFormatting>
  <conditionalFormatting sqref="J786">
    <cfRule type="cellIs" priority="2291" operator="equal" dxfId="2034">
      <formula>"ja"</formula>
    </cfRule>
    <cfRule type="cellIs" priority="2286" operator="equal" dxfId="2034">
      <formula>"ja"</formula>
    </cfRule>
  </conditionalFormatting>
  <conditionalFormatting sqref="T786">
    <cfRule type="expression" priority="2290" dxfId="2">
      <formula>AND(AND($W786&lt;TODAY(),$W786&lt;&gt;""),$X786="")</formula>
    </cfRule>
    <cfRule type="expression" priority="2287" dxfId="2">
      <formula>AND(AND($W786&lt;TODAY(),$W786&lt;&gt;""),$X786="")</formula>
    </cfRule>
  </conditionalFormatting>
  <conditionalFormatting sqref="Z786">
    <cfRule type="dataBar" priority="2289">
      <dataBar>
        <cfvo type="min"/>
        <cfvo type="max"/>
        <color rgb="FF63C384"/>
      </dataBar>
    </cfRule>
    <cfRule type="dataBar" priority="2288">
      <dataBar>
        <cfvo type="min"/>
        <cfvo type="max"/>
        <color rgb="FF63C384"/>
      </dataBar>
    </cfRule>
    <cfRule type="dataBar" priority="2285">
      <dataBar>
        <cfvo type="min"/>
        <cfvo type="max"/>
        <color rgb="FF63C384"/>
      </dataBar>
    </cfRule>
    <cfRule type="dataBar" priority="2284">
      <dataBar>
        <cfvo type="min"/>
        <cfvo type="max"/>
        <color rgb="FF63C384"/>
      </dataBar>
    </cfRule>
  </conditionalFormatting>
  <conditionalFormatting sqref="C787">
    <cfRule type="containsText" priority="2282" operator="containsText" dxfId="1" text="Einnahmen">
      <formula>NOT(ISERROR(SEARCH("Einnahmen",C787)))</formula>
    </cfRule>
    <cfRule type="containsText" priority="2283" operator="containsText" dxfId="0" text="Ausgaben">
      <formula>NOT(ISERROR(SEARCH("Ausgaben",C787)))</formula>
    </cfRule>
  </conditionalFormatting>
  <conditionalFormatting sqref="J787">
    <cfRule type="cellIs" priority="2281" operator="equal" dxfId="2034">
      <formula>"ja"</formula>
    </cfRule>
  </conditionalFormatting>
  <conditionalFormatting sqref="T787">
    <cfRule type="expression" priority="2280" dxfId="2">
      <formula>AND(AND($W787&lt;TODAY(),$W787&lt;&gt;""),$X787="")</formula>
    </cfRule>
  </conditionalFormatting>
  <conditionalFormatting sqref="Z787">
    <cfRule type="dataBar" priority="2279">
      <dataBar>
        <cfvo type="min"/>
        <cfvo type="max"/>
        <color rgb="FF63C384"/>
      </dataBar>
    </cfRule>
    <cfRule type="dataBar" priority="2278">
      <dataBar>
        <cfvo type="min"/>
        <cfvo type="max"/>
        <color rgb="FF63C384"/>
      </dataBar>
    </cfRule>
  </conditionalFormatting>
  <conditionalFormatting sqref="C788">
    <cfRule type="containsText" priority="2276" operator="containsText" dxfId="1" text="Einnahmen">
      <formula>NOT(ISERROR(SEARCH("Einnahmen",C788)))</formula>
    </cfRule>
    <cfRule type="containsText" priority="2277" operator="containsText" dxfId="0" text="Ausgaben">
      <formula>NOT(ISERROR(SEARCH("Ausgaben",C788)))</formula>
    </cfRule>
  </conditionalFormatting>
  <conditionalFormatting sqref="J788">
    <cfRule type="cellIs" priority="2275" operator="equal" dxfId="2034">
      <formula>"ja"</formula>
    </cfRule>
    <cfRule type="cellIs" priority="2263" operator="equal" dxfId="2034">
      <formula>"ja"</formula>
    </cfRule>
    <cfRule type="cellIs" priority="2271" operator="equal" dxfId="2034">
      <formula>"ja"</formula>
    </cfRule>
    <cfRule type="cellIs" priority="2267" operator="equal" dxfId="2034">
      <formula>"ja"</formula>
    </cfRule>
  </conditionalFormatting>
  <conditionalFormatting sqref="T788">
    <cfRule type="expression" priority="2262" dxfId="2">
      <formula>AND(AND($W788&lt;TODAY(),$W788&lt;&gt;""),$X788="")</formula>
    </cfRule>
    <cfRule type="expression" priority="2274" dxfId="2">
      <formula>AND(AND($W788&lt;TODAY(),$W788&lt;&gt;""),$X788="")</formula>
    </cfRule>
    <cfRule type="expression" priority="2270" dxfId="2">
      <formula>AND(AND($W788&lt;TODAY(),$W788&lt;&gt;""),$X788="")</formula>
    </cfRule>
    <cfRule type="expression" priority="2266" dxfId="2">
      <formula>AND(AND($W788&lt;TODAY(),$W788&lt;&gt;""),$X788="")</formula>
    </cfRule>
  </conditionalFormatting>
  <conditionalFormatting sqref="Z788">
    <cfRule type="dataBar" priority="2273">
      <dataBar>
        <cfvo type="min"/>
        <cfvo type="max"/>
        <color rgb="FF63C384"/>
      </dataBar>
    </cfRule>
    <cfRule type="dataBar" priority="2272">
      <dataBar>
        <cfvo type="min"/>
        <cfvo type="max"/>
        <color rgb="FF63C384"/>
      </dataBar>
    </cfRule>
    <cfRule type="dataBar" priority="2269">
      <dataBar>
        <cfvo type="min"/>
        <cfvo type="max"/>
        <color rgb="FF63C384"/>
      </dataBar>
    </cfRule>
    <cfRule type="dataBar" priority="2268">
      <dataBar>
        <cfvo type="min"/>
        <cfvo type="max"/>
        <color rgb="FF63C384"/>
      </dataBar>
    </cfRule>
    <cfRule type="dataBar" priority="2265">
      <dataBar>
        <cfvo type="min"/>
        <cfvo type="max"/>
        <color rgb="FF63C384"/>
      </dataBar>
    </cfRule>
    <cfRule type="dataBar" priority="2264">
      <dataBar>
        <cfvo type="min"/>
        <cfvo type="max"/>
        <color rgb="FF63C384"/>
      </dataBar>
    </cfRule>
    <cfRule type="dataBar" priority="2261">
      <dataBar>
        <cfvo type="min"/>
        <cfvo type="max"/>
        <color rgb="FF63C384"/>
      </dataBar>
    </cfRule>
    <cfRule type="dataBar" priority="2260">
      <dataBar>
        <cfvo type="min"/>
        <cfvo type="max"/>
        <color rgb="FF63C384"/>
      </dataBar>
    </cfRule>
  </conditionalFormatting>
  <conditionalFormatting sqref="C789">
    <cfRule type="containsText" priority="2258" operator="containsText" dxfId="1" text="Einnahmen">
      <formula>NOT(ISERROR(SEARCH("Einnahmen",C789)))</formula>
    </cfRule>
    <cfRule type="containsText" priority="2259" operator="containsText" dxfId="0" text="Ausgaben">
      <formula>NOT(ISERROR(SEARCH("Ausgaben",C789)))</formula>
    </cfRule>
  </conditionalFormatting>
  <conditionalFormatting sqref="J789">
    <cfRule type="cellIs" priority="2257" operator="equal" dxfId="2034">
      <formula>"ja"</formula>
    </cfRule>
    <cfRule type="cellIs" priority="2250" operator="equal" dxfId="2034">
      <formula>"ja"</formula>
    </cfRule>
  </conditionalFormatting>
  <conditionalFormatting sqref="T789">
    <cfRule type="expression" priority="2256" dxfId="2">
      <formula>AND(AND($W789&lt;TODAY(),$W789&lt;&gt;""),$X789="")</formula>
    </cfRule>
    <cfRule type="expression" priority="2253" dxfId="2">
      <formula>AND(AND($W789&lt;TODAY(),$W789&lt;&gt;""),$X789="")</formula>
    </cfRule>
  </conditionalFormatting>
  <conditionalFormatting sqref="Z789">
    <cfRule type="dataBar" priority="2255">
      <dataBar>
        <cfvo type="min"/>
        <cfvo type="max"/>
        <color rgb="FF63C384"/>
      </dataBar>
    </cfRule>
    <cfRule type="dataBar" priority="2254">
      <dataBar>
        <cfvo type="min"/>
        <cfvo type="max"/>
        <color rgb="FF63C384"/>
      </dataBar>
    </cfRule>
    <cfRule type="dataBar" priority="2252">
      <dataBar>
        <cfvo type="min"/>
        <cfvo type="max"/>
        <color rgb="FF63C384"/>
      </dataBar>
    </cfRule>
    <cfRule type="dataBar" priority="2251">
      <dataBar>
        <cfvo type="min"/>
        <cfvo type="max"/>
        <color rgb="FF63C384"/>
      </dataBar>
    </cfRule>
  </conditionalFormatting>
  <conditionalFormatting sqref="J790">
    <cfRule type="cellIs" priority="2249" operator="equal" dxfId="2034">
      <formula>"ja"</formula>
    </cfRule>
  </conditionalFormatting>
  <conditionalFormatting sqref="C790">
    <cfRule type="containsText" priority="2247" operator="containsText" dxfId="1" text="Einnahmen">
      <formula>NOT(ISERROR(SEARCH("Einnahmen",C790)))</formula>
    </cfRule>
    <cfRule type="containsText" priority="2248" operator="containsText" dxfId="0" text="Ausgaben">
      <formula>NOT(ISERROR(SEARCH("Ausgaben",C790)))</formula>
    </cfRule>
  </conditionalFormatting>
  <conditionalFormatting sqref="T790">
    <cfRule type="expression" priority="2246" dxfId="2">
      <formula>AND(AND($W790&lt;TODAY(),$W790&lt;&gt;""),$X790="")</formula>
    </cfRule>
  </conditionalFormatting>
  <conditionalFormatting sqref="Z790">
    <cfRule type="dataBar" priority="2245">
      <dataBar>
        <cfvo type="min"/>
        <cfvo type="max"/>
        <color rgb="FF63C384"/>
      </dataBar>
    </cfRule>
    <cfRule type="dataBar" priority="2244">
      <dataBar>
        <cfvo type="min"/>
        <cfvo type="max"/>
        <color rgb="FF63C384"/>
      </dataBar>
    </cfRule>
  </conditionalFormatting>
  <conditionalFormatting sqref="J791">
    <cfRule type="cellIs" priority="2243" operator="equal" dxfId="2034">
      <formula>"ja"</formula>
    </cfRule>
    <cfRule type="cellIs" priority="2234" operator="equal" dxfId="2034">
      <formula>"ja"</formula>
    </cfRule>
  </conditionalFormatting>
  <conditionalFormatting sqref="C791">
    <cfRule type="containsText" priority="2241" operator="containsText" dxfId="1" text="Einnahmen">
      <formula>NOT(ISERROR(SEARCH("Einnahmen",C791)))</formula>
    </cfRule>
    <cfRule type="containsText" priority="2242" operator="containsText" dxfId="0" text="Ausgaben">
      <formula>NOT(ISERROR(SEARCH("Ausgaben",C791)))</formula>
    </cfRule>
    <cfRule type="containsText" priority="2236" operator="containsText" dxfId="1" text="Einnahmen">
      <formula>NOT(ISERROR(SEARCH("Einnahmen",C791)))</formula>
    </cfRule>
    <cfRule type="containsText" priority="2237" operator="containsText" dxfId="0" text="Ausgaben">
      <formula>NOT(ISERROR(SEARCH("Ausgaben",C791)))</formula>
    </cfRule>
  </conditionalFormatting>
  <conditionalFormatting sqref="T791">
    <cfRule type="expression" priority="2240" dxfId="2">
      <formula>AND(AND($W791&lt;TODAY(),$W791&lt;&gt;""),$X791="")</formula>
    </cfRule>
    <cfRule type="expression" priority="2235" dxfId="2">
      <formula>AND(AND($W791&lt;TODAY(),$W791&lt;&gt;""),$X791="")</formula>
    </cfRule>
  </conditionalFormatting>
  <conditionalFormatting sqref="Z791">
    <cfRule type="dataBar" priority="2239">
      <dataBar>
        <cfvo type="min"/>
        <cfvo type="max"/>
        <color rgb="FF63C384"/>
      </dataBar>
    </cfRule>
    <cfRule type="dataBar" priority="2238">
      <dataBar>
        <cfvo type="min"/>
        <cfvo type="max"/>
        <color rgb="FF63C384"/>
      </dataBar>
    </cfRule>
    <cfRule type="dataBar" priority="2233">
      <dataBar>
        <cfvo type="min"/>
        <cfvo type="max"/>
        <color rgb="FF63C384"/>
      </dataBar>
    </cfRule>
    <cfRule type="dataBar" priority="2232">
      <dataBar>
        <cfvo type="min"/>
        <cfvo type="max"/>
        <color rgb="FF63C384"/>
      </dataBar>
    </cfRule>
  </conditionalFormatting>
  <conditionalFormatting sqref="J792">
    <cfRule type="cellIs" priority="2231" operator="equal" dxfId="2034">
      <formula>"ja"</formula>
    </cfRule>
    <cfRule type="cellIs" priority="2225" operator="equal" dxfId="2034">
      <formula>"ja"</formula>
    </cfRule>
    <cfRule type="cellIs" priority="2221" operator="equal" dxfId="2034">
      <formula>"ja"</formula>
    </cfRule>
  </conditionalFormatting>
  <conditionalFormatting sqref="C792">
    <cfRule type="containsText" priority="2229" operator="containsText" dxfId="1" text="Einnahmen">
      <formula>NOT(ISERROR(SEARCH("Einnahmen",C792)))</formula>
    </cfRule>
    <cfRule type="containsText" priority="2230" operator="containsText" dxfId="0" text="Ausgaben">
      <formula>NOT(ISERROR(SEARCH("Ausgaben",C792)))</formula>
    </cfRule>
    <cfRule type="containsText" priority="2219" operator="containsText" dxfId="1" text="Einnahmen">
      <formula>NOT(ISERROR(SEARCH("Einnahmen",C792)))</formula>
    </cfRule>
    <cfRule type="containsText" priority="2220" operator="containsText" dxfId="0" text="Ausgaben">
      <formula>NOT(ISERROR(SEARCH("Ausgaben",C792)))</formula>
    </cfRule>
  </conditionalFormatting>
  <conditionalFormatting sqref="T792">
    <cfRule type="expression" priority="2228" dxfId="2">
      <formula>AND(AND($W792&lt;TODAY(),$W792&lt;&gt;""),$X792="")</formula>
    </cfRule>
    <cfRule type="expression" priority="2224" dxfId="2">
      <formula>AND(AND($W792&lt;TODAY(),$W792&lt;&gt;""),$X792="")</formula>
    </cfRule>
    <cfRule type="expression" priority="2218" dxfId="2">
      <formula>AND(AND($W792&lt;TODAY(),$W792&lt;&gt;""),$X792="")</formula>
    </cfRule>
  </conditionalFormatting>
  <conditionalFormatting sqref="Z792">
    <cfRule type="dataBar" priority="2227">
      <dataBar>
        <cfvo type="min"/>
        <cfvo type="max"/>
        <color rgb="FF63C384"/>
      </dataBar>
    </cfRule>
    <cfRule type="dataBar" priority="2226">
      <dataBar>
        <cfvo type="min"/>
        <cfvo type="max"/>
        <color rgb="FF63C384"/>
      </dataBar>
    </cfRule>
    <cfRule type="dataBar" priority="2223">
      <dataBar>
        <cfvo type="min"/>
        <cfvo type="max"/>
        <color rgb="FF63C384"/>
      </dataBar>
    </cfRule>
    <cfRule type="dataBar" priority="2222">
      <dataBar>
        <cfvo type="min"/>
        <cfvo type="max"/>
        <color rgb="FF63C384"/>
      </dataBar>
    </cfRule>
    <cfRule type="dataBar" priority="2217">
      <dataBar>
        <cfvo type="min"/>
        <cfvo type="max"/>
        <color rgb="FF63C384"/>
      </dataBar>
    </cfRule>
    <cfRule type="dataBar" priority="2216">
      <dataBar>
        <cfvo type="min"/>
        <cfvo type="max"/>
        <color rgb="FF63C384"/>
      </dataBar>
    </cfRule>
  </conditionalFormatting>
  <conditionalFormatting sqref="T793">
    <cfRule type="expression" priority="2215" dxfId="2">
      <formula>AND(AND($W793&lt;TODAY(),$W793&lt;&gt;""),$X793="")</formula>
    </cfRule>
  </conditionalFormatting>
  <conditionalFormatting sqref="Z793">
    <cfRule type="dataBar" priority="2214">
      <dataBar>
        <cfvo type="min"/>
        <cfvo type="max"/>
        <color rgb="FF63C384"/>
      </dataBar>
    </cfRule>
    <cfRule type="dataBar" priority="2213">
      <dataBar>
        <cfvo type="min"/>
        <cfvo type="max"/>
        <color rgb="FF63C384"/>
      </dataBar>
    </cfRule>
  </conditionalFormatting>
  <conditionalFormatting sqref="C793">
    <cfRule type="containsText" priority="2211" operator="containsText" dxfId="1" text="Einnahmen">
      <formula>NOT(ISERROR(SEARCH("Einnahmen",C793)))</formula>
    </cfRule>
    <cfRule type="containsText" priority="2212" operator="containsText" dxfId="0" text="Ausgaben">
      <formula>NOT(ISERROR(SEARCH("Ausgaben",C793)))</formula>
    </cfRule>
    <cfRule type="containsText" priority="2209" operator="containsText" dxfId="1" text="Einnahmen">
      <formula>NOT(ISERROR(SEARCH("Einnahmen",C793)))</formula>
    </cfRule>
    <cfRule type="containsText" priority="2210" operator="containsText" dxfId="0" text="Ausgaben">
      <formula>NOT(ISERROR(SEARCH("Ausgaben",C793)))</formula>
    </cfRule>
  </conditionalFormatting>
  <conditionalFormatting sqref="C794">
    <cfRule type="containsText" priority="2207" operator="containsText" dxfId="1" text="Einnahmen">
      <formula>NOT(ISERROR(SEARCH("Einnahmen",C794)))</formula>
    </cfRule>
    <cfRule type="containsText" priority="2208" operator="containsText" dxfId="0" text="Ausgaben">
      <formula>NOT(ISERROR(SEARCH("Ausgaben",C794)))</formula>
    </cfRule>
  </conditionalFormatting>
  <conditionalFormatting sqref="T794">
    <cfRule type="expression" priority="2206" dxfId="2">
      <formula>AND(AND($W794&lt;TODAY(),$W794&lt;&gt;""),$X794="")</formula>
    </cfRule>
  </conditionalFormatting>
  <conditionalFormatting sqref="Z794">
    <cfRule type="dataBar" priority="2205">
      <dataBar>
        <cfvo type="min"/>
        <cfvo type="max"/>
        <color rgb="FF63C384"/>
      </dataBar>
    </cfRule>
    <cfRule type="dataBar" priority="2204">
      <dataBar>
        <cfvo type="min"/>
        <cfvo type="max"/>
        <color rgb="FF63C384"/>
      </dataBar>
    </cfRule>
  </conditionalFormatting>
  <conditionalFormatting sqref="J794">
    <cfRule type="cellIs" priority="2203" operator="equal" dxfId="2034">
      <formula>"ja"</formula>
    </cfRule>
  </conditionalFormatting>
  <conditionalFormatting sqref="J795">
    <cfRule type="cellIs" priority="2202" operator="equal" dxfId="2034">
      <formula>"ja"</formula>
    </cfRule>
    <cfRule type="cellIs" priority="2195" operator="equal" dxfId="2034">
      <formula>"ja"</formula>
    </cfRule>
  </conditionalFormatting>
  <conditionalFormatting sqref="T795">
    <cfRule type="expression" priority="2201" dxfId="2">
      <formula>AND(AND($W795&lt;TODAY(),$W795&lt;&gt;""),$X795="")</formula>
    </cfRule>
    <cfRule type="expression" priority="2198" dxfId="2">
      <formula>AND(AND($W795&lt;TODAY(),$W795&lt;&gt;""),$X795="")</formula>
    </cfRule>
  </conditionalFormatting>
  <conditionalFormatting sqref="Z795">
    <cfRule type="dataBar" priority="2200">
      <dataBar>
        <cfvo type="min"/>
        <cfvo type="max"/>
        <color rgb="FF63C384"/>
      </dataBar>
    </cfRule>
    <cfRule type="dataBar" priority="2199">
      <dataBar>
        <cfvo type="min"/>
        <cfvo type="max"/>
        <color rgb="FF63C384"/>
      </dataBar>
    </cfRule>
    <cfRule type="dataBar" priority="2197">
      <dataBar>
        <cfvo type="min"/>
        <cfvo type="max"/>
        <color rgb="FF63C384"/>
      </dataBar>
    </cfRule>
    <cfRule type="dataBar" priority="2196">
      <dataBar>
        <cfvo type="min"/>
        <cfvo type="max"/>
        <color rgb="FF63C384"/>
      </dataBar>
    </cfRule>
  </conditionalFormatting>
  <conditionalFormatting sqref="C795">
    <cfRule type="containsText" priority="2193" operator="containsText" dxfId="1" text="Einnahmen">
      <formula>NOT(ISERROR(SEARCH("Einnahmen",C795)))</formula>
    </cfRule>
    <cfRule type="containsText" priority="2194" operator="containsText" dxfId="0" text="Ausgaben">
      <formula>NOT(ISERROR(SEARCH("Ausgaben",C795)))</formula>
    </cfRule>
  </conditionalFormatting>
  <conditionalFormatting sqref="C796">
    <cfRule type="containsText" priority="2191" operator="containsText" dxfId="1" text="Einnahmen">
      <formula>NOT(ISERROR(SEARCH("Einnahmen",C796)))</formula>
    </cfRule>
    <cfRule type="containsText" priority="2192" operator="containsText" dxfId="0" text="Ausgaben">
      <formula>NOT(ISERROR(SEARCH("Ausgaben",C796)))</formula>
    </cfRule>
    <cfRule type="containsText" priority="2188" operator="containsText" dxfId="1" text="Einnahmen">
      <formula>NOT(ISERROR(SEARCH("Einnahmen",C796)))</formula>
    </cfRule>
    <cfRule type="containsText" priority="2189" operator="containsText" dxfId="0" text="Ausgaben">
      <formula>NOT(ISERROR(SEARCH("Ausgaben",C796)))</formula>
    </cfRule>
  </conditionalFormatting>
  <conditionalFormatting sqref="J796">
    <cfRule type="cellIs" priority="2190" operator="equal" dxfId="2034">
      <formula>"ja"</formula>
    </cfRule>
    <cfRule type="cellIs" priority="2184" operator="equal" dxfId="2034">
      <formula>"ja"</formula>
    </cfRule>
  </conditionalFormatting>
  <conditionalFormatting sqref="T796">
    <cfRule type="expression" priority="2187" dxfId="2">
      <formula>AND(AND($W796&lt;TODAY(),$W796&lt;&gt;""),$X796="")</formula>
    </cfRule>
    <cfRule type="expression" priority="2183" dxfId="2">
      <formula>AND(AND($W796&lt;TODAY(),$W796&lt;&gt;""),$X796="")</formula>
    </cfRule>
  </conditionalFormatting>
  <conditionalFormatting sqref="Z796">
    <cfRule type="dataBar" priority="2186">
      <dataBar>
        <cfvo type="min"/>
        <cfvo type="max"/>
        <color rgb="FF63C384"/>
      </dataBar>
    </cfRule>
    <cfRule type="dataBar" priority="2185">
      <dataBar>
        <cfvo type="min"/>
        <cfvo type="max"/>
        <color rgb="FF63C384"/>
      </dataBar>
    </cfRule>
    <cfRule type="dataBar" priority="2182">
      <dataBar>
        <cfvo type="min"/>
        <cfvo type="max"/>
        <color rgb="FF63C384"/>
      </dataBar>
    </cfRule>
    <cfRule type="dataBar" priority="2181">
      <dataBar>
        <cfvo type="min"/>
        <cfvo type="max"/>
        <color rgb="FF63C384"/>
      </dataBar>
    </cfRule>
  </conditionalFormatting>
  <conditionalFormatting sqref="T797">
    <cfRule type="expression" priority="2180" dxfId="2">
      <formula>AND(AND($W797&lt;TODAY(),$W797&lt;&gt;""),$X797="")</formula>
    </cfRule>
  </conditionalFormatting>
  <conditionalFormatting sqref="Z797">
    <cfRule type="dataBar" priority="2179">
      <dataBar>
        <cfvo type="min"/>
        <cfvo type="max"/>
        <color rgb="FF63C384"/>
      </dataBar>
    </cfRule>
    <cfRule type="dataBar" priority="2178">
      <dataBar>
        <cfvo type="min"/>
        <cfvo type="max"/>
        <color rgb="FF63C384"/>
      </dataBar>
    </cfRule>
  </conditionalFormatting>
  <conditionalFormatting sqref="J797">
    <cfRule type="cellIs" priority="2177" operator="equal" dxfId="2034">
      <formula>"ja"</formula>
    </cfRule>
  </conditionalFormatting>
  <conditionalFormatting sqref="C797">
    <cfRule type="containsText" priority="2175" operator="containsText" dxfId="1" text="Einnahmen">
      <formula>NOT(ISERROR(SEARCH("Einnahmen",C797)))</formula>
    </cfRule>
    <cfRule type="containsText" priority="2176" operator="containsText" dxfId="0" text="Ausgaben">
      <formula>NOT(ISERROR(SEARCH("Ausgaben",C797)))</formula>
    </cfRule>
  </conditionalFormatting>
  <conditionalFormatting sqref="C798">
    <cfRule type="containsText" priority="2173" operator="containsText" dxfId="1" text="Einnahmen">
      <formula>NOT(ISERROR(SEARCH("Einnahmen",C798)))</formula>
    </cfRule>
    <cfRule type="containsText" priority="2174" operator="containsText" dxfId="0" text="Ausgaben">
      <formula>NOT(ISERROR(SEARCH("Ausgaben",C798)))</formula>
    </cfRule>
  </conditionalFormatting>
  <conditionalFormatting sqref="J798">
    <cfRule type="cellIs" priority="2172" operator="equal" dxfId="2034">
      <formula>"ja"</formula>
    </cfRule>
    <cfRule type="cellIs" priority="2167" operator="equal" dxfId="2034">
      <formula>"ja"</formula>
    </cfRule>
  </conditionalFormatting>
  <conditionalFormatting sqref="T798">
    <cfRule type="expression" priority="2171" dxfId="2">
      <formula>AND(AND($W798&lt;TODAY(),$W798&lt;&gt;""),$X798="")</formula>
    </cfRule>
    <cfRule type="expression" priority="2168" dxfId="2">
      <formula>AND(AND($W798&lt;TODAY(),$W798&lt;&gt;""),$X798="")</formula>
    </cfRule>
  </conditionalFormatting>
  <conditionalFormatting sqref="Z798">
    <cfRule type="dataBar" priority="2170">
      <dataBar>
        <cfvo type="min"/>
        <cfvo type="max"/>
        <color rgb="FF63C384"/>
      </dataBar>
    </cfRule>
    <cfRule type="dataBar" priority="2169">
      <dataBar>
        <cfvo type="min"/>
        <cfvo type="max"/>
        <color rgb="FF63C384"/>
      </dataBar>
    </cfRule>
    <cfRule type="dataBar" priority="2166">
      <dataBar>
        <cfvo type="min"/>
        <cfvo type="max"/>
        <color rgb="FF63C384"/>
      </dataBar>
    </cfRule>
    <cfRule type="dataBar" priority="2165">
      <dataBar>
        <cfvo type="min"/>
        <cfvo type="max"/>
        <color rgb="FF63C384"/>
      </dataBar>
    </cfRule>
  </conditionalFormatting>
  <conditionalFormatting sqref="C799">
    <cfRule type="containsText" priority="2163" operator="containsText" dxfId="1" text="Einnahmen">
      <formula>NOT(ISERROR(SEARCH("Einnahmen",C799)))</formula>
    </cfRule>
    <cfRule type="containsText" priority="2164" operator="containsText" dxfId="0" text="Ausgaben">
      <formula>NOT(ISERROR(SEARCH("Ausgaben",C799)))</formula>
    </cfRule>
  </conditionalFormatting>
  <conditionalFormatting sqref="T799">
    <cfRule type="expression" priority="2162" dxfId="2">
      <formula>AND(AND($W799&lt;TODAY(),$W799&lt;&gt;""),$X799="")</formula>
    </cfRule>
  </conditionalFormatting>
  <conditionalFormatting sqref="C800">
    <cfRule type="containsText" priority="2160" operator="containsText" dxfId="1" text="Einnahmen">
      <formula>NOT(ISERROR(SEARCH("Einnahmen",C800)))</formula>
    </cfRule>
    <cfRule type="containsText" priority="2161" operator="containsText" dxfId="0" text="Ausgaben">
      <formula>NOT(ISERROR(SEARCH("Ausgaben",C800)))</formula>
    </cfRule>
  </conditionalFormatting>
  <conditionalFormatting sqref="J800">
    <cfRule type="cellIs" priority="2159" operator="equal" dxfId="2034">
      <formula>"ja"</formula>
    </cfRule>
  </conditionalFormatting>
  <conditionalFormatting sqref="T800">
    <cfRule type="expression" priority="2158" dxfId="2">
      <formula>AND(AND($W800&lt;TODAY(),$W800&lt;&gt;""),$X800="")</formula>
    </cfRule>
  </conditionalFormatting>
  <conditionalFormatting sqref="Z800">
    <cfRule type="dataBar" priority="2157">
      <dataBar>
        <cfvo type="min"/>
        <cfvo type="max"/>
        <color rgb="FF63C384"/>
      </dataBar>
    </cfRule>
    <cfRule type="dataBar" priority="2156">
      <dataBar>
        <cfvo type="min"/>
        <cfvo type="max"/>
        <color rgb="FF63C384"/>
      </dataBar>
    </cfRule>
  </conditionalFormatting>
  <conditionalFormatting sqref="C801">
    <cfRule type="containsText" priority="2154" operator="containsText" dxfId="1" text="Einnahmen">
      <formula>NOT(ISERROR(SEARCH("Einnahmen",C801)))</formula>
    </cfRule>
    <cfRule type="containsText" priority="2155" operator="containsText" dxfId="0" text="Ausgaben">
      <formula>NOT(ISERROR(SEARCH("Ausgaben",C801)))</formula>
    </cfRule>
  </conditionalFormatting>
  <conditionalFormatting sqref="J801">
    <cfRule type="cellIs" priority="2153" operator="equal" dxfId="2034">
      <formula>"ja"</formula>
    </cfRule>
    <cfRule type="cellIs" priority="2141" operator="equal" dxfId="2034">
      <formula>"ja"</formula>
    </cfRule>
    <cfRule type="cellIs" priority="2149" operator="equal" dxfId="2034">
      <formula>"ja"</formula>
    </cfRule>
    <cfRule type="cellIs" priority="2145" operator="equal" dxfId="2034">
      <formula>"ja"</formula>
    </cfRule>
  </conditionalFormatting>
  <conditionalFormatting sqref="T801">
    <cfRule type="expression" priority="2140" dxfId="2">
      <formula>AND(AND($W801&lt;TODAY(),$W801&lt;&gt;""),$X801="")</formula>
    </cfRule>
    <cfRule type="expression" priority="2152" dxfId="2">
      <formula>AND(AND($W801&lt;TODAY(),$W801&lt;&gt;""),$X801="")</formula>
    </cfRule>
    <cfRule type="expression" priority="2148" dxfId="2">
      <formula>AND(AND($W801&lt;TODAY(),$W801&lt;&gt;""),$X801="")</formula>
    </cfRule>
    <cfRule type="expression" priority="2144" dxfId="2">
      <formula>AND(AND($W801&lt;TODAY(),$W801&lt;&gt;""),$X801="")</formula>
    </cfRule>
  </conditionalFormatting>
  <conditionalFormatting sqref="Z801">
    <cfRule type="dataBar" priority="2151">
      <dataBar>
        <cfvo type="min"/>
        <cfvo type="max"/>
        <color rgb="FF63C384"/>
      </dataBar>
    </cfRule>
    <cfRule type="dataBar" priority="2150">
      <dataBar>
        <cfvo type="min"/>
        <cfvo type="max"/>
        <color rgb="FF63C384"/>
      </dataBar>
    </cfRule>
    <cfRule type="dataBar" priority="2147">
      <dataBar>
        <cfvo type="min"/>
        <cfvo type="max"/>
        <color rgb="FF63C384"/>
      </dataBar>
    </cfRule>
    <cfRule type="dataBar" priority="2146">
      <dataBar>
        <cfvo type="min"/>
        <cfvo type="max"/>
        <color rgb="FF63C384"/>
      </dataBar>
    </cfRule>
    <cfRule type="dataBar" priority="2143">
      <dataBar>
        <cfvo type="min"/>
        <cfvo type="max"/>
        <color rgb="FF63C384"/>
      </dataBar>
    </cfRule>
    <cfRule type="dataBar" priority="2142">
      <dataBar>
        <cfvo type="min"/>
        <cfvo type="max"/>
        <color rgb="FF63C384"/>
      </dataBar>
    </cfRule>
    <cfRule type="dataBar" priority="2139">
      <dataBar>
        <cfvo type="min"/>
        <cfvo type="max"/>
        <color rgb="FF63C384"/>
      </dataBar>
    </cfRule>
    <cfRule type="dataBar" priority="2138">
      <dataBar>
        <cfvo type="min"/>
        <cfvo type="max"/>
        <color rgb="FF63C384"/>
      </dataBar>
    </cfRule>
  </conditionalFormatting>
  <conditionalFormatting sqref="C802">
    <cfRule type="containsText" priority="2136" operator="containsText" dxfId="1" text="Einnahmen">
      <formula>NOT(ISERROR(SEARCH("Einnahmen",C802)))</formula>
    </cfRule>
    <cfRule type="containsText" priority="2137" operator="containsText" dxfId="0" text="Ausgaben">
      <formula>NOT(ISERROR(SEARCH("Ausgaben",C802)))</formula>
    </cfRule>
  </conditionalFormatting>
  <conditionalFormatting sqref="J802">
    <cfRule type="cellIs" priority="2135" operator="equal" dxfId="2034">
      <formula>"ja"</formula>
    </cfRule>
    <cfRule type="cellIs" priority="2128" operator="equal" dxfId="2034">
      <formula>"ja"</formula>
    </cfRule>
  </conditionalFormatting>
  <conditionalFormatting sqref="T802">
    <cfRule type="expression" priority="2134" dxfId="2">
      <formula>AND(AND($W802&lt;TODAY(),$W802&lt;&gt;""),$X802="")</formula>
    </cfRule>
    <cfRule type="expression" priority="2131" dxfId="2">
      <formula>AND(AND($W802&lt;TODAY(),$W802&lt;&gt;""),$X802="")</formula>
    </cfRule>
  </conditionalFormatting>
  <conditionalFormatting sqref="Z802">
    <cfRule type="dataBar" priority="2133">
      <dataBar>
        <cfvo type="min"/>
        <cfvo type="max"/>
        <color rgb="FF63C384"/>
      </dataBar>
    </cfRule>
    <cfRule type="dataBar" priority="2132">
      <dataBar>
        <cfvo type="min"/>
        <cfvo type="max"/>
        <color rgb="FF63C384"/>
      </dataBar>
    </cfRule>
    <cfRule type="dataBar" priority="2130">
      <dataBar>
        <cfvo type="min"/>
        <cfvo type="max"/>
        <color rgb="FF63C384"/>
      </dataBar>
    </cfRule>
    <cfRule type="dataBar" priority="2129">
      <dataBar>
        <cfvo type="min"/>
        <cfvo type="max"/>
        <color rgb="FF63C384"/>
      </dataBar>
    </cfRule>
  </conditionalFormatting>
  <conditionalFormatting sqref="J803">
    <cfRule type="cellIs" priority="2127" operator="equal" dxfId="2034">
      <formula>"ja"</formula>
    </cfRule>
  </conditionalFormatting>
  <conditionalFormatting sqref="C803">
    <cfRule type="containsText" priority="2125" operator="containsText" dxfId="1" text="Einnahmen">
      <formula>NOT(ISERROR(SEARCH("Einnahmen",C803)))</formula>
    </cfRule>
    <cfRule type="containsText" priority="2126" operator="containsText" dxfId="0" text="Ausgaben">
      <formula>NOT(ISERROR(SEARCH("Ausgaben",C803)))</formula>
    </cfRule>
  </conditionalFormatting>
  <conditionalFormatting sqref="T803">
    <cfRule type="expression" priority="2124" dxfId="2">
      <formula>AND(AND($W803&lt;TODAY(),$W803&lt;&gt;""),$X803="")</formula>
    </cfRule>
  </conditionalFormatting>
  <conditionalFormatting sqref="Z803">
    <cfRule type="dataBar" priority="2123">
      <dataBar>
        <cfvo type="min"/>
        <cfvo type="max"/>
        <color rgb="FF63C384"/>
      </dataBar>
    </cfRule>
    <cfRule type="dataBar" priority="2122">
      <dataBar>
        <cfvo type="min"/>
        <cfvo type="max"/>
        <color rgb="FF63C384"/>
      </dataBar>
    </cfRule>
  </conditionalFormatting>
  <conditionalFormatting sqref="J804">
    <cfRule type="cellIs" priority="2121" operator="equal" dxfId="2034">
      <formula>"ja"</formula>
    </cfRule>
    <cfRule type="cellIs" priority="2112" operator="equal" dxfId="2034">
      <formula>"ja"</formula>
    </cfRule>
  </conditionalFormatting>
  <conditionalFormatting sqref="C804">
    <cfRule type="containsText" priority="2119" operator="containsText" dxfId="1" text="Einnahmen">
      <formula>NOT(ISERROR(SEARCH("Einnahmen",C804)))</formula>
    </cfRule>
    <cfRule type="containsText" priority="2120" operator="containsText" dxfId="0" text="Ausgaben">
      <formula>NOT(ISERROR(SEARCH("Ausgaben",C804)))</formula>
    </cfRule>
    <cfRule type="containsText" priority="2114" operator="containsText" dxfId="1" text="Einnahmen">
      <formula>NOT(ISERROR(SEARCH("Einnahmen",C804)))</formula>
    </cfRule>
    <cfRule type="containsText" priority="2115" operator="containsText" dxfId="0" text="Ausgaben">
      <formula>NOT(ISERROR(SEARCH("Ausgaben",C804)))</formula>
    </cfRule>
  </conditionalFormatting>
  <conditionalFormatting sqref="T804">
    <cfRule type="expression" priority="2118" dxfId="2">
      <formula>AND(AND($W804&lt;TODAY(),$W804&lt;&gt;""),$X804="")</formula>
    </cfRule>
    <cfRule type="expression" priority="2113" dxfId="2">
      <formula>AND(AND($W804&lt;TODAY(),$W804&lt;&gt;""),$X804="")</formula>
    </cfRule>
  </conditionalFormatting>
  <conditionalFormatting sqref="Z804">
    <cfRule type="dataBar" priority="2117">
      <dataBar>
        <cfvo type="min"/>
        <cfvo type="max"/>
        <color rgb="FF63C384"/>
      </dataBar>
    </cfRule>
    <cfRule type="dataBar" priority="2116">
      <dataBar>
        <cfvo type="min"/>
        <cfvo type="max"/>
        <color rgb="FF63C384"/>
      </dataBar>
    </cfRule>
    <cfRule type="dataBar" priority="2111">
      <dataBar>
        <cfvo type="min"/>
        <cfvo type="max"/>
        <color rgb="FF63C384"/>
      </dataBar>
    </cfRule>
    <cfRule type="dataBar" priority="2110">
      <dataBar>
        <cfvo type="min"/>
        <cfvo type="max"/>
        <color rgb="FF63C384"/>
      </dataBar>
    </cfRule>
  </conditionalFormatting>
  <conditionalFormatting sqref="J805">
    <cfRule type="cellIs" priority="2109" operator="equal" dxfId="2034">
      <formula>"ja"</formula>
    </cfRule>
    <cfRule type="cellIs" priority="2103" operator="equal" dxfId="2034">
      <formula>"ja"</formula>
    </cfRule>
    <cfRule type="cellIs" priority="2099" operator="equal" dxfId="2034">
      <formula>"ja"</formula>
    </cfRule>
  </conditionalFormatting>
  <conditionalFormatting sqref="C805">
    <cfRule type="containsText" priority="2107" operator="containsText" dxfId="1" text="Einnahmen">
      <formula>NOT(ISERROR(SEARCH("Einnahmen",C805)))</formula>
    </cfRule>
    <cfRule type="containsText" priority="2108" operator="containsText" dxfId="0" text="Ausgaben">
      <formula>NOT(ISERROR(SEARCH("Ausgaben",C805)))</formula>
    </cfRule>
    <cfRule type="containsText" priority="2097" operator="containsText" dxfId="1" text="Einnahmen">
      <formula>NOT(ISERROR(SEARCH("Einnahmen",C805)))</formula>
    </cfRule>
    <cfRule type="containsText" priority="2098" operator="containsText" dxfId="0" text="Ausgaben">
      <formula>NOT(ISERROR(SEARCH("Ausgaben",C805)))</formula>
    </cfRule>
  </conditionalFormatting>
  <conditionalFormatting sqref="T805">
    <cfRule type="expression" priority="2106" dxfId="2">
      <formula>AND(AND($W805&lt;TODAY(),$W805&lt;&gt;""),$X805="")</formula>
    </cfRule>
    <cfRule type="expression" priority="2102" dxfId="2">
      <formula>AND(AND($W805&lt;TODAY(),$W805&lt;&gt;""),$X805="")</formula>
    </cfRule>
    <cfRule type="expression" priority="2096" dxfId="2">
      <formula>AND(AND($W805&lt;TODAY(),$W805&lt;&gt;""),$X805="")</formula>
    </cfRule>
  </conditionalFormatting>
  <conditionalFormatting sqref="Z805">
    <cfRule type="dataBar" priority="2105">
      <dataBar>
        <cfvo type="min"/>
        <cfvo type="max"/>
        <color rgb="FF63C384"/>
      </dataBar>
    </cfRule>
    <cfRule type="dataBar" priority="2104">
      <dataBar>
        <cfvo type="min"/>
        <cfvo type="max"/>
        <color rgb="FF63C384"/>
      </dataBar>
    </cfRule>
    <cfRule type="dataBar" priority="2101">
      <dataBar>
        <cfvo type="min"/>
        <cfvo type="max"/>
        <color rgb="FF63C384"/>
      </dataBar>
    </cfRule>
    <cfRule type="dataBar" priority="2100">
      <dataBar>
        <cfvo type="min"/>
        <cfvo type="max"/>
        <color rgb="FF63C384"/>
      </dataBar>
    </cfRule>
    <cfRule type="dataBar" priority="2095">
      <dataBar>
        <cfvo type="min"/>
        <cfvo type="max"/>
        <color rgb="FF63C384"/>
      </dataBar>
    </cfRule>
    <cfRule type="dataBar" priority="2094">
      <dataBar>
        <cfvo type="min"/>
        <cfvo type="max"/>
        <color rgb="FF63C384"/>
      </dataBar>
    </cfRule>
  </conditionalFormatting>
  <conditionalFormatting sqref="T806:T807">
    <cfRule type="expression" priority="2093" dxfId="2">
      <formula>AND(AND($W806&lt;TODAY(),$W806&lt;&gt;""),$X806="")</formula>
    </cfRule>
    <cfRule type="expression" priority="2090" dxfId="2">
      <formula>AND(AND($W806&lt;TODAY(),$W806&lt;&gt;""),$X806="")</formula>
    </cfRule>
  </conditionalFormatting>
  <conditionalFormatting sqref="Z806">
    <cfRule type="dataBar" priority="2092">
      <dataBar>
        <cfvo type="min"/>
        <cfvo type="max"/>
        <color rgb="FF63C384"/>
      </dataBar>
    </cfRule>
    <cfRule type="dataBar" priority="2091">
      <dataBar>
        <cfvo type="min"/>
        <cfvo type="max"/>
        <color rgb="FF63C384"/>
      </dataBar>
    </cfRule>
    <cfRule type="dataBar" priority="2089">
      <dataBar>
        <cfvo type="min"/>
        <cfvo type="max"/>
        <color rgb="FF63C384"/>
      </dataBar>
    </cfRule>
    <cfRule type="dataBar" priority="2088">
      <dataBar>
        <cfvo type="min"/>
        <cfvo type="max"/>
        <color rgb="FF63C384"/>
      </dataBar>
    </cfRule>
  </conditionalFormatting>
  <conditionalFormatting sqref="J807">
    <cfRule type="cellIs" priority="2085" operator="equal" dxfId="2034">
      <formula>"ja"</formula>
    </cfRule>
    <cfRule type="cellIs" priority="2079" operator="equal" dxfId="2034">
      <formula>"ja"</formula>
    </cfRule>
  </conditionalFormatting>
  <conditionalFormatting sqref="Z807">
    <cfRule type="dataBar" priority="2081">
      <dataBar>
        <cfvo type="min"/>
        <cfvo type="max"/>
        <color rgb="FF63C384"/>
      </dataBar>
    </cfRule>
    <cfRule type="dataBar" priority="2080">
      <dataBar>
        <cfvo type="min"/>
        <cfvo type="max"/>
        <color rgb="FF63C384"/>
      </dataBar>
    </cfRule>
    <cfRule type="dataBar" priority="2077">
      <dataBar>
        <cfvo type="min"/>
        <cfvo type="max"/>
        <color rgb="FF63C384"/>
      </dataBar>
    </cfRule>
    <cfRule type="dataBar" priority="2076">
      <dataBar>
        <cfvo type="min"/>
        <cfvo type="max"/>
        <color rgb="FF63C384"/>
      </dataBar>
    </cfRule>
  </conditionalFormatting>
  <conditionalFormatting sqref="J808">
    <cfRule type="cellIs" priority="2075" operator="equal" dxfId="2034">
      <formula>"ja"</formula>
    </cfRule>
    <cfRule type="cellIs" priority="2068" operator="equal" dxfId="2034">
      <formula>"ja"</formula>
    </cfRule>
  </conditionalFormatting>
  <conditionalFormatting sqref="T808">
    <cfRule type="expression" priority="2074" dxfId="2">
      <formula>AND(AND($W808&lt;TODAY(),$W808&lt;&gt;""),$X808="")</formula>
    </cfRule>
    <cfRule type="expression" priority="2071" dxfId="2">
      <formula>AND(AND($W808&lt;TODAY(),$W808&lt;&gt;""),$X808="")</formula>
    </cfRule>
  </conditionalFormatting>
  <conditionalFormatting sqref="Z808">
    <cfRule type="dataBar" priority="2073">
      <dataBar>
        <cfvo type="min"/>
        <cfvo type="max"/>
        <color rgb="FF63C384"/>
      </dataBar>
    </cfRule>
    <cfRule type="dataBar" priority="2072">
      <dataBar>
        <cfvo type="min"/>
        <cfvo type="max"/>
        <color rgb="FF63C384"/>
      </dataBar>
    </cfRule>
    <cfRule type="dataBar" priority="2070">
      <dataBar>
        <cfvo type="min"/>
        <cfvo type="max"/>
        <color rgb="FF63C384"/>
      </dataBar>
    </cfRule>
    <cfRule type="dataBar" priority="2069">
      <dataBar>
        <cfvo type="min"/>
        <cfvo type="max"/>
        <color rgb="FF63C384"/>
      </dataBar>
    </cfRule>
  </conditionalFormatting>
  <conditionalFormatting sqref="C808">
    <cfRule type="containsText" priority="2066" operator="containsText" dxfId="1" text="Einnahmen">
      <formula>NOT(ISERROR(SEARCH("Einnahmen",C808)))</formula>
    </cfRule>
    <cfRule type="containsText" priority="2067" operator="containsText" dxfId="0" text="Ausgaben">
      <formula>NOT(ISERROR(SEARCH("Ausgaben",C808)))</formula>
    </cfRule>
  </conditionalFormatting>
  <conditionalFormatting sqref="C809:C811">
    <cfRule type="containsText" priority="2064" operator="containsText" dxfId="1" text="Einnahmen">
      <formula>NOT(ISERROR(SEARCH("Einnahmen",C809)))</formula>
    </cfRule>
    <cfRule type="containsText" priority="2065" operator="containsText" dxfId="0" text="Ausgaben">
      <formula>NOT(ISERROR(SEARCH("Ausgaben",C809)))</formula>
    </cfRule>
  </conditionalFormatting>
  <conditionalFormatting sqref="T809:T811">
    <cfRule type="expression" priority="2063" dxfId="2">
      <formula>AND(AND($W809&lt;TODAY(),$W809&lt;&gt;""),$X809="")</formula>
    </cfRule>
  </conditionalFormatting>
  <conditionalFormatting sqref="J809:J811">
    <cfRule type="cellIs" priority="2062" operator="equal" dxfId="2034">
      <formula>"ja"</formula>
    </cfRule>
  </conditionalFormatting>
  <conditionalFormatting sqref="Z809:Z811">
    <cfRule type="dataBar" priority="2061">
      <dataBar>
        <cfvo type="min"/>
        <cfvo type="max"/>
        <color rgb="FF63C384"/>
      </dataBar>
    </cfRule>
    <cfRule type="dataBar" priority="2060">
      <dataBar>
        <cfvo type="min"/>
        <cfvo type="max"/>
        <color rgb="FF63C384"/>
      </dataBar>
    </cfRule>
  </conditionalFormatting>
  <conditionalFormatting sqref="J812">
    <cfRule type="cellIs" priority="2059" operator="equal" dxfId="2034">
      <formula>"ja"</formula>
    </cfRule>
  </conditionalFormatting>
  <conditionalFormatting sqref="C812">
    <cfRule type="containsText" priority="2057" operator="containsText" dxfId="1" text="Einnahmen">
      <formula>NOT(ISERROR(SEARCH("Einnahmen",C812)))</formula>
    </cfRule>
    <cfRule type="containsText" priority="2058" operator="containsText" dxfId="0" text="Ausgaben">
      <formula>NOT(ISERROR(SEARCH("Ausgaben",C812)))</formula>
    </cfRule>
  </conditionalFormatting>
  <conditionalFormatting sqref="T812">
    <cfRule type="expression" priority="2056" dxfId="2">
      <formula>AND(AND($W812&lt;TODAY(),$W812&lt;&gt;""),$X812="")</formula>
    </cfRule>
  </conditionalFormatting>
  <conditionalFormatting sqref="Z812">
    <cfRule type="dataBar" priority="2055">
      <dataBar>
        <cfvo type="min"/>
        <cfvo type="max"/>
        <color rgb="FF63C384"/>
      </dataBar>
    </cfRule>
    <cfRule type="dataBar" priority="2054">
      <dataBar>
        <cfvo type="min"/>
        <cfvo type="max"/>
        <color rgb="FF63C384"/>
      </dataBar>
    </cfRule>
  </conditionalFormatting>
  <conditionalFormatting sqref="J813">
    <cfRule type="cellIs" priority="2053" operator="equal" dxfId="2034">
      <formula>"ja"</formula>
    </cfRule>
    <cfRule type="cellIs" priority="2049" operator="equal" dxfId="2034">
      <formula>"ja"</formula>
    </cfRule>
  </conditionalFormatting>
  <conditionalFormatting sqref="T813">
    <cfRule type="expression" priority="2052" dxfId="2">
      <formula>AND(AND($W813&lt;TODAY(),$W813&lt;&gt;""),$X813="")</formula>
    </cfRule>
    <cfRule type="expression" priority="2048" dxfId="2">
      <formula>AND(AND($W813&lt;TODAY(),$W813&lt;&gt;""),$X813="")</formula>
    </cfRule>
  </conditionalFormatting>
  <conditionalFormatting sqref="Z813">
    <cfRule type="dataBar" priority="2051">
      <dataBar>
        <cfvo type="min"/>
        <cfvo type="max"/>
        <color rgb="FF63C384"/>
      </dataBar>
    </cfRule>
    <cfRule type="dataBar" priority="2050">
      <dataBar>
        <cfvo type="min"/>
        <cfvo type="max"/>
        <color rgb="FF63C384"/>
      </dataBar>
    </cfRule>
    <cfRule type="dataBar" priority="2047">
      <dataBar>
        <cfvo type="min"/>
        <cfvo type="max"/>
        <color rgb="FF63C384"/>
      </dataBar>
    </cfRule>
    <cfRule type="dataBar" priority="2046">
      <dataBar>
        <cfvo type="min"/>
        <cfvo type="max"/>
        <color rgb="FF63C384"/>
      </dataBar>
    </cfRule>
  </conditionalFormatting>
  <conditionalFormatting sqref="C813">
    <cfRule type="containsText" priority="2044" operator="containsText" dxfId="1" text="Einnahmen">
      <formula>NOT(ISERROR(SEARCH("Einnahmen",C813)))</formula>
    </cfRule>
    <cfRule type="containsText" priority="2045" operator="containsText" dxfId="0" text="Ausgaben">
      <formula>NOT(ISERROR(SEARCH("Ausgaben",C813)))</formula>
    </cfRule>
  </conditionalFormatting>
  <conditionalFormatting sqref="T814">
    <cfRule type="expression" priority="2043" dxfId="2">
      <formula>AND(AND($W814&lt;TODAY(),$W814&lt;&gt;""),$X814="")</formula>
    </cfRule>
  </conditionalFormatting>
  <conditionalFormatting sqref="Z814">
    <cfRule type="dataBar" priority="2042">
      <dataBar>
        <cfvo type="min"/>
        <cfvo type="max"/>
        <color rgb="FF63C384"/>
      </dataBar>
    </cfRule>
    <cfRule type="dataBar" priority="2041">
      <dataBar>
        <cfvo type="min"/>
        <cfvo type="max"/>
        <color rgb="FF63C384"/>
      </dataBar>
    </cfRule>
  </conditionalFormatting>
  <conditionalFormatting sqref="J814">
    <cfRule type="cellIs" priority="2040" operator="equal" dxfId="2034">
      <formula>"ja"</formula>
    </cfRule>
  </conditionalFormatting>
  <conditionalFormatting sqref="C814">
    <cfRule type="containsText" priority="2038" operator="containsText" dxfId="1" text="Einnahmen">
      <formula>NOT(ISERROR(SEARCH("Einnahmen",C814)))</formula>
    </cfRule>
    <cfRule type="containsText" priority="2039" operator="containsText" dxfId="0" text="Ausgaben">
      <formula>NOT(ISERROR(SEARCH("Ausgaben",C814)))</formula>
    </cfRule>
  </conditionalFormatting>
  <conditionalFormatting sqref="J815">
    <cfRule type="cellIs" priority="2037" operator="equal" dxfId="2034">
      <formula>"ja"</formula>
    </cfRule>
  </conditionalFormatting>
  <conditionalFormatting sqref="C815">
    <cfRule type="containsText" priority="2035" operator="containsText" dxfId="1" text="Einnahmen">
      <formula>NOT(ISERROR(SEARCH("Einnahmen",C815)))</formula>
    </cfRule>
    <cfRule type="containsText" priority="2036" operator="containsText" dxfId="0" text="Ausgaben">
      <formula>NOT(ISERROR(SEARCH("Ausgaben",C815)))</formula>
    </cfRule>
  </conditionalFormatting>
  <conditionalFormatting sqref="T815">
    <cfRule type="expression" priority="2034" dxfId="2">
      <formula>AND(AND($W815&lt;TODAY(),$W815&lt;&gt;""),$X815="")</formula>
    </cfRule>
  </conditionalFormatting>
  <conditionalFormatting sqref="Z815">
    <cfRule type="dataBar" priority="2033">
      <dataBar>
        <cfvo type="min"/>
        <cfvo type="max"/>
        <color rgb="FF63C384"/>
      </dataBar>
    </cfRule>
    <cfRule type="dataBar" priority="2032">
      <dataBar>
        <cfvo type="min"/>
        <cfvo type="max"/>
        <color rgb="FF63C384"/>
      </dataBar>
    </cfRule>
  </conditionalFormatting>
  <conditionalFormatting sqref="C816">
    <cfRule type="containsText" priority="2030" operator="containsText" dxfId="1" text="Einnahmen">
      <formula>NOT(ISERROR(SEARCH("Einnahmen",C816)))</formula>
    </cfRule>
    <cfRule type="containsText" priority="2031" operator="containsText" dxfId="0" text="Ausgaben">
      <formula>NOT(ISERROR(SEARCH("Ausgaben",C816)))</formula>
    </cfRule>
  </conditionalFormatting>
  <conditionalFormatting sqref="J816">
    <cfRule type="cellIs" priority="2029" operator="equal" dxfId="2034">
      <formula>"ja"</formula>
    </cfRule>
  </conditionalFormatting>
  <conditionalFormatting sqref="T816:T817">
    <cfRule type="expression" priority="2028" dxfId="2">
      <formula>AND(AND($W816&lt;TODAY(),$W816&lt;&gt;""),$X816="")</formula>
    </cfRule>
  </conditionalFormatting>
  <conditionalFormatting sqref="Z816:Z817">
    <cfRule type="dataBar" priority="2027">
      <dataBar>
        <cfvo type="min"/>
        <cfvo type="max"/>
        <color rgb="FF63C384"/>
      </dataBar>
    </cfRule>
    <cfRule type="dataBar" priority="2026">
      <dataBar>
        <cfvo type="min"/>
        <cfvo type="max"/>
        <color rgb="FF63C384"/>
      </dataBar>
    </cfRule>
  </conditionalFormatting>
  <conditionalFormatting sqref="C818">
    <cfRule type="containsText" priority="2024" operator="containsText" dxfId="1" text="Einnahmen">
      <formula>NOT(ISERROR(SEARCH("Einnahmen",C818)))</formula>
    </cfRule>
    <cfRule type="containsText" priority="2025" operator="containsText" dxfId="0" text="Ausgaben">
      <formula>NOT(ISERROR(SEARCH("Ausgaben",C818)))</formula>
    </cfRule>
  </conditionalFormatting>
  <conditionalFormatting sqref="J818">
    <cfRule type="cellIs" priority="2023" operator="equal" dxfId="2034">
      <formula>"ja"</formula>
    </cfRule>
    <cfRule type="cellIs" priority="2018" operator="equal" dxfId="2034">
      <formula>"ja"</formula>
    </cfRule>
  </conditionalFormatting>
  <conditionalFormatting sqref="T818">
    <cfRule type="expression" priority="2022" dxfId="2">
      <formula>AND(AND($W818&lt;TODAY(),$W818&lt;&gt;""),$X818="")</formula>
    </cfRule>
    <cfRule type="expression" priority="2019" dxfId="2">
      <formula>AND(AND($W818&lt;TODAY(),$W818&lt;&gt;""),$X818="")</formula>
    </cfRule>
  </conditionalFormatting>
  <conditionalFormatting sqref="Z818">
    <cfRule type="dataBar" priority="2021">
      <dataBar>
        <cfvo type="min"/>
        <cfvo type="max"/>
        <color rgb="FF63C384"/>
      </dataBar>
    </cfRule>
    <cfRule type="dataBar" priority="2020">
      <dataBar>
        <cfvo type="min"/>
        <cfvo type="max"/>
        <color rgb="FF63C384"/>
      </dataBar>
    </cfRule>
    <cfRule type="dataBar" priority="2017">
      <dataBar>
        <cfvo type="min"/>
        <cfvo type="max"/>
        <color rgb="FF63C384"/>
      </dataBar>
    </cfRule>
    <cfRule type="dataBar" priority="2016">
      <dataBar>
        <cfvo type="min"/>
        <cfvo type="max"/>
        <color rgb="FF63C384"/>
      </dataBar>
    </cfRule>
  </conditionalFormatting>
  <conditionalFormatting sqref="C819">
    <cfRule type="containsText" priority="2014" operator="containsText" dxfId="1" text="Einnahmen">
      <formula>NOT(ISERROR(SEARCH("Einnahmen",C819)))</formula>
    </cfRule>
    <cfRule type="containsText" priority="2015" operator="containsText" dxfId="0" text="Ausgaben">
      <formula>NOT(ISERROR(SEARCH("Ausgaben",C819)))</formula>
    </cfRule>
  </conditionalFormatting>
  <conditionalFormatting sqref="J819">
    <cfRule type="cellIs" priority="2013" operator="equal" dxfId="2034">
      <formula>"ja"</formula>
    </cfRule>
    <cfRule type="cellIs" priority="2006" operator="equal" dxfId="2034">
      <formula>"ja"</formula>
    </cfRule>
  </conditionalFormatting>
  <conditionalFormatting sqref="T819">
    <cfRule type="expression" priority="2012" dxfId="2">
      <formula>AND(AND($W819&lt;TODAY(),$W819&lt;&gt;""),$X819="")</formula>
    </cfRule>
    <cfRule type="expression" priority="2009" dxfId="2">
      <formula>AND(AND($W819&lt;TODAY(),$W819&lt;&gt;""),$X819="")</formula>
    </cfRule>
  </conditionalFormatting>
  <conditionalFormatting sqref="Z819">
    <cfRule type="dataBar" priority="2011">
      <dataBar>
        <cfvo type="min"/>
        <cfvo type="max"/>
        <color rgb="FF63C384"/>
      </dataBar>
    </cfRule>
    <cfRule type="dataBar" priority="2010">
      <dataBar>
        <cfvo type="min"/>
        <cfvo type="max"/>
        <color rgb="FF63C384"/>
      </dataBar>
    </cfRule>
    <cfRule type="dataBar" priority="2008">
      <dataBar>
        <cfvo type="min"/>
        <cfvo type="max"/>
        <color rgb="FF63C384"/>
      </dataBar>
    </cfRule>
    <cfRule type="dataBar" priority="2007">
      <dataBar>
        <cfvo type="min"/>
        <cfvo type="max"/>
        <color rgb="FF63C384"/>
      </dataBar>
    </cfRule>
  </conditionalFormatting>
  <conditionalFormatting sqref="C820">
    <cfRule type="containsText" priority="2004" operator="containsText" dxfId="1" text="Einnahmen">
      <formula>NOT(ISERROR(SEARCH("Einnahmen",C820)))</formula>
    </cfRule>
    <cfRule type="containsText" priority="2005" operator="containsText" dxfId="0" text="Ausgaben">
      <formula>NOT(ISERROR(SEARCH("Ausgaben",C820)))</formula>
    </cfRule>
  </conditionalFormatting>
  <conditionalFormatting sqref="J820">
    <cfRule type="cellIs" priority="2003" operator="equal" dxfId="2034">
      <formula>"ja"</formula>
    </cfRule>
    <cfRule type="cellIs" priority="1991" operator="equal" dxfId="2034">
      <formula>"ja"</formula>
    </cfRule>
    <cfRule type="cellIs" priority="1999" operator="equal" dxfId="2034">
      <formula>"ja"</formula>
    </cfRule>
    <cfRule type="cellIs" priority="1995" operator="equal" dxfId="2034">
      <formula>"ja"</formula>
    </cfRule>
  </conditionalFormatting>
  <conditionalFormatting sqref="T820">
    <cfRule type="expression" priority="1990" dxfId="2">
      <formula>AND(AND($W820&lt;TODAY(),$W820&lt;&gt;""),$X820="")</formula>
    </cfRule>
    <cfRule type="expression" priority="2002" dxfId="2">
      <formula>AND(AND($W820&lt;TODAY(),$W820&lt;&gt;""),$X820="")</formula>
    </cfRule>
    <cfRule type="expression" priority="1998" dxfId="2">
      <formula>AND(AND($W820&lt;TODAY(),$W820&lt;&gt;""),$X820="")</formula>
    </cfRule>
    <cfRule type="expression" priority="1994" dxfId="2">
      <formula>AND(AND($W820&lt;TODAY(),$W820&lt;&gt;""),$X820="")</formula>
    </cfRule>
  </conditionalFormatting>
  <conditionalFormatting sqref="Z820">
    <cfRule type="dataBar" priority="2001">
      <dataBar>
        <cfvo type="min"/>
        <cfvo type="max"/>
        <color rgb="FF63C384"/>
      </dataBar>
    </cfRule>
    <cfRule type="dataBar" priority="2000">
      <dataBar>
        <cfvo type="min"/>
        <cfvo type="max"/>
        <color rgb="FF63C384"/>
      </dataBar>
    </cfRule>
    <cfRule type="dataBar" priority="1997">
      <dataBar>
        <cfvo type="min"/>
        <cfvo type="max"/>
        <color rgb="FF63C384"/>
      </dataBar>
    </cfRule>
    <cfRule type="dataBar" priority="1996">
      <dataBar>
        <cfvo type="min"/>
        <cfvo type="max"/>
        <color rgb="FF63C384"/>
      </dataBar>
    </cfRule>
    <cfRule type="dataBar" priority="1993">
      <dataBar>
        <cfvo type="min"/>
        <cfvo type="max"/>
        <color rgb="FF63C384"/>
      </dataBar>
    </cfRule>
    <cfRule type="dataBar" priority="1992">
      <dataBar>
        <cfvo type="min"/>
        <cfvo type="max"/>
        <color rgb="FF63C384"/>
      </dataBar>
    </cfRule>
    <cfRule type="dataBar" priority="1989">
      <dataBar>
        <cfvo type="min"/>
        <cfvo type="max"/>
        <color rgb="FF63C384"/>
      </dataBar>
    </cfRule>
    <cfRule type="dataBar" priority="1988">
      <dataBar>
        <cfvo type="min"/>
        <cfvo type="max"/>
        <color rgb="FF63C384"/>
      </dataBar>
    </cfRule>
  </conditionalFormatting>
  <conditionalFormatting sqref="T821">
    <cfRule type="expression" priority="1985" dxfId="2">
      <formula>AND(AND($W821&lt;TODAY(),$W821&lt;&gt;""),$X821="")</formula>
    </cfRule>
  </conditionalFormatting>
  <conditionalFormatting sqref="Z821">
    <cfRule type="dataBar" priority="1984">
      <dataBar>
        <cfvo type="min"/>
        <cfvo type="max"/>
        <color rgb="FF63C384"/>
      </dataBar>
    </cfRule>
    <cfRule type="dataBar" priority="1983">
      <dataBar>
        <cfvo type="min"/>
        <cfvo type="max"/>
        <color rgb="FF63C384"/>
      </dataBar>
    </cfRule>
  </conditionalFormatting>
  <conditionalFormatting sqref="J822">
    <cfRule type="cellIs" priority="1982" operator="equal" dxfId="2034">
      <formula>"ja"</formula>
    </cfRule>
  </conditionalFormatting>
  <conditionalFormatting sqref="C822">
    <cfRule type="containsText" priority="1980" operator="containsText" dxfId="1" text="Einnahmen">
      <formula>NOT(ISERROR(SEARCH("Einnahmen",C822)))</formula>
    </cfRule>
    <cfRule type="containsText" priority="1981" operator="containsText" dxfId="0" text="Ausgaben">
      <formula>NOT(ISERROR(SEARCH("Ausgaben",C822)))</formula>
    </cfRule>
  </conditionalFormatting>
  <conditionalFormatting sqref="T822">
    <cfRule type="expression" priority="1979" dxfId="2">
      <formula>AND(AND($W822&lt;TODAY(),$W822&lt;&gt;""),$X822="")</formula>
    </cfRule>
  </conditionalFormatting>
  <conditionalFormatting sqref="Z822">
    <cfRule type="dataBar" priority="1978">
      <dataBar>
        <cfvo type="min"/>
        <cfvo type="max"/>
        <color rgb="FF63C384"/>
      </dataBar>
    </cfRule>
    <cfRule type="dataBar" priority="1977">
      <dataBar>
        <cfvo type="min"/>
        <cfvo type="max"/>
        <color rgb="FF63C384"/>
      </dataBar>
    </cfRule>
  </conditionalFormatting>
  <conditionalFormatting sqref="J823">
    <cfRule type="cellIs" priority="1976" operator="equal" dxfId="2034">
      <formula>"ja"</formula>
    </cfRule>
    <cfRule type="cellIs" priority="1967" operator="equal" dxfId="2034">
      <formula>"ja"</formula>
    </cfRule>
  </conditionalFormatting>
  <conditionalFormatting sqref="C823">
    <cfRule type="containsText" priority="1974" operator="containsText" dxfId="1" text="Einnahmen">
      <formula>NOT(ISERROR(SEARCH("Einnahmen",C823)))</formula>
    </cfRule>
    <cfRule type="containsText" priority="1975" operator="containsText" dxfId="0" text="Ausgaben">
      <formula>NOT(ISERROR(SEARCH("Ausgaben",C823)))</formula>
    </cfRule>
    <cfRule type="containsText" priority="1969" operator="containsText" dxfId="1" text="Einnahmen">
      <formula>NOT(ISERROR(SEARCH("Einnahmen",C823)))</formula>
    </cfRule>
    <cfRule type="containsText" priority="1970" operator="containsText" dxfId="0" text="Ausgaben">
      <formula>NOT(ISERROR(SEARCH("Ausgaben",C823)))</formula>
    </cfRule>
  </conditionalFormatting>
  <conditionalFormatting sqref="T823">
    <cfRule type="expression" priority="1973" dxfId="2">
      <formula>AND(AND($W823&lt;TODAY(),$W823&lt;&gt;""),$X823="")</formula>
    </cfRule>
    <cfRule type="expression" priority="1968" dxfId="2">
      <formula>AND(AND($W823&lt;TODAY(),$W823&lt;&gt;""),$X823="")</formula>
    </cfRule>
  </conditionalFormatting>
  <conditionalFormatting sqref="Z823">
    <cfRule type="dataBar" priority="1972">
      <dataBar>
        <cfvo type="min"/>
        <cfvo type="max"/>
        <color rgb="FF63C384"/>
      </dataBar>
    </cfRule>
    <cfRule type="dataBar" priority="1971">
      <dataBar>
        <cfvo type="min"/>
        <cfvo type="max"/>
        <color rgb="FF63C384"/>
      </dataBar>
    </cfRule>
    <cfRule type="dataBar" priority="1966">
      <dataBar>
        <cfvo type="min"/>
        <cfvo type="max"/>
        <color rgb="FF63C384"/>
      </dataBar>
    </cfRule>
    <cfRule type="dataBar" priority="1965">
      <dataBar>
        <cfvo type="min"/>
        <cfvo type="max"/>
        <color rgb="FF63C384"/>
      </dataBar>
    </cfRule>
  </conditionalFormatting>
  <conditionalFormatting sqref="J824">
    <cfRule type="cellIs" priority="1964" operator="equal" dxfId="2034">
      <formula>"ja"</formula>
    </cfRule>
  </conditionalFormatting>
  <conditionalFormatting sqref="C824">
    <cfRule type="containsText" priority="1962" operator="containsText" dxfId="1" text="Einnahmen">
      <formula>NOT(ISERROR(SEARCH("Einnahmen",C824)))</formula>
    </cfRule>
    <cfRule type="containsText" priority="1963" operator="containsText" dxfId="0" text="Ausgaben">
      <formula>NOT(ISERROR(SEARCH("Ausgaben",C824)))</formula>
    </cfRule>
  </conditionalFormatting>
  <conditionalFormatting sqref="T824">
    <cfRule type="expression" priority="1961" dxfId="2">
      <formula>AND(AND($W824&lt;TODAY(),$W824&lt;&gt;""),$X824="")</formula>
    </cfRule>
  </conditionalFormatting>
  <conditionalFormatting sqref="Z824">
    <cfRule type="dataBar" priority="1960">
      <dataBar>
        <cfvo type="min"/>
        <cfvo type="max"/>
        <color rgb="FF63C384"/>
      </dataBar>
    </cfRule>
    <cfRule type="dataBar" priority="1959">
      <dataBar>
        <cfvo type="min"/>
        <cfvo type="max"/>
        <color rgb="FF63C384"/>
      </dataBar>
    </cfRule>
  </conditionalFormatting>
  <conditionalFormatting sqref="J825">
    <cfRule type="cellIs" priority="1958" operator="equal" dxfId="2034">
      <formula>"ja"</formula>
    </cfRule>
    <cfRule type="cellIs" priority="1952" operator="equal" dxfId="2034">
      <formula>"ja"</formula>
    </cfRule>
    <cfRule type="cellIs" priority="1948" operator="equal" dxfId="2034">
      <formula>"ja"</formula>
    </cfRule>
  </conditionalFormatting>
  <conditionalFormatting sqref="C825">
    <cfRule type="containsText" priority="1956" operator="containsText" dxfId="1" text="Einnahmen">
      <formula>NOT(ISERROR(SEARCH("Einnahmen",C825)))</formula>
    </cfRule>
    <cfRule type="containsText" priority="1957" operator="containsText" dxfId="0" text="Ausgaben">
      <formula>NOT(ISERROR(SEARCH("Ausgaben",C825)))</formula>
    </cfRule>
    <cfRule type="containsText" priority="1946" operator="containsText" dxfId="1" text="Einnahmen">
      <formula>NOT(ISERROR(SEARCH("Einnahmen",C825)))</formula>
    </cfRule>
    <cfRule type="containsText" priority="1947" operator="containsText" dxfId="0" text="Ausgaben">
      <formula>NOT(ISERROR(SEARCH("Ausgaben",C825)))</formula>
    </cfRule>
  </conditionalFormatting>
  <conditionalFormatting sqref="T825">
    <cfRule type="expression" priority="1955" dxfId="2">
      <formula>AND(AND($W825&lt;TODAY(),$W825&lt;&gt;""),$X825="")</formula>
    </cfRule>
    <cfRule type="expression" priority="1951" dxfId="2">
      <formula>AND(AND($W825&lt;TODAY(),$W825&lt;&gt;""),$X825="")</formula>
    </cfRule>
    <cfRule type="expression" priority="1945" dxfId="2">
      <formula>AND(AND($W825&lt;TODAY(),$W825&lt;&gt;""),$X825="")</formula>
    </cfRule>
  </conditionalFormatting>
  <conditionalFormatting sqref="Z825">
    <cfRule type="dataBar" priority="1954">
      <dataBar>
        <cfvo type="min"/>
        <cfvo type="max"/>
        <color rgb="FF63C384"/>
      </dataBar>
    </cfRule>
    <cfRule type="dataBar" priority="1953">
      <dataBar>
        <cfvo type="min"/>
        <cfvo type="max"/>
        <color rgb="FF63C384"/>
      </dataBar>
    </cfRule>
    <cfRule type="dataBar" priority="1950">
      <dataBar>
        <cfvo type="min"/>
        <cfvo type="max"/>
        <color rgb="FF63C384"/>
      </dataBar>
    </cfRule>
    <cfRule type="dataBar" priority="1949">
      <dataBar>
        <cfvo type="min"/>
        <cfvo type="max"/>
        <color rgb="FF63C384"/>
      </dataBar>
    </cfRule>
    <cfRule type="dataBar" priority="1944">
      <dataBar>
        <cfvo type="min"/>
        <cfvo type="max"/>
        <color rgb="FF63C384"/>
      </dataBar>
    </cfRule>
    <cfRule type="dataBar" priority="1943">
      <dataBar>
        <cfvo type="min"/>
        <cfvo type="max"/>
        <color rgb="FF63C384"/>
      </dataBar>
    </cfRule>
  </conditionalFormatting>
  <conditionalFormatting sqref="T826:T827">
    <cfRule type="expression" priority="1942" dxfId="2">
      <formula>AND(AND($W826&lt;TODAY(),$W826&lt;&gt;""),$X826="")</formula>
    </cfRule>
    <cfRule type="expression" priority="1939" dxfId="2">
      <formula>AND(AND($W826&lt;TODAY(),$W826&lt;&gt;""),$X826="")</formula>
    </cfRule>
  </conditionalFormatting>
  <conditionalFormatting sqref="Z826">
    <cfRule type="dataBar" priority="1941">
      <dataBar>
        <cfvo type="min"/>
        <cfvo type="max"/>
        <color rgb="FF63C384"/>
      </dataBar>
    </cfRule>
    <cfRule type="dataBar" priority="1940">
      <dataBar>
        <cfvo type="min"/>
        <cfvo type="max"/>
        <color rgb="FF63C384"/>
      </dataBar>
    </cfRule>
    <cfRule type="dataBar" priority="1938">
      <dataBar>
        <cfvo type="min"/>
        <cfvo type="max"/>
        <color rgb="FF63C384"/>
      </dataBar>
    </cfRule>
    <cfRule type="dataBar" priority="1937">
      <dataBar>
        <cfvo type="min"/>
        <cfvo type="max"/>
        <color rgb="FF63C384"/>
      </dataBar>
    </cfRule>
  </conditionalFormatting>
  <conditionalFormatting sqref="J827">
    <cfRule type="cellIs" priority="1936" operator="equal" dxfId="2034">
      <formula>"ja"</formula>
    </cfRule>
    <cfRule type="cellIs" priority="1932" operator="equal" dxfId="2034">
      <formula>"ja"</formula>
    </cfRule>
  </conditionalFormatting>
  <conditionalFormatting sqref="Z827">
    <cfRule type="dataBar" priority="1934">
      <dataBar>
        <cfvo type="min"/>
        <cfvo type="max"/>
        <color rgb="FF63C384"/>
      </dataBar>
    </cfRule>
    <cfRule type="dataBar" priority="1933">
      <dataBar>
        <cfvo type="min"/>
        <cfvo type="max"/>
        <color rgb="FF63C384"/>
      </dataBar>
    </cfRule>
    <cfRule type="dataBar" priority="1930">
      <dataBar>
        <cfvo type="min"/>
        <cfvo type="max"/>
        <color rgb="FF63C384"/>
      </dataBar>
    </cfRule>
    <cfRule type="dataBar" priority="1929">
      <dataBar>
        <cfvo type="min"/>
        <cfvo type="max"/>
        <color rgb="FF63C384"/>
      </dataBar>
    </cfRule>
  </conditionalFormatting>
  <conditionalFormatting sqref="J828">
    <cfRule type="cellIs" priority="1928" operator="equal" dxfId="2034">
      <formula>"ja"</formula>
    </cfRule>
    <cfRule type="cellIs" priority="1921" operator="equal" dxfId="2034">
      <formula>"ja"</formula>
    </cfRule>
  </conditionalFormatting>
  <conditionalFormatting sqref="T828">
    <cfRule type="expression" priority="1927" dxfId="2">
      <formula>AND(AND($W828&lt;TODAY(),$W828&lt;&gt;""),$X828="")</formula>
    </cfRule>
    <cfRule type="expression" priority="1924" dxfId="2">
      <formula>AND(AND($W828&lt;TODAY(),$W828&lt;&gt;""),$X828="")</formula>
    </cfRule>
  </conditionalFormatting>
  <conditionalFormatting sqref="Z828">
    <cfRule type="dataBar" priority="1926">
      <dataBar>
        <cfvo type="min"/>
        <cfvo type="max"/>
        <color rgb="FF63C384"/>
      </dataBar>
    </cfRule>
    <cfRule type="dataBar" priority="1925">
      <dataBar>
        <cfvo type="min"/>
        <cfvo type="max"/>
        <color rgb="FF63C384"/>
      </dataBar>
    </cfRule>
    <cfRule type="dataBar" priority="1923">
      <dataBar>
        <cfvo type="min"/>
        <cfvo type="max"/>
        <color rgb="FF63C384"/>
      </dataBar>
    </cfRule>
    <cfRule type="dataBar" priority="1922">
      <dataBar>
        <cfvo type="min"/>
        <cfvo type="max"/>
        <color rgb="FF63C384"/>
      </dataBar>
    </cfRule>
  </conditionalFormatting>
  <conditionalFormatting sqref="C828">
    <cfRule type="containsText" priority="1919" operator="containsText" dxfId="1" text="Einnahmen">
      <formula>NOT(ISERROR(SEARCH("Einnahmen",C828)))</formula>
    </cfRule>
    <cfRule type="containsText" priority="1920" operator="containsText" dxfId="0" text="Ausgaben">
      <formula>NOT(ISERROR(SEARCH("Ausgaben",C828)))</formula>
    </cfRule>
  </conditionalFormatting>
  <conditionalFormatting sqref="T829">
    <cfRule type="expression" priority="1918" dxfId="2">
      <formula>AND(AND($W829&lt;TODAY(),$W829&lt;&gt;""),$X829="")</formula>
    </cfRule>
  </conditionalFormatting>
  <conditionalFormatting sqref="Z829">
    <cfRule type="dataBar" priority="1917">
      <dataBar>
        <cfvo type="min"/>
        <cfvo type="max"/>
        <color rgb="FF63C384"/>
      </dataBar>
    </cfRule>
    <cfRule type="dataBar" priority="1916">
      <dataBar>
        <cfvo type="min"/>
        <cfvo type="max"/>
        <color rgb="FF63C384"/>
      </dataBar>
    </cfRule>
  </conditionalFormatting>
  <conditionalFormatting sqref="C829">
    <cfRule type="containsText" priority="1914" operator="containsText" dxfId="1" text="Einnahmen">
      <formula>NOT(ISERROR(SEARCH("Einnahmen",C829)))</formula>
    </cfRule>
    <cfRule type="containsText" priority="1915" operator="containsText" dxfId="0" text="Ausgaben">
      <formula>NOT(ISERROR(SEARCH("Ausgaben",C829)))</formula>
    </cfRule>
    <cfRule type="containsText" priority="1912" operator="containsText" dxfId="1" text="Einnahmen">
      <formula>NOT(ISERROR(SEARCH("Einnahmen",C829)))</formula>
    </cfRule>
    <cfRule type="containsText" priority="1913" operator="containsText" dxfId="0" text="Ausgaben">
      <formula>NOT(ISERROR(SEARCH("Ausgaben",C829)))</formula>
    </cfRule>
  </conditionalFormatting>
  <conditionalFormatting sqref="T830">
    <cfRule type="expression" priority="1911" dxfId="2">
      <formula>AND(AND($W830&lt;TODAY(),$W830&lt;&gt;""),$X830="")</formula>
    </cfRule>
  </conditionalFormatting>
  <conditionalFormatting sqref="Z830">
    <cfRule type="dataBar" priority="1910">
      <dataBar>
        <cfvo type="min"/>
        <cfvo type="max"/>
        <color rgb="FF63C384"/>
      </dataBar>
    </cfRule>
    <cfRule type="dataBar" priority="1909">
      <dataBar>
        <cfvo type="min"/>
        <cfvo type="max"/>
        <color rgb="FF63C384"/>
      </dataBar>
    </cfRule>
  </conditionalFormatting>
  <conditionalFormatting sqref="C830">
    <cfRule type="containsText" priority="1907" operator="containsText" dxfId="1" text="Einnahmen">
      <formula>NOT(ISERROR(SEARCH("Einnahmen",C830)))</formula>
    </cfRule>
    <cfRule type="containsText" priority="1908" operator="containsText" dxfId="0" text="Ausgaben">
      <formula>NOT(ISERROR(SEARCH("Ausgaben",C830)))</formula>
    </cfRule>
    <cfRule type="containsText" priority="1905" operator="containsText" dxfId="1" text="Einnahmen">
      <formula>NOT(ISERROR(SEARCH("Einnahmen",C830)))</formula>
    </cfRule>
    <cfRule type="containsText" priority="1906" operator="containsText" dxfId="0" text="Ausgaben">
      <formula>NOT(ISERROR(SEARCH("Ausgaben",C830)))</formula>
    </cfRule>
  </conditionalFormatting>
  <conditionalFormatting sqref="C831">
    <cfRule type="containsText" priority="1903" operator="containsText" dxfId="1" text="Einnahmen">
      <formula>NOT(ISERROR(SEARCH("Einnahmen",C831)))</formula>
    </cfRule>
    <cfRule type="containsText" priority="1904" operator="containsText" dxfId="0" text="Ausgaben">
      <formula>NOT(ISERROR(SEARCH("Ausgaben",C831)))</formula>
    </cfRule>
  </conditionalFormatting>
  <conditionalFormatting sqref="T831">
    <cfRule type="expression" priority="1902" dxfId="2">
      <formula>AND(AND($W831&lt;TODAY(),$W831&lt;&gt;""),$X831="")</formula>
    </cfRule>
  </conditionalFormatting>
  <conditionalFormatting sqref="Z831">
    <cfRule type="dataBar" priority="1901">
      <dataBar>
        <cfvo type="min"/>
        <cfvo type="max"/>
        <color rgb="FF63C384"/>
      </dataBar>
    </cfRule>
    <cfRule type="dataBar" priority="1900">
      <dataBar>
        <cfvo type="min"/>
        <cfvo type="max"/>
        <color rgb="FF63C384"/>
      </dataBar>
    </cfRule>
  </conditionalFormatting>
  <conditionalFormatting sqref="C832">
    <cfRule type="containsText" priority="1898" operator="containsText" dxfId="1" text="Einnahmen">
      <formula>NOT(ISERROR(SEARCH("Einnahmen",C832)))</formula>
    </cfRule>
    <cfRule type="containsText" priority="1899" operator="containsText" dxfId="0" text="Ausgaben">
      <formula>NOT(ISERROR(SEARCH("Ausgaben",C832)))</formula>
    </cfRule>
  </conditionalFormatting>
  <conditionalFormatting sqref="J832">
    <cfRule type="cellIs" priority="1897" operator="equal" dxfId="2034">
      <formula>"ja"</formula>
    </cfRule>
    <cfRule type="cellIs" priority="1892" operator="equal" dxfId="2034">
      <formula>"ja"</formula>
    </cfRule>
  </conditionalFormatting>
  <conditionalFormatting sqref="T832">
    <cfRule type="expression" priority="1896" dxfId="2">
      <formula>AND(AND($W832&lt;TODAY(),$W832&lt;&gt;""),$X832="")</formula>
    </cfRule>
    <cfRule type="expression" priority="1893" dxfId="2">
      <formula>AND(AND($W832&lt;TODAY(),$W832&lt;&gt;""),$X832="")</formula>
    </cfRule>
  </conditionalFormatting>
  <conditionalFormatting sqref="Z832">
    <cfRule type="dataBar" priority="1895">
      <dataBar>
        <cfvo type="min"/>
        <cfvo type="max"/>
        <color rgb="FF63C384"/>
      </dataBar>
    </cfRule>
    <cfRule type="dataBar" priority="1894">
      <dataBar>
        <cfvo type="min"/>
        <cfvo type="max"/>
        <color rgb="FF63C384"/>
      </dataBar>
    </cfRule>
    <cfRule type="dataBar" priority="1891">
      <dataBar>
        <cfvo type="min"/>
        <cfvo type="max"/>
        <color rgb="FF63C384"/>
      </dataBar>
    </cfRule>
    <cfRule type="dataBar" priority="1890">
      <dataBar>
        <cfvo type="min"/>
        <cfvo type="max"/>
        <color rgb="FF63C384"/>
      </dataBar>
    </cfRule>
  </conditionalFormatting>
  <conditionalFormatting sqref="T833">
    <cfRule type="expression" priority="1889" dxfId="2">
      <formula>AND(AND($W833&lt;TODAY(),$W833&lt;&gt;""),$X833="")</formula>
    </cfRule>
  </conditionalFormatting>
  <conditionalFormatting sqref="Z833">
    <cfRule type="dataBar" priority="1888">
      <dataBar>
        <cfvo type="min"/>
        <cfvo type="max"/>
        <color rgb="FF63C384"/>
      </dataBar>
    </cfRule>
    <cfRule type="dataBar" priority="1887">
      <dataBar>
        <cfvo type="min"/>
        <cfvo type="max"/>
        <color rgb="FF63C384"/>
      </dataBar>
    </cfRule>
  </conditionalFormatting>
  <conditionalFormatting sqref="J833">
    <cfRule type="cellIs" priority="1886" operator="equal" dxfId="2034">
      <formula>"ja"</formula>
    </cfRule>
  </conditionalFormatting>
  <conditionalFormatting sqref="C833">
    <cfRule type="containsText" priority="1884" operator="containsText" dxfId="1" text="Einnahmen">
      <formula>NOT(ISERROR(SEARCH("Einnahmen",C833)))</formula>
    </cfRule>
    <cfRule type="containsText" priority="1885" operator="containsText" dxfId="0" text="Ausgaben">
      <formula>NOT(ISERROR(SEARCH("Ausgaben",C833)))</formula>
    </cfRule>
  </conditionalFormatting>
  <conditionalFormatting sqref="J834">
    <cfRule type="cellIs" priority="1883" operator="equal" dxfId="2034">
      <formula>"ja"</formula>
    </cfRule>
  </conditionalFormatting>
  <conditionalFormatting sqref="C834">
    <cfRule type="containsText" priority="1881" operator="containsText" dxfId="1" text="Einnahmen">
      <formula>NOT(ISERROR(SEARCH("Einnahmen",C834)))</formula>
    </cfRule>
    <cfRule type="containsText" priority="1882" operator="containsText" dxfId="0" text="Ausgaben">
      <formula>NOT(ISERROR(SEARCH("Ausgaben",C834)))</formula>
    </cfRule>
  </conditionalFormatting>
  <conditionalFormatting sqref="T834">
    <cfRule type="expression" priority="1880" dxfId="2">
      <formula>AND(AND($W834&lt;TODAY(),$W834&lt;&gt;""),$X834="")</formula>
    </cfRule>
  </conditionalFormatting>
  <conditionalFormatting sqref="Z834">
    <cfRule type="dataBar" priority="1879">
      <dataBar>
        <cfvo type="min"/>
        <cfvo type="max"/>
        <color rgb="FF63C384"/>
      </dataBar>
    </cfRule>
    <cfRule type="dataBar" priority="1878">
      <dataBar>
        <cfvo type="min"/>
        <cfvo type="max"/>
        <color rgb="FF63C384"/>
      </dataBar>
    </cfRule>
  </conditionalFormatting>
  <conditionalFormatting sqref="C835">
    <cfRule type="containsText" priority="1876" operator="containsText" dxfId="1" text="Einnahmen">
      <formula>NOT(ISERROR(SEARCH("Einnahmen",C835)))</formula>
    </cfRule>
    <cfRule type="containsText" priority="1877" operator="containsText" dxfId="0" text="Ausgaben">
      <formula>NOT(ISERROR(SEARCH("Ausgaben",C835)))</formula>
    </cfRule>
  </conditionalFormatting>
  <conditionalFormatting sqref="J835">
    <cfRule type="cellIs" priority="1875" operator="equal" dxfId="2034">
      <formula>"ja"</formula>
    </cfRule>
  </conditionalFormatting>
  <conditionalFormatting sqref="T835:T840">
    <cfRule type="expression" priority="1874" dxfId="2">
      <formula>AND(AND($W835&lt;TODAY(),$W835&lt;&gt;""),$X835="")</formula>
    </cfRule>
  </conditionalFormatting>
  <conditionalFormatting sqref="Z835:Z840">
    <cfRule type="dataBar" priority="1873">
      <dataBar>
        <cfvo type="min"/>
        <cfvo type="max"/>
        <color rgb="FF63C384"/>
      </dataBar>
    </cfRule>
    <cfRule type="dataBar" priority="1872">
      <dataBar>
        <cfvo type="min"/>
        <cfvo type="max"/>
        <color rgb="FF63C384"/>
      </dataBar>
    </cfRule>
  </conditionalFormatting>
  <conditionalFormatting sqref="C841">
    <cfRule type="containsText" priority="1870" operator="containsText" dxfId="1" text="Einnahmen">
      <formula>NOT(ISERROR(SEARCH("Einnahmen",C841)))</formula>
    </cfRule>
    <cfRule type="containsText" priority="1871" operator="containsText" dxfId="0" text="Ausgaben">
      <formula>NOT(ISERROR(SEARCH("Ausgaben",C841)))</formula>
    </cfRule>
  </conditionalFormatting>
  <conditionalFormatting sqref="J841">
    <cfRule type="cellIs" priority="1869" operator="equal" dxfId="2034">
      <formula>"ja"</formula>
    </cfRule>
    <cfRule type="cellIs" priority="1857" operator="equal" dxfId="2034">
      <formula>"ja"</formula>
    </cfRule>
    <cfRule type="cellIs" priority="1865" operator="equal" dxfId="2034">
      <formula>"ja"</formula>
    </cfRule>
    <cfRule type="cellIs" priority="1861" operator="equal" dxfId="2034">
      <formula>"ja"</formula>
    </cfRule>
  </conditionalFormatting>
  <conditionalFormatting sqref="T841">
    <cfRule type="expression" priority="1856" dxfId="2">
      <formula>AND(AND($W841&lt;TODAY(),$W841&lt;&gt;""),$X841="")</formula>
    </cfRule>
    <cfRule type="expression" priority="1868" dxfId="2">
      <formula>AND(AND($W841&lt;TODAY(),$W841&lt;&gt;""),$X841="")</formula>
    </cfRule>
    <cfRule type="expression" priority="1864" dxfId="2">
      <formula>AND(AND($W841&lt;TODAY(),$W841&lt;&gt;""),$X841="")</formula>
    </cfRule>
    <cfRule type="expression" priority="1860" dxfId="2">
      <formula>AND(AND($W841&lt;TODAY(),$W841&lt;&gt;""),$X841="")</formula>
    </cfRule>
  </conditionalFormatting>
  <conditionalFormatting sqref="Z841">
    <cfRule type="dataBar" priority="1867">
      <dataBar>
        <cfvo type="min"/>
        <cfvo type="max"/>
        <color rgb="FF63C384"/>
      </dataBar>
    </cfRule>
    <cfRule type="dataBar" priority="1866">
      <dataBar>
        <cfvo type="min"/>
        <cfvo type="max"/>
        <color rgb="FF63C384"/>
      </dataBar>
    </cfRule>
    <cfRule type="dataBar" priority="1863">
      <dataBar>
        <cfvo type="min"/>
        <cfvo type="max"/>
        <color rgb="FF63C384"/>
      </dataBar>
    </cfRule>
    <cfRule type="dataBar" priority="1862">
      <dataBar>
        <cfvo type="min"/>
        <cfvo type="max"/>
        <color rgb="FF63C384"/>
      </dataBar>
    </cfRule>
    <cfRule type="dataBar" priority="1859">
      <dataBar>
        <cfvo type="min"/>
        <cfvo type="max"/>
        <color rgb="FF63C384"/>
      </dataBar>
    </cfRule>
    <cfRule type="dataBar" priority="1858">
      <dataBar>
        <cfvo type="min"/>
        <cfvo type="max"/>
        <color rgb="FF63C384"/>
      </dataBar>
    </cfRule>
    <cfRule type="dataBar" priority="1855">
      <dataBar>
        <cfvo type="min"/>
        <cfvo type="max"/>
        <color rgb="FF63C384"/>
      </dataBar>
    </cfRule>
    <cfRule type="dataBar" priority="1854">
      <dataBar>
        <cfvo type="min"/>
        <cfvo type="max"/>
        <color rgb="FF63C384"/>
      </dataBar>
    </cfRule>
  </conditionalFormatting>
  <conditionalFormatting sqref="T843">
    <cfRule type="expression" priority="1843" dxfId="2">
      <formula>AND(AND($W843&lt;TODAY(),$W843&lt;&gt;""),$X843="")</formula>
    </cfRule>
  </conditionalFormatting>
  <conditionalFormatting sqref="Z843">
    <cfRule type="dataBar" priority="1842">
      <dataBar>
        <cfvo type="min"/>
        <cfvo type="max"/>
        <color rgb="FF63C384"/>
      </dataBar>
    </cfRule>
    <cfRule type="dataBar" priority="1841">
      <dataBar>
        <cfvo type="min"/>
        <cfvo type="max"/>
        <color rgb="FF63C384"/>
      </dataBar>
    </cfRule>
  </conditionalFormatting>
  <conditionalFormatting sqref="C842">
    <cfRule type="containsText" priority="1839" operator="containsText" dxfId="1" text="Einnahmen">
      <formula>NOT(ISERROR(SEARCH("Einnahmen",C842)))</formula>
    </cfRule>
    <cfRule type="containsText" priority="1840" operator="containsText" dxfId="0" text="Ausgaben">
      <formula>NOT(ISERROR(SEARCH("Ausgaben",C842)))</formula>
    </cfRule>
    <cfRule type="containsText" priority="1837" operator="containsText" dxfId="1" text="Einnahmen">
      <formula>NOT(ISERROR(SEARCH("Einnahmen",C842)))</formula>
    </cfRule>
    <cfRule type="containsText" priority="1838" operator="containsText" dxfId="0" text="Ausgaben">
      <formula>NOT(ISERROR(SEARCH("Ausgaben",C842)))</formula>
    </cfRule>
  </conditionalFormatting>
  <conditionalFormatting sqref="J844">
    <cfRule type="cellIs" priority="1836" operator="equal" dxfId="2034">
      <formula>"ja"</formula>
    </cfRule>
    <cfRule type="cellIs" priority="1827" operator="equal" dxfId="2034">
      <formula>"ja"</formula>
    </cfRule>
  </conditionalFormatting>
  <conditionalFormatting sqref="C843">
    <cfRule type="containsText" priority="1834" operator="containsText" dxfId="1" text="Einnahmen">
      <formula>NOT(ISERROR(SEARCH("Einnahmen",C843)))</formula>
    </cfRule>
    <cfRule type="containsText" priority="1835" operator="containsText" dxfId="0" text="Ausgaben">
      <formula>NOT(ISERROR(SEARCH("Ausgaben",C843)))</formula>
    </cfRule>
    <cfRule type="containsText" priority="1829" operator="containsText" dxfId="1" text="Einnahmen">
      <formula>NOT(ISERROR(SEARCH("Einnahmen",C843)))</formula>
    </cfRule>
    <cfRule type="containsText" priority="1830" operator="containsText" dxfId="0" text="Ausgaben">
      <formula>NOT(ISERROR(SEARCH("Ausgaben",C843)))</formula>
    </cfRule>
  </conditionalFormatting>
  <conditionalFormatting sqref="T844">
    <cfRule type="expression" priority="1833" dxfId="2">
      <formula>AND(AND($W844&lt;TODAY(),$W844&lt;&gt;""),$X844="")</formula>
    </cfRule>
    <cfRule type="expression" priority="1828" dxfId="2">
      <formula>AND(AND($W844&lt;TODAY(),$W844&lt;&gt;""),$X844="")</formula>
    </cfRule>
  </conditionalFormatting>
  <conditionalFormatting sqref="Z844">
    <cfRule type="dataBar" priority="1832">
      <dataBar>
        <cfvo type="min"/>
        <cfvo type="max"/>
        <color rgb="FF63C384"/>
      </dataBar>
    </cfRule>
    <cfRule type="dataBar" priority="1831">
      <dataBar>
        <cfvo type="min"/>
        <cfvo type="max"/>
        <color rgb="FF63C384"/>
      </dataBar>
    </cfRule>
    <cfRule type="dataBar" priority="1826">
      <dataBar>
        <cfvo type="min"/>
        <cfvo type="max"/>
        <color rgb="FF63C384"/>
      </dataBar>
    </cfRule>
    <cfRule type="dataBar" priority="1825">
      <dataBar>
        <cfvo type="min"/>
        <cfvo type="max"/>
        <color rgb="FF63C384"/>
      </dataBar>
    </cfRule>
  </conditionalFormatting>
  <conditionalFormatting sqref="T845">
    <cfRule type="expression" priority="1824" dxfId="2">
      <formula>AND(AND($W845&lt;TODAY(),$W845&lt;&gt;""),$X845="")</formula>
    </cfRule>
    <cfRule type="expression" priority="1821" dxfId="2">
      <formula>AND(AND($W845&lt;TODAY(),$W845&lt;&gt;""),$X845="")</formula>
    </cfRule>
  </conditionalFormatting>
  <conditionalFormatting sqref="Z845">
    <cfRule type="dataBar" priority="1823">
      <dataBar>
        <cfvo type="min"/>
        <cfvo type="max"/>
        <color rgb="FF63C384"/>
      </dataBar>
    </cfRule>
    <cfRule type="dataBar" priority="1822">
      <dataBar>
        <cfvo type="min"/>
        <cfvo type="max"/>
        <color rgb="FF63C384"/>
      </dataBar>
    </cfRule>
    <cfRule type="dataBar" priority="1820">
      <dataBar>
        <cfvo type="min"/>
        <cfvo type="max"/>
        <color rgb="FF63C384"/>
      </dataBar>
    </cfRule>
    <cfRule type="dataBar" priority="1819">
      <dataBar>
        <cfvo type="min"/>
        <cfvo type="max"/>
        <color rgb="FF63C384"/>
      </dataBar>
    </cfRule>
  </conditionalFormatting>
  <conditionalFormatting sqref="J846">
    <cfRule type="cellIs" priority="1818" operator="equal" dxfId="2034">
      <formula>"ja"</formula>
    </cfRule>
    <cfRule type="cellIs" priority="1812" operator="equal" dxfId="2034">
      <formula>"ja"</formula>
    </cfRule>
    <cfRule type="cellIs" priority="1808" operator="equal" dxfId="2034">
      <formula>"ja"</formula>
    </cfRule>
  </conditionalFormatting>
  <conditionalFormatting sqref="C846">
    <cfRule type="containsText" priority="1816" operator="containsText" dxfId="1" text="Einnahmen">
      <formula>NOT(ISERROR(SEARCH("Einnahmen",C846)))</formula>
    </cfRule>
    <cfRule type="containsText" priority="1817" operator="containsText" dxfId="0" text="Ausgaben">
      <formula>NOT(ISERROR(SEARCH("Ausgaben",C846)))</formula>
    </cfRule>
    <cfRule type="containsText" priority="1806" operator="containsText" dxfId="1" text="Einnahmen">
      <formula>NOT(ISERROR(SEARCH("Einnahmen",C846)))</formula>
    </cfRule>
    <cfRule type="containsText" priority="1807" operator="containsText" dxfId="0" text="Ausgaben">
      <formula>NOT(ISERROR(SEARCH("Ausgaben",C846)))</formula>
    </cfRule>
  </conditionalFormatting>
  <conditionalFormatting sqref="T846:T848">
    <cfRule type="expression" priority="1815" dxfId="2">
      <formula>AND(AND($W846&lt;TODAY(),$W846&lt;&gt;""),$X846="")</formula>
    </cfRule>
    <cfRule type="expression" priority="1811" dxfId="2">
      <formula>AND(AND($W846&lt;TODAY(),$W846&lt;&gt;""),$X846="")</formula>
    </cfRule>
    <cfRule type="expression" priority="1805" dxfId="2">
      <formula>AND(AND($W846&lt;TODAY(),$W846&lt;&gt;""),$X846="")</formula>
    </cfRule>
  </conditionalFormatting>
  <conditionalFormatting sqref="Z846:Z847">
    <cfRule type="dataBar" priority="1814">
      <dataBar>
        <cfvo type="min"/>
        <cfvo type="max"/>
        <color rgb="FF63C384"/>
      </dataBar>
    </cfRule>
    <cfRule type="dataBar" priority="1813">
      <dataBar>
        <cfvo type="min"/>
        <cfvo type="max"/>
        <color rgb="FF63C384"/>
      </dataBar>
    </cfRule>
    <cfRule type="dataBar" priority="1810">
      <dataBar>
        <cfvo type="min"/>
        <cfvo type="max"/>
        <color rgb="FF63C384"/>
      </dataBar>
    </cfRule>
    <cfRule type="dataBar" priority="1809">
      <dataBar>
        <cfvo type="min"/>
        <cfvo type="max"/>
        <color rgb="FF63C384"/>
      </dataBar>
    </cfRule>
    <cfRule type="dataBar" priority="1804">
      <dataBar>
        <cfvo type="min"/>
        <cfvo type="max"/>
        <color rgb="FF63C384"/>
      </dataBar>
    </cfRule>
    <cfRule type="dataBar" priority="1803">
      <dataBar>
        <cfvo type="min"/>
        <cfvo type="max"/>
        <color rgb="FF63C384"/>
      </dataBar>
    </cfRule>
  </conditionalFormatting>
  <conditionalFormatting sqref="J842">
    <cfRule type="cellIs" priority="1802" operator="equal" dxfId="2034">
      <formula>"ja"</formula>
    </cfRule>
    <cfRule type="cellIs" priority="1795" operator="equal" dxfId="2034">
      <formula>"ja"</formula>
    </cfRule>
  </conditionalFormatting>
  <conditionalFormatting sqref="T842">
    <cfRule type="expression" priority="1801" dxfId="2">
      <formula>AND(AND($W842&lt;TODAY(),$W842&lt;&gt;""),$X842="")</formula>
    </cfRule>
    <cfRule type="expression" priority="1798" dxfId="2">
      <formula>AND(AND($W842&lt;TODAY(),$W842&lt;&gt;""),$X842="")</formula>
    </cfRule>
  </conditionalFormatting>
  <conditionalFormatting sqref="Z842">
    <cfRule type="dataBar" priority="1800">
      <dataBar>
        <cfvo type="min"/>
        <cfvo type="max"/>
        <color rgb="FF63C384"/>
      </dataBar>
    </cfRule>
    <cfRule type="dataBar" priority="1799">
      <dataBar>
        <cfvo type="min"/>
        <cfvo type="max"/>
        <color rgb="FF63C384"/>
      </dataBar>
    </cfRule>
    <cfRule type="dataBar" priority="1797">
      <dataBar>
        <cfvo type="min"/>
        <cfvo type="max"/>
        <color rgb="FF63C384"/>
      </dataBar>
    </cfRule>
    <cfRule type="dataBar" priority="1796">
      <dataBar>
        <cfvo type="min"/>
        <cfvo type="max"/>
        <color rgb="FF63C384"/>
      </dataBar>
    </cfRule>
  </conditionalFormatting>
  <conditionalFormatting sqref="J848">
    <cfRule type="cellIs" priority="1794" operator="equal" dxfId="2034">
      <formula>"ja"</formula>
    </cfRule>
    <cfRule type="cellIs" priority="1790" operator="equal" dxfId="2034">
      <formula>"ja"</formula>
    </cfRule>
  </conditionalFormatting>
  <conditionalFormatting sqref="Z848">
    <cfRule type="dataBar" priority="1792">
      <dataBar>
        <cfvo type="min"/>
        <cfvo type="max"/>
        <color rgb="FF63C384"/>
      </dataBar>
    </cfRule>
    <cfRule type="dataBar" priority="1791">
      <dataBar>
        <cfvo type="min"/>
        <cfvo type="max"/>
        <color rgb="FF63C384"/>
      </dataBar>
    </cfRule>
    <cfRule type="dataBar" priority="1788">
      <dataBar>
        <cfvo type="min"/>
        <cfvo type="max"/>
        <color rgb="FF63C384"/>
      </dataBar>
    </cfRule>
    <cfRule type="dataBar" priority="1787">
      <dataBar>
        <cfvo type="min"/>
        <cfvo type="max"/>
        <color rgb="FF63C384"/>
      </dataBar>
    </cfRule>
  </conditionalFormatting>
  <conditionalFormatting sqref="J849">
    <cfRule type="cellIs" priority="1786" operator="equal" dxfId="2034">
      <formula>"ja"</formula>
    </cfRule>
    <cfRule type="cellIs" priority="1779" operator="equal" dxfId="2034">
      <formula>"ja"</formula>
    </cfRule>
  </conditionalFormatting>
  <conditionalFormatting sqref="T849">
    <cfRule type="expression" priority="1785" dxfId="2">
      <formula>AND(AND($W849&lt;TODAY(),$W849&lt;&gt;""),$X849="")</formula>
    </cfRule>
    <cfRule type="expression" priority="1782" dxfId="2">
      <formula>AND(AND($W849&lt;TODAY(),$W849&lt;&gt;""),$X849="")</formula>
    </cfRule>
  </conditionalFormatting>
  <conditionalFormatting sqref="Z849">
    <cfRule type="dataBar" priority="1784">
      <dataBar>
        <cfvo type="min"/>
        <cfvo type="max"/>
        <color rgb="FF63C384"/>
      </dataBar>
    </cfRule>
    <cfRule type="dataBar" priority="1783">
      <dataBar>
        <cfvo type="min"/>
        <cfvo type="max"/>
        <color rgb="FF63C384"/>
      </dataBar>
    </cfRule>
    <cfRule type="dataBar" priority="1781">
      <dataBar>
        <cfvo type="min"/>
        <cfvo type="max"/>
        <color rgb="FF63C384"/>
      </dataBar>
    </cfRule>
    <cfRule type="dataBar" priority="1780">
      <dataBar>
        <cfvo type="min"/>
        <cfvo type="max"/>
        <color rgb="FF63C384"/>
      </dataBar>
    </cfRule>
  </conditionalFormatting>
  <conditionalFormatting sqref="C849">
    <cfRule type="containsText" priority="1777" operator="containsText" dxfId="1" text="Einnahmen">
      <formula>NOT(ISERROR(SEARCH("Einnahmen",C849)))</formula>
    </cfRule>
    <cfRule type="containsText" priority="1778" operator="containsText" dxfId="0" text="Ausgaben">
      <formula>NOT(ISERROR(SEARCH("Ausgaben",C849)))</formula>
    </cfRule>
  </conditionalFormatting>
  <conditionalFormatting sqref="C850">
    <cfRule type="containsText" priority="1775" operator="containsText" dxfId="1" text="Einnahmen">
      <formula>NOT(ISERROR(SEARCH("Einnahmen",C850)))</formula>
    </cfRule>
    <cfRule type="containsText" priority="1776" operator="containsText" dxfId="0" text="Ausgaben">
      <formula>NOT(ISERROR(SEARCH("Ausgaben",C850)))</formula>
    </cfRule>
  </conditionalFormatting>
  <conditionalFormatting sqref="T850">
    <cfRule type="expression" priority="1774" dxfId="2">
      <formula>AND(AND($W850&lt;TODAY(),$W850&lt;&gt;""),$X850="")</formula>
    </cfRule>
  </conditionalFormatting>
  <conditionalFormatting sqref="Z850">
    <cfRule type="dataBar" priority="1773">
      <dataBar>
        <cfvo type="min"/>
        <cfvo type="max"/>
        <color rgb="FF63C384"/>
      </dataBar>
    </cfRule>
    <cfRule type="dataBar" priority="1772">
      <dataBar>
        <cfvo type="min"/>
        <cfvo type="max"/>
        <color rgb="FF63C384"/>
      </dataBar>
    </cfRule>
  </conditionalFormatting>
  <conditionalFormatting sqref="J850">
    <cfRule type="cellIs" priority="1771" operator="equal" dxfId="2034">
      <formula>"ja"</formula>
    </cfRule>
  </conditionalFormatting>
  <conditionalFormatting sqref="C851">
    <cfRule type="containsText" priority="1769" operator="containsText" dxfId="1" text="Einnahmen">
      <formula>NOT(ISERROR(SEARCH("Einnahmen",C851)))</formula>
    </cfRule>
    <cfRule type="containsText" priority="1770" operator="containsText" dxfId="0" text="Ausgaben">
      <formula>NOT(ISERROR(SEARCH("Ausgaben",C851)))</formula>
    </cfRule>
  </conditionalFormatting>
  <conditionalFormatting sqref="T851">
    <cfRule type="expression" priority="1768" dxfId="2">
      <formula>AND(AND($W851&lt;TODAY(),$W851&lt;&gt;""),$X851="")</formula>
    </cfRule>
  </conditionalFormatting>
  <conditionalFormatting sqref="J851">
    <cfRule type="cellIs" priority="1767" operator="equal" dxfId="2034">
      <formula>"ja"</formula>
    </cfRule>
  </conditionalFormatting>
  <conditionalFormatting sqref="Z851">
    <cfRule type="dataBar" priority="1766">
      <dataBar>
        <cfvo type="min"/>
        <cfvo type="max"/>
        <color rgb="FF63C384"/>
      </dataBar>
    </cfRule>
    <cfRule type="dataBar" priority="1765">
      <dataBar>
        <cfvo type="min"/>
        <cfvo type="max"/>
        <color rgb="FF63C384"/>
      </dataBar>
    </cfRule>
  </conditionalFormatting>
  <conditionalFormatting sqref="T852">
    <cfRule type="expression" priority="1764" dxfId="2">
      <formula>AND(AND($W852&lt;TODAY(),$W852&lt;&gt;""),$X852="")</formula>
    </cfRule>
  </conditionalFormatting>
  <conditionalFormatting sqref="Z852">
    <cfRule type="dataBar" priority="1763">
      <dataBar>
        <cfvo type="min"/>
        <cfvo type="max"/>
        <color rgb="FF63C384"/>
      </dataBar>
    </cfRule>
    <cfRule type="dataBar" priority="1762">
      <dataBar>
        <cfvo type="min"/>
        <cfvo type="max"/>
        <color rgb="FF63C384"/>
      </dataBar>
    </cfRule>
  </conditionalFormatting>
  <conditionalFormatting sqref="J852">
    <cfRule type="cellIs" priority="1761" operator="equal" dxfId="2034">
      <formula>"ja"</formula>
    </cfRule>
  </conditionalFormatting>
  <conditionalFormatting sqref="C852">
    <cfRule type="containsText" priority="1759" operator="containsText" dxfId="1" text="Einnahmen">
      <formula>NOT(ISERROR(SEARCH("Einnahmen",C852)))</formula>
    </cfRule>
    <cfRule type="containsText" priority="1760" operator="containsText" dxfId="0" text="Ausgaben">
      <formula>NOT(ISERROR(SEARCH("Ausgaben",C852)))</formula>
    </cfRule>
  </conditionalFormatting>
  <conditionalFormatting sqref="J853">
    <cfRule type="cellIs" priority="1758" operator="equal" dxfId="2034">
      <formula>"ja"</formula>
    </cfRule>
  </conditionalFormatting>
  <conditionalFormatting sqref="C853">
    <cfRule type="containsText" priority="1756" operator="containsText" dxfId="1" text="Einnahmen">
      <formula>NOT(ISERROR(SEARCH("Einnahmen",C853)))</formula>
    </cfRule>
    <cfRule type="containsText" priority="1757" operator="containsText" dxfId="0" text="Ausgaben">
      <formula>NOT(ISERROR(SEARCH("Ausgaben",C853)))</formula>
    </cfRule>
  </conditionalFormatting>
  <conditionalFormatting sqref="T853">
    <cfRule type="expression" priority="1755" dxfId="2">
      <formula>AND(AND($W853&lt;TODAY(),$W853&lt;&gt;""),$X853="")</formula>
    </cfRule>
  </conditionalFormatting>
  <conditionalFormatting sqref="Z853">
    <cfRule type="dataBar" priority="1754">
      <dataBar>
        <cfvo type="min"/>
        <cfvo type="max"/>
        <color rgb="FF63C384"/>
      </dataBar>
    </cfRule>
    <cfRule type="dataBar" priority="1753">
      <dataBar>
        <cfvo type="min"/>
        <cfvo type="max"/>
        <color rgb="FF63C384"/>
      </dataBar>
    </cfRule>
  </conditionalFormatting>
  <conditionalFormatting sqref="C854">
    <cfRule type="containsText" priority="1751" operator="containsText" dxfId="1" text="Einnahmen">
      <formula>NOT(ISERROR(SEARCH("Einnahmen",C854)))</formula>
    </cfRule>
    <cfRule type="containsText" priority="1752" operator="containsText" dxfId="0" text="Ausgaben">
      <formula>NOT(ISERROR(SEARCH("Ausgaben",C854)))</formula>
    </cfRule>
  </conditionalFormatting>
  <conditionalFormatting sqref="J854">
    <cfRule type="cellIs" priority="1750" operator="equal" dxfId="2034">
      <formula>"ja"</formula>
    </cfRule>
    <cfRule type="cellIs" priority="1745" operator="equal" dxfId="2034">
      <formula>"ja"</formula>
    </cfRule>
  </conditionalFormatting>
  <conditionalFormatting sqref="T854">
    <cfRule type="expression" priority="1749" dxfId="2">
      <formula>AND(AND($W854&lt;TODAY(),$W854&lt;&gt;""),$X854="")</formula>
    </cfRule>
    <cfRule type="expression" priority="1746" dxfId="2">
      <formula>AND(AND($W854&lt;TODAY(),$W854&lt;&gt;""),$X854="")</formula>
    </cfRule>
  </conditionalFormatting>
  <conditionalFormatting sqref="Z854">
    <cfRule type="dataBar" priority="1748">
      <dataBar>
        <cfvo type="min"/>
        <cfvo type="max"/>
        <color rgb="FF63C384"/>
      </dataBar>
    </cfRule>
    <cfRule type="dataBar" priority="1747">
      <dataBar>
        <cfvo type="min"/>
        <cfvo type="max"/>
        <color rgb="FF63C384"/>
      </dataBar>
    </cfRule>
    <cfRule type="dataBar" priority="1744">
      <dataBar>
        <cfvo type="min"/>
        <cfvo type="max"/>
        <color rgb="FF63C384"/>
      </dataBar>
    </cfRule>
    <cfRule type="dataBar" priority="1743">
      <dataBar>
        <cfvo type="min"/>
        <cfvo type="max"/>
        <color rgb="FF63C384"/>
      </dataBar>
    </cfRule>
  </conditionalFormatting>
  <conditionalFormatting sqref="C855">
    <cfRule type="containsText" priority="1741" operator="containsText" dxfId="1" text="Einnahmen">
      <formula>NOT(ISERROR(SEARCH("Einnahmen",C855)))</formula>
    </cfRule>
    <cfRule type="containsText" priority="1742" operator="containsText" dxfId="0" text="Ausgaben">
      <formula>NOT(ISERROR(SEARCH("Ausgaben",C855)))</formula>
    </cfRule>
  </conditionalFormatting>
  <conditionalFormatting sqref="J855">
    <cfRule type="cellIs" priority="1740" operator="equal" dxfId="2034">
      <formula>"ja"</formula>
    </cfRule>
  </conditionalFormatting>
  <conditionalFormatting sqref="T855">
    <cfRule type="expression" priority="1739" dxfId="2">
      <formula>AND(AND($W855&lt;TODAY(),$W855&lt;&gt;""),$X855="")</formula>
    </cfRule>
  </conditionalFormatting>
  <conditionalFormatting sqref="Z855">
    <cfRule type="dataBar" priority="1738">
      <dataBar>
        <cfvo type="min"/>
        <cfvo type="max"/>
        <color rgb="FF63C384"/>
      </dataBar>
    </cfRule>
    <cfRule type="dataBar" priority="1737">
      <dataBar>
        <cfvo type="min"/>
        <cfvo type="max"/>
        <color rgb="FF63C384"/>
      </dataBar>
    </cfRule>
  </conditionalFormatting>
  <conditionalFormatting sqref="C856">
    <cfRule type="containsText" priority="1735" operator="containsText" dxfId="1" text="Einnahmen">
      <formula>NOT(ISERROR(SEARCH("Einnahmen",C856)))</formula>
    </cfRule>
    <cfRule type="containsText" priority="1736" operator="containsText" dxfId="0" text="Ausgaben">
      <formula>NOT(ISERROR(SEARCH("Ausgaben",C856)))</formula>
    </cfRule>
  </conditionalFormatting>
  <conditionalFormatting sqref="J856">
    <cfRule type="cellIs" priority="1734" operator="equal" dxfId="2034">
      <formula>"ja"</formula>
    </cfRule>
    <cfRule type="cellIs" priority="1722" operator="equal" dxfId="2034">
      <formula>"ja"</formula>
    </cfRule>
    <cfRule type="cellIs" priority="1730" operator="equal" dxfId="2034">
      <formula>"ja"</formula>
    </cfRule>
    <cfRule type="cellIs" priority="1726" operator="equal" dxfId="2034">
      <formula>"ja"</formula>
    </cfRule>
  </conditionalFormatting>
  <conditionalFormatting sqref="T856">
    <cfRule type="expression" priority="1721" dxfId="2">
      <formula>AND(AND($W856&lt;TODAY(),$W856&lt;&gt;""),$X856="")</formula>
    </cfRule>
    <cfRule type="expression" priority="1733" dxfId="2">
      <formula>AND(AND($W856&lt;TODAY(),$W856&lt;&gt;""),$X856="")</formula>
    </cfRule>
    <cfRule type="expression" priority="1729" dxfId="2">
      <formula>AND(AND($W856&lt;TODAY(),$W856&lt;&gt;""),$X856="")</formula>
    </cfRule>
    <cfRule type="expression" priority="1725" dxfId="2">
      <formula>AND(AND($W856&lt;TODAY(),$W856&lt;&gt;""),$X856="")</formula>
    </cfRule>
  </conditionalFormatting>
  <conditionalFormatting sqref="Z856">
    <cfRule type="dataBar" priority="1732">
      <dataBar>
        <cfvo type="min"/>
        <cfvo type="max"/>
        <color rgb="FF63C384"/>
      </dataBar>
    </cfRule>
    <cfRule type="dataBar" priority="1731">
      <dataBar>
        <cfvo type="min"/>
        <cfvo type="max"/>
        <color rgb="FF63C384"/>
      </dataBar>
    </cfRule>
    <cfRule type="dataBar" priority="1728">
      <dataBar>
        <cfvo type="min"/>
        <cfvo type="max"/>
        <color rgb="FF63C384"/>
      </dataBar>
    </cfRule>
    <cfRule type="dataBar" priority="1727">
      <dataBar>
        <cfvo type="min"/>
        <cfvo type="max"/>
        <color rgb="FF63C384"/>
      </dataBar>
    </cfRule>
    <cfRule type="dataBar" priority="1724">
      <dataBar>
        <cfvo type="min"/>
        <cfvo type="max"/>
        <color rgb="FF63C384"/>
      </dataBar>
    </cfRule>
    <cfRule type="dataBar" priority="1723">
      <dataBar>
        <cfvo type="min"/>
        <cfvo type="max"/>
        <color rgb="FF63C384"/>
      </dataBar>
    </cfRule>
    <cfRule type="dataBar" priority="1720">
      <dataBar>
        <cfvo type="min"/>
        <cfvo type="max"/>
        <color rgb="FF63C384"/>
      </dataBar>
    </cfRule>
    <cfRule type="dataBar" priority="1719">
      <dataBar>
        <cfvo type="min"/>
        <cfvo type="max"/>
        <color rgb="FF63C384"/>
      </dataBar>
    </cfRule>
  </conditionalFormatting>
  <conditionalFormatting sqref="C857">
    <cfRule type="containsText" priority="1717" operator="containsText" dxfId="1" text="Einnahmen">
      <formula>NOT(ISERROR(SEARCH("Einnahmen",C857)))</formula>
    </cfRule>
    <cfRule type="containsText" priority="1718" operator="containsText" dxfId="0" text="Ausgaben">
      <formula>NOT(ISERROR(SEARCH("Ausgaben",C857)))</formula>
    </cfRule>
    <cfRule type="containsText" priority="1715" operator="containsText" dxfId="1" text="Einnahmen">
      <formula>NOT(ISERROR(SEARCH("Einnahmen",C857)))</formula>
    </cfRule>
    <cfRule type="containsText" priority="1716" operator="containsText" dxfId="0" text="Ausgaben">
      <formula>NOT(ISERROR(SEARCH("Ausgaben",C857)))</formula>
    </cfRule>
  </conditionalFormatting>
  <conditionalFormatting sqref="J857">
    <cfRule type="cellIs" priority="1714" operator="equal" dxfId="2034">
      <formula>"ja"</formula>
    </cfRule>
    <cfRule type="cellIs" priority="1707" operator="equal" dxfId="2034">
      <formula>"ja"</formula>
    </cfRule>
  </conditionalFormatting>
  <conditionalFormatting sqref="T857:T858">
    <cfRule type="expression" priority="1713" dxfId="2">
      <formula>AND(AND($W857&lt;TODAY(),$W857&lt;&gt;""),$X857="")</formula>
    </cfRule>
    <cfRule type="expression" priority="1710" dxfId="2">
      <formula>AND(AND($W857&lt;TODAY(),$W857&lt;&gt;""),$X857="")</formula>
    </cfRule>
  </conditionalFormatting>
  <conditionalFormatting sqref="Z857:Z858">
    <cfRule type="dataBar" priority="1712">
      <dataBar>
        <cfvo type="min"/>
        <cfvo type="max"/>
        <color rgb="FF63C384"/>
      </dataBar>
    </cfRule>
    <cfRule type="dataBar" priority="1711">
      <dataBar>
        <cfvo type="min"/>
        <cfvo type="max"/>
        <color rgb="FF63C384"/>
      </dataBar>
    </cfRule>
    <cfRule type="dataBar" priority="1709">
      <dataBar>
        <cfvo type="min"/>
        <cfvo type="max"/>
        <color rgb="FF63C384"/>
      </dataBar>
    </cfRule>
    <cfRule type="dataBar" priority="1708">
      <dataBar>
        <cfvo type="min"/>
        <cfvo type="max"/>
        <color rgb="FF63C384"/>
      </dataBar>
    </cfRule>
  </conditionalFormatting>
  <conditionalFormatting sqref="J859">
    <cfRule type="cellIs" priority="1706" operator="equal" dxfId="2034">
      <formula>"ja"</formula>
    </cfRule>
    <cfRule type="cellIs" priority="1701" operator="equal" dxfId="2034">
      <formula>"ja"</formula>
    </cfRule>
  </conditionalFormatting>
  <conditionalFormatting sqref="T859">
    <cfRule type="expression" priority="1705" dxfId="2">
      <formula>AND(AND($W859&lt;TODAY(),$W859&lt;&gt;""),$X859="")</formula>
    </cfRule>
    <cfRule type="expression" priority="1702" dxfId="2">
      <formula>AND(AND($W859&lt;TODAY(),$W859&lt;&gt;""),$X859="")</formula>
    </cfRule>
  </conditionalFormatting>
  <conditionalFormatting sqref="Z859">
    <cfRule type="dataBar" priority="1704">
      <dataBar>
        <cfvo type="min"/>
        <cfvo type="max"/>
        <color rgb="FF63C384"/>
      </dataBar>
    </cfRule>
    <cfRule type="dataBar" priority="1703">
      <dataBar>
        <cfvo type="min"/>
        <cfvo type="max"/>
        <color rgb="FF63C384"/>
      </dataBar>
    </cfRule>
    <cfRule type="dataBar" priority="1700">
      <dataBar>
        <cfvo type="min"/>
        <cfvo type="max"/>
        <color rgb="FF63C384"/>
      </dataBar>
    </cfRule>
    <cfRule type="dataBar" priority="1699">
      <dataBar>
        <cfvo type="min"/>
        <cfvo type="max"/>
        <color rgb="FF63C384"/>
      </dataBar>
    </cfRule>
  </conditionalFormatting>
  <conditionalFormatting sqref="T860">
    <cfRule type="expression" priority="1698" dxfId="2">
      <formula>AND(AND($W860&lt;TODAY(),$W860&lt;&gt;""),$X860="")</formula>
    </cfRule>
    <cfRule type="expression" priority="1695" dxfId="2">
      <formula>AND(AND($W860&lt;TODAY(),$W860&lt;&gt;""),$X860="")</formula>
    </cfRule>
  </conditionalFormatting>
  <conditionalFormatting sqref="Z860">
    <cfRule type="dataBar" priority="1697">
      <dataBar>
        <cfvo type="min"/>
        <cfvo type="max"/>
        <color rgb="FF63C384"/>
      </dataBar>
    </cfRule>
    <cfRule type="dataBar" priority="1696">
      <dataBar>
        <cfvo type="min"/>
        <cfvo type="max"/>
        <color rgb="FF63C384"/>
      </dataBar>
    </cfRule>
    <cfRule type="dataBar" priority="1694">
      <dataBar>
        <cfvo type="min"/>
        <cfvo type="max"/>
        <color rgb="FF63C384"/>
      </dataBar>
    </cfRule>
    <cfRule type="dataBar" priority="1693">
      <dataBar>
        <cfvo type="min"/>
        <cfvo type="max"/>
        <color rgb="FF63C384"/>
      </dataBar>
    </cfRule>
  </conditionalFormatting>
  <conditionalFormatting sqref="T861">
    <cfRule type="expression" priority="1692" dxfId="2">
      <formula>AND(AND($W861&lt;TODAY(),$W861&lt;&gt;""),$X861="")</formula>
    </cfRule>
  </conditionalFormatting>
  <conditionalFormatting sqref="Z861">
    <cfRule type="dataBar" priority="1691">
      <dataBar>
        <cfvo type="min"/>
        <cfvo type="max"/>
        <color rgb="FF63C384"/>
      </dataBar>
    </cfRule>
    <cfRule type="dataBar" priority="1690">
      <dataBar>
        <cfvo type="min"/>
        <cfvo type="max"/>
        <color rgb="FF63C384"/>
      </dataBar>
    </cfRule>
  </conditionalFormatting>
  <conditionalFormatting sqref="J861">
    <cfRule type="cellIs" priority="1689" operator="equal" dxfId="2034">
      <formula>"ja"</formula>
    </cfRule>
  </conditionalFormatting>
  <conditionalFormatting sqref="C861">
    <cfRule type="containsText" priority="1687" operator="containsText" dxfId="1" text="Einnahmen">
      <formula>NOT(ISERROR(SEARCH("Einnahmen",C861)))</formula>
    </cfRule>
    <cfRule type="containsText" priority="1688" operator="containsText" dxfId="0" text="Ausgaben">
      <formula>NOT(ISERROR(SEARCH("Ausgaben",C861)))</formula>
    </cfRule>
  </conditionalFormatting>
  <conditionalFormatting sqref="J862">
    <cfRule type="cellIs" priority="1686" operator="equal" dxfId="2034">
      <formula>"ja"</formula>
    </cfRule>
    <cfRule type="cellIs" priority="1680" operator="equal" dxfId="2034">
      <formula>"ja"</formula>
    </cfRule>
    <cfRule type="cellIs" priority="1676" operator="equal" dxfId="2034">
      <formula>"ja"</formula>
    </cfRule>
  </conditionalFormatting>
  <conditionalFormatting sqref="C862">
    <cfRule type="containsText" priority="1684" operator="containsText" dxfId="1" text="Einnahmen">
      <formula>NOT(ISERROR(SEARCH("Einnahmen",C862)))</formula>
    </cfRule>
    <cfRule type="containsText" priority="1685" operator="containsText" dxfId="0" text="Ausgaben">
      <formula>NOT(ISERROR(SEARCH("Ausgaben",C862)))</formula>
    </cfRule>
    <cfRule type="containsText" priority="1674" operator="containsText" dxfId="1" text="Einnahmen">
      <formula>NOT(ISERROR(SEARCH("Einnahmen",C862)))</formula>
    </cfRule>
    <cfRule type="containsText" priority="1675" operator="containsText" dxfId="0" text="Ausgaben">
      <formula>NOT(ISERROR(SEARCH("Ausgaben",C862)))</formula>
    </cfRule>
  </conditionalFormatting>
  <conditionalFormatting sqref="T862">
    <cfRule type="expression" priority="1683" dxfId="2">
      <formula>AND(AND($W862&lt;TODAY(),$W862&lt;&gt;""),$X862="")</formula>
    </cfRule>
    <cfRule type="expression" priority="1679" dxfId="2">
      <formula>AND(AND($W862&lt;TODAY(),$W862&lt;&gt;""),$X862="")</formula>
    </cfRule>
    <cfRule type="expression" priority="1673" dxfId="2">
      <formula>AND(AND($W862&lt;TODAY(),$W862&lt;&gt;""),$X862="")</formula>
    </cfRule>
  </conditionalFormatting>
  <conditionalFormatting sqref="Z862">
    <cfRule type="dataBar" priority="1682">
      <dataBar>
        <cfvo type="min"/>
        <cfvo type="max"/>
        <color rgb="FF63C384"/>
      </dataBar>
    </cfRule>
    <cfRule type="dataBar" priority="1681">
      <dataBar>
        <cfvo type="min"/>
        <cfvo type="max"/>
        <color rgb="FF63C384"/>
      </dataBar>
    </cfRule>
    <cfRule type="dataBar" priority="1678">
      <dataBar>
        <cfvo type="min"/>
        <cfvo type="max"/>
        <color rgb="FF63C384"/>
      </dataBar>
    </cfRule>
    <cfRule type="dataBar" priority="1677">
      <dataBar>
        <cfvo type="min"/>
        <cfvo type="max"/>
        <color rgb="FF63C384"/>
      </dataBar>
    </cfRule>
    <cfRule type="dataBar" priority="1672">
      <dataBar>
        <cfvo type="min"/>
        <cfvo type="max"/>
        <color rgb="FF63C384"/>
      </dataBar>
    </cfRule>
    <cfRule type="dataBar" priority="1671">
      <dataBar>
        <cfvo type="min"/>
        <cfvo type="max"/>
        <color rgb="FF63C384"/>
      </dataBar>
    </cfRule>
  </conditionalFormatting>
  <conditionalFormatting sqref="T863:T864">
    <cfRule type="expression" priority="1670" dxfId="2">
      <formula>AND(AND($W863&lt;TODAY(),$W863&lt;&gt;""),$X863="")</formula>
    </cfRule>
  </conditionalFormatting>
  <conditionalFormatting sqref="Z863">
    <cfRule type="dataBar" priority="1669">
      <dataBar>
        <cfvo type="min"/>
        <cfvo type="max"/>
        <color rgb="FF63C384"/>
      </dataBar>
    </cfRule>
    <cfRule type="dataBar" priority="1668">
      <dataBar>
        <cfvo type="min"/>
        <cfvo type="max"/>
        <color rgb="FF63C384"/>
      </dataBar>
    </cfRule>
  </conditionalFormatting>
  <conditionalFormatting sqref="C863">
    <cfRule type="containsText" priority="1666" operator="containsText" dxfId="1" text="Einnahmen">
      <formula>NOT(ISERROR(SEARCH("Einnahmen",C863)))</formula>
    </cfRule>
    <cfRule type="containsText" priority="1667" operator="containsText" dxfId="0" text="Ausgaben">
      <formula>NOT(ISERROR(SEARCH("Ausgaben",C863)))</formula>
    </cfRule>
    <cfRule type="containsText" priority="1664" operator="containsText" dxfId="1" text="Einnahmen">
      <formula>NOT(ISERROR(SEARCH("Einnahmen",C863)))</formula>
    </cfRule>
    <cfRule type="containsText" priority="1665" operator="containsText" dxfId="0" text="Ausgaben">
      <formula>NOT(ISERROR(SEARCH("Ausgaben",C863)))</formula>
    </cfRule>
  </conditionalFormatting>
  <conditionalFormatting sqref="J864">
    <cfRule type="cellIs" priority="1663" operator="equal" dxfId="2034">
      <formula>"ja"</formula>
    </cfRule>
    <cfRule type="cellIs" priority="1659" operator="equal" dxfId="2034">
      <formula>"ja"</formula>
    </cfRule>
  </conditionalFormatting>
  <conditionalFormatting sqref="Z864">
    <cfRule type="dataBar" priority="1661">
      <dataBar>
        <cfvo type="min"/>
        <cfvo type="max"/>
        <color rgb="FF63C384"/>
      </dataBar>
    </cfRule>
    <cfRule type="dataBar" priority="1660">
      <dataBar>
        <cfvo type="min"/>
        <cfvo type="max"/>
        <color rgb="FF63C384"/>
      </dataBar>
    </cfRule>
    <cfRule type="dataBar" priority="1657">
      <dataBar>
        <cfvo type="min"/>
        <cfvo type="max"/>
        <color rgb="FF63C384"/>
      </dataBar>
    </cfRule>
    <cfRule type="dataBar" priority="1656">
      <dataBar>
        <cfvo type="min"/>
        <cfvo type="max"/>
        <color rgb="FF63C384"/>
      </dataBar>
    </cfRule>
  </conditionalFormatting>
  <conditionalFormatting sqref="J865">
    <cfRule type="cellIs" priority="1655" operator="equal" dxfId="2034">
      <formula>"ja"</formula>
    </cfRule>
    <cfRule type="cellIs" priority="1648" operator="equal" dxfId="2034">
      <formula>"ja"</formula>
    </cfRule>
  </conditionalFormatting>
  <conditionalFormatting sqref="T865">
    <cfRule type="expression" priority="1654" dxfId="2">
      <formula>AND(AND($W865&lt;TODAY(),$W865&lt;&gt;""),$X865="")</formula>
    </cfRule>
    <cfRule type="expression" priority="1651" dxfId="2">
      <formula>AND(AND($W865&lt;TODAY(),$W865&lt;&gt;""),$X865="")</formula>
    </cfRule>
  </conditionalFormatting>
  <conditionalFormatting sqref="Z865">
    <cfRule type="dataBar" priority="1653">
      <dataBar>
        <cfvo type="min"/>
        <cfvo type="max"/>
        <color rgb="FF63C384"/>
      </dataBar>
    </cfRule>
    <cfRule type="dataBar" priority="1652">
      <dataBar>
        <cfvo type="min"/>
        <cfvo type="max"/>
        <color rgb="FF63C384"/>
      </dataBar>
    </cfRule>
    <cfRule type="dataBar" priority="1650">
      <dataBar>
        <cfvo type="min"/>
        <cfvo type="max"/>
        <color rgb="FF63C384"/>
      </dataBar>
    </cfRule>
    <cfRule type="dataBar" priority="1649">
      <dataBar>
        <cfvo type="min"/>
        <cfvo type="max"/>
        <color rgb="FF63C384"/>
      </dataBar>
    </cfRule>
  </conditionalFormatting>
  <conditionalFormatting sqref="C865">
    <cfRule type="containsText" priority="1646" operator="containsText" dxfId="1" text="Einnahmen">
      <formula>NOT(ISERROR(SEARCH("Einnahmen",C865)))</formula>
    </cfRule>
    <cfRule type="containsText" priority="1647" operator="containsText" dxfId="0" text="Ausgaben">
      <formula>NOT(ISERROR(SEARCH("Ausgaben",C865)))</formula>
    </cfRule>
  </conditionalFormatting>
  <conditionalFormatting sqref="J866">
    <cfRule type="cellIs" priority="1645" operator="equal" dxfId="2034">
      <formula>"ja"</formula>
    </cfRule>
    <cfRule type="cellIs" priority="1640" operator="equal" dxfId="2034">
      <formula>"ja"</formula>
    </cfRule>
  </conditionalFormatting>
  <conditionalFormatting sqref="T866">
    <cfRule type="expression" priority="1644" dxfId="2">
      <formula>AND(AND($W866&lt;TODAY(),$W866&lt;&gt;""),$X866="")</formula>
    </cfRule>
    <cfRule type="expression" priority="1641" dxfId="2">
      <formula>AND(AND($W866&lt;TODAY(),$W866&lt;&gt;""),$X866="")</formula>
    </cfRule>
  </conditionalFormatting>
  <conditionalFormatting sqref="Z866">
    <cfRule type="dataBar" priority="1643">
      <dataBar>
        <cfvo type="min"/>
        <cfvo type="max"/>
        <color rgb="FF63C384"/>
      </dataBar>
    </cfRule>
    <cfRule type="dataBar" priority="1642">
      <dataBar>
        <cfvo type="min"/>
        <cfvo type="max"/>
        <color rgb="FF63C384"/>
      </dataBar>
    </cfRule>
    <cfRule type="dataBar" priority="1639">
      <dataBar>
        <cfvo type="min"/>
        <cfvo type="max"/>
        <color rgb="FF63C384"/>
      </dataBar>
    </cfRule>
    <cfRule type="dataBar" priority="1638">
      <dataBar>
        <cfvo type="min"/>
        <cfvo type="max"/>
        <color rgb="FF63C384"/>
      </dataBar>
    </cfRule>
  </conditionalFormatting>
  <conditionalFormatting sqref="J867">
    <cfRule type="cellIs" priority="1637" operator="equal" dxfId="2034">
      <formula>"ja"</formula>
    </cfRule>
  </conditionalFormatting>
  <conditionalFormatting sqref="C867">
    <cfRule type="containsText" priority="1635" operator="containsText" dxfId="1" text="Einnahmen">
      <formula>NOT(ISERROR(SEARCH("Einnahmen",C867)))</formula>
    </cfRule>
    <cfRule type="containsText" priority="1636" operator="containsText" dxfId="0" text="Ausgaben">
      <formula>NOT(ISERROR(SEARCH("Ausgaben",C867)))</formula>
    </cfRule>
  </conditionalFormatting>
  <conditionalFormatting sqref="T867">
    <cfRule type="expression" priority="1634" dxfId="2">
      <formula>AND(AND($W867&lt;TODAY(),$W867&lt;&gt;""),$X867="")</formula>
    </cfRule>
  </conditionalFormatting>
  <conditionalFormatting sqref="Z867">
    <cfRule type="dataBar" priority="1633">
      <dataBar>
        <cfvo type="min"/>
        <cfvo type="max"/>
        <color rgb="FF63C384"/>
      </dataBar>
    </cfRule>
    <cfRule type="dataBar" priority="1632">
      <dataBar>
        <cfvo type="min"/>
        <cfvo type="max"/>
        <color rgb="FF63C384"/>
      </dataBar>
    </cfRule>
  </conditionalFormatting>
  <conditionalFormatting sqref="C868:C869">
    <cfRule type="containsText" priority="1630" operator="containsText" dxfId="1" text="Einnahmen">
      <formula>NOT(ISERROR(SEARCH("Einnahmen",C868)))</formula>
    </cfRule>
    <cfRule type="containsText" priority="1631" operator="containsText" dxfId="0" text="Ausgaben">
      <formula>NOT(ISERROR(SEARCH("Ausgaben",C868)))</formula>
    </cfRule>
  </conditionalFormatting>
  <conditionalFormatting sqref="T868">
    <cfRule type="expression" priority="1629" dxfId="2">
      <formula>AND(AND($W868&lt;TODAY(),$W868&lt;&gt;""),$X868="")</formula>
    </cfRule>
  </conditionalFormatting>
  <conditionalFormatting sqref="J868">
    <cfRule type="cellIs" priority="1628" operator="equal" dxfId="2034">
      <formula>"ja"</formula>
    </cfRule>
  </conditionalFormatting>
  <conditionalFormatting sqref="Z868">
    <cfRule type="dataBar" priority="1627">
      <dataBar>
        <cfvo type="min"/>
        <cfvo type="max"/>
        <color rgb="FF63C384"/>
      </dataBar>
    </cfRule>
    <cfRule type="dataBar" priority="1626">
      <dataBar>
        <cfvo type="min"/>
        <cfvo type="max"/>
        <color rgb="FF63C384"/>
      </dataBar>
    </cfRule>
  </conditionalFormatting>
  <conditionalFormatting sqref="J869">
    <cfRule type="cellIs" priority="1625" operator="equal" dxfId="2034">
      <formula>"ja"</formula>
    </cfRule>
    <cfRule type="cellIs" priority="1621" operator="equal" dxfId="2034">
      <formula>"ja"</formula>
    </cfRule>
  </conditionalFormatting>
  <conditionalFormatting sqref="T869:T930">
    <cfRule type="expression" priority="1615" dxfId="2">
      <formula>AND(AND($W869&lt;TODAY(),$W869&lt;&gt;""),$X869="")</formula>
    </cfRule>
  </conditionalFormatting>
  <conditionalFormatting sqref="Z869:Z873">
    <cfRule type="dataBar" priority="1614">
      <dataBar>
        <cfvo type="min"/>
        <cfvo type="max"/>
        <color rgb="FF63C384"/>
      </dataBar>
    </cfRule>
    <cfRule type="dataBar" priority="1613">
      <dataBar>
        <cfvo type="min"/>
        <cfvo type="max"/>
        <color rgb="FF63C384"/>
      </dataBar>
    </cfRule>
  </conditionalFormatting>
  <conditionalFormatting sqref="J875">
    <cfRule type="cellIs" priority="1612" operator="equal" dxfId="2034">
      <formula>"ja"</formula>
    </cfRule>
    <cfRule type="cellIs" priority="1608" operator="equal" dxfId="2034">
      <formula>"ja"</formula>
    </cfRule>
  </conditionalFormatting>
  <conditionalFormatting sqref="Z875">
    <cfRule type="dataBar" priority="1610">
      <dataBar>
        <cfvo type="min"/>
        <cfvo type="max"/>
        <color rgb="FF63C384"/>
      </dataBar>
    </cfRule>
    <cfRule type="dataBar" priority="1609">
      <dataBar>
        <cfvo type="min"/>
        <cfvo type="max"/>
        <color rgb="FF63C384"/>
      </dataBar>
    </cfRule>
    <cfRule type="dataBar" priority="1606">
      <dataBar>
        <cfvo type="min"/>
        <cfvo type="max"/>
        <color rgb="FF63C384"/>
      </dataBar>
    </cfRule>
    <cfRule type="dataBar" priority="1605">
      <dataBar>
        <cfvo type="min"/>
        <cfvo type="max"/>
        <color rgb="FF63C384"/>
      </dataBar>
    </cfRule>
  </conditionalFormatting>
  <conditionalFormatting sqref="C875">
    <cfRule type="containsText" priority="1603" operator="containsText" dxfId="1" text="Einnahmen">
      <formula>NOT(ISERROR(SEARCH("Einnahmen",C875)))</formula>
    </cfRule>
    <cfRule type="containsText" priority="1604" operator="containsText" dxfId="0" text="Ausgaben">
      <formula>NOT(ISERROR(SEARCH("Ausgaben",C875)))</formula>
    </cfRule>
  </conditionalFormatting>
  <conditionalFormatting sqref="C876">
    <cfRule type="containsText" priority="1601" operator="containsText" dxfId="1" text="Einnahmen">
      <formula>NOT(ISERROR(SEARCH("Einnahmen",C876)))</formula>
    </cfRule>
    <cfRule type="containsText" priority="1602" operator="containsText" dxfId="0" text="Ausgaben">
      <formula>NOT(ISERROR(SEARCH("Ausgaben",C876)))</formula>
    </cfRule>
  </conditionalFormatting>
  <conditionalFormatting sqref="J876">
    <cfRule type="cellIs" priority="1600" operator="equal" dxfId="2034">
      <formula>"ja"</formula>
    </cfRule>
  </conditionalFormatting>
  <conditionalFormatting sqref="Z876">
    <cfRule type="dataBar" priority="1598">
      <dataBar>
        <cfvo type="min"/>
        <cfvo type="max"/>
        <color rgb="FF63C384"/>
      </dataBar>
    </cfRule>
    <cfRule type="dataBar" priority="1597">
      <dataBar>
        <cfvo type="min"/>
        <cfvo type="max"/>
        <color rgb="FF63C384"/>
      </dataBar>
    </cfRule>
  </conditionalFormatting>
  <conditionalFormatting sqref="J877">
    <cfRule type="cellIs" priority="1596" operator="equal" dxfId="2034">
      <formula>"ja"</formula>
    </cfRule>
  </conditionalFormatting>
  <conditionalFormatting sqref="C877">
    <cfRule type="containsText" priority="1594" operator="containsText" dxfId="1" text="Einnahmen">
      <formula>NOT(ISERROR(SEARCH("Einnahmen",C877)))</formula>
    </cfRule>
    <cfRule type="containsText" priority="1595" operator="containsText" dxfId="0" text="Ausgaben">
      <formula>NOT(ISERROR(SEARCH("Ausgaben",C877)))</formula>
    </cfRule>
  </conditionalFormatting>
  <conditionalFormatting sqref="Z877">
    <cfRule type="dataBar" priority="1592">
      <dataBar>
        <cfvo type="min"/>
        <cfvo type="max"/>
        <color rgb="FF63C384"/>
      </dataBar>
    </cfRule>
    <cfRule type="dataBar" priority="1591">
      <dataBar>
        <cfvo type="min"/>
        <cfvo type="max"/>
        <color rgb="FF63C384"/>
      </dataBar>
    </cfRule>
  </conditionalFormatting>
  <conditionalFormatting sqref="Z878">
    <cfRule type="dataBar" priority="1589">
      <dataBar>
        <cfvo type="min"/>
        <cfvo type="max"/>
        <color rgb="FF63C384"/>
      </dataBar>
    </cfRule>
    <cfRule type="dataBar" priority="1588">
      <dataBar>
        <cfvo type="min"/>
        <cfvo type="max"/>
        <color rgb="FF63C384"/>
      </dataBar>
    </cfRule>
  </conditionalFormatting>
  <conditionalFormatting sqref="J878">
    <cfRule type="cellIs" priority="1587" operator="equal" dxfId="2034">
      <formula>"ja"</formula>
    </cfRule>
  </conditionalFormatting>
  <conditionalFormatting sqref="C878">
    <cfRule type="containsText" priority="1585" operator="containsText" dxfId="1" text="Einnahmen">
      <formula>NOT(ISERROR(SEARCH("Einnahmen",C878)))</formula>
    </cfRule>
    <cfRule type="containsText" priority="1586" operator="containsText" dxfId="0" text="Ausgaben">
      <formula>NOT(ISERROR(SEARCH("Ausgaben",C878)))</formula>
    </cfRule>
  </conditionalFormatting>
  <conditionalFormatting sqref="C879">
    <cfRule type="containsText" priority="1583" operator="containsText" dxfId="1" text="Einnahmen">
      <formula>NOT(ISERROR(SEARCH("Einnahmen",C879)))</formula>
    </cfRule>
    <cfRule type="containsText" priority="1584" operator="containsText" dxfId="0" text="Ausgaben">
      <formula>NOT(ISERROR(SEARCH("Ausgaben",C879)))</formula>
    </cfRule>
  </conditionalFormatting>
  <conditionalFormatting sqref="J879">
    <cfRule type="cellIs" priority="1582" operator="equal" dxfId="2034">
      <formula>"ja"</formula>
    </cfRule>
    <cfRule type="cellIs" priority="1577" operator="equal" dxfId="2034">
      <formula>"ja"</formula>
    </cfRule>
  </conditionalFormatting>
  <conditionalFormatting sqref="Z879">
    <cfRule type="dataBar" priority="1580">
      <dataBar>
        <cfvo type="min"/>
        <cfvo type="max"/>
        <color rgb="FF63C384"/>
      </dataBar>
    </cfRule>
    <cfRule type="dataBar" priority="1579">
      <dataBar>
        <cfvo type="min"/>
        <cfvo type="max"/>
        <color rgb="FF63C384"/>
      </dataBar>
    </cfRule>
    <cfRule type="dataBar" priority="1576">
      <dataBar>
        <cfvo type="min"/>
        <cfvo type="max"/>
        <color rgb="FF63C384"/>
      </dataBar>
    </cfRule>
    <cfRule type="dataBar" priority="1575">
      <dataBar>
        <cfvo type="min"/>
        <cfvo type="max"/>
        <color rgb="FF63C384"/>
      </dataBar>
    </cfRule>
  </conditionalFormatting>
  <conditionalFormatting sqref="C880">
    <cfRule type="containsText" priority="1573" operator="containsText" dxfId="1" text="Einnahmen">
      <formula>NOT(ISERROR(SEARCH("Einnahmen",C880)))</formula>
    </cfRule>
    <cfRule type="containsText" priority="1574" operator="containsText" dxfId="0" text="Ausgaben">
      <formula>NOT(ISERROR(SEARCH("Ausgaben",C880)))</formula>
    </cfRule>
  </conditionalFormatting>
  <conditionalFormatting sqref="J880">
    <cfRule type="cellIs" priority="1572" operator="equal" dxfId="2034">
      <formula>"ja"</formula>
    </cfRule>
    <cfRule type="cellIs" priority="1560" operator="equal" dxfId="2034">
      <formula>"ja"</formula>
    </cfRule>
    <cfRule type="cellIs" priority="1568" operator="equal" dxfId="2034">
      <formula>"ja"</formula>
    </cfRule>
    <cfRule type="cellIs" priority="1564" operator="equal" dxfId="2034">
      <formula>"ja"</formula>
    </cfRule>
  </conditionalFormatting>
  <conditionalFormatting sqref="Z880">
    <cfRule type="dataBar" priority="1570">
      <dataBar>
        <cfvo type="min"/>
        <cfvo type="max"/>
        <color rgb="FF63C384"/>
      </dataBar>
    </cfRule>
    <cfRule type="dataBar" priority="1569">
      <dataBar>
        <cfvo type="min"/>
        <cfvo type="max"/>
        <color rgb="FF63C384"/>
      </dataBar>
    </cfRule>
    <cfRule type="dataBar" priority="1566">
      <dataBar>
        <cfvo type="min"/>
        <cfvo type="max"/>
        <color rgb="FF63C384"/>
      </dataBar>
    </cfRule>
    <cfRule type="dataBar" priority="1565">
      <dataBar>
        <cfvo type="min"/>
        <cfvo type="max"/>
        <color rgb="FF63C384"/>
      </dataBar>
    </cfRule>
    <cfRule type="dataBar" priority="1562">
      <dataBar>
        <cfvo type="min"/>
        <cfvo type="max"/>
        <color rgb="FF63C384"/>
      </dataBar>
    </cfRule>
    <cfRule type="dataBar" priority="1561">
      <dataBar>
        <cfvo type="min"/>
        <cfvo type="max"/>
        <color rgb="FF63C384"/>
      </dataBar>
    </cfRule>
    <cfRule type="dataBar" priority="1558">
      <dataBar>
        <cfvo type="min"/>
        <cfvo type="max"/>
        <color rgb="FF63C384"/>
      </dataBar>
    </cfRule>
    <cfRule type="dataBar" priority="1557">
      <dataBar>
        <cfvo type="min"/>
        <cfvo type="max"/>
        <color rgb="FF63C384"/>
      </dataBar>
    </cfRule>
  </conditionalFormatting>
  <conditionalFormatting sqref="C881">
    <cfRule type="containsText" priority="1555" operator="containsText" dxfId="1" text="Einnahmen">
      <formula>NOT(ISERROR(SEARCH("Einnahmen",C881)))</formula>
    </cfRule>
    <cfRule type="containsText" priority="1556" operator="containsText" dxfId="0" text="Ausgaben">
      <formula>NOT(ISERROR(SEARCH("Ausgaben",C881)))</formula>
    </cfRule>
    <cfRule type="containsText" priority="1553" operator="containsText" dxfId="1" text="Einnahmen">
      <formula>NOT(ISERROR(SEARCH("Einnahmen",C881)))</formula>
    </cfRule>
    <cfRule type="containsText" priority="1554" operator="containsText" dxfId="0" text="Ausgaben">
      <formula>NOT(ISERROR(SEARCH("Ausgaben",C881)))</formula>
    </cfRule>
  </conditionalFormatting>
  <conditionalFormatting sqref="J881">
    <cfRule type="cellIs" priority="1552" operator="equal" dxfId="2034">
      <formula>"ja"</formula>
    </cfRule>
    <cfRule type="cellIs" priority="1545" operator="equal" dxfId="2034">
      <formula>"ja"</formula>
    </cfRule>
  </conditionalFormatting>
  <conditionalFormatting sqref="Z881">
    <cfRule type="dataBar" priority="1550">
      <dataBar>
        <cfvo type="min"/>
        <cfvo type="max"/>
        <color rgb="FF63C384"/>
      </dataBar>
    </cfRule>
    <cfRule type="dataBar" priority="1549">
      <dataBar>
        <cfvo type="min"/>
        <cfvo type="max"/>
        <color rgb="FF63C384"/>
      </dataBar>
    </cfRule>
    <cfRule type="dataBar" priority="1547">
      <dataBar>
        <cfvo type="min"/>
        <cfvo type="max"/>
        <color rgb="FF63C384"/>
      </dataBar>
    </cfRule>
    <cfRule type="dataBar" priority="1546">
      <dataBar>
        <cfvo type="min"/>
        <cfvo type="max"/>
        <color rgb="FF63C384"/>
      </dataBar>
    </cfRule>
  </conditionalFormatting>
  <conditionalFormatting sqref="C882:C883">
    <cfRule type="containsText" priority="1543" operator="containsText" dxfId="1" text="Einnahmen">
      <formula>NOT(ISERROR(SEARCH("Einnahmen",C882)))</formula>
    </cfRule>
    <cfRule type="containsText" priority="1544" operator="containsText" dxfId="0" text="Ausgaben">
      <formula>NOT(ISERROR(SEARCH("Ausgaben",C882)))</formula>
    </cfRule>
  </conditionalFormatting>
  <conditionalFormatting sqref="J882">
    <cfRule type="cellIs" priority="1542" operator="equal" dxfId="2034">
      <formula>"ja"</formula>
    </cfRule>
    <cfRule type="cellIs" priority="1530" operator="equal" dxfId="2034">
      <formula>"ja"</formula>
    </cfRule>
    <cfRule type="cellIs" priority="1538" operator="equal" dxfId="2034">
      <formula>"ja"</formula>
    </cfRule>
    <cfRule type="cellIs" priority="1534" operator="equal" dxfId="2034">
      <formula>"ja"</formula>
    </cfRule>
  </conditionalFormatting>
  <conditionalFormatting sqref="Z882">
    <cfRule type="dataBar" priority="1540">
      <dataBar>
        <cfvo type="min"/>
        <cfvo type="max"/>
        <color rgb="FF63C384"/>
      </dataBar>
    </cfRule>
    <cfRule type="dataBar" priority="1539">
      <dataBar>
        <cfvo type="min"/>
        <cfvo type="max"/>
        <color rgb="FF63C384"/>
      </dataBar>
    </cfRule>
    <cfRule type="dataBar" priority="1536">
      <dataBar>
        <cfvo type="min"/>
        <cfvo type="max"/>
        <color rgb="FF63C384"/>
      </dataBar>
    </cfRule>
    <cfRule type="dataBar" priority="1535">
      <dataBar>
        <cfvo type="min"/>
        <cfvo type="max"/>
        <color rgb="FF63C384"/>
      </dataBar>
    </cfRule>
    <cfRule type="dataBar" priority="1532">
      <dataBar>
        <cfvo type="min"/>
        <cfvo type="max"/>
        <color rgb="FF63C384"/>
      </dataBar>
    </cfRule>
    <cfRule type="dataBar" priority="1531">
      <dataBar>
        <cfvo type="min"/>
        <cfvo type="max"/>
        <color rgb="FF63C384"/>
      </dataBar>
    </cfRule>
    <cfRule type="dataBar" priority="1528">
      <dataBar>
        <cfvo type="min"/>
        <cfvo type="max"/>
        <color rgb="FF63C384"/>
      </dataBar>
    </cfRule>
    <cfRule type="dataBar" priority="1527">
      <dataBar>
        <cfvo type="min"/>
        <cfvo type="max"/>
        <color rgb="FF63C384"/>
      </dataBar>
    </cfRule>
  </conditionalFormatting>
  <conditionalFormatting sqref="Z883">
    <cfRule type="dataBar" priority="1525">
      <dataBar>
        <cfvo type="min"/>
        <cfvo type="max"/>
        <color rgb="FF63C384"/>
      </dataBar>
    </cfRule>
    <cfRule type="dataBar" priority="1524">
      <dataBar>
        <cfvo type="min"/>
        <cfvo type="max"/>
        <color rgb="FF63C384"/>
      </dataBar>
    </cfRule>
    <cfRule type="dataBar" priority="1517">
      <dataBar>
        <cfvo type="min"/>
        <cfvo type="max"/>
        <color rgb="FF63C384"/>
      </dataBar>
    </cfRule>
    <cfRule type="dataBar" priority="1516">
      <dataBar>
        <cfvo type="min"/>
        <cfvo type="max"/>
        <color rgb="FF63C384"/>
      </dataBar>
    </cfRule>
  </conditionalFormatting>
  <conditionalFormatting sqref="J883">
    <cfRule type="cellIs" priority="1519" operator="equal" dxfId="2034">
      <formula>"ja"</formula>
    </cfRule>
  </conditionalFormatting>
  <conditionalFormatting sqref="J884">
    <cfRule type="cellIs" priority="1515" operator="equal" dxfId="2034">
      <formula>"ja"</formula>
    </cfRule>
    <cfRule type="cellIs" priority="1510" operator="equal" dxfId="2034">
      <formula>"ja"</formula>
    </cfRule>
  </conditionalFormatting>
  <conditionalFormatting sqref="Z884">
    <cfRule type="dataBar" priority="1513">
      <dataBar>
        <cfvo type="min"/>
        <cfvo type="max"/>
        <color rgb="FF63C384"/>
      </dataBar>
    </cfRule>
    <cfRule type="dataBar" priority="1512">
      <dataBar>
        <cfvo type="min"/>
        <cfvo type="max"/>
        <color rgb="FF63C384"/>
      </dataBar>
    </cfRule>
    <cfRule type="dataBar" priority="1509">
      <dataBar>
        <cfvo type="min"/>
        <cfvo type="max"/>
        <color rgb="FF63C384"/>
      </dataBar>
    </cfRule>
    <cfRule type="dataBar" priority="1508">
      <dataBar>
        <cfvo type="min"/>
        <cfvo type="max"/>
        <color rgb="FF63C384"/>
      </dataBar>
    </cfRule>
  </conditionalFormatting>
  <conditionalFormatting sqref="J885">
    <cfRule type="cellIs" priority="1507" operator="equal" dxfId="2034">
      <formula>"ja"</formula>
    </cfRule>
    <cfRule type="cellIs" priority="1501" operator="equal" dxfId="2034">
      <formula>"ja"</formula>
    </cfRule>
    <cfRule type="cellIs" priority="1497" operator="equal" dxfId="2034">
      <formula>"ja"</formula>
    </cfRule>
  </conditionalFormatting>
  <conditionalFormatting sqref="C885">
    <cfRule type="containsText" priority="1505" operator="containsText" dxfId="1" text="Einnahmen">
      <formula>NOT(ISERROR(SEARCH("Einnahmen",C885)))</formula>
    </cfRule>
    <cfRule type="containsText" priority="1506" operator="containsText" dxfId="0" text="Ausgaben">
      <formula>NOT(ISERROR(SEARCH("Ausgaben",C885)))</formula>
    </cfRule>
    <cfRule type="containsText" priority="1495" operator="containsText" dxfId="1" text="Einnahmen">
      <formula>NOT(ISERROR(SEARCH("Einnahmen",C885)))</formula>
    </cfRule>
    <cfRule type="containsText" priority="1496" operator="containsText" dxfId="0" text="Ausgaben">
      <formula>NOT(ISERROR(SEARCH("Ausgaben",C885)))</formula>
    </cfRule>
  </conditionalFormatting>
  <conditionalFormatting sqref="Z885">
    <cfRule type="dataBar" priority="1503">
      <dataBar>
        <cfvo type="min"/>
        <cfvo type="max"/>
        <color rgb="FF63C384"/>
      </dataBar>
    </cfRule>
    <cfRule type="dataBar" priority="1502">
      <dataBar>
        <cfvo type="min"/>
        <cfvo type="max"/>
        <color rgb="FF63C384"/>
      </dataBar>
    </cfRule>
    <cfRule type="dataBar" priority="1499">
      <dataBar>
        <cfvo type="min"/>
        <cfvo type="max"/>
        <color rgb="FF63C384"/>
      </dataBar>
    </cfRule>
    <cfRule type="dataBar" priority="1498">
      <dataBar>
        <cfvo type="min"/>
        <cfvo type="max"/>
        <color rgb="FF63C384"/>
      </dataBar>
    </cfRule>
    <cfRule type="dataBar" priority="1493">
      <dataBar>
        <cfvo type="min"/>
        <cfvo type="max"/>
        <color rgb="FF63C384"/>
      </dataBar>
    </cfRule>
    <cfRule type="dataBar" priority="1492">
      <dataBar>
        <cfvo type="min"/>
        <cfvo type="max"/>
        <color rgb="FF63C384"/>
      </dataBar>
    </cfRule>
  </conditionalFormatting>
  <conditionalFormatting sqref="Z886">
    <cfRule type="dataBar" priority="1490">
      <dataBar>
        <cfvo type="min"/>
        <cfvo type="max"/>
        <color rgb="FF63C384"/>
      </dataBar>
    </cfRule>
    <cfRule type="dataBar" priority="1489">
      <dataBar>
        <cfvo type="min"/>
        <cfvo type="max"/>
        <color rgb="FF63C384"/>
      </dataBar>
    </cfRule>
    <cfRule type="dataBar" priority="1487">
      <dataBar>
        <cfvo type="min"/>
        <cfvo type="max"/>
        <color rgb="FF63C384"/>
      </dataBar>
    </cfRule>
    <cfRule type="dataBar" priority="1486">
      <dataBar>
        <cfvo type="min"/>
        <cfvo type="max"/>
        <color rgb="FF63C384"/>
      </dataBar>
    </cfRule>
  </conditionalFormatting>
  <conditionalFormatting sqref="J887">
    <cfRule type="cellIs" priority="1485" operator="equal" dxfId="2034">
      <formula>"ja"</formula>
    </cfRule>
  </conditionalFormatting>
  <conditionalFormatting sqref="C887">
    <cfRule type="containsText" priority="1483" operator="containsText" dxfId="1" text="Einnahmen">
      <formula>NOT(ISERROR(SEARCH("Einnahmen",C887)))</formula>
    </cfRule>
    <cfRule type="containsText" priority="1484" operator="containsText" dxfId="0" text="Ausgaben">
      <formula>NOT(ISERROR(SEARCH("Ausgaben",C887)))</formula>
    </cfRule>
  </conditionalFormatting>
  <conditionalFormatting sqref="Z887:Z888">
    <cfRule type="dataBar" priority="1481">
      <dataBar>
        <cfvo type="min"/>
        <cfvo type="max"/>
        <color rgb="FF63C384"/>
      </dataBar>
    </cfRule>
    <cfRule type="dataBar" priority="1480">
      <dataBar>
        <cfvo type="min"/>
        <cfvo type="max"/>
        <color rgb="FF63C384"/>
      </dataBar>
    </cfRule>
  </conditionalFormatting>
  <conditionalFormatting sqref="J888">
    <cfRule type="cellIs" priority="1479" operator="equal" dxfId="2034">
      <formula>"ja"</formula>
    </cfRule>
    <cfRule type="cellIs" priority="1475" operator="equal" dxfId="2034">
      <formula>"ja"</formula>
    </cfRule>
  </conditionalFormatting>
  <conditionalFormatting sqref="J889">
    <cfRule type="cellIs" priority="1471" operator="equal" dxfId="2034">
      <formula>"ja"</formula>
    </cfRule>
    <cfRule type="cellIs" priority="1464" operator="equal" dxfId="2034">
      <formula>"ja"</formula>
    </cfRule>
  </conditionalFormatting>
  <conditionalFormatting sqref="Z889">
    <cfRule type="dataBar" priority="1469">
      <dataBar>
        <cfvo type="min"/>
        <cfvo type="max"/>
        <color rgb="FF63C384"/>
      </dataBar>
    </cfRule>
    <cfRule type="dataBar" priority="1468">
      <dataBar>
        <cfvo type="min"/>
        <cfvo type="max"/>
        <color rgb="FF63C384"/>
      </dataBar>
    </cfRule>
    <cfRule type="dataBar" priority="1466">
      <dataBar>
        <cfvo type="min"/>
        <cfvo type="max"/>
        <color rgb="FF63C384"/>
      </dataBar>
    </cfRule>
    <cfRule type="dataBar" priority="1465">
      <dataBar>
        <cfvo type="min"/>
        <cfvo type="max"/>
        <color rgb="FF63C384"/>
      </dataBar>
    </cfRule>
  </conditionalFormatting>
  <conditionalFormatting sqref="C889">
    <cfRule type="containsText" priority="1462" operator="containsText" dxfId="1" text="Einnahmen">
      <formula>NOT(ISERROR(SEARCH("Einnahmen",C889)))</formula>
    </cfRule>
    <cfRule type="containsText" priority="1463" operator="containsText" dxfId="0" text="Ausgaben">
      <formula>NOT(ISERROR(SEARCH("Ausgaben",C889)))</formula>
    </cfRule>
  </conditionalFormatting>
  <conditionalFormatting sqref="C890">
    <cfRule type="containsText" priority="1460" operator="containsText" dxfId="1" text="Einnahmen">
      <formula>NOT(ISERROR(SEARCH("Einnahmen",C890)))</formula>
    </cfRule>
    <cfRule type="containsText" priority="1461" operator="containsText" dxfId="0" text="Ausgaben">
      <formula>NOT(ISERROR(SEARCH("Ausgaben",C890)))</formula>
    </cfRule>
  </conditionalFormatting>
  <conditionalFormatting sqref="C891">
    <cfRule type="containsText" priority="1457" operator="containsText" dxfId="1" text="Einnahmen">
      <formula>NOT(ISERROR(SEARCH("Einnahmen",C891)))</formula>
    </cfRule>
    <cfRule type="containsText" priority="1458" operator="containsText" dxfId="0" text="Ausgaben">
      <formula>NOT(ISERROR(SEARCH("Ausgaben",C891)))</formula>
    </cfRule>
  </conditionalFormatting>
  <conditionalFormatting sqref="J891">
    <cfRule type="cellIs" priority="1455" operator="equal" dxfId="2034">
      <formula>"ja"</formula>
    </cfRule>
  </conditionalFormatting>
  <conditionalFormatting sqref="Z891">
    <cfRule type="dataBar" priority="1454">
      <dataBar>
        <cfvo type="min"/>
        <cfvo type="max"/>
        <color rgb="FF63C384"/>
      </dataBar>
    </cfRule>
    <cfRule type="dataBar" priority="1453">
      <dataBar>
        <cfvo type="min"/>
        <cfvo type="max"/>
        <color rgb="FF63C384"/>
      </dataBar>
    </cfRule>
  </conditionalFormatting>
  <conditionalFormatting sqref="Z892">
    <cfRule type="dataBar" priority="1451">
      <dataBar>
        <cfvo type="min"/>
        <cfvo type="max"/>
        <color rgb="FF63C384"/>
      </dataBar>
    </cfRule>
    <cfRule type="dataBar" priority="1450">
      <dataBar>
        <cfvo type="min"/>
        <cfvo type="max"/>
        <color rgb="FF63C384"/>
      </dataBar>
    </cfRule>
  </conditionalFormatting>
  <conditionalFormatting sqref="C892">
    <cfRule type="containsText" priority="1448" operator="containsText" dxfId="1" text="Einnahmen">
      <formula>NOT(ISERROR(SEARCH("Einnahmen",C892)))</formula>
    </cfRule>
    <cfRule type="containsText" priority="1449" operator="containsText" dxfId="0" text="Ausgaben">
      <formula>NOT(ISERROR(SEARCH("Ausgaben",C892)))</formula>
    </cfRule>
    <cfRule type="containsText" priority="1446" operator="containsText" dxfId="1" text="Einnahmen">
      <formula>NOT(ISERROR(SEARCH("Einnahmen",C892)))</formula>
    </cfRule>
    <cfRule type="containsText" priority="1447" operator="containsText" dxfId="0" text="Ausgaben">
      <formula>NOT(ISERROR(SEARCH("Ausgaben",C892)))</formula>
    </cfRule>
  </conditionalFormatting>
  <conditionalFormatting sqref="Z893">
    <cfRule type="dataBar" priority="1444">
      <dataBar>
        <cfvo type="min"/>
        <cfvo type="max"/>
        <color rgb="FF63C384"/>
      </dataBar>
    </cfRule>
    <cfRule type="dataBar" priority="1443">
      <dataBar>
        <cfvo type="min"/>
        <cfvo type="max"/>
        <color rgb="FF63C384"/>
      </dataBar>
    </cfRule>
  </conditionalFormatting>
  <conditionalFormatting sqref="J893">
    <cfRule type="cellIs" priority="1442" operator="equal" dxfId="2034">
      <formula>"ja"</formula>
    </cfRule>
  </conditionalFormatting>
  <conditionalFormatting sqref="C893">
    <cfRule type="containsText" priority="1440" operator="containsText" dxfId="1" text="Einnahmen">
      <formula>NOT(ISERROR(SEARCH("Einnahmen",C893)))</formula>
    </cfRule>
    <cfRule type="containsText" priority="1441" operator="containsText" dxfId="0" text="Ausgaben">
      <formula>NOT(ISERROR(SEARCH("Ausgaben",C893)))</formula>
    </cfRule>
  </conditionalFormatting>
  <conditionalFormatting sqref="J894">
    <cfRule type="cellIs" priority="1439" operator="equal" dxfId="2034">
      <formula>"ja"</formula>
    </cfRule>
  </conditionalFormatting>
  <conditionalFormatting sqref="C894">
    <cfRule type="containsText" priority="1437" operator="containsText" dxfId="1" text="Einnahmen">
      <formula>NOT(ISERROR(SEARCH("Einnahmen",C894)))</formula>
    </cfRule>
    <cfRule type="containsText" priority="1438" operator="containsText" dxfId="0" text="Ausgaben">
      <formula>NOT(ISERROR(SEARCH("Ausgaben",C894)))</formula>
    </cfRule>
  </conditionalFormatting>
  <conditionalFormatting sqref="Z894">
    <cfRule type="dataBar" priority="1435">
      <dataBar>
        <cfvo type="min"/>
        <cfvo type="max"/>
        <color rgb="FF63C384"/>
      </dataBar>
    </cfRule>
    <cfRule type="dataBar" priority="1434">
      <dataBar>
        <cfvo type="min"/>
        <cfvo type="max"/>
        <color rgb="FF63C384"/>
      </dataBar>
    </cfRule>
  </conditionalFormatting>
  <conditionalFormatting sqref="C895">
    <cfRule type="containsText" priority="1432" operator="containsText" dxfId="1" text="Einnahmen">
      <formula>NOT(ISERROR(SEARCH("Einnahmen",C895)))</formula>
    </cfRule>
    <cfRule type="containsText" priority="1433" operator="containsText" dxfId="0" text="Ausgaben">
      <formula>NOT(ISERROR(SEARCH("Ausgaben",C895)))</formula>
    </cfRule>
  </conditionalFormatting>
  <conditionalFormatting sqref="J895">
    <cfRule type="cellIs" priority="1431" operator="equal" dxfId="2034">
      <formula>"ja"</formula>
    </cfRule>
  </conditionalFormatting>
  <conditionalFormatting sqref="Z895">
    <cfRule type="dataBar" priority="1429">
      <dataBar>
        <cfvo type="min"/>
        <cfvo type="max"/>
        <color rgb="FF63C384"/>
      </dataBar>
    </cfRule>
    <cfRule type="dataBar" priority="1428">
      <dataBar>
        <cfvo type="min"/>
        <cfvo type="max"/>
        <color rgb="FF63C384"/>
      </dataBar>
    </cfRule>
  </conditionalFormatting>
  <conditionalFormatting sqref="C896">
    <cfRule type="containsText" priority="1426" operator="containsText" dxfId="1" text="Einnahmen">
      <formula>NOT(ISERROR(SEARCH("Einnahmen",C896)))</formula>
    </cfRule>
    <cfRule type="containsText" priority="1427" operator="containsText" dxfId="0" text="Ausgaben">
      <formula>NOT(ISERROR(SEARCH("Ausgaben",C896)))</formula>
    </cfRule>
  </conditionalFormatting>
  <conditionalFormatting sqref="J896">
    <cfRule type="cellIs" priority="1425" operator="equal" dxfId="2034">
      <formula>"ja"</formula>
    </cfRule>
    <cfRule type="cellIs" priority="1420" operator="equal" dxfId="2034">
      <formula>"ja"</formula>
    </cfRule>
  </conditionalFormatting>
  <conditionalFormatting sqref="Z896">
    <cfRule type="dataBar" priority="1423">
      <dataBar>
        <cfvo type="min"/>
        <cfvo type="max"/>
        <color rgb="FF63C384"/>
      </dataBar>
    </cfRule>
    <cfRule type="dataBar" priority="1422">
      <dataBar>
        <cfvo type="min"/>
        <cfvo type="max"/>
        <color rgb="FF63C384"/>
      </dataBar>
    </cfRule>
    <cfRule type="dataBar" priority="1419">
      <dataBar>
        <cfvo type="min"/>
        <cfvo type="max"/>
        <color rgb="FF63C384"/>
      </dataBar>
    </cfRule>
    <cfRule type="dataBar" priority="1418">
      <dataBar>
        <cfvo type="min"/>
        <cfvo type="max"/>
        <color rgb="FF63C384"/>
      </dataBar>
    </cfRule>
  </conditionalFormatting>
  <conditionalFormatting sqref="C897">
    <cfRule type="containsText" priority="1416" operator="containsText" dxfId="1" text="Einnahmen">
      <formula>NOT(ISERROR(SEARCH("Einnahmen",C897)))</formula>
    </cfRule>
    <cfRule type="containsText" priority="1417" operator="containsText" dxfId="0" text="Ausgaben">
      <formula>NOT(ISERROR(SEARCH("Ausgaben",C897)))</formula>
    </cfRule>
  </conditionalFormatting>
  <conditionalFormatting sqref="J897">
    <cfRule type="cellIs" priority="1415" operator="equal" dxfId="2034">
      <formula>"ja"</formula>
    </cfRule>
    <cfRule type="cellIs" priority="1403" operator="equal" dxfId="2034">
      <formula>"ja"</formula>
    </cfRule>
    <cfRule type="cellIs" priority="1411" operator="equal" dxfId="2034">
      <formula>"ja"</formula>
    </cfRule>
    <cfRule type="cellIs" priority="1407" operator="equal" dxfId="2034">
      <formula>"ja"</formula>
    </cfRule>
  </conditionalFormatting>
  <conditionalFormatting sqref="Z897:Z898">
    <cfRule type="dataBar" priority="1413">
      <dataBar>
        <cfvo type="min"/>
        <cfvo type="max"/>
        <color rgb="FF63C384"/>
      </dataBar>
    </cfRule>
    <cfRule type="dataBar" priority="1412">
      <dataBar>
        <cfvo type="min"/>
        <cfvo type="max"/>
        <color rgb="FF63C384"/>
      </dataBar>
    </cfRule>
    <cfRule type="dataBar" priority="1409">
      <dataBar>
        <cfvo type="min"/>
        <cfvo type="max"/>
        <color rgb="FF63C384"/>
      </dataBar>
    </cfRule>
    <cfRule type="dataBar" priority="1408">
      <dataBar>
        <cfvo type="min"/>
        <cfvo type="max"/>
        <color rgb="FF63C384"/>
      </dataBar>
    </cfRule>
    <cfRule type="dataBar" priority="1405">
      <dataBar>
        <cfvo type="min"/>
        <cfvo type="max"/>
        <color rgb="FF63C384"/>
      </dataBar>
    </cfRule>
    <cfRule type="dataBar" priority="1404">
      <dataBar>
        <cfvo type="min"/>
        <cfvo type="max"/>
        <color rgb="FF63C384"/>
      </dataBar>
    </cfRule>
    <cfRule type="dataBar" priority="1401">
      <dataBar>
        <cfvo type="min"/>
        <cfvo type="max"/>
        <color rgb="FF63C384"/>
      </dataBar>
    </cfRule>
    <cfRule type="dataBar" priority="1400">
      <dataBar>
        <cfvo type="min"/>
        <cfvo type="max"/>
        <color rgb="FF63C384"/>
      </dataBar>
    </cfRule>
  </conditionalFormatting>
  <conditionalFormatting sqref="C899">
    <cfRule type="containsText" priority="1398" operator="containsText" dxfId="1" text="Einnahmen">
      <formula>NOT(ISERROR(SEARCH("Einnahmen",C899)))</formula>
    </cfRule>
    <cfRule type="containsText" priority="1399" operator="containsText" dxfId="0" text="Ausgaben">
      <formula>NOT(ISERROR(SEARCH("Ausgaben",C899)))</formula>
    </cfRule>
  </conditionalFormatting>
  <conditionalFormatting sqref="Z899">
    <cfRule type="dataBar" priority="1396">
      <dataBar>
        <cfvo type="min"/>
        <cfvo type="max"/>
        <color rgb="FF63C384"/>
      </dataBar>
    </cfRule>
    <cfRule type="dataBar" priority="1395">
      <dataBar>
        <cfvo type="min"/>
        <cfvo type="max"/>
        <color rgb="FF63C384"/>
      </dataBar>
    </cfRule>
    <cfRule type="dataBar" priority="1393">
      <dataBar>
        <cfvo type="min"/>
        <cfvo type="max"/>
        <color rgb="FF63C384"/>
      </dataBar>
    </cfRule>
    <cfRule type="dataBar" priority="1392">
      <dataBar>
        <cfvo type="min"/>
        <cfvo type="max"/>
        <color rgb="FF63C384"/>
      </dataBar>
    </cfRule>
  </conditionalFormatting>
  <conditionalFormatting sqref="AC1">
    <cfRule type="cellIs" priority="1389" operator="equal" dxfId="2034">
      <formula>"ja"</formula>
    </cfRule>
  </conditionalFormatting>
  <conditionalFormatting sqref="AM1">
    <cfRule type="expression" priority="1388" dxfId="2">
      <formula>AND(AND($W1&lt;TODAY(),$W1&lt;&gt;""),$X1="")</formula>
    </cfRule>
    <cfRule type="expression" priority="1385" dxfId="2">
      <formula>AND(AND($W1&lt;TODAY(),$W1&lt;&gt;""),$X1="")</formula>
    </cfRule>
    <cfRule type="expression" priority="1382" dxfId="2">
      <formula>AND(AND($W1&lt;TODAY(),$W1&lt;&gt;""),$X1="")</formula>
    </cfRule>
  </conditionalFormatting>
  <conditionalFormatting sqref="AS1">
    <cfRule type="dataBar" priority="1387">
      <dataBar>
        <cfvo type="min"/>
        <cfvo type="max"/>
        <color rgb="FF63C384"/>
      </dataBar>
    </cfRule>
    <cfRule type="dataBar" priority="1386">
      <dataBar>
        <cfvo type="min"/>
        <cfvo type="max"/>
        <color rgb="FF63C384"/>
      </dataBar>
    </cfRule>
    <cfRule type="dataBar" priority="1384">
      <dataBar>
        <cfvo type="min"/>
        <cfvo type="max"/>
        <color rgb="FF63C384"/>
      </dataBar>
    </cfRule>
    <cfRule type="dataBar" priority="1383">
      <dataBar>
        <cfvo type="min"/>
        <cfvo type="max"/>
        <color rgb="FF63C384"/>
      </dataBar>
    </cfRule>
    <cfRule type="dataBar" priority="1381">
      <dataBar>
        <cfvo type="min"/>
        <cfvo type="max"/>
        <color rgb="FF63C384"/>
      </dataBar>
    </cfRule>
    <cfRule type="dataBar" priority="1380">
      <dataBar>
        <cfvo type="min"/>
        <cfvo type="max"/>
        <color rgb="FF63C384"/>
      </dataBar>
    </cfRule>
  </conditionalFormatting>
  <conditionalFormatting sqref="Z900:Z901">
    <cfRule type="dataBar" priority="1378">
      <dataBar>
        <cfvo type="min"/>
        <cfvo type="max"/>
        <color rgb="FF63C384"/>
      </dataBar>
    </cfRule>
    <cfRule type="dataBar" priority="1377">
      <dataBar>
        <cfvo type="min"/>
        <cfvo type="max"/>
        <color rgb="FF63C384"/>
      </dataBar>
    </cfRule>
  </conditionalFormatting>
  <conditionalFormatting sqref="C900:C901">
    <cfRule type="containsText" priority="1375" operator="containsText" dxfId="1" text="Einnahmen">
      <formula>NOT(ISERROR(SEARCH("Einnahmen",C900)))</formula>
    </cfRule>
    <cfRule type="containsText" priority="1376" operator="containsText" dxfId="0" text="Ausgaben">
      <formula>NOT(ISERROR(SEARCH("Ausgaben",C900)))</formula>
    </cfRule>
    <cfRule type="containsText" priority="1373" operator="containsText" dxfId="1" text="Einnahmen">
      <formula>NOT(ISERROR(SEARCH("Einnahmen",C900)))</formula>
    </cfRule>
    <cfRule type="containsText" priority="1374" operator="containsText" dxfId="0" text="Ausgaben">
      <formula>NOT(ISERROR(SEARCH("Ausgaben",C900)))</formula>
    </cfRule>
  </conditionalFormatting>
  <conditionalFormatting sqref="C902">
    <cfRule type="containsText" priority="1371" operator="containsText" dxfId="1" text="Einnahmen">
      <formula>NOT(ISERROR(SEARCH("Einnahmen",C902)))</formula>
    </cfRule>
    <cfRule type="containsText" priority="1372" operator="containsText" dxfId="0" text="Ausgaben">
      <formula>NOT(ISERROR(SEARCH("Ausgaben",C902)))</formula>
    </cfRule>
    <cfRule type="containsText" priority="1369" operator="containsText" dxfId="1" text="Einnahmen">
      <formula>NOT(ISERROR(SEARCH("Einnahmen",C902)))</formula>
    </cfRule>
    <cfRule type="containsText" priority="1370" operator="containsText" dxfId="0" text="Ausgaben">
      <formula>NOT(ISERROR(SEARCH("Ausgaben",C902)))</formula>
    </cfRule>
  </conditionalFormatting>
  <conditionalFormatting sqref="J902">
    <cfRule type="cellIs" priority="1368" operator="equal" dxfId="2034">
      <formula>"ja"</formula>
    </cfRule>
    <cfRule type="cellIs" priority="1361" operator="equal" dxfId="2034">
      <formula>"ja"</formula>
    </cfRule>
  </conditionalFormatting>
  <conditionalFormatting sqref="Z902">
    <cfRule type="dataBar" priority="1366">
      <dataBar>
        <cfvo type="min"/>
        <cfvo type="max"/>
        <color rgb="FF63C384"/>
      </dataBar>
    </cfRule>
    <cfRule type="dataBar" priority="1365">
      <dataBar>
        <cfvo type="min"/>
        <cfvo type="max"/>
        <color rgb="FF63C384"/>
      </dataBar>
    </cfRule>
    <cfRule type="dataBar" priority="1363">
      <dataBar>
        <cfvo type="min"/>
        <cfvo type="max"/>
        <color rgb="FF63C384"/>
      </dataBar>
    </cfRule>
    <cfRule type="dataBar" priority="1362">
      <dataBar>
        <cfvo type="min"/>
        <cfvo type="max"/>
        <color rgb="FF63C384"/>
      </dataBar>
    </cfRule>
  </conditionalFormatting>
  <conditionalFormatting sqref="C903">
    <cfRule type="containsText" priority="1359" operator="containsText" dxfId="1" text="Einnahmen">
      <formula>NOT(ISERROR(SEARCH("Einnahmen",C903)))</formula>
    </cfRule>
    <cfRule type="containsText" priority="1360" operator="containsText" dxfId="0" text="Ausgaben">
      <formula>NOT(ISERROR(SEARCH("Ausgaben",C903)))</formula>
    </cfRule>
  </conditionalFormatting>
  <conditionalFormatting sqref="J903">
    <cfRule type="cellIs" priority="1358" operator="equal" dxfId="2034">
      <formula>"ja"</formula>
    </cfRule>
  </conditionalFormatting>
  <conditionalFormatting sqref="Z903">
    <cfRule type="dataBar" priority="1356">
      <dataBar>
        <cfvo type="min"/>
        <cfvo type="max"/>
        <color rgb="FF63C384"/>
      </dataBar>
    </cfRule>
    <cfRule type="dataBar" priority="1355">
      <dataBar>
        <cfvo type="min"/>
        <cfvo type="max"/>
        <color rgb="FF63C384"/>
      </dataBar>
    </cfRule>
  </conditionalFormatting>
  <conditionalFormatting sqref="J904:J905">
    <cfRule type="cellIs" priority="1354" operator="equal" dxfId="2034">
      <formula>"ja"</formula>
    </cfRule>
    <cfRule type="cellIs" priority="1348" operator="equal" dxfId="2034">
      <formula>"ja"</formula>
    </cfRule>
    <cfRule type="cellIs" priority="1344" operator="equal" dxfId="2034">
      <formula>"ja"</formula>
    </cfRule>
  </conditionalFormatting>
  <conditionalFormatting sqref="C904:C905">
    <cfRule type="containsText" priority="1352" operator="containsText" dxfId="1" text="Einnahmen">
      <formula>NOT(ISERROR(SEARCH("Einnahmen",C904)))</formula>
    </cfRule>
    <cfRule type="containsText" priority="1353" operator="containsText" dxfId="0" text="Ausgaben">
      <formula>NOT(ISERROR(SEARCH("Ausgaben",C904)))</formula>
    </cfRule>
    <cfRule type="containsText" priority="1342" operator="containsText" dxfId="1" text="Einnahmen">
      <formula>NOT(ISERROR(SEARCH("Einnahmen",C904)))</formula>
    </cfRule>
    <cfRule type="containsText" priority="1343" operator="containsText" dxfId="0" text="Ausgaben">
      <formula>NOT(ISERROR(SEARCH("Ausgaben",C904)))</formula>
    </cfRule>
  </conditionalFormatting>
  <conditionalFormatting sqref="Z904">
    <cfRule type="dataBar" priority="1350">
      <dataBar>
        <cfvo type="min"/>
        <cfvo type="max"/>
        <color rgb="FF63C384"/>
      </dataBar>
    </cfRule>
  </conditionalFormatting>
  <conditionalFormatting sqref="J906">
    <cfRule type="cellIs" priority="1338" operator="equal" dxfId="2034">
      <formula>"ja"</formula>
    </cfRule>
  </conditionalFormatting>
  <conditionalFormatting sqref="C906">
    <cfRule type="containsText" priority="1336" operator="containsText" dxfId="1" text="Einnahmen">
      <formula>NOT(ISERROR(SEARCH("Einnahmen",C906)))</formula>
    </cfRule>
    <cfRule type="containsText" priority="1337" operator="containsText" dxfId="0" text="Ausgaben">
      <formula>NOT(ISERROR(SEARCH("Ausgaben",C906)))</formula>
    </cfRule>
  </conditionalFormatting>
  <conditionalFormatting sqref="Z906">
    <cfRule type="dataBar" priority="1334">
      <dataBar>
        <cfvo type="min"/>
        <cfvo type="max"/>
        <color rgb="FF63C384"/>
      </dataBar>
    </cfRule>
    <cfRule type="dataBar" priority="1333">
      <dataBar>
        <cfvo type="min"/>
        <cfvo type="max"/>
        <color rgb="FF63C384"/>
      </dataBar>
    </cfRule>
  </conditionalFormatting>
  <conditionalFormatting sqref="C905">
    <cfRule type="containsText" priority="1331" operator="containsText" dxfId="1" text="Einnahmen">
      <formula>NOT(ISERROR(SEARCH("Einnahmen",C905)))</formula>
    </cfRule>
    <cfRule type="containsText" priority="1332" operator="containsText" dxfId="0" text="Ausgaben">
      <formula>NOT(ISERROR(SEARCH("Ausgaben",C905)))</formula>
    </cfRule>
  </conditionalFormatting>
  <conditionalFormatting sqref="J905">
    <cfRule type="cellIs" priority="1330" operator="equal" dxfId="2034">
      <formula>"ja"</formula>
    </cfRule>
    <cfRule type="cellIs" priority="1325" operator="equal" dxfId="2034">
      <formula>"ja"</formula>
    </cfRule>
  </conditionalFormatting>
  <conditionalFormatting sqref="Z905">
    <cfRule type="dataBar" priority="1328">
      <dataBar>
        <cfvo type="min"/>
        <cfvo type="max"/>
        <color rgb="FF63C384"/>
      </dataBar>
    </cfRule>
    <cfRule type="dataBar" priority="1327">
      <dataBar>
        <cfvo type="min"/>
        <cfvo type="max"/>
        <color rgb="FF63C384"/>
      </dataBar>
    </cfRule>
    <cfRule type="dataBar" priority="1324">
      <dataBar>
        <cfvo type="min"/>
        <cfvo type="max"/>
        <color rgb="FF63C384"/>
      </dataBar>
    </cfRule>
    <cfRule type="dataBar" priority="1323">
      <dataBar>
        <cfvo type="min"/>
        <cfvo type="max"/>
        <color rgb="FF63C384"/>
      </dataBar>
    </cfRule>
  </conditionalFormatting>
  <conditionalFormatting sqref="Z907">
    <cfRule type="dataBar" priority="1321">
      <dataBar>
        <cfvo type="min"/>
        <cfvo type="max"/>
        <color rgb="FF63C384"/>
      </dataBar>
    </cfRule>
    <cfRule type="dataBar" priority="1320">
      <dataBar>
        <cfvo type="min"/>
        <cfvo type="max"/>
        <color rgb="FF63C384"/>
      </dataBar>
    </cfRule>
  </conditionalFormatting>
  <conditionalFormatting sqref="C907">
    <cfRule type="containsText" priority="1318" operator="containsText" dxfId="1" text="Einnahmen">
      <formula>NOT(ISERROR(SEARCH("Einnahmen",C907)))</formula>
    </cfRule>
    <cfRule type="containsText" priority="1319" operator="containsText" dxfId="0" text="Ausgaben">
      <formula>NOT(ISERROR(SEARCH("Ausgaben",C907)))</formula>
    </cfRule>
    <cfRule type="containsText" priority="1316" operator="containsText" dxfId="1" text="Einnahmen">
      <formula>NOT(ISERROR(SEARCH("Einnahmen",C907)))</formula>
    </cfRule>
    <cfRule type="containsText" priority="1317" operator="containsText" dxfId="0" text="Ausgaben">
      <formula>NOT(ISERROR(SEARCH("Ausgaben",C907)))</formula>
    </cfRule>
  </conditionalFormatting>
  <conditionalFormatting sqref="C908">
    <cfRule type="containsText" priority="1314" operator="containsText" dxfId="1" text="Einnahmen">
      <formula>NOT(ISERROR(SEARCH("Einnahmen",C908)))</formula>
    </cfRule>
    <cfRule type="containsText" priority="1315" operator="containsText" dxfId="0" text="Ausgaben">
      <formula>NOT(ISERROR(SEARCH("Ausgaben",C908)))</formula>
    </cfRule>
  </conditionalFormatting>
  <conditionalFormatting sqref="Z908">
    <cfRule type="dataBar" priority="1312">
      <dataBar>
        <cfvo type="min"/>
        <cfvo type="max"/>
        <color rgb="FF63C384"/>
      </dataBar>
    </cfRule>
    <cfRule type="dataBar" priority="1311">
      <dataBar>
        <cfvo type="min"/>
        <cfvo type="max"/>
        <color rgb="FF63C384"/>
      </dataBar>
    </cfRule>
    <cfRule type="dataBar" priority="1309">
      <dataBar>
        <cfvo type="min"/>
        <cfvo type="max"/>
        <color rgb="FF63C384"/>
      </dataBar>
    </cfRule>
    <cfRule type="dataBar" priority="1308">
      <dataBar>
        <cfvo type="min"/>
        <cfvo type="max"/>
        <color rgb="FF63C384"/>
      </dataBar>
    </cfRule>
  </conditionalFormatting>
  <conditionalFormatting sqref="J909">
    <cfRule type="cellIs" priority="1307" operator="equal" dxfId="2034">
      <formula>"ja"</formula>
    </cfRule>
  </conditionalFormatting>
  <conditionalFormatting sqref="C909">
    <cfRule type="containsText" priority="1305" operator="containsText" dxfId="1" text="Einnahmen">
      <formula>NOT(ISERROR(SEARCH("Einnahmen",C909)))</formula>
    </cfRule>
    <cfRule type="containsText" priority="1306" operator="containsText" dxfId="0" text="Ausgaben">
      <formula>NOT(ISERROR(SEARCH("Ausgaben",C909)))</formula>
    </cfRule>
  </conditionalFormatting>
  <conditionalFormatting sqref="Z909">
    <cfRule type="dataBar" priority="1303">
      <dataBar>
        <cfvo type="min"/>
        <cfvo type="max"/>
        <color rgb="FF63C384"/>
      </dataBar>
    </cfRule>
    <cfRule type="dataBar" priority="1302">
      <dataBar>
        <cfvo type="min"/>
        <cfvo type="max"/>
        <color rgb="FF63C384"/>
      </dataBar>
    </cfRule>
  </conditionalFormatting>
  <conditionalFormatting sqref="C910">
    <cfRule type="containsText" priority="1300" operator="containsText" dxfId="1" text="Einnahmen">
      <formula>NOT(ISERROR(SEARCH("Einnahmen",C910)))</formula>
    </cfRule>
    <cfRule type="containsText" priority="1301" operator="containsText" dxfId="0" text="Ausgaben">
      <formula>NOT(ISERROR(SEARCH("Ausgaben",C910)))</formula>
    </cfRule>
  </conditionalFormatting>
  <conditionalFormatting sqref="Z910">
    <cfRule type="dataBar" priority="1298">
      <dataBar>
        <cfvo type="min"/>
        <cfvo type="max"/>
        <color rgb="FF63C384"/>
      </dataBar>
    </cfRule>
    <cfRule type="dataBar" priority="1297">
      <dataBar>
        <cfvo type="min"/>
        <cfvo type="max"/>
        <color rgb="FF63C384"/>
      </dataBar>
    </cfRule>
  </conditionalFormatting>
  <conditionalFormatting sqref="J910">
    <cfRule type="cellIs" priority="1296" operator="equal" dxfId="2034">
      <formula>"ja"</formula>
    </cfRule>
    <cfRule type="cellIs" priority="1295" operator="equal" dxfId="2034">
      <formula>"ja"</formula>
    </cfRule>
  </conditionalFormatting>
  <conditionalFormatting sqref="Z911:Z912">
    <cfRule type="dataBar" priority="1293">
      <dataBar>
        <cfvo type="min"/>
        <cfvo type="max"/>
        <color rgb="FF63C384"/>
      </dataBar>
    </cfRule>
    <cfRule type="dataBar" priority="1292">
      <dataBar>
        <cfvo type="min"/>
        <cfvo type="max"/>
        <color rgb="FF63C384"/>
      </dataBar>
    </cfRule>
  </conditionalFormatting>
  <conditionalFormatting sqref="C911:C912">
    <cfRule type="containsText" priority="1290" operator="containsText" dxfId="1" text="Einnahmen">
      <formula>NOT(ISERROR(SEARCH("Einnahmen",C911)))</formula>
    </cfRule>
    <cfRule type="containsText" priority="1291" operator="containsText" dxfId="0" text="Ausgaben">
      <formula>NOT(ISERROR(SEARCH("Ausgaben",C911)))</formula>
    </cfRule>
    <cfRule type="containsText" priority="1288" operator="containsText" dxfId="1" text="Einnahmen">
      <formula>NOT(ISERROR(SEARCH("Einnahmen",C911)))</formula>
    </cfRule>
    <cfRule type="containsText" priority="1289" operator="containsText" dxfId="0" text="Ausgaben">
      <formula>NOT(ISERROR(SEARCH("Ausgaben",C911)))</formula>
    </cfRule>
  </conditionalFormatting>
  <conditionalFormatting sqref="J913">
    <cfRule type="cellIs" priority="1287" operator="equal" dxfId="2034">
      <formula>"ja"</formula>
    </cfRule>
    <cfRule type="cellIs" priority="1280" operator="equal" dxfId="2034">
      <formula>"ja"</formula>
    </cfRule>
  </conditionalFormatting>
  <conditionalFormatting sqref="Z913">
    <cfRule type="dataBar" priority="1285">
      <dataBar>
        <cfvo type="min"/>
        <cfvo type="max"/>
        <color rgb="FF63C384"/>
      </dataBar>
    </cfRule>
    <cfRule type="dataBar" priority="1284">
      <dataBar>
        <cfvo type="min"/>
        <cfvo type="max"/>
        <color rgb="FF63C384"/>
      </dataBar>
    </cfRule>
    <cfRule type="dataBar" priority="1282">
      <dataBar>
        <cfvo type="min"/>
        <cfvo type="max"/>
        <color rgb="FF63C384"/>
      </dataBar>
    </cfRule>
    <cfRule type="dataBar" priority="1281">
      <dataBar>
        <cfvo type="min"/>
        <cfvo type="max"/>
        <color rgb="FF63C384"/>
      </dataBar>
    </cfRule>
  </conditionalFormatting>
  <conditionalFormatting sqref="C913">
    <cfRule type="containsText" priority="1278" operator="containsText" dxfId="1" text="Einnahmen">
      <formula>NOT(ISERROR(SEARCH("Einnahmen",C913)))</formula>
    </cfRule>
    <cfRule type="containsText" priority="1279" operator="containsText" dxfId="0" text="Ausgaben">
      <formula>NOT(ISERROR(SEARCH("Ausgaben",C913)))</formula>
    </cfRule>
  </conditionalFormatting>
  <conditionalFormatting sqref="Z914">
    <cfRule type="dataBar" priority="1276">
      <dataBar>
        <cfvo type="min"/>
        <cfvo type="max"/>
        <color rgb="FF63C384"/>
      </dataBar>
    </cfRule>
    <cfRule type="dataBar" priority="1275">
      <dataBar>
        <cfvo type="min"/>
        <cfvo type="max"/>
        <color rgb="FF63C384"/>
      </dataBar>
    </cfRule>
  </conditionalFormatting>
  <conditionalFormatting sqref="J914">
    <cfRule type="cellIs" priority="1274" operator="equal" dxfId="2034">
      <formula>"ja"</formula>
    </cfRule>
  </conditionalFormatting>
  <conditionalFormatting sqref="C914">
    <cfRule type="containsText" priority="1272" operator="containsText" dxfId="1" text="Einnahmen">
      <formula>NOT(ISERROR(SEARCH("Einnahmen",C914)))</formula>
    </cfRule>
    <cfRule type="containsText" priority="1273" operator="containsText" dxfId="0" text="Ausgaben">
      <formula>NOT(ISERROR(SEARCH("Ausgaben",C914)))</formula>
    </cfRule>
  </conditionalFormatting>
  <conditionalFormatting sqref="J915">
    <cfRule type="cellIs" priority="1271" operator="equal" dxfId="2034">
      <formula>"ja"</formula>
    </cfRule>
  </conditionalFormatting>
  <conditionalFormatting sqref="C915">
    <cfRule type="containsText" priority="1269" operator="containsText" dxfId="1" text="Einnahmen">
      <formula>NOT(ISERROR(SEARCH("Einnahmen",C915)))</formula>
    </cfRule>
    <cfRule type="containsText" priority="1270" operator="containsText" dxfId="0" text="Ausgaben">
      <formula>NOT(ISERROR(SEARCH("Ausgaben",C915)))</formula>
    </cfRule>
  </conditionalFormatting>
  <conditionalFormatting sqref="Z915">
    <cfRule type="dataBar" priority="1267">
      <dataBar>
        <cfvo type="min"/>
        <cfvo type="max"/>
        <color rgb="FF63C384"/>
      </dataBar>
    </cfRule>
    <cfRule type="dataBar" priority="1266">
      <dataBar>
        <cfvo type="min"/>
        <cfvo type="max"/>
        <color rgb="FF63C384"/>
      </dataBar>
    </cfRule>
  </conditionalFormatting>
  <conditionalFormatting sqref="C916">
    <cfRule type="containsText" priority="1264" operator="containsText" dxfId="1" text="Einnahmen">
      <formula>NOT(ISERROR(SEARCH("Einnahmen",C916)))</formula>
    </cfRule>
    <cfRule type="containsText" priority="1265" operator="containsText" dxfId="0" text="Ausgaben">
      <formula>NOT(ISERROR(SEARCH("Ausgaben",C916)))</formula>
    </cfRule>
  </conditionalFormatting>
  <conditionalFormatting sqref="J916">
    <cfRule type="cellIs" priority="1263" operator="equal" dxfId="2034">
      <formula>"ja"</formula>
    </cfRule>
  </conditionalFormatting>
  <conditionalFormatting sqref="Z916">
    <cfRule type="dataBar" priority="1261">
      <dataBar>
        <cfvo type="min"/>
        <cfvo type="max"/>
        <color rgb="FF63C384"/>
      </dataBar>
    </cfRule>
    <cfRule type="dataBar" priority="1260">
      <dataBar>
        <cfvo type="min"/>
        <cfvo type="max"/>
        <color rgb="FF63C384"/>
      </dataBar>
    </cfRule>
  </conditionalFormatting>
  <conditionalFormatting sqref="C918">
    <cfRule type="containsText" priority="1258" operator="containsText" dxfId="1" text="Einnahmen">
      <formula>NOT(ISERROR(SEARCH("Einnahmen",C918)))</formula>
    </cfRule>
    <cfRule type="containsText" priority="1259" operator="containsText" dxfId="0" text="Ausgaben">
      <formula>NOT(ISERROR(SEARCH("Ausgaben",C918)))</formula>
    </cfRule>
  </conditionalFormatting>
  <conditionalFormatting sqref="J918">
    <cfRule type="cellIs" priority="1257" operator="equal" dxfId="2034">
      <formula>"ja"</formula>
    </cfRule>
    <cfRule type="cellIs" priority="1245" operator="equal" dxfId="2034">
      <formula>"ja"</formula>
    </cfRule>
    <cfRule type="cellIs" priority="1253" operator="equal" dxfId="2034">
      <formula>"ja"</formula>
    </cfRule>
    <cfRule type="cellIs" priority="1249" operator="equal" dxfId="2034">
      <formula>"ja"</formula>
    </cfRule>
  </conditionalFormatting>
  <conditionalFormatting sqref="Z918">
    <cfRule type="dataBar" priority="1255">
      <dataBar>
        <cfvo type="min"/>
        <cfvo type="max"/>
        <color rgb="FF63C384"/>
      </dataBar>
    </cfRule>
    <cfRule type="dataBar" priority="1254">
      <dataBar>
        <cfvo type="min"/>
        <cfvo type="max"/>
        <color rgb="FF63C384"/>
      </dataBar>
    </cfRule>
    <cfRule type="dataBar" priority="1251">
      <dataBar>
        <cfvo type="min"/>
        <cfvo type="max"/>
        <color rgb="FF63C384"/>
      </dataBar>
    </cfRule>
    <cfRule type="dataBar" priority="1250">
      <dataBar>
        <cfvo type="min"/>
        <cfvo type="max"/>
        <color rgb="FF63C384"/>
      </dataBar>
    </cfRule>
    <cfRule type="dataBar" priority="1247">
      <dataBar>
        <cfvo type="min"/>
        <cfvo type="max"/>
        <color rgb="FF63C384"/>
      </dataBar>
    </cfRule>
    <cfRule type="dataBar" priority="1246">
      <dataBar>
        <cfvo type="min"/>
        <cfvo type="max"/>
        <color rgb="FF63C384"/>
      </dataBar>
    </cfRule>
    <cfRule type="dataBar" priority="1243">
      <dataBar>
        <cfvo type="min"/>
        <cfvo type="max"/>
        <color rgb="FF63C384"/>
      </dataBar>
    </cfRule>
    <cfRule type="dataBar" priority="1242">
      <dataBar>
        <cfvo type="min"/>
        <cfvo type="max"/>
        <color rgb="FF63C384"/>
      </dataBar>
    </cfRule>
  </conditionalFormatting>
  <conditionalFormatting sqref="C917:C918">
    <cfRule type="containsText" priority="1240" operator="containsText" dxfId="1" text="Einnahmen">
      <formula>NOT(ISERROR(SEARCH("Einnahmen",C917)))</formula>
    </cfRule>
    <cfRule type="containsText" priority="1241" operator="containsText" dxfId="0" text="Ausgaben">
      <formula>NOT(ISERROR(SEARCH("Ausgaben",C917)))</formula>
    </cfRule>
    <cfRule type="containsText" priority="1238" operator="containsText" dxfId="1" text="Einnahmen">
      <formula>NOT(ISERROR(SEARCH("Einnahmen",C917)))</formula>
    </cfRule>
    <cfRule type="containsText" priority="1239" operator="containsText" dxfId="0" text="Ausgaben">
      <formula>NOT(ISERROR(SEARCH("Ausgaben",C917)))</formula>
    </cfRule>
  </conditionalFormatting>
  <conditionalFormatting sqref="J917:J918">
    <cfRule type="cellIs" priority="1237" operator="equal" dxfId="2034">
      <formula>"ja"</formula>
    </cfRule>
    <cfRule type="cellIs" priority="1230" operator="equal" dxfId="2034">
      <formula>"ja"</formula>
    </cfRule>
  </conditionalFormatting>
  <conditionalFormatting sqref="Z917">
    <cfRule type="dataBar" priority="1235">
      <dataBar>
        <cfvo type="min"/>
        <cfvo type="max"/>
        <color rgb="FF63C384"/>
      </dataBar>
    </cfRule>
  </conditionalFormatting>
  <conditionalFormatting sqref="C919:C920">
    <cfRule type="containsText" priority="1228" operator="containsText" dxfId="1" text="Einnahmen">
      <formula>NOT(ISERROR(SEARCH("Einnahmen",C919)))</formula>
    </cfRule>
    <cfRule type="containsText" priority="1229" operator="containsText" dxfId="0" text="Ausgaben">
      <formula>NOT(ISERROR(SEARCH("Ausgaben",C919)))</formula>
    </cfRule>
  </conditionalFormatting>
  <conditionalFormatting sqref="J919:J920">
    <cfRule type="cellIs" priority="1227" operator="equal" dxfId="2034">
      <formula>"ja"</formula>
    </cfRule>
    <cfRule type="cellIs" priority="1222" operator="equal" dxfId="2034">
      <formula>"ja"</formula>
    </cfRule>
  </conditionalFormatting>
  <conditionalFormatting sqref="Z919">
    <cfRule type="dataBar" priority="1225">
      <dataBar>
        <cfvo type="min"/>
        <cfvo type="max"/>
        <color rgb="FF63C384"/>
      </dataBar>
    </cfRule>
  </conditionalFormatting>
  <conditionalFormatting sqref="J921">
    <cfRule type="cellIs" priority="1219" operator="equal" dxfId="2034">
      <formula>"ja"</formula>
    </cfRule>
  </conditionalFormatting>
  <conditionalFormatting sqref="C921">
    <cfRule type="containsText" priority="1217" operator="containsText" dxfId="1" text="Einnahmen">
      <formula>NOT(ISERROR(SEARCH("Einnahmen",C921)))</formula>
    </cfRule>
    <cfRule type="containsText" priority="1218" operator="containsText" dxfId="0" text="Ausgaben">
      <formula>NOT(ISERROR(SEARCH("Ausgaben",C921)))</formula>
    </cfRule>
  </conditionalFormatting>
  <conditionalFormatting sqref="Z921">
    <cfRule type="dataBar" priority="1215">
      <dataBar>
        <cfvo type="min"/>
        <cfvo type="max"/>
        <color rgb="FF63C384"/>
      </dataBar>
    </cfRule>
    <cfRule type="dataBar" priority="1214">
      <dataBar>
        <cfvo type="min"/>
        <cfvo type="max"/>
        <color rgb="FF63C384"/>
      </dataBar>
    </cfRule>
  </conditionalFormatting>
  <conditionalFormatting sqref="C920">
    <cfRule type="containsText" priority="1212" operator="containsText" dxfId="1" text="Einnahmen">
      <formula>NOT(ISERROR(SEARCH("Einnahmen",C920)))</formula>
    </cfRule>
    <cfRule type="containsText" priority="1213" operator="containsText" dxfId="0" text="Ausgaben">
      <formula>NOT(ISERROR(SEARCH("Ausgaben",C920)))</formula>
    </cfRule>
  </conditionalFormatting>
  <conditionalFormatting sqref="J920">
    <cfRule type="cellIs" priority="1211" operator="equal" dxfId="2034">
      <formula>"ja"</formula>
    </cfRule>
    <cfRule type="cellIs" priority="1206" operator="equal" dxfId="2034">
      <formula>"ja"</formula>
    </cfRule>
  </conditionalFormatting>
  <conditionalFormatting sqref="Z920">
    <cfRule type="dataBar" priority="1209">
      <dataBar>
        <cfvo type="min"/>
        <cfvo type="max"/>
        <color rgb="FF63C384"/>
      </dataBar>
    </cfRule>
    <cfRule type="dataBar" priority="1208">
      <dataBar>
        <cfvo type="min"/>
        <cfvo type="max"/>
        <color rgb="FF63C384"/>
      </dataBar>
    </cfRule>
    <cfRule type="dataBar" priority="1205">
      <dataBar>
        <cfvo type="min"/>
        <cfvo type="max"/>
        <color rgb="FF63C384"/>
      </dataBar>
    </cfRule>
    <cfRule type="dataBar" priority="1204">
      <dataBar>
        <cfvo type="min"/>
        <cfvo type="max"/>
        <color rgb="FF63C384"/>
      </dataBar>
    </cfRule>
  </conditionalFormatting>
  <conditionalFormatting sqref="C922">
    <cfRule type="containsText" priority="1202" operator="containsText" dxfId="1" text="Einnahmen">
      <formula>NOT(ISERROR(SEARCH("Einnahmen",C922)))</formula>
    </cfRule>
    <cfRule type="containsText" priority="1203" operator="containsText" dxfId="0" text="Ausgaben">
      <formula>NOT(ISERROR(SEARCH("Ausgaben",C922)))</formula>
    </cfRule>
  </conditionalFormatting>
  <conditionalFormatting sqref="Z922">
    <cfRule type="dataBar" priority="1200">
      <dataBar>
        <cfvo type="min"/>
        <cfvo type="max"/>
        <color rgb="FF63C384"/>
      </dataBar>
    </cfRule>
    <cfRule type="dataBar" priority="1199">
      <dataBar>
        <cfvo type="min"/>
        <cfvo type="max"/>
        <color rgb="FF63C384"/>
      </dataBar>
    </cfRule>
    <cfRule type="dataBar" priority="1197">
      <dataBar>
        <cfvo type="min"/>
        <cfvo type="max"/>
        <color rgb="FF63C384"/>
      </dataBar>
    </cfRule>
    <cfRule type="dataBar" priority="1196">
      <dataBar>
        <cfvo type="min"/>
        <cfvo type="max"/>
        <color rgb="FF63C384"/>
      </dataBar>
    </cfRule>
  </conditionalFormatting>
  <conditionalFormatting sqref="Z925:Z927">
    <cfRule type="dataBar" priority="1194">
      <dataBar>
        <cfvo type="min"/>
        <cfvo type="max"/>
        <color rgb="FF63C384"/>
      </dataBar>
    </cfRule>
    <cfRule type="dataBar" priority="1193">
      <dataBar>
        <cfvo type="min"/>
        <cfvo type="max"/>
        <color rgb="FF63C384"/>
      </dataBar>
    </cfRule>
  </conditionalFormatting>
  <conditionalFormatting sqref="C925:C927">
    <cfRule type="containsText" priority="1191" operator="containsText" dxfId="1" text="Einnahmen">
      <formula>NOT(ISERROR(SEARCH("Einnahmen",C925)))</formula>
    </cfRule>
    <cfRule type="containsText" priority="1192" operator="containsText" dxfId="0" text="Ausgaben">
      <formula>NOT(ISERROR(SEARCH("Ausgaben",C925)))</formula>
    </cfRule>
    <cfRule type="containsText" priority="1189" operator="containsText" dxfId="1" text="Einnahmen">
      <formula>NOT(ISERROR(SEARCH("Einnahmen",C925)))</formula>
    </cfRule>
    <cfRule type="containsText" priority="1190" operator="containsText" dxfId="0" text="Ausgaben">
      <formula>NOT(ISERROR(SEARCH("Ausgaben",C925)))</formula>
    </cfRule>
  </conditionalFormatting>
  <conditionalFormatting sqref="J923:J924">
    <cfRule type="cellIs" priority="1186" operator="equal" dxfId="2034">
      <formula>"ja"</formula>
    </cfRule>
    <cfRule type="cellIs" priority="1184" operator="equal" dxfId="2034">
      <formula>"ja"</formula>
    </cfRule>
    <cfRule type="cellIs" priority="1183" operator="equal" dxfId="2034">
      <formula>"ja"</formula>
    </cfRule>
  </conditionalFormatting>
  <conditionalFormatting sqref="Z923:Z924">
    <cfRule type="dataBar" priority="1185">
      <dataBar>
        <cfvo type="min"/>
        <cfvo type="max"/>
        <color rgb="FF63C384"/>
      </dataBar>
    </cfRule>
  </conditionalFormatting>
  <conditionalFormatting sqref="C923:C924">
    <cfRule type="containsText" priority="1181" operator="containsText" dxfId="1" text="Einnahmen">
      <formula>NOT(ISERROR(SEARCH("Einnahmen",C923)))</formula>
    </cfRule>
    <cfRule type="containsText" priority="1182" operator="containsText" dxfId="0" text="Ausgaben">
      <formula>NOT(ISERROR(SEARCH("Ausgaben",C923)))</formula>
    </cfRule>
    <cfRule type="containsText" priority="1179" operator="containsText" dxfId="1" text="Einnahmen">
      <formula>NOT(ISERROR(SEARCH("Einnahmen",C923)))</formula>
    </cfRule>
    <cfRule type="containsText" priority="1180" operator="containsText" dxfId="0" text="Ausgaben">
      <formula>NOT(ISERROR(SEARCH("Ausgaben",C923)))</formula>
    </cfRule>
  </conditionalFormatting>
  <conditionalFormatting sqref="C929">
    <cfRule type="containsText" priority="1177" operator="containsText" dxfId="1" text="Einnahmen">
      <formula>NOT(ISERROR(SEARCH("Einnahmen",C929)))</formula>
    </cfRule>
    <cfRule type="containsText" priority="1178" operator="containsText" dxfId="0" text="Ausgaben">
      <formula>NOT(ISERROR(SEARCH("Ausgaben",C929)))</formula>
    </cfRule>
  </conditionalFormatting>
  <conditionalFormatting sqref="Z929">
    <cfRule type="dataBar" priority="1176">
      <dataBar>
        <cfvo type="min"/>
        <cfvo type="max"/>
        <color rgb="FF63C384"/>
      </dataBar>
    </cfRule>
    <cfRule type="dataBar" priority="1175">
      <dataBar>
        <cfvo type="min"/>
        <cfvo type="max"/>
        <color rgb="FF63C384"/>
      </dataBar>
    </cfRule>
  </conditionalFormatting>
  <conditionalFormatting sqref="J929">
    <cfRule type="cellIs" priority="1174" operator="equal" dxfId="2034">
      <formula>"ja"</formula>
    </cfRule>
    <cfRule type="cellIs" priority="1173" operator="equal" dxfId="2034">
      <formula>"ja"</formula>
    </cfRule>
  </conditionalFormatting>
  <conditionalFormatting sqref="J930">
    <cfRule type="cellIs" priority="1172" operator="equal" dxfId="2034">
      <formula>"ja"</formula>
    </cfRule>
    <cfRule type="cellIs" priority="1167" operator="equal" dxfId="2034">
      <formula>"ja"</formula>
    </cfRule>
  </conditionalFormatting>
  <conditionalFormatting sqref="Z930">
    <cfRule type="dataBar" priority="1171">
      <dataBar>
        <cfvo type="min"/>
        <cfvo type="max"/>
        <color rgb="FF63C384"/>
      </dataBar>
    </cfRule>
    <cfRule type="dataBar" priority="1170">
      <dataBar>
        <cfvo type="min"/>
        <cfvo type="max"/>
        <color rgb="FF63C384"/>
      </dataBar>
    </cfRule>
    <cfRule type="dataBar" priority="1169">
      <dataBar>
        <cfvo type="min"/>
        <cfvo type="max"/>
        <color rgb="FF63C384"/>
      </dataBar>
    </cfRule>
    <cfRule type="dataBar" priority="1168">
      <dataBar>
        <cfvo type="min"/>
        <cfvo type="max"/>
        <color rgb="FF63C384"/>
      </dataBar>
    </cfRule>
  </conditionalFormatting>
  <conditionalFormatting sqref="C930">
    <cfRule type="containsText" priority="1165" operator="containsText" dxfId="1" text="Einnahmen">
      <formula>NOT(ISERROR(SEARCH("Einnahmen",C930)))</formula>
    </cfRule>
    <cfRule type="containsText" priority="1166" operator="containsText" dxfId="0" text="Ausgaben">
      <formula>NOT(ISERROR(SEARCH("Ausgaben",C930)))</formula>
    </cfRule>
  </conditionalFormatting>
  <conditionalFormatting sqref="C931 C939 C958">
    <cfRule type="containsText" priority="1163" operator="containsText" dxfId="1" text="Einnahmen">
      <formula>NOT(ISERROR(SEARCH("Einnahmen",C931)))</formula>
    </cfRule>
    <cfRule type="containsText" priority="1164" operator="containsText" dxfId="0" text="Ausgaben">
      <formula>NOT(ISERROR(SEARCH("Ausgaben",C931)))</formula>
    </cfRule>
  </conditionalFormatting>
  <conditionalFormatting sqref="T931">
    <cfRule type="expression" priority="1162" dxfId="2">
      <formula>AND(AND($W931&lt;TODAY(),$W931&lt;&gt;""),$X931="")</formula>
    </cfRule>
  </conditionalFormatting>
  <conditionalFormatting sqref="J931">
    <cfRule type="cellIs" priority="1161" operator="equal" dxfId="2034">
      <formula>"ja"</formula>
    </cfRule>
  </conditionalFormatting>
  <conditionalFormatting sqref="Z931">
    <cfRule type="dataBar" priority="1160">
      <dataBar>
        <cfvo type="min"/>
        <cfvo type="max"/>
        <color rgb="FF63C384"/>
      </dataBar>
    </cfRule>
    <cfRule type="dataBar" priority="1159">
      <dataBar>
        <cfvo type="min"/>
        <cfvo type="max"/>
        <color rgb="FF63C384"/>
      </dataBar>
    </cfRule>
  </conditionalFormatting>
  <conditionalFormatting sqref="C932">
    <cfRule type="containsText" priority="1157" operator="containsText" dxfId="1" text="Einnahmen">
      <formula>NOT(ISERROR(SEARCH("Einnahmen",C932)))</formula>
    </cfRule>
    <cfRule type="containsText" priority="1158" operator="containsText" dxfId="0" text="Ausgaben">
      <formula>NOT(ISERROR(SEARCH("Ausgaben",C932)))</formula>
    </cfRule>
  </conditionalFormatting>
  <conditionalFormatting sqref="J932">
    <cfRule type="cellIs" priority="1156" operator="equal" dxfId="2034">
      <formula>"ja"</formula>
    </cfRule>
  </conditionalFormatting>
  <conditionalFormatting sqref="T932">
    <cfRule type="expression" priority="1155" dxfId="2">
      <formula>AND(AND($W932&lt;TODAY(),$W932&lt;&gt;""),$X932="")</formula>
    </cfRule>
  </conditionalFormatting>
  <conditionalFormatting sqref="Z932">
    <cfRule type="dataBar" priority="1154">
      <dataBar>
        <cfvo type="min"/>
        <cfvo type="max"/>
        <color rgb="FF63C384"/>
      </dataBar>
    </cfRule>
    <cfRule type="dataBar" priority="1153">
      <dataBar>
        <cfvo type="min"/>
        <cfvo type="max"/>
        <color rgb="FF63C384"/>
      </dataBar>
    </cfRule>
  </conditionalFormatting>
  <conditionalFormatting sqref="T933">
    <cfRule type="expression" priority="1152" dxfId="2">
      <formula>AND(AND($W933&lt;TODAY(),$W933&lt;&gt;""),$X933="")</formula>
    </cfRule>
  </conditionalFormatting>
  <conditionalFormatting sqref="C933">
    <cfRule type="containsText" priority="1150" operator="containsText" dxfId="1" text="Einnahmen">
      <formula>NOT(ISERROR(SEARCH("Einnahmen",C933)))</formula>
    </cfRule>
    <cfRule type="containsText" priority="1151" operator="containsText" dxfId="0" text="Ausgaben">
      <formula>NOT(ISERROR(SEARCH("Ausgaben",C933)))</formula>
    </cfRule>
  </conditionalFormatting>
  <conditionalFormatting sqref="J933">
    <cfRule type="cellIs" priority="1149" operator="equal" dxfId="2034">
      <formula>"ja"</formula>
    </cfRule>
  </conditionalFormatting>
  <conditionalFormatting sqref="Z933">
    <cfRule type="dataBar" priority="1148">
      <dataBar>
        <cfvo type="min"/>
        <cfvo type="max"/>
        <color rgb="FF63C384"/>
      </dataBar>
    </cfRule>
    <cfRule type="dataBar" priority="1147">
      <dataBar>
        <cfvo type="min"/>
        <cfvo type="max"/>
        <color rgb="FF63C384"/>
      </dataBar>
    </cfRule>
  </conditionalFormatting>
  <conditionalFormatting sqref="T934">
    <cfRule type="expression" priority="1146" dxfId="2">
      <formula>AND(AND($W934&lt;TODAY(),$W934&lt;&gt;""),$X934="")</formula>
    </cfRule>
  </conditionalFormatting>
  <conditionalFormatting sqref="Z934">
    <cfRule type="dataBar" priority="1143">
      <dataBar>
        <cfvo type="min"/>
        <cfvo type="max"/>
        <color rgb="FF63C384"/>
      </dataBar>
    </cfRule>
    <cfRule type="dataBar" priority="1142">
      <dataBar>
        <cfvo type="min"/>
        <cfvo type="max"/>
        <color rgb="FF63C384"/>
      </dataBar>
    </cfRule>
    <cfRule type="dataBar" priority="1140">
      <dataBar>
        <cfvo type="min"/>
        <cfvo type="max"/>
        <color rgb="FF63C384"/>
      </dataBar>
    </cfRule>
    <cfRule type="dataBar" priority="1139">
      <dataBar>
        <cfvo type="min"/>
        <cfvo type="max"/>
        <color rgb="FF63C384"/>
      </dataBar>
    </cfRule>
  </conditionalFormatting>
  <conditionalFormatting sqref="J934">
    <cfRule type="cellIs" priority="1141" operator="equal" dxfId="2034">
      <formula>"ja"</formula>
    </cfRule>
  </conditionalFormatting>
  <conditionalFormatting sqref="C934">
    <cfRule type="containsText" priority="1137" operator="containsText" dxfId="1" text="Einnahmen">
      <formula>NOT(ISERROR(SEARCH("Einnahmen",C934)))</formula>
    </cfRule>
    <cfRule type="containsText" priority="1138" operator="containsText" dxfId="0" text="Ausgaben">
      <formula>NOT(ISERROR(SEARCH("Ausgaben",C934)))</formula>
    </cfRule>
    <cfRule type="containsText" priority="1135" operator="containsText" dxfId="1" text="Einnahmen">
      <formula>NOT(ISERROR(SEARCH("Einnahmen",C934)))</formula>
    </cfRule>
    <cfRule type="containsText" priority="1136" operator="containsText" dxfId="0" text="Ausgaben">
      <formula>NOT(ISERROR(SEARCH("Ausgaben",C934)))</formula>
    </cfRule>
  </conditionalFormatting>
  <conditionalFormatting sqref="J935">
    <cfRule type="cellIs" priority="1134" operator="equal" dxfId="2034">
      <formula>"ja"</formula>
    </cfRule>
    <cfRule type="cellIs" priority="1130" operator="equal" dxfId="2034">
      <formula>"ja"</formula>
    </cfRule>
  </conditionalFormatting>
  <conditionalFormatting sqref="T935">
    <cfRule type="expression" priority="1133" dxfId="2">
      <formula>AND(AND($W935&lt;TODAY(),$W935&lt;&gt;""),$X935="")</formula>
    </cfRule>
    <cfRule type="expression" priority="1129" dxfId="2">
      <formula>AND(AND($W935&lt;TODAY(),$W935&lt;&gt;""),$X935="")</formula>
    </cfRule>
  </conditionalFormatting>
  <conditionalFormatting sqref="Z935">
    <cfRule type="dataBar" priority="1132">
      <dataBar>
        <cfvo type="min"/>
        <cfvo type="max"/>
        <color rgb="FF63C384"/>
      </dataBar>
    </cfRule>
    <cfRule type="dataBar" priority="1131">
      <dataBar>
        <cfvo type="min"/>
        <cfvo type="max"/>
        <color rgb="FF63C384"/>
      </dataBar>
    </cfRule>
    <cfRule type="dataBar" priority="1128">
      <dataBar>
        <cfvo type="min"/>
        <cfvo type="max"/>
        <color rgb="FF63C384"/>
      </dataBar>
    </cfRule>
    <cfRule type="dataBar" priority="1127">
      <dataBar>
        <cfvo type="min"/>
        <cfvo type="max"/>
        <color rgb="FF63C384"/>
      </dataBar>
    </cfRule>
  </conditionalFormatting>
  <conditionalFormatting sqref="C935">
    <cfRule type="containsText" priority="1125" operator="containsText" dxfId="1" text="Einnahmen">
      <formula>NOT(ISERROR(SEARCH("Einnahmen",C935)))</formula>
    </cfRule>
    <cfRule type="containsText" priority="1126" operator="containsText" dxfId="0" text="Ausgaben">
      <formula>NOT(ISERROR(SEARCH("Ausgaben",C935)))</formula>
    </cfRule>
  </conditionalFormatting>
  <conditionalFormatting sqref="J936">
    <cfRule type="cellIs" priority="1124" operator="equal" dxfId="2034">
      <formula>"ja"</formula>
    </cfRule>
  </conditionalFormatting>
  <conditionalFormatting sqref="C936">
    <cfRule type="containsText" priority="1122" operator="containsText" dxfId="1" text="Einnahmen">
      <formula>NOT(ISERROR(SEARCH("Einnahmen",C936)))</formula>
    </cfRule>
    <cfRule type="containsText" priority="1123" operator="containsText" dxfId="0" text="Ausgaben">
      <formula>NOT(ISERROR(SEARCH("Ausgaben",C936)))</formula>
    </cfRule>
  </conditionalFormatting>
  <conditionalFormatting sqref="T936">
    <cfRule type="expression" priority="1121" dxfId="2">
      <formula>AND(AND($W936&lt;TODAY(),$W936&lt;&gt;""),$X936="")</formula>
    </cfRule>
  </conditionalFormatting>
  <conditionalFormatting sqref="Z936">
    <cfRule type="dataBar" priority="1120">
      <dataBar>
        <cfvo type="min"/>
        <cfvo type="max"/>
        <color rgb="FF63C384"/>
      </dataBar>
    </cfRule>
    <cfRule type="dataBar" priority="1119">
      <dataBar>
        <cfvo type="min"/>
        <cfvo type="max"/>
        <color rgb="FF63C384"/>
      </dataBar>
    </cfRule>
  </conditionalFormatting>
  <conditionalFormatting sqref="T937">
    <cfRule type="expression" priority="1118" dxfId="2">
      <formula>AND(AND($W937&lt;TODAY(),$W937&lt;&gt;""),$X937="")</formula>
    </cfRule>
  </conditionalFormatting>
  <conditionalFormatting sqref="Z937">
    <cfRule type="dataBar" priority="1117">
      <dataBar>
        <cfvo type="min"/>
        <cfvo type="max"/>
        <color rgb="FF63C384"/>
      </dataBar>
    </cfRule>
    <cfRule type="dataBar" priority="1116">
      <dataBar>
        <cfvo type="min"/>
        <cfvo type="max"/>
        <color rgb="FF63C384"/>
      </dataBar>
    </cfRule>
  </conditionalFormatting>
  <conditionalFormatting sqref="J937">
    <cfRule type="cellIs" priority="1115" operator="equal" dxfId="2034">
      <formula>"ja"</formula>
    </cfRule>
  </conditionalFormatting>
  <conditionalFormatting sqref="C937">
    <cfRule type="containsText" priority="1113" operator="containsText" dxfId="1" text="Einnahmen">
      <formula>NOT(ISERROR(SEARCH("Einnahmen",C937)))</formula>
    </cfRule>
    <cfRule type="containsText" priority="1114" operator="containsText" dxfId="0" text="Ausgaben">
      <formula>NOT(ISERROR(SEARCH("Ausgaben",C937)))</formula>
    </cfRule>
  </conditionalFormatting>
  <conditionalFormatting sqref="T938:T939">
    <cfRule type="expression" priority="1112" dxfId="2">
      <formula>AND(AND($W938&lt;TODAY(),$W938&lt;&gt;""),$X938="")</formula>
    </cfRule>
  </conditionalFormatting>
  <conditionalFormatting sqref="J938">
    <cfRule type="cellIs" priority="1111" operator="equal" dxfId="2034">
      <formula>"ja"</formula>
    </cfRule>
  </conditionalFormatting>
  <conditionalFormatting sqref="C938">
    <cfRule type="containsText" priority="1109" operator="containsText" dxfId="1" text="Einnahmen">
      <formula>NOT(ISERROR(SEARCH("Einnahmen",C938)))</formula>
    </cfRule>
    <cfRule type="containsText" priority="1110" operator="containsText" dxfId="0" text="Ausgaben">
      <formula>NOT(ISERROR(SEARCH("Ausgaben",C938)))</formula>
    </cfRule>
  </conditionalFormatting>
  <conditionalFormatting sqref="Z938:Z939">
    <cfRule type="dataBar" priority="1108">
      <dataBar>
        <cfvo type="min"/>
        <cfvo type="max"/>
        <color rgb="FF63C384"/>
      </dataBar>
    </cfRule>
    <cfRule type="dataBar" priority="1107">
      <dataBar>
        <cfvo type="min"/>
        <cfvo type="max"/>
        <color rgb="FF63C384"/>
      </dataBar>
    </cfRule>
  </conditionalFormatting>
  <conditionalFormatting sqref="T940">
    <cfRule type="expression" priority="1106" dxfId="2">
      <formula>AND(AND($W940&lt;TODAY(),$W940&lt;&gt;""),$X940="")</formula>
    </cfRule>
  </conditionalFormatting>
  <conditionalFormatting sqref="C940">
    <cfRule type="containsText" priority="1104" operator="containsText" dxfId="1" text="Einnahmen">
      <formula>NOT(ISERROR(SEARCH("Einnahmen",C940)))</formula>
    </cfRule>
    <cfRule type="containsText" priority="1105" operator="containsText" dxfId="0" text="Ausgaben">
      <formula>NOT(ISERROR(SEARCH("Ausgaben",C940)))</formula>
    </cfRule>
    <cfRule type="containsText" priority="1090" operator="containsText" dxfId="1" text="Einnahmen">
      <formula>NOT(ISERROR(SEARCH("Einnahmen",C940)))</formula>
    </cfRule>
    <cfRule type="containsText" priority="1091" operator="containsText" dxfId="0" text="Ausgaben">
      <formula>NOT(ISERROR(SEARCH("Ausgaben",C940)))</formula>
    </cfRule>
    <cfRule type="containsText" priority="1088" operator="containsText" dxfId="1" text="Einnahmen">
      <formula>NOT(ISERROR(SEARCH("Einnahmen",C940)))</formula>
    </cfRule>
    <cfRule type="containsText" priority="1089" operator="containsText" dxfId="0" text="Ausgaben">
      <formula>NOT(ISERROR(SEARCH("Ausgaben",C940)))</formula>
    </cfRule>
  </conditionalFormatting>
  <conditionalFormatting sqref="J940">
    <cfRule type="cellIs" priority="1103" operator="equal" dxfId="2034">
      <formula>"ja"</formula>
    </cfRule>
    <cfRule type="cellIs" priority="1094" operator="equal" dxfId="2034">
      <formula>"ja"</formula>
    </cfRule>
    <cfRule type="cellIs" priority="1100" operator="equal" dxfId="2034">
      <formula>"ja"</formula>
    </cfRule>
    <cfRule type="cellIs" priority="1097" operator="equal" dxfId="2034">
      <formula>"ja"</formula>
    </cfRule>
    <cfRule type="cellIs" priority="1087" operator="equal" dxfId="2034">
      <formula>"ja"</formula>
    </cfRule>
    <cfRule type="cellIs" priority="1086" operator="equal" dxfId="2034">
      <formula>"ja"</formula>
    </cfRule>
  </conditionalFormatting>
  <conditionalFormatting sqref="Z940">
    <cfRule type="dataBar" priority="1102">
      <dataBar>
        <cfvo type="min"/>
        <cfvo type="max"/>
        <color rgb="FF63C384"/>
      </dataBar>
    </cfRule>
    <cfRule type="dataBar" priority="1101">
      <dataBar>
        <cfvo type="min"/>
        <cfvo type="max"/>
        <color rgb="FF63C384"/>
      </dataBar>
    </cfRule>
    <cfRule type="dataBar" priority="1099">
      <dataBar>
        <cfvo type="min"/>
        <cfvo type="max"/>
        <color rgb="FF63C384"/>
      </dataBar>
    </cfRule>
    <cfRule type="dataBar" priority="1098">
      <dataBar>
        <cfvo type="min"/>
        <cfvo type="max"/>
        <color rgb="FF63C384"/>
      </dataBar>
    </cfRule>
    <cfRule type="dataBar" priority="1096">
      <dataBar>
        <cfvo type="min"/>
        <cfvo type="max"/>
        <color rgb="FF63C384"/>
      </dataBar>
    </cfRule>
    <cfRule type="dataBar" priority="1095">
      <dataBar>
        <cfvo type="min"/>
        <cfvo type="max"/>
        <color rgb="FF63C384"/>
      </dataBar>
    </cfRule>
    <cfRule type="dataBar" priority="1093">
      <dataBar>
        <cfvo type="min"/>
        <cfvo type="max"/>
        <color rgb="FF63C384"/>
      </dataBar>
    </cfRule>
    <cfRule type="dataBar" priority="1092">
      <dataBar>
        <cfvo type="min"/>
        <cfvo type="max"/>
        <color rgb="FF63C384"/>
      </dataBar>
    </cfRule>
  </conditionalFormatting>
  <conditionalFormatting sqref="T941">
    <cfRule type="expression" priority="1085" dxfId="2">
      <formula>AND(AND($W941&lt;TODAY(),$W941&lt;&gt;""),$X941="")</formula>
    </cfRule>
  </conditionalFormatting>
  <conditionalFormatting sqref="C941">
    <cfRule type="containsText" priority="1083" operator="containsText" dxfId="1" text="Einnahmen">
      <formula>NOT(ISERROR(SEARCH("Einnahmen",C941)))</formula>
    </cfRule>
    <cfRule type="containsText" priority="1084" operator="containsText" dxfId="0" text="Ausgaben">
      <formula>NOT(ISERROR(SEARCH("Ausgaben",C941)))</formula>
    </cfRule>
  </conditionalFormatting>
  <conditionalFormatting sqref="J941">
    <cfRule type="cellIs" priority="1082" operator="equal" dxfId="2034">
      <formula>"ja"</formula>
    </cfRule>
  </conditionalFormatting>
  <conditionalFormatting sqref="Z941">
    <cfRule type="dataBar" priority="1081">
      <dataBar>
        <cfvo type="min"/>
        <cfvo type="max"/>
        <color rgb="FF63C384"/>
      </dataBar>
    </cfRule>
    <cfRule type="dataBar" priority="1080">
      <dataBar>
        <cfvo type="min"/>
        <cfvo type="max"/>
        <color rgb="FF63C384"/>
      </dataBar>
    </cfRule>
  </conditionalFormatting>
  <conditionalFormatting sqref="T942">
    <cfRule type="expression" priority="1079" dxfId="2">
      <formula>AND(AND($W942&lt;TODAY(),$W942&lt;&gt;""),$X942="")</formula>
    </cfRule>
  </conditionalFormatting>
  <conditionalFormatting sqref="C942">
    <cfRule type="containsText" priority="1077" operator="containsText" dxfId="1" text="Einnahmen">
      <formula>NOT(ISERROR(SEARCH("Einnahmen",C942)))</formula>
    </cfRule>
    <cfRule type="containsText" priority="1078" operator="containsText" dxfId="0" text="Ausgaben">
      <formula>NOT(ISERROR(SEARCH("Ausgaben",C942)))</formula>
    </cfRule>
  </conditionalFormatting>
  <conditionalFormatting sqref="J942">
    <cfRule type="cellIs" priority="1076" operator="equal" dxfId="2034">
      <formula>"ja"</formula>
    </cfRule>
    <cfRule type="cellIs" priority="1074" operator="equal" dxfId="2034">
      <formula>"ja"</formula>
    </cfRule>
  </conditionalFormatting>
  <conditionalFormatting sqref="Z942">
    <cfRule type="dataBar" priority="1075">
      <dataBar>
        <cfvo type="min"/>
        <cfvo type="max"/>
        <color rgb="FF63C384"/>
      </dataBar>
    </cfRule>
  </conditionalFormatting>
  <conditionalFormatting sqref="T943">
    <cfRule type="expression" priority="1046" dxfId="2">
      <formula>AND(AND($W943&lt;TODAY(),$W943&lt;&gt;""),$X943="")</formula>
    </cfRule>
  </conditionalFormatting>
  <conditionalFormatting sqref="C943">
    <cfRule type="containsText" priority="1044" operator="containsText" dxfId="1" text="Einnahmen">
      <formula>NOT(ISERROR(SEARCH("Einnahmen",C943)))</formula>
    </cfRule>
    <cfRule type="containsText" priority="1045" operator="containsText" dxfId="0" text="Ausgaben">
      <formula>NOT(ISERROR(SEARCH("Ausgaben",C943)))</formula>
    </cfRule>
    <cfRule type="containsText" priority="1042" operator="containsText" dxfId="1" text="Einnahmen">
      <formula>NOT(ISERROR(SEARCH("Einnahmen",C943)))</formula>
    </cfRule>
    <cfRule type="containsText" priority="1043" operator="containsText" dxfId="0" text="Ausgaben">
      <formula>NOT(ISERROR(SEARCH("Ausgaben",C943)))</formula>
    </cfRule>
  </conditionalFormatting>
  <conditionalFormatting sqref="J943">
    <cfRule type="cellIs" priority="1041" operator="equal" dxfId="2034">
      <formula>"ja"</formula>
    </cfRule>
    <cfRule type="cellIs" priority="1039" operator="equal" dxfId="2034">
      <formula>"ja"</formula>
    </cfRule>
  </conditionalFormatting>
  <conditionalFormatting sqref="Z943">
    <cfRule type="dataBar" priority="1040">
      <dataBar>
        <cfvo type="min"/>
        <cfvo type="max"/>
        <color rgb="FF63C384"/>
      </dataBar>
    </cfRule>
  </conditionalFormatting>
  <conditionalFormatting sqref="T944">
    <cfRule type="expression" priority="1038" dxfId="2">
      <formula>AND(AND($W944&lt;TODAY(),$W944&lt;&gt;""),$X944="")</formula>
    </cfRule>
  </conditionalFormatting>
  <conditionalFormatting sqref="J944">
    <cfRule type="cellIs" priority="1037" operator="equal" dxfId="2034">
      <formula>"ja"</formula>
    </cfRule>
  </conditionalFormatting>
  <conditionalFormatting sqref="C944">
    <cfRule type="containsText" priority="1035" operator="containsText" dxfId="1" text="Einnahmen">
      <formula>NOT(ISERROR(SEARCH("Einnahmen",C944)))</formula>
    </cfRule>
    <cfRule type="containsText" priority="1036" operator="containsText" dxfId="0" text="Ausgaben">
      <formula>NOT(ISERROR(SEARCH("Ausgaben",C944)))</formula>
    </cfRule>
  </conditionalFormatting>
  <conditionalFormatting sqref="Z944">
    <cfRule type="dataBar" priority="1034">
      <dataBar>
        <cfvo type="min"/>
        <cfvo type="max"/>
        <color rgb="FF63C384"/>
      </dataBar>
    </cfRule>
    <cfRule type="dataBar" priority="1033">
      <dataBar>
        <cfvo type="min"/>
        <cfvo type="max"/>
        <color rgb="FF63C384"/>
      </dataBar>
    </cfRule>
  </conditionalFormatting>
  <conditionalFormatting sqref="T945">
    <cfRule type="expression" priority="1032" dxfId="2">
      <formula>AND(AND($W945&lt;TODAY(),$W945&lt;&gt;""),$X945="")</formula>
    </cfRule>
  </conditionalFormatting>
  <conditionalFormatting sqref="J945">
    <cfRule type="cellIs" priority="1031" operator="equal" dxfId="2034">
      <formula>"ja"</formula>
    </cfRule>
    <cfRule type="cellIs" priority="1029" operator="equal" dxfId="2034">
      <formula>"ja"</formula>
    </cfRule>
    <cfRule type="cellIs" priority="1028" operator="equal" dxfId="2034">
      <formula>"ja"</formula>
    </cfRule>
  </conditionalFormatting>
  <conditionalFormatting sqref="Z945">
    <cfRule type="dataBar" priority="1030">
      <dataBar>
        <cfvo type="min"/>
        <cfvo type="max"/>
        <color rgb="FF63C384"/>
      </dataBar>
    </cfRule>
  </conditionalFormatting>
  <conditionalFormatting sqref="C945">
    <cfRule type="containsText" priority="1026" operator="containsText" dxfId="1" text="Einnahmen">
      <formula>NOT(ISERROR(SEARCH("Einnahmen",C945)))</formula>
    </cfRule>
    <cfRule type="containsText" priority="1027" operator="containsText" dxfId="0" text="Ausgaben">
      <formula>NOT(ISERROR(SEARCH("Ausgaben",C945)))</formula>
    </cfRule>
    <cfRule type="containsText" priority="1024" operator="containsText" dxfId="1" text="Einnahmen">
      <formula>NOT(ISERROR(SEARCH("Einnahmen",C945)))</formula>
    </cfRule>
    <cfRule type="containsText" priority="1025" operator="containsText" dxfId="0" text="Ausgaben">
      <formula>NOT(ISERROR(SEARCH("Ausgaben",C945)))</formula>
    </cfRule>
  </conditionalFormatting>
  <conditionalFormatting sqref="C946">
    <cfRule type="containsText" priority="1022" operator="containsText" dxfId="1" text="Einnahmen">
      <formula>NOT(ISERROR(SEARCH("Einnahmen",C946)))</formula>
    </cfRule>
    <cfRule type="containsText" priority="1023" operator="containsText" dxfId="0" text="Ausgaben">
      <formula>NOT(ISERROR(SEARCH("Ausgaben",C946)))</formula>
    </cfRule>
  </conditionalFormatting>
  <conditionalFormatting sqref="T946">
    <cfRule type="expression" priority="1021" dxfId="2">
      <formula>AND(AND($W946&lt;TODAY(),$W946&lt;&gt;""),$X946="")</formula>
    </cfRule>
  </conditionalFormatting>
  <conditionalFormatting sqref="Z946">
    <cfRule type="dataBar" priority="1020">
      <dataBar>
        <cfvo type="min"/>
        <cfvo type="max"/>
        <color rgb="FF63C384"/>
      </dataBar>
    </cfRule>
    <cfRule type="dataBar" priority="1019">
      <dataBar>
        <cfvo type="min"/>
        <cfvo type="max"/>
        <color rgb="FF63C384"/>
      </dataBar>
    </cfRule>
  </conditionalFormatting>
  <conditionalFormatting sqref="T947">
    <cfRule type="expression" priority="1018" dxfId="2">
      <formula>AND(AND($W947&lt;TODAY(),$W947&lt;&gt;""),$X947="")</formula>
    </cfRule>
  </conditionalFormatting>
  <conditionalFormatting sqref="C947">
    <cfRule type="containsText" priority="1016" operator="containsText" dxfId="1" text="Einnahmen">
      <formula>NOT(ISERROR(SEARCH("Einnahmen",C947)))</formula>
    </cfRule>
    <cfRule type="containsText" priority="1017" operator="containsText" dxfId="0" text="Ausgaben">
      <formula>NOT(ISERROR(SEARCH("Ausgaben",C947)))</formula>
    </cfRule>
    <cfRule type="containsText" priority="1012" operator="containsText" dxfId="1" text="Einnahmen">
      <formula>NOT(ISERROR(SEARCH("Einnahmen",C947)))</formula>
    </cfRule>
    <cfRule type="containsText" priority="1013" operator="containsText" dxfId="0" text="Ausgaben">
      <formula>NOT(ISERROR(SEARCH("Ausgaben",C947)))</formula>
    </cfRule>
  </conditionalFormatting>
  <conditionalFormatting sqref="J947">
    <cfRule type="cellIs" priority="1015" operator="equal" dxfId="2034">
      <formula>"ja"</formula>
    </cfRule>
    <cfRule type="cellIs" priority="1014" operator="equal" dxfId="2034">
      <formula>"ja"</formula>
    </cfRule>
    <cfRule type="cellIs" priority="1011" operator="equal" dxfId="2034">
      <formula>"ja"</formula>
    </cfRule>
    <cfRule type="cellIs" priority="1008" operator="equal" dxfId="2034">
      <formula>"ja"</formula>
    </cfRule>
  </conditionalFormatting>
  <conditionalFormatting sqref="Z947">
    <cfRule type="dataBar" priority="1010">
      <dataBar>
        <cfvo type="min"/>
        <cfvo type="max"/>
        <color rgb="FF63C384"/>
      </dataBar>
    </cfRule>
    <cfRule type="dataBar" priority="1009">
      <dataBar>
        <cfvo type="min"/>
        <cfvo type="max"/>
        <color rgb="FF63C384"/>
      </dataBar>
    </cfRule>
    <cfRule type="dataBar" priority="1007">
      <dataBar>
        <cfvo type="min"/>
        <cfvo type="max"/>
        <color rgb="FF63C384"/>
      </dataBar>
    </cfRule>
    <cfRule type="dataBar" priority="1006">
      <dataBar>
        <cfvo type="min"/>
        <cfvo type="max"/>
        <color rgb="FF63C384"/>
      </dataBar>
    </cfRule>
  </conditionalFormatting>
  <conditionalFormatting sqref="T948">
    <cfRule type="expression" priority="1005" dxfId="2">
      <formula>AND(AND($W948&lt;TODAY(),$W948&lt;&gt;""),$X948="")</formula>
    </cfRule>
  </conditionalFormatting>
  <conditionalFormatting sqref="C948">
    <cfRule type="containsText" priority="1003" operator="containsText" dxfId="1" text="Einnahmen">
      <formula>NOT(ISERROR(SEARCH("Einnahmen",C948)))</formula>
    </cfRule>
    <cfRule type="containsText" priority="1004" operator="containsText" dxfId="0" text="Ausgaben">
      <formula>NOT(ISERROR(SEARCH("Ausgaben",C948)))</formula>
    </cfRule>
  </conditionalFormatting>
  <conditionalFormatting sqref="Z948">
    <cfRule type="dataBar" priority="1002">
      <dataBar>
        <cfvo type="min"/>
        <cfvo type="max"/>
        <color rgb="FF63C384"/>
      </dataBar>
    </cfRule>
    <cfRule type="dataBar" priority="1001">
      <dataBar>
        <cfvo type="min"/>
        <cfvo type="max"/>
        <color rgb="FF63C384"/>
      </dataBar>
    </cfRule>
    <cfRule type="dataBar" priority="1000">
      <dataBar>
        <cfvo type="min"/>
        <cfvo type="max"/>
        <color rgb="FF63C384"/>
      </dataBar>
    </cfRule>
    <cfRule type="dataBar" priority="999">
      <dataBar>
        <cfvo type="min"/>
        <cfvo type="max"/>
        <color rgb="FF63C384"/>
      </dataBar>
    </cfRule>
  </conditionalFormatting>
  <conditionalFormatting sqref="T949">
    <cfRule type="expression" priority="998" dxfId="2">
      <formula>AND(AND($W949&lt;TODAY(),$W949&lt;&gt;""),$X949="")</formula>
    </cfRule>
  </conditionalFormatting>
  <conditionalFormatting sqref="C949">
    <cfRule type="containsText" priority="996" operator="containsText" dxfId="1" text="Einnahmen">
      <formula>NOT(ISERROR(SEARCH("Einnahmen",C949)))</formula>
    </cfRule>
    <cfRule type="containsText" priority="997" operator="containsText" dxfId="0" text="Ausgaben">
      <formula>NOT(ISERROR(SEARCH("Ausgaben",C949)))</formula>
    </cfRule>
  </conditionalFormatting>
  <conditionalFormatting sqref="Z949">
    <cfRule type="dataBar" priority="995">
      <dataBar>
        <cfvo type="min"/>
        <cfvo type="max"/>
        <color rgb="FF63C384"/>
      </dataBar>
    </cfRule>
    <cfRule type="dataBar" priority="994">
      <dataBar>
        <cfvo type="min"/>
        <cfvo type="max"/>
        <color rgb="FF63C384"/>
      </dataBar>
    </cfRule>
  </conditionalFormatting>
  <conditionalFormatting sqref="J949">
    <cfRule type="cellIs" priority="993" operator="equal" dxfId="2034">
      <formula>"ja"</formula>
    </cfRule>
    <cfRule type="cellIs" priority="992" operator="equal" dxfId="2034">
      <formula>"ja"</formula>
    </cfRule>
  </conditionalFormatting>
  <conditionalFormatting sqref="T950">
    <cfRule type="expression" priority="991" dxfId="2">
      <formula>AND(AND($W950&lt;TODAY(),$W950&lt;&gt;""),$X950="")</formula>
    </cfRule>
  </conditionalFormatting>
  <conditionalFormatting sqref="J950">
    <cfRule type="cellIs" priority="990" operator="equal" dxfId="2034">
      <formula>"ja"</formula>
    </cfRule>
    <cfRule type="cellIs" priority="985" operator="equal" dxfId="2034">
      <formula>"ja"</formula>
    </cfRule>
  </conditionalFormatting>
  <conditionalFormatting sqref="Z950">
    <cfRule type="dataBar" priority="989">
      <dataBar>
        <cfvo type="min"/>
        <cfvo type="max"/>
        <color rgb="FF63C384"/>
      </dataBar>
    </cfRule>
    <cfRule type="dataBar" priority="988">
      <dataBar>
        <cfvo type="min"/>
        <cfvo type="max"/>
        <color rgb="FF63C384"/>
      </dataBar>
    </cfRule>
    <cfRule type="dataBar" priority="987">
      <dataBar>
        <cfvo type="min"/>
        <cfvo type="max"/>
        <color rgb="FF63C384"/>
      </dataBar>
    </cfRule>
    <cfRule type="dataBar" priority="986">
      <dataBar>
        <cfvo type="min"/>
        <cfvo type="max"/>
        <color rgb="FF63C384"/>
      </dataBar>
    </cfRule>
  </conditionalFormatting>
  <conditionalFormatting sqref="C950">
    <cfRule type="containsText" priority="983" operator="containsText" dxfId="1" text="Einnahmen">
      <formula>NOT(ISERROR(SEARCH("Einnahmen",C950)))</formula>
    </cfRule>
    <cfRule type="containsText" priority="984" operator="containsText" dxfId="0" text="Ausgaben">
      <formula>NOT(ISERROR(SEARCH("Ausgaben",C950)))</formula>
    </cfRule>
  </conditionalFormatting>
  <conditionalFormatting sqref="T951">
    <cfRule type="expression" priority="982" dxfId="2">
      <formula>AND(AND($W951&lt;TODAY(),$W951&lt;&gt;""),$X951="")</formula>
    </cfRule>
  </conditionalFormatting>
  <conditionalFormatting sqref="C951">
    <cfRule type="containsText" priority="980" operator="containsText" dxfId="1" text="Einnahmen">
      <formula>NOT(ISERROR(SEARCH("Einnahmen",C951)))</formula>
    </cfRule>
    <cfRule type="containsText" priority="981" operator="containsText" dxfId="0" text="Ausgaben">
      <formula>NOT(ISERROR(SEARCH("Ausgaben",C951)))</formula>
    </cfRule>
  </conditionalFormatting>
  <conditionalFormatting sqref="J951">
    <cfRule type="cellIs" priority="979" operator="equal" dxfId="2034">
      <formula>"ja"</formula>
    </cfRule>
  </conditionalFormatting>
  <conditionalFormatting sqref="Z951">
    <cfRule type="dataBar" priority="978">
      <dataBar>
        <cfvo type="min"/>
        <cfvo type="max"/>
        <color rgb="FF63C384"/>
      </dataBar>
    </cfRule>
    <cfRule type="dataBar" priority="977">
      <dataBar>
        <cfvo type="min"/>
        <cfvo type="max"/>
        <color rgb="FF63C384"/>
      </dataBar>
    </cfRule>
  </conditionalFormatting>
  <conditionalFormatting sqref="T952">
    <cfRule type="expression" priority="976" dxfId="2">
      <formula>AND(AND($W952&lt;TODAY(),$W952&lt;&gt;""),$X952="")</formula>
    </cfRule>
  </conditionalFormatting>
  <conditionalFormatting sqref="J952">
    <cfRule type="cellIs" priority="975" operator="equal" dxfId="2034">
      <formula>"ja"</formula>
    </cfRule>
  </conditionalFormatting>
  <conditionalFormatting sqref="C952">
    <cfRule type="containsText" priority="973" operator="containsText" dxfId="1" text="Einnahmen">
      <formula>NOT(ISERROR(SEARCH("Einnahmen",C952)))</formula>
    </cfRule>
    <cfRule type="containsText" priority="974" operator="containsText" dxfId="0" text="Ausgaben">
      <formula>NOT(ISERROR(SEARCH("Ausgaben",C952)))</formula>
    </cfRule>
  </conditionalFormatting>
  <conditionalFormatting sqref="Z952">
    <cfRule type="dataBar" priority="972">
      <dataBar>
        <cfvo type="min"/>
        <cfvo type="max"/>
        <color rgb="FF63C384"/>
      </dataBar>
    </cfRule>
    <cfRule type="dataBar" priority="971">
      <dataBar>
        <cfvo type="min"/>
        <cfvo type="max"/>
        <color rgb="FF63C384"/>
      </dataBar>
    </cfRule>
  </conditionalFormatting>
  <conditionalFormatting sqref="T953">
    <cfRule type="expression" priority="970" dxfId="2">
      <formula>AND(AND($W953&lt;TODAY(),$W953&lt;&gt;""),$X953="")</formula>
    </cfRule>
  </conditionalFormatting>
  <conditionalFormatting sqref="Z953">
    <cfRule type="dataBar" priority="969">
      <dataBar>
        <cfvo type="min"/>
        <cfvo type="max"/>
        <color rgb="FF63C384"/>
      </dataBar>
    </cfRule>
    <cfRule type="dataBar" priority="968">
      <dataBar>
        <cfvo type="min"/>
        <cfvo type="max"/>
        <color rgb="FF63C384"/>
      </dataBar>
    </cfRule>
  </conditionalFormatting>
  <conditionalFormatting sqref="J953">
    <cfRule type="cellIs" priority="967" operator="equal" dxfId="2034">
      <formula>"ja"</formula>
    </cfRule>
  </conditionalFormatting>
  <conditionalFormatting sqref="C953">
    <cfRule type="containsText" priority="965" operator="containsText" dxfId="1" text="Einnahmen">
      <formula>NOT(ISERROR(SEARCH("Einnahmen",C953)))</formula>
    </cfRule>
    <cfRule type="containsText" priority="966" operator="containsText" dxfId="0" text="Ausgaben">
      <formula>NOT(ISERROR(SEARCH("Ausgaben",C953)))</formula>
    </cfRule>
  </conditionalFormatting>
  <conditionalFormatting sqref="T954">
    <cfRule type="expression" priority="964" dxfId="2">
      <formula>AND(AND($W954&lt;TODAY(),$W954&lt;&gt;""),$X954="")</formula>
    </cfRule>
  </conditionalFormatting>
  <conditionalFormatting sqref="Z954">
    <cfRule type="dataBar" priority="963">
      <dataBar>
        <cfvo type="min"/>
        <cfvo type="max"/>
        <color rgb="FF63C384"/>
      </dataBar>
    </cfRule>
    <cfRule type="dataBar" priority="962">
      <dataBar>
        <cfvo type="min"/>
        <cfvo type="max"/>
        <color rgb="FF63C384"/>
      </dataBar>
    </cfRule>
  </conditionalFormatting>
  <conditionalFormatting sqref="C954">
    <cfRule type="containsText" priority="960" operator="containsText" dxfId="1" text="Einnahmen">
      <formula>NOT(ISERROR(SEARCH("Einnahmen",C954)))</formula>
    </cfRule>
    <cfRule type="containsText" priority="961" operator="containsText" dxfId="0" text="Ausgaben">
      <formula>NOT(ISERROR(SEARCH("Ausgaben",C954)))</formula>
    </cfRule>
    <cfRule type="containsText" priority="958" operator="containsText" dxfId="1" text="Einnahmen">
      <formula>NOT(ISERROR(SEARCH("Einnahmen",C954)))</formula>
    </cfRule>
    <cfRule type="containsText" priority="959" operator="containsText" dxfId="0" text="Ausgaben">
      <formula>NOT(ISERROR(SEARCH("Ausgaben",C954)))</formula>
    </cfRule>
  </conditionalFormatting>
  <conditionalFormatting sqref="T955">
    <cfRule type="expression" priority="957" dxfId="2">
      <formula>AND(AND($W955&lt;TODAY(),$W955&lt;&gt;""),$X955="")</formula>
    </cfRule>
  </conditionalFormatting>
  <conditionalFormatting sqref="C955">
    <cfRule type="containsText" priority="955" operator="containsText" dxfId="1" text="Einnahmen">
      <formula>NOT(ISERROR(SEARCH("Einnahmen",C955)))</formula>
    </cfRule>
    <cfRule type="containsText" priority="956" operator="containsText" dxfId="0" text="Ausgaben">
      <formula>NOT(ISERROR(SEARCH("Ausgaben",C955)))</formula>
    </cfRule>
  </conditionalFormatting>
  <conditionalFormatting sqref="J955">
    <cfRule type="cellIs" priority="954" operator="equal" dxfId="2034">
      <formula>"ja"</formula>
    </cfRule>
  </conditionalFormatting>
  <conditionalFormatting sqref="Z955">
    <cfRule type="dataBar" priority="953">
      <dataBar>
        <cfvo type="min"/>
        <cfvo type="max"/>
        <color rgb="FF63C384"/>
      </dataBar>
    </cfRule>
    <cfRule type="dataBar" priority="952">
      <dataBar>
        <cfvo type="min"/>
        <cfvo type="max"/>
        <color rgb="FF63C384"/>
      </dataBar>
    </cfRule>
  </conditionalFormatting>
  <conditionalFormatting sqref="T956">
    <cfRule type="expression" priority="951" dxfId="2">
      <formula>AND(AND($W956&lt;TODAY(),$W956&lt;&gt;""),$X956="")</formula>
    </cfRule>
  </conditionalFormatting>
  <conditionalFormatting sqref="C956">
    <cfRule type="containsText" priority="949" operator="containsText" dxfId="1" text="Einnahmen">
      <formula>NOT(ISERROR(SEARCH("Einnahmen",C956)))</formula>
    </cfRule>
    <cfRule type="containsText" priority="950" operator="containsText" dxfId="0" text="Ausgaben">
      <formula>NOT(ISERROR(SEARCH("Ausgaben",C956)))</formula>
    </cfRule>
    <cfRule type="containsText" priority="935" operator="containsText" dxfId="1" text="Einnahmen">
      <formula>NOT(ISERROR(SEARCH("Einnahmen",C956)))</formula>
    </cfRule>
    <cfRule type="containsText" priority="936" operator="containsText" dxfId="0" text="Ausgaben">
      <formula>NOT(ISERROR(SEARCH("Ausgaben",C956)))</formula>
    </cfRule>
    <cfRule type="containsText" priority="933" operator="containsText" dxfId="1" text="Einnahmen">
      <formula>NOT(ISERROR(SEARCH("Einnahmen",C956)))</formula>
    </cfRule>
    <cfRule type="containsText" priority="934" operator="containsText" dxfId="0" text="Ausgaben">
      <formula>NOT(ISERROR(SEARCH("Ausgaben",C956)))</formula>
    </cfRule>
  </conditionalFormatting>
  <conditionalFormatting sqref="J956">
    <cfRule type="cellIs" priority="948" operator="equal" dxfId="2034">
      <formula>"ja"</formula>
    </cfRule>
    <cfRule type="cellIs" priority="939" operator="equal" dxfId="2034">
      <formula>"ja"</formula>
    </cfRule>
    <cfRule type="cellIs" priority="945" operator="equal" dxfId="2034">
      <formula>"ja"</formula>
    </cfRule>
    <cfRule type="cellIs" priority="942" operator="equal" dxfId="2034">
      <formula>"ja"</formula>
    </cfRule>
    <cfRule type="cellIs" priority="932" operator="equal" dxfId="2034">
      <formula>"ja"</formula>
    </cfRule>
    <cfRule type="cellIs" priority="931" operator="equal" dxfId="2034">
      <formula>"ja"</formula>
    </cfRule>
  </conditionalFormatting>
  <conditionalFormatting sqref="Z956">
    <cfRule type="dataBar" priority="947">
      <dataBar>
        <cfvo type="min"/>
        <cfvo type="max"/>
        <color rgb="FF63C384"/>
      </dataBar>
    </cfRule>
    <cfRule type="dataBar" priority="946">
      <dataBar>
        <cfvo type="min"/>
        <cfvo type="max"/>
        <color rgb="FF63C384"/>
      </dataBar>
    </cfRule>
    <cfRule type="dataBar" priority="944">
      <dataBar>
        <cfvo type="min"/>
        <cfvo type="max"/>
        <color rgb="FF63C384"/>
      </dataBar>
    </cfRule>
    <cfRule type="dataBar" priority="943">
      <dataBar>
        <cfvo type="min"/>
        <cfvo type="max"/>
        <color rgb="FF63C384"/>
      </dataBar>
    </cfRule>
    <cfRule type="dataBar" priority="941">
      <dataBar>
        <cfvo type="min"/>
        <cfvo type="max"/>
        <color rgb="FF63C384"/>
      </dataBar>
    </cfRule>
    <cfRule type="dataBar" priority="940">
      <dataBar>
        <cfvo type="min"/>
        <cfvo type="max"/>
        <color rgb="FF63C384"/>
      </dataBar>
    </cfRule>
    <cfRule type="dataBar" priority="938">
      <dataBar>
        <cfvo type="min"/>
        <cfvo type="max"/>
        <color rgb="FF63C384"/>
      </dataBar>
    </cfRule>
    <cfRule type="dataBar" priority="937">
      <dataBar>
        <cfvo type="min"/>
        <cfvo type="max"/>
        <color rgb="FF63C384"/>
      </dataBar>
    </cfRule>
  </conditionalFormatting>
  <conditionalFormatting sqref="T957:T958">
    <cfRule type="expression" priority="930" dxfId="2">
      <formula>AND(AND($W957&lt;TODAY(),$W957&lt;&gt;""),$X957="")</formula>
    </cfRule>
  </conditionalFormatting>
  <conditionalFormatting sqref="C957 C969 C988">
    <cfRule type="containsText" priority="928" operator="containsText" dxfId="1" text="Einnahmen">
      <formula>NOT(ISERROR(SEARCH("Einnahmen",C957)))</formula>
    </cfRule>
    <cfRule type="containsText" priority="929" operator="containsText" dxfId="0" text="Ausgaben">
      <formula>NOT(ISERROR(SEARCH("Ausgaben",C957)))</formula>
    </cfRule>
  </conditionalFormatting>
  <conditionalFormatting sqref="J957">
    <cfRule type="cellIs" priority="927" operator="equal" dxfId="2034">
      <formula>"ja"</formula>
    </cfRule>
    <cfRule type="cellIs" priority="925" operator="equal" dxfId="2034">
      <formula>"ja"</formula>
    </cfRule>
  </conditionalFormatting>
  <conditionalFormatting sqref="Z957:Z958">
    <cfRule type="dataBar" priority="926">
      <dataBar>
        <cfvo type="min"/>
        <cfvo type="max"/>
        <color rgb="FF63C384"/>
      </dataBar>
    </cfRule>
  </conditionalFormatting>
  <conditionalFormatting sqref="T959">
    <cfRule type="expression" priority="924" dxfId="2">
      <formula>AND(AND($W959&lt;TODAY(),$W959&lt;&gt;""),$X959="")</formula>
    </cfRule>
  </conditionalFormatting>
  <conditionalFormatting sqref="J959">
    <cfRule type="cellIs" priority="923" operator="equal" dxfId="2034">
      <formula>"ja"</formula>
    </cfRule>
  </conditionalFormatting>
  <conditionalFormatting sqref="C959">
    <cfRule type="containsText" priority="921" operator="containsText" dxfId="1" text="Einnahmen">
      <formula>NOT(ISERROR(SEARCH("Einnahmen",C959)))</formula>
    </cfRule>
    <cfRule type="containsText" priority="922" operator="containsText" dxfId="0" text="Ausgaben">
      <formula>NOT(ISERROR(SEARCH("Ausgaben",C959)))</formula>
    </cfRule>
  </conditionalFormatting>
  <conditionalFormatting sqref="Z959">
    <cfRule type="dataBar" priority="920">
      <dataBar>
        <cfvo type="min"/>
        <cfvo type="max"/>
        <color rgb="FF63C384"/>
      </dataBar>
    </cfRule>
    <cfRule type="dataBar" priority="919">
      <dataBar>
        <cfvo type="min"/>
        <cfvo type="max"/>
        <color rgb="FF63C384"/>
      </dataBar>
    </cfRule>
  </conditionalFormatting>
  <conditionalFormatting sqref="T960">
    <cfRule type="expression" priority="918" dxfId="2">
      <formula>AND(AND($W960&lt;TODAY(),$W960&lt;&gt;""),$X960="")</formula>
    </cfRule>
  </conditionalFormatting>
  <conditionalFormatting sqref="C960">
    <cfRule type="containsText" priority="916" operator="containsText" dxfId="1" text="Einnahmen">
      <formula>NOT(ISERROR(SEARCH("Einnahmen",C960)))</formula>
    </cfRule>
    <cfRule type="containsText" priority="917" operator="containsText" dxfId="0" text="Ausgaben">
      <formula>NOT(ISERROR(SEARCH("Ausgaben",C960)))</formula>
    </cfRule>
    <cfRule type="containsText" priority="912" operator="containsText" dxfId="1" text="Einnahmen">
      <formula>NOT(ISERROR(SEARCH("Einnahmen",C960)))</formula>
    </cfRule>
    <cfRule type="containsText" priority="913" operator="containsText" dxfId="0" text="Ausgaben">
      <formula>NOT(ISERROR(SEARCH("Ausgaben",C960)))</formula>
    </cfRule>
  </conditionalFormatting>
  <conditionalFormatting sqref="J960">
    <cfRule type="cellIs" priority="915" operator="equal" dxfId="2034">
      <formula>"ja"</formula>
    </cfRule>
    <cfRule type="cellIs" priority="914" operator="equal" dxfId="2034">
      <formula>"ja"</formula>
    </cfRule>
    <cfRule type="cellIs" priority="911" operator="equal" dxfId="2034">
      <formula>"ja"</formula>
    </cfRule>
    <cfRule type="cellIs" priority="908" operator="equal" dxfId="2034">
      <formula>"ja"</formula>
    </cfRule>
  </conditionalFormatting>
  <conditionalFormatting sqref="Z960">
    <cfRule type="dataBar" priority="910">
      <dataBar>
        <cfvo type="min"/>
        <cfvo type="max"/>
        <color rgb="FF63C384"/>
      </dataBar>
    </cfRule>
    <cfRule type="dataBar" priority="909">
      <dataBar>
        <cfvo type="min"/>
        <cfvo type="max"/>
        <color rgb="FF63C384"/>
      </dataBar>
    </cfRule>
    <cfRule type="dataBar" priority="907">
      <dataBar>
        <cfvo type="min"/>
        <cfvo type="max"/>
        <color rgb="FF63C384"/>
      </dataBar>
    </cfRule>
    <cfRule type="dataBar" priority="906">
      <dataBar>
        <cfvo type="min"/>
        <cfvo type="max"/>
        <color rgb="FF63C384"/>
      </dataBar>
    </cfRule>
  </conditionalFormatting>
  <conditionalFormatting sqref="T961">
    <cfRule type="expression" priority="905" dxfId="2">
      <formula>AND(AND($W961&lt;TODAY(),$W961&lt;&gt;""),$X961="")</formula>
    </cfRule>
  </conditionalFormatting>
  <conditionalFormatting sqref="C961">
    <cfRule type="containsText" priority="903" operator="containsText" dxfId="1" text="Einnahmen">
      <formula>NOT(ISERROR(SEARCH("Einnahmen",C961)))</formula>
    </cfRule>
    <cfRule type="containsText" priority="904" operator="containsText" dxfId="0" text="Ausgaben">
      <formula>NOT(ISERROR(SEARCH("Ausgaben",C961)))</formula>
    </cfRule>
  </conditionalFormatting>
  <conditionalFormatting sqref="Z961">
    <cfRule type="dataBar" priority="902">
      <dataBar>
        <cfvo type="min"/>
        <cfvo type="max"/>
        <color rgb="FF63C384"/>
      </dataBar>
    </cfRule>
    <cfRule type="dataBar" priority="901">
      <dataBar>
        <cfvo type="min"/>
        <cfvo type="max"/>
        <color rgb="FF63C384"/>
      </dataBar>
    </cfRule>
    <cfRule type="dataBar" priority="900">
      <dataBar>
        <cfvo type="min"/>
        <cfvo type="max"/>
        <color rgb="FF63C384"/>
      </dataBar>
    </cfRule>
    <cfRule type="dataBar" priority="899">
      <dataBar>
        <cfvo type="min"/>
        <cfvo type="max"/>
        <color rgb="FF63C384"/>
      </dataBar>
    </cfRule>
  </conditionalFormatting>
  <conditionalFormatting sqref="T962">
    <cfRule type="expression" priority="898" dxfId="2">
      <formula>AND(AND($W962&lt;TODAY(),$W962&lt;&gt;""),$X962="")</formula>
    </cfRule>
  </conditionalFormatting>
  <conditionalFormatting sqref="C962">
    <cfRule type="containsText" priority="896" operator="containsText" dxfId="1" text="Einnahmen">
      <formula>NOT(ISERROR(SEARCH("Einnahmen",C962)))</formula>
    </cfRule>
    <cfRule type="containsText" priority="897" operator="containsText" dxfId="0" text="Ausgaben">
      <formula>NOT(ISERROR(SEARCH("Ausgaben",C962)))</formula>
    </cfRule>
    <cfRule type="containsText" priority="894" operator="containsText" dxfId="1" text="Einnahmen">
      <formula>NOT(ISERROR(SEARCH("Einnahmen",C962)))</formula>
    </cfRule>
    <cfRule type="containsText" priority="895" operator="containsText" dxfId="0" text="Ausgaben">
      <formula>NOT(ISERROR(SEARCH("Ausgaben",C962)))</formula>
    </cfRule>
  </conditionalFormatting>
  <conditionalFormatting sqref="J962">
    <cfRule type="cellIs" priority="893" operator="equal" dxfId="2034">
      <formula>"ja"</formula>
    </cfRule>
    <cfRule type="cellIs" priority="891" operator="equal" dxfId="2034">
      <formula>"ja"</formula>
    </cfRule>
  </conditionalFormatting>
  <conditionalFormatting sqref="Z962">
    <cfRule type="dataBar" priority="892">
      <dataBar>
        <cfvo type="min"/>
        <cfvo type="max"/>
        <color rgb="FF63C384"/>
      </dataBar>
    </cfRule>
  </conditionalFormatting>
  <conditionalFormatting sqref="T963">
    <cfRule type="expression" priority="890" dxfId="2">
      <formula>AND(AND($W963&lt;TODAY(),$W963&lt;&gt;""),$X963="")</formula>
    </cfRule>
  </conditionalFormatting>
  <conditionalFormatting sqref="J963">
    <cfRule type="cellIs" priority="889" operator="equal" dxfId="2034">
      <formula>"ja"</formula>
    </cfRule>
    <cfRule type="cellIs" priority="887" operator="equal" dxfId="2034">
      <formula>"ja"</formula>
    </cfRule>
    <cfRule type="cellIs" priority="886" operator="equal" dxfId="2034">
      <formula>"ja"</formula>
    </cfRule>
  </conditionalFormatting>
  <conditionalFormatting sqref="Z963">
    <cfRule type="dataBar" priority="888">
      <dataBar>
        <cfvo type="min"/>
        <cfvo type="max"/>
        <color rgb="FF63C384"/>
      </dataBar>
    </cfRule>
  </conditionalFormatting>
  <conditionalFormatting sqref="C963">
    <cfRule type="containsText" priority="884" operator="containsText" dxfId="1" text="Einnahmen">
      <formula>NOT(ISERROR(SEARCH("Einnahmen",C963)))</formula>
    </cfRule>
    <cfRule type="containsText" priority="885" operator="containsText" dxfId="0" text="Ausgaben">
      <formula>NOT(ISERROR(SEARCH("Ausgaben",C963)))</formula>
    </cfRule>
    <cfRule type="containsText" priority="882" operator="containsText" dxfId="1" text="Einnahmen">
      <formula>NOT(ISERROR(SEARCH("Einnahmen",C963)))</formula>
    </cfRule>
    <cfRule type="containsText" priority="883" operator="containsText" dxfId="0" text="Ausgaben">
      <formula>NOT(ISERROR(SEARCH("Ausgaben",C963)))</formula>
    </cfRule>
  </conditionalFormatting>
  <conditionalFormatting sqref="T964">
    <cfRule type="expression" priority="881" dxfId="2">
      <formula>AND(AND($W964&lt;TODAY(),$W964&lt;&gt;""),$X964="")</formula>
    </cfRule>
  </conditionalFormatting>
  <conditionalFormatting sqref="J964">
    <cfRule type="cellIs" priority="880" operator="equal" dxfId="2034">
      <formula>"ja"</formula>
    </cfRule>
    <cfRule type="cellIs" priority="875" operator="equal" dxfId="2034">
      <formula>"ja"</formula>
    </cfRule>
  </conditionalFormatting>
  <conditionalFormatting sqref="Z964">
    <cfRule type="dataBar" priority="879">
      <dataBar>
        <cfvo type="min"/>
        <cfvo type="max"/>
        <color rgb="FF63C384"/>
      </dataBar>
    </cfRule>
    <cfRule type="dataBar" priority="878">
      <dataBar>
        <cfvo type="min"/>
        <cfvo type="max"/>
        <color rgb="FF63C384"/>
      </dataBar>
    </cfRule>
    <cfRule type="dataBar" priority="877">
      <dataBar>
        <cfvo type="min"/>
        <cfvo type="max"/>
        <color rgb="FF63C384"/>
      </dataBar>
    </cfRule>
    <cfRule type="dataBar" priority="876">
      <dataBar>
        <cfvo type="min"/>
        <cfvo type="max"/>
        <color rgb="FF63C384"/>
      </dataBar>
    </cfRule>
  </conditionalFormatting>
  <conditionalFormatting sqref="C964">
    <cfRule type="containsText" priority="873" operator="containsText" dxfId="1" text="Einnahmen">
      <formula>NOT(ISERROR(SEARCH("Einnahmen",C964)))</formula>
    </cfRule>
    <cfRule type="containsText" priority="874" operator="containsText" dxfId="0" text="Ausgaben">
      <formula>NOT(ISERROR(SEARCH("Ausgaben",C964)))</formula>
    </cfRule>
  </conditionalFormatting>
  <conditionalFormatting sqref="T965">
    <cfRule type="expression" priority="872" dxfId="2">
      <formula>AND(AND($W965&lt;TODAY(),$W965&lt;&gt;""),$X965="")</formula>
    </cfRule>
  </conditionalFormatting>
  <conditionalFormatting sqref="C965">
    <cfRule type="containsText" priority="870" operator="containsText" dxfId="1" text="Einnahmen">
      <formula>NOT(ISERROR(SEARCH("Einnahmen",C965)))</formula>
    </cfRule>
    <cfRule type="containsText" priority="871" operator="containsText" dxfId="0" text="Ausgaben">
      <formula>NOT(ISERROR(SEARCH("Ausgaben",C965)))</formula>
    </cfRule>
  </conditionalFormatting>
  <conditionalFormatting sqref="Z965">
    <cfRule type="dataBar" priority="869">
      <dataBar>
        <cfvo type="min"/>
        <cfvo type="max"/>
        <color rgb="FF63C384"/>
      </dataBar>
    </cfRule>
    <cfRule type="dataBar" priority="868">
      <dataBar>
        <cfvo type="min"/>
        <cfvo type="max"/>
        <color rgb="FF63C384"/>
      </dataBar>
    </cfRule>
  </conditionalFormatting>
  <conditionalFormatting sqref="J965">
    <cfRule type="cellIs" priority="867" operator="equal" dxfId="2034">
      <formula>"ja"</formula>
    </cfRule>
    <cfRule type="cellIs" priority="866" operator="equal" dxfId="2034">
      <formula>"ja"</formula>
    </cfRule>
  </conditionalFormatting>
  <conditionalFormatting sqref="T966">
    <cfRule type="expression" priority="865" dxfId="2">
      <formula>AND(AND($W966&lt;TODAY(),$W966&lt;&gt;""),$X966="")</formula>
    </cfRule>
  </conditionalFormatting>
  <conditionalFormatting sqref="J966">
    <cfRule type="cellIs" priority="864" operator="equal" dxfId="2034">
      <formula>"ja"</formula>
    </cfRule>
  </conditionalFormatting>
  <conditionalFormatting sqref="C966">
    <cfRule type="containsText" priority="862" operator="containsText" dxfId="1" text="Einnahmen">
      <formula>NOT(ISERROR(SEARCH("Einnahmen",C966)))</formula>
    </cfRule>
    <cfRule type="containsText" priority="863" operator="containsText" dxfId="0" text="Ausgaben">
      <formula>NOT(ISERROR(SEARCH("Ausgaben",C966)))</formula>
    </cfRule>
  </conditionalFormatting>
  <conditionalFormatting sqref="Z966">
    <cfRule type="dataBar" priority="861">
      <dataBar>
        <cfvo type="min"/>
        <cfvo type="max"/>
        <color rgb="FF63C384"/>
      </dataBar>
    </cfRule>
    <cfRule type="dataBar" priority="860">
      <dataBar>
        <cfvo type="min"/>
        <cfvo type="max"/>
        <color rgb="FF63C384"/>
      </dataBar>
    </cfRule>
  </conditionalFormatting>
  <conditionalFormatting sqref="T967">
    <cfRule type="expression" priority="859" dxfId="2">
      <formula>AND(AND($W967&lt;TODAY(),$W967&lt;&gt;""),$X967="")</formula>
    </cfRule>
  </conditionalFormatting>
  <conditionalFormatting sqref="Z967">
    <cfRule type="dataBar" priority="858">
      <dataBar>
        <cfvo type="min"/>
        <cfvo type="max"/>
        <color rgb="FF63C384"/>
      </dataBar>
    </cfRule>
    <cfRule type="dataBar" priority="857">
      <dataBar>
        <cfvo type="min"/>
        <cfvo type="max"/>
        <color rgb="FF63C384"/>
      </dataBar>
    </cfRule>
  </conditionalFormatting>
  <conditionalFormatting sqref="J967">
    <cfRule type="cellIs" priority="856" operator="equal" dxfId="2034">
      <formula>"ja"</formula>
    </cfRule>
  </conditionalFormatting>
  <conditionalFormatting sqref="C967">
    <cfRule type="containsText" priority="854" operator="containsText" dxfId="1" text="Einnahmen">
      <formula>NOT(ISERROR(SEARCH("Einnahmen",C967)))</formula>
    </cfRule>
    <cfRule type="containsText" priority="855" operator="containsText" dxfId="0" text="Ausgaben">
      <formula>NOT(ISERROR(SEARCH("Ausgaben",C967)))</formula>
    </cfRule>
  </conditionalFormatting>
  <conditionalFormatting sqref="T968">
    <cfRule type="expression" priority="853" dxfId="2">
      <formula>AND(AND($W968&lt;TODAY(),$W968&lt;&gt;""),$X968="")</formula>
    </cfRule>
  </conditionalFormatting>
  <conditionalFormatting sqref="C968">
    <cfRule type="containsText" priority="851" operator="containsText" dxfId="1" text="Einnahmen">
      <formula>NOT(ISERROR(SEARCH("Einnahmen",C968)))</formula>
    </cfRule>
    <cfRule type="containsText" priority="852" operator="containsText" dxfId="0" text="Ausgaben">
      <formula>NOT(ISERROR(SEARCH("Ausgaben",C968)))</formula>
    </cfRule>
  </conditionalFormatting>
  <conditionalFormatting sqref="J968">
    <cfRule type="cellIs" priority="850" operator="equal" dxfId="2034">
      <formula>"ja"</formula>
    </cfRule>
  </conditionalFormatting>
  <conditionalFormatting sqref="Z968">
    <cfRule type="dataBar" priority="849">
      <dataBar>
        <cfvo type="min"/>
        <cfvo type="max"/>
        <color rgb="FF63C384"/>
      </dataBar>
    </cfRule>
    <cfRule type="dataBar" priority="848">
      <dataBar>
        <cfvo type="min"/>
        <cfvo type="max"/>
        <color rgb="FF63C384"/>
      </dataBar>
    </cfRule>
  </conditionalFormatting>
  <conditionalFormatting sqref="T969">
    <cfRule type="expression" priority="847" dxfId="2">
      <formula>AND(AND($W969&lt;TODAY(),$W969&lt;&gt;""),$X969="")</formula>
    </cfRule>
  </conditionalFormatting>
  <conditionalFormatting sqref="J969">
    <cfRule type="cellIs" priority="846" operator="equal" dxfId="2034">
      <formula>"ja"</formula>
    </cfRule>
    <cfRule type="cellIs" priority="844" operator="equal" dxfId="2034">
      <formula>"ja"</formula>
    </cfRule>
  </conditionalFormatting>
  <conditionalFormatting sqref="Z969">
    <cfRule type="dataBar" priority="845">
      <dataBar>
        <cfvo type="min"/>
        <cfvo type="max"/>
        <color rgb="FF63C384"/>
      </dataBar>
    </cfRule>
  </conditionalFormatting>
  <conditionalFormatting sqref="T970">
    <cfRule type="expression" priority="843" dxfId="2">
      <formula>AND(AND($W970&lt;TODAY(),$W970&lt;&gt;""),$X970="")</formula>
    </cfRule>
  </conditionalFormatting>
  <conditionalFormatting sqref="C970">
    <cfRule type="containsText" priority="841" operator="containsText" dxfId="1" text="Einnahmen">
      <formula>NOT(ISERROR(SEARCH("Einnahmen",C970)))</formula>
    </cfRule>
    <cfRule type="containsText" priority="842" operator="containsText" dxfId="0" text="Ausgaben">
      <formula>NOT(ISERROR(SEARCH("Ausgaben",C970)))</formula>
    </cfRule>
    <cfRule type="containsText" priority="827" operator="containsText" dxfId="1" text="Einnahmen">
      <formula>NOT(ISERROR(SEARCH("Einnahmen",C970)))</formula>
    </cfRule>
    <cfRule type="containsText" priority="828" operator="containsText" dxfId="0" text="Ausgaben">
      <formula>NOT(ISERROR(SEARCH("Ausgaben",C970)))</formula>
    </cfRule>
    <cfRule type="containsText" priority="825" operator="containsText" dxfId="1" text="Einnahmen">
      <formula>NOT(ISERROR(SEARCH("Einnahmen",C970)))</formula>
    </cfRule>
    <cfRule type="containsText" priority="826" operator="containsText" dxfId="0" text="Ausgaben">
      <formula>NOT(ISERROR(SEARCH("Ausgaben",C970)))</formula>
    </cfRule>
  </conditionalFormatting>
  <conditionalFormatting sqref="J970">
    <cfRule type="cellIs" priority="840" operator="equal" dxfId="2034">
      <formula>"ja"</formula>
    </cfRule>
    <cfRule type="cellIs" priority="831" operator="equal" dxfId="2034">
      <formula>"ja"</formula>
    </cfRule>
    <cfRule type="cellIs" priority="837" operator="equal" dxfId="2034">
      <formula>"ja"</formula>
    </cfRule>
    <cfRule type="cellIs" priority="834" operator="equal" dxfId="2034">
      <formula>"ja"</formula>
    </cfRule>
    <cfRule type="cellIs" priority="824" operator="equal" dxfId="2034">
      <formula>"ja"</formula>
    </cfRule>
    <cfRule type="cellIs" priority="823" operator="equal" dxfId="2034">
      <formula>"ja"</formula>
    </cfRule>
  </conditionalFormatting>
  <conditionalFormatting sqref="Z970">
    <cfRule type="dataBar" priority="839">
      <dataBar>
        <cfvo type="min"/>
        <cfvo type="max"/>
        <color rgb="FF63C384"/>
      </dataBar>
    </cfRule>
    <cfRule type="dataBar" priority="838">
      <dataBar>
        <cfvo type="min"/>
        <cfvo type="max"/>
        <color rgb="FF63C384"/>
      </dataBar>
    </cfRule>
    <cfRule type="dataBar" priority="836">
      <dataBar>
        <cfvo type="min"/>
        <cfvo type="max"/>
        <color rgb="FF63C384"/>
      </dataBar>
    </cfRule>
    <cfRule type="dataBar" priority="835">
      <dataBar>
        <cfvo type="min"/>
        <cfvo type="max"/>
        <color rgb="FF63C384"/>
      </dataBar>
    </cfRule>
    <cfRule type="dataBar" priority="833">
      <dataBar>
        <cfvo type="min"/>
        <cfvo type="max"/>
        <color rgb="FF63C384"/>
      </dataBar>
    </cfRule>
    <cfRule type="dataBar" priority="832">
      <dataBar>
        <cfvo type="min"/>
        <cfvo type="max"/>
        <color rgb="FF63C384"/>
      </dataBar>
    </cfRule>
    <cfRule type="dataBar" priority="830">
      <dataBar>
        <cfvo type="min"/>
        <cfvo type="max"/>
        <color rgb="FF63C384"/>
      </dataBar>
    </cfRule>
    <cfRule type="dataBar" priority="829">
      <dataBar>
        <cfvo type="min"/>
        <cfvo type="max"/>
        <color rgb="FF63C384"/>
      </dataBar>
    </cfRule>
  </conditionalFormatting>
  <conditionalFormatting sqref="T971">
    <cfRule type="expression" priority="822" dxfId="2">
      <formula>AND(AND($W971&lt;TODAY(),$W971&lt;&gt;""),$X971="")</formula>
    </cfRule>
  </conditionalFormatting>
  <conditionalFormatting sqref="Z971">
    <cfRule type="dataBar" priority="821">
      <dataBar>
        <cfvo type="min"/>
        <cfvo type="max"/>
        <color rgb="FF63C384"/>
      </dataBar>
    </cfRule>
    <cfRule type="dataBar" priority="820">
      <dataBar>
        <cfvo type="min"/>
        <cfvo type="max"/>
        <color rgb="FF63C384"/>
      </dataBar>
    </cfRule>
  </conditionalFormatting>
  <conditionalFormatting sqref="C971">
    <cfRule type="containsText" priority="818" operator="containsText" dxfId="1" text="Einnahmen">
      <formula>NOT(ISERROR(SEARCH("Einnahmen",C971)))</formula>
    </cfRule>
    <cfRule type="containsText" priority="819" operator="containsText" dxfId="0" text="Ausgaben">
      <formula>NOT(ISERROR(SEARCH("Ausgaben",C971)))</formula>
    </cfRule>
    <cfRule type="containsText" priority="816" operator="containsText" dxfId="1" text="Einnahmen">
      <formula>NOT(ISERROR(SEARCH("Einnahmen",C971)))</formula>
    </cfRule>
    <cfRule type="containsText" priority="817" operator="containsText" dxfId="0" text="Ausgaben">
      <formula>NOT(ISERROR(SEARCH("Ausgaben",C971)))</formula>
    </cfRule>
  </conditionalFormatting>
  <conditionalFormatting sqref="T972">
    <cfRule type="expression" priority="815" dxfId="2">
      <formula>AND(AND($W972&lt;TODAY(),$W972&lt;&gt;""),$X972="")</formula>
    </cfRule>
  </conditionalFormatting>
  <conditionalFormatting sqref="C972">
    <cfRule type="containsText" priority="813" operator="containsText" dxfId="1" text="Einnahmen">
      <formula>NOT(ISERROR(SEARCH("Einnahmen",C972)))</formula>
    </cfRule>
    <cfRule type="containsText" priority="814" operator="containsText" dxfId="0" text="Ausgaben">
      <formula>NOT(ISERROR(SEARCH("Ausgaben",C972)))</formula>
    </cfRule>
    <cfRule type="containsText" priority="811" operator="containsText" dxfId="1" text="Einnahmen">
      <formula>NOT(ISERROR(SEARCH("Einnahmen",C972)))</formula>
    </cfRule>
    <cfRule type="containsText" priority="812" operator="containsText" dxfId="0" text="Ausgaben">
      <formula>NOT(ISERROR(SEARCH("Ausgaben",C972)))</formula>
    </cfRule>
  </conditionalFormatting>
  <conditionalFormatting sqref="J972">
    <cfRule type="cellIs" priority="810" operator="equal" dxfId="2034">
      <formula>"ja"</formula>
    </cfRule>
    <cfRule type="cellIs" priority="808" operator="equal" dxfId="2034">
      <formula>"ja"</formula>
    </cfRule>
  </conditionalFormatting>
  <conditionalFormatting sqref="Z972">
    <cfRule type="dataBar" priority="809">
      <dataBar>
        <cfvo type="min"/>
        <cfvo type="max"/>
        <color rgb="FF63C384"/>
      </dataBar>
    </cfRule>
  </conditionalFormatting>
  <conditionalFormatting sqref="T973">
    <cfRule type="expression" priority="807" dxfId="2">
      <formula>AND(AND($W973&lt;TODAY(),$W973&lt;&gt;""),$X973="")</formula>
    </cfRule>
  </conditionalFormatting>
  <conditionalFormatting sqref="Z973">
    <cfRule type="dataBar" priority="806">
      <dataBar>
        <cfvo type="min"/>
        <cfvo type="max"/>
        <color rgb="FF63C384"/>
      </dataBar>
    </cfRule>
    <cfRule type="dataBar" priority="805">
      <dataBar>
        <cfvo type="min"/>
        <cfvo type="max"/>
        <color rgb="FF63C384"/>
      </dataBar>
    </cfRule>
  </conditionalFormatting>
  <conditionalFormatting sqref="C973">
    <cfRule type="containsText" priority="803" operator="containsText" dxfId="1" text="Einnahmen">
      <formula>NOT(ISERROR(SEARCH("Einnahmen",C973)))</formula>
    </cfRule>
    <cfRule type="containsText" priority="804" operator="containsText" dxfId="0" text="Ausgaben">
      <formula>NOT(ISERROR(SEARCH("Ausgaben",C973)))</formula>
    </cfRule>
    <cfRule type="containsText" priority="801" operator="containsText" dxfId="1" text="Einnahmen">
      <formula>NOT(ISERROR(SEARCH("Einnahmen",C973)))</formula>
    </cfRule>
    <cfRule type="containsText" priority="802" operator="containsText" dxfId="0" text="Ausgaben">
      <formula>NOT(ISERROR(SEARCH("Ausgaben",C973)))</formula>
    </cfRule>
  </conditionalFormatting>
  <conditionalFormatting sqref="C974">
    <cfRule type="containsText" priority="799" operator="containsText" dxfId="1" text="Einnahmen">
      <formula>NOT(ISERROR(SEARCH("Einnahmen",C974)))</formula>
    </cfRule>
    <cfRule type="containsText" priority="800" operator="containsText" dxfId="0" text="Ausgaben">
      <formula>NOT(ISERROR(SEARCH("Ausgaben",C974)))</formula>
    </cfRule>
  </conditionalFormatting>
  <conditionalFormatting sqref="T974">
    <cfRule type="expression" priority="798" dxfId="2">
      <formula>AND(AND($W974&lt;TODAY(),$W974&lt;&gt;""),$X974="")</formula>
    </cfRule>
  </conditionalFormatting>
  <conditionalFormatting sqref="Z974">
    <cfRule type="dataBar" priority="797">
      <dataBar>
        <cfvo type="min"/>
        <cfvo type="max"/>
        <color rgb="FF63C384"/>
      </dataBar>
    </cfRule>
    <cfRule type="dataBar" priority="796">
      <dataBar>
        <cfvo type="min"/>
        <cfvo type="max"/>
        <color rgb="FF63C384"/>
      </dataBar>
    </cfRule>
  </conditionalFormatting>
  <conditionalFormatting sqref="T975">
    <cfRule type="expression" priority="795" dxfId="2">
      <formula>AND(AND($W975&lt;TODAY(),$W975&lt;&gt;""),$X975="")</formula>
    </cfRule>
  </conditionalFormatting>
  <conditionalFormatting sqref="J975">
    <cfRule type="cellIs" priority="794" operator="equal" dxfId="2034">
      <formula>"ja"</formula>
    </cfRule>
  </conditionalFormatting>
  <conditionalFormatting sqref="C975">
    <cfRule type="containsText" priority="792" operator="containsText" dxfId="1" text="Einnahmen">
      <formula>NOT(ISERROR(SEARCH("Einnahmen",C975)))</formula>
    </cfRule>
    <cfRule type="containsText" priority="793" operator="containsText" dxfId="0" text="Ausgaben">
      <formula>NOT(ISERROR(SEARCH("Ausgaben",C975)))</formula>
    </cfRule>
  </conditionalFormatting>
  <conditionalFormatting sqref="Z975">
    <cfRule type="dataBar" priority="791">
      <dataBar>
        <cfvo type="min"/>
        <cfvo type="max"/>
        <color rgb="FF63C384"/>
      </dataBar>
    </cfRule>
    <cfRule type="dataBar" priority="790">
      <dataBar>
        <cfvo type="min"/>
        <cfvo type="max"/>
        <color rgb="FF63C384"/>
      </dataBar>
    </cfRule>
  </conditionalFormatting>
  <conditionalFormatting sqref="T976">
    <cfRule type="expression" priority="789" dxfId="2">
      <formula>AND(AND($W976&lt;TODAY(),$W976&lt;&gt;""),$X976="")</formula>
    </cfRule>
  </conditionalFormatting>
  <conditionalFormatting sqref="C976">
    <cfRule type="containsText" priority="787" operator="containsText" dxfId="1" text="Einnahmen">
      <formula>NOT(ISERROR(SEARCH("Einnahmen",C976)))</formula>
    </cfRule>
    <cfRule type="containsText" priority="788" operator="containsText" dxfId="0" text="Ausgaben">
      <formula>NOT(ISERROR(SEARCH("Ausgaben",C976)))</formula>
    </cfRule>
    <cfRule type="containsText" priority="783" operator="containsText" dxfId="1" text="Einnahmen">
      <formula>NOT(ISERROR(SEARCH("Einnahmen",C976)))</formula>
    </cfRule>
    <cfRule type="containsText" priority="784" operator="containsText" dxfId="0" text="Ausgaben">
      <formula>NOT(ISERROR(SEARCH("Ausgaben",C976)))</formula>
    </cfRule>
  </conditionalFormatting>
  <conditionalFormatting sqref="J976">
    <cfRule type="cellIs" priority="786" operator="equal" dxfId="2034">
      <formula>"ja"</formula>
    </cfRule>
    <cfRule type="cellIs" priority="785" operator="equal" dxfId="2034">
      <formula>"ja"</formula>
    </cfRule>
    <cfRule type="cellIs" priority="782" operator="equal" dxfId="2034">
      <formula>"ja"</formula>
    </cfRule>
    <cfRule type="cellIs" priority="779" operator="equal" dxfId="2034">
      <formula>"ja"</formula>
    </cfRule>
  </conditionalFormatting>
  <conditionalFormatting sqref="Z976">
    <cfRule type="dataBar" priority="781">
      <dataBar>
        <cfvo type="min"/>
        <cfvo type="max"/>
        <color rgb="FF63C384"/>
      </dataBar>
    </cfRule>
    <cfRule type="dataBar" priority="780">
      <dataBar>
        <cfvo type="min"/>
        <cfvo type="max"/>
        <color rgb="FF63C384"/>
      </dataBar>
    </cfRule>
    <cfRule type="dataBar" priority="778">
      <dataBar>
        <cfvo type="min"/>
        <cfvo type="max"/>
        <color rgb="FF63C384"/>
      </dataBar>
    </cfRule>
    <cfRule type="dataBar" priority="777">
      <dataBar>
        <cfvo type="min"/>
        <cfvo type="max"/>
        <color rgb="FF63C384"/>
      </dataBar>
    </cfRule>
  </conditionalFormatting>
  <conditionalFormatting sqref="T977">
    <cfRule type="expression" priority="776" dxfId="2">
      <formula>AND(AND($W977&lt;TODAY(),$W977&lt;&gt;""),$X977="")</formula>
    </cfRule>
  </conditionalFormatting>
  <conditionalFormatting sqref="C977">
    <cfRule type="containsText" priority="774" operator="containsText" dxfId="1" text="Einnahmen">
      <formula>NOT(ISERROR(SEARCH("Einnahmen",C977)))</formula>
    </cfRule>
    <cfRule type="containsText" priority="775" operator="containsText" dxfId="0" text="Ausgaben">
      <formula>NOT(ISERROR(SEARCH("Ausgaben",C977)))</formula>
    </cfRule>
  </conditionalFormatting>
  <conditionalFormatting sqref="J977">
    <cfRule type="cellIs" priority="773" operator="equal" dxfId="2034">
      <formula>"ja"</formula>
    </cfRule>
  </conditionalFormatting>
  <conditionalFormatting sqref="Z977">
    <cfRule type="dataBar" priority="772">
      <dataBar>
        <cfvo type="min"/>
        <cfvo type="max"/>
        <color rgb="FF63C384"/>
      </dataBar>
    </cfRule>
    <cfRule type="dataBar" priority="771">
      <dataBar>
        <cfvo type="min"/>
        <cfvo type="max"/>
        <color rgb="FF63C384"/>
      </dataBar>
    </cfRule>
  </conditionalFormatting>
  <conditionalFormatting sqref="T978">
    <cfRule type="expression" priority="770" dxfId="2">
      <formula>AND(AND($W978&lt;TODAY(),$W978&lt;&gt;""),$X978="")</formula>
    </cfRule>
  </conditionalFormatting>
  <conditionalFormatting sqref="C978">
    <cfRule type="containsText" priority="768" operator="containsText" dxfId="1" text="Einnahmen">
      <formula>NOT(ISERROR(SEARCH("Einnahmen",C978)))</formula>
    </cfRule>
    <cfRule type="containsText" priority="769" operator="containsText" dxfId="0" text="Ausgaben">
      <formula>NOT(ISERROR(SEARCH("Ausgaben",C978)))</formula>
    </cfRule>
  </conditionalFormatting>
  <conditionalFormatting sqref="Z978">
    <cfRule type="dataBar" priority="767">
      <dataBar>
        <cfvo type="min"/>
        <cfvo type="max"/>
        <color rgb="FF63C384"/>
      </dataBar>
    </cfRule>
    <cfRule type="dataBar" priority="766">
      <dataBar>
        <cfvo type="min"/>
        <cfvo type="max"/>
        <color rgb="FF63C384"/>
      </dataBar>
    </cfRule>
  </conditionalFormatting>
  <conditionalFormatting sqref="J978">
    <cfRule type="cellIs" priority="765" operator="equal" dxfId="2034">
      <formula>"ja"</formula>
    </cfRule>
    <cfRule type="cellIs" priority="764" operator="equal" dxfId="2034">
      <formula>"ja"</formula>
    </cfRule>
  </conditionalFormatting>
  <conditionalFormatting sqref="T979">
    <cfRule type="expression" priority="763" dxfId="2">
      <formula>AND(AND($W979&lt;TODAY(),$W979&lt;&gt;""),$X979="")</formula>
    </cfRule>
  </conditionalFormatting>
  <conditionalFormatting sqref="C979">
    <cfRule type="containsText" priority="761" operator="containsText" dxfId="1" text="Einnahmen">
      <formula>NOT(ISERROR(SEARCH("Einnahmen",C979)))</formula>
    </cfRule>
    <cfRule type="containsText" priority="762" operator="containsText" dxfId="0" text="Ausgaben">
      <formula>NOT(ISERROR(SEARCH("Ausgaben",C979)))</formula>
    </cfRule>
  </conditionalFormatting>
  <conditionalFormatting sqref="Z979">
    <cfRule type="dataBar" priority="760">
      <dataBar>
        <cfvo type="min"/>
        <cfvo type="max"/>
        <color rgb="FF63C384"/>
      </dataBar>
    </cfRule>
    <cfRule type="dataBar" priority="759">
      <dataBar>
        <cfvo type="min"/>
        <cfvo type="max"/>
        <color rgb="FF63C384"/>
      </dataBar>
    </cfRule>
    <cfRule type="dataBar" priority="758">
      <dataBar>
        <cfvo type="min"/>
        <cfvo type="max"/>
        <color rgb="FF63C384"/>
      </dataBar>
    </cfRule>
    <cfRule type="dataBar" priority="757">
      <dataBar>
        <cfvo type="min"/>
        <cfvo type="max"/>
        <color rgb="FF63C384"/>
      </dataBar>
    </cfRule>
  </conditionalFormatting>
  <conditionalFormatting sqref="T980">
    <cfRule type="expression" priority="756" dxfId="2">
      <formula>AND(AND($W980&lt;TODAY(),$W980&lt;&gt;""),$X980="")</formula>
    </cfRule>
  </conditionalFormatting>
  <conditionalFormatting sqref="J980">
    <cfRule type="cellIs" priority="755" operator="equal" dxfId="2034">
      <formula>"ja"</formula>
    </cfRule>
    <cfRule type="cellIs" priority="753" operator="equal" dxfId="2034">
      <formula>"ja"</formula>
    </cfRule>
    <cfRule type="cellIs" priority="752" operator="equal" dxfId="2034">
      <formula>"ja"</formula>
    </cfRule>
  </conditionalFormatting>
  <conditionalFormatting sqref="Z980">
    <cfRule type="dataBar" priority="754">
      <dataBar>
        <cfvo type="min"/>
        <cfvo type="max"/>
        <color rgb="FF63C384"/>
      </dataBar>
    </cfRule>
  </conditionalFormatting>
  <conditionalFormatting sqref="C980">
    <cfRule type="containsText" priority="750" operator="containsText" dxfId="1" text="Einnahmen">
      <formula>NOT(ISERROR(SEARCH("Einnahmen",C980)))</formula>
    </cfRule>
    <cfRule type="containsText" priority="751" operator="containsText" dxfId="0" text="Ausgaben">
      <formula>NOT(ISERROR(SEARCH("Ausgaben",C980)))</formula>
    </cfRule>
    <cfRule type="containsText" priority="748" operator="containsText" dxfId="1" text="Einnahmen">
      <formula>NOT(ISERROR(SEARCH("Einnahmen",C980)))</formula>
    </cfRule>
    <cfRule type="containsText" priority="749" operator="containsText" dxfId="0" text="Ausgaben">
      <formula>NOT(ISERROR(SEARCH("Ausgaben",C980)))</formula>
    </cfRule>
  </conditionalFormatting>
  <conditionalFormatting sqref="T981">
    <cfRule type="expression" priority="747" dxfId="2">
      <formula>AND(AND($W981&lt;TODAY(),$W981&lt;&gt;""),$X981="")</formula>
    </cfRule>
  </conditionalFormatting>
  <conditionalFormatting sqref="J981">
    <cfRule type="cellIs" priority="746" operator="equal" dxfId="2034">
      <formula>"ja"</formula>
    </cfRule>
    <cfRule type="cellIs" priority="741" operator="equal" dxfId="2034">
      <formula>"ja"</formula>
    </cfRule>
  </conditionalFormatting>
  <conditionalFormatting sqref="Z981">
    <cfRule type="dataBar" priority="745">
      <dataBar>
        <cfvo type="min"/>
        <cfvo type="max"/>
        <color rgb="FF63C384"/>
      </dataBar>
    </cfRule>
    <cfRule type="dataBar" priority="744">
      <dataBar>
        <cfvo type="min"/>
        <cfvo type="max"/>
        <color rgb="FF63C384"/>
      </dataBar>
    </cfRule>
    <cfRule type="dataBar" priority="743">
      <dataBar>
        <cfvo type="min"/>
        <cfvo type="max"/>
        <color rgb="FF63C384"/>
      </dataBar>
    </cfRule>
    <cfRule type="dataBar" priority="742">
      <dataBar>
        <cfvo type="min"/>
        <cfvo type="max"/>
        <color rgb="FF63C384"/>
      </dataBar>
    </cfRule>
  </conditionalFormatting>
  <conditionalFormatting sqref="C981">
    <cfRule type="containsText" priority="739" operator="containsText" dxfId="1" text="Einnahmen">
      <formula>NOT(ISERROR(SEARCH("Einnahmen",C981)))</formula>
    </cfRule>
    <cfRule type="containsText" priority="740" operator="containsText" dxfId="0" text="Ausgaben">
      <formula>NOT(ISERROR(SEARCH("Ausgaben",C981)))</formula>
    </cfRule>
  </conditionalFormatting>
  <conditionalFormatting sqref="C982:C983">
    <cfRule type="containsText" priority="734" operator="containsText" dxfId="1" text="Einnahmen">
      <formula>NOT(ISERROR(SEARCH("Einnahmen",C982)))</formula>
    </cfRule>
    <cfRule type="containsText" priority="735" operator="containsText" dxfId="0" text="Ausgaben">
      <formula>NOT(ISERROR(SEARCH("Ausgaben",C982)))</formula>
    </cfRule>
    <cfRule type="containsText" priority="732" operator="containsText" dxfId="1" text="Einnahmen">
      <formula>NOT(ISERROR(SEARCH("Einnahmen",C982)))</formula>
    </cfRule>
    <cfRule type="containsText" priority="733" operator="containsText" dxfId="0" text="Ausgaben">
      <formula>NOT(ISERROR(SEARCH("Ausgaben",C982)))</formula>
    </cfRule>
  </conditionalFormatting>
  <conditionalFormatting sqref="T984">
    <cfRule type="expression" priority="731" dxfId="2">
      <formula>AND(AND($W984&lt;TODAY(),$W984&lt;&gt;""),$X984="")</formula>
    </cfRule>
  </conditionalFormatting>
  <conditionalFormatting sqref="J984">
    <cfRule type="cellIs" priority="730" operator="equal" dxfId="2034">
      <formula>"ja"</formula>
    </cfRule>
  </conditionalFormatting>
  <conditionalFormatting sqref="C984">
    <cfRule type="containsText" priority="728" operator="containsText" dxfId="1" text="Einnahmen">
      <formula>NOT(ISERROR(SEARCH("Einnahmen",C984)))</formula>
    </cfRule>
    <cfRule type="containsText" priority="729" operator="containsText" dxfId="0" text="Ausgaben">
      <formula>NOT(ISERROR(SEARCH("Ausgaben",C984)))</formula>
    </cfRule>
  </conditionalFormatting>
  <conditionalFormatting sqref="Z984">
    <cfRule type="dataBar" priority="727">
      <dataBar>
        <cfvo type="min"/>
        <cfvo type="max"/>
        <color rgb="FF63C384"/>
      </dataBar>
    </cfRule>
    <cfRule type="dataBar" priority="726">
      <dataBar>
        <cfvo type="min"/>
        <cfvo type="max"/>
        <color rgb="FF63C384"/>
      </dataBar>
    </cfRule>
  </conditionalFormatting>
  <conditionalFormatting sqref="T985">
    <cfRule type="expression" priority="719" dxfId="2">
      <formula>AND(AND($W985&lt;TODAY(),$W985&lt;&gt;""),$X985="")</formula>
    </cfRule>
  </conditionalFormatting>
  <conditionalFormatting sqref="C985">
    <cfRule type="containsText" priority="717" operator="containsText" dxfId="1" text="Einnahmen">
      <formula>NOT(ISERROR(SEARCH("Einnahmen",C985)))</formula>
    </cfRule>
    <cfRule type="containsText" priority="718" operator="containsText" dxfId="0" text="Ausgaben">
      <formula>NOT(ISERROR(SEARCH("Ausgaben",C985)))</formula>
    </cfRule>
  </conditionalFormatting>
  <conditionalFormatting sqref="J985">
    <cfRule type="cellIs" priority="716" operator="equal" dxfId="2034">
      <formula>"ja"</formula>
    </cfRule>
  </conditionalFormatting>
  <conditionalFormatting sqref="Z985">
    <cfRule type="dataBar" priority="715">
      <dataBar>
        <cfvo type="min"/>
        <cfvo type="max"/>
        <color rgb="FF63C384"/>
      </dataBar>
    </cfRule>
    <cfRule type="dataBar" priority="714">
      <dataBar>
        <cfvo type="min"/>
        <cfvo type="max"/>
        <color rgb="FF63C384"/>
      </dataBar>
    </cfRule>
  </conditionalFormatting>
  <conditionalFormatting sqref="J986">
    <cfRule type="cellIs" priority="713" operator="equal" dxfId="2034">
      <formula>"ja"</formula>
    </cfRule>
    <cfRule type="cellIs" priority="709" operator="equal" dxfId="2034">
      <formula>"ja"</formula>
    </cfRule>
  </conditionalFormatting>
  <conditionalFormatting sqref="T986">
    <cfRule type="expression" priority="712" dxfId="2">
      <formula>AND(AND($W986&lt;TODAY(),$W986&lt;&gt;""),$X986="")</formula>
    </cfRule>
    <cfRule type="expression" priority="708" dxfId="2">
      <formula>AND(AND($W986&lt;TODAY(),$W986&lt;&gt;""),$X986="")</formula>
    </cfRule>
  </conditionalFormatting>
  <conditionalFormatting sqref="Z986">
    <cfRule type="dataBar" priority="711">
      <dataBar>
        <cfvo type="min"/>
        <cfvo type="max"/>
        <color rgb="FF63C384"/>
      </dataBar>
    </cfRule>
    <cfRule type="dataBar" priority="710">
      <dataBar>
        <cfvo type="min"/>
        <cfvo type="max"/>
        <color rgb="FF63C384"/>
      </dataBar>
    </cfRule>
    <cfRule type="dataBar" priority="707">
      <dataBar>
        <cfvo type="min"/>
        <cfvo type="max"/>
        <color rgb="FF63C384"/>
      </dataBar>
    </cfRule>
    <cfRule type="dataBar" priority="706">
      <dataBar>
        <cfvo type="min"/>
        <cfvo type="max"/>
        <color rgb="FF63C384"/>
      </dataBar>
    </cfRule>
  </conditionalFormatting>
  <conditionalFormatting sqref="C986">
    <cfRule type="containsText" priority="704" operator="containsText" dxfId="1" text="Einnahmen">
      <formula>NOT(ISERROR(SEARCH("Einnahmen",C986)))</formula>
    </cfRule>
    <cfRule type="containsText" priority="705" operator="containsText" dxfId="0" text="Ausgaben">
      <formula>NOT(ISERROR(SEARCH("Ausgaben",C986)))</formula>
    </cfRule>
  </conditionalFormatting>
  <conditionalFormatting sqref="T987">
    <cfRule type="expression" priority="703" dxfId="2">
      <formula>AND(AND($W987&lt;TODAY(),$W987&lt;&gt;""),$X987="")</formula>
    </cfRule>
  </conditionalFormatting>
  <conditionalFormatting sqref="Z987">
    <cfRule type="dataBar" priority="702">
      <dataBar>
        <cfvo type="min"/>
        <cfvo type="max"/>
        <color rgb="FF63C384"/>
      </dataBar>
    </cfRule>
    <cfRule type="dataBar" priority="701">
      <dataBar>
        <cfvo type="min"/>
        <cfvo type="max"/>
        <color rgb="FF63C384"/>
      </dataBar>
    </cfRule>
  </conditionalFormatting>
  <conditionalFormatting sqref="J987">
    <cfRule type="cellIs" priority="700" operator="equal" dxfId="2034">
      <formula>"ja"</formula>
    </cfRule>
  </conditionalFormatting>
  <conditionalFormatting sqref="C987">
    <cfRule type="containsText" priority="698" operator="containsText" dxfId="1" text="Einnahmen">
      <formula>NOT(ISERROR(SEARCH("Einnahmen",C987)))</formula>
    </cfRule>
    <cfRule type="containsText" priority="699" operator="containsText" dxfId="0" text="Ausgaben">
      <formula>NOT(ISERROR(SEARCH("Ausgaben",C987)))</formula>
    </cfRule>
  </conditionalFormatting>
  <conditionalFormatting sqref="T988">
    <cfRule type="expression" priority="697" dxfId="2">
      <formula>AND(AND($W988&lt;TODAY(),$W988&lt;&gt;""),$X988="")</formula>
    </cfRule>
  </conditionalFormatting>
  <conditionalFormatting sqref="J988">
    <cfRule type="cellIs" priority="696" operator="equal" dxfId="2034">
      <formula>"ja"</formula>
    </cfRule>
    <cfRule type="cellIs" priority="694" operator="equal" dxfId="2034">
      <formula>"ja"</formula>
    </cfRule>
  </conditionalFormatting>
  <conditionalFormatting sqref="Z988">
    <cfRule type="dataBar" priority="695">
      <dataBar>
        <cfvo type="min"/>
        <cfvo type="max"/>
        <color rgb="FF63C384"/>
      </dataBar>
    </cfRule>
  </conditionalFormatting>
  <conditionalFormatting sqref="T989">
    <cfRule type="expression" priority="693" dxfId="2">
      <formula>AND(AND($W989&lt;TODAY(),$W989&lt;&gt;""),$X989="")</formula>
    </cfRule>
  </conditionalFormatting>
  <conditionalFormatting sqref="C989">
    <cfRule type="containsText" priority="691" operator="containsText" dxfId="1" text="Einnahmen">
      <formula>NOT(ISERROR(SEARCH("Einnahmen",C989)))</formula>
    </cfRule>
    <cfRule type="containsText" priority="692" operator="containsText" dxfId="0" text="Ausgaben">
      <formula>NOT(ISERROR(SEARCH("Ausgaben",C989)))</formula>
    </cfRule>
    <cfRule type="containsText" priority="677" operator="containsText" dxfId="1" text="Einnahmen">
      <formula>NOT(ISERROR(SEARCH("Einnahmen",C989)))</formula>
    </cfRule>
    <cfRule type="containsText" priority="678" operator="containsText" dxfId="0" text="Ausgaben">
      <formula>NOT(ISERROR(SEARCH("Ausgaben",C989)))</formula>
    </cfRule>
    <cfRule type="containsText" priority="675" operator="containsText" dxfId="1" text="Einnahmen">
      <formula>NOT(ISERROR(SEARCH("Einnahmen",C989)))</formula>
    </cfRule>
    <cfRule type="containsText" priority="676" operator="containsText" dxfId="0" text="Ausgaben">
      <formula>NOT(ISERROR(SEARCH("Ausgaben",C989)))</formula>
    </cfRule>
  </conditionalFormatting>
  <conditionalFormatting sqref="J989">
    <cfRule type="cellIs" priority="690" operator="equal" dxfId="2034">
      <formula>"ja"</formula>
    </cfRule>
    <cfRule type="cellIs" priority="681" operator="equal" dxfId="2034">
      <formula>"ja"</formula>
    </cfRule>
    <cfRule type="cellIs" priority="687" operator="equal" dxfId="2034">
      <formula>"ja"</formula>
    </cfRule>
    <cfRule type="cellIs" priority="684" operator="equal" dxfId="2034">
      <formula>"ja"</formula>
    </cfRule>
    <cfRule type="cellIs" priority="674" operator="equal" dxfId="2034">
      <formula>"ja"</formula>
    </cfRule>
    <cfRule type="cellIs" priority="673" operator="equal" dxfId="2034">
      <formula>"ja"</formula>
    </cfRule>
  </conditionalFormatting>
  <conditionalFormatting sqref="Z989">
    <cfRule type="dataBar" priority="689">
      <dataBar>
        <cfvo type="min"/>
        <cfvo type="max"/>
        <color rgb="FF63C384"/>
      </dataBar>
    </cfRule>
    <cfRule type="dataBar" priority="688">
      <dataBar>
        <cfvo type="min"/>
        <cfvo type="max"/>
        <color rgb="FF63C384"/>
      </dataBar>
    </cfRule>
    <cfRule type="dataBar" priority="686">
      <dataBar>
        <cfvo type="min"/>
        <cfvo type="max"/>
        <color rgb="FF63C384"/>
      </dataBar>
    </cfRule>
    <cfRule type="dataBar" priority="685">
      <dataBar>
        <cfvo type="min"/>
        <cfvo type="max"/>
        <color rgb="FF63C384"/>
      </dataBar>
    </cfRule>
    <cfRule type="dataBar" priority="683">
      <dataBar>
        <cfvo type="min"/>
        <cfvo type="max"/>
        <color rgb="FF63C384"/>
      </dataBar>
    </cfRule>
    <cfRule type="dataBar" priority="682">
      <dataBar>
        <cfvo type="min"/>
        <cfvo type="max"/>
        <color rgb="FF63C384"/>
      </dataBar>
    </cfRule>
    <cfRule type="dataBar" priority="680">
      <dataBar>
        <cfvo type="min"/>
        <cfvo type="max"/>
        <color rgb="FF63C384"/>
      </dataBar>
    </cfRule>
    <cfRule type="dataBar" priority="679">
      <dataBar>
        <cfvo type="min"/>
        <cfvo type="max"/>
        <color rgb="FF63C384"/>
      </dataBar>
    </cfRule>
  </conditionalFormatting>
  <conditionalFormatting sqref="J990">
    <cfRule type="cellIs" priority="672" operator="equal" dxfId="2034">
      <formula>"ja"</formula>
    </cfRule>
  </conditionalFormatting>
  <conditionalFormatting sqref="C990">
    <cfRule type="containsText" priority="670" operator="containsText" dxfId="1" text="Einnahmen">
      <formula>NOT(ISERROR(SEARCH("Einnahmen",C990)))</formula>
    </cfRule>
    <cfRule type="containsText" priority="671" operator="containsText" dxfId="0" text="Ausgaben">
      <formula>NOT(ISERROR(SEARCH("Ausgaben",C990)))</formula>
    </cfRule>
  </conditionalFormatting>
  <conditionalFormatting sqref="T990">
    <cfRule type="expression" priority="669" dxfId="2">
      <formula>AND(AND($W990&lt;TODAY(),$W990&lt;&gt;""),$X990="")</formula>
    </cfRule>
  </conditionalFormatting>
  <conditionalFormatting sqref="Z990">
    <cfRule type="dataBar" priority="668">
      <dataBar>
        <cfvo type="min"/>
        <cfvo type="max"/>
        <color rgb="FF63C384"/>
      </dataBar>
    </cfRule>
    <cfRule type="dataBar" priority="667">
      <dataBar>
        <cfvo type="min"/>
        <cfvo type="max"/>
        <color rgb="FF63C384"/>
      </dataBar>
    </cfRule>
  </conditionalFormatting>
  <conditionalFormatting sqref="T991">
    <cfRule type="expression" priority="666" dxfId="2">
      <formula>AND(AND($W991&lt;TODAY(),$W991&lt;&gt;""),$X991="")</formula>
    </cfRule>
  </conditionalFormatting>
  <conditionalFormatting sqref="C991">
    <cfRule type="containsText" priority="664" operator="containsText" dxfId="1" text="Einnahmen">
      <formula>NOT(ISERROR(SEARCH("Einnahmen",C991)))</formula>
    </cfRule>
    <cfRule type="containsText" priority="665" operator="containsText" dxfId="0" text="Ausgaben">
      <formula>NOT(ISERROR(SEARCH("Ausgaben",C991)))</formula>
    </cfRule>
    <cfRule type="containsText" priority="662" operator="containsText" dxfId="1" text="Einnahmen">
      <formula>NOT(ISERROR(SEARCH("Einnahmen",C991)))</formula>
    </cfRule>
    <cfRule type="containsText" priority="663" operator="containsText" dxfId="0" text="Ausgaben">
      <formula>NOT(ISERROR(SEARCH("Ausgaben",C991)))</formula>
    </cfRule>
  </conditionalFormatting>
  <conditionalFormatting sqref="J991">
    <cfRule type="cellIs" priority="661" operator="equal" dxfId="2034">
      <formula>"ja"</formula>
    </cfRule>
    <cfRule type="cellIs" priority="659" operator="equal" dxfId="2034">
      <formula>"ja"</formula>
    </cfRule>
  </conditionalFormatting>
  <conditionalFormatting sqref="Z991">
    <cfRule type="dataBar" priority="660">
      <dataBar>
        <cfvo type="min"/>
        <cfvo type="max"/>
        <color rgb="FF63C384"/>
      </dataBar>
    </cfRule>
  </conditionalFormatting>
  <conditionalFormatting sqref="T992">
    <cfRule type="expression" priority="658" dxfId="2">
      <formula>AND(AND($W992&lt;TODAY(),$W992&lt;&gt;""),$X992="")</formula>
    </cfRule>
  </conditionalFormatting>
  <conditionalFormatting sqref="J992">
    <cfRule type="cellIs" priority="657" operator="equal" dxfId="2034">
      <formula>"ja"</formula>
    </cfRule>
  </conditionalFormatting>
  <conditionalFormatting sqref="C992">
    <cfRule type="containsText" priority="655" operator="containsText" dxfId="1" text="Einnahmen">
      <formula>NOT(ISERROR(SEARCH("Einnahmen",C992)))</formula>
    </cfRule>
    <cfRule type="containsText" priority="656" operator="containsText" dxfId="0" text="Ausgaben">
      <formula>NOT(ISERROR(SEARCH("Ausgaben",C992)))</formula>
    </cfRule>
  </conditionalFormatting>
  <conditionalFormatting sqref="Z992">
    <cfRule type="dataBar" priority="654">
      <dataBar>
        <cfvo type="min"/>
        <cfvo type="max"/>
        <color rgb="FF63C384"/>
      </dataBar>
    </cfRule>
    <cfRule type="dataBar" priority="653">
      <dataBar>
        <cfvo type="min"/>
        <cfvo type="max"/>
        <color rgb="FF63C384"/>
      </dataBar>
    </cfRule>
  </conditionalFormatting>
  <conditionalFormatting sqref="T993">
    <cfRule type="expression" priority="652" dxfId="2">
      <formula>AND(AND($W993&lt;TODAY(),$W993&lt;&gt;""),$X993="")</formula>
    </cfRule>
  </conditionalFormatting>
  <conditionalFormatting sqref="C993">
    <cfRule type="containsText" priority="650" operator="containsText" dxfId="1" text="Einnahmen">
      <formula>NOT(ISERROR(SEARCH("Einnahmen",C993)))</formula>
    </cfRule>
    <cfRule type="containsText" priority="651" operator="containsText" dxfId="0" text="Ausgaben">
      <formula>NOT(ISERROR(SEARCH("Ausgaben",C993)))</formula>
    </cfRule>
  </conditionalFormatting>
  <conditionalFormatting sqref="J993">
    <cfRule type="cellIs" priority="649" operator="equal" dxfId="2034">
      <formula>"ja"</formula>
    </cfRule>
  </conditionalFormatting>
  <conditionalFormatting sqref="Z993">
    <cfRule type="dataBar" priority="648">
      <dataBar>
        <cfvo type="min"/>
        <cfvo type="max"/>
        <color rgb="FF63C384"/>
      </dataBar>
    </cfRule>
    <cfRule type="dataBar" priority="647">
      <dataBar>
        <cfvo type="min"/>
        <cfvo type="max"/>
        <color rgb="FF63C384"/>
      </dataBar>
    </cfRule>
  </conditionalFormatting>
  <conditionalFormatting sqref="T994">
    <cfRule type="expression" priority="646" dxfId="2">
      <formula>AND(AND($W994&lt;TODAY(),$W994&lt;&gt;""),$X994="")</formula>
    </cfRule>
  </conditionalFormatting>
  <conditionalFormatting sqref="C994">
    <cfRule type="containsText" priority="644" operator="containsText" dxfId="1" text="Einnahmen">
      <formula>NOT(ISERROR(SEARCH("Einnahmen",C994)))</formula>
    </cfRule>
    <cfRule type="containsText" priority="645" operator="containsText" dxfId="0" text="Ausgaben">
      <formula>NOT(ISERROR(SEARCH("Ausgaben",C994)))</formula>
    </cfRule>
    <cfRule type="containsText" priority="640" operator="containsText" dxfId="1" text="Einnahmen">
      <formula>NOT(ISERROR(SEARCH("Einnahmen",C994)))</formula>
    </cfRule>
    <cfRule type="containsText" priority="641" operator="containsText" dxfId="0" text="Ausgaben">
      <formula>NOT(ISERROR(SEARCH("Ausgaben",C994)))</formula>
    </cfRule>
  </conditionalFormatting>
  <conditionalFormatting sqref="J994">
    <cfRule type="cellIs" priority="643" operator="equal" dxfId="2034">
      <formula>"ja"</formula>
    </cfRule>
    <cfRule type="cellIs" priority="642" operator="equal" dxfId="2034">
      <formula>"ja"</formula>
    </cfRule>
    <cfRule type="cellIs" priority="639" operator="equal" dxfId="2034">
      <formula>"ja"</formula>
    </cfRule>
    <cfRule type="cellIs" priority="636" operator="equal" dxfId="2034">
      <formula>"ja"</formula>
    </cfRule>
  </conditionalFormatting>
  <conditionalFormatting sqref="Z994">
    <cfRule type="dataBar" priority="638">
      <dataBar>
        <cfvo type="min"/>
        <cfvo type="max"/>
        <color rgb="FF63C384"/>
      </dataBar>
    </cfRule>
    <cfRule type="dataBar" priority="637">
      <dataBar>
        <cfvo type="min"/>
        <cfvo type="max"/>
        <color rgb="FF63C384"/>
      </dataBar>
    </cfRule>
    <cfRule type="dataBar" priority="635">
      <dataBar>
        <cfvo type="min"/>
        <cfvo type="max"/>
        <color rgb="FF63C384"/>
      </dataBar>
    </cfRule>
    <cfRule type="dataBar" priority="634">
      <dataBar>
        <cfvo type="min"/>
        <cfvo type="max"/>
        <color rgb="FF63C384"/>
      </dataBar>
    </cfRule>
  </conditionalFormatting>
  <conditionalFormatting sqref="T995">
    <cfRule type="expression" priority="633" dxfId="2">
      <formula>AND(AND($W995&lt;TODAY(),$W995&lt;&gt;""),$X995="")</formula>
    </cfRule>
  </conditionalFormatting>
  <conditionalFormatting sqref="J995">
    <cfRule type="cellIs" priority="632" operator="equal" dxfId="2034">
      <formula>"ja"</formula>
    </cfRule>
    <cfRule type="cellIs" priority="630" operator="equal" dxfId="2034">
      <formula>"ja"</formula>
    </cfRule>
    <cfRule type="cellIs" priority="629" operator="equal" dxfId="2034">
      <formula>"ja"</formula>
    </cfRule>
  </conditionalFormatting>
  <conditionalFormatting sqref="Z995">
    <cfRule type="dataBar" priority="631">
      <dataBar>
        <cfvo type="min"/>
        <cfvo type="max"/>
        <color rgb="FF63C384"/>
      </dataBar>
    </cfRule>
  </conditionalFormatting>
  <conditionalFormatting sqref="C995">
    <cfRule type="containsText" priority="627" operator="containsText" dxfId="1" text="Einnahmen">
      <formula>NOT(ISERROR(SEARCH("Einnahmen",C995)))</formula>
    </cfRule>
    <cfRule type="containsText" priority="628" operator="containsText" dxfId="0" text="Ausgaben">
      <formula>NOT(ISERROR(SEARCH("Ausgaben",C995)))</formula>
    </cfRule>
    <cfRule type="containsText" priority="625" operator="containsText" dxfId="1" text="Einnahmen">
      <formula>NOT(ISERROR(SEARCH("Einnahmen",C995)))</formula>
    </cfRule>
    <cfRule type="containsText" priority="626" operator="containsText" dxfId="0" text="Ausgaben">
      <formula>NOT(ISERROR(SEARCH("Ausgaben",C995)))</formula>
    </cfRule>
  </conditionalFormatting>
  <conditionalFormatting sqref="T996">
    <cfRule type="expression" priority="624" dxfId="2">
      <formula>AND(AND($W996&lt;TODAY(),$W996&lt;&gt;""),$X996="")</formula>
    </cfRule>
  </conditionalFormatting>
  <conditionalFormatting sqref="C996">
    <cfRule type="containsText" priority="622" operator="containsText" dxfId="1" text="Einnahmen">
      <formula>NOT(ISERROR(SEARCH("Einnahmen",C996)))</formula>
    </cfRule>
    <cfRule type="containsText" priority="623" operator="containsText" dxfId="0" text="Ausgaben">
      <formula>NOT(ISERROR(SEARCH("Ausgaben",C996)))</formula>
    </cfRule>
  </conditionalFormatting>
  <conditionalFormatting sqref="Z996">
    <cfRule type="dataBar" priority="621">
      <dataBar>
        <cfvo type="min"/>
        <cfvo type="max"/>
        <color rgb="FF63C384"/>
      </dataBar>
    </cfRule>
    <cfRule type="dataBar" priority="620">
      <dataBar>
        <cfvo type="min"/>
        <cfvo type="max"/>
        <color rgb="FF63C384"/>
      </dataBar>
    </cfRule>
    <cfRule type="dataBar" priority="619">
      <dataBar>
        <cfvo type="min"/>
        <cfvo type="max"/>
        <color rgb="FF63C384"/>
      </dataBar>
    </cfRule>
    <cfRule type="dataBar" priority="618">
      <dataBar>
        <cfvo type="min"/>
        <cfvo type="max"/>
        <color rgb="FF63C384"/>
      </dataBar>
    </cfRule>
  </conditionalFormatting>
  <conditionalFormatting sqref="T997">
    <cfRule type="expression" priority="617" dxfId="2">
      <formula>AND(AND($W997&lt;TODAY(),$W997&lt;&gt;""),$X997="")</formula>
    </cfRule>
  </conditionalFormatting>
  <conditionalFormatting sqref="C997">
    <cfRule type="containsText" priority="615" operator="containsText" dxfId="1" text="Einnahmen">
      <formula>NOT(ISERROR(SEARCH("Einnahmen",C997)))</formula>
    </cfRule>
    <cfRule type="containsText" priority="616" operator="containsText" dxfId="0" text="Ausgaben">
      <formula>NOT(ISERROR(SEARCH("Ausgaben",C997)))</formula>
    </cfRule>
  </conditionalFormatting>
  <conditionalFormatting sqref="Z997">
    <cfRule type="dataBar" priority="614">
      <dataBar>
        <cfvo type="min"/>
        <cfvo type="max"/>
        <color rgb="FF63C384"/>
      </dataBar>
    </cfRule>
    <cfRule type="dataBar" priority="613">
      <dataBar>
        <cfvo type="min"/>
        <cfvo type="max"/>
        <color rgb="FF63C384"/>
      </dataBar>
    </cfRule>
  </conditionalFormatting>
  <conditionalFormatting sqref="J997">
    <cfRule type="cellIs" priority="612" operator="equal" dxfId="2034">
      <formula>"ja"</formula>
    </cfRule>
    <cfRule type="cellIs" priority="611" operator="equal" dxfId="2034">
      <formula>"ja"</formula>
    </cfRule>
  </conditionalFormatting>
  <conditionalFormatting sqref="T998">
    <cfRule type="expression" priority="610" dxfId="2">
      <formula>AND(AND($W998&lt;TODAY(),$W998&lt;&gt;""),$X998="")</formula>
    </cfRule>
  </conditionalFormatting>
  <conditionalFormatting sqref="J998">
    <cfRule type="cellIs" priority="609" operator="equal" dxfId="2034">
      <formula>"ja"</formula>
    </cfRule>
    <cfRule type="cellIs" priority="604" operator="equal" dxfId="2034">
      <formula>"ja"</formula>
    </cfRule>
  </conditionalFormatting>
  <conditionalFormatting sqref="Z998">
    <cfRule type="dataBar" priority="608">
      <dataBar>
        <cfvo type="min"/>
        <cfvo type="max"/>
        <color rgb="FF63C384"/>
      </dataBar>
    </cfRule>
    <cfRule type="dataBar" priority="607">
      <dataBar>
        <cfvo type="min"/>
        <cfvo type="max"/>
        <color rgb="FF63C384"/>
      </dataBar>
    </cfRule>
    <cfRule type="dataBar" priority="606">
      <dataBar>
        <cfvo type="min"/>
        <cfvo type="max"/>
        <color rgb="FF63C384"/>
      </dataBar>
    </cfRule>
    <cfRule type="dataBar" priority="605">
      <dataBar>
        <cfvo type="min"/>
        <cfvo type="max"/>
        <color rgb="FF63C384"/>
      </dataBar>
    </cfRule>
  </conditionalFormatting>
  <conditionalFormatting sqref="C998">
    <cfRule type="containsText" priority="602" operator="containsText" dxfId="1" text="Einnahmen">
      <formula>NOT(ISERROR(SEARCH("Einnahmen",C998)))</formula>
    </cfRule>
    <cfRule type="containsText" priority="603" operator="containsText" dxfId="0" text="Ausgaben">
      <formula>NOT(ISERROR(SEARCH("Ausgaben",C998)))</formula>
    </cfRule>
  </conditionalFormatting>
  <conditionalFormatting sqref="T999">
    <cfRule type="expression" priority="599" dxfId="2">
      <formula>AND(AND($W999&lt;TODAY(),$W999&lt;&gt;""),$X999="")</formula>
    </cfRule>
  </conditionalFormatting>
  <conditionalFormatting sqref="C999">
    <cfRule type="containsText" priority="600" operator="containsText" dxfId="1" text="Einnahmen">
      <formula>NOT(ISERROR(SEARCH("Einnahmen",C999)))</formula>
    </cfRule>
    <cfRule type="containsText" priority="601" operator="containsText" dxfId="0" text="Ausgaben">
      <formula>NOT(ISERROR(SEARCH("Ausgaben",C999)))</formula>
    </cfRule>
  </conditionalFormatting>
  <conditionalFormatting sqref="T1000">
    <cfRule type="expression" priority="598" dxfId="2">
      <formula>AND(AND($W1000&lt;TODAY(),$W1000&lt;&gt;""),$X1000="")</formula>
    </cfRule>
  </conditionalFormatting>
  <conditionalFormatting sqref="Z1000">
    <cfRule type="dataBar" priority="597">
      <dataBar>
        <cfvo type="min"/>
        <cfvo type="max"/>
        <color rgb="FF63C384"/>
      </dataBar>
    </cfRule>
    <cfRule type="dataBar" priority="596">
      <dataBar>
        <cfvo type="min"/>
        <cfvo type="max"/>
        <color rgb="FF63C384"/>
      </dataBar>
    </cfRule>
  </conditionalFormatting>
  <conditionalFormatting sqref="J1000">
    <cfRule type="cellIs" priority="595" operator="equal" dxfId="2034">
      <formula>"ja"</formula>
    </cfRule>
  </conditionalFormatting>
  <conditionalFormatting sqref="C1000">
    <cfRule type="containsText" priority="593" operator="containsText" dxfId="1" text="Einnahmen">
      <formula>NOT(ISERROR(SEARCH("Einnahmen",C1000)))</formula>
    </cfRule>
    <cfRule type="containsText" priority="594" operator="containsText" dxfId="0" text="Ausgaben">
      <formula>NOT(ISERROR(SEARCH("Ausgaben",C1000)))</formula>
    </cfRule>
  </conditionalFormatting>
  <conditionalFormatting sqref="T1001">
    <cfRule type="expression" priority="592" dxfId="2">
      <formula>AND(AND($W1001&lt;TODAY(),$W1001&lt;&gt;""),$X1001="")</formula>
    </cfRule>
  </conditionalFormatting>
  <conditionalFormatting sqref="C1001">
    <cfRule type="containsText" priority="590" operator="containsText" dxfId="1" text="Einnahmen">
      <formula>NOT(ISERROR(SEARCH("Einnahmen",C1001)))</formula>
    </cfRule>
    <cfRule type="containsText" priority="591" operator="containsText" dxfId="0" text="Ausgaben">
      <formula>NOT(ISERROR(SEARCH("Ausgaben",C1001)))</formula>
    </cfRule>
  </conditionalFormatting>
  <conditionalFormatting sqref="J1001">
    <cfRule type="cellIs" priority="589" operator="equal" dxfId="2034">
      <formula>"ja"</formula>
    </cfRule>
  </conditionalFormatting>
  <conditionalFormatting sqref="Z1001">
    <cfRule type="dataBar" priority="588">
      <dataBar>
        <cfvo type="min"/>
        <cfvo type="max"/>
        <color rgb="FF63C384"/>
      </dataBar>
    </cfRule>
    <cfRule type="dataBar" priority="587">
      <dataBar>
        <cfvo type="min"/>
        <cfvo type="max"/>
        <color rgb="FF63C384"/>
      </dataBar>
    </cfRule>
  </conditionalFormatting>
  <conditionalFormatting sqref="T1002">
    <cfRule type="expression" priority="586" dxfId="2">
      <formula>AND(AND($W1002&lt;TODAY(),$W1002&lt;&gt;""),$X1002="")</formula>
    </cfRule>
  </conditionalFormatting>
  <conditionalFormatting sqref="C1002">
    <cfRule type="containsText" priority="584" operator="containsText" dxfId="1" text="Einnahmen">
      <formula>NOT(ISERROR(SEARCH("Einnahmen",C1002)))</formula>
    </cfRule>
    <cfRule type="containsText" priority="585" operator="containsText" dxfId="0" text="Ausgaben">
      <formula>NOT(ISERROR(SEARCH("Ausgaben",C1002)))</formula>
    </cfRule>
    <cfRule type="containsText" priority="570" operator="containsText" dxfId="1" text="Einnahmen">
      <formula>NOT(ISERROR(SEARCH("Einnahmen",C1002)))</formula>
    </cfRule>
    <cfRule type="containsText" priority="571" operator="containsText" dxfId="0" text="Ausgaben">
      <formula>NOT(ISERROR(SEARCH("Ausgaben",C1002)))</formula>
    </cfRule>
    <cfRule type="containsText" priority="568" operator="containsText" dxfId="1" text="Einnahmen">
      <formula>NOT(ISERROR(SEARCH("Einnahmen",C1002)))</formula>
    </cfRule>
    <cfRule type="containsText" priority="569" operator="containsText" dxfId="0" text="Ausgaben">
      <formula>NOT(ISERROR(SEARCH("Ausgaben",C1002)))</formula>
    </cfRule>
  </conditionalFormatting>
  <conditionalFormatting sqref="J1002">
    <cfRule type="cellIs" priority="583" operator="equal" dxfId="2034">
      <formula>"ja"</formula>
    </cfRule>
    <cfRule type="cellIs" priority="574" operator="equal" dxfId="2034">
      <formula>"ja"</formula>
    </cfRule>
    <cfRule type="cellIs" priority="580" operator="equal" dxfId="2034">
      <formula>"ja"</formula>
    </cfRule>
    <cfRule type="cellIs" priority="577" operator="equal" dxfId="2034">
      <formula>"ja"</formula>
    </cfRule>
    <cfRule type="cellIs" priority="567" operator="equal" dxfId="2034">
      <formula>"ja"</formula>
    </cfRule>
    <cfRule type="cellIs" priority="566" operator="equal" dxfId="2034">
      <formula>"ja"</formula>
    </cfRule>
  </conditionalFormatting>
  <conditionalFormatting sqref="Z1002">
    <cfRule type="dataBar" priority="582">
      <dataBar>
        <cfvo type="min"/>
        <cfvo type="max"/>
        <color rgb="FF63C384"/>
      </dataBar>
    </cfRule>
    <cfRule type="dataBar" priority="581">
      <dataBar>
        <cfvo type="min"/>
        <cfvo type="max"/>
        <color rgb="FF63C384"/>
      </dataBar>
    </cfRule>
    <cfRule type="dataBar" priority="579">
      <dataBar>
        <cfvo type="min"/>
        <cfvo type="max"/>
        <color rgb="FF63C384"/>
      </dataBar>
    </cfRule>
    <cfRule type="dataBar" priority="578">
      <dataBar>
        <cfvo type="min"/>
        <cfvo type="max"/>
        <color rgb="FF63C384"/>
      </dataBar>
    </cfRule>
    <cfRule type="dataBar" priority="576">
      <dataBar>
        <cfvo type="min"/>
        <cfvo type="max"/>
        <color rgb="FF63C384"/>
      </dataBar>
    </cfRule>
    <cfRule type="dataBar" priority="575">
      <dataBar>
        <cfvo type="min"/>
        <cfvo type="max"/>
        <color rgb="FF63C384"/>
      </dataBar>
    </cfRule>
    <cfRule type="dataBar" priority="573">
      <dataBar>
        <cfvo type="min"/>
        <cfvo type="max"/>
        <color rgb="FF63C384"/>
      </dataBar>
    </cfRule>
    <cfRule type="dataBar" priority="572">
      <dataBar>
        <cfvo type="min"/>
        <cfvo type="max"/>
        <color rgb="FF63C384"/>
      </dataBar>
    </cfRule>
  </conditionalFormatting>
  <conditionalFormatting sqref="C1003">
    <cfRule type="containsText" priority="564" operator="containsText" dxfId="1" text="Einnahmen">
      <formula>NOT(ISERROR(SEARCH("Einnahmen",C1003)))</formula>
    </cfRule>
    <cfRule type="containsText" priority="565" operator="containsText" dxfId="0" text="Ausgaben">
      <formula>NOT(ISERROR(SEARCH("Ausgaben",C1003)))</formula>
    </cfRule>
  </conditionalFormatting>
  <conditionalFormatting sqref="T1003">
    <cfRule type="expression" priority="563" dxfId="2">
      <formula>AND(AND($W1003&lt;TODAY(),$W1003&lt;&gt;""),$X1003="")</formula>
    </cfRule>
  </conditionalFormatting>
  <conditionalFormatting sqref="J1003">
    <cfRule type="cellIs" priority="562" operator="equal" dxfId="2034">
      <formula>"ja"</formula>
    </cfRule>
    <cfRule type="cellIs" priority="560" operator="equal" dxfId="2034">
      <formula>"ja"</formula>
    </cfRule>
  </conditionalFormatting>
  <conditionalFormatting sqref="Z1003">
    <cfRule type="dataBar" priority="561">
      <dataBar>
        <cfvo type="min"/>
        <cfvo type="max"/>
        <color rgb="FF63C384"/>
      </dataBar>
    </cfRule>
  </conditionalFormatting>
  <conditionalFormatting sqref="T1004">
    <cfRule type="expression" priority="559" dxfId="2">
      <formula>AND(AND($W1004&lt;TODAY(),$W1004&lt;&gt;""),$X1004="")</formula>
    </cfRule>
  </conditionalFormatting>
  <conditionalFormatting sqref="C1004">
    <cfRule type="containsText" priority="557" operator="containsText" dxfId="1" text="Einnahmen">
      <formula>NOT(ISERROR(SEARCH("Einnahmen",C1004)))</formula>
    </cfRule>
    <cfRule type="containsText" priority="558" operator="containsText" dxfId="0" text="Ausgaben">
      <formula>NOT(ISERROR(SEARCH("Ausgaben",C1004)))</formula>
    </cfRule>
    <cfRule type="containsText" priority="555" operator="containsText" dxfId="1" text="Einnahmen">
      <formula>NOT(ISERROR(SEARCH("Einnahmen",C1004)))</formula>
    </cfRule>
    <cfRule type="containsText" priority="556" operator="containsText" dxfId="0" text="Ausgaben">
      <formula>NOT(ISERROR(SEARCH("Ausgaben",C1004)))</formula>
    </cfRule>
  </conditionalFormatting>
  <conditionalFormatting sqref="J1004">
    <cfRule type="cellIs" priority="554" operator="equal" dxfId="2034">
      <formula>"ja"</formula>
    </cfRule>
    <cfRule type="cellIs" priority="552" operator="equal" dxfId="2034">
      <formula>"ja"</formula>
    </cfRule>
  </conditionalFormatting>
  <conditionalFormatting sqref="Z1004">
    <cfRule type="dataBar" priority="553">
      <dataBar>
        <cfvo type="min"/>
        <cfvo type="max"/>
        <color rgb="FF63C384"/>
      </dataBar>
    </cfRule>
  </conditionalFormatting>
  <conditionalFormatting sqref="T1005">
    <cfRule type="expression" priority="551" dxfId="2">
      <formula>AND(AND($W1005&lt;TODAY(),$W1005&lt;&gt;""),$X1005="")</formula>
    </cfRule>
  </conditionalFormatting>
  <conditionalFormatting sqref="J1005">
    <cfRule type="cellIs" priority="550" operator="equal" dxfId="2034">
      <formula>"ja"</formula>
    </cfRule>
  </conditionalFormatting>
  <conditionalFormatting sqref="C1005">
    <cfRule type="containsText" priority="548" operator="containsText" dxfId="1" text="Einnahmen">
      <formula>NOT(ISERROR(SEARCH("Einnahmen",C1005)))</formula>
    </cfRule>
    <cfRule type="containsText" priority="549" operator="containsText" dxfId="0" text="Ausgaben">
      <formula>NOT(ISERROR(SEARCH("Ausgaben",C1005)))</formula>
    </cfRule>
  </conditionalFormatting>
  <conditionalFormatting sqref="Z1005">
    <cfRule type="dataBar" priority="547">
      <dataBar>
        <cfvo type="min"/>
        <cfvo type="max"/>
        <color rgb="FF63C384"/>
      </dataBar>
    </cfRule>
    <cfRule type="dataBar" priority="546">
      <dataBar>
        <cfvo type="min"/>
        <cfvo type="max"/>
        <color rgb="FF63C384"/>
      </dataBar>
    </cfRule>
  </conditionalFormatting>
  <conditionalFormatting sqref="T1006">
    <cfRule type="expression" priority="544" dxfId="2">
      <formula>AND(AND($W1006&lt;TODAY(),$W1006&lt;&gt;""),$X1006="")</formula>
    </cfRule>
  </conditionalFormatting>
  <conditionalFormatting sqref="C1006">
    <cfRule type="containsText" priority="542" operator="containsText" dxfId="1" text="Einnahmen">
      <formula>NOT(ISERROR(SEARCH("Einnahmen",C1006)))</formula>
    </cfRule>
    <cfRule type="containsText" priority="543" operator="containsText" dxfId="0" text="Ausgaben">
      <formula>NOT(ISERROR(SEARCH("Ausgaben",C1006)))</formula>
    </cfRule>
    <cfRule type="containsText" priority="538" operator="containsText" dxfId="1" text="Einnahmen">
      <formula>NOT(ISERROR(SEARCH("Einnahmen",C1006)))</formula>
    </cfRule>
    <cfRule type="containsText" priority="539" operator="containsText" dxfId="0" text="Ausgaben">
      <formula>NOT(ISERROR(SEARCH("Ausgaben",C1006)))</formula>
    </cfRule>
  </conditionalFormatting>
  <conditionalFormatting sqref="J1006">
    <cfRule type="cellIs" priority="541" operator="equal" dxfId="2034">
      <formula>"ja"</formula>
    </cfRule>
    <cfRule type="cellIs" priority="540" operator="equal" dxfId="2034">
      <formula>"ja"</formula>
    </cfRule>
    <cfRule type="cellIs" priority="537" operator="equal" dxfId="2034">
      <formula>"ja"</formula>
    </cfRule>
    <cfRule type="cellIs" priority="534" operator="equal" dxfId="2034">
      <formula>"ja"</formula>
    </cfRule>
  </conditionalFormatting>
  <conditionalFormatting sqref="Z1006">
    <cfRule type="dataBar" priority="536">
      <dataBar>
        <cfvo type="min"/>
        <cfvo type="max"/>
        <color rgb="FF63C384"/>
      </dataBar>
    </cfRule>
    <cfRule type="dataBar" priority="535">
      <dataBar>
        <cfvo type="min"/>
        <cfvo type="max"/>
        <color rgb="FF63C384"/>
      </dataBar>
    </cfRule>
    <cfRule type="dataBar" priority="533">
      <dataBar>
        <cfvo type="min"/>
        <cfvo type="max"/>
        <color rgb="FF63C384"/>
      </dataBar>
    </cfRule>
    <cfRule type="dataBar" priority="532">
      <dataBar>
        <cfvo type="min"/>
        <cfvo type="max"/>
        <color rgb="FF63C384"/>
      </dataBar>
    </cfRule>
  </conditionalFormatting>
  <conditionalFormatting sqref="T1007">
    <cfRule type="expression" priority="530" dxfId="2">
      <formula>AND(AND($W1007&lt;TODAY(),$W1007&lt;&gt;""),$X1007="")</formula>
    </cfRule>
  </conditionalFormatting>
  <conditionalFormatting sqref="J1007">
    <cfRule type="cellIs" priority="529" operator="equal" dxfId="2034">
      <formula>"ja"</formula>
    </cfRule>
    <cfRule type="cellIs" priority="527" operator="equal" dxfId="2034">
      <formula>"ja"</formula>
    </cfRule>
    <cfRule type="cellIs" priority="526" operator="equal" dxfId="2034">
      <formula>"ja"</formula>
    </cfRule>
  </conditionalFormatting>
  <conditionalFormatting sqref="Z1007">
    <cfRule type="dataBar" priority="528">
      <dataBar>
        <cfvo type="min"/>
        <cfvo type="max"/>
        <color rgb="FF63C384"/>
      </dataBar>
    </cfRule>
  </conditionalFormatting>
  <conditionalFormatting sqref="C1007">
    <cfRule type="containsText" priority="524" operator="containsText" dxfId="1" text="Einnahmen">
      <formula>NOT(ISERROR(SEARCH("Einnahmen",C1007)))</formula>
    </cfRule>
    <cfRule type="containsText" priority="525" operator="containsText" dxfId="0" text="Ausgaben">
      <formula>NOT(ISERROR(SEARCH("Ausgaben",C1007)))</formula>
    </cfRule>
    <cfRule type="containsText" priority="522" operator="containsText" dxfId="1" text="Einnahmen">
      <formula>NOT(ISERROR(SEARCH("Einnahmen",C1007)))</formula>
    </cfRule>
    <cfRule type="containsText" priority="523" operator="containsText" dxfId="0" text="Ausgaben">
      <formula>NOT(ISERROR(SEARCH("Ausgaben",C1007)))</formula>
    </cfRule>
  </conditionalFormatting>
  <conditionalFormatting sqref="T1008">
    <cfRule type="expression" priority="521" dxfId="2">
      <formula>AND(AND($W1008&lt;TODAY(),$W1008&lt;&gt;""),$X1008="")</formula>
    </cfRule>
  </conditionalFormatting>
  <conditionalFormatting sqref="C1008">
    <cfRule type="containsText" priority="519" operator="containsText" dxfId="1" text="Einnahmen">
      <formula>NOT(ISERROR(SEARCH("Einnahmen",C1008)))</formula>
    </cfRule>
    <cfRule type="containsText" priority="520" operator="containsText" dxfId="0" text="Ausgaben">
      <formula>NOT(ISERROR(SEARCH("Ausgaben",C1008)))</formula>
    </cfRule>
  </conditionalFormatting>
  <conditionalFormatting sqref="Z1008">
    <cfRule type="dataBar" priority="518">
      <dataBar>
        <cfvo type="min"/>
        <cfvo type="max"/>
        <color rgb="FF63C384"/>
      </dataBar>
    </cfRule>
    <cfRule type="dataBar" priority="517">
      <dataBar>
        <cfvo type="min"/>
        <cfvo type="max"/>
        <color rgb="FF63C384"/>
      </dataBar>
    </cfRule>
    <cfRule type="dataBar" priority="516">
      <dataBar>
        <cfvo type="min"/>
        <cfvo type="max"/>
        <color rgb="FF63C384"/>
      </dataBar>
    </cfRule>
    <cfRule type="dataBar" priority="515">
      <dataBar>
        <cfvo type="min"/>
        <cfvo type="max"/>
        <color rgb="FF63C384"/>
      </dataBar>
    </cfRule>
  </conditionalFormatting>
  <conditionalFormatting sqref="T1009">
    <cfRule type="expression" priority="503" dxfId="2">
      <formula>AND(AND($W1009&lt;TODAY(),$W1009&lt;&gt;""),$X1009="")</formula>
    </cfRule>
  </conditionalFormatting>
  <conditionalFormatting sqref="J1009">
    <cfRule type="cellIs" priority="502" operator="equal" dxfId="2034">
      <formula>"ja"</formula>
    </cfRule>
    <cfRule type="cellIs" priority="497" operator="equal" dxfId="2034">
      <formula>"ja"</formula>
    </cfRule>
  </conditionalFormatting>
  <conditionalFormatting sqref="Z1009">
    <cfRule type="dataBar" priority="501">
      <dataBar>
        <cfvo type="min"/>
        <cfvo type="max"/>
        <color rgb="FF63C384"/>
      </dataBar>
    </cfRule>
    <cfRule type="dataBar" priority="500">
      <dataBar>
        <cfvo type="min"/>
        <cfvo type="max"/>
        <color rgb="FF63C384"/>
      </dataBar>
    </cfRule>
    <cfRule type="dataBar" priority="499">
      <dataBar>
        <cfvo type="min"/>
        <cfvo type="max"/>
        <color rgb="FF63C384"/>
      </dataBar>
    </cfRule>
    <cfRule type="dataBar" priority="498">
      <dataBar>
        <cfvo type="min"/>
        <cfvo type="max"/>
        <color rgb="FF63C384"/>
      </dataBar>
    </cfRule>
  </conditionalFormatting>
  <conditionalFormatting sqref="C1009">
    <cfRule type="containsText" priority="495" operator="containsText" dxfId="1" text="Einnahmen">
      <formula>NOT(ISERROR(SEARCH("Einnahmen",C1009)))</formula>
    </cfRule>
    <cfRule type="containsText" priority="496" operator="containsText" dxfId="0" text="Ausgaben">
      <formula>NOT(ISERROR(SEARCH("Ausgaben",C1009)))</formula>
    </cfRule>
  </conditionalFormatting>
  <conditionalFormatting sqref="T1010">
    <cfRule type="expression" priority="494" dxfId="2">
      <formula>AND(AND($W1010&lt;TODAY(),$W1010&lt;&gt;""),$X1010="")</formula>
    </cfRule>
  </conditionalFormatting>
  <conditionalFormatting sqref="C1010">
    <cfRule type="containsText" priority="492" operator="containsText" dxfId="1" text="Einnahmen">
      <formula>NOT(ISERROR(SEARCH("Einnahmen",C1010)))</formula>
    </cfRule>
    <cfRule type="containsText" priority="493" operator="containsText" dxfId="0" text="Ausgaben">
      <formula>NOT(ISERROR(SEARCH("Ausgaben",C1010)))</formula>
    </cfRule>
  </conditionalFormatting>
  <conditionalFormatting sqref="Z1010">
    <cfRule type="dataBar" priority="491">
      <dataBar>
        <cfvo type="min"/>
        <cfvo type="max"/>
        <color rgb="FF63C384"/>
      </dataBar>
    </cfRule>
    <cfRule type="dataBar" priority="490">
      <dataBar>
        <cfvo type="min"/>
        <cfvo type="max"/>
        <color rgb="FF63C384"/>
      </dataBar>
    </cfRule>
  </conditionalFormatting>
  <conditionalFormatting sqref="J1010">
    <cfRule type="cellIs" priority="489" operator="equal" dxfId="2034">
      <formula>"ja"</formula>
    </cfRule>
    <cfRule type="cellIs" priority="488" operator="equal" dxfId="2034">
      <formula>"ja"</formula>
    </cfRule>
  </conditionalFormatting>
  <conditionalFormatting sqref="T1011">
    <cfRule type="expression" priority="487" dxfId="2">
      <formula>AND(AND($W1011&lt;TODAY(),$W1011&lt;&gt;""),$X1011="")</formula>
    </cfRule>
  </conditionalFormatting>
  <conditionalFormatting sqref="T1012">
    <cfRule type="expression" priority="486" dxfId="2">
      <formula>AND(AND($W1012&lt;TODAY(),$W1012&lt;&gt;""),$X1012="")</formula>
    </cfRule>
  </conditionalFormatting>
  <conditionalFormatting sqref="C1012">
    <cfRule type="containsText" priority="484" operator="containsText" dxfId="1" text="Einnahmen">
      <formula>NOT(ISERROR(SEARCH("Einnahmen",C1012)))</formula>
    </cfRule>
    <cfRule type="containsText" priority="485" operator="containsText" dxfId="0" text="Ausgaben">
      <formula>NOT(ISERROR(SEARCH("Ausgaben",C1012)))</formula>
    </cfRule>
    <cfRule type="containsText" priority="482" operator="containsText" dxfId="1" text="Einnahmen">
      <formula>NOT(ISERROR(SEARCH("Einnahmen",C1012)))</formula>
    </cfRule>
    <cfRule type="containsText" priority="483" operator="containsText" dxfId="0" text="Ausgaben">
      <formula>NOT(ISERROR(SEARCH("Ausgaben",C1012)))</formula>
    </cfRule>
  </conditionalFormatting>
  <conditionalFormatting sqref="J1012">
    <cfRule type="cellIs" priority="481" operator="equal" dxfId="2034">
      <formula>"ja"</formula>
    </cfRule>
    <cfRule type="cellIs" priority="479" operator="equal" dxfId="2034">
      <formula>"ja"</formula>
    </cfRule>
  </conditionalFormatting>
  <conditionalFormatting sqref="Z1012">
    <cfRule type="dataBar" priority="480">
      <dataBar>
        <cfvo type="min"/>
        <cfvo type="max"/>
        <color rgb="FF63C384"/>
      </dataBar>
    </cfRule>
  </conditionalFormatting>
  <conditionalFormatting sqref="Z982:Z983">
    <cfRule type="dataBar" priority="12691">
      <dataBar>
        <cfvo type="min"/>
        <cfvo type="max"/>
        <color rgb="FF63C384"/>
      </dataBar>
    </cfRule>
  </conditionalFormatting>
  <conditionalFormatting sqref="C1013">
    <cfRule type="containsText" priority="477" operator="containsText" dxfId="1" text="Einnahmen">
      <formula>NOT(ISERROR(SEARCH("Einnahmen",C1013)))</formula>
    </cfRule>
    <cfRule type="containsText" priority="478" operator="containsText" dxfId="0" text="Ausgaben">
      <formula>NOT(ISERROR(SEARCH("Ausgaben",C1013)))</formula>
    </cfRule>
  </conditionalFormatting>
  <conditionalFormatting sqref="T1013">
    <cfRule type="expression" priority="476" dxfId="2">
      <formula>AND(AND($W1013&lt;TODAY(),$W1013&lt;&gt;""),$X1013="")</formula>
    </cfRule>
  </conditionalFormatting>
  <conditionalFormatting sqref="Z1013">
    <cfRule type="dataBar" priority="475">
      <dataBar>
        <cfvo type="min"/>
        <cfvo type="max"/>
        <color rgb="FF63C384"/>
      </dataBar>
    </cfRule>
    <cfRule type="dataBar" priority="474">
      <dataBar>
        <cfvo type="min"/>
        <cfvo type="max"/>
        <color rgb="FF63C384"/>
      </dataBar>
    </cfRule>
    <cfRule type="dataBar" priority="473">
      <dataBar>
        <cfvo type="min"/>
        <cfvo type="max"/>
        <color rgb="FF63C384"/>
      </dataBar>
    </cfRule>
    <cfRule type="dataBar" priority="472">
      <dataBar>
        <cfvo type="min"/>
        <cfvo type="max"/>
        <color rgb="FF63C384"/>
      </dataBar>
    </cfRule>
  </conditionalFormatting>
  <conditionalFormatting sqref="C874">
    <cfRule type="containsText" priority="470" operator="containsText" dxfId="1" text="Einnahmen">
      <formula>NOT(ISERROR(SEARCH("Einnahmen",C874)))</formula>
    </cfRule>
    <cfRule type="containsText" priority="471" operator="containsText" dxfId="0" text="Ausgaben">
      <formula>NOT(ISERROR(SEARCH("Ausgaben",C874)))</formula>
    </cfRule>
  </conditionalFormatting>
  <conditionalFormatting sqref="Z874">
    <cfRule type="dataBar" priority="469">
      <dataBar>
        <cfvo type="min"/>
        <cfvo type="max"/>
        <color rgb="FF63C384"/>
      </dataBar>
    </cfRule>
    <cfRule type="dataBar" priority="468">
      <dataBar>
        <cfvo type="min"/>
        <cfvo type="max"/>
        <color rgb="FF63C384"/>
      </dataBar>
    </cfRule>
    <cfRule type="dataBar" priority="467">
      <dataBar>
        <cfvo type="min"/>
        <cfvo type="max"/>
        <color rgb="FF63C384"/>
      </dataBar>
    </cfRule>
    <cfRule type="dataBar" priority="466">
      <dataBar>
        <cfvo type="min"/>
        <cfvo type="max"/>
        <color rgb="FF63C384"/>
      </dataBar>
    </cfRule>
  </conditionalFormatting>
  <conditionalFormatting sqref="C821">
    <cfRule type="containsText" priority="464" operator="containsText" dxfId="1" text="Einnahmen">
      <formula>NOT(ISERROR(SEARCH("Einnahmen",C821)))</formula>
    </cfRule>
    <cfRule type="containsText" priority="465" operator="containsText" dxfId="0" text="Ausgaben">
      <formula>NOT(ISERROR(SEARCH("Ausgaben",C821)))</formula>
    </cfRule>
  </conditionalFormatting>
  <conditionalFormatting sqref="T1014">
    <cfRule type="expression" priority="463" dxfId="2">
      <formula>AND(AND($W1014&lt;TODAY(),$W1014&lt;&gt;""),$X1014="")</formula>
    </cfRule>
  </conditionalFormatting>
  <conditionalFormatting sqref="T1015">
    <cfRule type="expression" priority="462" dxfId="2">
      <formula>AND(AND($W1015&lt;TODAY(),$W1015&lt;&gt;""),$X1015="")</formula>
    </cfRule>
  </conditionalFormatting>
  <conditionalFormatting sqref="Z1015">
    <cfRule type="dataBar" priority="461">
      <dataBar>
        <cfvo type="min"/>
        <cfvo type="max"/>
        <color rgb="FF63C384"/>
      </dataBar>
    </cfRule>
    <cfRule type="dataBar" priority="460">
      <dataBar>
        <cfvo type="min"/>
        <cfvo type="max"/>
        <color rgb="FF63C384"/>
      </dataBar>
    </cfRule>
  </conditionalFormatting>
  <conditionalFormatting sqref="J1015">
    <cfRule type="cellIs" priority="459" operator="equal" dxfId="2034">
      <formula>"ja"</formula>
    </cfRule>
  </conditionalFormatting>
  <conditionalFormatting sqref="C1015">
    <cfRule type="containsText" priority="457" operator="containsText" dxfId="1" text="Einnahmen">
      <formula>NOT(ISERROR(SEARCH("Einnahmen",C1015)))</formula>
    </cfRule>
    <cfRule type="containsText" priority="458" operator="containsText" dxfId="0" text="Ausgaben">
      <formula>NOT(ISERROR(SEARCH("Ausgaben",C1015)))</formula>
    </cfRule>
  </conditionalFormatting>
  <conditionalFormatting sqref="C1016">
    <cfRule type="containsText" priority="455" operator="containsText" dxfId="1" text="Einnahmen">
      <formula>NOT(ISERROR(SEARCH("Einnahmen",C1016)))</formula>
    </cfRule>
    <cfRule type="containsText" priority="456" operator="containsText" dxfId="0" text="Ausgaben">
      <formula>NOT(ISERROR(SEARCH("Ausgaben",C1016)))</formula>
    </cfRule>
  </conditionalFormatting>
  <conditionalFormatting sqref="T1016">
    <cfRule type="expression" priority="454" dxfId="2">
      <formula>AND(AND($W1016&lt;TODAY(),$W1016&lt;&gt;""),$X1016="")</formula>
    </cfRule>
  </conditionalFormatting>
  <conditionalFormatting sqref="J1016">
    <cfRule type="cellIs" priority="453" operator="equal" dxfId="2034">
      <formula>"ja"</formula>
    </cfRule>
    <cfRule type="cellIs" priority="451" operator="equal" dxfId="2034">
      <formula>"ja"</formula>
    </cfRule>
  </conditionalFormatting>
  <conditionalFormatting sqref="Z1016">
    <cfRule type="dataBar" priority="452">
      <dataBar>
        <cfvo type="min"/>
        <cfvo type="max"/>
        <color rgb="FF63C384"/>
      </dataBar>
    </cfRule>
  </conditionalFormatting>
  <conditionalFormatting sqref="T1017">
    <cfRule type="expression" priority="450" dxfId="2">
      <formula>AND(AND($W1017&lt;TODAY(),$W1017&lt;&gt;""),$X1017="")</formula>
    </cfRule>
  </conditionalFormatting>
  <conditionalFormatting sqref="C1017">
    <cfRule type="containsText" priority="448" operator="containsText" dxfId="1" text="Einnahmen">
      <formula>NOT(ISERROR(SEARCH("Einnahmen",C1017)))</formula>
    </cfRule>
    <cfRule type="containsText" priority="449" operator="containsText" dxfId="0" text="Ausgaben">
      <formula>NOT(ISERROR(SEARCH("Ausgaben",C1017)))</formula>
    </cfRule>
  </conditionalFormatting>
  <conditionalFormatting sqref="J1017">
    <cfRule type="cellIs" priority="447" operator="equal" dxfId="2034">
      <formula>"ja"</formula>
    </cfRule>
  </conditionalFormatting>
  <conditionalFormatting sqref="Z1017">
    <cfRule type="dataBar" priority="446">
      <dataBar>
        <cfvo type="min"/>
        <cfvo type="max"/>
        <color rgb="FF63C384"/>
      </dataBar>
    </cfRule>
    <cfRule type="dataBar" priority="445">
      <dataBar>
        <cfvo type="min"/>
        <cfvo type="max"/>
        <color rgb="FF63C384"/>
      </dataBar>
    </cfRule>
  </conditionalFormatting>
  <conditionalFormatting sqref="T1018">
    <cfRule type="expression" priority="444" dxfId="2">
      <formula>AND(AND($W1018&lt;TODAY(),$W1018&lt;&gt;""),$X1018="")</formula>
    </cfRule>
  </conditionalFormatting>
  <conditionalFormatting sqref="C1018">
    <cfRule type="containsText" priority="442" operator="containsText" dxfId="1" text="Einnahmen">
      <formula>NOT(ISERROR(SEARCH("Einnahmen",C1018)))</formula>
    </cfRule>
    <cfRule type="containsText" priority="443" operator="containsText" dxfId="0" text="Ausgaben">
      <formula>NOT(ISERROR(SEARCH("Ausgaben",C1018)))</formula>
    </cfRule>
    <cfRule type="containsText" priority="428" operator="containsText" dxfId="1" text="Einnahmen">
      <formula>NOT(ISERROR(SEARCH("Einnahmen",C1018)))</formula>
    </cfRule>
    <cfRule type="containsText" priority="429" operator="containsText" dxfId="0" text="Ausgaben">
      <formula>NOT(ISERROR(SEARCH("Ausgaben",C1018)))</formula>
    </cfRule>
    <cfRule type="containsText" priority="426" operator="containsText" dxfId="1" text="Einnahmen">
      <formula>NOT(ISERROR(SEARCH("Einnahmen",C1018)))</formula>
    </cfRule>
    <cfRule type="containsText" priority="427" operator="containsText" dxfId="0" text="Ausgaben">
      <formula>NOT(ISERROR(SEARCH("Ausgaben",C1018)))</formula>
    </cfRule>
  </conditionalFormatting>
  <conditionalFormatting sqref="J1018">
    <cfRule type="cellIs" priority="441" operator="equal" dxfId="2034">
      <formula>"ja"</formula>
    </cfRule>
    <cfRule type="cellIs" priority="432" operator="equal" dxfId="2034">
      <formula>"ja"</formula>
    </cfRule>
    <cfRule type="cellIs" priority="438" operator="equal" dxfId="2034">
      <formula>"ja"</formula>
    </cfRule>
    <cfRule type="cellIs" priority="435" operator="equal" dxfId="2034">
      <formula>"ja"</formula>
    </cfRule>
    <cfRule type="cellIs" priority="425" operator="equal" dxfId="2034">
      <formula>"ja"</formula>
    </cfRule>
    <cfRule type="cellIs" priority="424" operator="equal" dxfId="2034">
      <formula>"ja"</formula>
    </cfRule>
  </conditionalFormatting>
  <conditionalFormatting sqref="Z1018">
    <cfRule type="dataBar" priority="440">
      <dataBar>
        <cfvo type="min"/>
        <cfvo type="max"/>
        <color rgb="FF63C384"/>
      </dataBar>
    </cfRule>
    <cfRule type="dataBar" priority="439">
      <dataBar>
        <cfvo type="min"/>
        <cfvo type="max"/>
        <color rgb="FF63C384"/>
      </dataBar>
    </cfRule>
    <cfRule type="dataBar" priority="437">
      <dataBar>
        <cfvo type="min"/>
        <cfvo type="max"/>
        <color rgb="FF63C384"/>
      </dataBar>
    </cfRule>
    <cfRule type="dataBar" priority="436">
      <dataBar>
        <cfvo type="min"/>
        <cfvo type="max"/>
        <color rgb="FF63C384"/>
      </dataBar>
    </cfRule>
    <cfRule type="dataBar" priority="434">
      <dataBar>
        <cfvo type="min"/>
        <cfvo type="max"/>
        <color rgb="FF63C384"/>
      </dataBar>
    </cfRule>
    <cfRule type="dataBar" priority="433">
      <dataBar>
        <cfvo type="min"/>
        <cfvo type="max"/>
        <color rgb="FF63C384"/>
      </dataBar>
    </cfRule>
    <cfRule type="dataBar" priority="431">
      <dataBar>
        <cfvo type="min"/>
        <cfvo type="max"/>
        <color rgb="FF63C384"/>
      </dataBar>
    </cfRule>
    <cfRule type="dataBar" priority="430">
      <dataBar>
        <cfvo type="min"/>
        <cfvo type="max"/>
        <color rgb="FF63C384"/>
      </dataBar>
    </cfRule>
  </conditionalFormatting>
  <conditionalFormatting sqref="T1019">
    <cfRule type="expression" priority="423" dxfId="2">
      <formula>AND(AND($W1019&lt;TODAY(),$W1019&lt;&gt;""),$X1019="")</formula>
    </cfRule>
  </conditionalFormatting>
  <conditionalFormatting sqref="C1019">
    <cfRule type="containsText" priority="421" operator="containsText" dxfId="1" text="Einnahmen">
      <formula>NOT(ISERROR(SEARCH("Einnahmen",C1019)))</formula>
    </cfRule>
    <cfRule type="containsText" priority="422" operator="containsText" dxfId="0" text="Ausgaben">
      <formula>NOT(ISERROR(SEARCH("Ausgaben",C1019)))</formula>
    </cfRule>
    <cfRule type="containsText" priority="419" operator="containsText" dxfId="1" text="Einnahmen">
      <formula>NOT(ISERROR(SEARCH("Einnahmen",C1019)))</formula>
    </cfRule>
    <cfRule type="containsText" priority="420" operator="containsText" dxfId="0" text="Ausgaben">
      <formula>NOT(ISERROR(SEARCH("Ausgaben",C1019)))</formula>
    </cfRule>
  </conditionalFormatting>
  <conditionalFormatting sqref="J1019">
    <cfRule type="cellIs" priority="418" operator="equal" dxfId="2034">
      <formula>"ja"</formula>
    </cfRule>
    <cfRule type="cellIs" priority="416" operator="equal" dxfId="2034">
      <formula>"ja"</formula>
    </cfRule>
  </conditionalFormatting>
  <conditionalFormatting sqref="Z1019">
    <cfRule type="dataBar" priority="417">
      <dataBar>
        <cfvo type="min"/>
        <cfvo type="max"/>
        <color rgb="FF63C384"/>
      </dataBar>
    </cfRule>
  </conditionalFormatting>
  <conditionalFormatting sqref="T1020">
    <cfRule type="expression" priority="396" dxfId="2">
      <formula>AND(AND($W1020&lt;TODAY(),$W1020&lt;&gt;""),$X1020="")</formula>
    </cfRule>
  </conditionalFormatting>
  <conditionalFormatting sqref="J1020">
    <cfRule type="cellIs" priority="395" operator="equal" dxfId="2034">
      <formula>"ja"</formula>
    </cfRule>
  </conditionalFormatting>
  <conditionalFormatting sqref="C1020">
    <cfRule type="containsText" priority="393" operator="containsText" dxfId="1" text="Einnahmen">
      <formula>NOT(ISERROR(SEARCH("Einnahmen",C1020)))</formula>
    </cfRule>
    <cfRule type="containsText" priority="394" operator="containsText" dxfId="0" text="Ausgaben">
      <formula>NOT(ISERROR(SEARCH("Ausgaben",C1020)))</formula>
    </cfRule>
  </conditionalFormatting>
  <conditionalFormatting sqref="Z1020">
    <cfRule type="dataBar" priority="392">
      <dataBar>
        <cfvo type="min"/>
        <cfvo type="max"/>
        <color rgb="FF63C384"/>
      </dataBar>
    </cfRule>
    <cfRule type="dataBar" priority="391">
      <dataBar>
        <cfvo type="min"/>
        <cfvo type="max"/>
        <color rgb="FF63C384"/>
      </dataBar>
    </cfRule>
  </conditionalFormatting>
  <conditionalFormatting sqref="T1021">
    <cfRule type="expression" priority="390" dxfId="2">
      <formula>AND(AND($W1021&lt;TODAY(),$W1021&lt;&gt;""),$X1021="")</formula>
    </cfRule>
  </conditionalFormatting>
  <conditionalFormatting sqref="J1021">
    <cfRule type="cellIs" priority="389" operator="equal" dxfId="2034">
      <formula>"ja"</formula>
    </cfRule>
    <cfRule type="cellIs" priority="387" operator="equal" dxfId="2034">
      <formula>"ja"</formula>
    </cfRule>
    <cfRule type="cellIs" priority="386" operator="equal" dxfId="2034">
      <formula>"ja"</formula>
    </cfRule>
  </conditionalFormatting>
  <conditionalFormatting sqref="Z1021">
    <cfRule type="dataBar" priority="388">
      <dataBar>
        <cfvo type="min"/>
        <cfvo type="max"/>
        <color rgb="FF63C384"/>
      </dataBar>
    </cfRule>
  </conditionalFormatting>
  <conditionalFormatting sqref="C1021">
    <cfRule type="containsText" priority="384" operator="containsText" dxfId="1" text="Einnahmen">
      <formula>NOT(ISERROR(SEARCH("Einnahmen",C1021)))</formula>
    </cfRule>
    <cfRule type="containsText" priority="385" operator="containsText" dxfId="0" text="Ausgaben">
      <formula>NOT(ISERROR(SEARCH("Ausgaben",C1021)))</formula>
    </cfRule>
    <cfRule type="containsText" priority="382" operator="containsText" dxfId="1" text="Einnahmen">
      <formula>NOT(ISERROR(SEARCH("Einnahmen",C1021)))</formula>
    </cfRule>
    <cfRule type="containsText" priority="383" operator="containsText" dxfId="0" text="Ausgaben">
      <formula>NOT(ISERROR(SEARCH("Ausgaben",C1021)))</formula>
    </cfRule>
  </conditionalFormatting>
  <conditionalFormatting sqref="T1022">
    <cfRule type="expression" priority="381" dxfId="2">
      <formula>AND(AND($W1022&lt;TODAY(),$W1022&lt;&gt;""),$X1022="")</formula>
    </cfRule>
  </conditionalFormatting>
  <conditionalFormatting sqref="C1022">
    <cfRule type="containsText" priority="379" operator="containsText" dxfId="1" text="Einnahmen">
      <formula>NOT(ISERROR(SEARCH("Einnahmen",C1022)))</formula>
    </cfRule>
    <cfRule type="containsText" priority="380" operator="containsText" dxfId="0" text="Ausgaben">
      <formula>NOT(ISERROR(SEARCH("Ausgaben",C1022)))</formula>
    </cfRule>
    <cfRule type="containsText" priority="375" operator="containsText" dxfId="1" text="Einnahmen">
      <formula>NOT(ISERROR(SEARCH("Einnahmen",C1022)))</formula>
    </cfRule>
    <cfRule type="containsText" priority="376" operator="containsText" dxfId="0" text="Ausgaben">
      <formula>NOT(ISERROR(SEARCH("Ausgaben",C1022)))</formula>
    </cfRule>
  </conditionalFormatting>
  <conditionalFormatting sqref="J1022">
    <cfRule type="cellIs" priority="378" operator="equal" dxfId="2034">
      <formula>"ja"</formula>
    </cfRule>
    <cfRule type="cellIs" priority="377" operator="equal" dxfId="2034">
      <formula>"ja"</formula>
    </cfRule>
    <cfRule type="cellIs" priority="374" operator="equal" dxfId="2034">
      <formula>"ja"</formula>
    </cfRule>
    <cfRule type="cellIs" priority="371" operator="equal" dxfId="2034">
      <formula>"ja"</formula>
    </cfRule>
  </conditionalFormatting>
  <conditionalFormatting sqref="Z1022">
    <cfRule type="dataBar" priority="373">
      <dataBar>
        <cfvo type="min"/>
        <cfvo type="max"/>
        <color rgb="FF63C384"/>
      </dataBar>
    </cfRule>
    <cfRule type="dataBar" priority="372">
      <dataBar>
        <cfvo type="min"/>
        <cfvo type="max"/>
        <color rgb="FF63C384"/>
      </dataBar>
    </cfRule>
    <cfRule type="dataBar" priority="370">
      <dataBar>
        <cfvo type="min"/>
        <cfvo type="max"/>
        <color rgb="FF63C384"/>
      </dataBar>
    </cfRule>
    <cfRule type="dataBar" priority="369">
      <dataBar>
        <cfvo type="min"/>
        <cfvo type="max"/>
        <color rgb="FF63C384"/>
      </dataBar>
    </cfRule>
  </conditionalFormatting>
  <conditionalFormatting sqref="T1023">
    <cfRule type="expression" priority="368" dxfId="2">
      <formula>AND(AND($W1023&lt;TODAY(),$W1023&lt;&gt;""),$X1023="")</formula>
    </cfRule>
  </conditionalFormatting>
  <conditionalFormatting sqref="C1023">
    <cfRule type="containsText" priority="366" operator="containsText" dxfId="1" text="Einnahmen">
      <formula>NOT(ISERROR(SEARCH("Einnahmen",C1023)))</formula>
    </cfRule>
    <cfRule type="containsText" priority="367" operator="containsText" dxfId="0" text="Ausgaben">
      <formula>NOT(ISERROR(SEARCH("Ausgaben",C1023)))</formula>
    </cfRule>
  </conditionalFormatting>
  <conditionalFormatting sqref="Z1023">
    <cfRule type="dataBar" priority="365">
      <dataBar>
        <cfvo type="min"/>
        <cfvo type="max"/>
        <color rgb="FF63C384"/>
      </dataBar>
    </cfRule>
    <cfRule type="dataBar" priority="364">
      <dataBar>
        <cfvo type="min"/>
        <cfvo type="max"/>
        <color rgb="FF63C384"/>
      </dataBar>
    </cfRule>
    <cfRule type="dataBar" priority="363">
      <dataBar>
        <cfvo type="min"/>
        <cfvo type="max"/>
        <color rgb="FF63C384"/>
      </dataBar>
    </cfRule>
    <cfRule type="dataBar" priority="362">
      <dataBar>
        <cfvo type="min"/>
        <cfvo type="max"/>
        <color rgb="FF63C384"/>
      </dataBar>
    </cfRule>
  </conditionalFormatting>
  <conditionalFormatting sqref="T1024">
    <cfRule type="expression" priority="361" dxfId="2">
      <formula>AND(AND($W1024&lt;TODAY(),$W1024&lt;&gt;""),$X1024="")</formula>
    </cfRule>
  </conditionalFormatting>
  <conditionalFormatting sqref="C1024">
    <cfRule type="containsText" priority="359" operator="containsText" dxfId="1" text="Einnahmen">
      <formula>NOT(ISERROR(SEARCH("Einnahmen",C1024)))</formula>
    </cfRule>
    <cfRule type="containsText" priority="360" operator="containsText" dxfId="0" text="Ausgaben">
      <formula>NOT(ISERROR(SEARCH("Ausgaben",C1024)))</formula>
    </cfRule>
  </conditionalFormatting>
  <conditionalFormatting sqref="Z1024">
    <cfRule type="dataBar" priority="358">
      <dataBar>
        <cfvo type="min"/>
        <cfvo type="max"/>
        <color rgb="FF63C384"/>
      </dataBar>
    </cfRule>
    <cfRule type="dataBar" priority="357">
      <dataBar>
        <cfvo type="min"/>
        <cfvo type="max"/>
        <color rgb="FF63C384"/>
      </dataBar>
    </cfRule>
  </conditionalFormatting>
  <conditionalFormatting sqref="J1024">
    <cfRule type="cellIs" priority="356" operator="equal" dxfId="2034">
      <formula>"ja"</formula>
    </cfRule>
    <cfRule type="cellIs" priority="355" operator="equal" dxfId="2034">
      <formula>"ja"</formula>
    </cfRule>
  </conditionalFormatting>
  <conditionalFormatting sqref="T1025">
    <cfRule type="expression" priority="354" dxfId="2">
      <formula>AND(AND($W1025&lt;TODAY(),$W1025&lt;&gt;""),$X1025="")</formula>
    </cfRule>
  </conditionalFormatting>
  <conditionalFormatting sqref="J1025">
    <cfRule type="cellIs" priority="353" operator="equal" dxfId="2034">
      <formula>"ja"</formula>
    </cfRule>
    <cfRule type="cellIs" priority="348" operator="equal" dxfId="2034">
      <formula>"ja"</formula>
    </cfRule>
  </conditionalFormatting>
  <conditionalFormatting sqref="Z1025">
    <cfRule type="dataBar" priority="352">
      <dataBar>
        <cfvo type="min"/>
        <cfvo type="max"/>
        <color rgb="FF63C384"/>
      </dataBar>
    </cfRule>
    <cfRule type="dataBar" priority="351">
      <dataBar>
        <cfvo type="min"/>
        <cfvo type="max"/>
        <color rgb="FF63C384"/>
      </dataBar>
    </cfRule>
    <cfRule type="dataBar" priority="350">
      <dataBar>
        <cfvo type="min"/>
        <cfvo type="max"/>
        <color rgb="FF63C384"/>
      </dataBar>
    </cfRule>
    <cfRule type="dataBar" priority="349">
      <dataBar>
        <cfvo type="min"/>
        <cfvo type="max"/>
        <color rgb="FF63C384"/>
      </dataBar>
    </cfRule>
  </conditionalFormatting>
  <conditionalFormatting sqref="C1025">
    <cfRule type="containsText" priority="346" operator="containsText" dxfId="1" text="Einnahmen">
      <formula>NOT(ISERROR(SEARCH("Einnahmen",C1025)))</formula>
    </cfRule>
    <cfRule type="containsText" priority="347" operator="containsText" dxfId="0" text="Ausgaben">
      <formula>NOT(ISERROR(SEARCH("Ausgaben",C1025)))</formula>
    </cfRule>
  </conditionalFormatting>
  <conditionalFormatting sqref="T1026">
    <cfRule type="expression" priority="345" dxfId="2">
      <formula>AND(AND($W1026&lt;TODAY(),$W1026&lt;&gt;""),$X1026="")</formula>
    </cfRule>
  </conditionalFormatting>
  <conditionalFormatting sqref="C1026">
    <cfRule type="containsText" priority="343" operator="containsText" dxfId="1" text="Einnahmen">
      <formula>NOT(ISERROR(SEARCH("Einnahmen",C1026)))</formula>
    </cfRule>
    <cfRule type="containsText" priority="344" operator="containsText" dxfId="0" text="Ausgaben">
      <formula>NOT(ISERROR(SEARCH("Ausgaben",C1026)))</formula>
    </cfRule>
  </conditionalFormatting>
  <conditionalFormatting sqref="J1026">
    <cfRule type="cellIs" priority="342" operator="equal" dxfId="2034">
      <formula>"ja"</formula>
    </cfRule>
  </conditionalFormatting>
  <conditionalFormatting sqref="Z1026">
    <cfRule type="dataBar" priority="341">
      <dataBar>
        <cfvo type="min"/>
        <cfvo type="max"/>
        <color rgb="FF63C384"/>
      </dataBar>
    </cfRule>
    <cfRule type="dataBar" priority="340">
      <dataBar>
        <cfvo type="min"/>
        <cfvo type="max"/>
        <color rgb="FF63C384"/>
      </dataBar>
    </cfRule>
  </conditionalFormatting>
  <conditionalFormatting sqref="T1027">
    <cfRule type="expression" priority="339" dxfId="2">
      <formula>AND(AND($W1027&lt;TODAY(),$W1027&lt;&gt;""),$X1027="")</formula>
    </cfRule>
  </conditionalFormatting>
  <conditionalFormatting sqref="J1027">
    <cfRule type="cellIs" priority="338" operator="equal" dxfId="2034">
      <formula>"ja"</formula>
    </cfRule>
  </conditionalFormatting>
  <conditionalFormatting sqref="C1027">
    <cfRule type="containsText" priority="336" operator="containsText" dxfId="1" text="Einnahmen">
      <formula>NOT(ISERROR(SEARCH("Einnahmen",C1027)))</formula>
    </cfRule>
    <cfRule type="containsText" priority="337" operator="containsText" dxfId="0" text="Ausgaben">
      <formula>NOT(ISERROR(SEARCH("Ausgaben",C1027)))</formula>
    </cfRule>
  </conditionalFormatting>
  <conditionalFormatting sqref="Z1027">
    <cfRule type="dataBar" priority="335">
      <dataBar>
        <cfvo type="min"/>
        <cfvo type="max"/>
        <color rgb="FF63C384"/>
      </dataBar>
    </cfRule>
    <cfRule type="dataBar" priority="334">
      <dataBar>
        <cfvo type="min"/>
        <cfvo type="max"/>
        <color rgb="FF63C384"/>
      </dataBar>
    </cfRule>
  </conditionalFormatting>
  <conditionalFormatting sqref="T1028">
    <cfRule type="expression" priority="333" dxfId="2">
      <formula>AND(AND($W1028&lt;TODAY(),$W1028&lt;&gt;""),$X1028="")</formula>
    </cfRule>
  </conditionalFormatting>
  <conditionalFormatting sqref="Z1028">
    <cfRule type="dataBar" priority="332">
      <dataBar>
        <cfvo type="min"/>
        <cfvo type="max"/>
        <color rgb="FF63C384"/>
      </dataBar>
    </cfRule>
    <cfRule type="dataBar" priority="331">
      <dataBar>
        <cfvo type="min"/>
        <cfvo type="max"/>
        <color rgb="FF63C384"/>
      </dataBar>
    </cfRule>
  </conditionalFormatting>
  <conditionalFormatting sqref="J1028">
    <cfRule type="cellIs" priority="330" operator="equal" dxfId="2034">
      <formula>"ja"</formula>
    </cfRule>
  </conditionalFormatting>
  <conditionalFormatting sqref="C1028">
    <cfRule type="containsText" priority="328" operator="containsText" dxfId="1" text="Einnahmen">
      <formula>NOT(ISERROR(SEARCH("Einnahmen",C1028)))</formula>
    </cfRule>
    <cfRule type="containsText" priority="329" operator="containsText" dxfId="0" text="Ausgaben">
      <formula>NOT(ISERROR(SEARCH("Ausgaben",C1028)))</formula>
    </cfRule>
  </conditionalFormatting>
  <conditionalFormatting sqref="T1029">
    <cfRule type="expression" priority="327" dxfId="2">
      <formula>AND(AND($W1029&lt;TODAY(),$W1029&lt;&gt;""),$X1029="")</formula>
    </cfRule>
  </conditionalFormatting>
  <conditionalFormatting sqref="C1029">
    <cfRule type="containsText" priority="325" operator="containsText" dxfId="1" text="Einnahmen">
      <formula>NOT(ISERROR(SEARCH("Einnahmen",C1029)))</formula>
    </cfRule>
    <cfRule type="containsText" priority="326" operator="containsText" dxfId="0" text="Ausgaben">
      <formula>NOT(ISERROR(SEARCH("Ausgaben",C1029)))</formula>
    </cfRule>
    <cfRule type="containsText" priority="323" operator="containsText" dxfId="1" text="Einnahmen">
      <formula>NOT(ISERROR(SEARCH("Einnahmen",C1029)))</formula>
    </cfRule>
    <cfRule type="containsText" priority="324" operator="containsText" dxfId="0" text="Ausgaben">
      <formula>NOT(ISERROR(SEARCH("Ausgaben",C1029)))</formula>
    </cfRule>
  </conditionalFormatting>
  <conditionalFormatting sqref="J1029">
    <cfRule type="cellIs" priority="322" operator="equal" dxfId="2034">
      <formula>"ja"</formula>
    </cfRule>
    <cfRule type="cellIs" priority="320" operator="equal" dxfId="2034">
      <formula>"ja"</formula>
    </cfRule>
  </conditionalFormatting>
  <conditionalFormatting sqref="Z1029">
    <cfRule type="dataBar" priority="321">
      <dataBar>
        <cfvo type="min"/>
        <cfvo type="max"/>
        <color rgb="FF63C384"/>
      </dataBar>
    </cfRule>
  </conditionalFormatting>
  <conditionalFormatting sqref="C1030">
    <cfRule type="containsText" priority="318" operator="containsText" dxfId="1" text="Einnahmen">
      <formula>NOT(ISERROR(SEARCH("Einnahmen",C1030)))</formula>
    </cfRule>
    <cfRule type="containsText" priority="319" operator="containsText" dxfId="0" text="Ausgaben">
      <formula>NOT(ISERROR(SEARCH("Ausgaben",C1030)))</formula>
    </cfRule>
  </conditionalFormatting>
  <conditionalFormatting sqref="T1030">
    <cfRule type="expression" priority="317" dxfId="2">
      <formula>AND(AND($W1030&lt;TODAY(),$W1030&lt;&gt;""),$X1030="")</formula>
    </cfRule>
  </conditionalFormatting>
  <conditionalFormatting sqref="J1030">
    <cfRule type="cellIs" priority="316" operator="equal" dxfId="2034">
      <formula>"ja"</formula>
    </cfRule>
    <cfRule type="cellIs" priority="314" operator="equal" dxfId="2034">
      <formula>"ja"</formula>
    </cfRule>
  </conditionalFormatting>
  <conditionalFormatting sqref="Z1030">
    <cfRule type="dataBar" priority="315">
      <dataBar>
        <cfvo type="min"/>
        <cfvo type="max"/>
        <color rgb="FF63C384"/>
      </dataBar>
    </cfRule>
  </conditionalFormatting>
  <conditionalFormatting sqref="T1031">
    <cfRule type="expression" priority="313" dxfId="2">
      <formula>AND(AND($W1031&lt;TODAY(),$W1031&lt;&gt;""),$X1031="")</formula>
    </cfRule>
  </conditionalFormatting>
  <conditionalFormatting sqref="C1031">
    <cfRule type="containsText" priority="311" operator="containsText" dxfId="1" text="Einnahmen">
      <formula>NOT(ISERROR(SEARCH("Einnahmen",C1031)))</formula>
    </cfRule>
    <cfRule type="containsText" priority="312" operator="containsText" dxfId="0" text="Ausgaben">
      <formula>NOT(ISERROR(SEARCH("Ausgaben",C1031)))</formula>
    </cfRule>
    <cfRule type="containsText" priority="297" operator="containsText" dxfId="1" text="Einnahmen">
      <formula>NOT(ISERROR(SEARCH("Einnahmen",C1031)))</formula>
    </cfRule>
    <cfRule type="containsText" priority="298" operator="containsText" dxfId="0" text="Ausgaben">
      <formula>NOT(ISERROR(SEARCH("Ausgaben",C1031)))</formula>
    </cfRule>
    <cfRule type="containsText" priority="295" operator="containsText" dxfId="1" text="Einnahmen">
      <formula>NOT(ISERROR(SEARCH("Einnahmen",C1031)))</formula>
    </cfRule>
    <cfRule type="containsText" priority="296" operator="containsText" dxfId="0" text="Ausgaben">
      <formula>NOT(ISERROR(SEARCH("Ausgaben",C1031)))</formula>
    </cfRule>
  </conditionalFormatting>
  <conditionalFormatting sqref="J1031">
    <cfRule type="cellIs" priority="310" operator="equal" dxfId="2034">
      <formula>"ja"</formula>
    </cfRule>
    <cfRule type="cellIs" priority="301" operator="equal" dxfId="2034">
      <formula>"ja"</formula>
    </cfRule>
    <cfRule type="cellIs" priority="307" operator="equal" dxfId="2034">
      <formula>"ja"</formula>
    </cfRule>
    <cfRule type="cellIs" priority="304" operator="equal" dxfId="2034">
      <formula>"ja"</formula>
    </cfRule>
    <cfRule type="cellIs" priority="294" operator="equal" dxfId="2034">
      <formula>"ja"</formula>
    </cfRule>
    <cfRule type="cellIs" priority="293" operator="equal" dxfId="2034">
      <formula>"ja"</formula>
    </cfRule>
  </conditionalFormatting>
  <conditionalFormatting sqref="Z1031">
    <cfRule type="dataBar" priority="309">
      <dataBar>
        <cfvo type="min"/>
        <cfvo type="max"/>
        <color rgb="FF63C384"/>
      </dataBar>
    </cfRule>
    <cfRule type="dataBar" priority="308">
      <dataBar>
        <cfvo type="min"/>
        <cfvo type="max"/>
        <color rgb="FF63C384"/>
      </dataBar>
    </cfRule>
    <cfRule type="dataBar" priority="306">
      <dataBar>
        <cfvo type="min"/>
        <cfvo type="max"/>
        <color rgb="FF63C384"/>
      </dataBar>
    </cfRule>
    <cfRule type="dataBar" priority="305">
      <dataBar>
        <cfvo type="min"/>
        <cfvo type="max"/>
        <color rgb="FF63C384"/>
      </dataBar>
    </cfRule>
    <cfRule type="dataBar" priority="303">
      <dataBar>
        <cfvo type="min"/>
        <cfvo type="max"/>
        <color rgb="FF63C384"/>
      </dataBar>
    </cfRule>
    <cfRule type="dataBar" priority="302">
      <dataBar>
        <cfvo type="min"/>
        <cfvo type="max"/>
        <color rgb="FF63C384"/>
      </dataBar>
    </cfRule>
    <cfRule type="dataBar" priority="300">
      <dataBar>
        <cfvo type="min"/>
        <cfvo type="max"/>
        <color rgb="FF63C384"/>
      </dataBar>
    </cfRule>
    <cfRule type="dataBar" priority="299">
      <dataBar>
        <cfvo type="min"/>
        <cfvo type="max"/>
        <color rgb="FF63C384"/>
      </dataBar>
    </cfRule>
  </conditionalFormatting>
  <conditionalFormatting sqref="T1032">
    <cfRule type="expression" priority="292" dxfId="2">
      <formula>AND(AND($W1032&lt;TODAY(),$W1032&lt;&gt;""),$X1032="")</formula>
    </cfRule>
  </conditionalFormatting>
  <conditionalFormatting sqref="J1032">
    <cfRule type="cellIs" priority="291" operator="equal" dxfId="2034">
      <formula>"ja"</formula>
    </cfRule>
  </conditionalFormatting>
  <conditionalFormatting sqref="C1032">
    <cfRule type="containsText" priority="289" operator="containsText" dxfId="1" text="Einnahmen">
      <formula>NOT(ISERROR(SEARCH("Einnahmen",C1032)))</formula>
    </cfRule>
    <cfRule type="containsText" priority="290" operator="containsText" dxfId="0" text="Ausgaben">
      <formula>NOT(ISERROR(SEARCH("Ausgaben",C1032)))</formula>
    </cfRule>
  </conditionalFormatting>
  <conditionalFormatting sqref="Z1032">
    <cfRule type="dataBar" priority="288">
      <dataBar>
        <cfvo type="min"/>
        <cfvo type="max"/>
        <color rgb="FF63C384"/>
      </dataBar>
    </cfRule>
    <cfRule type="dataBar" priority="287">
      <dataBar>
        <cfvo type="min"/>
        <cfvo type="max"/>
        <color rgb="FF63C384"/>
      </dataBar>
    </cfRule>
  </conditionalFormatting>
  <conditionalFormatting sqref="T1033">
    <cfRule type="expression" priority="286" dxfId="2">
      <formula>AND(AND($W1033&lt;TODAY(),$W1033&lt;&gt;""),$X1033="")</formula>
    </cfRule>
  </conditionalFormatting>
  <conditionalFormatting sqref="C1033">
    <cfRule type="containsText" priority="284" operator="containsText" dxfId="1" text="Einnahmen">
      <formula>NOT(ISERROR(SEARCH("Einnahmen",C1033)))</formula>
    </cfRule>
    <cfRule type="containsText" priority="285" operator="containsText" dxfId="0" text="Ausgaben">
      <formula>NOT(ISERROR(SEARCH("Ausgaben",C1033)))</formula>
    </cfRule>
    <cfRule type="containsText" priority="280" operator="containsText" dxfId="1" text="Einnahmen">
      <formula>NOT(ISERROR(SEARCH("Einnahmen",C1033)))</formula>
    </cfRule>
    <cfRule type="containsText" priority="281" operator="containsText" dxfId="0" text="Ausgaben">
      <formula>NOT(ISERROR(SEARCH("Ausgaben",C1033)))</formula>
    </cfRule>
  </conditionalFormatting>
  <conditionalFormatting sqref="J1033">
    <cfRule type="cellIs" priority="283" operator="equal" dxfId="2034">
      <formula>"ja"</formula>
    </cfRule>
    <cfRule type="cellIs" priority="282" operator="equal" dxfId="2034">
      <formula>"ja"</formula>
    </cfRule>
    <cfRule type="cellIs" priority="279" operator="equal" dxfId="2034">
      <formula>"ja"</formula>
    </cfRule>
    <cfRule type="cellIs" priority="276" operator="equal" dxfId="2034">
      <formula>"ja"</formula>
    </cfRule>
  </conditionalFormatting>
  <conditionalFormatting sqref="Z1033">
    <cfRule type="dataBar" priority="278">
      <dataBar>
        <cfvo type="min"/>
        <cfvo type="max"/>
        <color rgb="FF63C384"/>
      </dataBar>
    </cfRule>
    <cfRule type="dataBar" priority="277">
      <dataBar>
        <cfvo type="min"/>
        <cfvo type="max"/>
        <color rgb="FF63C384"/>
      </dataBar>
    </cfRule>
    <cfRule type="dataBar" priority="275">
      <dataBar>
        <cfvo type="min"/>
        <cfvo type="max"/>
        <color rgb="FF63C384"/>
      </dataBar>
    </cfRule>
    <cfRule type="dataBar" priority="274">
      <dataBar>
        <cfvo type="min"/>
        <cfvo type="max"/>
        <color rgb="FF63C384"/>
      </dataBar>
    </cfRule>
  </conditionalFormatting>
  <conditionalFormatting sqref="T1034">
    <cfRule type="expression" priority="273" dxfId="2">
      <formula>AND(AND($W1034&lt;TODAY(),$W1034&lt;&gt;""),$X1034="")</formula>
    </cfRule>
  </conditionalFormatting>
  <conditionalFormatting sqref="C1034">
    <cfRule type="containsText" priority="271" operator="containsText" dxfId="1" text="Einnahmen">
      <formula>NOT(ISERROR(SEARCH("Einnahmen",C1034)))</formula>
    </cfRule>
    <cfRule type="containsText" priority="272" operator="containsText" dxfId="0" text="Ausgaben">
      <formula>NOT(ISERROR(SEARCH("Ausgaben",C1034)))</formula>
    </cfRule>
  </conditionalFormatting>
  <conditionalFormatting sqref="Z1034">
    <cfRule type="dataBar" priority="270">
      <dataBar>
        <cfvo type="min"/>
        <cfvo type="max"/>
        <color rgb="FF63C384"/>
      </dataBar>
    </cfRule>
    <cfRule type="dataBar" priority="269">
      <dataBar>
        <cfvo type="min"/>
        <cfvo type="max"/>
        <color rgb="FF63C384"/>
      </dataBar>
    </cfRule>
    <cfRule type="dataBar" priority="268">
      <dataBar>
        <cfvo type="min"/>
        <cfvo type="max"/>
        <color rgb="FF63C384"/>
      </dataBar>
    </cfRule>
    <cfRule type="dataBar" priority="267">
      <dataBar>
        <cfvo type="min"/>
        <cfvo type="max"/>
        <color rgb="FF63C384"/>
      </dataBar>
    </cfRule>
  </conditionalFormatting>
  <conditionalFormatting sqref="T1035">
    <cfRule type="expression" priority="266" dxfId="2">
      <formula>AND(AND($W1035&lt;TODAY(),$W1035&lt;&gt;""),$X1035="")</formula>
    </cfRule>
  </conditionalFormatting>
  <conditionalFormatting sqref="C1035">
    <cfRule type="containsText" priority="264" operator="containsText" dxfId="1" text="Einnahmen">
      <formula>NOT(ISERROR(SEARCH("Einnahmen",C1035)))</formula>
    </cfRule>
    <cfRule type="containsText" priority="265" operator="containsText" dxfId="0" text="Ausgaben">
      <formula>NOT(ISERROR(SEARCH("Ausgaben",C1035)))</formula>
    </cfRule>
  </conditionalFormatting>
  <conditionalFormatting sqref="Z1035">
    <cfRule type="dataBar" priority="263">
      <dataBar>
        <cfvo type="min"/>
        <cfvo type="max"/>
        <color rgb="FF63C384"/>
      </dataBar>
    </cfRule>
    <cfRule type="dataBar" priority="262">
      <dataBar>
        <cfvo type="min"/>
        <cfvo type="max"/>
        <color rgb="FF63C384"/>
      </dataBar>
    </cfRule>
  </conditionalFormatting>
  <conditionalFormatting sqref="J1035">
    <cfRule type="cellIs" priority="261" operator="equal" dxfId="2034">
      <formula>"ja"</formula>
    </cfRule>
    <cfRule type="cellIs" priority="260" operator="equal" dxfId="2034">
      <formula>"ja"</formula>
    </cfRule>
  </conditionalFormatting>
  <conditionalFormatting sqref="T1036">
    <cfRule type="expression" priority="259" dxfId="2">
      <formula>AND(AND($W1036&lt;TODAY(),$W1036&lt;&gt;""),$X1036="")</formula>
    </cfRule>
  </conditionalFormatting>
  <conditionalFormatting sqref="J1036">
    <cfRule type="cellIs" priority="258" operator="equal" dxfId="2034">
      <formula>"ja"</formula>
    </cfRule>
    <cfRule type="cellIs" priority="253" operator="equal" dxfId="2034">
      <formula>"ja"</formula>
    </cfRule>
  </conditionalFormatting>
  <conditionalFormatting sqref="Z1036">
    <cfRule type="dataBar" priority="257">
      <dataBar>
        <cfvo type="min"/>
        <cfvo type="max"/>
        <color rgb="FF63C384"/>
      </dataBar>
    </cfRule>
    <cfRule type="dataBar" priority="256">
      <dataBar>
        <cfvo type="min"/>
        <cfvo type="max"/>
        <color rgb="FF63C384"/>
      </dataBar>
    </cfRule>
    <cfRule type="dataBar" priority="255">
      <dataBar>
        <cfvo type="min"/>
        <cfvo type="max"/>
        <color rgb="FF63C384"/>
      </dataBar>
    </cfRule>
    <cfRule type="dataBar" priority="254">
      <dataBar>
        <cfvo type="min"/>
        <cfvo type="max"/>
        <color rgb="FF63C384"/>
      </dataBar>
    </cfRule>
  </conditionalFormatting>
  <conditionalFormatting sqref="C1036">
    <cfRule type="containsText" priority="251" operator="containsText" dxfId="1" text="Einnahmen">
      <formula>NOT(ISERROR(SEARCH("Einnahmen",C1036)))</formula>
    </cfRule>
    <cfRule type="containsText" priority="252" operator="containsText" dxfId="0" text="Ausgaben">
      <formula>NOT(ISERROR(SEARCH("Ausgaben",C1036)))</formula>
    </cfRule>
  </conditionalFormatting>
  <conditionalFormatting sqref="T1037">
    <cfRule type="expression" priority="250" dxfId="2">
      <formula>AND(AND($W1037&lt;TODAY(),$W1037&lt;&gt;""),$X1037="")</formula>
    </cfRule>
  </conditionalFormatting>
  <conditionalFormatting sqref="J1037">
    <cfRule type="cellIs" priority="249" operator="equal" dxfId="2034">
      <formula>"ja"</formula>
    </cfRule>
    <cfRule type="cellIs" priority="247" operator="equal" dxfId="2034">
      <formula>"ja"</formula>
    </cfRule>
    <cfRule type="cellIs" priority="246" operator="equal" dxfId="2034">
      <formula>"ja"</formula>
    </cfRule>
  </conditionalFormatting>
  <conditionalFormatting sqref="Z1037">
    <cfRule type="dataBar" priority="248">
      <dataBar>
        <cfvo type="min"/>
        <cfvo type="max"/>
        <color rgb="FF63C384"/>
      </dataBar>
    </cfRule>
  </conditionalFormatting>
  <conditionalFormatting sqref="C1037">
    <cfRule type="containsText" priority="244" operator="containsText" dxfId="1" text="Einnahmen">
      <formula>NOT(ISERROR(SEARCH("Einnahmen",C1037)))</formula>
    </cfRule>
    <cfRule type="containsText" priority="245" operator="containsText" dxfId="0" text="Ausgaben">
      <formula>NOT(ISERROR(SEARCH("Ausgaben",C1037)))</formula>
    </cfRule>
    <cfRule type="containsText" priority="242" operator="containsText" dxfId="1" text="Einnahmen">
      <formula>NOT(ISERROR(SEARCH("Einnahmen",C1037)))</formula>
    </cfRule>
    <cfRule type="containsText" priority="243" operator="containsText" dxfId="0" text="Ausgaben">
      <formula>NOT(ISERROR(SEARCH("Ausgaben",C1037)))</formula>
    </cfRule>
  </conditionalFormatting>
  <conditionalFormatting sqref="C1038">
    <cfRule type="containsText" priority="240" operator="containsText" dxfId="1" text="Einnahmen">
      <formula>NOT(ISERROR(SEARCH("Einnahmen",C1038)))</formula>
    </cfRule>
    <cfRule type="containsText" priority="241" operator="containsText" dxfId="0" text="Ausgaben">
      <formula>NOT(ISERROR(SEARCH("Ausgaben",C1038)))</formula>
    </cfRule>
  </conditionalFormatting>
  <conditionalFormatting sqref="T1038:T1039">
    <cfRule type="expression" priority="239" dxfId="2">
      <formula>AND(AND($W1038&lt;TODAY(),$W1038&lt;&gt;""),$X1038="")</formula>
    </cfRule>
  </conditionalFormatting>
  <conditionalFormatting sqref="Z1038:Z1039">
    <cfRule type="dataBar" priority="238">
      <dataBar>
        <cfvo type="min"/>
        <cfvo type="max"/>
        <color rgb="FF63C384"/>
      </dataBar>
    </cfRule>
    <cfRule type="dataBar" priority="237">
      <dataBar>
        <cfvo type="min"/>
        <cfvo type="max"/>
        <color rgb="FF63C384"/>
      </dataBar>
    </cfRule>
  </conditionalFormatting>
  <conditionalFormatting sqref="C1039">
    <cfRule type="containsText" priority="235" operator="containsText" dxfId="1" text="Einnahmen">
      <formula>NOT(ISERROR(SEARCH("Einnahmen",C1039)))</formula>
    </cfRule>
    <cfRule type="containsText" priority="236" operator="containsText" dxfId="0" text="Ausgaben">
      <formula>NOT(ISERROR(SEARCH("Ausgaben",C1039)))</formula>
    </cfRule>
  </conditionalFormatting>
  <conditionalFormatting sqref="T1040">
    <cfRule type="expression" priority="234" dxfId="2">
      <formula>AND(AND($W1040&lt;TODAY(),$W1040&lt;&gt;""),$X1040="")</formula>
    </cfRule>
  </conditionalFormatting>
  <conditionalFormatting sqref="J1040">
    <cfRule type="cellIs" priority="233" operator="equal" dxfId="2034">
      <formula>"ja"</formula>
    </cfRule>
  </conditionalFormatting>
  <conditionalFormatting sqref="C1040">
    <cfRule type="containsText" priority="231" operator="containsText" dxfId="1" text="Einnahmen">
      <formula>NOT(ISERROR(SEARCH("Einnahmen",C1040)))</formula>
    </cfRule>
    <cfRule type="containsText" priority="232" operator="containsText" dxfId="0" text="Ausgaben">
      <formula>NOT(ISERROR(SEARCH("Ausgaben",C1040)))</formula>
    </cfRule>
  </conditionalFormatting>
  <conditionalFormatting sqref="Z1040">
    <cfRule type="dataBar" priority="230">
      <dataBar>
        <cfvo type="min"/>
        <cfvo type="max"/>
        <color rgb="FF63C384"/>
      </dataBar>
    </cfRule>
    <cfRule type="dataBar" priority="229">
      <dataBar>
        <cfvo type="min"/>
        <cfvo type="max"/>
        <color rgb="FF63C384"/>
      </dataBar>
    </cfRule>
  </conditionalFormatting>
  <conditionalFormatting sqref="T1042">
    <cfRule type="expression" priority="222" dxfId="2">
      <formula>AND(AND($W1042&lt;TODAY(),$W1042&lt;&gt;""),$X1042="")</formula>
    </cfRule>
  </conditionalFormatting>
  <conditionalFormatting sqref="C1041:C1042">
    <cfRule type="containsText" priority="220" operator="containsText" dxfId="1" text="Einnahmen">
      <formula>NOT(ISERROR(SEARCH("Einnahmen",C1041)))</formula>
    </cfRule>
    <cfRule type="containsText" priority="221" operator="containsText" dxfId="0" text="Ausgaben">
      <formula>NOT(ISERROR(SEARCH("Ausgaben",C1041)))</formula>
    </cfRule>
  </conditionalFormatting>
  <conditionalFormatting sqref="J1042">
    <cfRule type="cellIs" priority="219" operator="equal" dxfId="2034">
      <formula>"ja"</formula>
    </cfRule>
  </conditionalFormatting>
  <conditionalFormatting sqref="Z1042">
    <cfRule type="dataBar" priority="218">
      <dataBar>
        <cfvo type="min"/>
        <cfvo type="max"/>
        <color rgb="FF63C384"/>
      </dataBar>
    </cfRule>
    <cfRule type="dataBar" priority="217">
      <dataBar>
        <cfvo type="min"/>
        <cfvo type="max"/>
        <color rgb="FF63C384"/>
      </dataBar>
    </cfRule>
  </conditionalFormatting>
  <conditionalFormatting sqref="C1042:C1043">
    <cfRule type="containsText" priority="215" operator="containsText" dxfId="1" text="Einnahmen">
      <formula>NOT(ISERROR(SEARCH("Einnahmen",C1042)))</formula>
    </cfRule>
    <cfRule type="containsText" priority="216" operator="containsText" dxfId="0" text="Ausgaben">
      <formula>NOT(ISERROR(SEARCH("Ausgaben",C1042)))</formula>
    </cfRule>
  </conditionalFormatting>
  <conditionalFormatting sqref="T1042:T1043">
    <cfRule type="expression" priority="214" dxfId="2">
      <formula>AND(AND($W1042&lt;TODAY(),$W1042&lt;&gt;""),$X1042="")</formula>
    </cfRule>
  </conditionalFormatting>
  <conditionalFormatting sqref="J1042:J1043">
    <cfRule type="cellIs" priority="213" operator="equal" dxfId="2034">
      <formula>"ja"</formula>
    </cfRule>
    <cfRule type="cellIs" priority="211" operator="equal" dxfId="2034">
      <formula>"ja"</formula>
    </cfRule>
  </conditionalFormatting>
  <conditionalFormatting sqref="Z1042:Z1043">
    <cfRule type="dataBar" priority="212">
      <dataBar>
        <cfvo type="min"/>
        <cfvo type="max"/>
        <color rgb="FF63C384"/>
      </dataBar>
    </cfRule>
  </conditionalFormatting>
  <conditionalFormatting sqref="T1043:T1044">
    <cfRule type="expression" priority="210" dxfId="2">
      <formula>AND(AND($W1043&lt;TODAY(),$W1043&lt;&gt;""),$X1043="")</formula>
    </cfRule>
  </conditionalFormatting>
  <conditionalFormatting sqref="C1043:C1044">
    <cfRule type="containsText" priority="208" operator="containsText" dxfId="1" text="Einnahmen">
      <formula>NOT(ISERROR(SEARCH("Einnahmen",C1043)))</formula>
    </cfRule>
    <cfRule type="containsText" priority="209" operator="containsText" dxfId="0" text="Ausgaben">
      <formula>NOT(ISERROR(SEARCH("Ausgaben",C1043)))</formula>
    </cfRule>
    <cfRule type="containsText" priority="206" operator="containsText" dxfId="1" text="Einnahmen">
      <formula>NOT(ISERROR(SEARCH("Einnahmen",C1043)))</formula>
    </cfRule>
    <cfRule type="containsText" priority="207" operator="containsText" dxfId="0" text="Ausgaben">
      <formula>NOT(ISERROR(SEARCH("Ausgaben",C1043)))</formula>
    </cfRule>
  </conditionalFormatting>
  <conditionalFormatting sqref="J1043:J1044">
    <cfRule type="cellIs" priority="205" operator="equal" dxfId="2034">
      <formula>"ja"</formula>
    </cfRule>
    <cfRule type="cellIs" priority="203" operator="equal" dxfId="2034">
      <formula>"ja"</formula>
    </cfRule>
  </conditionalFormatting>
  <conditionalFormatting sqref="Z1043:Z1044">
    <cfRule type="dataBar" priority="204">
      <dataBar>
        <cfvo type="min"/>
        <cfvo type="max"/>
        <color rgb="FF63C384"/>
      </dataBar>
    </cfRule>
  </conditionalFormatting>
  <conditionalFormatting sqref="T1041">
    <cfRule type="expression" priority="202" dxfId="2">
      <formula>AND(AND($W1041&lt;TODAY(),$W1041&lt;&gt;""),$X1041="")</formula>
    </cfRule>
  </conditionalFormatting>
  <conditionalFormatting sqref="Z1041">
    <cfRule type="dataBar" priority="201">
      <dataBar>
        <cfvo type="min"/>
        <cfvo type="max"/>
        <color rgb="FF63C384"/>
      </dataBar>
    </cfRule>
    <cfRule type="dataBar" priority="200">
      <dataBar>
        <cfvo type="min"/>
        <cfvo type="max"/>
        <color rgb="FF63C384"/>
      </dataBar>
    </cfRule>
  </conditionalFormatting>
  <conditionalFormatting sqref="J1041">
    <cfRule type="cellIs" priority="199" operator="equal" dxfId="2034">
      <formula>"ja"</formula>
    </cfRule>
  </conditionalFormatting>
  <conditionalFormatting sqref="T1045">
    <cfRule type="expression" priority="198" dxfId="2">
      <formula>AND(AND($W1045&lt;TODAY(),$W1045&lt;&gt;""),$X1045="")</formula>
    </cfRule>
  </conditionalFormatting>
  <conditionalFormatting sqref="C1045">
    <cfRule type="containsText" priority="196" operator="containsText" dxfId="1" text="Einnahmen">
      <formula>NOT(ISERROR(SEARCH("Einnahmen",C1045)))</formula>
    </cfRule>
    <cfRule type="containsText" priority="197" operator="containsText" dxfId="0" text="Ausgaben">
      <formula>NOT(ISERROR(SEARCH("Ausgaben",C1045)))</formula>
    </cfRule>
    <cfRule type="containsText" priority="182" operator="containsText" dxfId="1" text="Einnahmen">
      <formula>NOT(ISERROR(SEARCH("Einnahmen",C1045)))</formula>
    </cfRule>
    <cfRule type="containsText" priority="183" operator="containsText" dxfId="0" text="Ausgaben">
      <formula>NOT(ISERROR(SEARCH("Ausgaben",C1045)))</formula>
    </cfRule>
    <cfRule type="containsText" priority="180" operator="containsText" dxfId="1" text="Einnahmen">
      <formula>NOT(ISERROR(SEARCH("Einnahmen",C1045)))</formula>
    </cfRule>
    <cfRule type="containsText" priority="181" operator="containsText" dxfId="0" text="Ausgaben">
      <formula>NOT(ISERROR(SEARCH("Ausgaben",C1045)))</formula>
    </cfRule>
  </conditionalFormatting>
  <conditionalFormatting sqref="J1045">
    <cfRule type="cellIs" priority="195" operator="equal" dxfId="2034">
      <formula>"ja"</formula>
    </cfRule>
    <cfRule type="cellIs" priority="186" operator="equal" dxfId="2034">
      <formula>"ja"</formula>
    </cfRule>
    <cfRule type="cellIs" priority="192" operator="equal" dxfId="2034">
      <formula>"ja"</formula>
    </cfRule>
    <cfRule type="cellIs" priority="189" operator="equal" dxfId="2034">
      <formula>"ja"</formula>
    </cfRule>
    <cfRule type="cellIs" priority="179" operator="equal" dxfId="2034">
      <formula>"ja"</formula>
    </cfRule>
    <cfRule type="cellIs" priority="178" operator="equal" dxfId="2034">
      <formula>"ja"</formula>
    </cfRule>
  </conditionalFormatting>
  <conditionalFormatting sqref="Z1045">
    <cfRule type="dataBar" priority="194">
      <dataBar>
        <cfvo type="min"/>
        <cfvo type="max"/>
        <color rgb="FF63C384"/>
      </dataBar>
    </cfRule>
    <cfRule type="dataBar" priority="193">
      <dataBar>
        <cfvo type="min"/>
        <cfvo type="max"/>
        <color rgb="FF63C384"/>
      </dataBar>
    </cfRule>
    <cfRule type="dataBar" priority="191">
      <dataBar>
        <cfvo type="min"/>
        <cfvo type="max"/>
        <color rgb="FF63C384"/>
      </dataBar>
    </cfRule>
    <cfRule type="dataBar" priority="190">
      <dataBar>
        <cfvo type="min"/>
        <cfvo type="max"/>
        <color rgb="FF63C384"/>
      </dataBar>
    </cfRule>
    <cfRule type="dataBar" priority="188">
      <dataBar>
        <cfvo type="min"/>
        <cfvo type="max"/>
        <color rgb="FF63C384"/>
      </dataBar>
    </cfRule>
    <cfRule type="dataBar" priority="187">
      <dataBar>
        <cfvo type="min"/>
        <cfvo type="max"/>
        <color rgb="FF63C384"/>
      </dataBar>
    </cfRule>
    <cfRule type="dataBar" priority="185">
      <dataBar>
        <cfvo type="min"/>
        <cfvo type="max"/>
        <color rgb="FF63C384"/>
      </dataBar>
    </cfRule>
    <cfRule type="dataBar" priority="184">
      <dataBar>
        <cfvo type="min"/>
        <cfvo type="max"/>
        <color rgb="FF63C384"/>
      </dataBar>
    </cfRule>
  </conditionalFormatting>
  <conditionalFormatting sqref="T1046:T1048">
    <cfRule type="expression" priority="176" dxfId="2">
      <formula>AND(AND($W1046&lt;TODAY(),$W1046&lt;&gt;""),$X1046="")</formula>
    </cfRule>
  </conditionalFormatting>
  <conditionalFormatting sqref="C1046:C1048">
    <cfRule type="containsText" priority="174" operator="containsText" dxfId="1" text="Einnahmen">
      <formula>NOT(ISERROR(SEARCH("Einnahmen",C1046)))</formula>
    </cfRule>
    <cfRule type="containsText" priority="175" operator="containsText" dxfId="0" text="Ausgaben">
      <formula>NOT(ISERROR(SEARCH("Ausgaben",C1046)))</formula>
    </cfRule>
    <cfRule type="containsText" priority="172" operator="containsText" dxfId="1" text="Einnahmen">
      <formula>NOT(ISERROR(SEARCH("Einnahmen",C1046)))</formula>
    </cfRule>
    <cfRule type="containsText" priority="173" operator="containsText" dxfId="0" text="Ausgaben">
      <formula>NOT(ISERROR(SEARCH("Ausgaben",C1046)))</formula>
    </cfRule>
  </conditionalFormatting>
  <conditionalFormatting sqref="Z1046:Z1048">
    <cfRule type="dataBar" priority="177">
      <dataBar>
        <cfvo type="min"/>
        <cfvo type="max"/>
        <color rgb="FF63C384"/>
      </dataBar>
    </cfRule>
  </conditionalFormatting>
  <conditionalFormatting sqref="T1049">
    <cfRule type="expression" priority="171" dxfId="2">
      <formula>AND(AND($W1049&lt;TODAY(),$W1049&lt;&gt;""),$X1049="")</formula>
    </cfRule>
  </conditionalFormatting>
  <conditionalFormatting sqref="C1049">
    <cfRule type="containsText" priority="169" operator="containsText" dxfId="1" text="Einnahmen">
      <formula>NOT(ISERROR(SEARCH("Einnahmen",C1049)))</formula>
    </cfRule>
    <cfRule type="containsText" priority="170" operator="containsText" dxfId="0" text="Ausgaben">
      <formula>NOT(ISERROR(SEARCH("Ausgaben",C1049)))</formula>
    </cfRule>
    <cfRule type="containsText" priority="165" operator="containsText" dxfId="1" text="Einnahmen">
      <formula>NOT(ISERROR(SEARCH("Einnahmen",C1049)))</formula>
    </cfRule>
    <cfRule type="containsText" priority="166" operator="containsText" dxfId="0" text="Ausgaben">
      <formula>NOT(ISERROR(SEARCH("Ausgaben",C1049)))</formula>
    </cfRule>
  </conditionalFormatting>
  <conditionalFormatting sqref="J1049">
    <cfRule type="cellIs" priority="168" operator="equal" dxfId="2034">
      <formula>"ja"</formula>
    </cfRule>
    <cfRule type="cellIs" priority="167" operator="equal" dxfId="2034">
      <formula>"ja"</formula>
    </cfRule>
    <cfRule type="cellIs" priority="164" operator="equal" dxfId="2034">
      <formula>"ja"</formula>
    </cfRule>
    <cfRule type="cellIs" priority="161" operator="equal" dxfId="2034">
      <formula>"ja"</formula>
    </cfRule>
  </conditionalFormatting>
  <conditionalFormatting sqref="Z1049">
    <cfRule type="dataBar" priority="163">
      <dataBar>
        <cfvo type="min"/>
        <cfvo type="max"/>
        <color rgb="FF63C384"/>
      </dataBar>
    </cfRule>
    <cfRule type="dataBar" priority="162">
      <dataBar>
        <cfvo type="min"/>
        <cfvo type="max"/>
        <color rgb="FF63C384"/>
      </dataBar>
    </cfRule>
    <cfRule type="dataBar" priority="160">
      <dataBar>
        <cfvo type="min"/>
        <cfvo type="max"/>
        <color rgb="FF63C384"/>
      </dataBar>
    </cfRule>
    <cfRule type="dataBar" priority="159">
      <dataBar>
        <cfvo type="min"/>
        <cfvo type="max"/>
        <color rgb="FF63C384"/>
      </dataBar>
    </cfRule>
  </conditionalFormatting>
  <conditionalFormatting sqref="T1050">
    <cfRule type="expression" priority="158" dxfId="2">
      <formula>AND(AND($W1050&lt;TODAY(),$W1050&lt;&gt;""),$X1050="")</formula>
    </cfRule>
  </conditionalFormatting>
  <conditionalFormatting sqref="J1050">
    <cfRule type="cellIs" priority="157" operator="equal" dxfId="2034">
      <formula>"ja"</formula>
    </cfRule>
    <cfRule type="cellIs" priority="155" operator="equal" dxfId="2034">
      <formula>"ja"</formula>
    </cfRule>
    <cfRule type="cellIs" priority="154" operator="equal" dxfId="2034">
      <formula>"ja"</formula>
    </cfRule>
  </conditionalFormatting>
  <conditionalFormatting sqref="Z1050">
    <cfRule type="dataBar" priority="156">
      <dataBar>
        <cfvo type="min"/>
        <cfvo type="max"/>
        <color rgb="FF63C384"/>
      </dataBar>
    </cfRule>
  </conditionalFormatting>
  <conditionalFormatting sqref="C1050">
    <cfRule type="containsText" priority="152" operator="containsText" dxfId="1" text="Einnahmen">
      <formula>NOT(ISERROR(SEARCH("Einnahmen",C1050)))</formula>
    </cfRule>
    <cfRule type="containsText" priority="153" operator="containsText" dxfId="0" text="Ausgaben">
      <formula>NOT(ISERROR(SEARCH("Ausgaben",C1050)))</formula>
    </cfRule>
    <cfRule type="containsText" priority="150" operator="containsText" dxfId="1" text="Einnahmen">
      <formula>NOT(ISERROR(SEARCH("Einnahmen",C1050)))</formula>
    </cfRule>
    <cfRule type="containsText" priority="151" operator="containsText" dxfId="0" text="Ausgaben">
      <formula>NOT(ISERROR(SEARCH("Ausgaben",C1050)))</formula>
    </cfRule>
  </conditionalFormatting>
  <conditionalFormatting sqref="T1051">
    <cfRule type="expression" priority="149" dxfId="2">
      <formula>AND(AND($W1051&lt;TODAY(),$W1051&lt;&gt;""),$X1051="")</formula>
    </cfRule>
  </conditionalFormatting>
  <conditionalFormatting sqref="C1051">
    <cfRule type="containsText" priority="147" operator="containsText" dxfId="1" text="Einnahmen">
      <formula>NOT(ISERROR(SEARCH("Einnahmen",C1051)))</formula>
    </cfRule>
    <cfRule type="containsText" priority="148" operator="containsText" dxfId="0" text="Ausgaben">
      <formula>NOT(ISERROR(SEARCH("Ausgaben",C1051)))</formula>
    </cfRule>
  </conditionalFormatting>
  <conditionalFormatting sqref="Z1051">
    <cfRule type="dataBar" priority="146">
      <dataBar>
        <cfvo type="min"/>
        <cfvo type="max"/>
        <color rgb="FF63C384"/>
      </dataBar>
    </cfRule>
    <cfRule type="dataBar" priority="145">
      <dataBar>
        <cfvo type="min"/>
        <cfvo type="max"/>
        <color rgb="FF63C384"/>
      </dataBar>
    </cfRule>
    <cfRule type="dataBar" priority="144">
      <dataBar>
        <cfvo type="min"/>
        <cfvo type="max"/>
        <color rgb="FF63C384"/>
      </dataBar>
    </cfRule>
    <cfRule type="dataBar" priority="143">
      <dataBar>
        <cfvo type="min"/>
        <cfvo type="max"/>
        <color rgb="FF63C384"/>
      </dataBar>
    </cfRule>
  </conditionalFormatting>
  <conditionalFormatting sqref="T1052">
    <cfRule type="expression" priority="142" dxfId="2">
      <formula>AND(AND($W1052&lt;TODAY(),$W1052&lt;&gt;""),$X1052="")</formula>
    </cfRule>
  </conditionalFormatting>
  <conditionalFormatting sqref="C1052">
    <cfRule type="containsText" priority="140" operator="containsText" dxfId="1" text="Einnahmen">
      <formula>NOT(ISERROR(SEARCH("Einnahmen",C1052)))</formula>
    </cfRule>
    <cfRule type="containsText" priority="141" operator="containsText" dxfId="0" text="Ausgaben">
      <formula>NOT(ISERROR(SEARCH("Ausgaben",C1052)))</formula>
    </cfRule>
  </conditionalFormatting>
  <conditionalFormatting sqref="Z1052">
    <cfRule type="dataBar" priority="139">
      <dataBar>
        <cfvo type="min"/>
        <cfvo type="max"/>
        <color rgb="FF63C384"/>
      </dataBar>
    </cfRule>
    <cfRule type="dataBar" priority="138">
      <dataBar>
        <cfvo type="min"/>
        <cfvo type="max"/>
        <color rgb="FF63C384"/>
      </dataBar>
    </cfRule>
  </conditionalFormatting>
  <conditionalFormatting sqref="J1052">
    <cfRule type="cellIs" priority="137" operator="equal" dxfId="2034">
      <formula>"ja"</formula>
    </cfRule>
    <cfRule type="cellIs" priority="136" operator="equal" dxfId="2034">
      <formula>"ja"</formula>
    </cfRule>
  </conditionalFormatting>
  <conditionalFormatting sqref="T1053:T1054">
    <cfRule type="expression" priority="134" dxfId="2">
      <formula>AND(AND($W1053&lt;TODAY(),$W1053&lt;&gt;""),$X1053="")</formula>
    </cfRule>
  </conditionalFormatting>
  <conditionalFormatting sqref="C1053:C1054">
    <cfRule type="containsText" priority="132" operator="containsText" dxfId="1" text="Einnahmen">
      <formula>NOT(ISERROR(SEARCH("Einnahmen",C1053)))</formula>
    </cfRule>
    <cfRule type="containsText" priority="133" operator="containsText" dxfId="0" text="Ausgaben">
      <formula>NOT(ISERROR(SEARCH("Ausgaben",C1053)))</formula>
    </cfRule>
    <cfRule type="containsText" priority="130" operator="containsText" dxfId="1" text="Einnahmen">
      <formula>NOT(ISERROR(SEARCH("Einnahmen",C1053)))</formula>
    </cfRule>
    <cfRule type="containsText" priority="131" operator="containsText" dxfId="0" text="Ausgaben">
      <formula>NOT(ISERROR(SEARCH("Ausgaben",C1053)))</formula>
    </cfRule>
  </conditionalFormatting>
  <conditionalFormatting sqref="Z1053:Z1054">
    <cfRule type="dataBar" priority="135">
      <dataBar>
        <cfvo type="min"/>
        <cfvo type="max"/>
        <color rgb="FF63C384"/>
      </dataBar>
    </cfRule>
  </conditionalFormatting>
  <conditionalFormatting sqref="T1055">
    <cfRule type="expression" priority="129" dxfId="2">
      <formula>AND(AND($W1055&lt;TODAY(),$W1055&lt;&gt;""),$X1055="")</formula>
    </cfRule>
  </conditionalFormatting>
  <conditionalFormatting sqref="T1056:T1057">
    <cfRule type="expression" priority="128" dxfId="2">
      <formula>AND(AND($W1056&lt;TODAY(),$W1056&lt;&gt;""),$X1056="")</formula>
    </cfRule>
  </conditionalFormatting>
  <conditionalFormatting sqref="Z1056:Z1057">
    <cfRule type="dataBar" priority="127">
      <dataBar>
        <cfvo type="min"/>
        <cfvo type="max"/>
        <color rgb="FF63C384"/>
      </dataBar>
    </cfRule>
    <cfRule type="dataBar" priority="126">
      <dataBar>
        <cfvo type="min"/>
        <cfvo type="max"/>
        <color rgb="FF63C384"/>
      </dataBar>
    </cfRule>
  </conditionalFormatting>
  <conditionalFormatting sqref="C1056:C1057">
    <cfRule type="containsText" priority="124" operator="containsText" dxfId="1" text="Einnahmen">
      <formula>NOT(ISERROR(SEARCH("Einnahmen",C1056)))</formula>
    </cfRule>
    <cfRule type="containsText" priority="125" operator="containsText" dxfId="0" text="Ausgaben">
      <formula>NOT(ISERROR(SEARCH("Ausgaben",C1056)))</formula>
    </cfRule>
  </conditionalFormatting>
  <conditionalFormatting sqref="C1058">
    <cfRule type="containsText" priority="121" operator="containsText" dxfId="1" text="Einnahmen">
      <formula>NOT(ISERROR(SEARCH("Einnahmen",C1058)))</formula>
    </cfRule>
    <cfRule type="containsText" priority="122" operator="containsText" dxfId="0" text="Ausgaben">
      <formula>NOT(ISERROR(SEARCH("Ausgaben",C1058)))</formula>
    </cfRule>
  </conditionalFormatting>
  <conditionalFormatting sqref="T1058">
    <cfRule type="expression" priority="120" dxfId="2">
      <formula>AND(AND($W1058&lt;TODAY(),$W1058&lt;&gt;""),$X1058="")</formula>
    </cfRule>
  </conditionalFormatting>
  <conditionalFormatting sqref="Z1058">
    <cfRule type="dataBar" priority="119">
      <dataBar>
        <cfvo type="min"/>
        <cfvo type="max"/>
        <color rgb="FF63C384"/>
      </dataBar>
    </cfRule>
    <cfRule type="dataBar" priority="118">
      <dataBar>
        <cfvo type="min"/>
        <cfvo type="max"/>
        <color rgb="FF63C384"/>
      </dataBar>
    </cfRule>
  </conditionalFormatting>
  <conditionalFormatting sqref="J1058">
    <cfRule type="cellIs" priority="117" operator="equal" dxfId="2034">
      <formula>"ja"</formula>
    </cfRule>
  </conditionalFormatting>
  <conditionalFormatting sqref="T1059">
    <cfRule type="expression" priority="116" dxfId="2">
      <formula>AND(AND($W1059&lt;TODAY(),$W1059&lt;&gt;""),$X1059="")</formula>
    </cfRule>
  </conditionalFormatting>
  <conditionalFormatting sqref="Z1059">
    <cfRule type="dataBar" priority="115">
      <dataBar>
        <cfvo type="min"/>
        <cfvo type="max"/>
        <color rgb="FF63C384"/>
      </dataBar>
    </cfRule>
    <cfRule type="dataBar" priority="114">
      <dataBar>
        <cfvo type="min"/>
        <cfvo type="max"/>
        <color rgb="FF63C384"/>
      </dataBar>
    </cfRule>
  </conditionalFormatting>
  <conditionalFormatting sqref="J1059">
    <cfRule type="cellIs" priority="113" operator="equal" dxfId="2034">
      <formula>"ja"</formula>
    </cfRule>
  </conditionalFormatting>
  <conditionalFormatting sqref="C1059">
    <cfRule type="containsText" priority="111" operator="containsText" dxfId="1" text="Einnahmen">
      <formula>NOT(ISERROR(SEARCH("Einnahmen",C1059)))</formula>
    </cfRule>
    <cfRule type="containsText" priority="112" operator="containsText" dxfId="0" text="Ausgaben">
      <formula>NOT(ISERROR(SEARCH("Ausgaben",C1059)))</formula>
    </cfRule>
  </conditionalFormatting>
  <conditionalFormatting sqref="T1060:T1061">
    <cfRule type="expression" priority="110" dxfId="2">
      <formula>AND(AND($W1060&lt;TODAY(),$W1060&lt;&gt;""),$X1060="")</formula>
    </cfRule>
    <cfRule type="expression" priority="102" dxfId="2">
      <formula>AND(AND($W1060&lt;TODAY(),$W1060&lt;&gt;""),$X1060="")</formula>
    </cfRule>
  </conditionalFormatting>
  <conditionalFormatting sqref="C1060:C1061">
    <cfRule type="containsText" priority="108" operator="containsText" dxfId="1" text="Einnahmen">
      <formula>NOT(ISERROR(SEARCH("Einnahmen",C1060)))</formula>
    </cfRule>
    <cfRule type="containsText" priority="109" operator="containsText" dxfId="0" text="Ausgaben">
      <formula>NOT(ISERROR(SEARCH("Ausgaben",C1060)))</formula>
    </cfRule>
    <cfRule type="containsText" priority="103" operator="containsText" dxfId="1" text="Einnahmen">
      <formula>NOT(ISERROR(SEARCH("Einnahmen",C1060)))</formula>
    </cfRule>
    <cfRule type="containsText" priority="104" operator="containsText" dxfId="0" text="Ausgaben">
      <formula>NOT(ISERROR(SEARCH("Ausgaben",C1060)))</formula>
    </cfRule>
  </conditionalFormatting>
  <conditionalFormatting sqref="J1060">
    <cfRule type="cellIs" priority="107" operator="equal" dxfId="2034">
      <formula>"ja"</formula>
    </cfRule>
    <cfRule type="cellIs" priority="101" operator="equal" dxfId="2034">
      <formula>"ja"</formula>
    </cfRule>
    <cfRule type="cellIs" priority="99" operator="equal" dxfId="2034">
      <formula>"ja"</formula>
    </cfRule>
  </conditionalFormatting>
  <conditionalFormatting sqref="Z1060:Z1061">
    <cfRule type="dataBar" priority="106">
      <dataBar>
        <cfvo type="min"/>
        <cfvo type="max"/>
        <color rgb="FF63C384"/>
      </dataBar>
    </cfRule>
    <cfRule type="dataBar" priority="105">
      <dataBar>
        <cfvo type="min"/>
        <cfvo type="max"/>
        <color rgb="FF63C384"/>
      </dataBar>
    </cfRule>
    <cfRule type="dataBar" priority="100">
      <dataBar>
        <cfvo type="min"/>
        <cfvo type="max"/>
        <color rgb="FF63C384"/>
      </dataBar>
    </cfRule>
  </conditionalFormatting>
  <conditionalFormatting sqref="T1062">
    <cfRule type="expression" priority="97" dxfId="2">
      <formula>AND(AND($W1062&lt;TODAY(),$W1062&lt;&gt;""),$X1062="")</formula>
    </cfRule>
  </conditionalFormatting>
  <conditionalFormatting sqref="C1062">
    <cfRule type="containsText" priority="95" operator="containsText" dxfId="1" text="Einnahmen">
      <formula>NOT(ISERROR(SEARCH("Einnahmen",C1062)))</formula>
    </cfRule>
    <cfRule type="containsText" priority="96" operator="containsText" dxfId="0" text="Ausgaben">
      <formula>NOT(ISERROR(SEARCH("Ausgaben",C1062)))</formula>
    </cfRule>
    <cfRule type="containsText" priority="93" operator="containsText" dxfId="1" text="Einnahmen">
      <formula>NOT(ISERROR(SEARCH("Einnahmen",C1062)))</formula>
    </cfRule>
    <cfRule type="containsText" priority="94" operator="containsText" dxfId="0" text="Ausgaben">
      <formula>NOT(ISERROR(SEARCH("Ausgaben",C1062)))</formula>
    </cfRule>
  </conditionalFormatting>
  <conditionalFormatting sqref="Z1062">
    <cfRule type="dataBar" priority="98">
      <dataBar>
        <cfvo type="min"/>
        <cfvo type="max"/>
        <color rgb="FF63C384"/>
      </dataBar>
    </cfRule>
  </conditionalFormatting>
  <conditionalFormatting sqref="T1063">
    <cfRule type="expression" priority="90" dxfId="2">
      <formula>AND(AND($W1063&lt;TODAY(),$W1063&lt;&gt;""),$X1063="")</formula>
    </cfRule>
  </conditionalFormatting>
  <conditionalFormatting sqref="C1063">
    <cfRule type="containsText" priority="91" operator="containsText" dxfId="1" text="Einnahmen">
      <formula>NOT(ISERROR(SEARCH("Einnahmen",C1063)))</formula>
    </cfRule>
    <cfRule type="containsText" priority="92" operator="containsText" dxfId="0" text="Ausgaben">
      <formula>NOT(ISERROR(SEARCH("Ausgaben",C1063)))</formula>
    </cfRule>
  </conditionalFormatting>
  <conditionalFormatting sqref="T1064">
    <cfRule type="expression" priority="89" dxfId="2">
      <formula>AND(AND($W1064&lt;TODAY(),$W1064&lt;&gt;""),$X1064="")</formula>
    </cfRule>
  </conditionalFormatting>
  <conditionalFormatting sqref="C1064">
    <cfRule type="containsText" priority="87" operator="containsText" dxfId="1" text="Einnahmen">
      <formula>NOT(ISERROR(SEARCH("Einnahmen",C1064)))</formula>
    </cfRule>
    <cfRule type="containsText" priority="88" operator="containsText" dxfId="0" text="Ausgaben">
      <formula>NOT(ISERROR(SEARCH("Ausgaben",C1064)))</formula>
    </cfRule>
    <cfRule type="containsText" priority="85" operator="containsText" dxfId="1" text="Einnahmen">
      <formula>NOT(ISERROR(SEARCH("Einnahmen",C1064)))</formula>
    </cfRule>
    <cfRule type="containsText" priority="86" operator="containsText" dxfId="0" text="Ausgaben">
      <formula>NOT(ISERROR(SEARCH("Ausgaben",C1064)))</formula>
    </cfRule>
  </conditionalFormatting>
  <conditionalFormatting sqref="J1064">
    <cfRule type="cellIs" priority="84" operator="equal" dxfId="2034">
      <formula>"ja"</formula>
    </cfRule>
    <cfRule type="cellIs" priority="82" operator="equal" dxfId="2034">
      <formula>"ja"</formula>
    </cfRule>
  </conditionalFormatting>
  <conditionalFormatting sqref="Z1064">
    <cfRule type="dataBar" priority="83">
      <dataBar>
        <cfvo type="min"/>
        <cfvo type="max"/>
        <color rgb="FF63C384"/>
      </dataBar>
    </cfRule>
  </conditionalFormatting>
  <conditionalFormatting sqref="C1065">
    <cfRule type="containsText" priority="80" operator="containsText" dxfId="1" text="Einnahmen">
      <formula>NOT(ISERROR(SEARCH("Einnahmen",C1065)))</formula>
    </cfRule>
    <cfRule type="containsText" priority="81" operator="containsText" dxfId="0" text="Ausgaben">
      <formula>NOT(ISERROR(SEARCH("Ausgaben",C1065)))</formula>
    </cfRule>
    <cfRule type="containsText" priority="73" operator="containsText" dxfId="1" text="Einnahmen">
      <formula>NOT(ISERROR(SEARCH("Einnahmen",C1065)))</formula>
    </cfRule>
    <cfRule type="containsText" priority="74" operator="containsText" dxfId="0" text="Ausgaben">
      <formula>NOT(ISERROR(SEARCH("Ausgaben",C1065)))</formula>
    </cfRule>
    <cfRule type="containsText" priority="71" operator="containsText" dxfId="1" text="Einnahmen">
      <formula>NOT(ISERROR(SEARCH("Einnahmen",C1065)))</formula>
    </cfRule>
    <cfRule type="containsText" priority="72" operator="containsText" dxfId="0" text="Ausgaben">
      <formula>NOT(ISERROR(SEARCH("Ausgaben",C1065)))</formula>
    </cfRule>
  </conditionalFormatting>
  <conditionalFormatting sqref="T1065">
    <cfRule type="expression" priority="79" dxfId="2">
      <formula>AND(AND($W1065&lt;TODAY(),$W1065&lt;&gt;""),$X1065="")</formula>
    </cfRule>
    <cfRule type="expression" priority="75" dxfId="2">
      <formula>AND(AND($W1065&lt;TODAY(),$W1065&lt;&gt;""),$X1065="")</formula>
    </cfRule>
  </conditionalFormatting>
  <conditionalFormatting sqref="J1065">
    <cfRule type="cellIs" priority="78" operator="equal" dxfId="2034">
      <formula>"ja"</formula>
    </cfRule>
    <cfRule type="cellIs" priority="76" operator="equal" dxfId="2034">
      <formula>"ja"</formula>
    </cfRule>
    <cfRule type="cellIs" priority="70" operator="equal" dxfId="2034">
      <formula>"ja"</formula>
    </cfRule>
    <cfRule type="cellIs" priority="68" operator="equal" dxfId="2034">
      <formula>"ja"</formula>
    </cfRule>
  </conditionalFormatting>
  <conditionalFormatting sqref="Z1065">
    <cfRule type="dataBar" priority="77">
      <dataBar>
        <cfvo type="min"/>
        <cfvo type="max"/>
        <color rgb="FF63C384"/>
      </dataBar>
    </cfRule>
    <cfRule type="dataBar" priority="69">
      <dataBar>
        <cfvo type="min"/>
        <cfvo type="max"/>
        <color rgb="FF63C384"/>
      </dataBar>
    </cfRule>
  </conditionalFormatting>
  <conditionalFormatting sqref="T1066">
    <cfRule type="expression" priority="66" dxfId="2">
      <formula>AND(AND($W1066&lt;TODAY(),$W1066&lt;&gt;""),$X1066="")</formula>
    </cfRule>
  </conditionalFormatting>
  <conditionalFormatting sqref="C1066">
    <cfRule type="containsText" priority="64" operator="containsText" dxfId="1" text="Einnahmen">
      <formula>NOT(ISERROR(SEARCH("Einnahmen",C1066)))</formula>
    </cfRule>
    <cfRule type="containsText" priority="65" operator="containsText" dxfId="0" text="Ausgaben">
      <formula>NOT(ISERROR(SEARCH("Ausgaben",C1066)))</formula>
    </cfRule>
    <cfRule type="containsText" priority="62" operator="containsText" dxfId="1" text="Einnahmen">
      <formula>NOT(ISERROR(SEARCH("Einnahmen",C1066)))</formula>
    </cfRule>
    <cfRule type="containsText" priority="63" operator="containsText" dxfId="0" text="Ausgaben">
      <formula>NOT(ISERROR(SEARCH("Ausgaben",C1066)))</formula>
    </cfRule>
  </conditionalFormatting>
  <conditionalFormatting sqref="Z1066">
    <cfRule type="dataBar" priority="67">
      <dataBar>
        <cfvo type="min"/>
        <cfvo type="max"/>
        <color rgb="FF63C384"/>
      </dataBar>
    </cfRule>
  </conditionalFormatting>
  <conditionalFormatting sqref="T1067">
    <cfRule type="expression" priority="61" dxfId="2">
      <formula>AND(AND($W1067&lt;TODAY(),$W1067&lt;&gt;""),$X1067="")</formula>
    </cfRule>
  </conditionalFormatting>
  <conditionalFormatting sqref="C1067">
    <cfRule type="containsText" priority="59" operator="containsText" dxfId="1" text="Einnahmen">
      <formula>NOT(ISERROR(SEARCH("Einnahmen",C1067)))</formula>
    </cfRule>
    <cfRule type="containsText" priority="60" operator="containsText" dxfId="0" text="Ausgaben">
      <formula>NOT(ISERROR(SEARCH("Ausgaben",C1067)))</formula>
    </cfRule>
    <cfRule type="containsText" priority="55" operator="containsText" dxfId="1" text="Einnahmen">
      <formula>NOT(ISERROR(SEARCH("Einnahmen",C1067)))</formula>
    </cfRule>
    <cfRule type="containsText" priority="56" operator="containsText" dxfId="0" text="Ausgaben">
      <formula>NOT(ISERROR(SEARCH("Ausgaben",C1067)))</formula>
    </cfRule>
  </conditionalFormatting>
  <conditionalFormatting sqref="J1067">
    <cfRule type="cellIs" priority="58" operator="equal" dxfId="2034">
      <formula>"ja"</formula>
    </cfRule>
    <cfRule type="cellIs" priority="57" operator="equal" dxfId="2034">
      <formula>"ja"</formula>
    </cfRule>
    <cfRule type="cellIs" priority="54" operator="equal" dxfId="2034">
      <formula>"ja"</formula>
    </cfRule>
    <cfRule type="cellIs" priority="51" operator="equal" dxfId="2034">
      <formula>"ja"</formula>
    </cfRule>
  </conditionalFormatting>
  <conditionalFormatting sqref="Z1067">
    <cfRule type="dataBar" priority="53">
      <dataBar>
        <cfvo type="min"/>
        <cfvo type="max"/>
        <color rgb="FF63C384"/>
      </dataBar>
    </cfRule>
    <cfRule type="dataBar" priority="52">
      <dataBar>
        <cfvo type="min"/>
        <cfvo type="max"/>
        <color rgb="FF63C384"/>
      </dataBar>
    </cfRule>
    <cfRule type="dataBar" priority="50">
      <dataBar>
        <cfvo type="min"/>
        <cfvo type="max"/>
        <color rgb="FF63C384"/>
      </dataBar>
    </cfRule>
    <cfRule type="dataBar" priority="49">
      <dataBar>
        <cfvo type="min"/>
        <cfvo type="max"/>
        <color rgb="FF63C384"/>
      </dataBar>
    </cfRule>
  </conditionalFormatting>
  <conditionalFormatting sqref="T1068">
    <cfRule type="expression" priority="48" dxfId="2">
      <formula>AND(AND($W1068&lt;TODAY(),$W1068&lt;&gt;""),$X1068="")</formula>
    </cfRule>
  </conditionalFormatting>
  <conditionalFormatting sqref="C1068">
    <cfRule type="containsText" priority="46" operator="containsText" dxfId="1" text="Einnahmen">
      <formula>NOT(ISERROR(SEARCH("Einnahmen",C1068)))</formula>
    </cfRule>
    <cfRule type="containsText" priority="47" operator="containsText" dxfId="0" text="Ausgaben">
      <formula>NOT(ISERROR(SEARCH("Ausgaben",C1068)))</formula>
    </cfRule>
  </conditionalFormatting>
  <conditionalFormatting sqref="Z1068">
    <cfRule type="dataBar" priority="45">
      <dataBar>
        <cfvo type="min"/>
        <cfvo type="max"/>
        <color rgb="FF63C384"/>
      </dataBar>
    </cfRule>
    <cfRule type="dataBar" priority="44">
      <dataBar>
        <cfvo type="min"/>
        <cfvo type="max"/>
        <color rgb="FF63C384"/>
      </dataBar>
    </cfRule>
    <cfRule type="dataBar" priority="43">
      <dataBar>
        <cfvo type="min"/>
        <cfvo type="max"/>
        <color rgb="FF63C384"/>
      </dataBar>
    </cfRule>
    <cfRule type="dataBar" priority="42">
      <dataBar>
        <cfvo type="min"/>
        <cfvo type="max"/>
        <color rgb="FF63C384"/>
      </dataBar>
    </cfRule>
  </conditionalFormatting>
  <conditionalFormatting sqref="T1069">
    <cfRule type="expression" priority="41" dxfId="2">
      <formula>AND(AND($W1069&lt;TODAY(),$W1069&lt;&gt;""),$X1069="")</formula>
    </cfRule>
  </conditionalFormatting>
  <conditionalFormatting sqref="C1069">
    <cfRule type="containsText" priority="39" operator="containsText" dxfId="1" text="Einnahmen">
      <formula>NOT(ISERROR(SEARCH("Einnahmen",C1069)))</formula>
    </cfRule>
    <cfRule type="containsText" priority="40" operator="containsText" dxfId="0" text="Ausgaben">
      <formula>NOT(ISERROR(SEARCH("Ausgaben",C1069)))</formula>
    </cfRule>
  </conditionalFormatting>
  <conditionalFormatting sqref="Z1069">
    <cfRule type="dataBar" priority="38">
      <dataBar>
        <cfvo type="min"/>
        <cfvo type="max"/>
        <color rgb="FF63C384"/>
      </dataBar>
    </cfRule>
    <cfRule type="dataBar" priority="37">
      <dataBar>
        <cfvo type="min"/>
        <cfvo type="max"/>
        <color rgb="FF63C384"/>
      </dataBar>
    </cfRule>
  </conditionalFormatting>
  <conditionalFormatting sqref="J1069">
    <cfRule type="cellIs" priority="36" operator="equal" dxfId="2034">
      <formula>"ja"</formula>
    </cfRule>
    <cfRule type="cellIs" priority="35" operator="equal" dxfId="2034">
      <formula>"ja"</formula>
    </cfRule>
  </conditionalFormatting>
  <conditionalFormatting sqref="T1070">
    <cfRule type="expression" priority="33" dxfId="2">
      <formula>AND(AND($W1070&lt;TODAY(),$W1070&lt;&gt;""),$X1070="")</formula>
    </cfRule>
  </conditionalFormatting>
  <conditionalFormatting sqref="C1070">
    <cfRule type="containsText" priority="31" operator="containsText" dxfId="1" text="Einnahmen">
      <formula>NOT(ISERROR(SEARCH("Einnahmen",C1070)))</formula>
    </cfRule>
    <cfRule type="containsText" priority="32" operator="containsText" dxfId="0" text="Ausgaben">
      <formula>NOT(ISERROR(SEARCH("Ausgaben",C1070)))</formula>
    </cfRule>
    <cfRule type="containsText" priority="29" operator="containsText" dxfId="1" text="Einnahmen">
      <formula>NOT(ISERROR(SEARCH("Einnahmen",C1070)))</formula>
    </cfRule>
    <cfRule type="containsText" priority="30" operator="containsText" dxfId="0" text="Ausgaben">
      <formula>NOT(ISERROR(SEARCH("Ausgaben",C1070)))</formula>
    </cfRule>
  </conditionalFormatting>
  <conditionalFormatting sqref="Z1070">
    <cfRule type="dataBar" priority="34">
      <dataBar>
        <cfvo type="min"/>
        <cfvo type="max"/>
        <color rgb="FF63C384"/>
      </dataBar>
    </cfRule>
  </conditionalFormatting>
  <conditionalFormatting sqref="T1071">
    <cfRule type="expression" priority="28" dxfId="2">
      <formula>AND(AND($W1071&lt;TODAY(),$W1071&lt;&gt;""),$X1071="")</formula>
    </cfRule>
  </conditionalFormatting>
  <conditionalFormatting sqref="J1071">
    <cfRule type="cellIs" priority="27" operator="equal" dxfId="2034">
      <formula>"ja"</formula>
    </cfRule>
    <cfRule type="cellIs" priority="25" operator="equal" dxfId="2034">
      <formula>"ja"</formula>
    </cfRule>
    <cfRule type="cellIs" priority="24" operator="equal" dxfId="2034">
      <formula>"ja"</formula>
    </cfRule>
  </conditionalFormatting>
  <conditionalFormatting sqref="Z1071">
    <cfRule type="dataBar" priority="26">
      <dataBar>
        <cfvo type="min"/>
        <cfvo type="max"/>
        <color rgb="FF63C384"/>
      </dataBar>
    </cfRule>
  </conditionalFormatting>
  <conditionalFormatting sqref="C1071">
    <cfRule type="containsText" priority="22" operator="containsText" dxfId="1" text="Einnahmen">
      <formula>NOT(ISERROR(SEARCH("Einnahmen",C1071)))</formula>
    </cfRule>
    <cfRule type="containsText" priority="23" operator="containsText" dxfId="0" text="Ausgaben">
      <formula>NOT(ISERROR(SEARCH("Ausgaben",C1071)))</formula>
    </cfRule>
    <cfRule type="containsText" priority="20" operator="containsText" dxfId="1" text="Einnahmen">
      <formula>NOT(ISERROR(SEARCH("Einnahmen",C1071)))</formula>
    </cfRule>
    <cfRule type="containsText" priority="21" operator="containsText" dxfId="0" text="Ausgaben">
      <formula>NOT(ISERROR(SEARCH("Ausgaben",C1071)))</formula>
    </cfRule>
  </conditionalFormatting>
  <conditionalFormatting sqref="T1072">
    <cfRule type="expression" priority="19" dxfId="2">
      <formula>AND(AND($W1072&lt;TODAY(),$W1072&lt;&gt;""),$X1072="")</formula>
    </cfRule>
  </conditionalFormatting>
  <conditionalFormatting sqref="C1072">
    <cfRule type="containsText" priority="17" operator="containsText" dxfId="1" text="Einnahmen">
      <formula>NOT(ISERROR(SEARCH("Einnahmen",C1072)))</formula>
    </cfRule>
    <cfRule type="containsText" priority="18" operator="containsText" dxfId="0" text="Ausgaben">
      <formula>NOT(ISERROR(SEARCH("Ausgaben",C1072)))</formula>
    </cfRule>
    <cfRule type="containsText" priority="13" operator="containsText" dxfId="1" text="Einnahmen">
      <formula>NOT(ISERROR(SEARCH("Einnahmen",C1072)))</formula>
    </cfRule>
    <cfRule type="containsText" priority="14" operator="containsText" dxfId="0" text="Ausgaben">
      <formula>NOT(ISERROR(SEARCH("Ausgaben",C1072)))</formula>
    </cfRule>
  </conditionalFormatting>
  <conditionalFormatting sqref="J1072">
    <cfRule type="cellIs" priority="16" operator="equal" dxfId="2034">
      <formula>"ja"</formula>
    </cfRule>
    <cfRule type="cellIs" priority="15" operator="equal" dxfId="2034">
      <formula>"ja"</formula>
    </cfRule>
    <cfRule type="cellIs" priority="12" operator="equal" dxfId="2034">
      <formula>"ja"</formula>
    </cfRule>
    <cfRule type="cellIs" priority="9" operator="equal" dxfId="2034">
      <formula>"ja"</formula>
    </cfRule>
  </conditionalFormatting>
  <conditionalFormatting sqref="Z1072">
    <cfRule type="dataBar" priority="11">
      <dataBar>
        <cfvo type="min"/>
        <cfvo type="max"/>
        <color rgb="FF63C384"/>
      </dataBar>
    </cfRule>
    <cfRule type="dataBar" priority="10">
      <dataBar>
        <cfvo type="min"/>
        <cfvo type="max"/>
        <color rgb="FF63C384"/>
      </dataBar>
    </cfRule>
    <cfRule type="dataBar" priority="8">
      <dataBar>
        <cfvo type="min"/>
        <cfvo type="max"/>
        <color rgb="FF63C384"/>
      </dataBar>
    </cfRule>
    <cfRule type="dataBar" priority="7">
      <dataBar>
        <cfvo type="min"/>
        <cfvo type="max"/>
        <color rgb="FF63C384"/>
      </dataBar>
    </cfRule>
  </conditionalFormatting>
  <conditionalFormatting sqref="T1073">
    <cfRule type="expression" priority="5" dxfId="2">
      <formula>AND(AND($W1073&lt;TODAY(),$W1073&lt;&gt;""),$X1073="")</formula>
    </cfRule>
  </conditionalFormatting>
  <conditionalFormatting sqref="C1073">
    <cfRule type="containsText" priority="3" operator="containsText" dxfId="1" text="Einnahmen">
      <formula>NOT(ISERROR(SEARCH("Einnahmen",C1073)))</formula>
    </cfRule>
    <cfRule type="containsText" priority="4" operator="containsText" dxfId="0" text="Ausgaben">
      <formula>NOT(ISERROR(SEARCH("Ausgaben",C1073)))</formula>
    </cfRule>
    <cfRule type="containsText" priority="1" operator="containsText" dxfId="1" text="Einnahmen">
      <formula>NOT(ISERROR(SEARCH("Einnahmen",C1073)))</formula>
    </cfRule>
    <cfRule type="containsText" priority="2" operator="containsText" dxfId="0" text="Ausgaben">
      <formula>NOT(ISERROR(SEARCH("Ausgaben",C1073)))</formula>
    </cfRule>
  </conditionalFormatting>
  <conditionalFormatting sqref="Z1073">
    <cfRule type="dataBar" priority="6">
      <dataBar>
        <cfvo type="min"/>
        <cfvo type="max"/>
        <color rgb="FF63C384"/>
      </dataBar>
    </cfRule>
  </conditionalFormatting>
  <dataValidations count="3">
    <dataValidation sqref="J2:J4 J217 J241 J278 J316 J342 J355 J366 J380 J395 J406 J410 J425 J441 J459 J483:J484 J498 J515 J528 J543 J553 J568 J572 J587 J603 J605 J613 J631 J651 J667 J671 J687 J708 J719 J740 J756 J773 J786 J798 J818 J832 J854 J879 J896 J919:J920 J941:J942 J947 J957 J960 J969 J976 J988 J994 J999 J1003 J1006 J1016 J1022 J1030 J1033 J1043 J1049 J1063 J1065 J1067 J1072" showDropDown="0" showInputMessage="1" showErrorMessage="1" allowBlank="1" type="list">
      <formula1>"Weiterverkauf,"</formula1>
    </dataValidation>
    <dataValidation sqref="C2:C123 C125 C127 C129 C131 C165 C171:C172 C174 C181 C194 C347 C386 C388 C400:C401 C422 C437 C477 C483 C488 C493 C500 C513 C535 C572 C593 C642 C671 C675 C678 C684 C691 C699 C706 C711 C714:C716 C725 C727 C730 C743 C746 C750 C755 C757 C762 C774 C777:C778 C789 C792 C799 C802 C805:C806 C809:C811 C819 C825:C826 C836 C838 C840 C844:C846 C851 C858:C860 C862 C866 C868:C870 C872 C884:C886 C890:C891 C904:C905 C908 C920 C922:C924 C928 C931 C934 C939 C941 C945 C947:C948 C958 C960:C961 C963 C976 C979:C980 C994:C996 C999 C1006:C1008 C1011 C1014 C1021:C1023 C1033:C1034 C1037 C1049:C1051 C1055 C1063 C1067:C1068 C1071:C1072 C1074:C1048576" showDropDown="0" showInputMessage="1" showErrorMessage="1" allowBlank="1" type="list">
      <formula1>"Einnahmen,Ausgaben"</formula1>
    </dataValidation>
    <dataValidation sqref="C2:D2 D3:D1048576 X1" showDropDown="0" showInputMessage="1" showErrorMessage="1" allowBlank="1" type="list">
      <formula1>Spesenart</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16.xml><?xml version="1.0" encoding="utf-8"?>
<worksheet xmlns="http://schemas.openxmlformats.org/spreadsheetml/2006/main">
  <sheetPr codeName="Tabelle2">
    <outlinePr summaryBelow="1" summaryRight="1"/>
    <pageSetUpPr fitToPage="1"/>
  </sheetPr>
  <dimension ref="A1:AD418"/>
  <sheetViews>
    <sheetView zoomScale="115" zoomScaleNormal="115" workbookViewId="0">
      <pane ySplit="1" topLeftCell="A278" activePane="bottomLeft" state="frozen"/>
      <selection activeCell="H1" sqref="H1"/>
      <selection pane="bottomLeft" activeCell="O6" sqref="O6"/>
    </sheetView>
  </sheetViews>
  <sheetFormatPr baseColWidth="10" defaultRowHeight="15"/>
  <cols>
    <col width="5.85546875" customWidth="1" min="1" max="1"/>
    <col width="5.85546875" customWidth="1" style="53" min="2" max="3"/>
    <col width="18" customWidth="1" style="9" min="4" max="4"/>
    <col hidden="1" width="5.85546875" customWidth="1" min="5" max="5"/>
    <col width="12" customWidth="1" min="6" max="6"/>
    <col width="16.5703125" customWidth="1" min="7" max="7"/>
    <col width="11.42578125" customWidth="1" min="8" max="8"/>
    <col width="11.5703125" customWidth="1" min="9" max="9"/>
    <col width="11.42578125" customWidth="1" min="10" max="10"/>
    <col width="11.5703125" customWidth="1" style="16" min="11" max="11"/>
    <col width="32.42578125" customWidth="1" style="16" min="12" max="12"/>
    <col width="11.42578125" customWidth="1" style="16" min="13" max="13"/>
    <col width="11" customWidth="1" style="36" min="15" max="15"/>
    <col width="11" customWidth="1" style="51" min="16" max="16"/>
    <col width="11" customWidth="1" style="27" min="17" max="17"/>
    <col width="11.5703125" customWidth="1" style="237" min="18" max="18"/>
    <col width="11.5703125" customWidth="1" style="237" min="19" max="19"/>
    <col width="11.5703125" customWidth="1" style="208" min="20" max="20"/>
    <col width="11.5703125" customWidth="1" style="251" min="21" max="21"/>
    <col width="11.5703125" customWidth="1" style="251" min="22" max="22"/>
    <col width="11.5703125" customWidth="1" style="35" min="23" max="23"/>
    <col width="11" customWidth="1" style="27" min="24" max="25"/>
    <col width="12.140625" bestFit="1" customWidth="1" style="210" min="26" max="26"/>
    <col width="9.42578125" customWidth="1" style="27" min="27" max="27"/>
  </cols>
  <sheetData>
    <row r="1" customFormat="1" s="2">
      <c r="A1" s="2" t="inlineStr">
        <is>
          <t>Lfd. Nr.</t>
        </is>
      </c>
      <c r="B1" s="2" t="inlineStr">
        <is>
          <t>Jahr</t>
        </is>
      </c>
      <c r="C1" s="2" t="inlineStr">
        <is>
          <t>Belegnr.</t>
        </is>
      </c>
      <c r="D1" s="8" t="inlineStr">
        <is>
          <t>Rechnungsnummer</t>
        </is>
      </c>
      <c r="E1" s="2" t="inlineStr">
        <is>
          <t>Rechungsdatum</t>
        </is>
      </c>
      <c r="F1" s="2" t="inlineStr">
        <is>
          <t>Zahlungsdatum</t>
        </is>
      </c>
      <c r="G1" s="2" t="inlineStr">
        <is>
          <t>Buchungstext</t>
        </is>
      </c>
      <c r="H1" s="2" t="inlineStr">
        <is>
          <t>Bezeichnung</t>
        </is>
      </c>
      <c r="I1" s="2" t="inlineStr">
        <is>
          <t>UID</t>
        </is>
      </c>
      <c r="J1" s="2" t="inlineStr">
        <is>
          <t>Bezeichnung</t>
        </is>
      </c>
      <c r="K1" s="15" t="inlineStr">
        <is>
          <t>Nutzungsdauer</t>
        </is>
      </c>
      <c r="L1" s="15" t="inlineStr">
        <is>
          <t>Spesenart</t>
        </is>
      </c>
      <c r="M1" s="15" t="inlineStr">
        <is>
          <t>Weiterverkauf</t>
        </is>
      </c>
      <c r="N1" s="2" t="inlineStr">
        <is>
          <t>AfA</t>
        </is>
      </c>
      <c r="O1" s="11" t="inlineStr">
        <is>
          <t>Netto Einzelpreis</t>
        </is>
      </c>
      <c r="P1" s="52" t="inlineStr">
        <is>
          <t>Anteil (v1)</t>
        </is>
      </c>
      <c r="Q1" s="26" t="inlineStr">
        <is>
          <t>USt.(%)</t>
        </is>
      </c>
      <c r="R1" s="261" t="inlineStr">
        <is>
          <t>Vorsteuer gesamt</t>
        </is>
      </c>
      <c r="S1" s="261" t="inlineStr">
        <is>
          <t>Vorsteuer (antlg.)</t>
        </is>
      </c>
      <c r="T1" s="262" t="inlineStr">
        <is>
          <t>Nettobetrag (antlg.)</t>
        </is>
      </c>
      <c r="U1" s="263" t="inlineStr">
        <is>
          <t>Brutto (100%)</t>
        </is>
      </c>
      <c r="V1" s="263" t="inlineStr">
        <is>
          <t>Bruttobetrag (antlg.)</t>
        </is>
      </c>
      <c r="W1" s="34" t="inlineStr">
        <is>
          <t xml:space="preserve"> USt Fälligkeit</t>
        </is>
      </c>
      <c r="X1" s="26" t="inlineStr">
        <is>
          <t>USt abgerechnet</t>
        </is>
      </c>
      <c r="Y1" s="26" t="inlineStr">
        <is>
          <t>IG / in Ö steuerbar</t>
        </is>
      </c>
      <c r="Z1" s="264" t="inlineStr">
        <is>
          <t>ESt: Betrag abzugsfähig</t>
        </is>
      </c>
      <c r="AA1" s="26" t="inlineStr">
        <is>
          <t>In Ö z.e. Vorsteuer</t>
        </is>
      </c>
      <c r="AB1" s="2" t="inlineStr">
        <is>
          <t>Fehler bei "steuerbar"</t>
        </is>
      </c>
    </row>
    <row r="2">
      <c r="A2" t="n">
        <v>1</v>
      </c>
      <c r="D2" s="6" t="inlineStr">
        <is>
          <t>2015-04202</t>
        </is>
      </c>
      <c r="E2" s="1" t="n">
        <v>42144</v>
      </c>
      <c r="F2" s="1" t="n">
        <v>42145</v>
      </c>
      <c r="G2" s="1">
        <f>CONCATENATE(H2,": ",J2)</f>
        <v/>
      </c>
      <c r="H2" s="1" t="inlineStr">
        <is>
          <t>A.P. Handelsges.m.b.H. - Amerlingstraße 13 - 1060 Wien</t>
        </is>
      </c>
      <c r="I2" s="1" t="n"/>
      <c r="J2" t="inlineStr">
        <is>
          <t>Haworth Comforto 62 Drehstuhl</t>
        </is>
      </c>
      <c r="K2" s="16" t="n">
        <v>5</v>
      </c>
      <c r="N2">
        <f>(IF(AND(K2&lt;&gt;"",ABS(T2)&gt;400),TRUE,FALSE))</f>
        <v/>
      </c>
      <c r="O2" s="36" t="n">
        <v>600</v>
      </c>
      <c r="P2" s="51" t="n">
        <v>1</v>
      </c>
      <c r="Q2" s="27" t="n">
        <v>20</v>
      </c>
      <c r="R2" s="237">
        <f>O2*Q2/100</f>
        <v/>
      </c>
      <c r="S2" s="237">
        <f>P2*R2</f>
        <v/>
      </c>
      <c r="T2" s="208">
        <f>O2*P2</f>
        <v/>
      </c>
      <c r="U2" s="251">
        <f>O2+R2</f>
        <v/>
      </c>
      <c r="V2" s="251">
        <f>T2+S2</f>
        <v/>
      </c>
      <c r="W2" s="35">
        <f>voranmeldefrist_vierteljaehrlich(F2)</f>
        <v/>
      </c>
      <c r="Z2" s="210">
        <f>IF(N2=TRUE,T2/K2,T2)</f>
        <v/>
      </c>
      <c r="AB2">
        <f>IF(AND(Y2&gt;0,Q2=Y2),TRUE,FALSE)</f>
        <v/>
      </c>
    </row>
    <row r="3">
      <c r="A3" t="n">
        <v>2</v>
      </c>
      <c r="D3" s="9" t="n">
        <v>9187273344</v>
      </c>
      <c r="E3" s="1" t="n">
        <v>42150</v>
      </c>
      <c r="F3" s="1" t="n">
        <v>42149</v>
      </c>
      <c r="G3" s="1">
        <f>CONCATENATE(H3,": ",J3)</f>
        <v/>
      </c>
      <c r="H3" t="inlineStr">
        <is>
          <t>Vistaprint B.V., Hudsonweg 8, 5928 LW Venlo, Niederlande</t>
        </is>
      </c>
      <c r="I3" s="10" t="inlineStr">
        <is>
          <t xml:space="preserve">ATU62044549 </t>
        </is>
      </c>
      <c r="J3" t="inlineStr">
        <is>
          <t>Visitenkarten extradick</t>
        </is>
      </c>
      <c r="N3">
        <f>(IF(AND(K3&lt;&gt;"",ABS(T3)&gt;400),TRUE,FALSE))</f>
        <v/>
      </c>
      <c r="O3" s="36" t="n">
        <v>34.97</v>
      </c>
      <c r="P3" s="51" t="n">
        <v>1</v>
      </c>
      <c r="Q3" s="27" t="n">
        <v>20</v>
      </c>
      <c r="R3" s="237">
        <f>O3*Q3/100</f>
        <v/>
      </c>
      <c r="S3" s="237">
        <f>P3*R3</f>
        <v/>
      </c>
      <c r="T3" s="208">
        <f>O3*P3</f>
        <v/>
      </c>
      <c r="U3" s="251">
        <f>O3+R3</f>
        <v/>
      </c>
      <c r="V3" s="251">
        <f>T3+S3</f>
        <v/>
      </c>
      <c r="W3" s="35">
        <f>voranmeldefrist_vierteljaehrlich(F3)</f>
        <v/>
      </c>
      <c r="Z3" s="210">
        <f>IF(N3=TRUE,T3/K3,T3)</f>
        <v/>
      </c>
      <c r="AB3">
        <f>IF(AND(Y3&gt;0,Q3=Y3),TRUE,FALSE)</f>
        <v/>
      </c>
    </row>
    <row r="4">
      <c r="A4" t="n">
        <v>3</v>
      </c>
      <c r="D4" s="9" t="inlineStr">
        <is>
          <t>R0004956134</t>
        </is>
      </c>
      <c r="E4" s="1" t="n">
        <v>42163</v>
      </c>
      <c r="F4" s="1" t="n">
        <v>42165</v>
      </c>
      <c r="G4" s="1">
        <f>CONCATENATE(H4,": ",J4)</f>
        <v/>
      </c>
      <c r="H4" t="inlineStr">
        <is>
          <t>Hetzner Online AG, Industriestr. 25, 91710 Gunzenhausen</t>
        </is>
      </c>
      <c r="I4" s="10" t="inlineStr">
        <is>
          <t>DE812871812</t>
        </is>
      </c>
      <c r="J4" t="inlineStr">
        <is>
          <t>EQ4 Server #50605 30TB 188.40.75.200, 188.40.75.242</t>
        </is>
      </c>
      <c r="N4">
        <f>(IF(AND(K4&lt;&gt;"",ABS(T4)&gt;400),TRUE,FALSE))</f>
        <v/>
      </c>
      <c r="O4" s="36" t="n">
        <v>42.02</v>
      </c>
      <c r="P4" s="51" t="n">
        <v>1</v>
      </c>
      <c r="Q4" s="27" t="n">
        <v>20</v>
      </c>
      <c r="R4" s="237">
        <f>O4*Q4/100</f>
        <v/>
      </c>
      <c r="S4" s="237">
        <f>P4*R4</f>
        <v/>
      </c>
      <c r="T4" s="208">
        <f>O4*P4</f>
        <v/>
      </c>
      <c r="U4" s="251">
        <f>O4+R4</f>
        <v/>
      </c>
      <c r="V4" s="251">
        <f>T4+S4</f>
        <v/>
      </c>
      <c r="W4" s="35">
        <f>voranmeldefrist_vierteljaehrlich(F4)</f>
        <v/>
      </c>
      <c r="Z4" s="210">
        <f>IF(N4=TRUE,T4/K4,T4)</f>
        <v/>
      </c>
      <c r="AB4">
        <f>IF(AND(Y4&gt;0,Q4=Y4),TRUE,FALSE)</f>
        <v/>
      </c>
    </row>
    <row r="5">
      <c r="A5" t="n">
        <v>4</v>
      </c>
      <c r="D5" s="9" t="n">
        <v>220306</v>
      </c>
      <c r="E5" s="1" t="n">
        <v>42179</v>
      </c>
      <c r="F5" s="1" t="n">
        <v>42179</v>
      </c>
      <c r="G5" s="1">
        <f>CONCATENATE(H5,": ",J5)</f>
        <v/>
      </c>
      <c r="H5" t="inlineStr">
        <is>
          <t>Florianihof Inh. Markus Rühl, Florianigasse 45, 1080 Wien</t>
        </is>
      </c>
      <c r="J5" t="inlineStr">
        <is>
          <t>Arbeitsessen</t>
        </is>
      </c>
      <c r="N5">
        <f>(IF(AND(K5&lt;&gt;"",ABS(T5)&gt;400),TRUE,FALSE))</f>
        <v/>
      </c>
      <c r="O5" s="36">
        <f>6.36+1.33</f>
        <v/>
      </c>
      <c r="P5" s="51" t="n">
        <v>0.5</v>
      </c>
      <c r="Q5" s="27" t="inlineStr">
        <is>
          <t>gemischt</t>
        </is>
      </c>
      <c r="R5" s="237">
        <f>0.64+0.27</f>
        <v/>
      </c>
      <c r="S5" s="237">
        <f>P5*R5</f>
        <v/>
      </c>
      <c r="T5" s="208">
        <f>O5*P5</f>
        <v/>
      </c>
      <c r="U5" s="251">
        <f>O5+R5</f>
        <v/>
      </c>
      <c r="V5" s="251">
        <f>T5+S5</f>
        <v/>
      </c>
      <c r="W5" s="35">
        <f>voranmeldefrist_vierteljaehrlich(F5)</f>
        <v/>
      </c>
      <c r="Z5" s="210">
        <f>IF(N5=TRUE,T5/K5,T5)</f>
        <v/>
      </c>
      <c r="AB5">
        <f>IF(AND(Y5&gt;0,Q5=Y5),TRUE,FALSE)</f>
        <v/>
      </c>
    </row>
    <row r="6">
      <c r="A6" t="n">
        <v>5</v>
      </c>
      <c r="D6" s="9" t="n">
        <v>693107544</v>
      </c>
      <c r="E6" s="1" t="n">
        <v>42179</v>
      </c>
      <c r="F6" s="1" t="n">
        <v>42188</v>
      </c>
      <c r="G6" s="1">
        <f>CONCATENATE(H6,": ",J6)</f>
        <v/>
      </c>
      <c r="H6" t="inlineStr">
        <is>
          <t>Hutchison Drei Austria GmbH, Brünner Straße 52, 1210 Wien, Österreich</t>
        </is>
      </c>
      <c r="I6" t="inlineStr">
        <is>
          <t>ATU 41029105</t>
        </is>
      </c>
      <c r="J6" t="inlineStr">
        <is>
          <t>Rufnummer 0660 534 59 59</t>
        </is>
      </c>
      <c r="N6">
        <f>(IF(AND(K6&lt;&gt;"",ABS(T6)&gt;400),TRUE,FALSE))</f>
        <v/>
      </c>
      <c r="O6" s="36" t="n">
        <v>15</v>
      </c>
      <c r="P6" s="51" t="n">
        <v>0.6</v>
      </c>
      <c r="Q6" s="27" t="n">
        <v>20</v>
      </c>
      <c r="R6" s="237">
        <f>O6*Q6/100</f>
        <v/>
      </c>
      <c r="S6" s="237">
        <f>P6*R6</f>
        <v/>
      </c>
      <c r="T6" s="208">
        <f>O6*P6</f>
        <v/>
      </c>
      <c r="U6" s="251">
        <f>O6+R6</f>
        <v/>
      </c>
      <c r="V6" s="251">
        <f>T6+S6</f>
        <v/>
      </c>
      <c r="W6" s="35">
        <f>voranmeldefrist_vierteljaehrlich(F6)</f>
        <v/>
      </c>
      <c r="Z6" s="210">
        <f>IF(N6=TRUE,T6/K6,T6)</f>
        <v/>
      </c>
      <c r="AB6">
        <f>IF(AND(Y6&gt;0,Q6=Y6),TRUE,FALSE)</f>
        <v/>
      </c>
    </row>
    <row r="7">
      <c r="A7" t="n">
        <v>6</v>
      </c>
      <c r="D7" s="9" t="inlineStr">
        <is>
          <t>RE0299353</t>
        </is>
      </c>
      <c r="E7" s="1" t="n">
        <v>42181</v>
      </c>
      <c r="F7" s="1" t="n">
        <v>42183</v>
      </c>
      <c r="G7" s="1">
        <f>CONCATENATE(H7,": ",J7)</f>
        <v/>
      </c>
      <c r="H7" t="inlineStr">
        <is>
          <t>easyname GmbH, Fernkorngasse 10/3/501, 1110 Wien</t>
        </is>
      </c>
      <c r="I7" t="inlineStr">
        <is>
          <t>ATU68122177</t>
        </is>
      </c>
      <c r="J7" t="inlineStr">
        <is>
          <t>Domain: Fiber-Wire</t>
        </is>
      </c>
      <c r="N7">
        <f>(IF(AND(K7&lt;&gt;"",ABS(T7)&gt;400),TRUE,FALSE))</f>
        <v/>
      </c>
      <c r="O7" s="36" t="n">
        <v>12.42</v>
      </c>
      <c r="P7" s="51" t="n">
        <v>1</v>
      </c>
      <c r="Q7" s="27" t="n">
        <v>20</v>
      </c>
      <c r="R7" s="237">
        <f>O7*Q7/100</f>
        <v/>
      </c>
      <c r="S7" s="237">
        <f>P7*R7</f>
        <v/>
      </c>
      <c r="T7" s="208">
        <f>O7*P7</f>
        <v/>
      </c>
      <c r="U7" s="251">
        <f>O7+R7</f>
        <v/>
      </c>
      <c r="V7" s="251">
        <f>T7+S7</f>
        <v/>
      </c>
      <c r="W7" s="35">
        <f>voranmeldefrist_vierteljaehrlich(F7)</f>
        <v/>
      </c>
      <c r="Z7" s="210">
        <f>IF(N7=TRUE,T7/K7,T7)</f>
        <v/>
      </c>
      <c r="AB7">
        <f>IF(AND(Y7&gt;0,Q7=Y7),TRUE,FALSE)</f>
        <v/>
      </c>
    </row>
    <row r="8">
      <c r="A8" t="n">
        <v>7</v>
      </c>
      <c r="D8" s="9" t="n">
        <v>4756070715</v>
      </c>
      <c r="E8" s="1" t="n">
        <v>42186</v>
      </c>
      <c r="F8" s="1" t="n">
        <v>42177</v>
      </c>
      <c r="G8" s="1">
        <f>CONCATENATE(H8,": ",J8)</f>
        <v/>
      </c>
      <c r="H8" t="inlineStr">
        <is>
          <t>IMV Immobilien Management GmbH</t>
        </is>
      </c>
      <c r="J8" t="inlineStr">
        <is>
          <t>Vorschreibung 7/2015</t>
        </is>
      </c>
      <c r="N8">
        <f>(IF(AND(K8&lt;&gt;"",ABS(T8)&gt;400),TRUE,FALSE))</f>
        <v/>
      </c>
      <c r="O8" s="36" t="n">
        <v>785.46</v>
      </c>
      <c r="P8" s="51">
        <f>Arbeitszimmer!$B$3</f>
        <v/>
      </c>
      <c r="Q8" s="27" t="n">
        <v>10</v>
      </c>
      <c r="R8" s="237">
        <f>O8*Q8/100</f>
        <v/>
      </c>
      <c r="S8" s="237">
        <f>P8*R8</f>
        <v/>
      </c>
      <c r="T8" s="208">
        <f>O8*P8</f>
        <v/>
      </c>
      <c r="U8" s="251">
        <f>O8+R8</f>
        <v/>
      </c>
      <c r="V8" s="251">
        <f>T8+S8</f>
        <v/>
      </c>
      <c r="W8" s="35">
        <f>voranmeldefrist_vierteljaehrlich(F8)</f>
        <v/>
      </c>
      <c r="Z8" s="210">
        <f>IF(N8=TRUE,T8/K8,T8)</f>
        <v/>
      </c>
      <c r="AB8">
        <f>IF(AND(Y8&gt;0,Q8=Y8),TRUE,FALSE)</f>
        <v/>
      </c>
    </row>
    <row r="9">
      <c r="A9" t="n">
        <v>8</v>
      </c>
      <c r="D9" s="9" t="inlineStr">
        <is>
          <t>GVR-H-1352456</t>
        </is>
      </c>
      <c r="E9" s="1" t="n">
        <v>42188</v>
      </c>
      <c r="F9" s="1" t="n">
        <v>42188</v>
      </c>
      <c r="G9" s="1">
        <f>CONCATENATE(H9,": ",J9)</f>
        <v/>
      </c>
      <c r="H9" t="inlineStr">
        <is>
          <t>redcoon GmbH, Bösendorferstraße 9, 1010 Wien</t>
        </is>
      </c>
      <c r="J9" t="inlineStr">
        <is>
          <t>WD Red 3TB WD30EFRX - Festplatte, 64 MB</t>
        </is>
      </c>
      <c r="N9">
        <f>(IF(AND(K9&lt;&gt;"",ABS(T9)&gt;400),TRUE,FALSE))</f>
        <v/>
      </c>
      <c r="O9" s="36" t="n">
        <v>100</v>
      </c>
      <c r="P9" s="51" t="n">
        <v>1</v>
      </c>
      <c r="Q9" s="27" t="n">
        <v>20</v>
      </c>
      <c r="R9" s="237">
        <f>O9*Q9/100</f>
        <v/>
      </c>
      <c r="S9" s="237">
        <f>P9*R9</f>
        <v/>
      </c>
      <c r="T9" s="208">
        <f>O9*P9</f>
        <v/>
      </c>
      <c r="U9" s="251">
        <f>O9+R9</f>
        <v/>
      </c>
      <c r="V9" s="251">
        <f>T9+S9</f>
        <v/>
      </c>
      <c r="W9" s="35">
        <f>voranmeldefrist_vierteljaehrlich(F9)</f>
        <v/>
      </c>
      <c r="Z9" s="210">
        <f>IF(N9=TRUE,T9/K9,T9)</f>
        <v/>
      </c>
      <c r="AB9">
        <f>IF(AND(Y9&gt;0,Q9=Y9),TRUE,FALSE)</f>
        <v/>
      </c>
    </row>
    <row r="10">
      <c r="A10" t="n">
        <v>9</v>
      </c>
      <c r="D10" s="9" t="n">
        <v>9190762692</v>
      </c>
      <c r="E10" s="1" t="n">
        <v>42190</v>
      </c>
      <c r="F10" s="1" t="n">
        <v>42187</v>
      </c>
      <c r="G10" s="1">
        <f>CONCATENATE(H10,": ",J10)</f>
        <v/>
      </c>
      <c r="H10" t="inlineStr">
        <is>
          <t>Vistaprint B.V., Hudsonweg 8, 5928 LW Venlo, Niederlande</t>
        </is>
      </c>
      <c r="I10" s="10" t="inlineStr">
        <is>
          <t xml:space="preserve">ATU62044549 </t>
        </is>
      </c>
      <c r="J10" t="inlineStr">
        <is>
          <t>Visitenkarten 2x100</t>
        </is>
      </c>
      <c r="N10">
        <f>(IF(AND(K10&lt;&gt;"",ABS(T10)&gt;400),TRUE,FALSE))</f>
        <v/>
      </c>
      <c r="O10" s="36" t="n">
        <v>20.7</v>
      </c>
      <c r="P10" s="51" t="n">
        <v>1</v>
      </c>
      <c r="Q10" s="27" t="n">
        <v>20</v>
      </c>
      <c r="R10" s="237" t="n">
        <v>4.16</v>
      </c>
      <c r="S10" s="237" t="n">
        <v>4.16</v>
      </c>
      <c r="T10" s="208">
        <f>O10*P10</f>
        <v/>
      </c>
      <c r="U10" s="251">
        <f>O10+R10</f>
        <v/>
      </c>
      <c r="V10" s="251">
        <f>T10+S10</f>
        <v/>
      </c>
      <c r="W10" s="35">
        <f>voranmeldefrist_vierteljaehrlich(F10)</f>
        <v/>
      </c>
      <c r="Z10" s="210">
        <f>IF(N10=TRUE,T10/K10,T10)</f>
        <v/>
      </c>
      <c r="AB10">
        <f>IF(AND(Y10&gt;0,Q10=Y10),TRUE,FALSE)</f>
        <v/>
      </c>
    </row>
    <row r="11">
      <c r="A11" t="n">
        <v>10</v>
      </c>
      <c r="D11" s="9" t="n">
        <v>13224079</v>
      </c>
      <c r="E11" s="1" t="n">
        <v>42192</v>
      </c>
      <c r="F11" s="1" t="n">
        <v>42191</v>
      </c>
      <c r="G11" s="1">
        <f>CONCATENATE(H11,": ",J11)</f>
        <v/>
      </c>
      <c r="H11" t="inlineStr">
        <is>
          <t>Primus Office products Handelsges.mb.H &amp; Co KG FN210677w - ATU52268004, Margaretengürtel 44, 1050 Wien</t>
        </is>
      </c>
      <c r="J11" t="inlineStr">
        <is>
          <t>TOPH-C4127X.RX + Versand</t>
        </is>
      </c>
      <c r="N11">
        <f>(IF(AND(K11&lt;&gt;"",ABS(T11)&gt;400),TRUE,FALSE))</f>
        <v/>
      </c>
      <c r="O11" s="36" t="n">
        <v>77</v>
      </c>
      <c r="P11" s="51" t="n">
        <v>1</v>
      </c>
      <c r="Q11" s="27" t="n">
        <v>20</v>
      </c>
      <c r="R11" s="237">
        <f>O11*Q11/100</f>
        <v/>
      </c>
      <c r="S11" s="237">
        <f>P11*R11</f>
        <v/>
      </c>
      <c r="T11" s="208">
        <f>O11*P11</f>
        <v/>
      </c>
      <c r="U11" s="251">
        <f>O11+R11</f>
        <v/>
      </c>
      <c r="V11" s="251">
        <f>T11+S11</f>
        <v/>
      </c>
      <c r="W11" s="35">
        <f>voranmeldefrist_vierteljaehrlich(F11)</f>
        <v/>
      </c>
      <c r="Z11" s="210">
        <f>IF(N11=TRUE,T11/K11,T11)</f>
        <v/>
      </c>
      <c r="AB11">
        <f>IF(AND(Y11&gt;0,Q11=Y11),TRUE,FALSE)</f>
        <v/>
      </c>
    </row>
    <row r="12">
      <c r="A12" t="n">
        <v>11</v>
      </c>
      <c r="D12" s="9" t="inlineStr">
        <is>
          <t>R0005032977</t>
        </is>
      </c>
      <c r="E12" s="1" t="n">
        <v>42193</v>
      </c>
      <c r="F12" s="1" t="n">
        <v>42195</v>
      </c>
      <c r="G12" s="1">
        <f>CONCATENATE(H12,": ",J12)</f>
        <v/>
      </c>
      <c r="H12" t="inlineStr">
        <is>
          <t>Hetzner Online AG, Industriestr. 25, 91710 Gunzenhausen</t>
        </is>
      </c>
      <c r="I12" s="10" t="inlineStr">
        <is>
          <t>DE812871812</t>
        </is>
      </c>
      <c r="J12" t="inlineStr">
        <is>
          <t>EQ4 Server #50605 30TB 188.40.75.200, 188.40.75.242</t>
        </is>
      </c>
      <c r="N12">
        <f>(IF(AND(K12&lt;&gt;"",ABS(T12)&gt;400),TRUE,FALSE))</f>
        <v/>
      </c>
      <c r="O12" s="36" t="n">
        <v>42.02</v>
      </c>
      <c r="P12" s="51" t="n">
        <v>1</v>
      </c>
      <c r="Q12" s="27" t="n">
        <v>20</v>
      </c>
      <c r="R12" s="237">
        <f>O12*Q12/100</f>
        <v/>
      </c>
      <c r="S12" s="237">
        <f>P12*R12</f>
        <v/>
      </c>
      <c r="T12" s="208">
        <f>O12*P12</f>
        <v/>
      </c>
      <c r="U12" s="251">
        <f>O12+R12</f>
        <v/>
      </c>
      <c r="V12" s="251">
        <f>T12+S12</f>
        <v/>
      </c>
      <c r="W12" s="35">
        <f>voranmeldefrist_vierteljaehrlich(F12)</f>
        <v/>
      </c>
      <c r="Z12" s="210">
        <f>IF(N12=TRUE,T12/K12,T12)</f>
        <v/>
      </c>
      <c r="AB12">
        <f>IF(AND(Y12&gt;0,Q12=Y12),TRUE,FALSE)</f>
        <v/>
      </c>
    </row>
    <row r="13">
      <c r="A13" t="n">
        <v>12</v>
      </c>
      <c r="D13" s="9" t="inlineStr">
        <is>
          <t>219794691/40/2015</t>
        </is>
      </c>
      <c r="E13" s="1" t="n">
        <v>42186</v>
      </c>
      <c r="F13" s="1" t="n">
        <v>42200</v>
      </c>
      <c r="G13" s="1">
        <f>CONCATENATE(H13,": ",J13)</f>
        <v/>
      </c>
      <c r="H13" t="inlineStr">
        <is>
          <t>VERBUND AG, Postfach 8400, 1011 Wien, Österreich</t>
        </is>
      </c>
      <c r="J13" t="inlineStr">
        <is>
          <t>Strom 1.7.-30.9.</t>
        </is>
      </c>
      <c r="N13">
        <f>(IF(AND(K13&lt;&gt;"",ABS(T13)&gt;400),TRUE,FALSE))</f>
        <v/>
      </c>
      <c r="O13" s="36" t="n">
        <v>120.83</v>
      </c>
      <c r="P13" s="51">
        <f>Arbeitszimmer!$B$3</f>
        <v/>
      </c>
      <c r="Q13" s="27" t="n">
        <v>20</v>
      </c>
      <c r="R13" s="237">
        <f>O13*Q13/100</f>
        <v/>
      </c>
      <c r="S13" s="237">
        <f>P13*R13</f>
        <v/>
      </c>
      <c r="T13" s="208">
        <f>O13*P13</f>
        <v/>
      </c>
      <c r="U13" s="251">
        <f>O13+R13</f>
        <v/>
      </c>
      <c r="V13" s="251">
        <f>T13+S13</f>
        <v/>
      </c>
      <c r="W13" s="35">
        <f>voranmeldefrist_vierteljaehrlich(F13)</f>
        <v/>
      </c>
      <c r="Z13" s="210">
        <f>IF(N13=TRUE,T13/K13,T13)</f>
        <v/>
      </c>
      <c r="AB13">
        <f>IF(AND(Y13&gt;0,Q13=Y13),TRUE,FALSE)</f>
        <v/>
      </c>
    </row>
    <row r="14">
      <c r="A14" t="n">
        <v>13</v>
      </c>
      <c r="D14" s="6" t="inlineStr">
        <is>
          <t>11284276/40/2015</t>
        </is>
      </c>
      <c r="E14" s="1" t="n">
        <v>42186</v>
      </c>
      <c r="F14" s="1" t="n">
        <v>42200</v>
      </c>
      <c r="G14" s="1">
        <f>CONCATENATE(H14,": ",J14)</f>
        <v/>
      </c>
      <c r="H14" t="inlineStr">
        <is>
          <t>MONTANA Energie-Handel AT GmbH</t>
        </is>
      </c>
      <c r="J14" t="inlineStr">
        <is>
          <t>Teilzahlungsbetrag Gas 1.7.-30.9. 11284276</t>
        </is>
      </c>
      <c r="N14">
        <f>(IF(AND(K14&lt;&gt;"",ABS(T14)&gt;400),TRUE,FALSE))</f>
        <v/>
      </c>
      <c r="O14" s="36" t="n">
        <v>48.33</v>
      </c>
      <c r="P14" s="51">
        <f>Arbeitszimmer!$B$3</f>
        <v/>
      </c>
      <c r="Q14" s="27" t="n">
        <v>20</v>
      </c>
      <c r="R14" s="237">
        <f>O14*Q14/100</f>
        <v/>
      </c>
      <c r="S14" s="237">
        <f>P14*R14</f>
        <v/>
      </c>
      <c r="T14" s="208">
        <f>O14*P14</f>
        <v/>
      </c>
      <c r="U14" s="251">
        <f>O14+R14</f>
        <v/>
      </c>
      <c r="V14" s="251">
        <f>T14+S14</f>
        <v/>
      </c>
      <c r="W14" s="35">
        <f>voranmeldefrist_vierteljaehrlich(F14)</f>
        <v/>
      </c>
      <c r="Z14" s="210">
        <f>IF(N14=TRUE,T14/K14,T14)</f>
        <v/>
      </c>
      <c r="AB14">
        <f>IF(AND(Y14&gt;0,Q14=Y14),TRUE,FALSE)</f>
        <v/>
      </c>
    </row>
    <row r="15">
      <c r="A15" t="n">
        <v>14</v>
      </c>
      <c r="D15" s="9" t="inlineStr">
        <is>
          <t>18.15</t>
        </is>
      </c>
      <c r="E15" s="1" t="n">
        <v>42206</v>
      </c>
      <c r="F15" s="1" t="n">
        <v>42206</v>
      </c>
      <c r="G15" s="1">
        <f>CONCATENATE(H15,": ",J15)</f>
        <v/>
      </c>
      <c r="H15" t="inlineStr">
        <is>
          <t>Ruth Veres, Krottenbachstraße 94-96/4/6, 1190 Wien</t>
        </is>
      </c>
      <c r="J15" t="inlineStr">
        <is>
          <t>Abstandshonorar AK</t>
        </is>
      </c>
      <c r="N15">
        <f>(IF(AND(K15&lt;&gt;"",ABS(T15)&gt;400),TRUE,FALSE))</f>
        <v/>
      </c>
      <c r="O15" s="36" t="n">
        <v>288</v>
      </c>
      <c r="P15" s="51" t="n">
        <v>1</v>
      </c>
      <c r="Q15" s="27" t="n">
        <v>0</v>
      </c>
      <c r="R15" s="237">
        <f>O15*Q15/100</f>
        <v/>
      </c>
      <c r="S15" s="237">
        <f>P15*R15</f>
        <v/>
      </c>
      <c r="T15" s="208">
        <f>O15*P15</f>
        <v/>
      </c>
      <c r="U15" s="251">
        <f>O15+R15</f>
        <v/>
      </c>
      <c r="V15" s="251">
        <f>T15+S15</f>
        <v/>
      </c>
      <c r="W15" s="35">
        <f>voranmeldefrist_vierteljaehrlich(F15)</f>
        <v/>
      </c>
      <c r="Z15" s="210">
        <f>IF(N15=TRUE,T15/K15,T15)</f>
        <v/>
      </c>
      <c r="AB15">
        <f>IF(AND(Y15&gt;0,Q15=Y15),TRUE,FALSE)</f>
        <v/>
      </c>
    </row>
    <row r="16">
      <c r="A16" t="n">
        <v>15</v>
      </c>
      <c r="D16" s="9" t="n">
        <v>773381023</v>
      </c>
      <c r="E16" s="1" t="n">
        <v>42205</v>
      </c>
      <c r="F16" s="1" t="n">
        <v>42204</v>
      </c>
      <c r="G16" s="1">
        <f>CONCATENATE(H16,": ",J16)</f>
        <v/>
      </c>
      <c r="H16" t="inlineStr">
        <is>
          <t>Microsoft Luxembourg Sàrl, 23-29, Rives de Clausen, L-2165 Luxembourg, Luxembourg, USt-IdNr.: LU19878750</t>
        </is>
      </c>
      <c r="I16" s="3" t="inlineStr">
        <is>
          <t>LU19878750</t>
        </is>
      </c>
      <c r="J16" t="inlineStr">
        <is>
          <t>Office 365</t>
        </is>
      </c>
      <c r="N16">
        <f>(IF(AND(K16&lt;&gt;"",ABS(T16)&gt;400),TRUE,FALSE))</f>
        <v/>
      </c>
      <c r="O16" s="36" t="n">
        <v>5.83</v>
      </c>
      <c r="P16" s="51" t="n">
        <v>1</v>
      </c>
      <c r="Q16" s="27" t="n">
        <v>20</v>
      </c>
      <c r="R16" s="237">
        <f>O16*Q16/100</f>
        <v/>
      </c>
      <c r="S16" s="237">
        <f>P16*R16</f>
        <v/>
      </c>
      <c r="T16" s="208">
        <f>O16*P16</f>
        <v/>
      </c>
      <c r="U16" s="251">
        <f>O16+R16</f>
        <v/>
      </c>
      <c r="V16" s="251">
        <f>T16+S16</f>
        <v/>
      </c>
      <c r="W16" s="35">
        <f>voranmeldefrist_vierteljaehrlich(F16)</f>
        <v/>
      </c>
      <c r="Z16" s="210">
        <f>IF(N16=TRUE,T16/K16,T16)</f>
        <v/>
      </c>
      <c r="AB16">
        <f>IF(AND(Y16&gt;0,Q16=Y16),TRUE,FALSE)</f>
        <v/>
      </c>
    </row>
    <row r="17">
      <c r="A17" t="n">
        <v>16</v>
      </c>
      <c r="D17" s="9" t="n">
        <v>694615621</v>
      </c>
      <c r="E17" s="1" t="n">
        <v>42209</v>
      </c>
      <c r="F17" s="1" t="n">
        <v>42220</v>
      </c>
      <c r="G17" s="1">
        <f>CONCATENATE(H17,": ",J17)</f>
        <v/>
      </c>
      <c r="H17" t="inlineStr">
        <is>
          <t>Hutchison Drei Austria GmbH, Brünner Straße 52, 1210 Wien, Österreich</t>
        </is>
      </c>
      <c r="I17" t="inlineStr">
        <is>
          <t>ATU 41029105</t>
        </is>
      </c>
      <c r="J17" t="inlineStr">
        <is>
          <t>Rufnummer 0660 534 59 59</t>
        </is>
      </c>
      <c r="N17">
        <f>(IF(AND(K17&lt;&gt;"",ABS(T17)&gt;400),TRUE,FALSE))</f>
        <v/>
      </c>
      <c r="O17" s="36" t="n">
        <v>15</v>
      </c>
      <c r="P17" s="51" t="n">
        <v>0.6</v>
      </c>
      <c r="Q17" s="27" t="n">
        <v>20</v>
      </c>
      <c r="R17" s="237">
        <f>O17*Q17/100</f>
        <v/>
      </c>
      <c r="S17" s="237">
        <f>P17*R17</f>
        <v/>
      </c>
      <c r="T17" s="208">
        <f>O17*P17</f>
        <v/>
      </c>
      <c r="U17" s="251">
        <f>O17+R17</f>
        <v/>
      </c>
      <c r="V17" s="251">
        <f>T17+S17</f>
        <v/>
      </c>
      <c r="W17" s="35">
        <f>voranmeldefrist_vierteljaehrlich(F17)</f>
        <v/>
      </c>
      <c r="Z17" s="210">
        <f>IF(N17=TRUE,T17/K17,T17)</f>
        <v/>
      </c>
      <c r="AB17">
        <f>IF(AND(Y17&gt;0,Q17=Y17),TRUE,FALSE)</f>
        <v/>
      </c>
    </row>
    <row r="18">
      <c r="A18" t="n">
        <v>17</v>
      </c>
      <c r="D18" s="9">
        <f>"4756070815"</f>
        <v/>
      </c>
      <c r="E18" s="1" t="n">
        <v>42217</v>
      </c>
      <c r="F18" s="1" t="n">
        <v>42212</v>
      </c>
      <c r="G18" s="1">
        <f>CONCATENATE(H18,": ",J18)</f>
        <v/>
      </c>
      <c r="H18" t="inlineStr">
        <is>
          <t>IMV Immobilien Management GmbH</t>
        </is>
      </c>
      <c r="J18" t="inlineStr">
        <is>
          <t>Vorschreibung 8/2015</t>
        </is>
      </c>
      <c r="N18">
        <f>(IF(AND(K18&lt;&gt;"",ABS(T18)&gt;400),TRUE,FALSE))</f>
        <v/>
      </c>
      <c r="O18" s="36" t="n">
        <v>540.6900000000001</v>
      </c>
      <c r="P18" s="51">
        <f>Arbeitszimmer!$B$3</f>
        <v/>
      </c>
      <c r="Q18" s="27" t="n">
        <v>10</v>
      </c>
      <c r="R18" s="237">
        <f>O18*Q18/100</f>
        <v/>
      </c>
      <c r="S18" s="237">
        <f>P18*R18</f>
        <v/>
      </c>
      <c r="T18" s="208">
        <f>O18*P18</f>
        <v/>
      </c>
      <c r="U18" s="251">
        <f>O18+R18</f>
        <v/>
      </c>
      <c r="V18" s="251">
        <f>T18+S18</f>
        <v/>
      </c>
      <c r="W18" s="35">
        <f>voranmeldefrist_vierteljaehrlich(F18)</f>
        <v/>
      </c>
      <c r="Z18" s="210">
        <f>IF(N18=TRUE,T18/K18,T18)</f>
        <v/>
      </c>
      <c r="AB18">
        <f>IF(AND(Y18&gt;0,Q18=Y18),TRUE,FALSE)</f>
        <v/>
      </c>
    </row>
    <row r="19">
      <c r="A19" t="n">
        <v>18</v>
      </c>
      <c r="D19" s="9" t="inlineStr">
        <is>
          <t xml:space="preserve">R0005109874 </t>
        </is>
      </c>
      <c r="E19" s="1" t="n">
        <v>42224</v>
      </c>
      <c r="F19" s="1" t="n">
        <v>42227</v>
      </c>
      <c r="G19" s="1">
        <f>CONCATENATE(H19,": ",J19)</f>
        <v/>
      </c>
      <c r="H19" t="inlineStr">
        <is>
          <t>Hetzner Online AG, Industriestr. 25, 91710 Gunzenhausen</t>
        </is>
      </c>
      <c r="I19" s="10" t="inlineStr">
        <is>
          <t>DE812871812</t>
        </is>
      </c>
      <c r="J19" t="inlineStr">
        <is>
          <t>EQ4 Server #50605 30TB 188.40.75.200, 188.40.75.242</t>
        </is>
      </c>
      <c r="N19">
        <f>(IF(AND(K19&lt;&gt;"",ABS(T19)&gt;400),TRUE,FALSE))</f>
        <v/>
      </c>
      <c r="O19" s="36" t="n">
        <v>42.02</v>
      </c>
      <c r="P19" s="51" t="n">
        <v>1</v>
      </c>
      <c r="Q19" s="27" t="n">
        <v>20</v>
      </c>
      <c r="R19" s="237">
        <f>O19*Q19/100</f>
        <v/>
      </c>
      <c r="S19" s="237">
        <f>P19*R19</f>
        <v/>
      </c>
      <c r="T19" s="208">
        <f>O19*P19</f>
        <v/>
      </c>
      <c r="U19" s="251">
        <f>O19+R19</f>
        <v/>
      </c>
      <c r="V19" s="251">
        <f>T19+S19</f>
        <v/>
      </c>
      <c r="W19" s="35">
        <f>voranmeldefrist_vierteljaehrlich(F19)</f>
        <v/>
      </c>
      <c r="Z19" s="210">
        <f>IF(N19=TRUE,T19/K19,T19)</f>
        <v/>
      </c>
      <c r="AB19">
        <f>IF(AND(Y19&gt;0,Q19=Y19),TRUE,FALSE)</f>
        <v/>
      </c>
    </row>
    <row r="20">
      <c r="A20" t="n">
        <v>19</v>
      </c>
      <c r="D20" s="9" t="n">
        <v>20140059033</v>
      </c>
      <c r="E20" s="1" t="n">
        <v>42212</v>
      </c>
      <c r="F20" s="1" t="n">
        <v>42234</v>
      </c>
      <c r="G20" s="1">
        <f>CONCATENATE(H20,": ",J20)</f>
        <v/>
      </c>
      <c r="H20" t="inlineStr">
        <is>
          <t>stempel-fabrik.at GmbH - 9 Warwitzstraße - 5023 Salzburg</t>
        </is>
      </c>
      <c r="J20" t="inlineStr">
        <is>
          <t>Trodat Professional 5203 - Textstempel - 49 x 28 mm - 6 Zeilen schwarz</t>
        </is>
      </c>
      <c r="K20" s="16" t="n">
        <v>5</v>
      </c>
      <c r="N20">
        <f>(IF(AND(K20&lt;&gt;"",ABS(T20)&gt;400),TRUE,FALSE))</f>
        <v/>
      </c>
      <c r="O20" s="36" t="n">
        <v>31.33</v>
      </c>
      <c r="P20" s="51" t="n">
        <v>1</v>
      </c>
      <c r="Q20" s="27" t="n">
        <v>20</v>
      </c>
      <c r="R20" s="237">
        <f>O20*Q20/100</f>
        <v/>
      </c>
      <c r="S20" s="237">
        <f>P20*R20</f>
        <v/>
      </c>
      <c r="T20" s="208">
        <f>O20*P20</f>
        <v/>
      </c>
      <c r="U20" s="251">
        <f>O20+R20</f>
        <v/>
      </c>
      <c r="V20" s="251">
        <f>T20+S20</f>
        <v/>
      </c>
      <c r="W20" s="35">
        <f>voranmeldefrist_vierteljaehrlich(F20)</f>
        <v/>
      </c>
      <c r="Z20" s="210">
        <f>IF(N20=TRUE,T20/K20,T20)</f>
        <v/>
      </c>
      <c r="AB20">
        <f>IF(AND(Y20&gt;0,Q20=Y20),TRUE,FALSE)</f>
        <v/>
      </c>
    </row>
    <row r="21">
      <c r="A21" t="n">
        <v>20</v>
      </c>
      <c r="D21" s="6">
        <f>"11338820/40/2015"</f>
        <v/>
      </c>
      <c r="E21" s="1" t="n">
        <v>42217</v>
      </c>
      <c r="F21" s="1" t="n">
        <v>42233</v>
      </c>
      <c r="G21" s="1">
        <f>CONCATENATE(H21,": ",J21)</f>
        <v/>
      </c>
      <c r="H21" t="inlineStr">
        <is>
          <t>MONTANA Energie-Handel AT GmbH</t>
        </is>
      </c>
      <c r="J21" t="inlineStr">
        <is>
          <t>Teilzahlungsbetrag Gas 11338820</t>
        </is>
      </c>
      <c r="N21">
        <f>(IF(AND(K21&lt;&gt;"",ABS(T21)&gt;400),TRUE,FALSE))</f>
        <v/>
      </c>
      <c r="O21" s="36" t="n">
        <v>48.33</v>
      </c>
      <c r="P21" s="51">
        <f>Arbeitszimmer!$B$3</f>
        <v/>
      </c>
      <c r="Q21" s="27" t="n">
        <v>20</v>
      </c>
      <c r="R21" s="237">
        <f>O21*Q21/100</f>
        <v/>
      </c>
      <c r="S21" s="237">
        <f>P21*R21</f>
        <v/>
      </c>
      <c r="T21" s="208">
        <f>O21*P21</f>
        <v/>
      </c>
      <c r="U21" s="251">
        <f>O21+R21</f>
        <v/>
      </c>
      <c r="V21" s="251">
        <f>T21+S21</f>
        <v/>
      </c>
      <c r="W21" s="35">
        <f>voranmeldefrist_vierteljaehrlich(F21)</f>
        <v/>
      </c>
      <c r="X21" s="35" t="n">
        <v>42315</v>
      </c>
      <c r="Z21" s="210">
        <f>IF(N21=TRUE,T21/K21,T21)</f>
        <v/>
      </c>
      <c r="AB21">
        <f>IF(AND(Y21&gt;0,Q21=Y21),TRUE,FALSE)</f>
        <v/>
      </c>
    </row>
    <row r="22">
      <c r="A22" t="n">
        <v>21</v>
      </c>
      <c r="D22" s="9" t="n">
        <v>11561270283</v>
      </c>
      <c r="E22" s="1" t="n">
        <v>42210</v>
      </c>
      <c r="F22" s="1" t="n">
        <v>42235</v>
      </c>
      <c r="G22" s="1">
        <f>CONCATENATE(H22,": ",J22)</f>
        <v/>
      </c>
      <c r="H22" t="inlineStr">
        <is>
          <t>Sozialversicherungsanstalt der gewerblichen Wirtschaft, Landesstelle Wien, Wiedner Hauptstraße 84-86, A-1051 Wien</t>
        </is>
      </c>
      <c r="J22" t="inlineStr">
        <is>
          <t>Kontoauszug vom 25. Juli 2015</t>
        </is>
      </c>
      <c r="N22">
        <f>(IF(AND(K22&lt;&gt;"",ABS(T22)&gt;400),TRUE,FALSE))</f>
        <v/>
      </c>
      <c r="O22" s="36" t="n">
        <v>631.04</v>
      </c>
      <c r="P22" s="51" t="n">
        <v>1</v>
      </c>
      <c r="Q22" s="27" t="n">
        <v>0</v>
      </c>
      <c r="R22" s="237">
        <f>O22*Q22/100</f>
        <v/>
      </c>
      <c r="S22" s="237">
        <f>P22*R22</f>
        <v/>
      </c>
      <c r="T22" s="208">
        <f>O22*P22</f>
        <v/>
      </c>
      <c r="U22" s="251">
        <f>O22+R22</f>
        <v/>
      </c>
      <c r="V22" s="251">
        <f>T22+S22</f>
        <v/>
      </c>
      <c r="W22" s="35">
        <f>voranmeldefrist_vierteljaehrlich(F22)</f>
        <v/>
      </c>
      <c r="X22" s="35" t="n">
        <v>42315</v>
      </c>
      <c r="Z22" s="210">
        <f>IF(N22=TRUE,T22/K22,T22)</f>
        <v/>
      </c>
      <c r="AB22">
        <f>IF(AND(Y22&gt;0,Q22=Y22),TRUE,FALSE)</f>
        <v/>
      </c>
    </row>
    <row r="23">
      <c r="A23" t="n">
        <v>22</v>
      </c>
      <c r="D23" s="9" t="inlineStr">
        <is>
          <t>45169</t>
        </is>
      </c>
      <c r="E23" s="1" t="n">
        <v>42233</v>
      </c>
      <c r="F23" s="1" t="n">
        <v>42233</v>
      </c>
      <c r="G23" s="1">
        <f>CONCATENATE(H23,": ",J23)</f>
        <v/>
      </c>
      <c r="H23" t="inlineStr">
        <is>
          <t>mas-restaurante, 1080 Wien, Laudongasse 36, ATU 67132747</t>
        </is>
      </c>
      <c r="J23" t="inlineStr">
        <is>
          <t>Arbeitsessen</t>
        </is>
      </c>
      <c r="N23">
        <f>(IF(AND(K23&lt;&gt;"",ABS(T23)&gt;400),TRUE,FALSE))</f>
        <v/>
      </c>
      <c r="O23" s="36">
        <f>33.58+53.36</f>
        <v/>
      </c>
      <c r="P23" s="51" t="n">
        <v>0.5</v>
      </c>
      <c r="Q23" s="27" t="inlineStr">
        <is>
          <t>gemischt (33,58x20%=6,72;53,36x10%=5,34)</t>
        </is>
      </c>
      <c r="R23" s="237">
        <f>6.72+5.34</f>
        <v/>
      </c>
      <c r="S23" s="237">
        <f>P23*R23</f>
        <v/>
      </c>
      <c r="T23" s="208">
        <f>O23*P23</f>
        <v/>
      </c>
      <c r="U23" s="251">
        <f>O23+R23</f>
        <v/>
      </c>
      <c r="V23" s="251">
        <f>T23+S23</f>
        <v/>
      </c>
      <c r="W23" s="35">
        <f>voranmeldefrist_vierteljaehrlich(F23)</f>
        <v/>
      </c>
      <c r="X23" s="35" t="n">
        <v>42315</v>
      </c>
      <c r="Z23" s="210">
        <f>IF(N23=TRUE,T23/K23,T23)</f>
        <v/>
      </c>
      <c r="AB23">
        <f>IF(AND(Y23&gt;0,Q23=Y23),TRUE,FALSE)</f>
        <v/>
      </c>
    </row>
    <row r="24">
      <c r="A24" t="n">
        <v>23</v>
      </c>
      <c r="D24" s="9" t="inlineStr">
        <is>
          <t>EUVINS1-OFS-PL-89424751</t>
        </is>
      </c>
      <c r="E24" s="1" t="n">
        <v>42237</v>
      </c>
      <c r="F24" s="1" t="n">
        <v>42241</v>
      </c>
      <c r="G24" s="1">
        <f>CONCATENATE(H24,": ",J24)</f>
        <v/>
      </c>
      <c r="H24" t="inlineStr">
        <is>
          <t>Amazon EU Sàrl, 5 Rue Plaetis, L-2338, Luxemburg</t>
        </is>
      </c>
      <c r="I24" s="10" t="inlineStr">
        <is>
          <t>ATU62353134</t>
        </is>
      </c>
      <c r="J24" t="inlineStr">
        <is>
          <t>SwissGear Sensor 15 39cm (15 Zoll) Laptop Tasche</t>
        </is>
      </c>
      <c r="N24">
        <f>(IF(AND(K24&lt;&gt;"",ABS(T24)&gt;400),TRUE,FALSE))</f>
        <v/>
      </c>
      <c r="O24" s="36" t="n">
        <v>43.35</v>
      </c>
      <c r="P24" s="51" t="n">
        <v>1</v>
      </c>
      <c r="Q24" s="27" t="n">
        <v>20</v>
      </c>
      <c r="R24" s="237">
        <f>O24*Q24/100</f>
        <v/>
      </c>
      <c r="S24" s="237">
        <f>P24*R24</f>
        <v/>
      </c>
      <c r="T24" s="208">
        <f>O24*P24</f>
        <v/>
      </c>
      <c r="U24" s="251">
        <f>O24+R24</f>
        <v/>
      </c>
      <c r="V24" s="251">
        <f>T24+S24</f>
        <v/>
      </c>
      <c r="W24" s="35">
        <f>voranmeldefrist_vierteljaehrlich(F24)</f>
        <v/>
      </c>
      <c r="X24" s="35" t="n">
        <v>42315</v>
      </c>
      <c r="Z24" s="210">
        <f>IF(N24=TRUE,T24/K24,T24)</f>
        <v/>
      </c>
      <c r="AB24">
        <f>IF(AND(Y24&gt;0,Q24=Y24),TRUE,FALSE)</f>
        <v/>
      </c>
    </row>
    <row r="25">
      <c r="A25" t="n">
        <v>24</v>
      </c>
      <c r="D25" s="9" t="inlineStr">
        <is>
          <t>20320802</t>
        </is>
      </c>
      <c r="E25" s="1" t="n">
        <v>42238</v>
      </c>
      <c r="F25" s="1" t="n">
        <v>42238</v>
      </c>
      <c r="G25" s="1">
        <f>CONCATENATE(H25,": ",J25)</f>
        <v/>
      </c>
      <c r="H25" t="inlineStr">
        <is>
          <t>e-tec electronic GmbH</t>
        </is>
      </c>
      <c r="J25" t="inlineStr">
        <is>
          <t>Linksys AE25000 Dual Band Wireless N</t>
        </is>
      </c>
      <c r="N25">
        <f>(IF(AND(K25&lt;&gt;"",ABS(T25)&gt;400),TRUE,FALSE))</f>
        <v/>
      </c>
      <c r="O25" s="36" t="n">
        <v>21.77</v>
      </c>
      <c r="P25" s="51" t="n">
        <v>1</v>
      </c>
      <c r="Q25" s="27" t="n">
        <v>20</v>
      </c>
      <c r="R25" s="237">
        <f>O25*Q25/100</f>
        <v/>
      </c>
      <c r="S25" s="237">
        <f>P25*R25</f>
        <v/>
      </c>
      <c r="T25" s="208">
        <f>O25*P25</f>
        <v/>
      </c>
      <c r="U25" s="251" t="n">
        <v>26.13</v>
      </c>
      <c r="V25" s="251" t="n">
        <v>26.13</v>
      </c>
      <c r="W25" s="35">
        <f>voranmeldefrist_vierteljaehrlich(F25)</f>
        <v/>
      </c>
      <c r="X25" s="35" t="n">
        <v>42315</v>
      </c>
      <c r="Z25" s="210">
        <f>IF(N25=TRUE,T25/K25,T25)</f>
        <v/>
      </c>
      <c r="AB25">
        <f>IF(AND(Y25&gt;0,Q25=Y25),TRUE,FALSE)</f>
        <v/>
      </c>
    </row>
    <row r="26">
      <c r="A26" t="n">
        <v>25</v>
      </c>
      <c r="D26" s="9" t="inlineStr">
        <is>
          <t>696161858</t>
        </is>
      </c>
      <c r="E26" s="1" t="n">
        <v>42241</v>
      </c>
      <c r="F26" s="1" t="n">
        <v>42249</v>
      </c>
      <c r="G26" s="1">
        <f>CONCATENATE(H26,": ",J26)</f>
        <v/>
      </c>
      <c r="H26" t="inlineStr">
        <is>
          <t>Hutchison Drei Austria GmbH, Brünner Straße 52, 1210 Wien, Österreich</t>
        </is>
      </c>
      <c r="I26" t="inlineStr">
        <is>
          <t>ATU 41029105</t>
        </is>
      </c>
      <c r="J26" t="inlineStr">
        <is>
          <t>Rufnummer 0660 534 59 59</t>
        </is>
      </c>
      <c r="N26">
        <f>(IF(AND(K26&lt;&gt;"",ABS(T26)&gt;400),TRUE,FALSE))</f>
        <v/>
      </c>
      <c r="O26" s="36" t="n">
        <v>15</v>
      </c>
      <c r="P26" s="51" t="n">
        <v>0.6</v>
      </c>
      <c r="Q26" s="27" t="n">
        <v>20</v>
      </c>
      <c r="R26" s="237">
        <f>O26*Q26/100</f>
        <v/>
      </c>
      <c r="S26" s="237">
        <f>P26*R26</f>
        <v/>
      </c>
      <c r="T26" s="208">
        <f>O26*P26</f>
        <v/>
      </c>
      <c r="U26" s="251">
        <f>O26+R26</f>
        <v/>
      </c>
      <c r="V26" s="251">
        <f>T26+S26</f>
        <v/>
      </c>
      <c r="W26" s="35">
        <f>voranmeldefrist_vierteljaehrlich(F26)</f>
        <v/>
      </c>
      <c r="X26" s="35" t="n">
        <v>42315</v>
      </c>
      <c r="Z26" s="210">
        <f>IF(N26=TRUE,T26/K26,T26)</f>
        <v/>
      </c>
      <c r="AB26">
        <f>IF(AND(Y26&gt;0,Q26=Y26),TRUE,FALSE)</f>
        <v/>
      </c>
    </row>
    <row r="27">
      <c r="A27" t="n">
        <v>26</v>
      </c>
      <c r="D27" s="9" t="inlineStr">
        <is>
          <t>9195215070</t>
        </is>
      </c>
      <c r="E27" s="1" t="n">
        <v>42242</v>
      </c>
      <c r="F27" s="1" t="n">
        <v>42241</v>
      </c>
      <c r="G27" s="1">
        <f>CONCATENATE(H27,": ",J27)</f>
        <v/>
      </c>
      <c r="H27" t="inlineStr">
        <is>
          <t>Vistaprint B.V., Hudsonweg 8, 5928 LW Venlo, Niederlande</t>
        </is>
      </c>
      <c r="I27" s="10" t="inlineStr">
        <is>
          <t xml:space="preserve">ATU62044549 </t>
        </is>
      </c>
      <c r="J27" t="inlineStr">
        <is>
          <t>Visitenkarten 2x100</t>
        </is>
      </c>
      <c r="N27">
        <f>(IF(AND(K27&lt;&gt;"",ABS(T27)&gt;400),TRUE,FALSE))</f>
        <v/>
      </c>
      <c r="O27" s="36" t="n">
        <v>13.68</v>
      </c>
      <c r="P27" s="51" t="n">
        <v>1</v>
      </c>
      <c r="Q27" s="27" t="n">
        <v>20</v>
      </c>
      <c r="R27" s="237">
        <f>O27*Q27/100</f>
        <v/>
      </c>
      <c r="S27" s="237">
        <f>P27*R27</f>
        <v/>
      </c>
      <c r="T27" s="208">
        <f>O27*P27</f>
        <v/>
      </c>
      <c r="U27" s="251">
        <f>O27+R27</f>
        <v/>
      </c>
      <c r="V27" s="251">
        <f>T27+S27</f>
        <v/>
      </c>
      <c r="W27" s="35">
        <f>voranmeldefrist_vierteljaehrlich(F27)</f>
        <v/>
      </c>
      <c r="X27" s="35" t="n">
        <v>42315</v>
      </c>
      <c r="Z27" s="210">
        <f>IF(N27=TRUE,T27/K27,T27)</f>
        <v/>
      </c>
      <c r="AB27">
        <f>IF(AND(Y27&gt;0,Q27=Y27),TRUE,FALSE)</f>
        <v/>
      </c>
    </row>
    <row r="28">
      <c r="A28" t="n">
        <v>27</v>
      </c>
      <c r="D28" s="9" t="inlineStr">
        <is>
          <t>12040000011364671</t>
        </is>
      </c>
      <c r="E28" s="1" t="n">
        <v>42243</v>
      </c>
      <c r="F28" s="1" t="n">
        <v>42243</v>
      </c>
      <c r="G28" s="1">
        <f>CONCATENATE(H28,": ",J28)</f>
        <v/>
      </c>
      <c r="H28" t="inlineStr">
        <is>
          <t>XING AG, D-20354 Hamburg, Dammtorstrasse 30</t>
        </is>
      </c>
      <c r="I28" s="10" t="inlineStr">
        <is>
          <t>DE 230144235</t>
        </is>
      </c>
      <c r="J28" t="inlineStr">
        <is>
          <t>Xing Premium 3 Monate</t>
        </is>
      </c>
      <c r="N28">
        <f>(IF(AND(K28&lt;&gt;"",ABS(T28)&gt;400),TRUE,FALSE))</f>
        <v/>
      </c>
      <c r="O28" s="36" t="n">
        <v>19.87</v>
      </c>
      <c r="P28" s="51" t="n">
        <v>1</v>
      </c>
      <c r="Q28" s="27" t="n">
        <v>20</v>
      </c>
      <c r="R28" s="237" t="n">
        <v>3.98</v>
      </c>
      <c r="S28" s="237">
        <f>P28*R28</f>
        <v/>
      </c>
      <c r="T28" s="208">
        <f>O28*P28</f>
        <v/>
      </c>
      <c r="U28" s="251">
        <f>O28+R28</f>
        <v/>
      </c>
      <c r="V28" s="251">
        <f>T28+S28</f>
        <v/>
      </c>
      <c r="W28" s="35">
        <f>voranmeldefrist_vierteljaehrlich(F28)</f>
        <v/>
      </c>
      <c r="X28" s="35" t="n">
        <v>42315</v>
      </c>
      <c r="Z28" s="210">
        <f>IF(N28=TRUE,T28/K28,T28)</f>
        <v/>
      </c>
      <c r="AB28">
        <f>IF(AND(Y28&gt;0,Q28=Y28),TRUE,FALSE)</f>
        <v/>
      </c>
    </row>
    <row r="29">
      <c r="A29" t="n">
        <v>28</v>
      </c>
      <c r="D29" s="9" t="inlineStr">
        <is>
          <t>RE0312855</t>
        </is>
      </c>
      <c r="E29" s="1" t="n">
        <v>42246</v>
      </c>
      <c r="F29" s="1" t="n">
        <v>42246</v>
      </c>
      <c r="G29" s="1">
        <f>CONCATENATE(H29,": ",J29)</f>
        <v/>
      </c>
      <c r="H29" t="inlineStr">
        <is>
          <t>easyname GmbH, Fernkorngasse 10/3/501, 1110 Wien</t>
        </is>
      </c>
      <c r="I29" t="inlineStr">
        <is>
          <t>ATU68122177</t>
        </is>
      </c>
      <c r="J29" t="inlineStr">
        <is>
          <t>Domain: raunz.info</t>
        </is>
      </c>
      <c r="N29">
        <f>(IF(AND(K29&lt;&gt;"",ABS(T29)&gt;400),TRUE,FALSE))</f>
        <v/>
      </c>
      <c r="O29" s="36" t="n">
        <v>13.25</v>
      </c>
      <c r="P29" s="51" t="n">
        <v>1</v>
      </c>
      <c r="Q29" s="27" t="n">
        <v>20</v>
      </c>
      <c r="R29" s="237">
        <f>O29*Q29/100</f>
        <v/>
      </c>
      <c r="S29" s="237">
        <f>P29*R29</f>
        <v/>
      </c>
      <c r="T29" s="208">
        <f>O29*P29</f>
        <v/>
      </c>
      <c r="U29" s="251">
        <f>O29+R29</f>
        <v/>
      </c>
      <c r="V29" s="251">
        <f>T29+S29</f>
        <v/>
      </c>
      <c r="W29" s="35">
        <f>voranmeldefrist_vierteljaehrlich(F29)</f>
        <v/>
      </c>
      <c r="X29" s="35" t="n">
        <v>42315</v>
      </c>
      <c r="Z29" s="210">
        <f>IF(N29=TRUE,T29/K29,T29)</f>
        <v/>
      </c>
      <c r="AB29">
        <f>IF(AND(Y29&gt;0,Q29=Y29),TRUE,FALSE)</f>
        <v/>
      </c>
    </row>
    <row r="30">
      <c r="A30" t="n">
        <v>29</v>
      </c>
      <c r="D30" s="9" t="inlineStr">
        <is>
          <t>421</t>
        </is>
      </c>
      <c r="E30" s="1" t="n">
        <v>42246</v>
      </c>
      <c r="F30" s="1" t="n">
        <v>42246</v>
      </c>
      <c r="G30" s="1">
        <f>CONCATENATE(H30,": ",J30)</f>
        <v/>
      </c>
      <c r="H30" t="inlineStr">
        <is>
          <t>Restaurant Franz Ferdinand, Bennoplatz 2, 1080 Wien</t>
        </is>
      </c>
      <c r="J30" t="inlineStr">
        <is>
          <t>Arbeitsessen</t>
        </is>
      </c>
      <c r="N30">
        <f>(IF(AND(K30&lt;&gt;"",ABS(T30)&gt;400),TRUE,FALSE))</f>
        <v/>
      </c>
      <c r="O30" s="36">
        <f>84.1-9.15</f>
        <v/>
      </c>
      <c r="P30" s="51" t="n">
        <v>0.5</v>
      </c>
      <c r="Q30" s="27" t="inlineStr">
        <is>
          <t>gemischt (10..5,84; 20..9,32)</t>
        </is>
      </c>
      <c r="R30" s="237" t="n">
        <v>9.15</v>
      </c>
      <c r="S30" s="237">
        <f>P30*R30</f>
        <v/>
      </c>
      <c r="T30" s="208">
        <f>O30*P30</f>
        <v/>
      </c>
      <c r="U30" s="251">
        <f>O30+R30</f>
        <v/>
      </c>
      <c r="V30" s="251">
        <f>T30+S30</f>
        <v/>
      </c>
      <c r="W30" s="35">
        <f>voranmeldefrist_vierteljaehrlich(F30)</f>
        <v/>
      </c>
      <c r="X30" s="35" t="n">
        <v>42315</v>
      </c>
      <c r="Z30" s="210">
        <f>IF(N30=TRUE,T30/K30,T30)</f>
        <v/>
      </c>
      <c r="AB30">
        <f>IF(AND(Y30&gt;0,Q30=Y30),TRUE,FALSE)</f>
        <v/>
      </c>
    </row>
    <row r="31">
      <c r="A31" t="n">
        <v>30</v>
      </c>
      <c r="D31" s="9" t="inlineStr">
        <is>
          <t>G15/173</t>
        </is>
      </c>
      <c r="E31" s="1" t="n">
        <v>42247</v>
      </c>
      <c r="F31" s="1" t="n">
        <v>42247</v>
      </c>
      <c r="G31" s="1">
        <f>CONCATENATE(H31,": ",J31)</f>
        <v/>
      </c>
      <c r="H31" t="inlineStr">
        <is>
          <t>Uhrmann Gasgerätetechnik OG, A-2353 Guntramsdorf, Sportplatzstraße 8a</t>
        </is>
      </c>
      <c r="J31" t="inlineStr">
        <is>
          <t>Thermenwartung</t>
        </is>
      </c>
      <c r="N31">
        <f>(IF(AND(K31&lt;&gt;"",ABS(T31)&gt;400),TRUE,FALSE))</f>
        <v/>
      </c>
      <c r="O31" s="36" t="n">
        <v>80</v>
      </c>
      <c r="P31" s="51">
        <f>Arbeitszimmer!$B$3</f>
        <v/>
      </c>
      <c r="Q31" s="27" t="n">
        <v>20</v>
      </c>
      <c r="R31" s="237">
        <f>O31*Q31/100</f>
        <v/>
      </c>
      <c r="S31" s="237">
        <f>P31*R31</f>
        <v/>
      </c>
      <c r="T31" s="208">
        <f>O31*P31</f>
        <v/>
      </c>
      <c r="U31" s="251">
        <f>O31+R31</f>
        <v/>
      </c>
      <c r="V31" s="251">
        <f>T31+S31</f>
        <v/>
      </c>
      <c r="W31" s="35">
        <f>voranmeldefrist_vierteljaehrlich(F31)</f>
        <v/>
      </c>
      <c r="X31" s="35" t="n">
        <v>42315</v>
      </c>
      <c r="Z31" s="210">
        <f>IF(N31=TRUE,T31/K31,T31)</f>
        <v/>
      </c>
      <c r="AB31">
        <f>IF(AND(Y31&gt;0,Q31=Y31),TRUE,FALSE)</f>
        <v/>
      </c>
    </row>
    <row r="32">
      <c r="A32" t="n">
        <v>31</v>
      </c>
      <c r="D32" s="9" t="inlineStr">
        <is>
          <t>108703</t>
        </is>
      </c>
      <c r="E32" s="1" t="n">
        <v>42247</v>
      </c>
      <c r="F32" s="1" t="n">
        <v>42247</v>
      </c>
      <c r="G32" s="1">
        <f>CONCATENATE(H32,": ",J32)</f>
        <v/>
      </c>
      <c r="H32" t="inlineStr">
        <is>
          <t>BIP Garagengesellschaft Breiteneder GesmbH &amp; Co KG, 1010 Wien, Sterngasse 5</t>
        </is>
      </c>
      <c r="J32" t="inlineStr">
        <is>
          <t>Kurzparkticket 10:30 - 11:13</t>
        </is>
      </c>
      <c r="N32">
        <f>(IF(AND(K32&lt;&gt;"",ABS(T32)&gt;400),TRUE,FALSE))</f>
        <v/>
      </c>
      <c r="O32" s="36" t="n">
        <v>4</v>
      </c>
      <c r="P32" s="51" t="n">
        <v>1</v>
      </c>
      <c r="Q32" s="27" t="n">
        <v>20</v>
      </c>
      <c r="R32" s="237">
        <f>O32*Q32/100</f>
        <v/>
      </c>
      <c r="S32" s="237">
        <f>P32*R32</f>
        <v/>
      </c>
      <c r="T32" s="208">
        <f>O32*P32</f>
        <v/>
      </c>
      <c r="U32" s="251">
        <f>O32+R32</f>
        <v/>
      </c>
      <c r="V32" s="251">
        <f>T32+S32</f>
        <v/>
      </c>
      <c r="W32" s="35">
        <f>voranmeldefrist_vierteljaehrlich(F32)</f>
        <v/>
      </c>
      <c r="X32" s="35" t="n">
        <v>42315</v>
      </c>
      <c r="Z32" s="210">
        <f>IF(N32=TRUE,T32/K32,T32)</f>
        <v/>
      </c>
      <c r="AB32">
        <f>IF(AND(Y32&gt;0,Q32=Y32),TRUE,FALSE)</f>
        <v/>
      </c>
    </row>
    <row r="33">
      <c r="A33" t="n">
        <v>32</v>
      </c>
      <c r="D33" s="9" t="inlineStr">
        <is>
          <t>20327170</t>
        </is>
      </c>
      <c r="E33" s="1" t="n">
        <v>42247</v>
      </c>
      <c r="F33" s="1" t="n">
        <v>42247</v>
      </c>
      <c r="G33" s="1">
        <f>CONCATENATE(H33,": ",J33)</f>
        <v/>
      </c>
      <c r="H33" t="inlineStr">
        <is>
          <t>e-tec electronic GmbH</t>
        </is>
      </c>
      <c r="J33" t="inlineStr">
        <is>
          <t>Digitus USB 2.0 Adapterkabel auf SATA und DIE</t>
        </is>
      </c>
      <c r="N33">
        <f>(IF(AND(K33&lt;&gt;"",ABS(T33)&gt;400),TRUE,FALSE))</f>
        <v/>
      </c>
      <c r="O33" s="36" t="n">
        <v>12.63</v>
      </c>
      <c r="P33" s="51" t="n">
        <v>1</v>
      </c>
      <c r="Q33" s="27" t="n">
        <v>20</v>
      </c>
      <c r="R33" s="237">
        <f>O33*Q33/100</f>
        <v/>
      </c>
      <c r="S33" s="237">
        <f>P33*R33</f>
        <v/>
      </c>
      <c r="T33" s="208">
        <f>O33*P33</f>
        <v/>
      </c>
      <c r="U33" s="251" t="n">
        <v>15.15</v>
      </c>
      <c r="V33" s="251" t="n">
        <v>15.15</v>
      </c>
      <c r="W33" s="35">
        <f>voranmeldefrist_vierteljaehrlich(F33)</f>
        <v/>
      </c>
      <c r="X33" s="35" t="n">
        <v>42315</v>
      </c>
      <c r="Z33" s="210">
        <f>IF(N33=TRUE,T33/K33,T33)</f>
        <v/>
      </c>
      <c r="AB33">
        <f>IF(AND(Y33&gt;0,Q33=Y33),TRUE,FALSE)</f>
        <v/>
      </c>
    </row>
    <row r="34">
      <c r="A34" t="n">
        <v>33</v>
      </c>
      <c r="D34" s="9">
        <f>"4756070915"</f>
        <v/>
      </c>
      <c r="E34" s="1" t="n">
        <v>42248</v>
      </c>
      <c r="F34" s="1" t="n">
        <v>42240</v>
      </c>
      <c r="G34" s="1">
        <f>CONCATENATE(H34,": ",J34)</f>
        <v/>
      </c>
      <c r="H34" t="inlineStr">
        <is>
          <t>IMV Immobilien Management GmbH</t>
        </is>
      </c>
      <c r="J34" t="inlineStr">
        <is>
          <t>Vorschreibung 9/2015</t>
        </is>
      </c>
      <c r="N34">
        <f>(IF(AND(K34&lt;&gt;"",ABS(T34)&gt;400),TRUE,FALSE))</f>
        <v/>
      </c>
      <c r="O34" s="36" t="n">
        <v>785.46</v>
      </c>
      <c r="P34" s="51">
        <f>Arbeitszimmer!$B$3</f>
        <v/>
      </c>
      <c r="Q34" s="27" t="n">
        <v>10</v>
      </c>
      <c r="R34" s="237">
        <f>O34*Q34/100</f>
        <v/>
      </c>
      <c r="S34" s="237">
        <f>P34*R34</f>
        <v/>
      </c>
      <c r="T34" s="208">
        <f>O34*P34</f>
        <v/>
      </c>
      <c r="U34" s="251">
        <f>O34+R34</f>
        <v/>
      </c>
      <c r="V34" s="251">
        <f>T34+S34</f>
        <v/>
      </c>
      <c r="W34" s="35">
        <f>voranmeldefrist_vierteljaehrlich(F34)</f>
        <v/>
      </c>
      <c r="X34" s="35" t="n">
        <v>42315</v>
      </c>
      <c r="Z34" s="210">
        <f>IF(N34=TRUE,T34/K34,T34)</f>
        <v/>
      </c>
      <c r="AB34">
        <f>IF(AND(Y34&gt;0,Q34=Y34),TRUE,FALSE)</f>
        <v/>
      </c>
    </row>
    <row r="35">
      <c r="A35" t="n">
        <v>34</v>
      </c>
      <c r="D35" s="9" t="inlineStr">
        <is>
          <t>4756071215</t>
        </is>
      </c>
      <c r="E35" s="1" t="n">
        <v>42248</v>
      </c>
      <c r="F35" s="1" t="n">
        <v>42240</v>
      </c>
      <c r="G35" s="1">
        <f>CONCATENATE(H35,": ",J35)</f>
        <v/>
      </c>
      <c r="H35" t="inlineStr">
        <is>
          <t>IMV Immobilien Management GmbH</t>
        </is>
      </c>
      <c r="J35" t="inlineStr">
        <is>
          <t>Vorschreibung 12/2015</t>
        </is>
      </c>
      <c r="N35">
        <f>(IF(AND(K35&lt;&gt;"",ABS(T35)&gt;400),TRUE,FALSE))</f>
        <v/>
      </c>
      <c r="O35" s="36" t="n">
        <v>785.46</v>
      </c>
      <c r="P35" s="51">
        <f>Arbeitszimmer!$B$3</f>
        <v/>
      </c>
      <c r="Q35" s="27" t="n">
        <v>10</v>
      </c>
      <c r="R35" s="237">
        <f>O35*Q35/100</f>
        <v/>
      </c>
      <c r="S35" s="237">
        <f>P35*R35</f>
        <v/>
      </c>
      <c r="T35" s="208">
        <f>O35*P35</f>
        <v/>
      </c>
      <c r="U35" s="251">
        <f>O35+R35</f>
        <v/>
      </c>
      <c r="V35" s="251">
        <f>T35+S35</f>
        <v/>
      </c>
      <c r="W35" s="35">
        <f>voranmeldefrist_vierteljaehrlich(F35)</f>
        <v/>
      </c>
      <c r="X35" s="35" t="n">
        <v>42315</v>
      </c>
      <c r="Z35" s="210">
        <f>IF(N35=TRUE,T35/K35,T35)</f>
        <v/>
      </c>
      <c r="AB35">
        <f>IF(AND(Y35&gt;0,Q35=Y35),TRUE,FALSE)</f>
        <v/>
      </c>
    </row>
    <row r="36">
      <c r="A36" t="n">
        <v>35</v>
      </c>
      <c r="D36" s="9" t="inlineStr">
        <is>
          <t>294217</t>
        </is>
      </c>
      <c r="E36" s="1" t="n">
        <v>42250</v>
      </c>
      <c r="F36" s="1" t="n">
        <v>42248</v>
      </c>
      <c r="G36" s="1">
        <f>CONCATENATE(H36,": ",J36)</f>
        <v/>
      </c>
      <c r="H36" t="inlineStr">
        <is>
          <t>BA-Computer HandelsgesmbH., Oberlaaerstraße 92, 1100 Wien</t>
        </is>
      </c>
      <c r="J36" t="inlineStr">
        <is>
          <t>Fujitsu Celsius W530 Intel Core-i7-4790</t>
        </is>
      </c>
      <c r="N36">
        <f>(IF(AND(K36&lt;&gt;"",ABS(T36)&gt;400),TRUE,FALSE))</f>
        <v/>
      </c>
      <c r="O36" s="36" t="n">
        <v>979.98</v>
      </c>
      <c r="P36" s="51" t="n">
        <v>1</v>
      </c>
      <c r="Q36" s="27" t="n">
        <v>20</v>
      </c>
      <c r="R36" s="237">
        <f>O36*Q36/100</f>
        <v/>
      </c>
      <c r="S36" s="237">
        <f>P36*R36</f>
        <v/>
      </c>
      <c r="T36" s="208">
        <f>O36*P36</f>
        <v/>
      </c>
      <c r="U36" s="251">
        <f>O36+R36</f>
        <v/>
      </c>
      <c r="V36" s="251">
        <f>T36+S36</f>
        <v/>
      </c>
      <c r="W36" s="35">
        <f>voranmeldefrist_vierteljaehrlich(F36)</f>
        <v/>
      </c>
      <c r="X36" s="35" t="n">
        <v>42315</v>
      </c>
      <c r="Z36" s="210">
        <f>IF(N36=TRUE,T36/K36,T36)</f>
        <v/>
      </c>
      <c r="AB36">
        <f>IF(AND(Y36&gt;0,Q36=Y36),TRUE,FALSE)</f>
        <v/>
      </c>
    </row>
    <row r="37">
      <c r="A37" t="n">
        <v>36</v>
      </c>
      <c r="D37" s="9" t="inlineStr">
        <is>
          <t>1075334493</t>
        </is>
      </c>
      <c r="E37" s="1" t="n">
        <v>42236</v>
      </c>
      <c r="F37" s="1" t="n">
        <v>42237</v>
      </c>
      <c r="G37" s="1">
        <f>CONCATENATE(H37,": ",J37)</f>
        <v/>
      </c>
      <c r="H37" t="inlineStr">
        <is>
          <t>Microsoft Luxembourg Sàrl, 23-29, Rives de Clausen, L-2165 Luxembourg, Luxembourg, USt-IdNr.: LU19878750</t>
        </is>
      </c>
      <c r="I37" s="3" t="inlineStr">
        <is>
          <t>ATU44846609</t>
        </is>
      </c>
      <c r="J37" t="inlineStr">
        <is>
          <t>Office 365</t>
        </is>
      </c>
      <c r="N37">
        <f>(IF(AND(K37&lt;&gt;"",ABS(T37)&gt;400),TRUE,FALSE))</f>
        <v/>
      </c>
      <c r="O37" s="36" t="n">
        <v>5.83</v>
      </c>
      <c r="P37" s="51" t="n">
        <v>1</v>
      </c>
      <c r="Q37" s="27" t="n">
        <v>20</v>
      </c>
      <c r="R37" s="237">
        <f>O37*Q37/100</f>
        <v/>
      </c>
      <c r="S37" s="237">
        <f>P37*R37</f>
        <v/>
      </c>
      <c r="T37" s="208">
        <f>O37*P37</f>
        <v/>
      </c>
      <c r="U37" s="251">
        <f>O37+R37</f>
        <v/>
      </c>
      <c r="V37" s="251">
        <f>T37+S37</f>
        <v/>
      </c>
      <c r="W37" s="35">
        <f>voranmeldefrist_vierteljaehrlich(F37)</f>
        <v/>
      </c>
      <c r="X37" s="35" t="n">
        <v>42315</v>
      </c>
      <c r="Z37" s="210">
        <f>IF(N37=TRUE,T37/K37,T37)</f>
        <v/>
      </c>
      <c r="AB37">
        <f>IF(AND(Y37&gt;0,Q37=Y37),TRUE,FALSE)</f>
        <v/>
      </c>
    </row>
    <row r="38">
      <c r="A38" t="n">
        <v>37</v>
      </c>
      <c r="D38" s="9" t="inlineStr">
        <is>
          <t>9195746457</t>
        </is>
      </c>
      <c r="E38" s="1" t="n">
        <v>42247</v>
      </c>
      <c r="F38" s="1" t="n">
        <v>42248</v>
      </c>
      <c r="G38" s="1">
        <f>CONCATENATE(H38,": ",J38)</f>
        <v/>
      </c>
      <c r="H38" t="inlineStr">
        <is>
          <t>Vistaprint B.V., Hudsonweg 8, 5928 LW Venlo, Niederlande</t>
        </is>
      </c>
      <c r="I38" s="10" t="inlineStr">
        <is>
          <t xml:space="preserve">ATU62044549 </t>
        </is>
      </c>
      <c r="N38">
        <f>(IF(AND(K38&lt;&gt;"",ABS(T38)&gt;400),TRUE,FALSE))</f>
        <v/>
      </c>
      <c r="O38" s="36" t="n">
        <v>13.7</v>
      </c>
      <c r="P38" s="51" t="n">
        <v>1</v>
      </c>
      <c r="Q38" s="27" t="n">
        <v>20</v>
      </c>
      <c r="R38" s="237" t="n">
        <v>2.72</v>
      </c>
      <c r="S38" s="237">
        <f>P38*R38</f>
        <v/>
      </c>
      <c r="T38" s="208">
        <f>O38*P38</f>
        <v/>
      </c>
      <c r="U38" s="251">
        <f>O38+R38</f>
        <v/>
      </c>
      <c r="V38" s="251">
        <f>T38+S38</f>
        <v/>
      </c>
      <c r="W38" s="35">
        <f>voranmeldefrist_vierteljaehrlich(F38)</f>
        <v/>
      </c>
      <c r="X38" s="35" t="n">
        <v>42315</v>
      </c>
      <c r="Z38" s="210">
        <f>IF(N38=TRUE,T38/K38,T38)</f>
        <v/>
      </c>
      <c r="AB38">
        <f>IF(AND(Y38&gt;0,Q38=Y38),TRUE,FALSE)</f>
        <v/>
      </c>
    </row>
    <row r="39">
      <c r="A39" t="n">
        <v>38</v>
      </c>
      <c r="D39" s="9" t="inlineStr">
        <is>
          <t>R0005187788</t>
        </is>
      </c>
      <c r="E39" s="1" t="n">
        <v>42255</v>
      </c>
      <c r="F39" s="1" t="n">
        <v>42257</v>
      </c>
      <c r="G39" s="1">
        <f>CONCATENATE(H39,": ",J39)</f>
        <v/>
      </c>
      <c r="H39" t="inlineStr">
        <is>
          <t>Hetzner Online AG, Industriestr. 25, 91710 Gunzenhausen</t>
        </is>
      </c>
      <c r="I39" s="10" t="inlineStr">
        <is>
          <t>DE812871812</t>
        </is>
      </c>
      <c r="J39" t="inlineStr">
        <is>
          <t>EQ4 Server #50605 30TB 188.40.75.200, 188.40.75.242</t>
        </is>
      </c>
      <c r="N39">
        <f>(IF(AND(K39&lt;&gt;"",ABS(T39)&gt;400),TRUE,FALSE))</f>
        <v/>
      </c>
      <c r="O39" s="36" t="n">
        <v>42.02</v>
      </c>
      <c r="P39" s="51" t="n">
        <v>1</v>
      </c>
      <c r="Q39" s="27" t="n">
        <v>20</v>
      </c>
      <c r="R39" s="237">
        <f>O39*Q39/100</f>
        <v/>
      </c>
      <c r="S39" s="237">
        <f>P39*R39</f>
        <v/>
      </c>
      <c r="T39" s="208">
        <f>O39*P39</f>
        <v/>
      </c>
      <c r="U39" s="251">
        <f>O39+R39</f>
        <v/>
      </c>
      <c r="V39" s="251">
        <f>T39+S39</f>
        <v/>
      </c>
      <c r="W39" s="35">
        <f>voranmeldefrist_vierteljaehrlich(F39)</f>
        <v/>
      </c>
      <c r="X39" s="35" t="n">
        <v>42315</v>
      </c>
      <c r="Z39" s="210">
        <f>IF(N39=TRUE,T39/K39,T39)</f>
        <v/>
      </c>
      <c r="AB39">
        <f>IF(AND(Y39&gt;0,Q39=Y39),TRUE,FALSE)</f>
        <v/>
      </c>
    </row>
    <row r="40">
      <c r="A40" t="n">
        <v>39</v>
      </c>
      <c r="D40" s="9" t="inlineStr">
        <is>
          <t>-</t>
        </is>
      </c>
      <c r="E40" s="1" t="n">
        <v>42261</v>
      </c>
      <c r="F40" s="1" t="n">
        <v>42261</v>
      </c>
      <c r="G40" s="1">
        <f>CONCATENATE(H40,": ",J40)</f>
        <v/>
      </c>
      <c r="H40" t="inlineStr">
        <is>
          <t>Taxi 40100 W 3032TX</t>
        </is>
      </c>
      <c r="J40" t="inlineStr">
        <is>
          <t>Taxifahrt zu Besprechung mit Kunden</t>
        </is>
      </c>
      <c r="N40">
        <f>(IF(AND(K40&lt;&gt;"",ABS(T40)&gt;400),TRUE,FALSE))</f>
        <v/>
      </c>
      <c r="O40" s="36" t="n">
        <v>10</v>
      </c>
      <c r="P40" s="51" t="n">
        <v>1</v>
      </c>
      <c r="Q40" s="27" t="n">
        <v>10</v>
      </c>
      <c r="R40" s="237">
        <f>O40*Q40/100</f>
        <v/>
      </c>
      <c r="S40" s="237">
        <f>P40*R40</f>
        <v/>
      </c>
      <c r="T40" s="208">
        <f>O40*P40</f>
        <v/>
      </c>
      <c r="U40" s="251">
        <f>O40+R40</f>
        <v/>
      </c>
      <c r="V40" s="251">
        <f>T40+S40</f>
        <v/>
      </c>
      <c r="W40" s="35">
        <f>voranmeldefrist_vierteljaehrlich(F40)</f>
        <v/>
      </c>
      <c r="X40" s="35" t="n">
        <v>42315</v>
      </c>
      <c r="Z40" s="210">
        <f>IF(N40=TRUE,T40/K40,T40)</f>
        <v/>
      </c>
      <c r="AB40">
        <f>IF(AND(Y40&gt;0,Q40=Y40),TRUE,FALSE)</f>
        <v/>
      </c>
    </row>
    <row r="41">
      <c r="A41" t="n">
        <v>40</v>
      </c>
      <c r="D41" s="21" t="inlineStr">
        <is>
          <t>221381502/40/2015</t>
        </is>
      </c>
      <c r="E41" s="1" t="n">
        <v>42278</v>
      </c>
      <c r="F41" s="1" t="n">
        <v>42262</v>
      </c>
      <c r="G41" s="1">
        <f>CONCATENATE(H41,": ",J41)</f>
        <v/>
      </c>
      <c r="H41" t="inlineStr">
        <is>
          <t>VERBUND AG, Postfach 8400, 1011 Wien, Österreich</t>
        </is>
      </c>
      <c r="J41" t="inlineStr">
        <is>
          <t>Strom 1.7.-30.9.</t>
        </is>
      </c>
      <c r="N41">
        <f>(IF(AND(K41&lt;&gt;"",ABS(T41)&gt;400),TRUE,FALSE))</f>
        <v/>
      </c>
      <c r="O41" s="36" t="n">
        <v>48.36</v>
      </c>
      <c r="P41" s="51">
        <f>Arbeitszimmer!$B$3</f>
        <v/>
      </c>
      <c r="Q41" s="27" t="n">
        <v>20</v>
      </c>
      <c r="R41" s="237">
        <f>O41*Q41/100</f>
        <v/>
      </c>
      <c r="S41" s="237">
        <f>P41*R41</f>
        <v/>
      </c>
      <c r="T41" s="208">
        <f>O41*P41</f>
        <v/>
      </c>
      <c r="U41" s="251">
        <f>O41+R41</f>
        <v/>
      </c>
      <c r="V41" s="251">
        <f>T41+S41</f>
        <v/>
      </c>
      <c r="W41" s="35">
        <f>voranmeldefrist_vierteljaehrlich(F41)</f>
        <v/>
      </c>
      <c r="X41" s="35" t="n">
        <v>42315</v>
      </c>
      <c r="Z41" s="210">
        <f>IF(N41=TRUE,T41/K41,T41)</f>
        <v/>
      </c>
      <c r="AB41">
        <f>IF(AND(Y41&gt;0,Q41=Y41),TRUE,FALSE)</f>
        <v/>
      </c>
    </row>
    <row r="42">
      <c r="A42" t="n">
        <v>41</v>
      </c>
      <c r="D42" s="6" t="n">
        <v>11384488</v>
      </c>
      <c r="E42" s="1" t="n">
        <v>42248</v>
      </c>
      <c r="F42" s="1" t="n">
        <v>42262</v>
      </c>
      <c r="G42" s="1">
        <f>CONCATENATE(H42,": ",J42)</f>
        <v/>
      </c>
      <c r="H42" t="inlineStr">
        <is>
          <t>MONTANA Energie-Handel AT GmbH</t>
        </is>
      </c>
      <c r="J42" t="inlineStr">
        <is>
          <t>Teilzahlungsbetrag Gas 11384488</t>
        </is>
      </c>
      <c r="N42">
        <f>(IF(AND(K42&lt;&gt;"",ABS(T42)&gt;400),TRUE,FALSE))</f>
        <v/>
      </c>
      <c r="O42" s="36" t="n">
        <v>48.33</v>
      </c>
      <c r="P42" s="51">
        <f>Arbeitszimmer!$B$3</f>
        <v/>
      </c>
      <c r="Q42" s="27" t="n">
        <v>20</v>
      </c>
      <c r="R42" s="237">
        <f>O42*Q42/100</f>
        <v/>
      </c>
      <c r="S42" s="237">
        <f>P42*R42</f>
        <v/>
      </c>
      <c r="T42" s="208">
        <f>O42*P42</f>
        <v/>
      </c>
      <c r="U42" s="251">
        <f>O42+R42</f>
        <v/>
      </c>
      <c r="V42" s="251">
        <f>T42+S42</f>
        <v/>
      </c>
      <c r="W42" s="35">
        <f>voranmeldefrist_vierteljaehrlich(F42)</f>
        <v/>
      </c>
      <c r="X42" s="35" t="n">
        <v>42315</v>
      </c>
      <c r="Z42" s="210">
        <f>IF(N42=TRUE,T42/K42,T42)</f>
        <v/>
      </c>
      <c r="AB42">
        <f>IF(AND(Y42&gt;0,Q42=Y42),TRUE,FALSE)</f>
        <v/>
      </c>
    </row>
    <row r="43">
      <c r="A43" t="n">
        <v>42</v>
      </c>
      <c r="D43" s="9" t="inlineStr">
        <is>
          <t>697764947</t>
        </is>
      </c>
      <c r="E43" s="1" t="n">
        <v>42272</v>
      </c>
      <c r="F43" s="1" t="n">
        <v>42283</v>
      </c>
      <c r="G43" s="1">
        <f>CONCATENATE(H43,": ",J43)</f>
        <v/>
      </c>
      <c r="H43" t="inlineStr">
        <is>
          <t>Hutchison Drei Austria GmbH, Brünner Straße 52, 1210 Wien, Österreich</t>
        </is>
      </c>
      <c r="I43" t="inlineStr">
        <is>
          <t>ATU 41029105</t>
        </is>
      </c>
      <c r="J43" t="inlineStr">
        <is>
          <t>Rufnummer 0660 534 59 59</t>
        </is>
      </c>
      <c r="N43">
        <f>(IF(AND(K43&lt;&gt;"",ABS(T43)&gt;400),TRUE,FALSE))</f>
        <v/>
      </c>
      <c r="O43" s="36" t="n">
        <v>15</v>
      </c>
      <c r="P43" s="51" t="n">
        <v>0.6</v>
      </c>
      <c r="Q43" s="27" t="n">
        <v>20</v>
      </c>
      <c r="R43" s="237">
        <f>O43*Q43/100</f>
        <v/>
      </c>
      <c r="S43" s="237">
        <f>P43*R43</f>
        <v/>
      </c>
      <c r="T43" s="208">
        <f>O43*P43</f>
        <v/>
      </c>
      <c r="U43" s="251">
        <f>O43+R43</f>
        <v/>
      </c>
      <c r="V43" s="251">
        <f>T43+S43</f>
        <v/>
      </c>
      <c r="W43" s="35">
        <f>voranmeldefrist_vierteljaehrlich(F43)</f>
        <v/>
      </c>
      <c r="X43" s="35" t="n">
        <v>42414</v>
      </c>
      <c r="Z43" s="210">
        <f>IF(N43=TRUE,T43/K43,T43)</f>
        <v/>
      </c>
      <c r="AA43" s="237">
        <f>Y43/100*V43</f>
        <v/>
      </c>
      <c r="AB43">
        <f>IF(AND(Y43&gt;0,Q43=Y43),TRUE,FALSE)</f>
        <v/>
      </c>
    </row>
    <row r="44">
      <c r="A44" t="n">
        <v>43</v>
      </c>
      <c r="D44" s="6" t="n">
        <v>1360643453</v>
      </c>
      <c r="E44" s="1" t="n">
        <v>42267</v>
      </c>
      <c r="F44" s="1" t="n">
        <v>42268</v>
      </c>
      <c r="G44" s="1">
        <f>CONCATENATE(H44,": ",J44)</f>
        <v/>
      </c>
      <c r="H44" t="inlineStr">
        <is>
          <t>Microsoft Luxembourg Sàrl, 23-29, Rives de Clausen, L-2165 Luxembourg, Luxembourg, USt-IdNr.: LU19878750</t>
        </is>
      </c>
      <c r="I44" s="3" t="inlineStr">
        <is>
          <t>ATU44846609</t>
        </is>
      </c>
      <c r="J44" t="inlineStr">
        <is>
          <t>Office 365</t>
        </is>
      </c>
      <c r="N44">
        <f>(IF(AND(K44&lt;&gt;"",ABS(T44)&gt;400),TRUE,FALSE))</f>
        <v/>
      </c>
      <c r="O44" s="36" t="n">
        <v>5.83</v>
      </c>
      <c r="P44" s="51" t="n">
        <v>1</v>
      </c>
      <c r="Q44" s="27" t="n">
        <v>20</v>
      </c>
      <c r="R44" s="237">
        <f>O44*Q44/100</f>
        <v/>
      </c>
      <c r="S44" s="237">
        <f>P44*R44</f>
        <v/>
      </c>
      <c r="T44" s="208">
        <f>O44*P44</f>
        <v/>
      </c>
      <c r="U44" s="251">
        <f>O44+R44</f>
        <v/>
      </c>
      <c r="V44" s="251">
        <f>T44+S44</f>
        <v/>
      </c>
      <c r="W44" s="35">
        <f>voranmeldefrist_vierteljaehrlich(F44)</f>
        <v/>
      </c>
      <c r="X44" s="35" t="n">
        <v>42315</v>
      </c>
      <c r="Z44" s="210">
        <f>IF(N44=TRUE,T44/K44,T44)</f>
        <v/>
      </c>
      <c r="AB44">
        <f>IF(AND(Y44&gt;0,Q44=Y44),TRUE,FALSE)</f>
        <v/>
      </c>
    </row>
    <row r="45">
      <c r="A45" t="n">
        <v>44</v>
      </c>
      <c r="D45" s="9">
        <f>"4756071015"</f>
        <v/>
      </c>
      <c r="E45" s="1" t="n">
        <v>42278</v>
      </c>
      <c r="F45" s="1" t="n">
        <v>42271</v>
      </c>
      <c r="G45" s="1">
        <f>CONCATENATE(H45,": ",J45)</f>
        <v/>
      </c>
      <c r="H45" t="inlineStr">
        <is>
          <t>IMV Immobilien Management GmbH</t>
        </is>
      </c>
      <c r="J45" t="inlineStr">
        <is>
          <t>Vorschreibung 10/2015</t>
        </is>
      </c>
      <c r="N45">
        <f>(IF(AND(K45&lt;&gt;"",ABS(T45)&gt;400),TRUE,FALSE))</f>
        <v/>
      </c>
      <c r="O45" s="36" t="n">
        <v>785.46</v>
      </c>
      <c r="P45" s="51">
        <f>Arbeitszimmer!$B$3</f>
        <v/>
      </c>
      <c r="Q45" s="27" t="n">
        <v>10</v>
      </c>
      <c r="R45" s="237">
        <f>O45*Q45/100</f>
        <v/>
      </c>
      <c r="S45" s="237">
        <f>P45*R45</f>
        <v/>
      </c>
      <c r="T45" s="208">
        <f>O45*P45</f>
        <v/>
      </c>
      <c r="U45" s="251">
        <f>O45+R45</f>
        <v/>
      </c>
      <c r="V45" s="251">
        <f>T45+S45</f>
        <v/>
      </c>
      <c r="W45" s="35">
        <f>voranmeldefrist_vierteljaehrlich(F45)</f>
        <v/>
      </c>
      <c r="X45" s="35" t="n">
        <v>42315</v>
      </c>
      <c r="Z45" s="210">
        <f>IF(N45=TRUE,T45/K45,T45)</f>
        <v/>
      </c>
      <c r="AB45">
        <f>IF(AND(Y45&gt;0,Q45=Y45),TRUE,FALSE)</f>
        <v/>
      </c>
    </row>
    <row r="46">
      <c r="A46" t="n">
        <v>45</v>
      </c>
      <c r="D46" s="9" t="inlineStr">
        <is>
          <t>RE0319352</t>
        </is>
      </c>
      <c r="E46" s="1" t="n">
        <v>42276</v>
      </c>
      <c r="F46" s="1" t="n">
        <v>42278</v>
      </c>
      <c r="G46" s="1">
        <f>CONCATENATE(H46,": ",J46)</f>
        <v/>
      </c>
      <c r="H46" t="inlineStr">
        <is>
          <t>easyname GmbH, Fernkorngasse 10/3/501, 1110 Wien</t>
        </is>
      </c>
      <c r="I46" t="inlineStr">
        <is>
          <t>ATU68122177</t>
        </is>
      </c>
      <c r="J46" t="inlineStr">
        <is>
          <t>Domain: physio-weis.at</t>
        </is>
      </c>
      <c r="N46">
        <f>(IF(AND(K46&lt;&gt;"",ABS(T46)&gt;400),TRUE,FALSE))</f>
        <v/>
      </c>
      <c r="O46" s="36" t="n">
        <v>12.42</v>
      </c>
      <c r="P46" s="51" t="n">
        <v>1</v>
      </c>
      <c r="Q46" s="27" t="n">
        <v>20</v>
      </c>
      <c r="R46" s="237">
        <f>O46*Q46/100</f>
        <v/>
      </c>
      <c r="S46" s="237">
        <f>P46*R46</f>
        <v/>
      </c>
      <c r="T46" s="208">
        <f>O46*P46</f>
        <v/>
      </c>
      <c r="U46" s="251">
        <f>O46+R46</f>
        <v/>
      </c>
      <c r="V46" s="251">
        <f>T46+S46</f>
        <v/>
      </c>
      <c r="W46" s="35">
        <f>voranmeldefrist_vierteljaehrlich(F46)</f>
        <v/>
      </c>
      <c r="X46" s="35" t="n">
        <v>42414</v>
      </c>
      <c r="Z46" s="210">
        <f>IF(N46=TRUE,T46/K46,T46)</f>
        <v/>
      </c>
      <c r="AA46" s="237">
        <f>Y46/100*V46</f>
        <v/>
      </c>
      <c r="AB46">
        <f>IF(AND(Y46&gt;0,Q46=Y46),TRUE,FALSE)</f>
        <v/>
      </c>
    </row>
    <row r="47">
      <c r="A47" t="n">
        <v>46</v>
      </c>
      <c r="D47" s="9" t="inlineStr">
        <is>
          <t>150029174</t>
        </is>
      </c>
      <c r="E47" s="1" t="n">
        <v>42257</v>
      </c>
      <c r="F47" s="1" t="n">
        <v>42282</v>
      </c>
      <c r="G47" s="1">
        <f>CONCATENATE(H47,": ",J47)</f>
        <v/>
      </c>
      <c r="H47" t="inlineStr">
        <is>
          <t>nic.at GmbH, Jakob-Haringer-Strasse 8, 5020 Salzburg, Austria</t>
        </is>
      </c>
      <c r="J47" t="inlineStr">
        <is>
          <t>Domain: energiebalance-lichtherz.at</t>
        </is>
      </c>
      <c r="N47">
        <f>(IF(AND(K47&lt;&gt;"",ABS(T47)&gt;400),TRUE,FALSE))</f>
        <v/>
      </c>
      <c r="O47" s="36" t="n">
        <v>29.1</v>
      </c>
      <c r="P47" s="51" t="n">
        <v>1</v>
      </c>
      <c r="Q47" s="27" t="n">
        <v>20</v>
      </c>
      <c r="R47" s="237">
        <f>O47*Q47/100</f>
        <v/>
      </c>
      <c r="S47" s="237">
        <f>P47*R47</f>
        <v/>
      </c>
      <c r="T47" s="208">
        <f>O47*P47</f>
        <v/>
      </c>
      <c r="U47" s="251">
        <f>O47+R47</f>
        <v/>
      </c>
      <c r="V47" s="251">
        <f>T47+S47</f>
        <v/>
      </c>
      <c r="W47" s="35">
        <f>voranmeldefrist_vierteljaehrlich(F47)</f>
        <v/>
      </c>
      <c r="X47" s="35" t="n">
        <v>42414</v>
      </c>
      <c r="Z47" s="210">
        <f>IF(N47=TRUE,T47/K47,T47)</f>
        <v/>
      </c>
      <c r="AA47" s="237">
        <f>Y47/100*V47</f>
        <v/>
      </c>
      <c r="AB47">
        <f>IF(AND(Y47&gt;0,Q47=Y47),TRUE,FALSE)</f>
        <v/>
      </c>
    </row>
    <row r="48">
      <c r="A48" t="n">
        <v>47</v>
      </c>
      <c r="D48" s="9" t="inlineStr">
        <is>
          <t>R0005265598</t>
        </is>
      </c>
      <c r="E48" s="1" t="n">
        <v>42285</v>
      </c>
      <c r="F48" s="1" t="n">
        <v>42287</v>
      </c>
      <c r="G48" s="1">
        <f>CONCATENATE(H48,": ",J48)</f>
        <v/>
      </c>
      <c r="H48" t="inlineStr">
        <is>
          <t>Hetzner Online AG, Industriestr. 25, 91710 Gunzenhausen</t>
        </is>
      </c>
      <c r="I48" s="10" t="inlineStr">
        <is>
          <t>DE812871812</t>
        </is>
      </c>
      <c r="J48" t="inlineStr">
        <is>
          <t>EQ4 Server #50605 30TB 188.40.75.200, 188.40.75.242</t>
        </is>
      </c>
      <c r="N48">
        <f>(IF(AND(K48&lt;&gt;"",ABS(T48)&gt;400),TRUE,FALSE))</f>
        <v/>
      </c>
      <c r="O48" s="36" t="n">
        <v>42.02</v>
      </c>
      <c r="P48" s="51" t="n">
        <v>1</v>
      </c>
      <c r="Q48" s="27" t="n">
        <v>20</v>
      </c>
      <c r="R48" s="237">
        <f>O48*Q48/100</f>
        <v/>
      </c>
      <c r="S48" s="237">
        <f>P48*R48</f>
        <v/>
      </c>
      <c r="T48" s="208">
        <f>O48*P48</f>
        <v/>
      </c>
      <c r="U48" s="251">
        <f>O48+R48</f>
        <v/>
      </c>
      <c r="V48" s="251">
        <f>T48+S48</f>
        <v/>
      </c>
      <c r="W48" s="35">
        <f>voranmeldefrist_vierteljaehrlich(F48)</f>
        <v/>
      </c>
      <c r="X48" s="35" t="n">
        <v>42414</v>
      </c>
      <c r="Z48" s="210">
        <f>IF(N48=TRUE,T48/K48,T48)</f>
        <v/>
      </c>
      <c r="AA48" s="237">
        <f>Y48/100*V48</f>
        <v/>
      </c>
      <c r="AB48">
        <f>IF(AND(Y48&gt;0,Q48=Y48),TRUE,FALSE)</f>
        <v/>
      </c>
    </row>
    <row r="49">
      <c r="A49" t="n">
        <v>48</v>
      </c>
      <c r="D49" s="9" t="inlineStr">
        <is>
          <t>VF00245414</t>
        </is>
      </c>
      <c r="E49" s="1" t="n">
        <v>42289</v>
      </c>
      <c r="F49" s="1" t="n">
        <v>42289</v>
      </c>
      <c r="G49" s="1">
        <f>CONCATENATE(H49,": ",J49)</f>
        <v/>
      </c>
      <c r="H49" t="inlineStr">
        <is>
          <t>SAM International B.V., Mooslackengasse 17, A-1190 Wien</t>
        </is>
      </c>
      <c r="J49" t="inlineStr">
        <is>
          <t>Whiteboard Pro Series 90x120 cm</t>
        </is>
      </c>
      <c r="K49" s="16" t="n">
        <v>5</v>
      </c>
      <c r="N49">
        <f>(IF(AND(K49&lt;&gt;"",ABS(T49)&gt;400),TRUE,FALSE))</f>
        <v/>
      </c>
      <c r="O49" s="36" t="n">
        <v>58.25</v>
      </c>
      <c r="P49" s="51" t="n">
        <v>1</v>
      </c>
      <c r="Q49" s="27" t="n">
        <v>20</v>
      </c>
      <c r="R49" s="237">
        <f>O49*Q49/100</f>
        <v/>
      </c>
      <c r="S49" s="237">
        <f>P49*R49</f>
        <v/>
      </c>
      <c r="T49" s="208">
        <f>O49*P49</f>
        <v/>
      </c>
      <c r="U49" s="251">
        <f>O49+R49</f>
        <v/>
      </c>
      <c r="V49" s="251">
        <f>T49+S49</f>
        <v/>
      </c>
      <c r="W49" s="35">
        <f>voranmeldefrist_vierteljaehrlich(F49)</f>
        <v/>
      </c>
      <c r="X49" s="35" t="n">
        <v>42414</v>
      </c>
      <c r="Z49" s="210">
        <f>IF(N49=TRUE,T49/K49,T49)</f>
        <v/>
      </c>
      <c r="AA49" s="237">
        <f>Y49/100*V49</f>
        <v/>
      </c>
      <c r="AB49">
        <f>IF(AND(Y49&gt;0,Q49=Y49),TRUE,FALSE)</f>
        <v/>
      </c>
    </row>
    <row r="50">
      <c r="A50" t="n">
        <v>49</v>
      </c>
      <c r="D50" s="9" t="inlineStr">
        <is>
          <t>0968-20151016-01-7376</t>
        </is>
      </c>
      <c r="E50" s="1" t="n">
        <v>42293</v>
      </c>
      <c r="F50" s="1" t="n">
        <v>42293</v>
      </c>
      <c r="G50" s="1">
        <f>CONCATENATE(H50,": ",J50)</f>
        <v/>
      </c>
      <c r="H50" t="inlineStr">
        <is>
          <t>Libro 1090 Wien, Alserstr 20, ATU 56240311</t>
        </is>
      </c>
      <c r="J50" t="inlineStr">
        <is>
          <t>Diverser Bürobedarf</t>
        </is>
      </c>
      <c r="N50">
        <f>(IF(AND(K50&lt;&gt;"",ABS(T50)&gt;400),TRUE,FALSE))</f>
        <v/>
      </c>
      <c r="O50" s="36" t="n">
        <v>16.29</v>
      </c>
      <c r="P50" s="51" t="n">
        <v>1</v>
      </c>
      <c r="Q50" s="27" t="n">
        <v>20</v>
      </c>
      <c r="R50" s="237">
        <f>O50*Q50/100</f>
        <v/>
      </c>
      <c r="S50" s="237">
        <f>P50*R50</f>
        <v/>
      </c>
      <c r="T50" s="208">
        <f>O50*P50</f>
        <v/>
      </c>
      <c r="U50" s="251">
        <f>O50+R50</f>
        <v/>
      </c>
      <c r="V50" s="251">
        <f>T50+S50</f>
        <v/>
      </c>
      <c r="W50" s="35">
        <f>voranmeldefrist_vierteljaehrlich(F50)</f>
        <v/>
      </c>
      <c r="X50" s="35" t="n">
        <v>42414</v>
      </c>
      <c r="Z50" s="210">
        <f>IF(N50=TRUE,T50/K50,T50)</f>
        <v/>
      </c>
      <c r="AA50" s="237">
        <f>Y50/100*V50</f>
        <v/>
      </c>
      <c r="AB50">
        <f>IF(AND(Y50&gt;0,Q50=Y50),TRUE,FALSE)</f>
        <v/>
      </c>
    </row>
    <row r="51">
      <c r="A51" t="n">
        <v>50</v>
      </c>
      <c r="D51" s="9" t="inlineStr">
        <is>
          <t>699393294</t>
        </is>
      </c>
      <c r="E51" s="1" t="n">
        <v>42304</v>
      </c>
      <c r="F51" s="1" t="n">
        <v>42313</v>
      </c>
      <c r="G51" s="1">
        <f>CONCATENATE(H51,": ",J51)</f>
        <v/>
      </c>
      <c r="H51" t="inlineStr">
        <is>
          <t>Hutchison Drei Austria GmbH, Brünner Straße 52, 1210 Wien, Österreich</t>
        </is>
      </c>
      <c r="I51" t="inlineStr">
        <is>
          <t>ATU 41029105</t>
        </is>
      </c>
      <c r="J51" t="inlineStr">
        <is>
          <t>Rufnummer 0660 534 59 59</t>
        </is>
      </c>
      <c r="N51">
        <f>(IF(AND(K51&lt;&gt;"",ABS(T51)&gt;400),TRUE,FALSE))</f>
        <v/>
      </c>
      <c r="O51" s="36" t="n">
        <v>15.25</v>
      </c>
      <c r="P51" s="51" t="n">
        <v>0.6</v>
      </c>
      <c r="Q51" s="27" t="n">
        <v>20</v>
      </c>
      <c r="R51" s="237">
        <f>O51*Q51/100</f>
        <v/>
      </c>
      <c r="S51" s="237">
        <f>P51*R51</f>
        <v/>
      </c>
      <c r="T51" s="208">
        <f>O51*P51</f>
        <v/>
      </c>
      <c r="U51" s="251">
        <f>O51+R51</f>
        <v/>
      </c>
      <c r="V51" s="251">
        <f>T51+S51</f>
        <v/>
      </c>
      <c r="W51" s="35">
        <f>voranmeldefrist_vierteljaehrlich(F51)</f>
        <v/>
      </c>
      <c r="X51" s="35" t="n">
        <v>42414</v>
      </c>
      <c r="Z51" s="210">
        <f>IF(N51=TRUE,T51/K51,T51)</f>
        <v/>
      </c>
      <c r="AA51" s="237">
        <f>Y51/100*V51</f>
        <v/>
      </c>
      <c r="AB51">
        <f>IF(AND(Y51&gt;0,Q51=Y51),TRUE,FALSE)</f>
        <v/>
      </c>
    </row>
    <row r="52">
      <c r="A52" t="n">
        <v>51</v>
      </c>
      <c r="D52" s="9">
        <f>"4756071115"</f>
        <v/>
      </c>
      <c r="E52" s="1" t="n">
        <v>42309</v>
      </c>
      <c r="F52" s="1" t="n">
        <v>42304</v>
      </c>
      <c r="G52" s="1">
        <f>CONCATENATE(H52,": ",J52)</f>
        <v/>
      </c>
      <c r="H52" t="inlineStr">
        <is>
          <t>IMV Immobilien Management GmbH</t>
        </is>
      </c>
      <c r="J52" t="inlineStr">
        <is>
          <t>Vorschreibung 7/2015</t>
        </is>
      </c>
      <c r="N52">
        <f>(IF(AND(K52&lt;&gt;"",ABS(T52)&gt;400),TRUE,FALSE))</f>
        <v/>
      </c>
      <c r="O52" s="36" t="n">
        <v>785.46</v>
      </c>
      <c r="P52" s="51">
        <f>Arbeitszimmer!$B$3</f>
        <v/>
      </c>
      <c r="Q52" s="27" t="n">
        <v>10</v>
      </c>
      <c r="R52" s="237">
        <f>O52*Q52/100</f>
        <v/>
      </c>
      <c r="S52" s="237">
        <f>P52*R52</f>
        <v/>
      </c>
      <c r="T52" s="208">
        <f>O52*P52</f>
        <v/>
      </c>
      <c r="U52" s="251">
        <f>O52+R52</f>
        <v/>
      </c>
      <c r="V52" s="251">
        <f>T52+S52</f>
        <v/>
      </c>
      <c r="W52" s="35">
        <f>voranmeldefrist_vierteljaehrlich(F52)</f>
        <v/>
      </c>
      <c r="X52" s="35" t="n">
        <v>42414</v>
      </c>
      <c r="Z52" s="210">
        <f>IF(N52=TRUE,T52/K52,T52)</f>
        <v/>
      </c>
      <c r="AA52" s="237">
        <f>Y52/100*V52</f>
        <v/>
      </c>
      <c r="AB52">
        <f>IF(AND(Y52&gt;0,Q52=Y52),TRUE,FALSE)</f>
        <v/>
      </c>
    </row>
    <row r="53">
      <c r="A53" t="n">
        <v>52</v>
      </c>
      <c r="D53" s="9" t="inlineStr">
        <is>
          <t>0542</t>
        </is>
      </c>
      <c r="E53" s="1" t="n">
        <v>42283</v>
      </c>
      <c r="F53" s="1" t="n">
        <v>42283</v>
      </c>
      <c r="G53" s="1">
        <f>CONCATENATE(H53,": ",J53)</f>
        <v/>
      </c>
      <c r="H53" t="inlineStr">
        <is>
          <t>Samrat, 1080 Wien, Florianigasse 20</t>
        </is>
      </c>
      <c r="N53">
        <f>(IF(AND(K53&lt;&gt;"",ABS(T53)&gt;400),TRUE,FALSE))</f>
        <v/>
      </c>
      <c r="O53" s="36">
        <f>28.55+9.17</f>
        <v/>
      </c>
      <c r="P53" s="51" t="n">
        <v>0.5</v>
      </c>
      <c r="Q53" s="27" t="inlineStr">
        <is>
          <t>gemischt</t>
        </is>
      </c>
      <c r="R53" s="237">
        <f>2.85+1.83</f>
        <v/>
      </c>
      <c r="S53" s="237">
        <f>2.85+1.83</f>
        <v/>
      </c>
      <c r="T53" s="208">
        <f>O53*P53</f>
        <v/>
      </c>
      <c r="U53" s="251">
        <f>O53+R53</f>
        <v/>
      </c>
      <c r="V53" s="251">
        <f>T53+S53</f>
        <v/>
      </c>
      <c r="W53" s="35">
        <f>voranmeldefrist_vierteljaehrlich(F53)</f>
        <v/>
      </c>
      <c r="X53" s="35" t="n">
        <v>42414</v>
      </c>
      <c r="Z53" s="210">
        <f>IF(N53=TRUE,T53/K53,T53)</f>
        <v/>
      </c>
      <c r="AA53" s="237">
        <f>Y53/100*V53</f>
        <v/>
      </c>
      <c r="AB53">
        <f>IF(AND(Y53&gt;0,Q53=Y53),TRUE,FALSE)</f>
        <v/>
      </c>
    </row>
    <row r="54">
      <c r="A54" t="n">
        <v>53</v>
      </c>
      <c r="D54" s="9" t="inlineStr">
        <is>
          <t>1487109119</t>
        </is>
      </c>
      <c r="E54" s="1" t="n">
        <v>42297</v>
      </c>
      <c r="F54" s="1" t="n">
        <v>42298</v>
      </c>
      <c r="G54" s="1">
        <f>CONCATENATE(H54,": ",J54)</f>
        <v/>
      </c>
      <c r="H54" t="inlineStr">
        <is>
          <t>Microsoft Luxembourg Sàrl, 23-29, Rives de Clausen, L-2165 Luxembourg, Luxembourg, USt-IdNr.: LU19878750</t>
        </is>
      </c>
      <c r="I54" s="3" t="inlineStr">
        <is>
          <t>ATU44846609</t>
        </is>
      </c>
      <c r="J54" t="inlineStr">
        <is>
          <t>Office 365</t>
        </is>
      </c>
      <c r="N54">
        <f>(IF(AND(K54&lt;&gt;"",ABS(T54)&gt;400),TRUE,FALSE))</f>
        <v/>
      </c>
      <c r="O54" s="36" t="n">
        <v>5.83</v>
      </c>
      <c r="P54" s="51" t="n">
        <v>1</v>
      </c>
      <c r="Q54" s="27" t="n">
        <v>20</v>
      </c>
      <c r="R54" s="237">
        <f>O54*Q54/100</f>
        <v/>
      </c>
      <c r="S54" s="237">
        <f>P54*R54</f>
        <v/>
      </c>
      <c r="T54" s="208">
        <f>O54*P54</f>
        <v/>
      </c>
      <c r="U54" s="251">
        <f>O54+R54</f>
        <v/>
      </c>
      <c r="V54" s="251">
        <f>T54+S54</f>
        <v/>
      </c>
      <c r="W54" s="35">
        <f>voranmeldefrist_vierteljaehrlich(F54)</f>
        <v/>
      </c>
      <c r="X54" s="35" t="n">
        <v>42414</v>
      </c>
      <c r="Z54" s="210">
        <f>IF(N54=TRUE,T54/K54,T54)</f>
        <v/>
      </c>
      <c r="AA54" s="237">
        <f>Y54/100*V54</f>
        <v/>
      </c>
      <c r="AB54">
        <f>IF(AND(Y54&gt;0,Q54=Y54),TRUE,FALSE)</f>
        <v/>
      </c>
    </row>
    <row r="55">
      <c r="A55" t="n">
        <v>54</v>
      </c>
      <c r="D55" s="9" t="inlineStr">
        <is>
          <t>0893-20151031-01-1469</t>
        </is>
      </c>
      <c r="E55" s="1" t="n">
        <v>42308</v>
      </c>
      <c r="F55" s="1" t="n">
        <v>42308</v>
      </c>
      <c r="G55" s="1">
        <f>CONCATENATE(H55,": ",J55)</f>
        <v/>
      </c>
      <c r="H55" t="inlineStr">
        <is>
          <t>Libro 1080 Wien, Josefstädterstr. 105, ATU 56240311</t>
        </is>
      </c>
      <c r="J55" t="inlineStr">
        <is>
          <t>Kuvert</t>
        </is>
      </c>
      <c r="N55">
        <f>(IF(AND(K55&lt;&gt;"",ABS(T55)&gt;400),TRUE,FALSE))</f>
        <v/>
      </c>
      <c r="O55" s="36" t="n">
        <v>2.66</v>
      </c>
      <c r="P55" s="51" t="n">
        <v>1</v>
      </c>
      <c r="Q55" s="27" t="n">
        <v>20</v>
      </c>
      <c r="R55" s="237">
        <f>O55*Q55/100</f>
        <v/>
      </c>
      <c r="S55" s="237">
        <f>P55*R55</f>
        <v/>
      </c>
      <c r="T55" s="208">
        <f>O55*P55</f>
        <v/>
      </c>
      <c r="U55" s="251">
        <f>O55+R55</f>
        <v/>
      </c>
      <c r="V55" s="251">
        <f>T55+S55</f>
        <v/>
      </c>
      <c r="W55" s="35">
        <f>voranmeldefrist_vierteljaehrlich(F55)</f>
        <v/>
      </c>
      <c r="X55" s="35" t="n">
        <v>42414</v>
      </c>
      <c r="Z55" s="210">
        <f>IF(N55=TRUE,T55/K55,T55)</f>
        <v/>
      </c>
      <c r="AA55" s="237">
        <f>Y55/100*V55</f>
        <v/>
      </c>
      <c r="AB55">
        <f>IF(AND(Y55&gt;0,Q55=Y55),TRUE,FALSE)</f>
        <v/>
      </c>
    </row>
    <row r="56">
      <c r="A56" t="n">
        <v>55</v>
      </c>
      <c r="D56" s="9" t="inlineStr">
        <is>
          <t>011561270283</t>
        </is>
      </c>
      <c r="E56" s="1" t="n">
        <v>42301</v>
      </c>
      <c r="F56" s="1" t="n">
        <v>42331</v>
      </c>
      <c r="G56" s="1">
        <f>CONCATENATE(H56,": ",J56)</f>
        <v/>
      </c>
      <c r="H56" t="inlineStr">
        <is>
          <t>Sozialversicherungsanstalt der gewerblichen Wirtschaft, Landesstelle Wien, Wiedner Hauptstraße 84-86, A-1051 Wien</t>
        </is>
      </c>
      <c r="J56" t="inlineStr">
        <is>
          <t>Kontoauszug vom 24.10.2015</t>
        </is>
      </c>
      <c r="N56">
        <f>(IF(AND(K56&lt;&gt;"",ABS(T56)&gt;400),TRUE,FALSE))</f>
        <v/>
      </c>
      <c r="O56" s="36" t="n">
        <v>504.28</v>
      </c>
      <c r="P56" s="51" t="n">
        <v>1</v>
      </c>
      <c r="Q56" s="27" t="n">
        <v>0</v>
      </c>
      <c r="R56" s="237">
        <f>O56*Q56/100</f>
        <v/>
      </c>
      <c r="S56" s="237">
        <f>P56*R56</f>
        <v/>
      </c>
      <c r="T56" s="208">
        <f>O56*P56</f>
        <v/>
      </c>
      <c r="U56" s="251">
        <f>O56+R56</f>
        <v/>
      </c>
      <c r="V56" s="251">
        <f>T56+S56</f>
        <v/>
      </c>
      <c r="W56" s="35">
        <f>voranmeldefrist_vierteljaehrlich(F56)</f>
        <v/>
      </c>
      <c r="X56" s="35" t="n">
        <v>42414</v>
      </c>
      <c r="Z56" s="210">
        <f>IF(N56=TRUE,T56/K56,T56)</f>
        <v/>
      </c>
      <c r="AA56" s="237">
        <f>Y56/100*V56</f>
        <v/>
      </c>
      <c r="AB56">
        <f>IF(AND(Y56&gt;0,Q56=Y56),TRUE,FALSE)</f>
        <v/>
      </c>
    </row>
    <row r="57">
      <c r="A57" t="n">
        <v>56</v>
      </c>
      <c r="D57" s="9" t="inlineStr">
        <is>
          <t>150010871465</t>
        </is>
      </c>
      <c r="E57" s="1" t="n">
        <v>42310</v>
      </c>
      <c r="F57" s="1" t="n">
        <v>42331</v>
      </c>
      <c r="G57" s="1">
        <f>CONCATENATE(H57,": ",J57)</f>
        <v/>
      </c>
      <c r="H57" t="inlineStr">
        <is>
          <t>WKO</t>
        </is>
      </c>
      <c r="J57" t="inlineStr">
        <is>
          <t>Grundumlage</t>
        </is>
      </c>
      <c r="N57">
        <f>(IF(AND(K57&lt;&gt;"",ABS(T57)&gt;400),TRUE,FALSE))</f>
        <v/>
      </c>
      <c r="O57" s="36" t="n">
        <v>65</v>
      </c>
      <c r="P57" s="51" t="n">
        <v>1</v>
      </c>
      <c r="Q57" s="27" t="n">
        <v>0</v>
      </c>
      <c r="R57" s="237">
        <f>O57*Q57/100</f>
        <v/>
      </c>
      <c r="S57" s="237">
        <f>P57*R57</f>
        <v/>
      </c>
      <c r="T57" s="208">
        <f>O57*P57</f>
        <v/>
      </c>
      <c r="U57" s="251">
        <f>O57+R57</f>
        <v/>
      </c>
      <c r="V57" s="251">
        <f>T57+S57</f>
        <v/>
      </c>
      <c r="W57" s="35">
        <f>voranmeldefrist_vierteljaehrlich(F57)</f>
        <v/>
      </c>
      <c r="X57" s="35" t="n">
        <v>42414</v>
      </c>
      <c r="Z57" s="210">
        <f>IF(N57=TRUE,T57/K57,T57)</f>
        <v/>
      </c>
      <c r="AA57" s="237">
        <f>Y57/100*V57</f>
        <v/>
      </c>
      <c r="AB57">
        <f>IF(AND(Y57&gt;0,Q57=Y57),TRUE,FALSE)</f>
        <v/>
      </c>
    </row>
    <row r="58">
      <c r="A58" t="n">
        <v>57</v>
      </c>
      <c r="D58" s="9" t="inlineStr">
        <is>
          <t>R0005344055</t>
        </is>
      </c>
      <c r="E58" s="1" t="n">
        <v>42316</v>
      </c>
      <c r="F58" s="1" t="n">
        <v>42318</v>
      </c>
      <c r="G58" s="1">
        <f>CONCATENATE(H58,": ",J58)</f>
        <v/>
      </c>
      <c r="H58" t="inlineStr">
        <is>
          <t>Hetzner Online AG, Industriestr. 25, 91710 Gunzenhausen</t>
        </is>
      </c>
      <c r="I58" s="10" t="inlineStr">
        <is>
          <t>DE812871812</t>
        </is>
      </c>
      <c r="J58" t="inlineStr">
        <is>
          <t>EQ4 Server #50605 30TB 188.40.75.200, 188.40.75.242</t>
        </is>
      </c>
      <c r="N58">
        <f>(IF(AND(K58&lt;&gt;"",ABS(T58)&gt;400),TRUE,FALSE))</f>
        <v/>
      </c>
      <c r="O58" s="36" t="n">
        <v>42.02</v>
      </c>
      <c r="P58" s="51" t="n">
        <v>1</v>
      </c>
      <c r="Q58" s="27" t="n">
        <v>20</v>
      </c>
      <c r="R58" s="237">
        <f>O58*Q58/100</f>
        <v/>
      </c>
      <c r="S58" s="237">
        <f>P58*R58</f>
        <v/>
      </c>
      <c r="T58" s="208">
        <f>O58*P58</f>
        <v/>
      </c>
      <c r="U58" s="251">
        <f>O58+R58</f>
        <v/>
      </c>
      <c r="V58" s="251">
        <f>T58+S58</f>
        <v/>
      </c>
      <c r="W58" s="35">
        <f>voranmeldefrist_vierteljaehrlich(F58)</f>
        <v/>
      </c>
      <c r="X58" s="35" t="n">
        <v>42414</v>
      </c>
      <c r="Z58" s="210">
        <f>IF(N58=TRUE,T58/K58,T58)</f>
        <v/>
      </c>
      <c r="AA58" s="237">
        <f>Y58/100*V58</f>
        <v/>
      </c>
      <c r="AB58">
        <f>IF(AND(Y58&gt;0,Q58=Y58),TRUE,FALSE)</f>
        <v/>
      </c>
    </row>
    <row r="59">
      <c r="A59" t="n">
        <v>58</v>
      </c>
      <c r="D59" s="9" t="inlineStr">
        <is>
          <t>1688323297</t>
        </is>
      </c>
      <c r="E59" s="1" t="n">
        <v>42328</v>
      </c>
      <c r="F59" s="1" t="n">
        <v>42329</v>
      </c>
      <c r="G59" s="1">
        <f>CONCATENATE(H59,": ",J59)</f>
        <v/>
      </c>
      <c r="H59" t="inlineStr">
        <is>
          <t>Microsoft Luxembourg Sàrl, 23-29, Rives de Clausen, L-2165 Luxembourg, Luxembourg, USt-IdNr.: LU19878750</t>
        </is>
      </c>
      <c r="I59" s="3" t="inlineStr">
        <is>
          <t>ATU44846609</t>
        </is>
      </c>
      <c r="J59" t="inlineStr">
        <is>
          <t>Office 365</t>
        </is>
      </c>
      <c r="N59">
        <f>(IF(AND(K59&lt;&gt;"",ABS(T59)&gt;400),TRUE,FALSE))</f>
        <v/>
      </c>
      <c r="O59" s="36" t="n">
        <v>5.83</v>
      </c>
      <c r="P59" s="51" t="n">
        <v>1</v>
      </c>
      <c r="Q59" s="27" t="n">
        <v>20</v>
      </c>
      <c r="R59" s="237">
        <f>O59*Q59/100</f>
        <v/>
      </c>
      <c r="S59" s="237">
        <f>P59*R59</f>
        <v/>
      </c>
      <c r="T59" s="208">
        <f>O59*P59</f>
        <v/>
      </c>
      <c r="U59" s="251">
        <f>O59+R59</f>
        <v/>
      </c>
      <c r="V59" s="251">
        <f>T59+S59</f>
        <v/>
      </c>
      <c r="W59" s="35">
        <f>voranmeldefrist_vierteljaehrlich(F59)</f>
        <v/>
      </c>
      <c r="X59" s="35" t="n">
        <v>42414</v>
      </c>
      <c r="Z59" s="210">
        <f>IF(N59=TRUE,T59/K59,T59)</f>
        <v/>
      </c>
      <c r="AA59" s="237">
        <f>Y59/100*V59</f>
        <v/>
      </c>
      <c r="AB59">
        <f>IF(AND(Y59&gt;0,Q59=Y59),TRUE,FALSE)</f>
        <v/>
      </c>
    </row>
    <row r="60">
      <c r="A60" t="n">
        <v>59</v>
      </c>
      <c r="D60" s="9" t="inlineStr">
        <is>
          <t>6101068707</t>
        </is>
      </c>
      <c r="E60" s="1" t="n">
        <v>42334</v>
      </c>
      <c r="F60" s="1" t="n">
        <v>42342</v>
      </c>
      <c r="G60" s="1">
        <f>CONCATENATE(H60,": ",J60)</f>
        <v/>
      </c>
      <c r="H60" t="inlineStr">
        <is>
          <t>Hutchison Drei Austria GmbH, Brünner Straße 52, 1210 Wien, Österreich</t>
        </is>
      </c>
      <c r="I60" t="inlineStr">
        <is>
          <t>ATU 41029105</t>
        </is>
      </c>
      <c r="J60" t="inlineStr">
        <is>
          <t>Rufnummer 0660 534 59 59</t>
        </is>
      </c>
      <c r="N60">
        <f>(IF(AND(K60&lt;&gt;"",ABS(T60)&gt;400),TRUE,FALSE))</f>
        <v/>
      </c>
      <c r="O60" s="36" t="n">
        <v>15.58</v>
      </c>
      <c r="P60" s="51" t="n">
        <v>0.6</v>
      </c>
      <c r="Q60" s="27" t="n">
        <v>20</v>
      </c>
      <c r="R60" s="237">
        <f>O60*Q60/100</f>
        <v/>
      </c>
      <c r="S60" s="237">
        <f>P60*R60</f>
        <v/>
      </c>
      <c r="T60" s="208">
        <f>O60*P60</f>
        <v/>
      </c>
      <c r="U60" s="251">
        <f>O60+R60</f>
        <v/>
      </c>
      <c r="V60" s="251">
        <f>T60+S60</f>
        <v/>
      </c>
      <c r="W60" s="35">
        <f>voranmeldefrist_vierteljaehrlich(F60)</f>
        <v/>
      </c>
      <c r="X60" s="35" t="n">
        <v>42414</v>
      </c>
      <c r="Z60" s="210">
        <f>IF(N60=TRUE,T60/K60,T60)</f>
        <v/>
      </c>
      <c r="AA60" s="237">
        <f>Y60/100*V60</f>
        <v/>
      </c>
      <c r="AB60">
        <f>IF(AND(Y60&gt;0,Q60=Y60),TRUE,FALSE)</f>
        <v/>
      </c>
    </row>
    <row r="61">
      <c r="A61" t="n">
        <v>60</v>
      </c>
      <c r="D61" s="9" t="inlineStr">
        <is>
          <t>12040000011806844</t>
        </is>
      </c>
      <c r="E61" s="1" t="n">
        <v>42335</v>
      </c>
      <c r="F61" s="1" t="n">
        <v>42336</v>
      </c>
      <c r="G61" s="1">
        <f>CONCATENATE(H61,": ",J61)</f>
        <v/>
      </c>
      <c r="H61" t="inlineStr">
        <is>
          <t>XING AG, D-20354 Hamburg, Dammtorstrasse 30</t>
        </is>
      </c>
      <c r="I61" s="10" t="inlineStr">
        <is>
          <t>DE 230144235</t>
        </is>
      </c>
      <c r="J61" t="inlineStr">
        <is>
          <t>Xing Premium 3 Monate</t>
        </is>
      </c>
      <c r="N61">
        <f>(IF(AND(K61&lt;&gt;"",ABS(T61)&gt;400),TRUE,FALSE))</f>
        <v/>
      </c>
      <c r="O61" s="36" t="n">
        <v>24.87</v>
      </c>
      <c r="P61" s="51" t="n">
        <v>1</v>
      </c>
      <c r="Q61" s="27" t="n">
        <v>20</v>
      </c>
      <c r="R61" s="237">
        <f>4.98</f>
        <v/>
      </c>
      <c r="S61" s="237">
        <f>P61*R61</f>
        <v/>
      </c>
      <c r="T61" s="208">
        <f>O61*P61</f>
        <v/>
      </c>
      <c r="U61" s="251">
        <f>O61+R61</f>
        <v/>
      </c>
      <c r="V61" s="251">
        <f>T61+S61</f>
        <v/>
      </c>
      <c r="W61" s="35">
        <f>voranmeldefrist_vierteljaehrlich(F61)</f>
        <v/>
      </c>
      <c r="X61" s="35" t="n">
        <v>42414</v>
      </c>
      <c r="Z61" s="210">
        <f>IF(N61=TRUE,T61/K61,T61)</f>
        <v/>
      </c>
      <c r="AA61" s="237">
        <f>Y61/100*V61</f>
        <v/>
      </c>
      <c r="AB61">
        <f>IF(AND(Y61&gt;0,Q61=Y61),TRUE,FALSE)</f>
        <v/>
      </c>
    </row>
    <row r="62">
      <c r="A62" t="n">
        <v>61</v>
      </c>
      <c r="D62" s="9" t="inlineStr">
        <is>
          <t>R0005423190</t>
        </is>
      </c>
      <c r="E62" s="1" t="n">
        <v>42346</v>
      </c>
      <c r="F62" s="1" t="n">
        <v>42348</v>
      </c>
      <c r="G62" s="1">
        <f>CONCATENATE(H62,": ",J62)</f>
        <v/>
      </c>
      <c r="H62" t="inlineStr">
        <is>
          <t>Hetzner Online AG, Industriestr. 25, 91710 Gunzenhausen</t>
        </is>
      </c>
      <c r="I62" s="10" t="inlineStr">
        <is>
          <t>DE812871812</t>
        </is>
      </c>
      <c r="J62" t="inlineStr">
        <is>
          <t>EQ4 Server #50605 30TB 188.40.75.200, 188.40.75.242</t>
        </is>
      </c>
      <c r="N62">
        <f>(IF(AND(K62&lt;&gt;"",ABS(T62)&gt;400),TRUE,FALSE))</f>
        <v/>
      </c>
      <c r="O62" s="36" t="n">
        <v>42.02</v>
      </c>
      <c r="P62" s="51" t="n">
        <v>1</v>
      </c>
      <c r="Q62" s="27" t="n">
        <v>0</v>
      </c>
      <c r="R62" s="237">
        <f>O62*Q62/100</f>
        <v/>
      </c>
      <c r="S62" s="237">
        <f>P62*R62</f>
        <v/>
      </c>
      <c r="T62" s="208">
        <f>O62*P62</f>
        <v/>
      </c>
      <c r="U62" s="251">
        <f>O62+R62</f>
        <v/>
      </c>
      <c r="V62" s="251">
        <f>T62+S62</f>
        <v/>
      </c>
      <c r="W62" s="35">
        <f>voranmeldefrist_vierteljaehrlich(F62)</f>
        <v/>
      </c>
      <c r="X62" s="35" t="n">
        <v>42414</v>
      </c>
      <c r="Y62" s="27" t="n">
        <v>20</v>
      </c>
      <c r="Z62" s="210">
        <f>IF(N62=TRUE,T62/K62,T62)</f>
        <v/>
      </c>
      <c r="AA62" s="237">
        <f>Y62/100*V62</f>
        <v/>
      </c>
      <c r="AB62">
        <f>IF(AND(Y62&gt;0,Q62=Y62),TRUE,FALSE)</f>
        <v/>
      </c>
    </row>
    <row r="63">
      <c r="A63" t="n">
        <v>62</v>
      </c>
      <c r="D63" s="9" t="inlineStr">
        <is>
          <t>1895686731</t>
        </is>
      </c>
      <c r="E63" s="1" t="n">
        <v>42358</v>
      </c>
      <c r="F63" s="1" t="n">
        <v>42359</v>
      </c>
      <c r="G63" s="1">
        <f>CONCATENATE(H63,": ",J63)</f>
        <v/>
      </c>
      <c r="H63" t="inlineStr">
        <is>
          <t>Microsoft Luxembourg Sàrl, 23-29, Rives de Clausen, L-2165 Luxembourg, Luxembourg, USt-IdNr.: LU19878750</t>
        </is>
      </c>
      <c r="I63" s="3" t="inlineStr">
        <is>
          <t>ATU44846609</t>
        </is>
      </c>
      <c r="J63" t="inlineStr">
        <is>
          <t>Office 365</t>
        </is>
      </c>
      <c r="N63">
        <f>(IF(AND(K63&lt;&gt;"",ABS(T63)&gt;400),TRUE,FALSE))</f>
        <v/>
      </c>
      <c r="O63" s="36" t="n">
        <v>5.83</v>
      </c>
      <c r="P63" s="51" t="n">
        <v>1</v>
      </c>
      <c r="Q63" s="27" t="n">
        <v>20</v>
      </c>
      <c r="R63" s="237">
        <f>O63*Q63/100</f>
        <v/>
      </c>
      <c r="S63" s="237">
        <f>P63*R63</f>
        <v/>
      </c>
      <c r="T63" s="208">
        <f>O63*P63</f>
        <v/>
      </c>
      <c r="U63" s="251">
        <f>O63+R63</f>
        <v/>
      </c>
      <c r="V63" s="251">
        <f>T63+S63</f>
        <v/>
      </c>
      <c r="W63" s="35">
        <f>voranmeldefrist_vierteljaehrlich(F63)</f>
        <v/>
      </c>
      <c r="X63" s="35" t="n">
        <v>42414</v>
      </c>
      <c r="Z63" s="210">
        <f>IF(N63=TRUE,T63/K63,T63)</f>
        <v/>
      </c>
      <c r="AA63" s="237">
        <f>Y63/100*V63</f>
        <v/>
      </c>
      <c r="AB63">
        <f>IF(AND(Y63&gt;0,Q63=Y63),TRUE,FALSE)</f>
        <v/>
      </c>
    </row>
    <row r="64">
      <c r="A64" t="n">
        <v>63</v>
      </c>
      <c r="D64" s="9" t="inlineStr">
        <is>
          <t>6102822152</t>
        </is>
      </c>
      <c r="E64" s="1" t="n">
        <v>42366</v>
      </c>
      <c r="F64" s="1" t="n">
        <v>42376</v>
      </c>
      <c r="G64" s="1">
        <f>CONCATENATE(H64,": ",J64)</f>
        <v/>
      </c>
      <c r="H64" t="inlineStr">
        <is>
          <t>Hutchison Drei Austria GmbH, Brünner Straße 52, 1210 Wien, Österreich</t>
        </is>
      </c>
      <c r="I64" t="inlineStr">
        <is>
          <t>ATU 41029105</t>
        </is>
      </c>
      <c r="J64" t="inlineStr">
        <is>
          <t>Rufnummer 0660 534 59 59</t>
        </is>
      </c>
      <c r="N64">
        <f>(IF(AND(K64&lt;&gt;"",ABS(T64)&gt;400),TRUE,FALSE))</f>
        <v/>
      </c>
      <c r="O64" s="36" t="n">
        <v>36.09</v>
      </c>
      <c r="P64" s="51" t="n">
        <v>0.6</v>
      </c>
      <c r="Q64" s="27" t="n">
        <v>20</v>
      </c>
      <c r="R64" s="237">
        <f>O64*Q64/100</f>
        <v/>
      </c>
      <c r="S64" s="237">
        <f>P64*R64</f>
        <v/>
      </c>
      <c r="T64" s="208">
        <f>O64*P64</f>
        <v/>
      </c>
      <c r="U64" s="251">
        <f>O64+R64</f>
        <v/>
      </c>
      <c r="V64" s="251">
        <f>T64+S64</f>
        <v/>
      </c>
      <c r="W64" s="35">
        <f>voranmeldefrist_vierteljaehrlich(F64)</f>
        <v/>
      </c>
      <c r="X64" s="35" t="n">
        <v>42499</v>
      </c>
      <c r="Z64" s="210">
        <f>IF(N64=TRUE,T64/K64,T64)</f>
        <v/>
      </c>
      <c r="AA64" s="237">
        <f>Y64/100*V64</f>
        <v/>
      </c>
      <c r="AB64">
        <f>IF(AND(Y64&gt;0,Q64=Y64),TRUE,FALSE)</f>
        <v/>
      </c>
    </row>
    <row r="65">
      <c r="A65" t="n">
        <v>64</v>
      </c>
      <c r="D65" s="9" t="inlineStr">
        <is>
          <t>4756070116</t>
        </is>
      </c>
      <c r="E65" s="1" t="n">
        <v>42370</v>
      </c>
      <c r="F65" s="1" t="n">
        <v>42356</v>
      </c>
      <c r="G65" s="1">
        <f>CONCATENATE(H65,": ",J65)</f>
        <v/>
      </c>
      <c r="H65" t="inlineStr">
        <is>
          <t>IMV Immobilien Management GmbH</t>
        </is>
      </c>
      <c r="I65" t="inlineStr">
        <is>
          <t>ATU60795919</t>
        </is>
      </c>
      <c r="J65" t="inlineStr">
        <is>
          <t>Vorschreibung 1/16</t>
        </is>
      </c>
      <c r="N65">
        <f>(IF(AND(K65&lt;&gt;"",ABS(T65)&gt;400),TRUE,FALSE))</f>
        <v/>
      </c>
      <c r="O65" s="36" t="n">
        <v>797.98</v>
      </c>
      <c r="P65" s="51">
        <f>Arbeitszimmer!$B$3</f>
        <v/>
      </c>
      <c r="Q65" s="27" t="n">
        <v>10</v>
      </c>
      <c r="R65" s="237">
        <f>O65*Q65/100</f>
        <v/>
      </c>
      <c r="S65" s="237">
        <f>P65*R65</f>
        <v/>
      </c>
      <c r="T65" s="208">
        <f>O65*P65</f>
        <v/>
      </c>
      <c r="U65" s="251">
        <f>O65+R65</f>
        <v/>
      </c>
      <c r="V65" s="251">
        <f>T65+S65</f>
        <v/>
      </c>
      <c r="W65" s="35">
        <f>voranmeldefrist_vierteljaehrlich(F65)</f>
        <v/>
      </c>
      <c r="X65" s="35" t="n">
        <v>42414</v>
      </c>
      <c r="Z65" s="210">
        <f>IF(N65=TRUE,T65/K65,T65)</f>
        <v/>
      </c>
      <c r="AA65" s="237">
        <f>Y65/100*V65</f>
        <v/>
      </c>
      <c r="AB65">
        <f>IF(AND(Y65&gt;0,Q65=Y65),TRUE,FALSE)</f>
        <v/>
      </c>
    </row>
    <row r="66">
      <c r="A66" t="n">
        <v>65</v>
      </c>
      <c r="F66" s="1" t="n">
        <v>42368</v>
      </c>
      <c r="G66" s="1">
        <f>CONCATENATE(H66,": ",J66)</f>
        <v/>
      </c>
      <c r="H66" t="inlineStr">
        <is>
          <t>Vorkasse: Cyberport GmbH, Europaplatz 3, 1150 Wien</t>
        </is>
      </c>
      <c r="I66" t="inlineStr">
        <is>
          <t>DE195033395</t>
        </is>
      </c>
      <c r="J66" t="inlineStr">
        <is>
          <t>HP Envy Phoenix 860-017ng PC i7-6700K 32GB/3TB 512GB SSD GTX 980 Ti Windows 10</t>
        </is>
      </c>
      <c r="K66" s="16" t="n">
        <v>5</v>
      </c>
      <c r="N66" t="b">
        <v>0</v>
      </c>
      <c r="O66" s="36" t="n">
        <v>2114.17</v>
      </c>
      <c r="P66" s="51" t="n">
        <v>1</v>
      </c>
      <c r="Q66" s="27" t="n">
        <v>0</v>
      </c>
      <c r="R66" s="237">
        <f>O66*Q66/100</f>
        <v/>
      </c>
      <c r="S66" s="237">
        <f>P66*R66</f>
        <v/>
      </c>
      <c r="T66" s="208">
        <f>O66*P66</f>
        <v/>
      </c>
      <c r="U66" s="251">
        <f>O66+R66</f>
        <v/>
      </c>
      <c r="V66" s="251">
        <f>T66+S66</f>
        <v/>
      </c>
      <c r="W66" s="35">
        <f>voranmeldefrist_vierteljaehrlich(F66)</f>
        <v/>
      </c>
      <c r="X66" s="35" t="n">
        <v>42414</v>
      </c>
      <c r="Y66" s="27" t="n">
        <v>20</v>
      </c>
      <c r="Z66" s="210">
        <f>O66/K66</f>
        <v/>
      </c>
      <c r="AA66" s="237">
        <f>Y66/100*V66</f>
        <v/>
      </c>
      <c r="AB66">
        <f>IF(AND(Y66&gt;0,Q66=Y66),TRUE,FALSE)</f>
        <v/>
      </c>
    </row>
    <row r="67">
      <c r="A67" t="n">
        <v>66</v>
      </c>
      <c r="F67" s="1" t="n">
        <v>42368</v>
      </c>
      <c r="G67" s="1">
        <f>CONCATENATE(H67,": ",J67)</f>
        <v/>
      </c>
      <c r="H67" t="inlineStr">
        <is>
          <t>Vorkasse: Cyberport GmbH, Europaplatz 3, 1150 Wien</t>
        </is>
      </c>
      <c r="I67" t="inlineStr">
        <is>
          <t>DE195033395</t>
        </is>
      </c>
      <c r="J67" t="inlineStr">
        <is>
          <t>Versand und Servicekosten</t>
        </is>
      </c>
      <c r="N67">
        <f>(IF(AND(K67&lt;&gt;"",ABS(T67)&gt;400),TRUE,FALSE))</f>
        <v/>
      </c>
      <c r="O67" s="36" t="n">
        <v>6.66</v>
      </c>
      <c r="P67" s="51" t="n">
        <v>1</v>
      </c>
      <c r="Q67" s="27" t="n">
        <v>0</v>
      </c>
      <c r="R67" s="237">
        <f>O67*Q67/100</f>
        <v/>
      </c>
      <c r="S67" s="237">
        <f>P67*R67</f>
        <v/>
      </c>
      <c r="T67" s="208">
        <f>O67*P67</f>
        <v/>
      </c>
      <c r="U67" s="251">
        <f>O67+R67</f>
        <v/>
      </c>
      <c r="V67" s="251">
        <f>T67+S67</f>
        <v/>
      </c>
      <c r="W67" s="35">
        <f>voranmeldefrist_vierteljaehrlich(F67)</f>
        <v/>
      </c>
      <c r="X67" s="35" t="n">
        <v>42414</v>
      </c>
      <c r="Y67" s="27" t="n">
        <v>20</v>
      </c>
      <c r="Z67" s="210">
        <f>IF(N67=TRUE,T67/K67,T67)</f>
        <v/>
      </c>
      <c r="AA67" s="237">
        <f>Y67/100*V67</f>
        <v/>
      </c>
      <c r="AB67">
        <f>IF(AND(Y67&gt;0,Q67=Y67),TRUE,FALSE)</f>
        <v/>
      </c>
    </row>
    <row r="68">
      <c r="A68" t="n">
        <v>67</v>
      </c>
      <c r="D68" s="9" t="inlineStr">
        <is>
          <t>RE0342056</t>
        </is>
      </c>
      <c r="E68" s="1" t="n">
        <v>42370</v>
      </c>
      <c r="F68" s="1" t="n">
        <v>42371</v>
      </c>
      <c r="G68" s="1">
        <f>CONCATENATE(H68,": ",J68)</f>
        <v/>
      </c>
      <c r="H68" t="inlineStr">
        <is>
          <t>easyname GmbH, Fernkorngasse 10/3/501, 1110 Wien</t>
        </is>
      </c>
      <c r="I68" t="inlineStr">
        <is>
          <t>ATU68122177</t>
        </is>
      </c>
      <c r="J68" t="inlineStr">
        <is>
          <t>Domain: jarosoft.at</t>
        </is>
      </c>
      <c r="N68">
        <f>(IF(AND(K68&lt;&gt;"",ABS(T68)&gt;400),TRUE,FALSE))</f>
        <v/>
      </c>
      <c r="O68" s="36" t="n">
        <v>12.42</v>
      </c>
      <c r="P68" s="51" t="n">
        <v>1</v>
      </c>
      <c r="Q68" s="27" t="n">
        <v>20</v>
      </c>
      <c r="R68" s="237">
        <f>O68*Q68/100</f>
        <v/>
      </c>
      <c r="S68" s="237">
        <f>P68*R68</f>
        <v/>
      </c>
      <c r="T68" s="208">
        <f>O68*P68</f>
        <v/>
      </c>
      <c r="U68" s="251">
        <f>O68+R68</f>
        <v/>
      </c>
      <c r="V68" s="251">
        <f>T68+S68</f>
        <v/>
      </c>
      <c r="W68" s="35">
        <f>voranmeldefrist_vierteljaehrlich(F68)</f>
        <v/>
      </c>
      <c r="X68" s="35" t="n">
        <v>42499</v>
      </c>
      <c r="Z68" s="210">
        <f>IF(N68=TRUE,T68/K68,T68)</f>
        <v/>
      </c>
      <c r="AA68" s="237">
        <f>Y68/100*V68</f>
        <v/>
      </c>
      <c r="AB68">
        <f>IF(AND(Y68&gt;0,Q68=Y68),TRUE,FALSE)</f>
        <v/>
      </c>
    </row>
    <row r="69">
      <c r="A69" t="n">
        <v>68</v>
      </c>
      <c r="D69" s="9" t="inlineStr">
        <is>
          <t>R0005503276</t>
        </is>
      </c>
      <c r="E69" s="1" t="n">
        <v>42377</v>
      </c>
      <c r="F69" s="1" t="n">
        <v>42381</v>
      </c>
      <c r="G69" s="1">
        <f>CONCATENATE(H69,": ",J69)</f>
        <v/>
      </c>
      <c r="H69" t="inlineStr">
        <is>
          <t>Hetzner Online AG, Industriestr. 25, 91710 Gunzenhausen</t>
        </is>
      </c>
      <c r="I69" s="10" t="inlineStr">
        <is>
          <t>DE812871812</t>
        </is>
      </c>
      <c r="J69" t="inlineStr">
        <is>
          <t>EQ4 Server #50605 30TB 188.40.75.200, 188.40.75.242</t>
        </is>
      </c>
      <c r="N69">
        <f>(IF(AND(K69&lt;&gt;"",ABS(T69)&gt;400),TRUE,FALSE))</f>
        <v/>
      </c>
      <c r="O69" s="36" t="n">
        <v>42.02</v>
      </c>
      <c r="P69" s="51" t="n">
        <v>1</v>
      </c>
      <c r="Q69" s="27" t="n">
        <v>0</v>
      </c>
      <c r="R69" s="237">
        <f>O69*Q69/100</f>
        <v/>
      </c>
      <c r="S69" s="237">
        <f>P69*R69</f>
        <v/>
      </c>
      <c r="T69" s="208">
        <f>O69*P69</f>
        <v/>
      </c>
      <c r="U69" s="251">
        <f>O69+R69</f>
        <v/>
      </c>
      <c r="V69" s="251">
        <f>T69+S69</f>
        <v/>
      </c>
      <c r="W69" s="35">
        <f>voranmeldefrist_vierteljaehrlich(F69)</f>
        <v/>
      </c>
      <c r="X69" s="35" t="n">
        <v>42499</v>
      </c>
      <c r="Y69" s="27" t="n">
        <v>20</v>
      </c>
      <c r="Z69" s="210">
        <f>IF(N69=TRUE,T69/K69,T69)</f>
        <v/>
      </c>
      <c r="AA69" s="237">
        <f>Y69/100*V69</f>
        <v/>
      </c>
      <c r="AB69">
        <f>IF(AND(Y69&gt;0,Q69=Y69),TRUE,FALSE)</f>
        <v/>
      </c>
    </row>
    <row r="70">
      <c r="A70" t="n">
        <v>69</v>
      </c>
      <c r="D70" s="9" t="inlineStr">
        <is>
          <t>RE0344850</t>
        </is>
      </c>
      <c r="E70" s="1" t="n">
        <v>42380</v>
      </c>
      <c r="F70" s="1" t="n">
        <v>42381</v>
      </c>
      <c r="G70" s="1">
        <f>CONCATENATE(H70,": ",J70)</f>
        <v/>
      </c>
      <c r="H70" t="inlineStr">
        <is>
          <t>easyname GmbH, Fernkorngasse 10/3/501, 1110 Wien</t>
        </is>
      </c>
      <c r="I70" t="inlineStr">
        <is>
          <t>ATU68122177</t>
        </is>
      </c>
      <c r="J70" t="inlineStr">
        <is>
          <t>Domain: dr-schiller.at</t>
        </is>
      </c>
      <c r="N70">
        <f>(IF(AND(K70&lt;&gt;"",ABS(T70)&gt;400),TRUE,FALSE))</f>
        <v/>
      </c>
      <c r="O70" s="36" t="n">
        <v>12.42</v>
      </c>
      <c r="P70" s="51" t="n">
        <v>1</v>
      </c>
      <c r="Q70" s="27" t="n">
        <v>20</v>
      </c>
      <c r="R70" s="237">
        <f>O70*Q70/100</f>
        <v/>
      </c>
      <c r="S70" s="237">
        <f>P70*R70</f>
        <v/>
      </c>
      <c r="T70" s="208">
        <f>O70*P70</f>
        <v/>
      </c>
      <c r="U70" s="251">
        <f>O70+R70</f>
        <v/>
      </c>
      <c r="V70" s="251">
        <f>T70+S70</f>
        <v/>
      </c>
      <c r="W70" s="35">
        <f>voranmeldefrist_vierteljaehrlich(F70)</f>
        <v/>
      </c>
      <c r="X70" s="35" t="n">
        <v>42499</v>
      </c>
      <c r="Z70" s="210">
        <f>IF(N70=TRUE,T70/K70,T70)</f>
        <v/>
      </c>
      <c r="AA70" s="237">
        <f>Y70/100*V70</f>
        <v/>
      </c>
      <c r="AB70">
        <f>IF(AND(Y70&gt;0,Q70=Y70),TRUE,FALSE)</f>
        <v/>
      </c>
    </row>
    <row r="71">
      <c r="A71" t="n">
        <v>70</v>
      </c>
      <c r="D71" s="21" t="inlineStr">
        <is>
          <t>3647872/0</t>
        </is>
      </c>
      <c r="E71" s="1" t="n">
        <v>42380</v>
      </c>
      <c r="F71" s="1" t="n">
        <v>42389</v>
      </c>
      <c r="G71" s="1">
        <f>CONCATENATE(H71,": ",J71)</f>
        <v/>
      </c>
      <c r="H71" t="inlineStr">
        <is>
          <t>Niederösterr. Versicherung AG, Neue Herrengasse 10, 3100 St. Pölten</t>
        </is>
      </c>
      <c r="I71" t="inlineStr">
        <is>
          <t>ATU15362300</t>
        </is>
      </c>
      <c r="J71" t="inlineStr">
        <is>
          <t xml:space="preserve">Haushaltsversicherung POL.3647872/0 EP 01/2016 </t>
        </is>
      </c>
      <c r="N71">
        <f>(IF(AND(K71&lt;&gt;"",ABS(T71)&gt;400),TRUE,FALSE))</f>
        <v/>
      </c>
      <c r="O71" s="36" t="n">
        <v>78.15000000000001</v>
      </c>
      <c r="P71" s="51">
        <f>Arbeitszimmer!$B$3</f>
        <v/>
      </c>
      <c r="Q71" s="27" t="n">
        <v>0</v>
      </c>
      <c r="R71" s="237">
        <f>O71*Q71/100</f>
        <v/>
      </c>
      <c r="S71" s="237">
        <f>P71*R71</f>
        <v/>
      </c>
      <c r="T71" s="208">
        <f>O71*P71</f>
        <v/>
      </c>
      <c r="U71" s="251">
        <f>O71+R71</f>
        <v/>
      </c>
      <c r="V71" s="251">
        <f>T71+S71</f>
        <v/>
      </c>
      <c r="W71" s="35">
        <f>voranmeldefrist_vierteljaehrlich(F71)</f>
        <v/>
      </c>
      <c r="X71" s="35" t="n">
        <v>42499</v>
      </c>
      <c r="Z71" s="210">
        <f>IF(N71=TRUE,T71/K71,T71)</f>
        <v/>
      </c>
      <c r="AA71" s="237">
        <f>Y71/100*V71</f>
        <v/>
      </c>
      <c r="AB71">
        <f>IF(AND(Y71&gt;0,Q71=Y71),TRUE,FALSE)</f>
        <v/>
      </c>
    </row>
    <row r="72">
      <c r="A72" t="n">
        <v>71</v>
      </c>
      <c r="D72" s="21" t="inlineStr">
        <is>
          <t>34000015227/40/2016</t>
        </is>
      </c>
      <c r="E72" s="1" t="n">
        <v>42370</v>
      </c>
      <c r="F72" s="1" t="n">
        <v>42384</v>
      </c>
      <c r="G72" s="1">
        <f>CONCATENATE(H72,": ",J72)</f>
        <v/>
      </c>
      <c r="H72" t="inlineStr">
        <is>
          <t>VERBUND AG, Postfach 8400, 1011 Wien, Österreich</t>
        </is>
      </c>
      <c r="J72" t="inlineStr">
        <is>
          <t>Teilzahlungsbetrag Strom 34000015227</t>
        </is>
      </c>
      <c r="N72">
        <f>(IF(AND(K72&lt;&gt;"",ABS(T72)&gt;400),TRUE,FALSE))</f>
        <v/>
      </c>
      <c r="O72" s="36" t="n">
        <v>137.5</v>
      </c>
      <c r="P72" s="51">
        <f>Arbeitszimmer!$B$3</f>
        <v/>
      </c>
      <c r="Q72" s="27" t="n">
        <v>20</v>
      </c>
      <c r="R72" s="237">
        <f>O72*Q72/100</f>
        <v/>
      </c>
      <c r="S72" s="237">
        <f>P72*R72</f>
        <v/>
      </c>
      <c r="T72" s="208">
        <f>O72*P72</f>
        <v/>
      </c>
      <c r="U72" s="251">
        <f>O72+R72</f>
        <v/>
      </c>
      <c r="V72" s="251">
        <f>T72+S72</f>
        <v/>
      </c>
      <c r="W72" s="35">
        <f>voranmeldefrist_vierteljaehrlich(F72)</f>
        <v/>
      </c>
      <c r="X72" s="35" t="n">
        <v>42499</v>
      </c>
      <c r="Z72" s="210">
        <f>IF(N72=TRUE,T72/K72,T72)</f>
        <v/>
      </c>
      <c r="AA72" s="237">
        <f>Y72/100*V72</f>
        <v/>
      </c>
      <c r="AB72">
        <f>IF(AND(Y72&gt;0,Q72=Y72),TRUE,FALSE)</f>
        <v/>
      </c>
    </row>
    <row r="73">
      <c r="A73" t="n">
        <v>72</v>
      </c>
      <c r="D73" s="9" t="inlineStr">
        <is>
          <t>14000009963/40/2016</t>
        </is>
      </c>
      <c r="E73" s="1" t="n">
        <v>42370</v>
      </c>
      <c r="F73" s="1" t="n">
        <v>42384</v>
      </c>
      <c r="G73" s="1">
        <f>CONCATENATE(H73,": ",J73)</f>
        <v/>
      </c>
      <c r="H73" t="inlineStr">
        <is>
          <t>MONTANA Energie-Handel AT GmbH</t>
        </is>
      </c>
      <c r="J73" t="inlineStr">
        <is>
          <t>Teilzahlungsbetrag Gas 140000099</t>
        </is>
      </c>
      <c r="N73">
        <f>(IF(AND(K73&lt;&gt;"",ABS(T73)&gt;400),TRUE,FALSE))</f>
        <v/>
      </c>
      <c r="O73" s="36" t="n">
        <v>52.5</v>
      </c>
      <c r="P73" s="51">
        <f>Arbeitszimmer!$B$3</f>
        <v/>
      </c>
      <c r="Q73" s="27" t="n">
        <v>20</v>
      </c>
      <c r="R73" s="237">
        <f>O73*Q73/100</f>
        <v/>
      </c>
      <c r="S73" s="237">
        <f>P73*R73</f>
        <v/>
      </c>
      <c r="T73" s="208">
        <f>O73*P73</f>
        <v/>
      </c>
      <c r="U73" s="251">
        <f>O73+R73</f>
        <v/>
      </c>
      <c r="V73" s="251">
        <f>T73+S73</f>
        <v/>
      </c>
      <c r="W73" s="35">
        <f>voranmeldefrist_vierteljaehrlich(F73)</f>
        <v/>
      </c>
      <c r="X73" s="35" t="n">
        <v>42499</v>
      </c>
      <c r="Z73" s="210">
        <f>IF(N73=TRUE,T73/K73,T73)</f>
        <v/>
      </c>
      <c r="AA73" s="237">
        <f>Y73/100*V73</f>
        <v/>
      </c>
      <c r="AB73">
        <f>IF(AND(Y73&gt;0,Q73=Y73),TRUE,FALSE)</f>
        <v/>
      </c>
    </row>
    <row r="74">
      <c r="A74" t="n">
        <v>73</v>
      </c>
      <c r="D74" s="9" t="inlineStr">
        <is>
          <t>2165251691</t>
        </is>
      </c>
      <c r="E74" s="1" t="n">
        <v>42389</v>
      </c>
      <c r="F74" s="1" t="n">
        <v>42390</v>
      </c>
      <c r="G74" s="1">
        <f>CONCATENATE(H74,": ",J74)</f>
        <v/>
      </c>
      <c r="H74" t="inlineStr">
        <is>
          <t>Microsoft Luxembourg Sàrl, 23-29, Rives de Clausen, L-2165 Luxembourg, Luxembourg, USt-IdNr.: LU19878750</t>
        </is>
      </c>
      <c r="I74" s="3" t="inlineStr">
        <is>
          <t>ATU44846609</t>
        </is>
      </c>
      <c r="J74" t="inlineStr">
        <is>
          <t>Office 365</t>
        </is>
      </c>
      <c r="N74">
        <f>(IF(AND(K74&lt;&gt;"",ABS(T74)&gt;400),TRUE,FALSE))</f>
        <v/>
      </c>
      <c r="O74" s="36" t="n">
        <v>5.83</v>
      </c>
      <c r="P74" s="51" t="n">
        <v>1</v>
      </c>
      <c r="Q74" s="27" t="n">
        <v>20</v>
      </c>
      <c r="R74" s="237">
        <f>O74*Q74/100</f>
        <v/>
      </c>
      <c r="S74" s="237">
        <f>P74*R74</f>
        <v/>
      </c>
      <c r="T74" s="208">
        <f>O74*P74</f>
        <v/>
      </c>
      <c r="U74" s="251">
        <f>O74+R74</f>
        <v/>
      </c>
      <c r="V74" s="251">
        <f>T74+S74</f>
        <v/>
      </c>
      <c r="W74" s="35">
        <f>voranmeldefrist_vierteljaehrlich(F74)</f>
        <v/>
      </c>
      <c r="X74" s="35" t="n">
        <v>42499</v>
      </c>
      <c r="Z74" s="210">
        <f>IF(N74=TRUE,T74/K74,T74)</f>
        <v/>
      </c>
      <c r="AA74" s="237">
        <f>Y74/100*V74</f>
        <v/>
      </c>
      <c r="AB74">
        <f>IF(AND(Y74&gt;0,Q74=Y74),TRUE,FALSE)</f>
        <v/>
      </c>
    </row>
    <row r="75">
      <c r="A75" t="n">
        <v>74</v>
      </c>
      <c r="D75" s="9" t="inlineStr">
        <is>
          <t>R0005584285</t>
        </is>
      </c>
      <c r="E75" s="1" t="n">
        <v>42408</v>
      </c>
      <c r="F75" s="1" t="n">
        <v>42410</v>
      </c>
      <c r="G75" s="1">
        <f>CONCATENATE(H75,": ",J75)</f>
        <v/>
      </c>
      <c r="H75" t="inlineStr">
        <is>
          <t>Hetzner Online AG, Industriestr. 25, 91710 Gunzenhausen</t>
        </is>
      </c>
      <c r="I75" s="10" t="inlineStr">
        <is>
          <t>DE812871812</t>
        </is>
      </c>
      <c r="J75" t="inlineStr">
        <is>
          <t>EQ4 Server #50605 30TB 188.40.75.200, 188.40.75.242</t>
        </is>
      </c>
      <c r="N75">
        <f>(IF(AND(K75&lt;&gt;"",ABS(T75)&gt;400),TRUE,FALSE))</f>
        <v/>
      </c>
      <c r="O75" s="36" t="n">
        <v>42.02</v>
      </c>
      <c r="P75" s="51" t="n">
        <v>1</v>
      </c>
      <c r="Q75" s="27" t="n">
        <v>0</v>
      </c>
      <c r="R75" s="237">
        <f>O75*Q75/100</f>
        <v/>
      </c>
      <c r="S75" s="237">
        <f>P75*R75</f>
        <v/>
      </c>
      <c r="T75" s="208">
        <f>O75*P75</f>
        <v/>
      </c>
      <c r="U75" s="251">
        <f>O75+R75</f>
        <v/>
      </c>
      <c r="V75" s="251">
        <f>T75+S75</f>
        <v/>
      </c>
      <c r="W75" s="35">
        <f>voranmeldefrist_vierteljaehrlich(F75)</f>
        <v/>
      </c>
      <c r="X75" s="35" t="n">
        <v>42499</v>
      </c>
      <c r="Y75" s="27" t="n">
        <v>20</v>
      </c>
      <c r="Z75" s="210">
        <f>IF(N75=TRUE,T75/K75,T75)</f>
        <v/>
      </c>
      <c r="AA75" s="237">
        <f>Y75/100*V75</f>
        <v/>
      </c>
      <c r="AB75">
        <f>IF(AND(Y75&gt;0,Q75=Y75),TRUE,FALSE)</f>
        <v/>
      </c>
    </row>
    <row r="76">
      <c r="A76" t="n">
        <v>75</v>
      </c>
      <c r="D76" s="9" t="inlineStr">
        <is>
          <t xml:space="preserve">6104626580 </t>
        </is>
      </c>
      <c r="E76" s="1" t="n">
        <v>42395</v>
      </c>
      <c r="F76" s="1" t="n">
        <v>42404</v>
      </c>
      <c r="G76" s="1">
        <f>CONCATENATE(H76,": ",J76)</f>
        <v/>
      </c>
      <c r="H76" t="inlineStr">
        <is>
          <t>Hutchison Drei Austria GmbH, Brünner Straße 52, 1210 Wien, Österreich</t>
        </is>
      </c>
      <c r="I76" t="inlineStr">
        <is>
          <t>ATU 41029105</t>
        </is>
      </c>
      <c r="J76" t="inlineStr">
        <is>
          <t>Rufnummer 0660 534 59 59</t>
        </is>
      </c>
      <c r="N76">
        <f>(IF(AND(K76&lt;&gt;"",ABS(T76)&gt;400),TRUE,FALSE))</f>
        <v/>
      </c>
      <c r="O76" s="36" t="n">
        <v>15</v>
      </c>
      <c r="P76" s="51" t="n">
        <v>0.6</v>
      </c>
      <c r="Q76" s="27" t="n">
        <v>20</v>
      </c>
      <c r="R76" s="237">
        <f>O76*Q76/100</f>
        <v/>
      </c>
      <c r="S76" s="237">
        <f>P76*R76</f>
        <v/>
      </c>
      <c r="T76" s="208">
        <f>O76*P76</f>
        <v/>
      </c>
      <c r="U76" s="251">
        <f>O76+R76</f>
        <v/>
      </c>
      <c r="V76" s="251">
        <f>T76+S76</f>
        <v/>
      </c>
      <c r="W76" s="35">
        <f>voranmeldefrist_vierteljaehrlich(F76)</f>
        <v/>
      </c>
      <c r="X76" s="35" t="n">
        <v>42499</v>
      </c>
      <c r="Z76" s="210">
        <f>IF(N76=TRUE,T76/K76,T76)</f>
        <v/>
      </c>
      <c r="AA76" s="237">
        <f>Y76/100*V76</f>
        <v/>
      </c>
      <c r="AB76">
        <f>IF(AND(Y76&gt;0,Q76=Y76),TRUE,FALSE)</f>
        <v/>
      </c>
    </row>
    <row r="77">
      <c r="A77" t="n">
        <v>76</v>
      </c>
      <c r="D77" s="9" t="inlineStr">
        <is>
          <t>RE0357031</t>
        </is>
      </c>
      <c r="E77" s="1" t="n">
        <v>42409</v>
      </c>
      <c r="F77" s="1" t="n">
        <v>42411</v>
      </c>
      <c r="G77" s="1">
        <f>CONCATENATE(H77,": ",J77)</f>
        <v/>
      </c>
      <c r="H77" t="inlineStr">
        <is>
          <t>easyname GmbH, Fernkorngasse 10/3/501, 1110 Wien</t>
        </is>
      </c>
      <c r="I77" t="inlineStr">
        <is>
          <t>ATU68122177</t>
        </is>
      </c>
      <c r="J77" t="inlineStr">
        <is>
          <t>Domain: amweg.at</t>
        </is>
      </c>
      <c r="N77">
        <f>(IF(AND(K77&lt;&gt;"",ABS(T77)&gt;400),TRUE,FALSE))</f>
        <v/>
      </c>
      <c r="O77" s="36" t="n">
        <v>12.42</v>
      </c>
      <c r="P77" s="51" t="n">
        <v>1</v>
      </c>
      <c r="Q77" s="27" t="n">
        <v>20</v>
      </c>
      <c r="R77" s="237">
        <f>O77*Q77/100</f>
        <v/>
      </c>
      <c r="S77" s="237">
        <f>P77*R77</f>
        <v/>
      </c>
      <c r="T77" s="208">
        <f>O77*P77</f>
        <v/>
      </c>
      <c r="U77" s="251">
        <f>O77+R77</f>
        <v/>
      </c>
      <c r="V77" s="251">
        <f>T77+S77</f>
        <v/>
      </c>
      <c r="W77" s="35">
        <f>voranmeldefrist_vierteljaehrlich(F77)</f>
        <v/>
      </c>
      <c r="X77" s="35" t="n">
        <v>42499</v>
      </c>
      <c r="Z77" s="210">
        <f>IF(N77=TRUE,T77/K77,T77)</f>
        <v/>
      </c>
      <c r="AA77" s="237">
        <f>Y77/100*V77</f>
        <v/>
      </c>
      <c r="AB77">
        <f>IF(AND(Y77&gt;0,Q77=Y77),TRUE,FALSE)</f>
        <v/>
      </c>
    </row>
    <row r="78">
      <c r="A78" t="n">
        <v>77</v>
      </c>
      <c r="D78" s="9" t="inlineStr">
        <is>
          <t>160171033</t>
        </is>
      </c>
      <c r="E78" s="1" t="n">
        <v>42409</v>
      </c>
      <c r="F78" s="1" t="n">
        <v>42411</v>
      </c>
      <c r="G78" s="1">
        <f>CONCATENATE(H78,": ",J78)</f>
        <v/>
      </c>
      <c r="H78" t="inlineStr">
        <is>
          <t>Cyberport GmbH, Europaplatz 3, 1150 Wien</t>
        </is>
      </c>
      <c r="I78" t="inlineStr">
        <is>
          <t>DE195033395</t>
        </is>
      </c>
      <c r="J78" t="inlineStr">
        <is>
          <t>Rückerstattung wg. Nichtlieferbarkeit: HP Envy Phoenix 860-017ng PC i7-6700K 32GB/3TB 512GB SSD GTX 980 Ti Windows 10</t>
        </is>
      </c>
      <c r="K78" s="16" t="n">
        <v>5</v>
      </c>
      <c r="N78" t="b">
        <v>0</v>
      </c>
      <c r="O78" s="36" t="n">
        <v>-2114.17</v>
      </c>
      <c r="P78" s="51" t="n">
        <v>1</v>
      </c>
      <c r="Q78" s="27" t="n">
        <v>0</v>
      </c>
      <c r="R78" s="237">
        <f>O78*Q78/100</f>
        <v/>
      </c>
      <c r="S78" s="237">
        <f>P78*R78</f>
        <v/>
      </c>
      <c r="T78" s="208">
        <f>O78*P78</f>
        <v/>
      </c>
      <c r="U78" s="251">
        <f>O78+R78</f>
        <v/>
      </c>
      <c r="V78" s="251">
        <f>T78+S78</f>
        <v/>
      </c>
      <c r="W78" s="35">
        <f>voranmeldefrist_vierteljaehrlich(F78)</f>
        <v/>
      </c>
      <c r="X78" s="35" t="n">
        <v>42499</v>
      </c>
      <c r="Y78" s="27" t="n">
        <v>20</v>
      </c>
      <c r="Z78" s="210">
        <f>O78/K78</f>
        <v/>
      </c>
      <c r="AA78" s="237">
        <f>Y78/100*V78</f>
        <v/>
      </c>
      <c r="AB78">
        <f>IF(AND(Y78&gt;0,Q78=Y78),TRUE,FALSE)</f>
        <v/>
      </c>
    </row>
    <row r="79">
      <c r="A79" t="n">
        <v>78</v>
      </c>
      <c r="D79" s="9" t="inlineStr">
        <is>
          <t>160171033</t>
        </is>
      </c>
      <c r="E79" s="1" t="n">
        <v>42409</v>
      </c>
      <c r="F79" s="1" t="n">
        <v>42411</v>
      </c>
      <c r="G79" s="1">
        <f>CONCATENATE(H79,": ",J79)</f>
        <v/>
      </c>
      <c r="H79" t="inlineStr">
        <is>
          <t>Cyberport GmbH, Europaplatz 3, 1150 Wien</t>
        </is>
      </c>
      <c r="I79" t="inlineStr">
        <is>
          <t>DE195033395</t>
        </is>
      </c>
      <c r="J79" t="inlineStr">
        <is>
          <t>Rückerstattung wg. Nichtlieferbarkeit: Versand und Servicekosten</t>
        </is>
      </c>
      <c r="N79">
        <f>(IF(AND(K79&lt;&gt;"",ABS(T79)&gt;400),TRUE,FALSE))</f>
        <v/>
      </c>
      <c r="O79" s="36" t="n">
        <v>-6.66</v>
      </c>
      <c r="P79" s="51" t="n">
        <v>1</v>
      </c>
      <c r="Q79" s="27" t="n">
        <v>0</v>
      </c>
      <c r="R79" s="237">
        <f>O79*Q79/100</f>
        <v/>
      </c>
      <c r="S79" s="237">
        <f>P79*R79</f>
        <v/>
      </c>
      <c r="T79" s="208">
        <f>O79*P79</f>
        <v/>
      </c>
      <c r="U79" s="251">
        <f>O79+R79</f>
        <v/>
      </c>
      <c r="V79" s="251">
        <f>T79+S79</f>
        <v/>
      </c>
      <c r="W79" s="35">
        <f>voranmeldefrist_vierteljaehrlich(F79)</f>
        <v/>
      </c>
      <c r="X79" s="35" t="n">
        <v>42499</v>
      </c>
      <c r="Y79" s="27" t="n">
        <v>20</v>
      </c>
      <c r="Z79" s="210">
        <f>IF(N79=TRUE,T79/K79,T79)</f>
        <v/>
      </c>
      <c r="AA79" s="237">
        <f>Y79/100*V79</f>
        <v/>
      </c>
      <c r="AB79">
        <f>IF(AND(Y79&gt;0,Q79=Y79),TRUE,FALSE)</f>
        <v/>
      </c>
    </row>
    <row r="80">
      <c r="A80" t="n">
        <v>79</v>
      </c>
      <c r="D80" s="9" t="inlineStr">
        <is>
          <t>160171033</t>
        </is>
      </c>
      <c r="E80" s="1" t="n">
        <v>42409</v>
      </c>
      <c r="F80" s="1" t="n">
        <v>42411</v>
      </c>
      <c r="G80" s="1">
        <f>CONCATENATE(H80,": ",J80)</f>
        <v/>
      </c>
      <c r="H80" t="inlineStr">
        <is>
          <t>Cyberport GmbH, Europaplatz 3, 1150 Wien</t>
        </is>
      </c>
      <c r="I80" t="inlineStr">
        <is>
          <t>DE195033395</t>
        </is>
      </c>
      <c r="J80" t="inlineStr">
        <is>
          <t>Versand und Servicekosten</t>
        </is>
      </c>
      <c r="N80">
        <f>(IF(AND(K80&lt;&gt;"",ABS(T80)&gt;400),TRUE,FALSE))</f>
        <v/>
      </c>
      <c r="O80" s="36" t="n">
        <v>6.66</v>
      </c>
      <c r="P80" s="51" t="n">
        <v>1</v>
      </c>
      <c r="Q80" s="27" t="n">
        <v>0</v>
      </c>
      <c r="R80" s="237">
        <f>O80*Q80/100</f>
        <v/>
      </c>
      <c r="S80" s="237">
        <f>P80*R80</f>
        <v/>
      </c>
      <c r="T80" s="208">
        <f>O80*P80</f>
        <v/>
      </c>
      <c r="U80" s="251">
        <f>O80+R80</f>
        <v/>
      </c>
      <c r="V80" s="251">
        <f>T80+S80</f>
        <v/>
      </c>
      <c r="W80" s="35">
        <f>voranmeldefrist_vierteljaehrlich(F80)</f>
        <v/>
      </c>
      <c r="X80" s="35" t="n">
        <v>42499</v>
      </c>
      <c r="Y80" s="27" t="n">
        <v>20</v>
      </c>
      <c r="Z80" s="210">
        <f>IF(N80=TRUE,T80/K80,T80)</f>
        <v/>
      </c>
      <c r="AA80" s="237">
        <f>Y80/100*V80</f>
        <v/>
      </c>
      <c r="AB80">
        <f>IF(AND(Y80&gt;0,Q80=Y80),TRUE,FALSE)</f>
        <v/>
      </c>
    </row>
    <row r="81">
      <c r="A81" t="n">
        <v>80</v>
      </c>
      <c r="D81" s="9" t="inlineStr">
        <is>
          <t>160171033</t>
        </is>
      </c>
      <c r="E81" s="1" t="n">
        <v>42409</v>
      </c>
      <c r="F81" s="1" t="n">
        <v>42411</v>
      </c>
      <c r="G81" s="1">
        <f>CONCATENATE(H81,": ",J81)</f>
        <v/>
      </c>
      <c r="H81" t="inlineStr">
        <is>
          <t>Cyberport GmbH, Europaplatz 3, 1150 Wien</t>
        </is>
      </c>
      <c r="I81" t="inlineStr">
        <is>
          <t>DE195033395</t>
        </is>
      </c>
      <c r="J81" t="inlineStr">
        <is>
          <t>Lenovo Ideacentre Y900-34ISZ -90DD000QGE</t>
        </is>
      </c>
      <c r="K81" s="16" t="n">
        <v>5</v>
      </c>
      <c r="N81">
        <f>(IF(AND(K81&lt;&gt;"",ABS(T81)&gt;400),TRUE,FALSE))</f>
        <v/>
      </c>
      <c r="O81" s="36" t="n">
        <v>1871.67</v>
      </c>
      <c r="P81" s="51" t="n">
        <v>1</v>
      </c>
      <c r="Q81" s="27" t="n">
        <v>0</v>
      </c>
      <c r="R81" s="237">
        <f>O81*Q81/100</f>
        <v/>
      </c>
      <c r="S81" s="237">
        <f>P81*R81</f>
        <v/>
      </c>
      <c r="T81" s="208">
        <f>O81*P81</f>
        <v/>
      </c>
      <c r="U81" s="251">
        <f>O81+R81</f>
        <v/>
      </c>
      <c r="V81" s="251">
        <f>T81+S81</f>
        <v/>
      </c>
      <c r="W81" s="35">
        <f>voranmeldefrist_vierteljaehrlich(F81)</f>
        <v/>
      </c>
      <c r="X81" s="35" t="n">
        <v>42499</v>
      </c>
      <c r="Y81" s="27" t="n">
        <v>20</v>
      </c>
      <c r="Z81" s="210">
        <f>IF(N81=TRUE,T81/K81,T81)</f>
        <v/>
      </c>
      <c r="AA81" s="237">
        <f>Y81/100*V81</f>
        <v/>
      </c>
      <c r="AB81">
        <f>IF(AND(Y81&gt;0,Q81=Y81),TRUE,FALSE)</f>
        <v/>
      </c>
    </row>
    <row r="82">
      <c r="A82" t="n">
        <v>81</v>
      </c>
      <c r="D82" s="9" t="inlineStr">
        <is>
          <t>160171033</t>
        </is>
      </c>
      <c r="E82" s="1" t="n">
        <v>42409</v>
      </c>
      <c r="F82" s="1" t="n">
        <v>42411</v>
      </c>
      <c r="G82" s="1">
        <f>CONCATENATE(H82,": ",J82)</f>
        <v/>
      </c>
      <c r="H82" t="inlineStr">
        <is>
          <t>Cyberport GmbH, Europaplatz 3, 1150 Wien</t>
        </is>
      </c>
      <c r="I82" t="inlineStr">
        <is>
          <t>DE195033395</t>
        </is>
      </c>
      <c r="J82" t="inlineStr">
        <is>
          <t>Samsung SSD 850 EVO 500GB MZ-75E500B/EU</t>
        </is>
      </c>
      <c r="N82">
        <f>(IF(AND(K82&lt;&gt;"",ABS(T82)&gt;400),TRUE,FALSE))</f>
        <v/>
      </c>
      <c r="O82" s="36" t="n">
        <v>153.33</v>
      </c>
      <c r="P82" s="51" t="n">
        <v>1</v>
      </c>
      <c r="Q82" s="27" t="n">
        <v>0</v>
      </c>
      <c r="R82" s="237">
        <f>O82*Q82/100</f>
        <v/>
      </c>
      <c r="S82" s="237">
        <f>P82*R82</f>
        <v/>
      </c>
      <c r="T82" s="208">
        <f>O82*P82</f>
        <v/>
      </c>
      <c r="U82" s="251">
        <f>O82+R82</f>
        <v/>
      </c>
      <c r="V82" s="251">
        <f>T82+S82</f>
        <v/>
      </c>
      <c r="W82" s="35">
        <f>voranmeldefrist_vierteljaehrlich(F82)</f>
        <v/>
      </c>
      <c r="X82" s="35" t="n">
        <v>42499</v>
      </c>
      <c r="Y82" s="27" t="n">
        <v>20</v>
      </c>
      <c r="Z82" s="210">
        <f>IF(N82=TRUE,T82/K82,T82)</f>
        <v/>
      </c>
      <c r="AA82" s="237">
        <f>Y82/100*V82</f>
        <v/>
      </c>
      <c r="AB82">
        <f>IF(AND(Y82&gt;0,Q82=Y82),TRUE,FALSE)</f>
        <v/>
      </c>
    </row>
    <row r="83">
      <c r="A83" t="n">
        <v>82</v>
      </c>
      <c r="D83" s="9" t="inlineStr">
        <is>
          <t>4756070216</t>
        </is>
      </c>
      <c r="E83" s="1" t="n">
        <v>42401</v>
      </c>
      <c r="F83" s="1" t="n">
        <v>42415</v>
      </c>
      <c r="G83" s="1">
        <f>CONCATENATE(H83,": ",J83)</f>
        <v/>
      </c>
      <c r="H83" t="inlineStr">
        <is>
          <t>IMV Immobilien Management GmbH</t>
        </is>
      </c>
      <c r="I83" t="inlineStr">
        <is>
          <t>ATU60795919</t>
        </is>
      </c>
      <c r="J83" t="inlineStr">
        <is>
          <t>Vorschreibung 2/16</t>
        </is>
      </c>
      <c r="N83">
        <f>(IF(AND(K83&lt;&gt;"",ABS(T83)&gt;400),TRUE,FALSE))</f>
        <v/>
      </c>
      <c r="O83" s="36" t="n">
        <v>797.98</v>
      </c>
      <c r="P83" s="51">
        <f>Arbeitszimmer!$B$3</f>
        <v/>
      </c>
      <c r="Q83" s="27" t="n">
        <v>10</v>
      </c>
      <c r="R83" s="237">
        <f>O83*Q83/100</f>
        <v/>
      </c>
      <c r="S83" s="237">
        <f>P83*R83</f>
        <v/>
      </c>
      <c r="T83" s="208">
        <f>O83*P83</f>
        <v/>
      </c>
      <c r="U83" s="251">
        <f>O83+R83</f>
        <v/>
      </c>
      <c r="V83" s="251">
        <f>T83+S83</f>
        <v/>
      </c>
      <c r="W83" s="35">
        <f>voranmeldefrist_vierteljaehrlich(F83)</f>
        <v/>
      </c>
      <c r="X83" s="35" t="n">
        <v>42499</v>
      </c>
      <c r="Z83" s="210">
        <f>IF(N83=TRUE,T83/K83,T83)</f>
        <v/>
      </c>
      <c r="AA83" s="237">
        <f>Y83/100*V83</f>
        <v/>
      </c>
      <c r="AB83">
        <f>IF(AND(Y83&gt;0,Q83=Y83),TRUE,FALSE)</f>
        <v/>
      </c>
    </row>
    <row r="84">
      <c r="A84" t="n">
        <v>83</v>
      </c>
      <c r="D84" s="9" t="inlineStr">
        <is>
          <t>4756070316</t>
        </is>
      </c>
      <c r="E84" s="1" t="n">
        <v>42430</v>
      </c>
      <c r="F84" s="1" t="n">
        <v>42426</v>
      </c>
      <c r="G84" s="1">
        <f>CONCATENATE(H84,": ",J84)</f>
        <v/>
      </c>
      <c r="H84" t="inlineStr">
        <is>
          <t>IMV Immobilien Management GmbH</t>
        </is>
      </c>
      <c r="I84" t="inlineStr">
        <is>
          <t>ATU60795919</t>
        </is>
      </c>
      <c r="J84" t="inlineStr">
        <is>
          <t>Vorschreibung 3/16</t>
        </is>
      </c>
      <c r="N84">
        <f>(IF(AND(K84&lt;&gt;"",ABS(T84)&gt;400),TRUE,FALSE))</f>
        <v/>
      </c>
      <c r="O84" s="36" t="n">
        <v>801.77</v>
      </c>
      <c r="P84" s="51">
        <f>Arbeitszimmer!$B$3</f>
        <v/>
      </c>
      <c r="Q84" s="27" t="n">
        <v>10</v>
      </c>
      <c r="R84" s="237">
        <f>O84*Q84/100</f>
        <v/>
      </c>
      <c r="S84" s="237">
        <f>P84*R84</f>
        <v/>
      </c>
      <c r="T84" s="208">
        <f>O84*P84</f>
        <v/>
      </c>
      <c r="U84" s="251">
        <f>O84+R84</f>
        <v/>
      </c>
      <c r="V84" s="251">
        <f>T84+S84</f>
        <v/>
      </c>
      <c r="W84" s="35">
        <f>voranmeldefrist_vierteljaehrlich(F84)</f>
        <v/>
      </c>
      <c r="X84" s="35" t="n">
        <v>42499</v>
      </c>
      <c r="Z84" s="210">
        <f>IF(N84=TRUE,T84/K84,T84)</f>
        <v/>
      </c>
      <c r="AA84" s="237">
        <f>Y84/100*V84</f>
        <v/>
      </c>
      <c r="AB84">
        <f>IF(AND(Y84&gt;0,Q84=Y84),TRUE,FALSE)</f>
        <v/>
      </c>
    </row>
    <row r="85">
      <c r="A85" t="n">
        <v>84</v>
      </c>
      <c r="D85" s="9" t="inlineStr">
        <is>
          <t>4756070416</t>
        </is>
      </c>
      <c r="E85" s="1" t="n">
        <v>42461</v>
      </c>
      <c r="F85" s="1" t="n">
        <v>42458</v>
      </c>
      <c r="G85" s="1">
        <f>CONCATENATE(H85,": ",J85)</f>
        <v/>
      </c>
      <c r="H85" t="inlineStr">
        <is>
          <t>IMV Immobilien Management GmbH</t>
        </is>
      </c>
      <c r="I85" t="inlineStr">
        <is>
          <t>ATU60795919</t>
        </is>
      </c>
      <c r="J85" t="inlineStr">
        <is>
          <t>Vorschreibung 4/16</t>
        </is>
      </c>
      <c r="N85">
        <f>(IF(AND(K85&lt;&gt;"",ABS(T85)&gt;400),TRUE,FALSE))</f>
        <v/>
      </c>
      <c r="O85" s="36" t="n">
        <v>801.77</v>
      </c>
      <c r="P85" s="51">
        <f>Arbeitszimmer!$B$3</f>
        <v/>
      </c>
      <c r="Q85" s="27" t="n">
        <v>10</v>
      </c>
      <c r="R85" s="237">
        <f>O85*Q85/100</f>
        <v/>
      </c>
      <c r="S85" s="237">
        <f>P85*R85</f>
        <v/>
      </c>
      <c r="T85" s="208">
        <f>O85*P85</f>
        <v/>
      </c>
      <c r="U85" s="251">
        <f>O85+R85</f>
        <v/>
      </c>
      <c r="V85" s="251">
        <f>T85+S85</f>
        <v/>
      </c>
      <c r="W85" s="35">
        <f>voranmeldefrist_vierteljaehrlich(F85)</f>
        <v/>
      </c>
      <c r="X85" s="35" t="n">
        <v>42499</v>
      </c>
      <c r="Z85" s="210">
        <f>IF(N85=TRUE,T85/K85,T85)</f>
        <v/>
      </c>
      <c r="AA85" s="237">
        <f>Y85/100*V85</f>
        <v/>
      </c>
      <c r="AB85">
        <f>IF(AND(Y85&gt;0,Q85=Y85),TRUE,FALSE)</f>
        <v/>
      </c>
    </row>
    <row r="86">
      <c r="A86" t="n">
        <v>85</v>
      </c>
      <c r="D86" s="9" t="inlineStr">
        <is>
          <t>4756070516</t>
        </is>
      </c>
      <c r="E86" s="1" t="n">
        <v>42491</v>
      </c>
      <c r="F86" s="1" t="n">
        <v>42485</v>
      </c>
      <c r="G86" s="1">
        <f>CONCATENATE(H86,": ",J86)</f>
        <v/>
      </c>
      <c r="H86" t="inlineStr">
        <is>
          <t>IMV Immobilien Management GmbH</t>
        </is>
      </c>
      <c r="I86" t="inlineStr">
        <is>
          <t>ATU60795919</t>
        </is>
      </c>
      <c r="J86" t="inlineStr">
        <is>
          <t>Vorschreibung 5/16</t>
        </is>
      </c>
      <c r="N86">
        <f>(IF(AND(K86&lt;&gt;"",ABS(T86)&gt;400),TRUE,FALSE))</f>
        <v/>
      </c>
      <c r="O86" s="36" t="n">
        <v>801.77</v>
      </c>
      <c r="P86" s="51">
        <f>Arbeitszimmer!$B$3</f>
        <v/>
      </c>
      <c r="Q86" s="27" t="n">
        <v>10</v>
      </c>
      <c r="R86" s="237">
        <f>O86*Q86/100</f>
        <v/>
      </c>
      <c r="S86" s="237">
        <f>P86*R86</f>
        <v/>
      </c>
      <c r="T86" s="208">
        <f>O86*P86</f>
        <v/>
      </c>
      <c r="U86" s="251">
        <f>O86+R86</f>
        <v/>
      </c>
      <c r="V86" s="251">
        <f>T86+S86</f>
        <v/>
      </c>
      <c r="W86" s="35">
        <f>voranmeldefrist_vierteljaehrlich(F86)</f>
        <v/>
      </c>
      <c r="X86" s="35" t="n">
        <v>42600</v>
      </c>
      <c r="Z86" s="210">
        <f>IF(N86=TRUE,T86/K86,T86)</f>
        <v/>
      </c>
      <c r="AA86" s="237">
        <f>Y86/100*V86</f>
        <v/>
      </c>
      <c r="AB86">
        <f>IF(AND(Y86&gt;0,Q86=Y86),TRUE,FALSE)</f>
        <v/>
      </c>
    </row>
    <row r="87">
      <c r="A87" t="n">
        <v>86</v>
      </c>
      <c r="D87" s="9" t="inlineStr">
        <is>
          <t>011561270283</t>
        </is>
      </c>
      <c r="E87" s="1" t="n">
        <v>42390</v>
      </c>
      <c r="F87" s="1" t="n">
        <v>42423</v>
      </c>
      <c r="G87" s="1">
        <f>CONCATENATE(H87,": ",J87)</f>
        <v/>
      </c>
      <c r="H87" t="inlineStr">
        <is>
          <t>Sozialversicherungsanstalt der gewerblichen Wirtschaft, Landesstelle Wien, Wiedner Hauptstraße 84-86, A-1051 Wien</t>
        </is>
      </c>
      <c r="J87" t="inlineStr">
        <is>
          <t>Vorschreibung Q1/16</t>
        </is>
      </c>
      <c r="N87">
        <f>(IF(AND(K87&lt;&gt;"",ABS(T87)&gt;400),TRUE,FALSE))</f>
        <v/>
      </c>
      <c r="O87" s="36" t="n">
        <v>580.86</v>
      </c>
      <c r="P87" s="51" t="n">
        <v>1</v>
      </c>
      <c r="Q87" s="27" t="n">
        <v>0</v>
      </c>
      <c r="R87" s="237">
        <f>O87*Q87/100</f>
        <v/>
      </c>
      <c r="S87" s="237">
        <f>P87*R87</f>
        <v/>
      </c>
      <c r="T87" s="208">
        <f>O87*P87</f>
        <v/>
      </c>
      <c r="U87" s="251">
        <f>O87+R87</f>
        <v/>
      </c>
      <c r="V87" s="251">
        <f>T87+S87</f>
        <v/>
      </c>
      <c r="W87" s="35">
        <f>voranmeldefrist_vierteljaehrlich(F87)</f>
        <v/>
      </c>
      <c r="X87" s="35" t="n">
        <v>42499</v>
      </c>
      <c r="Z87" s="210">
        <f>IF(N87=TRUE,T87/K87,T87)</f>
        <v/>
      </c>
      <c r="AA87" s="237">
        <f>Y87/100*V87</f>
        <v/>
      </c>
      <c r="AB87">
        <f>IF(AND(Y87&gt;0,Q87=Y87),TRUE,FALSE)</f>
        <v/>
      </c>
    </row>
    <row r="88">
      <c r="A88" t="n">
        <v>87</v>
      </c>
      <c r="D88" s="9" t="inlineStr">
        <is>
          <t>1865451</t>
        </is>
      </c>
      <c r="E88" s="1" t="n">
        <v>42415</v>
      </c>
      <c r="F88" s="1" t="n">
        <v>42413</v>
      </c>
      <c r="G88" s="1">
        <f>CONCATENATE(H88,": ",J88)</f>
        <v/>
      </c>
      <c r="H88" t="inlineStr">
        <is>
          <t>Reichelt Elektronik GmbH &amp; Co. KG, Elektronikring 1, 26452 Sande, Deutschand</t>
        </is>
      </c>
      <c r="I88" t="inlineStr">
        <is>
          <t>DE259817039</t>
        </is>
      </c>
      <c r="J88" t="inlineStr">
        <is>
          <t>4 TB Samsung D3 Station USB 3.0</t>
        </is>
      </c>
      <c r="N88">
        <f>(IF(AND(K88&lt;&gt;"",ABS(T88)&gt;400),TRUE,FALSE))</f>
        <v/>
      </c>
      <c r="O88" s="36" t="n">
        <v>123.69</v>
      </c>
      <c r="P88" s="51" t="n">
        <v>1</v>
      </c>
      <c r="Q88" s="27" t="n">
        <v>0</v>
      </c>
      <c r="R88" s="237">
        <f>O88*Q88/100</f>
        <v/>
      </c>
      <c r="S88" s="237">
        <f>P88*R88</f>
        <v/>
      </c>
      <c r="T88" s="208">
        <f>O88*P88</f>
        <v/>
      </c>
      <c r="U88" s="251">
        <f>O88+R88</f>
        <v/>
      </c>
      <c r="V88" s="251">
        <f>T88+S88</f>
        <v/>
      </c>
      <c r="W88" s="35">
        <f>voranmeldefrist_vierteljaehrlich(F88)</f>
        <v/>
      </c>
      <c r="X88" s="35" t="n">
        <v>42499</v>
      </c>
      <c r="Y88" s="27" t="n">
        <v>20</v>
      </c>
      <c r="Z88" s="210">
        <f>IF(N88=TRUE,T88/K88,T88)</f>
        <v/>
      </c>
      <c r="AA88" s="237">
        <f>Y88/100*V88</f>
        <v/>
      </c>
      <c r="AB88">
        <f>IF(AND(Y88&gt;0,Q88=Y88),TRUE,FALSE)</f>
        <v/>
      </c>
    </row>
    <row r="89">
      <c r="A89" t="n">
        <v>88</v>
      </c>
      <c r="D89" s="9" t="inlineStr">
        <is>
          <t>CXX4421</t>
        </is>
      </c>
      <c r="E89" s="1" t="n">
        <v>42416</v>
      </c>
      <c r="F89" s="1" t="n">
        <v>42417</v>
      </c>
      <c r="G89" s="1">
        <f>CONCATENATE(H89,": ",J89)</f>
        <v/>
      </c>
      <c r="H89" t="inlineStr">
        <is>
          <t>computeruniverse GmbH, Grüner Weg 14, 61169 Friedberg, Deutschland</t>
        </is>
      </c>
      <c r="I89" t="inlineStr">
        <is>
          <t>DE812826949</t>
        </is>
      </c>
      <c r="J89" t="inlineStr">
        <is>
          <t>DeLOCK SATA Kabel, Crucial BX200 SSD, Zyxel GS-1050BV3 Switch</t>
        </is>
      </c>
      <c r="N89">
        <f>(IF(AND(K89&lt;&gt;"",ABS(T89)&gt;400),TRUE,FALSE))</f>
        <v/>
      </c>
      <c r="O89" s="36" t="n">
        <v>85.41</v>
      </c>
      <c r="P89" s="51" t="n">
        <v>1</v>
      </c>
      <c r="Q89" s="27" t="n">
        <v>0</v>
      </c>
      <c r="R89" s="237">
        <f>O89*Q89/100</f>
        <v/>
      </c>
      <c r="S89" s="237">
        <f>P89*R89</f>
        <v/>
      </c>
      <c r="T89" s="208">
        <f>O89*P89</f>
        <v/>
      </c>
      <c r="U89" s="251">
        <f>O89+R89</f>
        <v/>
      </c>
      <c r="V89" s="251">
        <f>T89+S89</f>
        <v/>
      </c>
      <c r="W89" s="35">
        <f>voranmeldefrist_vierteljaehrlich(F89)</f>
        <v/>
      </c>
      <c r="X89" s="35" t="n">
        <v>42499</v>
      </c>
      <c r="Y89" s="27" t="n">
        <v>20</v>
      </c>
      <c r="Z89" s="210">
        <f>IF(N89=TRUE,T89/K89,T89)</f>
        <v/>
      </c>
      <c r="AA89" s="237">
        <f>Y89/100*V89</f>
        <v/>
      </c>
      <c r="AB89">
        <f>IF(AND(Y89&gt;0,Q89=Y89),TRUE,FALSE)</f>
        <v/>
      </c>
    </row>
    <row r="90">
      <c r="A90" t="n">
        <v>89</v>
      </c>
      <c r="D90" s="9" t="inlineStr">
        <is>
          <t>2470919447</t>
        </is>
      </c>
      <c r="E90" s="1" t="n">
        <v>42420</v>
      </c>
      <c r="F90" s="1" t="n">
        <v>42422</v>
      </c>
      <c r="G90" s="1">
        <f>CONCATENATE(H90,": ",J90)</f>
        <v/>
      </c>
      <c r="H90" t="inlineStr">
        <is>
          <t>Microsoft Luxembourg Sàrl, 23-29, Rives de Clausen, L-2165 Luxembourg, Luxembourg, USt-IdNr.: LU19878750</t>
        </is>
      </c>
      <c r="I90" s="3" t="inlineStr">
        <is>
          <t>ATU44846609</t>
        </is>
      </c>
      <c r="J90" t="inlineStr">
        <is>
          <t>Office 365</t>
        </is>
      </c>
      <c r="N90">
        <f>(IF(AND(K90&lt;&gt;"",ABS(T90)&gt;400),TRUE,FALSE))</f>
        <v/>
      </c>
      <c r="O90" s="36" t="n">
        <v>5.83</v>
      </c>
      <c r="P90" s="51" t="n">
        <v>1</v>
      </c>
      <c r="Q90" s="27" t="n">
        <v>20</v>
      </c>
      <c r="R90" s="237">
        <f>O90*Q90/100</f>
        <v/>
      </c>
      <c r="S90" s="237">
        <f>P90*R90</f>
        <v/>
      </c>
      <c r="T90" s="208">
        <f>O90*P90</f>
        <v/>
      </c>
      <c r="U90" s="251">
        <f>O90+R90</f>
        <v/>
      </c>
      <c r="V90" s="251">
        <f>T90+S90</f>
        <v/>
      </c>
      <c r="W90" s="35">
        <f>voranmeldefrist_vierteljaehrlich(F90)</f>
        <v/>
      </c>
      <c r="X90" s="35" t="n">
        <v>42499</v>
      </c>
      <c r="Z90" s="210">
        <f>IF(N90=TRUE,T90/K90,T90)</f>
        <v/>
      </c>
      <c r="AA90" s="237">
        <f>Y90/100*V90</f>
        <v/>
      </c>
      <c r="AB90">
        <f>IF(AND(Y90&gt;0,Q90=Y90),TRUE,FALSE)</f>
        <v/>
      </c>
    </row>
    <row r="91">
      <c r="A91" t="n">
        <v>90</v>
      </c>
      <c r="D91" s="9" t="inlineStr">
        <is>
          <t>124643/Bon 5150/Filiale 054/1/Maestro Beleg 039118</t>
        </is>
      </c>
      <c r="E91" s="1" t="n">
        <v>42424</v>
      </c>
      <c r="F91" s="1" t="n">
        <v>42424</v>
      </c>
      <c r="G91" s="1">
        <f>CONCATENATE(H91,": ",J91)</f>
        <v/>
      </c>
      <c r="H91" t="inlineStr">
        <is>
          <t>Hartlauer Handelsges.m.b.H., Wipplingerstr. 15, 1010 Wien</t>
        </is>
      </c>
      <c r="I91" t="inlineStr">
        <is>
          <t>ATU24200102</t>
        </is>
      </c>
      <c r="J91" t="inlineStr">
        <is>
          <t>cBird elektronische Kassa</t>
        </is>
      </c>
      <c r="N91">
        <f>(IF(AND(K91&lt;&gt;"",ABS(T91)&gt;400),TRUE,FALSE))</f>
        <v/>
      </c>
      <c r="O91" s="36" t="n">
        <v>166.62</v>
      </c>
      <c r="P91" s="51" t="n">
        <v>1</v>
      </c>
      <c r="Q91" s="27" t="n">
        <v>20</v>
      </c>
      <c r="R91" s="237" t="n">
        <v>33.33</v>
      </c>
      <c r="S91" s="237">
        <f>P91*R91</f>
        <v/>
      </c>
      <c r="T91" s="208">
        <f>O91*P91</f>
        <v/>
      </c>
      <c r="U91" s="251">
        <f>O91+R91</f>
        <v/>
      </c>
      <c r="V91" s="251">
        <f>T91+S91</f>
        <v/>
      </c>
      <c r="W91" s="35">
        <f>voranmeldefrist_vierteljaehrlich(F91)</f>
        <v/>
      </c>
      <c r="X91" s="35" t="n">
        <v>42499</v>
      </c>
      <c r="Z91" s="210">
        <f>IF(N92=TRUE,T92/K92,T92)</f>
        <v/>
      </c>
      <c r="AA91" s="237">
        <f>Y91/100*V92</f>
        <v/>
      </c>
      <c r="AB91">
        <f>IF(AND(Y91&gt;0,Q91=Y91),TRUE,FALSE)</f>
        <v/>
      </c>
    </row>
    <row r="92">
      <c r="A92" t="n">
        <v>91</v>
      </c>
      <c r="D92" s="9" t="inlineStr">
        <is>
          <t>6106442838</t>
        </is>
      </c>
      <c r="E92" s="1" t="n">
        <v>42425</v>
      </c>
      <c r="F92" s="1" t="n">
        <v>42436</v>
      </c>
      <c r="G92" s="1">
        <f>CONCATENATE(H92,": ",J92)</f>
        <v/>
      </c>
      <c r="H92" t="inlineStr">
        <is>
          <t>Hutchison Drei Austria GmbH, Brünner Straße 52, 1210 Wien, Österreich</t>
        </is>
      </c>
      <c r="I92" t="inlineStr">
        <is>
          <t>ATU 41029105</t>
        </is>
      </c>
      <c r="J92" t="inlineStr">
        <is>
          <t>Rufnummer 0660 534 59 59</t>
        </is>
      </c>
      <c r="N92">
        <f>(IF(AND(K92&lt;&gt;"",ABS(T92)&gt;400),TRUE,FALSE))</f>
        <v/>
      </c>
      <c r="O92" s="36" t="n">
        <v>15</v>
      </c>
      <c r="P92" s="51" t="n">
        <v>0.6</v>
      </c>
      <c r="Q92" s="27" t="n">
        <v>20</v>
      </c>
      <c r="R92" s="237">
        <f>O92*Q92/100</f>
        <v/>
      </c>
      <c r="S92" s="237">
        <f>P92*R92</f>
        <v/>
      </c>
      <c r="T92" s="208">
        <f>O92*P92</f>
        <v/>
      </c>
      <c r="U92" s="251">
        <f>O92+R92</f>
        <v/>
      </c>
      <c r="V92" s="251">
        <f>T92+S92</f>
        <v/>
      </c>
      <c r="W92" s="35">
        <f>voranmeldefrist_vierteljaehrlich(F92)</f>
        <v/>
      </c>
      <c r="X92" s="35" t="n">
        <v>42499</v>
      </c>
      <c r="Z92" s="210">
        <f>IF(N91=TRUE,T91/K91,T91)</f>
        <v/>
      </c>
      <c r="AA92" s="237">
        <f>Y92/100*V91</f>
        <v/>
      </c>
      <c r="AB92">
        <f>IF(AND(Y92&gt;0,Q92=Y92),TRUE,FALSE)</f>
        <v/>
      </c>
    </row>
    <row r="93">
      <c r="A93" t="n">
        <v>92</v>
      </c>
      <c r="D93" s="9" t="inlineStr">
        <is>
          <t>12040000012263459</t>
        </is>
      </c>
      <c r="E93" s="1" t="n">
        <v>42427</v>
      </c>
      <c r="F93" s="1" t="n">
        <v>42430</v>
      </c>
      <c r="G93" s="1">
        <f>CONCATENATE(H93,": ",J93)</f>
        <v/>
      </c>
      <c r="H93" t="inlineStr">
        <is>
          <t>XING AG, D-20354 Hamburg, Dammtorstrasse 30</t>
        </is>
      </c>
      <c r="I93" s="10" t="inlineStr">
        <is>
          <t>DE 230144235</t>
        </is>
      </c>
      <c r="J93" t="inlineStr">
        <is>
          <t>Xing Premium 3 Monate</t>
        </is>
      </c>
      <c r="N93">
        <f>(IF(AND(K93&lt;&gt;"",ABS(T93)&gt;400),TRUE,FALSE))</f>
        <v/>
      </c>
      <c r="O93" s="36" t="n">
        <v>24.87</v>
      </c>
      <c r="P93" s="51" t="n">
        <v>1</v>
      </c>
      <c r="Q93" s="27" t="n">
        <v>20</v>
      </c>
      <c r="R93" s="237">
        <f>4.98</f>
        <v/>
      </c>
      <c r="S93" s="237">
        <f>P93*R93</f>
        <v/>
      </c>
      <c r="T93" s="208">
        <f>O93*P93</f>
        <v/>
      </c>
      <c r="U93" s="251">
        <f>O93+R93</f>
        <v/>
      </c>
      <c r="V93" s="251">
        <f>T93+S93</f>
        <v/>
      </c>
      <c r="W93" s="35">
        <f>voranmeldefrist_vierteljaehrlich(F93)</f>
        <v/>
      </c>
      <c r="X93" s="35" t="n">
        <v>42499</v>
      </c>
      <c r="Z93" s="210">
        <f>IF(N92=TRUE,T92/K92,T92)</f>
        <v/>
      </c>
      <c r="AA93" s="237">
        <f>Y93/100*V92</f>
        <v/>
      </c>
      <c r="AB93">
        <f>IF(AND(Y93&gt;0,Q93=Y93),TRUE,FALSE)</f>
        <v/>
      </c>
    </row>
    <row r="94">
      <c r="A94" t="n">
        <v>93</v>
      </c>
      <c r="D94" s="9" t="inlineStr">
        <is>
          <t>R0005666345</t>
        </is>
      </c>
      <c r="E94" s="1" t="n">
        <v>42437</v>
      </c>
      <c r="F94" s="1" t="n">
        <v>42439</v>
      </c>
      <c r="G94" s="1">
        <f>CONCATENATE(H94,": ",J94)</f>
        <v/>
      </c>
      <c r="H94" t="inlineStr">
        <is>
          <t>Hetzner Online AG, Industriestr. 25, 91710 Gunzenhausen</t>
        </is>
      </c>
      <c r="I94" s="10" t="inlineStr">
        <is>
          <t>DE812871812</t>
        </is>
      </c>
      <c r="J94" t="inlineStr">
        <is>
          <t>EQ4 Server #50605 30TB 188.40.75.200, 188.40.75.242</t>
        </is>
      </c>
      <c r="N94">
        <f>(IF(AND(K94&lt;&gt;"",ABS(T94)&gt;400),TRUE,FALSE))</f>
        <v/>
      </c>
      <c r="O94" s="36" t="n">
        <v>42.02</v>
      </c>
      <c r="P94" s="51" t="n">
        <v>1</v>
      </c>
      <c r="Q94" s="27" t="n">
        <v>0</v>
      </c>
      <c r="R94" s="237">
        <f>O94*Q94/100</f>
        <v/>
      </c>
      <c r="S94" s="237">
        <f>P94*R94</f>
        <v/>
      </c>
      <c r="T94" s="208">
        <f>O94*P94</f>
        <v/>
      </c>
      <c r="U94" s="251">
        <f>O94+R94</f>
        <v/>
      </c>
      <c r="V94" s="251">
        <f>T94+S94</f>
        <v/>
      </c>
      <c r="W94" s="35">
        <f>voranmeldefrist_vierteljaehrlich(F94)</f>
        <v/>
      </c>
      <c r="X94" s="35" t="n">
        <v>42499</v>
      </c>
      <c r="Y94" s="27" t="n">
        <v>20</v>
      </c>
      <c r="Z94" s="210">
        <f>IF(N94=TRUE,T94/K94,T94)</f>
        <v/>
      </c>
      <c r="AA94" s="237">
        <f>Y94/100*V94</f>
        <v/>
      </c>
      <c r="AB94">
        <f>IF(AND(Y94&gt;0,Q94=Y94),TRUE,FALSE)</f>
        <v/>
      </c>
    </row>
    <row r="95">
      <c r="A95" t="n">
        <v>94</v>
      </c>
      <c r="D95" s="9" t="inlineStr">
        <is>
          <t>9216237576</t>
        </is>
      </c>
      <c r="E95" s="1" t="n">
        <v>42436</v>
      </c>
      <c r="F95" s="1" t="n">
        <v>42435</v>
      </c>
      <c r="G95" s="1">
        <f>CONCATENATE(H95,": ",J95)</f>
        <v/>
      </c>
      <c r="H95" t="inlineStr">
        <is>
          <t>Vistaprint B.V., Hudsonweg 8, 5928 LW Venlo, Niederlande</t>
        </is>
      </c>
      <c r="I95" s="10" t="inlineStr">
        <is>
          <t>ATU62044549</t>
        </is>
      </c>
      <c r="J95" t="inlineStr">
        <is>
          <t>Visitenkarten 1x100</t>
        </is>
      </c>
      <c r="N95">
        <f>(IF(AND(K95&lt;&gt;"",ABS(T95)&gt;400),TRUE,FALSE))</f>
        <v/>
      </c>
      <c r="O95" s="36" t="n">
        <v>34.97</v>
      </c>
      <c r="P95" s="51" t="n">
        <v>1</v>
      </c>
      <c r="Q95" s="27" t="n">
        <v>20</v>
      </c>
      <c r="R95" s="237" t="n">
        <v>7</v>
      </c>
      <c r="S95" s="237">
        <f>P95*R95</f>
        <v/>
      </c>
      <c r="T95" s="208">
        <f>O95*P95</f>
        <v/>
      </c>
      <c r="U95" s="251">
        <f>O95+R95</f>
        <v/>
      </c>
      <c r="V95" s="251">
        <f>T95+S95</f>
        <v/>
      </c>
      <c r="W95" s="35">
        <f>voranmeldefrist_vierteljaehrlich(F95)</f>
        <v/>
      </c>
      <c r="X95" s="35" t="n">
        <v>42499</v>
      </c>
      <c r="Z95" s="210">
        <f>IF(N95=TRUE,T95/K95,T95)</f>
        <v/>
      </c>
      <c r="AA95" s="237">
        <f>Y95/100*V94</f>
        <v/>
      </c>
      <c r="AB95">
        <f>IF(AND(Y95&gt;0,Q95=Y95),TRUE,FALSE)</f>
        <v/>
      </c>
    </row>
    <row r="96">
      <c r="A96" t="n">
        <v>95</v>
      </c>
      <c r="D96" s="9" t="inlineStr">
        <is>
          <t>2707719875</t>
        </is>
      </c>
      <c r="E96" s="1" t="n">
        <v>42449</v>
      </c>
      <c r="F96" s="1" t="n">
        <v>42450</v>
      </c>
      <c r="G96" s="1">
        <f>CONCATENATE(H96,": ",J96)</f>
        <v/>
      </c>
      <c r="H96" t="inlineStr">
        <is>
          <t>Microsoft Luxembourg Sàrl, 23-29, Rives de Clausen, L-2165 Luxembourg, Luxembourg, USt-IdNr.: LU19878750</t>
        </is>
      </c>
      <c r="N96">
        <f>(IF(AND(K96&lt;&gt;"",ABS(T96)&gt;400),TRUE,FALSE))</f>
        <v/>
      </c>
      <c r="O96" s="36" t="n">
        <v>5.83</v>
      </c>
      <c r="P96" s="51" t="n">
        <v>1</v>
      </c>
      <c r="Q96" s="27" t="n">
        <v>20</v>
      </c>
      <c r="R96" s="237">
        <f>O96*Q96/100</f>
        <v/>
      </c>
      <c r="S96" s="237">
        <f>P96*R96</f>
        <v/>
      </c>
      <c r="T96" s="208">
        <f>O96*P96</f>
        <v/>
      </c>
      <c r="U96" s="251">
        <f>O96+R96</f>
        <v/>
      </c>
      <c r="V96" s="251">
        <f>T96+S96</f>
        <v/>
      </c>
      <c r="W96" s="35">
        <f>voranmeldefrist_vierteljaehrlich(F96)</f>
        <v/>
      </c>
      <c r="X96" s="35" t="n">
        <v>42499</v>
      </c>
      <c r="Z96" s="210">
        <f>IF(N96=TRUE,T96/K96,T96)</f>
        <v/>
      </c>
      <c r="AA96" s="237">
        <f>Y96/100*V96</f>
        <v/>
      </c>
      <c r="AB96">
        <f>IF(AND(Y96&gt;0,Q96=Y96),TRUE,FALSE)</f>
        <v/>
      </c>
    </row>
    <row r="97">
      <c r="A97" t="n">
        <v>96</v>
      </c>
      <c r="D97" s="9" t="inlineStr">
        <is>
          <t>RE0368427</t>
        </is>
      </c>
      <c r="E97" s="1" t="n">
        <v>42451</v>
      </c>
      <c r="F97" s="1" t="n">
        <v>42453</v>
      </c>
      <c r="G97" s="1">
        <f>CONCATENATE(H97,": ",J97)</f>
        <v/>
      </c>
      <c r="H97" t="inlineStr">
        <is>
          <t>easyname GmbH, Fernkorngasse 10/3/501, 1110 Wien</t>
        </is>
      </c>
      <c r="I97" t="inlineStr">
        <is>
          <t>ATU68122177</t>
        </is>
      </c>
      <c r="J97" t="inlineStr">
        <is>
          <t>Domain kolbitsch.eu</t>
        </is>
      </c>
      <c r="N97">
        <f>(IF(AND(K97&lt;&gt;"",ABS(T97)&gt;400),TRUE,FALSE))</f>
        <v/>
      </c>
      <c r="O97" s="36" t="n">
        <v>12.42</v>
      </c>
      <c r="P97" s="51" t="n">
        <v>1</v>
      </c>
      <c r="Q97" s="27" t="n">
        <v>20</v>
      </c>
      <c r="R97" s="237">
        <f>O97*Q97/100</f>
        <v/>
      </c>
      <c r="S97" s="237">
        <f>P97*R97</f>
        <v/>
      </c>
      <c r="T97" s="208">
        <f>O97*P97</f>
        <v/>
      </c>
      <c r="U97" s="251">
        <f>O97+R97</f>
        <v/>
      </c>
      <c r="V97" s="251">
        <f>T97+S97</f>
        <v/>
      </c>
      <c r="W97" s="35">
        <f>voranmeldefrist_vierteljaehrlich(F97)</f>
        <v/>
      </c>
      <c r="X97" s="35" t="n">
        <v>42499</v>
      </c>
      <c r="Z97" s="210">
        <f>IF(N97=TRUE,T97/K97,T97)</f>
        <v/>
      </c>
      <c r="AA97" s="237">
        <f>Y97/100*V97</f>
        <v/>
      </c>
      <c r="AB97">
        <f>IF(AND(Y97&gt;0,Q97=Y97),TRUE,FALSE)</f>
        <v/>
      </c>
    </row>
    <row r="98">
      <c r="A98" t="n">
        <v>97</v>
      </c>
      <c r="D98" s="9" t="inlineStr">
        <is>
          <t>6108264614</t>
        </is>
      </c>
      <c r="E98" s="1" t="n">
        <v>42453</v>
      </c>
      <c r="F98" s="1" t="n">
        <v>42461</v>
      </c>
      <c r="G98" s="1">
        <f>CONCATENATE(H98,": ",J98)</f>
        <v/>
      </c>
      <c r="H98" t="inlineStr">
        <is>
          <t>Hutchison Drei Austria GmbH, Brünner Straße 52, 1210 Wien, Österreich</t>
        </is>
      </c>
      <c r="J98" t="inlineStr">
        <is>
          <t>Rufnummer 0660 534 59 59</t>
        </is>
      </c>
      <c r="N98">
        <f>(IF(AND(K98&lt;&gt;"",ABS(T98)&gt;400),TRUE,FALSE))</f>
        <v/>
      </c>
      <c r="O98" s="36" t="n">
        <v>15</v>
      </c>
      <c r="P98" s="51" t="n">
        <v>1</v>
      </c>
      <c r="Q98" s="27" t="n">
        <v>20</v>
      </c>
      <c r="R98" s="237">
        <f>O98*Q98/100</f>
        <v/>
      </c>
      <c r="S98" s="237">
        <f>P98*R98</f>
        <v/>
      </c>
      <c r="T98" s="208">
        <f>O98*P98</f>
        <v/>
      </c>
      <c r="U98" s="251">
        <f>O98+R98</f>
        <v/>
      </c>
      <c r="V98" s="251">
        <f>T98+S98</f>
        <v/>
      </c>
      <c r="W98" s="35">
        <f>voranmeldefrist_vierteljaehrlich(F98)</f>
        <v/>
      </c>
      <c r="X98" s="35" t="n">
        <v>42600</v>
      </c>
      <c r="Z98" s="210">
        <f>IF(N98=TRUE,T98/K98,T98)</f>
        <v/>
      </c>
      <c r="AA98" s="237">
        <f>Y98/100*V98</f>
        <v/>
      </c>
      <c r="AB98">
        <f>IF(AND(Y98&gt;0,Q98=Y98),TRUE,FALSE)</f>
        <v/>
      </c>
    </row>
    <row r="99">
      <c r="A99" t="n">
        <v>98</v>
      </c>
      <c r="D99" s="9" t="inlineStr">
        <is>
          <t>EUVINS1-OFS-CZ-22105214</t>
        </is>
      </c>
      <c r="E99" s="1" t="n">
        <v>42460</v>
      </c>
      <c r="F99" s="1" t="n">
        <v>42461</v>
      </c>
      <c r="G99" s="1">
        <f>CONCATENATE(H99,": ",J99)</f>
        <v/>
      </c>
      <c r="H99" t="inlineStr">
        <is>
          <t>Amazon EU Sàrl, 5 Rue Plaetis, L-2338, Luxemburg</t>
        </is>
      </c>
      <c r="I99" s="10" t="inlineStr">
        <is>
          <t>ATU62353134</t>
        </is>
      </c>
      <c r="J99" t="inlineStr">
        <is>
          <t>Lenovo TAB 2 A10-70F</t>
        </is>
      </c>
      <c r="K99" s="16" t="n">
        <v>3</v>
      </c>
      <c r="N99">
        <f>(IF(AND(K99&lt;&gt;"",ABS(T99)&gt;400),TRUE,FALSE))</f>
        <v/>
      </c>
      <c r="O99" s="36" t="n">
        <v>184.03</v>
      </c>
      <c r="P99" s="51" t="n">
        <v>1</v>
      </c>
      <c r="Q99" s="27" t="n">
        <v>20</v>
      </c>
      <c r="R99" s="237">
        <f>O99*Q99/100</f>
        <v/>
      </c>
      <c r="S99" s="237">
        <f>P99*R99</f>
        <v/>
      </c>
      <c r="T99" s="208">
        <f>O99*P99</f>
        <v/>
      </c>
      <c r="U99" s="251">
        <f>O99+R99</f>
        <v/>
      </c>
      <c r="V99" s="251">
        <f>T99+S99</f>
        <v/>
      </c>
      <c r="W99" s="35">
        <f>voranmeldefrist_vierteljaehrlich(F99)</f>
        <v/>
      </c>
      <c r="X99" s="35" t="n">
        <v>42600</v>
      </c>
      <c r="Z99" s="210">
        <f>IF(N99=TRUE,T99/K99,T99)</f>
        <v/>
      </c>
      <c r="AA99" s="237">
        <f>Y99/100*V99</f>
        <v/>
      </c>
      <c r="AB99">
        <f>IF(AND(Y99&gt;0,Q99=Y99),TRUE,FALSE)</f>
        <v/>
      </c>
    </row>
    <row r="100" customFormat="1" s="22">
      <c r="A100" s="22" t="n">
        <v>99</v>
      </c>
      <c r="B100" s="54" t="n"/>
      <c r="C100" s="54" t="n"/>
      <c r="D100" s="23" t="inlineStr">
        <is>
          <t>14000231764/40/2016</t>
        </is>
      </c>
      <c r="E100" s="24" t="n">
        <v>42461</v>
      </c>
      <c r="F100" s="24" t="n">
        <v>42475</v>
      </c>
      <c r="G100" s="1">
        <f>CONCATENATE(H100,": ",J100)</f>
        <v/>
      </c>
      <c r="H100" s="22" t="inlineStr">
        <is>
          <t>MONTANA Energie-Handel AT GmbH</t>
        </is>
      </c>
      <c r="J100" s="22" t="inlineStr">
        <is>
          <t>Teilzahlungsbetrag Gas 140000099</t>
        </is>
      </c>
      <c r="K100" s="25" t="n"/>
      <c r="L100" s="25" t="n"/>
      <c r="M100" s="25" t="n"/>
      <c r="N100" s="22">
        <f>(IF(AND(K100&lt;&gt;"",ABS(T100)&gt;400),TRUE,FALSE))</f>
        <v/>
      </c>
      <c r="O100" s="36" t="n">
        <v>52.33</v>
      </c>
      <c r="P100" s="51">
        <f>Arbeitszimmer!$B$3</f>
        <v/>
      </c>
      <c r="Q100" s="27" t="n">
        <v>20</v>
      </c>
      <c r="R100" s="237">
        <f>O100*Q100/100</f>
        <v/>
      </c>
      <c r="S100" s="237">
        <f>P100*R100</f>
        <v/>
      </c>
      <c r="T100" s="208">
        <f>O100*P100</f>
        <v/>
      </c>
      <c r="U100" s="251">
        <f>O100+R100</f>
        <v/>
      </c>
      <c r="V100" s="251">
        <f>T100+S100</f>
        <v/>
      </c>
      <c r="W100" s="35">
        <f>voranmeldefrist_vierteljaehrlich(F100)</f>
        <v/>
      </c>
      <c r="X100" s="35" t="n">
        <v>42600</v>
      </c>
      <c r="Y100" s="27" t="n"/>
      <c r="Z100" s="210">
        <f>IF(N100=TRUE,T100/K100,T100)</f>
        <v/>
      </c>
      <c r="AA100" s="237">
        <f>Y100/100*V100</f>
        <v/>
      </c>
      <c r="AB100">
        <f>IF(AND(Y100&gt;0,Q100=Y100),TRUE,FALSE)</f>
        <v/>
      </c>
    </row>
    <row r="101">
      <c r="A101" t="n">
        <v>100</v>
      </c>
      <c r="D101" s="9" t="inlineStr">
        <is>
          <t>EUVINS1-VCN-DE-67614942</t>
        </is>
      </c>
      <c r="E101" s="1" t="n">
        <v>42460</v>
      </c>
      <c r="F101" s="1" t="n">
        <v>42472</v>
      </c>
      <c r="G101" s="1">
        <f>CONCATENATE(H101,": ",J101)</f>
        <v/>
      </c>
      <c r="H101" t="inlineStr">
        <is>
          <t>Amazon EU Sàrl, 5 Rue Plaetis, L-2338, Luxemburg</t>
        </is>
      </c>
      <c r="I101" s="10" t="inlineStr">
        <is>
          <t>ATU62353134</t>
        </is>
      </c>
      <c r="J101" t="inlineStr">
        <is>
          <t>Rückerstattung: Lenovo TAB 2 A10-70F</t>
        </is>
      </c>
      <c r="K101" s="16" t="n">
        <v>3</v>
      </c>
      <c r="N101">
        <f>(IF(AND(K101&lt;&gt;"",ABS(T101)&gt;400),TRUE,FALSE))</f>
        <v/>
      </c>
      <c r="O101" s="36" t="n">
        <v>-184.03</v>
      </c>
      <c r="P101" s="51" t="n">
        <v>1</v>
      </c>
      <c r="Q101" s="27" t="n">
        <v>20</v>
      </c>
      <c r="R101" s="237">
        <f>O101*Q101/100</f>
        <v/>
      </c>
      <c r="S101" s="237">
        <f>P101*R101</f>
        <v/>
      </c>
      <c r="T101" s="208">
        <f>O101*P101</f>
        <v/>
      </c>
      <c r="U101" s="251">
        <f>O101+R101</f>
        <v/>
      </c>
      <c r="V101" s="251">
        <f>T101+S101</f>
        <v/>
      </c>
      <c r="W101" s="35">
        <f>voranmeldefrist_vierteljaehrlich(F101)</f>
        <v/>
      </c>
      <c r="X101" s="35" t="n">
        <v>42600</v>
      </c>
      <c r="Z101" s="210">
        <f>IF(N101=TRUE,T101/K101,T101)</f>
        <v/>
      </c>
      <c r="AA101" s="237">
        <f>Y101/100*V101</f>
        <v/>
      </c>
      <c r="AB101">
        <f>IF(AND(Y101&gt;0,Q101=Y101),TRUE,FALSE)</f>
        <v/>
      </c>
    </row>
    <row r="102">
      <c r="A102" t="n">
        <v>101</v>
      </c>
      <c r="D102" s="9" t="inlineStr">
        <is>
          <t>EUVINS1-OFS-DE-182965008</t>
        </is>
      </c>
      <c r="E102" s="1" t="n">
        <v>42485</v>
      </c>
      <c r="F102" s="1" t="n">
        <v>42487</v>
      </c>
      <c r="G102" s="1">
        <f>CONCATENATE(H102,": ",J102)</f>
        <v/>
      </c>
      <c r="H102" t="inlineStr">
        <is>
          <t>Amazon EU Sàrl, 5 Rue Plaetis, L-2338, Luxemburg</t>
        </is>
      </c>
      <c r="I102" s="10" t="inlineStr">
        <is>
          <t>ATU62353134</t>
        </is>
      </c>
      <c r="J102" t="inlineStr">
        <is>
          <t>Samsung CLT-P406C/ELS Toner Rainbowkit B00Ef´4F1EMK</t>
        </is>
      </c>
      <c r="N102">
        <f>(IF(AND(K102&lt;&gt;"",ABS(T102)&gt;400),TRUE,FALSE))</f>
        <v/>
      </c>
      <c r="O102" s="36" t="n">
        <v>245.22</v>
      </c>
      <c r="P102" s="51" t="n">
        <v>1</v>
      </c>
      <c r="Q102" s="27" t="n">
        <v>20</v>
      </c>
      <c r="R102" s="237">
        <f>O102*Q102/100</f>
        <v/>
      </c>
      <c r="S102" s="237">
        <f>P102*R102</f>
        <v/>
      </c>
      <c r="T102" s="208">
        <f>O102*P102</f>
        <v/>
      </c>
      <c r="U102" s="251">
        <f>O102+R102</f>
        <v/>
      </c>
      <c r="V102" s="251">
        <f>T102+S102</f>
        <v/>
      </c>
      <c r="W102" s="35">
        <f>voranmeldefrist_vierteljaehrlich(F102)</f>
        <v/>
      </c>
      <c r="X102" s="35" t="n">
        <v>42600</v>
      </c>
      <c r="Z102" s="210">
        <f>IF(N102=TRUE,T102/K102,T102)</f>
        <v/>
      </c>
      <c r="AA102" s="237">
        <f>Y102/100*V102</f>
        <v/>
      </c>
      <c r="AB102">
        <f>IF(AND(Y102&gt;0,Q102=Y102),TRUE,FALSE)</f>
        <v/>
      </c>
    </row>
    <row r="103">
      <c r="A103" t="n">
        <v>102</v>
      </c>
      <c r="D103" s="9" t="inlineStr">
        <is>
          <t>150010871465</t>
        </is>
      </c>
      <c r="E103" s="1" t="n">
        <v>42471</v>
      </c>
      <c r="F103" s="1" t="n">
        <v>42469</v>
      </c>
      <c r="G103" s="1">
        <f>CONCATENATE(H103,": ",J103)</f>
        <v/>
      </c>
      <c r="H103" t="inlineStr">
        <is>
          <t>WKO</t>
        </is>
      </c>
      <c r="J103" t="inlineStr">
        <is>
          <t>Grundumlage</t>
        </is>
      </c>
      <c r="N103">
        <f>(IF(AND(K103&lt;&gt;"",ABS(T103)&gt;400),TRUE,FALSE))</f>
        <v/>
      </c>
      <c r="O103" s="36" t="n">
        <v>65</v>
      </c>
      <c r="P103" s="51" t="n">
        <v>1</v>
      </c>
      <c r="Q103" s="27" t="n">
        <v>0</v>
      </c>
      <c r="R103" s="237">
        <f>O103*Q103/100</f>
        <v/>
      </c>
      <c r="S103" s="237">
        <f>P103*R103</f>
        <v/>
      </c>
      <c r="T103" s="208">
        <f>O103*P103</f>
        <v/>
      </c>
      <c r="U103" s="251">
        <f>O103+R103</f>
        <v/>
      </c>
      <c r="V103" s="251">
        <f>T103+S103</f>
        <v/>
      </c>
      <c r="W103" s="35">
        <f>voranmeldefrist_vierteljaehrlich(F103)</f>
        <v/>
      </c>
      <c r="X103" s="35" t="n">
        <v>42600</v>
      </c>
      <c r="Z103" s="210">
        <f>IF(N103=TRUE,T103/K103,T103)</f>
        <v/>
      </c>
      <c r="AA103" s="237">
        <f>Y103/100*V103</f>
        <v/>
      </c>
      <c r="AB103">
        <f>IF(AND(Y103&gt;0,Q103=Y103),TRUE,FALSE)</f>
        <v/>
      </c>
    </row>
    <row r="104">
      <c r="A104" t="n">
        <v>103</v>
      </c>
      <c r="D104" s="9" t="inlineStr">
        <is>
          <t>14000149894/40/2016</t>
        </is>
      </c>
      <c r="E104" s="1" t="n">
        <v>42430</v>
      </c>
      <c r="F104" s="1" t="n">
        <v>42444</v>
      </c>
      <c r="G104" s="1">
        <f>CONCATENATE(H104,": ",J104)</f>
        <v/>
      </c>
      <c r="H104" t="inlineStr">
        <is>
          <t>MONTANA Energie-Handel AT GmbH</t>
        </is>
      </c>
      <c r="J104" t="inlineStr">
        <is>
          <t>Teilzahlungsbetrag Gas 140001498</t>
        </is>
      </c>
      <c r="N104">
        <f>(IF(AND(K104&lt;&gt;"",ABS(T104)&gt;400),TRUE,FALSE))</f>
        <v/>
      </c>
      <c r="O104" s="36" t="n">
        <v>52.5</v>
      </c>
      <c r="P104" s="51">
        <f>Arbeitszimmer!$B$3</f>
        <v/>
      </c>
      <c r="Q104" s="27" t="n">
        <v>20</v>
      </c>
      <c r="R104" s="237">
        <f>O104*Q104/100</f>
        <v/>
      </c>
      <c r="S104" s="237">
        <f>P104*R104</f>
        <v/>
      </c>
      <c r="T104" s="208">
        <f>O104*P104</f>
        <v/>
      </c>
      <c r="U104" s="251">
        <f>O104+R104</f>
        <v/>
      </c>
      <c r="V104" s="251">
        <f>T104+S104</f>
        <v/>
      </c>
      <c r="W104" s="35">
        <f>voranmeldefrist_vierteljaehrlich(F104)</f>
        <v/>
      </c>
      <c r="X104" s="35" t="n">
        <v>42499</v>
      </c>
      <c r="Z104" s="210">
        <f>IF(N104=TRUE,T104/K104,T104)</f>
        <v/>
      </c>
      <c r="AA104" s="237">
        <f>Y104/100*V104</f>
        <v/>
      </c>
      <c r="AB104">
        <f>IF(AND(Y104&gt;0,Q104=Y104),TRUE,FALSE)</f>
        <v/>
      </c>
    </row>
    <row r="105">
      <c r="A105" t="n">
        <v>104</v>
      </c>
      <c r="D105" s="9" t="inlineStr">
        <is>
          <t>14000069801/40/2016</t>
        </is>
      </c>
      <c r="E105" s="1" t="n">
        <v>42401</v>
      </c>
      <c r="F105" s="1" t="n">
        <v>42415</v>
      </c>
      <c r="G105" s="1">
        <f>CONCATENATE(H105,": ",J105)</f>
        <v/>
      </c>
      <c r="H105" t="inlineStr">
        <is>
          <t>MONTANA Energie-Handel AT GmbH</t>
        </is>
      </c>
      <c r="J105" t="inlineStr">
        <is>
          <t>Teilzahlungsbetrag Gas 140000698</t>
        </is>
      </c>
      <c r="N105">
        <f>(IF(AND(K105&lt;&gt;"",ABS(T105)&gt;400),TRUE,FALSE))</f>
        <v/>
      </c>
      <c r="O105" s="36" t="n">
        <v>52.5</v>
      </c>
      <c r="P105" s="51">
        <f>Arbeitszimmer!$B$3</f>
        <v/>
      </c>
      <c r="Q105" s="27" t="n">
        <v>20</v>
      </c>
      <c r="R105" s="237">
        <f>O105*Q105/100</f>
        <v/>
      </c>
      <c r="S105" s="237">
        <f>P105*R105</f>
        <v/>
      </c>
      <c r="T105" s="208">
        <f>O105*P105</f>
        <v/>
      </c>
      <c r="U105" s="251">
        <f>O105+R105</f>
        <v/>
      </c>
      <c r="V105" s="251">
        <f>T105+S105</f>
        <v/>
      </c>
      <c r="W105" s="35">
        <f>voranmeldefrist_vierteljaehrlich(F105)</f>
        <v/>
      </c>
      <c r="X105" s="35" t="n">
        <v>42499</v>
      </c>
      <c r="Z105" s="210">
        <f>IF(N105=TRUE,T105/K105,T105)</f>
        <v/>
      </c>
      <c r="AA105" s="237">
        <f>Y105/100*V105</f>
        <v/>
      </c>
      <c r="AB105">
        <f>IF(AND(Y105&gt;0,Q105=Y105),TRUE,FALSE)</f>
        <v/>
      </c>
    </row>
    <row r="106">
      <c r="A106" t="n">
        <v>105</v>
      </c>
      <c r="D106" s="9" t="inlineStr">
        <is>
          <t>6110088329</t>
        </is>
      </c>
      <c r="E106" s="1" t="n">
        <v>42486</v>
      </c>
      <c r="F106" s="1" t="n">
        <v>42496</v>
      </c>
      <c r="G106" s="1">
        <f>CONCATENATE(H106,": ",J106)</f>
        <v/>
      </c>
      <c r="H106" t="inlineStr">
        <is>
          <t>Hutchison Drei Austria GmbH, Brünner Straße 52, 1210 Wien, Österreich</t>
        </is>
      </c>
      <c r="J106" t="inlineStr">
        <is>
          <t>Rufnummer 0660 534 59 59</t>
        </is>
      </c>
      <c r="N106">
        <f>(IF(AND(K106&lt;&gt;"",ABS(T106)&gt;400),TRUE,FALSE))</f>
        <v/>
      </c>
      <c r="O106" s="36" t="n">
        <v>15</v>
      </c>
      <c r="P106" s="51" t="n">
        <v>1</v>
      </c>
      <c r="Q106" s="27" t="n">
        <v>20</v>
      </c>
      <c r="R106" s="237">
        <f>O106*Q106/100</f>
        <v/>
      </c>
      <c r="S106" s="237">
        <f>P106*R106</f>
        <v/>
      </c>
      <c r="T106" s="208">
        <f>O106*P106</f>
        <v/>
      </c>
      <c r="U106" s="251">
        <f>O106+R106</f>
        <v/>
      </c>
      <c r="V106" s="251">
        <f>T106+S106</f>
        <v/>
      </c>
      <c r="W106" s="35">
        <f>voranmeldefrist_vierteljaehrlich(F106)</f>
        <v/>
      </c>
      <c r="X106" s="35" t="n">
        <v>42600</v>
      </c>
      <c r="Z106" s="210">
        <f>IF(N106=TRUE,T106/K106,T106)</f>
        <v/>
      </c>
      <c r="AA106" s="237">
        <f>Y106/100*V106</f>
        <v/>
      </c>
      <c r="AB106">
        <f>IF(AND(Y106&gt;0,Q106=Y106),TRUE,FALSE)</f>
        <v/>
      </c>
    </row>
    <row r="107">
      <c r="A107" t="n">
        <v>106</v>
      </c>
      <c r="D107" s="9" t="inlineStr">
        <is>
          <t>R0005749273</t>
        </is>
      </c>
      <c r="E107" s="1" t="n">
        <v>42468</v>
      </c>
      <c r="F107" s="1" t="n">
        <v>42472</v>
      </c>
      <c r="G107" s="1">
        <f>CONCATENATE(H107,": ",J107)</f>
        <v/>
      </c>
      <c r="H107" t="inlineStr">
        <is>
          <t>Hetzner Online AG, Industriestr. 25, 91710 Gunzenhausen</t>
        </is>
      </c>
      <c r="I107" s="10" t="inlineStr">
        <is>
          <t>DE812871812</t>
        </is>
      </c>
      <c r="J107" t="inlineStr">
        <is>
          <t>EQ4 Server #50605 30TB 188.40.75.200, 188.40.75.242</t>
        </is>
      </c>
      <c r="N107">
        <f>(IF(AND(K107&lt;&gt;"",ABS(T107)&gt;400),TRUE,FALSE))</f>
        <v/>
      </c>
      <c r="O107" s="36" t="n">
        <v>42.02</v>
      </c>
      <c r="P107" s="51" t="n">
        <v>1</v>
      </c>
      <c r="Q107" s="27" t="n">
        <v>0</v>
      </c>
      <c r="R107" s="237">
        <f>O107*Q107/100</f>
        <v/>
      </c>
      <c r="S107" s="237">
        <f>P107*R107</f>
        <v/>
      </c>
      <c r="T107" s="208">
        <f>O107*P107</f>
        <v/>
      </c>
      <c r="U107" s="251">
        <f>O107+R107</f>
        <v/>
      </c>
      <c r="V107" s="251">
        <f>T107+S107</f>
        <v/>
      </c>
      <c r="W107" s="35">
        <f>voranmeldefrist_vierteljaehrlich(F107)</f>
        <v/>
      </c>
      <c r="X107" s="35" t="n">
        <v>42600</v>
      </c>
      <c r="Y107" s="27" t="n">
        <v>20</v>
      </c>
      <c r="Z107" s="210">
        <f>IF(N107=TRUE,T107/K107,T107)</f>
        <v/>
      </c>
      <c r="AA107" s="237">
        <f>Y107/100*V107</f>
        <v/>
      </c>
      <c r="AB107">
        <f>IF(AND(Y107&gt;0,Q107=Y107),TRUE,FALSE)</f>
        <v/>
      </c>
    </row>
    <row r="108">
      <c r="A108" t="n">
        <v>107</v>
      </c>
      <c r="D108" s="9" t="inlineStr">
        <is>
          <t>2956802547</t>
        </is>
      </c>
      <c r="E108" s="1" t="n">
        <v>42480</v>
      </c>
      <c r="F108" s="1" t="n">
        <v>42481</v>
      </c>
      <c r="G108" s="1">
        <f>CONCATENATE(H108,": ",J108)</f>
        <v/>
      </c>
      <c r="H108" t="inlineStr">
        <is>
          <t>Microsoft Luxembourg Sàrl, 23-29, Rives de Clausen, L-2165 Luxembourg, Luxembourg, USt-IdNr.: LU19878750</t>
        </is>
      </c>
      <c r="N108">
        <f>(IF(AND(K108&lt;&gt;"",ABS(T108)&gt;400),TRUE,FALSE))</f>
        <v/>
      </c>
      <c r="O108" s="36" t="n">
        <v>5.83</v>
      </c>
      <c r="P108" s="51" t="n">
        <v>1</v>
      </c>
      <c r="Q108" s="27" t="n">
        <v>20</v>
      </c>
      <c r="R108" s="237">
        <f>O108*Q108/100</f>
        <v/>
      </c>
      <c r="S108" s="237">
        <f>P108*R108</f>
        <v/>
      </c>
      <c r="T108" s="208">
        <f>O108*P108</f>
        <v/>
      </c>
      <c r="U108" s="251">
        <f>O108+R108</f>
        <v/>
      </c>
      <c r="V108" s="251">
        <f>T108+S108</f>
        <v/>
      </c>
      <c r="W108" s="35">
        <f>voranmeldefrist_vierteljaehrlich(F108)</f>
        <v/>
      </c>
      <c r="X108" s="35" t="n">
        <v>42600</v>
      </c>
      <c r="Z108" s="210">
        <f>IF(N108=TRUE,T108/K108,T108)</f>
        <v/>
      </c>
      <c r="AA108" s="237">
        <f>Y108/100*V108</f>
        <v/>
      </c>
      <c r="AB108">
        <f>IF(AND(Y108&gt;0,Q108=Y108),TRUE,FALSE)</f>
        <v/>
      </c>
    </row>
    <row r="109">
      <c r="A109" t="n">
        <v>108</v>
      </c>
      <c r="D109" s="9" t="inlineStr">
        <is>
          <t>34001715683/40/2016</t>
        </is>
      </c>
      <c r="E109" s="1" t="n">
        <v>42461</v>
      </c>
      <c r="F109" s="1" t="n">
        <v>42475</v>
      </c>
      <c r="G109" s="1">
        <f>CONCATENATE(H109,": ",J109)</f>
        <v/>
      </c>
      <c r="H109" t="inlineStr">
        <is>
          <t>VERBUND AG, Postfach 8400, 1011 Wien, Österreich</t>
        </is>
      </c>
      <c r="J109" t="inlineStr">
        <is>
          <t>Teilzahlungsbetrag Strom 34001715683</t>
        </is>
      </c>
      <c r="N109">
        <f>(IF(AND(K109&lt;&gt;"",ABS(T109)&gt;400),TRUE,FALSE))</f>
        <v/>
      </c>
      <c r="O109" s="36" t="n">
        <v>137.5</v>
      </c>
      <c r="P109" s="51">
        <f>Arbeitszimmer!$B$3</f>
        <v/>
      </c>
      <c r="Q109" s="27" t="n">
        <v>20</v>
      </c>
      <c r="R109" s="237">
        <f>O109*Q109/100</f>
        <v/>
      </c>
      <c r="S109" s="237">
        <f>P109*R109</f>
        <v/>
      </c>
      <c r="T109" s="208">
        <f>O109*P109</f>
        <v/>
      </c>
      <c r="U109" s="251">
        <f>O109+R109</f>
        <v/>
      </c>
      <c r="V109" s="251">
        <f>T109+S109</f>
        <v/>
      </c>
      <c r="W109" s="35">
        <f>voranmeldefrist_vierteljaehrlich(F109)</f>
        <v/>
      </c>
      <c r="X109" s="35" t="n">
        <v>42600</v>
      </c>
      <c r="Z109" s="210">
        <f>IF(N109=TRUE,T109/K109,T109)</f>
        <v/>
      </c>
      <c r="AA109" s="237">
        <f>Y109/100*V109</f>
        <v/>
      </c>
      <c r="AB109">
        <f>IF(AND(Y109&gt;0,Q109=Y109),TRUE,FALSE)</f>
        <v/>
      </c>
    </row>
    <row r="110">
      <c r="A110" t="n">
        <v>109</v>
      </c>
      <c r="D110" t="n">
        <v>9222286940</v>
      </c>
      <c r="E110" s="1" t="n">
        <v>42500</v>
      </c>
      <c r="F110" s="1" t="n">
        <v>42500</v>
      </c>
      <c r="G110" s="1">
        <f>CONCATENATE(H110,": ",J110)</f>
        <v/>
      </c>
      <c r="H110" t="inlineStr">
        <is>
          <t>Vistaprint B.V., Hudsonweg 8, 5928 LW Venlo, Niederlande</t>
        </is>
      </c>
      <c r="I110" s="10" t="inlineStr">
        <is>
          <t>ATU62044549</t>
        </is>
      </c>
      <c r="J110" t="inlineStr">
        <is>
          <t>Visitenkarten 500 extradick</t>
        </is>
      </c>
      <c r="N110">
        <f>(IF(AND(K110&lt;&gt;"",ABS(T110)&gt;400),TRUE,FALSE))</f>
        <v/>
      </c>
      <c r="O110" s="36" t="n">
        <v>56.55</v>
      </c>
      <c r="P110" s="51" t="n">
        <v>1</v>
      </c>
      <c r="Q110" s="27" t="n">
        <v>20</v>
      </c>
      <c r="R110" s="237" t="n">
        <v>11.3</v>
      </c>
      <c r="S110" s="237">
        <f>P110*R110</f>
        <v/>
      </c>
      <c r="T110" s="208">
        <f>O110*P110</f>
        <v/>
      </c>
      <c r="U110" s="251">
        <f>O110+R110</f>
        <v/>
      </c>
      <c r="V110" s="251">
        <f>T110+S110</f>
        <v/>
      </c>
      <c r="W110" s="35">
        <f>voranmeldefrist_vierteljaehrlich(F110)</f>
        <v/>
      </c>
      <c r="X110" s="35" t="n">
        <v>42600</v>
      </c>
      <c r="Z110" s="210">
        <f>IF(N110=TRUE,T110/K110,T110)</f>
        <v/>
      </c>
      <c r="AA110" s="237">
        <f>Y110/100*V109</f>
        <v/>
      </c>
      <c r="AB110">
        <f>IF(AND(Y110&gt;0,Q110=Y110),TRUE,FALSE)</f>
        <v/>
      </c>
    </row>
    <row r="111">
      <c r="A111" t="n">
        <v>110</v>
      </c>
      <c r="D111" s="9" t="inlineStr">
        <is>
          <t>EUVINS1-OFS-DE-188019392</t>
        </is>
      </c>
      <c r="E111" s="1" t="n">
        <v>42501</v>
      </c>
      <c r="F111" s="1" t="n">
        <v>42503</v>
      </c>
      <c r="G111" s="1">
        <f>CONCATENATE(H111,": ",J111)</f>
        <v/>
      </c>
      <c r="H111" t="inlineStr">
        <is>
          <t>Amazon EU Sàrl, 5 Rue Plaetis, L-2338, Luxemburg</t>
        </is>
      </c>
      <c r="I111" s="10" t="inlineStr">
        <is>
          <t>ATU62353134</t>
        </is>
      </c>
      <c r="J111" t="inlineStr">
        <is>
          <t>Samsung CLX-6260ND/SEE Farblaser-Multifunktionsgerät (Drucken, Scannen, Kopieren, 9.600 x 600 dpi, 512 MB Speicher, 533 MHz Prozessor) | B008I7Z57K</t>
        </is>
      </c>
      <c r="K111" s="16" t="n">
        <v>5</v>
      </c>
      <c r="N111">
        <f>(IF(AND(K111&lt;&gt;"",ABS(T111)&gt;400),TRUE,FALSE))</f>
        <v/>
      </c>
      <c r="O111" s="36" t="n">
        <v>284.87</v>
      </c>
      <c r="P111" s="51" t="n">
        <v>1</v>
      </c>
      <c r="Q111" s="27" t="n">
        <v>20</v>
      </c>
      <c r="R111" s="237">
        <f>O111*Q111/100</f>
        <v/>
      </c>
      <c r="S111" s="237">
        <f>P111*R111</f>
        <v/>
      </c>
      <c r="T111" s="208">
        <f>O111*P111</f>
        <v/>
      </c>
      <c r="U111" s="251">
        <f>O111+R111</f>
        <v/>
      </c>
      <c r="V111" s="251">
        <f>T111+S111</f>
        <v/>
      </c>
      <c r="W111" s="35">
        <f>voranmeldefrist_vierteljaehrlich(F111)</f>
        <v/>
      </c>
      <c r="X111" s="35" t="n">
        <v>42600</v>
      </c>
      <c r="Z111" s="210">
        <f>IF(N111=TRUE,T111/K111,T111)</f>
        <v/>
      </c>
      <c r="AA111" s="237">
        <f>Y111/100*V110</f>
        <v/>
      </c>
      <c r="AB111">
        <f>IF(AND(Y111&gt;0,Q111=Y111),TRUE,FALSE)</f>
        <v/>
      </c>
    </row>
    <row r="112">
      <c r="A112" t="n">
        <v>111</v>
      </c>
      <c r="D112" s="9" t="inlineStr">
        <is>
          <t>EUVINS1-OFS-CZ-26232068</t>
        </is>
      </c>
      <c r="E112" s="1" t="n">
        <v>42508</v>
      </c>
      <c r="F112" s="1" t="n">
        <v>42508</v>
      </c>
      <c r="G112" s="1">
        <f>CONCATENATE(H112,": ",J112)</f>
        <v/>
      </c>
      <c r="H112" t="inlineStr">
        <is>
          <t>Amazon EU Sàrl, 5 Rue Plaetis, L-2338, Luxemburg</t>
        </is>
      </c>
      <c r="I112" s="10" t="inlineStr">
        <is>
          <t>ATU62353134</t>
        </is>
      </c>
      <c r="J112" t="inlineStr">
        <is>
          <t>Zyxel GS-105BV3-EU0101F Metall 5x Switch |
B017JKGBYM; AmazonBasics Vorgeladene Ni-MH-Akkus, AAA
(1.000 Zyklen, typisch 800 mAh, minimal
750 mAh) 4 Stück | B00CWNMW1S</t>
        </is>
      </c>
      <c r="N112" t="b">
        <v>0</v>
      </c>
      <c r="O112" s="36" t="n">
        <v>24.7</v>
      </c>
      <c r="P112" s="51" t="n">
        <v>1</v>
      </c>
      <c r="Q112" s="27" t="n">
        <v>20</v>
      </c>
      <c r="R112" s="237">
        <f>O112*Q112/100</f>
        <v/>
      </c>
      <c r="S112" s="237">
        <f>P112*R112</f>
        <v/>
      </c>
      <c r="T112" s="208">
        <f>O112*P112</f>
        <v/>
      </c>
      <c r="U112" s="251">
        <f>O112+R112</f>
        <v/>
      </c>
      <c r="V112" s="251">
        <f>T112+S112</f>
        <v/>
      </c>
      <c r="W112" s="35">
        <f>voranmeldefrist_vierteljaehrlich(F112)</f>
        <v/>
      </c>
      <c r="X112" s="35" t="n">
        <v>42600</v>
      </c>
      <c r="Z112" s="210">
        <f>IF(N112=TRUE,T112/K112,T112)</f>
        <v/>
      </c>
      <c r="AA112" s="237">
        <f>Y112/100*V111</f>
        <v/>
      </c>
      <c r="AB112">
        <f>IF(AND(Y112&gt;0,Q112=Y112),TRUE,FALSE)</f>
        <v/>
      </c>
    </row>
    <row r="113">
      <c r="A113" t="n">
        <v>112</v>
      </c>
      <c r="D113" s="9" t="inlineStr">
        <is>
          <t>14000314183/40/2016</t>
        </is>
      </c>
      <c r="E113" s="1" t="n">
        <v>42491</v>
      </c>
      <c r="F113" s="1" t="n">
        <v>42507</v>
      </c>
      <c r="G113" s="1">
        <f>CONCATENATE(H113,": ",J113)</f>
        <v/>
      </c>
      <c r="H113" t="inlineStr">
        <is>
          <t>MONTANA Energie-Handel AT GmbH</t>
        </is>
      </c>
      <c r="J113" t="inlineStr">
        <is>
          <t>Teilzahlungsbetrag Gas 140003141</t>
        </is>
      </c>
      <c r="N113">
        <f>(IF(AND(K113&lt;&gt;"",ABS(T113)&gt;400),TRUE,FALSE))</f>
        <v/>
      </c>
      <c r="O113" s="36" t="n">
        <v>52.5</v>
      </c>
      <c r="P113" s="51">
        <f>Arbeitszimmer!$B$3</f>
        <v/>
      </c>
      <c r="Q113" s="27" t="n">
        <v>20</v>
      </c>
      <c r="R113" s="237">
        <f>O113*Q113/100</f>
        <v/>
      </c>
      <c r="S113" s="237">
        <f>P113*R113</f>
        <v/>
      </c>
      <c r="T113" s="208">
        <f>O113*P113</f>
        <v/>
      </c>
      <c r="U113" s="251">
        <f>O113+R113</f>
        <v/>
      </c>
      <c r="V113" s="251">
        <f>T113+S113</f>
        <v/>
      </c>
      <c r="W113" s="35">
        <f>voranmeldefrist_vierteljaehrlich(F113)</f>
        <v/>
      </c>
      <c r="X113" s="35" t="n">
        <v>42600</v>
      </c>
      <c r="Z113" s="210">
        <f>IF(N113=TRUE,T113/K113,T113)</f>
        <v/>
      </c>
      <c r="AA113" s="237">
        <f>Y113/100*V113</f>
        <v/>
      </c>
      <c r="AB113">
        <f>IF(AND(Y113&gt;0,Q113=Y113),TRUE,FALSE)</f>
        <v/>
      </c>
    </row>
    <row r="114">
      <c r="A114" t="n">
        <v>113</v>
      </c>
      <c r="D114" s="9" t="inlineStr">
        <is>
          <t>R0005832877</t>
        </is>
      </c>
      <c r="E114" s="1" t="n">
        <v>42498</v>
      </c>
      <c r="F114" s="1" t="n">
        <v>42500</v>
      </c>
      <c r="G114" s="1">
        <f>CONCATENATE(H114,": ",J114)</f>
        <v/>
      </c>
      <c r="H114" t="inlineStr">
        <is>
          <t>Hetzner Online AG, Industriestr. 25, 91710 Gunzenhausen</t>
        </is>
      </c>
      <c r="I114" s="10" t="inlineStr">
        <is>
          <t>DE812871812</t>
        </is>
      </c>
      <c r="J114" t="inlineStr">
        <is>
          <t>EQ4 Server #50605 30TB 188.40.75.200, 188.40.75.242</t>
        </is>
      </c>
      <c r="N114">
        <f>(IF(AND(K114&lt;&gt;"",ABS(T114)&gt;400),TRUE,FALSE))</f>
        <v/>
      </c>
      <c r="O114" s="36" t="n">
        <v>42.02</v>
      </c>
      <c r="P114" s="51" t="n">
        <v>1</v>
      </c>
      <c r="Q114" s="27" t="n">
        <v>0</v>
      </c>
      <c r="R114" s="237">
        <f>O114*Q114/100</f>
        <v/>
      </c>
      <c r="S114" s="237">
        <f>P114*R114</f>
        <v/>
      </c>
      <c r="T114" s="208">
        <f>O114*P114</f>
        <v/>
      </c>
      <c r="U114" s="251">
        <f>O114+R114</f>
        <v/>
      </c>
      <c r="V114" s="251">
        <f>T114+S114</f>
        <v/>
      </c>
      <c r="W114" s="35">
        <f>voranmeldefrist_vierteljaehrlich(F114)</f>
        <v/>
      </c>
      <c r="X114" s="35" t="n">
        <v>42600</v>
      </c>
      <c r="Y114" s="27" t="n">
        <v>20</v>
      </c>
      <c r="Z114" s="210">
        <f>IF(N114=TRUE,T114/K114,T114)</f>
        <v/>
      </c>
      <c r="AA114" s="237">
        <f>Y114/100*V114</f>
        <v/>
      </c>
      <c r="AB114">
        <f>IF(AND(Y114&gt;0,Q114=Y114),TRUE,FALSE)</f>
        <v/>
      </c>
    </row>
    <row r="115">
      <c r="A115" t="n">
        <v>114</v>
      </c>
      <c r="D115" s="9" t="inlineStr">
        <is>
          <t>011561270283</t>
        </is>
      </c>
      <c r="E115" s="1" t="n">
        <v>42483</v>
      </c>
      <c r="F115" s="1" t="n">
        <v>42513</v>
      </c>
      <c r="G115" s="1">
        <f>CONCATENATE(H115,": ",J115)</f>
        <v/>
      </c>
      <c r="H115" t="inlineStr">
        <is>
          <t>Sozialversicherungsanstalt der gewerblichen Wirtschaft, Landesstelle Wien, Wiedner Hauptstraße 84-86, A-1051 Wien</t>
        </is>
      </c>
      <c r="J115" t="inlineStr">
        <is>
          <t>Kontoauszug vom 23.4.2015</t>
        </is>
      </c>
      <c r="N115">
        <f>(IF(AND(K115&lt;&gt;"",ABS(T115)&gt;400),TRUE,FALSE))</f>
        <v/>
      </c>
      <c r="O115" s="36" t="n">
        <v>569.42</v>
      </c>
      <c r="P115" s="51" t="n">
        <v>1</v>
      </c>
      <c r="Q115" s="27" t="n">
        <v>0</v>
      </c>
      <c r="R115" s="237">
        <f>O115*Q115/100</f>
        <v/>
      </c>
      <c r="S115" s="237">
        <f>P115*R115</f>
        <v/>
      </c>
      <c r="T115" s="208">
        <f>O115*P115</f>
        <v/>
      </c>
      <c r="U115" s="251">
        <f>O115+R115</f>
        <v/>
      </c>
      <c r="V115" s="251">
        <f>T115+S115</f>
        <v/>
      </c>
      <c r="W115" s="35">
        <f>voranmeldefrist_vierteljaehrlich(F115)</f>
        <v/>
      </c>
      <c r="X115" s="35" t="n">
        <v>42600</v>
      </c>
      <c r="Z115" s="210">
        <f>IF(N115=TRUE,T115/K115,T115)</f>
        <v/>
      </c>
      <c r="AA115" s="237">
        <f>Y115/100*V115</f>
        <v/>
      </c>
      <c r="AB115">
        <f>IF(AND(Y115&gt;0,Q115=Y115),TRUE,FALSE)</f>
        <v/>
      </c>
    </row>
    <row r="116">
      <c r="A116" t="n">
        <v>115</v>
      </c>
      <c r="D116" t="inlineStr">
        <is>
          <t>EUVINS1-OFS-PL-179344673</t>
        </is>
      </c>
      <c r="E116" s="1" t="n">
        <v>42512</v>
      </c>
      <c r="F116" s="1" t="n">
        <v>42514</v>
      </c>
      <c r="G116" s="1">
        <f>CONCATENATE(H116,": ",J116)</f>
        <v/>
      </c>
      <c r="H116" t="inlineStr">
        <is>
          <t>Amazon EU Sàrl, 5 Rue Plaetis, L-2338, Luxemburg</t>
        </is>
      </c>
      <c r="I116" s="10" t="inlineStr">
        <is>
          <t>ATU62353134</t>
        </is>
      </c>
      <c r="J116" t="inlineStr">
        <is>
          <t>HP Display Port to VGA Adapter | B00IYETPXW</t>
        </is>
      </c>
      <c r="N116" t="b">
        <v>0</v>
      </c>
      <c r="O116" s="36" t="n">
        <v>26.43</v>
      </c>
      <c r="P116" s="51" t="n">
        <v>1</v>
      </c>
      <c r="Q116" s="27" t="n">
        <v>20</v>
      </c>
      <c r="R116" s="237">
        <f>O116*Q116/100</f>
        <v/>
      </c>
      <c r="S116" s="237">
        <f>P116*R116</f>
        <v/>
      </c>
      <c r="T116" s="208">
        <f>O116*P116</f>
        <v/>
      </c>
      <c r="U116" s="251">
        <f>O116+R116</f>
        <v/>
      </c>
      <c r="V116" s="251">
        <f>T116+S116</f>
        <v/>
      </c>
      <c r="W116" s="35">
        <f>voranmeldefrist_vierteljaehrlich(F116)</f>
        <v/>
      </c>
      <c r="X116" s="35" t="n"/>
      <c r="Z116" s="210">
        <f>IF(N116=TRUE,T116/K116,T116)</f>
        <v/>
      </c>
      <c r="AA116" s="237">
        <f>Y116/100*V115</f>
        <v/>
      </c>
      <c r="AB116">
        <f>IF(AND(Y116&gt;0,Q116=Y116),TRUE,FALSE)</f>
        <v/>
      </c>
    </row>
    <row r="117">
      <c r="A117" t="n">
        <v>116</v>
      </c>
      <c r="D117" s="9" t="inlineStr">
        <is>
          <t>01/00002949/00713877</t>
        </is>
      </c>
      <c r="E117" s="1" t="n">
        <v>42514</v>
      </c>
      <c r="F117" s="1" t="n">
        <v>42514</v>
      </c>
      <c r="G117" s="1">
        <f>CONCATENATE(H117,": ",J117)</f>
        <v/>
      </c>
      <c r="H117" t="inlineStr">
        <is>
          <t>Büroprofi Koch Papier GmbH, Josefstädterstraße 87, 1080 Wien</t>
        </is>
      </c>
      <c r="I117" t="inlineStr">
        <is>
          <t>ATU67999124</t>
        </is>
      </c>
      <c r="J117" t="inlineStr">
        <is>
          <t>Kopierpapier A4 80g weiß</t>
        </is>
      </c>
      <c r="N117" t="b">
        <v>0</v>
      </c>
      <c r="O117" s="36" t="n">
        <v>3.32</v>
      </c>
      <c r="P117" s="51" t="n">
        <v>1</v>
      </c>
      <c r="Q117" s="27" t="n">
        <v>20</v>
      </c>
      <c r="R117" s="237">
        <f>O117*Q117/100</f>
        <v/>
      </c>
      <c r="S117" s="237">
        <f>P117*R117</f>
        <v/>
      </c>
      <c r="T117" s="208">
        <f>O117*P117</f>
        <v/>
      </c>
      <c r="U117" s="251">
        <f>O117+R117</f>
        <v/>
      </c>
      <c r="V117" s="251">
        <f>T117+S117</f>
        <v/>
      </c>
      <c r="W117" s="35">
        <f>voranmeldefrist_vierteljaehrlich(F116)</f>
        <v/>
      </c>
      <c r="X117" s="35" t="n">
        <v>42600</v>
      </c>
      <c r="Z117" s="210">
        <f>IF(N117=TRUE,T117/K117,T117)</f>
        <v/>
      </c>
      <c r="AA117" s="237">
        <f>Y117/100*V116</f>
        <v/>
      </c>
      <c r="AB117">
        <f>IF(AND(Y117&gt;0,Q117=Y117),TRUE,FALSE)</f>
        <v/>
      </c>
    </row>
    <row r="118">
      <c r="A118" t="n">
        <v>117</v>
      </c>
      <c r="D118" s="9" t="inlineStr">
        <is>
          <t> </t>
        </is>
      </c>
      <c r="E118" s="1" t="n">
        <v>42522</v>
      </c>
      <c r="F118" s="1" t="n">
        <v>42522</v>
      </c>
      <c r="G118" s="1">
        <f>CONCATENATE(H118,": ",J118)</f>
        <v/>
      </c>
      <c r="H118" t="inlineStr">
        <is>
          <t>easyname GmbH, Fernkorngasse 10/3/501, 1110 Wien</t>
        </is>
      </c>
      <c r="I118" t="inlineStr">
        <is>
          <t>ATU68122177</t>
        </is>
      </c>
      <c r="J118" t="inlineStr">
        <is>
          <t>Domain: wienerwaldmusikanten.at</t>
        </is>
      </c>
      <c r="N118">
        <f>(IF(AND(K118&lt;&gt;"",ABS(T118)&gt;400),TRUE,FALSE))</f>
        <v/>
      </c>
      <c r="O118" s="36" t="n">
        <v>12.42</v>
      </c>
      <c r="P118" s="51" t="n">
        <v>1</v>
      </c>
      <c r="Q118" s="27" t="n">
        <v>20</v>
      </c>
      <c r="R118" s="237">
        <f>O118*Q118/100</f>
        <v/>
      </c>
      <c r="S118" s="237">
        <f>P118*R118</f>
        <v/>
      </c>
      <c r="T118" s="208">
        <f>O118*P118</f>
        <v/>
      </c>
      <c r="U118" s="251">
        <f>O118+R118</f>
        <v/>
      </c>
      <c r="V118" s="251">
        <f>T118+S118</f>
        <v/>
      </c>
      <c r="W118" s="35">
        <f>voranmeldefrist_vierteljaehrlich(F118)</f>
        <v/>
      </c>
      <c r="X118" s="35" t="n">
        <v>42600</v>
      </c>
      <c r="Z118" s="210">
        <f>IF(N118=TRUE,T118/K118,T118)</f>
        <v/>
      </c>
      <c r="AA118" s="237">
        <f>Y118/100*V118</f>
        <v/>
      </c>
      <c r="AB118">
        <f>IF(AND(Y118&gt;0,Q118=Y118),TRUE,FALSE)</f>
        <v/>
      </c>
    </row>
    <row r="119">
      <c r="A119" t="n">
        <v>118</v>
      </c>
      <c r="D119" s="9" t="inlineStr">
        <is>
          <t>12014262</t>
        </is>
      </c>
      <c r="E119" s="1" t="n">
        <v>42522</v>
      </c>
      <c r="F119" s="1" t="n">
        <v>42522</v>
      </c>
      <c r="G119" s="1">
        <f>CONCATENATE(H119,": ",J119)</f>
        <v/>
      </c>
      <c r="H119" t="inlineStr">
        <is>
          <t>electronic4you GmbH, Inglitschstraße 26, 9020 Klagenfurt</t>
        </is>
      </c>
      <c r="I119" t="inlineStr">
        <is>
          <t>ATU25777406</t>
        </is>
      </c>
      <c r="J119" t="inlineStr">
        <is>
          <t>Xperia Z5 Compact schwarz E5823 Smartphone</t>
        </is>
      </c>
      <c r="K119" s="16" t="n">
        <v>2</v>
      </c>
      <c r="N119">
        <f>(IF(AND(K119&lt;&gt;"",ABS(T119)&gt;400),TRUE,FALSE))</f>
        <v/>
      </c>
      <c r="O119" s="36" t="n">
        <v>341.58</v>
      </c>
      <c r="P119" s="51" t="n">
        <v>0.6</v>
      </c>
      <c r="Q119" s="27" t="n">
        <v>20</v>
      </c>
      <c r="R119" s="237">
        <f>O119*Q119/100</f>
        <v/>
      </c>
      <c r="S119" s="237">
        <f>P119*R119</f>
        <v/>
      </c>
      <c r="T119" s="208">
        <f>O119*P119</f>
        <v/>
      </c>
      <c r="U119" s="251">
        <f>O119+R119</f>
        <v/>
      </c>
      <c r="V119" s="251">
        <f>T119+S119</f>
        <v/>
      </c>
      <c r="W119" s="35">
        <f>voranmeldefrist_vierteljaehrlich(F119)</f>
        <v/>
      </c>
      <c r="X119" s="35" t="n">
        <v>42600</v>
      </c>
      <c r="Z119" s="210">
        <f>IF(N119=TRUE,T119/K119,T119)</f>
        <v/>
      </c>
      <c r="AA119" s="237">
        <f>Y119/100*V119</f>
        <v/>
      </c>
      <c r="AB119">
        <f>IF(AND(Y119&gt;0,Q119=Y119),TRUE,FALSE)</f>
        <v/>
      </c>
    </row>
    <row r="120">
      <c r="A120" t="n">
        <v>119</v>
      </c>
      <c r="D120" s="9" t="inlineStr">
        <is>
          <t>201605/43</t>
        </is>
      </c>
      <c r="E120" s="1" t="n">
        <v>42514</v>
      </c>
      <c r="F120" s="1" t="n">
        <v>42531</v>
      </c>
      <c r="G120" s="1">
        <f>CONCATENATE(H120,": ",J120)</f>
        <v/>
      </c>
      <c r="H120" t="inlineStr">
        <is>
          <t>Software Quality Lab GmbH, Gewerbepark Urfahr 6, 4040 Linz</t>
        </is>
      </c>
      <c r="I120" t="inlineStr">
        <is>
          <t>ATU62264668</t>
        </is>
      </c>
      <c r="J120" t="inlineStr">
        <is>
          <t>IREB CPRE-FL</t>
        </is>
      </c>
      <c r="N120">
        <f>(IF(AND(K120&lt;&gt;"",ABS(T120)&gt;400),TRUE,FALSE))</f>
        <v/>
      </c>
      <c r="O120" s="36" t="n">
        <v>1250</v>
      </c>
      <c r="P120" s="51" t="n">
        <v>1</v>
      </c>
      <c r="Q120" s="27" t="n">
        <v>20</v>
      </c>
      <c r="R120" s="237">
        <f>O120*Q120/100</f>
        <v/>
      </c>
      <c r="S120" s="237">
        <f>P120*R120</f>
        <v/>
      </c>
      <c r="T120" s="208">
        <f>O120*P120</f>
        <v/>
      </c>
      <c r="U120" s="251">
        <f>O120+R120</f>
        <v/>
      </c>
      <c r="V120" s="251">
        <f>T120+S120</f>
        <v/>
      </c>
      <c r="W120" s="35">
        <f>voranmeldefrist_vierteljaehrlich(F120)</f>
        <v/>
      </c>
      <c r="X120" s="35" t="n">
        <v>42600</v>
      </c>
      <c r="Z120" s="210">
        <f>IF(N120=TRUE,T120/K120,T120)</f>
        <v/>
      </c>
      <c r="AA120" s="237">
        <f>Y120/100*V120</f>
        <v/>
      </c>
      <c r="AB120">
        <f>IF(AND(Y120&gt;0,Q120=Y120),TRUE,FALSE)</f>
        <v/>
      </c>
    </row>
    <row r="121">
      <c r="A121" t="n">
        <v>120</v>
      </c>
      <c r="D121" s="9" t="inlineStr">
        <is>
          <t>RE0387894</t>
        </is>
      </c>
      <c r="E121" s="1" t="n">
        <v>42530</v>
      </c>
      <c r="F121" s="1" t="n">
        <v>42530</v>
      </c>
      <c r="G121" s="1">
        <f>CONCATENATE(H121,": ",J121)</f>
        <v/>
      </c>
      <c r="H121" t="inlineStr">
        <is>
          <t>easyname GmbH, Fernkorngasse 10/3/501, 1110 Wien</t>
        </is>
      </c>
      <c r="I121" t="inlineStr">
        <is>
          <t>ATU68122177</t>
        </is>
      </c>
      <c r="J121" t="inlineStr">
        <is>
          <t>Domain: msbadvoeslau.at</t>
        </is>
      </c>
      <c r="N121">
        <f>(IF(AND(K121&lt;&gt;"",ABS(T121)&gt;400),TRUE,FALSE))</f>
        <v/>
      </c>
      <c r="O121" s="36" t="n">
        <v>12.42</v>
      </c>
      <c r="P121" s="51" t="n">
        <v>1</v>
      </c>
      <c r="Q121" s="27" t="n">
        <v>20</v>
      </c>
      <c r="R121" s="237">
        <f>O121*Q121/100</f>
        <v/>
      </c>
      <c r="S121" s="237">
        <f>P121*R121</f>
        <v/>
      </c>
      <c r="T121" s="208">
        <f>O121*P121</f>
        <v/>
      </c>
      <c r="U121" s="251">
        <f>O121+R121</f>
        <v/>
      </c>
      <c r="V121" s="251">
        <f>T121+S121</f>
        <v/>
      </c>
      <c r="W121" s="35">
        <f>voranmeldefrist_vierteljaehrlich(F121)</f>
        <v/>
      </c>
      <c r="X121" s="35" t="n">
        <v>42600</v>
      </c>
      <c r="Z121" s="210">
        <f>IF(N121=TRUE,T121/K121,T121)</f>
        <v/>
      </c>
      <c r="AA121" s="237">
        <f>Y121/100*V121</f>
        <v/>
      </c>
      <c r="AB121">
        <f>IF(AND(Y121&gt;0,Q121=Y121),TRUE,FALSE)</f>
        <v/>
      </c>
    </row>
    <row r="122">
      <c r="A122" t="n">
        <v>121</v>
      </c>
      <c r="E122" s="1" t="n">
        <v>42019</v>
      </c>
      <c r="F122" s="1" t="n">
        <v>42026</v>
      </c>
      <c r="G122" s="1">
        <f>CONCATENATE(H122,": ",J122)</f>
        <v/>
      </c>
      <c r="H122" t="inlineStr">
        <is>
          <t>Wiener Linien GmbH &amp; Co KG, Erdbergstraße 202, 1031 Wien</t>
        </is>
      </c>
      <c r="I122" t="inlineStr">
        <is>
          <t>ATU47055001</t>
        </is>
      </c>
      <c r="J122" t="inlineStr">
        <is>
          <t>Jahreskarte</t>
        </is>
      </c>
      <c r="N122">
        <f>(IF(AND(K122&lt;&gt;"",ABS(T122)&gt;400),TRUE,FALSE))</f>
        <v/>
      </c>
      <c r="O122" s="36" t="n">
        <v>331.82</v>
      </c>
      <c r="P122" s="51" t="n">
        <v>1</v>
      </c>
      <c r="Q122" s="27" t="n">
        <v>10</v>
      </c>
      <c r="R122" s="237">
        <f>O122*Q122/100</f>
        <v/>
      </c>
      <c r="S122" s="237">
        <f>P122*R122</f>
        <v/>
      </c>
      <c r="T122" s="208">
        <f>O122*P122</f>
        <v/>
      </c>
      <c r="U122" s="251">
        <f>O122+R122</f>
        <v/>
      </c>
      <c r="V122" s="251">
        <f>T122+S122</f>
        <v/>
      </c>
      <c r="W122" s="35">
        <f>voranmeldefrist_vierteljaehrlich(F122)</f>
        <v/>
      </c>
      <c r="X122" s="35" t="n">
        <v>42499</v>
      </c>
      <c r="Z122" s="210">
        <f>IF(N122=TRUE,T122/K122,T122)</f>
        <v/>
      </c>
      <c r="AA122" s="237">
        <f>Y122/100*V122</f>
        <v/>
      </c>
      <c r="AB122">
        <f>IF(AND(Y122&gt;0,Q122=Y122),TRUE,FALSE)</f>
        <v/>
      </c>
    </row>
    <row r="123">
      <c r="A123" t="n">
        <v>122</v>
      </c>
      <c r="D123" s="9" t="inlineStr">
        <is>
          <t>11500319/40/2016</t>
        </is>
      </c>
      <c r="E123" s="1" t="n">
        <v>42309</v>
      </c>
      <c r="F123" s="1" t="n">
        <v>42325</v>
      </c>
      <c r="G123" s="1">
        <f>CONCATENATE(H123,": ",J123)</f>
        <v/>
      </c>
      <c r="H123" t="inlineStr">
        <is>
          <t>MONTANA Energie-Handel AT GmbH</t>
        </is>
      </c>
      <c r="J123" t="inlineStr">
        <is>
          <t>Teilzahlungsbetrag Gas 11500319</t>
        </is>
      </c>
      <c r="N123">
        <f>(IF(AND(K123&lt;&gt;"",ABS(T123)&gt;400),TRUE,FALSE))</f>
        <v/>
      </c>
      <c r="O123" s="36" t="n">
        <v>-8.08</v>
      </c>
      <c r="P123" s="51">
        <f>Arbeitszimmer!$B$3</f>
        <v/>
      </c>
      <c r="Q123" s="27" t="n">
        <v>20</v>
      </c>
      <c r="R123" s="237">
        <f>O123*Q123/100</f>
        <v/>
      </c>
      <c r="S123" s="237">
        <f>P123*R123</f>
        <v/>
      </c>
      <c r="T123" s="208">
        <f>O123*P123</f>
        <v/>
      </c>
      <c r="U123" s="251" t="n">
        <v>-9.69</v>
      </c>
      <c r="V123" s="251">
        <f>T123+S123</f>
        <v/>
      </c>
      <c r="W123" s="35">
        <f>voranmeldefrist_vierteljaehrlich(F123)</f>
        <v/>
      </c>
      <c r="X123" s="35" t="n"/>
      <c r="Z123" s="210">
        <f>IF(N123=TRUE,T123/K123,T123)</f>
        <v/>
      </c>
      <c r="AA123" s="237">
        <f>Y123/100*V123</f>
        <v/>
      </c>
      <c r="AB123">
        <f>IF(AND(Y123&gt;0,Q123=Y123),TRUE,FALSE)</f>
        <v/>
      </c>
    </row>
    <row r="124">
      <c r="A124" t="n">
        <v>123</v>
      </c>
      <c r="D124" s="9" t="inlineStr">
        <is>
          <t>11446672/40/2015</t>
        </is>
      </c>
      <c r="E124" s="1" t="n">
        <v>42278</v>
      </c>
      <c r="F124" s="1" t="n">
        <v>42292</v>
      </c>
      <c r="G124" s="1">
        <f>CONCATENATE(H124,": ",J124)</f>
        <v/>
      </c>
      <c r="H124" t="inlineStr">
        <is>
          <t>MONTANA Energie-Handel AT GmbH</t>
        </is>
      </c>
      <c r="J124" t="inlineStr">
        <is>
          <t>Teilzahlungsbetrag Gas 11446672</t>
        </is>
      </c>
      <c r="N124">
        <f>(IF(AND(K124&lt;&gt;"",ABS(T124)&gt;400),TRUE,FALSE))</f>
        <v/>
      </c>
      <c r="O124" s="36" t="n">
        <v>48.33</v>
      </c>
      <c r="P124" s="51">
        <f>Arbeitszimmer!$B$3</f>
        <v/>
      </c>
      <c r="Q124" s="27" t="n">
        <v>20</v>
      </c>
      <c r="R124" s="237">
        <f>O124*Q124/100</f>
        <v/>
      </c>
      <c r="S124" s="237">
        <f>P124*R124</f>
        <v/>
      </c>
      <c r="T124" s="208">
        <f>O124*P124</f>
        <v/>
      </c>
      <c r="U124" s="251">
        <f>O124+R124</f>
        <v/>
      </c>
      <c r="V124" s="251">
        <f>T124+S124</f>
        <v/>
      </c>
      <c r="W124" s="35">
        <f>voranmeldefrist_vierteljaehrlich(F124)</f>
        <v/>
      </c>
      <c r="X124" s="35" t="n"/>
      <c r="Z124" s="210">
        <f>IF(N124=TRUE,T124/K124,T124)</f>
        <v/>
      </c>
      <c r="AA124" s="237">
        <f>Y124/100*V124</f>
        <v/>
      </c>
      <c r="AB124">
        <f>IF(AND(Y124&gt;0,Q124=Y124),TRUE,FALSE)</f>
        <v/>
      </c>
    </row>
    <row r="125">
      <c r="A125" t="n">
        <v>124</v>
      </c>
      <c r="D125" s="9" t="inlineStr">
        <is>
          <t>11231590/40/2016</t>
        </is>
      </c>
      <c r="E125" s="1" t="n">
        <v>42156</v>
      </c>
      <c r="F125" s="1" t="n">
        <v>42170</v>
      </c>
      <c r="G125" s="1">
        <f>CONCATENATE(H125,": ",J125)</f>
        <v/>
      </c>
      <c r="H125" t="inlineStr">
        <is>
          <t>MONTANA Energie-Handel AT GmbH</t>
        </is>
      </c>
      <c r="J125" t="inlineStr">
        <is>
          <t>Teilzahlungsbetrag Gas 11231590</t>
        </is>
      </c>
      <c r="N125">
        <f>(IF(AND(K125&lt;&gt;"",ABS(T125)&gt;400),TRUE,FALSE))</f>
        <v/>
      </c>
      <c r="O125" s="36" t="n">
        <v>48.33</v>
      </c>
      <c r="P125" s="51">
        <f>Arbeitszimmer!$B$3</f>
        <v/>
      </c>
      <c r="Q125" s="27" t="n">
        <v>20</v>
      </c>
      <c r="R125" s="237">
        <f>O125*Q125/100</f>
        <v/>
      </c>
      <c r="S125" s="237">
        <f>P125*R125</f>
        <v/>
      </c>
      <c r="T125" s="208">
        <f>O125*P125</f>
        <v/>
      </c>
      <c r="U125" s="251">
        <f>O125+R125</f>
        <v/>
      </c>
      <c r="V125" s="251">
        <f>T125+S125</f>
        <v/>
      </c>
      <c r="W125" s="35">
        <f>voranmeldefrist_vierteljaehrlich(F125)</f>
        <v/>
      </c>
      <c r="X125" s="35" t="n"/>
      <c r="Z125" s="210">
        <f>IF(N125=TRUE,T125/K125,T125)</f>
        <v/>
      </c>
      <c r="AA125" s="237">
        <f>Y125/100*V125</f>
        <v/>
      </c>
      <c r="AB125">
        <f>IF(AND(Y125&gt;0,Q125=Y125),TRUE,FALSE)</f>
        <v/>
      </c>
    </row>
    <row r="126">
      <c r="A126" t="n">
        <v>125</v>
      </c>
      <c r="D126" s="9" t="inlineStr">
        <is>
          <t>9188538999</t>
        </is>
      </c>
      <c r="E126" s="1" t="n">
        <v>42164</v>
      </c>
      <c r="F126" s="1" t="n">
        <v>42163</v>
      </c>
      <c r="G126" s="1">
        <f>CONCATENATE(H126,": ",J126)</f>
        <v/>
      </c>
      <c r="H126" t="inlineStr">
        <is>
          <t>Vistaprint B.V., Hudsonweg 8, 5928 LW Venlo, Niederlande</t>
        </is>
      </c>
      <c r="I126" s="10" t="inlineStr">
        <is>
          <t>ATU62044549</t>
        </is>
      </c>
      <c r="J126" t="inlineStr">
        <is>
          <t>Visitenkarten 100</t>
        </is>
      </c>
      <c r="N126">
        <f>(IF(AND(K126&lt;&gt;"",ABS(T126)&gt;400),TRUE,FALSE))</f>
        <v/>
      </c>
      <c r="O126" s="36" t="n">
        <v>24.34</v>
      </c>
      <c r="P126" s="51" t="n">
        <v>1</v>
      </c>
      <c r="Q126" s="27" t="n">
        <v>20</v>
      </c>
      <c r="R126" s="237">
        <f>O126*Q126/100</f>
        <v/>
      </c>
      <c r="S126" s="237">
        <f>P126*R126</f>
        <v/>
      </c>
      <c r="T126" s="208">
        <f>O126*P126</f>
        <v/>
      </c>
      <c r="U126" s="251">
        <f>O126+R126</f>
        <v/>
      </c>
      <c r="V126" s="251">
        <f>T126+S126</f>
        <v/>
      </c>
      <c r="W126" s="35">
        <f>voranmeldefrist_vierteljaehrlich(F126)</f>
        <v/>
      </c>
      <c r="X126" s="35" t="n"/>
      <c r="Z126" s="210">
        <f>IF(N126=TRUE,T126/K126,T126)</f>
        <v/>
      </c>
      <c r="AA126" s="237">
        <f>Y126/100*V125</f>
        <v/>
      </c>
      <c r="AB126">
        <f>IF(AND(Y126&gt;0,Q126=Y126),TRUE,FALSE)</f>
        <v/>
      </c>
    </row>
    <row r="127">
      <c r="A127" t="n">
        <v>126</v>
      </c>
      <c r="D127" s="9" t="inlineStr">
        <is>
          <t>RE0281275</t>
        </is>
      </c>
      <c r="E127" s="1" t="n">
        <v>42094</v>
      </c>
      <c r="F127" s="1" t="n">
        <v>42096</v>
      </c>
      <c r="G127" s="1">
        <f>CONCATENATE(H127,": ",J127)</f>
        <v/>
      </c>
      <c r="H127" t="inlineStr">
        <is>
          <t>easyname GmbH, Fernkorngasse 10/3/501, 1110 Wien</t>
        </is>
      </c>
      <c r="I127" t="inlineStr">
        <is>
          <t>ATU68122177</t>
        </is>
      </c>
      <c r="J127" t="inlineStr">
        <is>
          <t>Domain: kolbitsch.eu</t>
        </is>
      </c>
      <c r="N127">
        <f>(IF(AND(K127&lt;&gt;"",ABS(T127)&gt;400),TRUE,FALSE))</f>
        <v/>
      </c>
      <c r="O127" s="36" t="n">
        <v>12.42</v>
      </c>
      <c r="P127" s="51" t="n">
        <v>1</v>
      </c>
      <c r="Q127" s="27" t="n">
        <v>20</v>
      </c>
      <c r="R127" s="237">
        <f>O127*Q127/100</f>
        <v/>
      </c>
      <c r="S127" s="237">
        <f>P127*R127</f>
        <v/>
      </c>
      <c r="T127" s="208">
        <f>O127*P127</f>
        <v/>
      </c>
      <c r="U127" s="251">
        <f>O127+R127</f>
        <v/>
      </c>
      <c r="V127" s="251">
        <f>T127+S127</f>
        <v/>
      </c>
      <c r="W127" s="35">
        <f>voranmeldefrist_vierteljaehrlich(F127)</f>
        <v/>
      </c>
      <c r="X127" s="35" t="n">
        <v>42499</v>
      </c>
      <c r="Z127" s="210">
        <f>IF(N127=TRUE,T127/K127,T127)</f>
        <v/>
      </c>
      <c r="AA127" s="237">
        <f>Y127/100*V127</f>
        <v/>
      </c>
      <c r="AB127">
        <f>IF(AND(Y127&gt;0,Q127=Y127),TRUE,FALSE)</f>
        <v/>
      </c>
    </row>
    <row r="128">
      <c r="A128" t="n">
        <v>127</v>
      </c>
      <c r="D128" s="9" t="inlineStr">
        <is>
          <t>367490797</t>
        </is>
      </c>
      <c r="E128" s="1" t="n">
        <v>42145</v>
      </c>
      <c r="F128" s="1" t="n">
        <v>42144</v>
      </c>
      <c r="G128" s="1">
        <f>CONCATENATE(H128,": ",J128)</f>
        <v/>
      </c>
      <c r="H128" t="inlineStr">
        <is>
          <t>Microsoft Luxembourg Sàrl, 23-29, Rives de Clausen, L-2165 Luxembourg, Luxembourg, USt-IdNr.: LU19878750</t>
        </is>
      </c>
      <c r="N128">
        <f>(IF(AND(K128&lt;&gt;"",ABS(T128)&gt;400),TRUE,FALSE))</f>
        <v/>
      </c>
      <c r="O128" s="36" t="n">
        <v>5.83</v>
      </c>
      <c r="P128" s="51" t="n">
        <v>1</v>
      </c>
      <c r="Q128" s="27" t="n">
        <v>20</v>
      </c>
      <c r="R128" s="237">
        <f>O128*Q128/100</f>
        <v/>
      </c>
      <c r="S128" s="237">
        <f>P128*R128</f>
        <v/>
      </c>
      <c r="T128" s="208">
        <f>O128*P128</f>
        <v/>
      </c>
      <c r="U128" s="251">
        <f>O128+R128</f>
        <v/>
      </c>
      <c r="V128" s="251">
        <f>T128+S128</f>
        <v/>
      </c>
      <c r="W128" s="35">
        <f>voranmeldefrist_vierteljaehrlich(F128)</f>
        <v/>
      </c>
      <c r="Z128" s="210">
        <f>IF(N128=TRUE,T128/K128,T128)</f>
        <v/>
      </c>
      <c r="AA128" s="237">
        <f>Y128/100*V128</f>
        <v/>
      </c>
      <c r="AB128">
        <f>IF(AND(Y128&gt;0,Q128=Y128),TRUE,FALSE)</f>
        <v/>
      </c>
    </row>
    <row r="129">
      <c r="A129" t="n">
        <v>128</v>
      </c>
      <c r="D129" s="9" t="inlineStr">
        <is>
          <t>559106395</t>
        </is>
      </c>
      <c r="E129" s="1" t="n">
        <v>42177</v>
      </c>
      <c r="F129" s="1" t="n">
        <v>42175</v>
      </c>
      <c r="G129" s="1">
        <f>CONCATENATE(H129,": ",J129)</f>
        <v/>
      </c>
      <c r="H129" t="inlineStr">
        <is>
          <t>Microsoft Luxembourg Sàrl, 23-29, Rives de Clausen, L-2165 Luxembourg, Luxembourg, USt-IdNr.: LU19878750</t>
        </is>
      </c>
      <c r="N129">
        <f>(IF(AND(K129&lt;&gt;"",ABS(T129)&gt;400),TRUE,FALSE))</f>
        <v/>
      </c>
      <c r="O129" s="36" t="n">
        <v>5.83</v>
      </c>
      <c r="P129" s="51" t="n">
        <v>1</v>
      </c>
      <c r="Q129" s="27" t="n">
        <v>20</v>
      </c>
      <c r="R129" s="237">
        <f>O129*Q129/100</f>
        <v/>
      </c>
      <c r="S129" s="237">
        <f>P129*R129</f>
        <v/>
      </c>
      <c r="T129" s="208">
        <f>O129*P129</f>
        <v/>
      </c>
      <c r="U129" s="251">
        <f>O129+R129</f>
        <v/>
      </c>
      <c r="V129" s="251">
        <f>T129+S129</f>
        <v/>
      </c>
      <c r="W129" s="35">
        <f>voranmeldefrist_vierteljaehrlich(F129)</f>
        <v/>
      </c>
      <c r="Z129" s="210">
        <f>IF(N129=TRUE,T129/K129,T129)</f>
        <v/>
      </c>
      <c r="AA129" s="237">
        <f>Y129/100*V129</f>
        <v/>
      </c>
      <c r="AB129">
        <f>IF(AND(Y129&gt;0,Q129=Y129),TRUE,FALSE)</f>
        <v/>
      </c>
    </row>
    <row r="130">
      <c r="A130" t="n">
        <v>129</v>
      </c>
      <c r="D130" s="9" t="inlineStr">
        <is>
          <t>11559724/40/2015</t>
        </is>
      </c>
      <c r="E130" s="1" t="n">
        <v>42339</v>
      </c>
      <c r="F130" s="1" t="n">
        <v>42353</v>
      </c>
      <c r="G130" s="1">
        <f>CONCATENATE(H130,": ",J130)</f>
        <v/>
      </c>
      <c r="H130" t="inlineStr">
        <is>
          <t>MONTANA Energie-Handel AT GmbH</t>
        </is>
      </c>
      <c r="J130" t="inlineStr">
        <is>
          <t>Teilzahlungsbetrag Gas 11559724</t>
        </is>
      </c>
      <c r="N130">
        <f>(IF(AND(K130&lt;&gt;"",ABS(T130)&gt;400),TRUE,FALSE))</f>
        <v/>
      </c>
      <c r="O130" s="36" t="n">
        <v>52.5</v>
      </c>
      <c r="P130" s="51">
        <f>Arbeitszimmer!$B$3</f>
        <v/>
      </c>
      <c r="Q130" s="27" t="n">
        <v>20</v>
      </c>
      <c r="R130" s="237">
        <f>O130*Q130/100</f>
        <v/>
      </c>
      <c r="S130" s="237">
        <f>P130*R130</f>
        <v/>
      </c>
      <c r="T130" s="208">
        <f>O130*P130</f>
        <v/>
      </c>
      <c r="U130" s="251">
        <f>O130+R130</f>
        <v/>
      </c>
      <c r="V130" s="251">
        <f>T130+S130</f>
        <v/>
      </c>
      <c r="W130" s="35">
        <f>voranmeldefrist_vierteljaehrlich(F130)</f>
        <v/>
      </c>
      <c r="X130" s="35" t="n"/>
      <c r="Z130" s="210">
        <f>IF(N130=TRUE,T130/K130,T130)</f>
        <v/>
      </c>
      <c r="AA130" s="237">
        <f>Y130/100*V130</f>
        <v/>
      </c>
      <c r="AB130">
        <f>IF(AND(Y130&gt;0,Q130=Y130),TRUE,FALSE)</f>
        <v/>
      </c>
    </row>
    <row r="131">
      <c r="A131" t="n">
        <v>130</v>
      </c>
      <c r="D131">
        <f>"1023382000107230810807 "</f>
        <v/>
      </c>
      <c r="E131" s="1" t="n">
        <v>42515</v>
      </c>
      <c r="F131" s="1" t="n">
        <v>42523</v>
      </c>
      <c r="G131" s="1">
        <f>CONCATENATE(H131,": ",J131)</f>
        <v/>
      </c>
      <c r="H131" t="inlineStr">
        <is>
          <t>Hutchison Drei Austria GmbH, Brünner Straße 52, 1210 Wien, Österreich</t>
        </is>
      </c>
      <c r="J131" t="inlineStr">
        <is>
          <t>Rufnummer 0660 534 59 59</t>
        </is>
      </c>
      <c r="N131">
        <f>(IF(AND(K131&lt;&gt;"",ABS(T131)&gt;400),TRUE,FALSE))</f>
        <v/>
      </c>
      <c r="O131" s="36" t="n">
        <v>15</v>
      </c>
      <c r="P131" s="51" t="n">
        <v>1</v>
      </c>
      <c r="Q131" s="27" t="n">
        <v>20</v>
      </c>
      <c r="R131" s="237">
        <f>O131*Q131/100</f>
        <v/>
      </c>
      <c r="S131" s="237">
        <f>P131*R131</f>
        <v/>
      </c>
      <c r="T131" s="208">
        <f>O131*P131</f>
        <v/>
      </c>
      <c r="U131" s="251">
        <f>O131+R131</f>
        <v/>
      </c>
      <c r="V131" s="251">
        <f>T131+S131</f>
        <v/>
      </c>
      <c r="W131" s="35">
        <f>voranmeldefrist_vierteljaehrlich(F131)</f>
        <v/>
      </c>
      <c r="X131" s="35" t="n">
        <v>42600</v>
      </c>
      <c r="Z131" s="210">
        <f>IF(N131=TRUE,T131/K131,T131)</f>
        <v/>
      </c>
      <c r="AA131" s="237">
        <f>Y131/100*V131</f>
        <v/>
      </c>
      <c r="AB131">
        <f>IF(AND(Y131&gt;0,Q131=Y131),TRUE,FALSE)</f>
        <v/>
      </c>
    </row>
    <row r="132">
      <c r="A132" t="n">
        <v>131</v>
      </c>
      <c r="D132" s="9" t="inlineStr">
        <is>
          <t>EUVINS1-OFS-CZ-30177017</t>
        </is>
      </c>
      <c r="E132" s="1" t="n">
        <v>42546</v>
      </c>
      <c r="F132" s="1" t="n">
        <v>42549</v>
      </c>
      <c r="G132" s="1">
        <f>CONCATENATE(H132,": ",J132)</f>
        <v/>
      </c>
      <c r="H132" t="inlineStr">
        <is>
          <t>Amazon EU Sàrl, 5 Rue Plaetis, L-2338, Luxemburg</t>
        </is>
      </c>
      <c r="I132" s="10" t="inlineStr">
        <is>
          <t>ATU62353134</t>
        </is>
      </c>
      <c r="J132" t="inlineStr">
        <is>
          <t>HP Display Port to VGA Adapter | B00IYETPXW</t>
        </is>
      </c>
      <c r="N132" t="b">
        <v>0</v>
      </c>
      <c r="O132" s="36" t="n">
        <v>29.4</v>
      </c>
      <c r="P132" s="51" t="n">
        <v>1</v>
      </c>
      <c r="Q132" s="27" t="n">
        <v>20</v>
      </c>
      <c r="R132" s="237">
        <f>O132*Q132/100</f>
        <v/>
      </c>
      <c r="S132" s="237">
        <f>P132*R132</f>
        <v/>
      </c>
      <c r="T132" s="208">
        <f>O132*P132</f>
        <v/>
      </c>
      <c r="U132" s="251">
        <f>O132+R132</f>
        <v/>
      </c>
      <c r="V132" s="251">
        <f>T132+S132</f>
        <v/>
      </c>
      <c r="W132" s="35">
        <f>voranmeldefrist_vierteljaehrlich(F132)</f>
        <v/>
      </c>
      <c r="X132" s="35" t="n">
        <v>42600</v>
      </c>
      <c r="Z132" s="210">
        <f>IF(N132=TRUE,T132/K132,T132)</f>
        <v/>
      </c>
      <c r="AA132" s="237">
        <f>Y132/100*V131</f>
        <v/>
      </c>
      <c r="AB132">
        <f>IF(AND(Y132&gt;0,Q132=Y132),TRUE,FALSE)</f>
        <v/>
      </c>
    </row>
    <row r="133">
      <c r="A133" t="n">
        <v>132</v>
      </c>
      <c r="D133" s="9" t="inlineStr">
        <is>
          <t>0968-20160627-02-6148</t>
        </is>
      </c>
      <c r="E133" s="1" t="n">
        <v>42548</v>
      </c>
      <c r="F133" s="1" t="n">
        <v>42548</v>
      </c>
      <c r="G133" s="1">
        <f>CONCATENATE(H133,": ",J133)</f>
        <v/>
      </c>
      <c r="H133" t="inlineStr">
        <is>
          <t>Libro 1090 Wien, Alserstr 20, ATU 56240311</t>
        </is>
      </c>
      <c r="I133" t="inlineStr">
        <is>
          <t>Büromaterial</t>
        </is>
      </c>
      <c r="N133" t="b">
        <v>0</v>
      </c>
      <c r="O133" s="36" t="n">
        <v>6.8</v>
      </c>
      <c r="P133" s="51" t="n">
        <v>1</v>
      </c>
      <c r="Q133" s="27" t="n">
        <v>20</v>
      </c>
      <c r="R133" s="237">
        <f>O133*Q133/100</f>
        <v/>
      </c>
      <c r="S133" s="237">
        <f>P133*R133</f>
        <v/>
      </c>
      <c r="T133" s="208">
        <f>O133*P133</f>
        <v/>
      </c>
      <c r="U133" s="251">
        <f>O133+R133</f>
        <v/>
      </c>
      <c r="V133" s="251">
        <f>T133+S133</f>
        <v/>
      </c>
      <c r="W133" s="35">
        <f>voranmeldefrist_vierteljaehrlich(F133)</f>
        <v/>
      </c>
      <c r="X133" s="35" t="n">
        <v>42600</v>
      </c>
      <c r="Z133" s="210">
        <f>IF(N133=TRUE,T133/K133,T133)</f>
        <v/>
      </c>
      <c r="AA133" s="237">
        <f>Y133/100*V132</f>
        <v/>
      </c>
      <c r="AB133">
        <f>IF(AND(Y133&gt;0,Q133=Y133),TRUE,FALSE)</f>
        <v/>
      </c>
    </row>
    <row r="134">
      <c r="A134" t="n">
        <v>133</v>
      </c>
      <c r="D134" s="9" t="inlineStr">
        <is>
          <t>U036407</t>
        </is>
      </c>
      <c r="E134" s="1" t="n">
        <v>42541</v>
      </c>
      <c r="F134" s="1" t="n">
        <v>42541</v>
      </c>
      <c r="G134" s="1">
        <f>CONCATENATE(H134,": ",J134)</f>
        <v/>
      </c>
      <c r="H134" t="inlineStr">
        <is>
          <t>Da Capo, Pizzeria - Ristorante, 1010 Wien, Schulerstr. 18</t>
        </is>
      </c>
      <c r="I134" t="inlineStr">
        <is>
          <t>Bewirtung für DI Alexander Wagner</t>
        </is>
      </c>
      <c r="N134" t="b">
        <v>0</v>
      </c>
      <c r="O134" s="36">
        <f>21.27+6.75</f>
        <v/>
      </c>
      <c r="P134" s="51" t="n">
        <v>0.5</v>
      </c>
      <c r="Q134" s="27" t="inlineStr">
        <is>
          <t>gemischt</t>
        </is>
      </c>
      <c r="R134" s="237">
        <f>2.13+1.35</f>
        <v/>
      </c>
      <c r="S134" s="237">
        <f>P134*R134</f>
        <v/>
      </c>
      <c r="T134" s="208">
        <f>O134*P134</f>
        <v/>
      </c>
      <c r="U134" s="251">
        <f>O134+R134</f>
        <v/>
      </c>
      <c r="V134" s="251">
        <f>T134+S134</f>
        <v/>
      </c>
      <c r="W134" s="35">
        <f>voranmeldefrist_vierteljaehrlich(F134)</f>
        <v/>
      </c>
      <c r="X134" s="35" t="n">
        <v>42600</v>
      </c>
      <c r="Z134" s="210">
        <f>IF(N134=TRUE,T134/K134,T134)</f>
        <v/>
      </c>
      <c r="AA134" s="237">
        <f>Y134/100*V133</f>
        <v/>
      </c>
      <c r="AB134">
        <f>IF(AND(Y134&gt;0,Q134=Y134),TRUE,FALSE)</f>
        <v/>
      </c>
    </row>
    <row r="135">
      <c r="A135" t="n">
        <v>134</v>
      </c>
      <c r="D135" s="9" t="inlineStr">
        <is>
          <t>6R14288</t>
        </is>
      </c>
      <c r="E135" s="1" t="n">
        <v>42549</v>
      </c>
      <c r="F135" s="1" t="n">
        <v>42545</v>
      </c>
      <c r="G135" s="1">
        <f>CONCATENATE(H135,": ",J135)</f>
        <v/>
      </c>
      <c r="H135" t="inlineStr">
        <is>
          <t>haym.infotec GmbH, Petersbrunnstraße 9, 5020 Salzburg</t>
        </is>
      </c>
      <c r="I135" t="inlineStr">
        <is>
          <t>ATU63337614</t>
        </is>
      </c>
      <c r="J135" t="inlineStr">
        <is>
          <t>Eizo FlexScan EV2450 schwarz</t>
        </is>
      </c>
      <c r="N135" t="b">
        <v>0</v>
      </c>
      <c r="O135" s="36" t="n">
        <v>234.47</v>
      </c>
      <c r="P135" s="51" t="n">
        <v>1</v>
      </c>
      <c r="Q135" s="27" t="n">
        <v>20</v>
      </c>
      <c r="R135" s="237">
        <f>O135*Q135/100</f>
        <v/>
      </c>
      <c r="S135" s="237">
        <f>P135*R135</f>
        <v/>
      </c>
      <c r="T135" s="208">
        <f>O135*P135</f>
        <v/>
      </c>
      <c r="U135" s="251">
        <f>O135+R135</f>
        <v/>
      </c>
      <c r="V135" s="251">
        <f>T135+S135</f>
        <v/>
      </c>
      <c r="W135" s="35">
        <f>voranmeldefrist_vierteljaehrlich(F135)</f>
        <v/>
      </c>
      <c r="X135" s="35" t="n">
        <v>42600</v>
      </c>
      <c r="Z135" s="210">
        <f>IF(N135=TRUE,T135/K135,T135)</f>
        <v/>
      </c>
      <c r="AA135" s="237">
        <f>Y135/100*V134</f>
        <v/>
      </c>
      <c r="AB135">
        <f>IF(AND(Y135&gt;0,Q135=Y135),TRUE,FALSE)</f>
        <v/>
      </c>
    </row>
    <row r="136">
      <c r="A136" t="n">
        <v>135</v>
      </c>
      <c r="D136" s="9" t="inlineStr">
        <is>
          <t>6113730707</t>
        </is>
      </c>
      <c r="E136" s="1" t="n">
        <v>42545</v>
      </c>
      <c r="F136" s="1" t="n">
        <v>42552</v>
      </c>
      <c r="G136" s="1">
        <f>CONCATENATE(H136,": ",J136)</f>
        <v/>
      </c>
      <c r="H136" t="inlineStr">
        <is>
          <t>Hutchison Drei Austria GmbH, Brünner Straße 52, 1210 Wien, Österreich</t>
        </is>
      </c>
      <c r="N136">
        <f>(IF(AND(K136&lt;&gt;"",ABS(T136)&gt;400),TRUE,FALSE))</f>
        <v/>
      </c>
      <c r="O136" s="36" t="n">
        <v>15</v>
      </c>
      <c r="P136" s="51" t="n">
        <v>1</v>
      </c>
      <c r="Q136" s="27" t="n">
        <v>20</v>
      </c>
      <c r="R136" s="237">
        <f>O136*Q136/100</f>
        <v/>
      </c>
      <c r="S136" s="237">
        <f>P136*R136</f>
        <v/>
      </c>
      <c r="T136" s="208">
        <f>O136*P136</f>
        <v/>
      </c>
      <c r="U136" s="251">
        <f>O136+R136</f>
        <v/>
      </c>
      <c r="V136" s="251">
        <f>T136+S136</f>
        <v/>
      </c>
      <c r="W136" s="35">
        <f>voranmeldefrist_vierteljaehrlich(F136)</f>
        <v/>
      </c>
      <c r="X136" s="35" t="n">
        <v>42687</v>
      </c>
      <c r="Z136" s="210">
        <f>IF(N136=TRUE,T136/K136,T136)</f>
        <v/>
      </c>
      <c r="AA136" s="237">
        <f>Y136/100*V136</f>
        <v/>
      </c>
      <c r="AB136">
        <f>IF(AND(Y136&gt;0,Q136=Y136),TRUE,FALSE)</f>
        <v/>
      </c>
    </row>
    <row r="137">
      <c r="A137" t="n">
        <v>136</v>
      </c>
      <c r="D137" s="9" t="inlineStr">
        <is>
          <t>R0005749273</t>
        </is>
      </c>
      <c r="E137" s="1" t="n">
        <v>42529</v>
      </c>
      <c r="F137" s="1" t="n">
        <v>42531</v>
      </c>
      <c r="G137" s="1">
        <f>CONCATENATE(H137,": ",J137)</f>
        <v/>
      </c>
      <c r="H137" t="inlineStr">
        <is>
          <t>Hetzner Online AG, Industriestr. 25, 91710 Gunzenhausen</t>
        </is>
      </c>
      <c r="I137" s="10" t="inlineStr">
        <is>
          <t>DE812871812</t>
        </is>
      </c>
      <c r="J137" t="inlineStr">
        <is>
          <t>EQ4 Server #50605 30TB 188.40.75.200, 188.40.75.242</t>
        </is>
      </c>
      <c r="N137">
        <f>(IF(AND(K137&lt;&gt;"",ABS(T137)&gt;400),TRUE,FALSE))</f>
        <v/>
      </c>
      <c r="O137" s="36" t="n">
        <v>41.18</v>
      </c>
      <c r="P137" s="51" t="n">
        <v>1</v>
      </c>
      <c r="Q137" s="27" t="n">
        <v>0</v>
      </c>
      <c r="R137" s="237">
        <f>O137*Q137/100</f>
        <v/>
      </c>
      <c r="S137" s="237">
        <f>P137*R137</f>
        <v/>
      </c>
      <c r="T137" s="208">
        <f>O137*P137</f>
        <v/>
      </c>
      <c r="U137" s="251">
        <f>O137+R137</f>
        <v/>
      </c>
      <c r="V137" s="251">
        <f>T137+S137</f>
        <v/>
      </c>
      <c r="W137" s="35">
        <f>voranmeldefrist_vierteljaehrlich(F137)</f>
        <v/>
      </c>
      <c r="X137" s="35" t="n">
        <v>42600</v>
      </c>
      <c r="Y137" s="27" t="n">
        <v>20</v>
      </c>
      <c r="Z137" s="210">
        <f>IF(N137=TRUE,T137/K137,T137)</f>
        <v/>
      </c>
      <c r="AA137" s="237">
        <f>Y137/100*V137</f>
        <v/>
      </c>
      <c r="AB137">
        <f>IF(AND(Y137&gt;0,Q137=Y137),TRUE,FALSE)</f>
        <v/>
      </c>
    </row>
    <row r="138">
      <c r="A138" t="n">
        <v>137</v>
      </c>
      <c r="D138" s="9" t="inlineStr">
        <is>
          <t>6344131574</t>
        </is>
      </c>
      <c r="E138" s="1" t="n">
        <v>42545</v>
      </c>
      <c r="F138" s="1" t="n">
        <v>42547</v>
      </c>
      <c r="G138" s="1">
        <f>CONCATENATE(H138,": ",J138)</f>
        <v/>
      </c>
      <c r="H138" t="inlineStr">
        <is>
          <t>Digital River Ireland, Ltd., Unit 153 Shannon Free Zone, Shannon, CO. Clare, Ireland</t>
        </is>
      </c>
      <c r="I138" t="inlineStr">
        <is>
          <t>ATU66641618</t>
        </is>
      </c>
      <c r="J138" t="inlineStr">
        <is>
          <t>Lenovo HDMI-VGA</t>
        </is>
      </c>
      <c r="N138" t="b">
        <v>0</v>
      </c>
      <c r="O138" s="36" t="n">
        <v>21</v>
      </c>
      <c r="P138" s="51" t="n">
        <v>1</v>
      </c>
      <c r="Q138" s="27" t="n">
        <v>20</v>
      </c>
      <c r="R138" s="237">
        <f>O138*Q138/100</f>
        <v/>
      </c>
      <c r="S138" s="237">
        <f>P138*R138</f>
        <v/>
      </c>
      <c r="T138" s="208">
        <f>O138*P138</f>
        <v/>
      </c>
      <c r="U138" s="251">
        <f>O138+R138</f>
        <v/>
      </c>
      <c r="V138" s="251">
        <f>T138+S138</f>
        <v/>
      </c>
      <c r="W138" s="35">
        <f>voranmeldefrist_vierteljaehrlich(F138)</f>
        <v/>
      </c>
      <c r="X138" s="35" t="n">
        <v>42600</v>
      </c>
      <c r="Z138" s="210">
        <f>IF(N138=TRUE,T138/K138,T138)</f>
        <v/>
      </c>
      <c r="AA138" s="237">
        <f>Y138/100*V138</f>
        <v/>
      </c>
      <c r="AB138">
        <f>IF(AND(Y138&gt;0,Q138=Y138),TRUE,FALSE)</f>
        <v/>
      </c>
    </row>
    <row r="139">
      <c r="A139" t="n">
        <v>138</v>
      </c>
      <c r="D139" s="9" t="inlineStr">
        <is>
          <t>6343653188</t>
        </is>
      </c>
      <c r="E139" s="1" t="n">
        <v>42541</v>
      </c>
      <c r="F139" s="1" t="n">
        <v>42543</v>
      </c>
      <c r="G139" s="1">
        <f>CONCATENATE(H139,": ",J139)</f>
        <v/>
      </c>
      <c r="H139" t="inlineStr">
        <is>
          <t>Digital River Ireland, Ltd., Unit 153 Shannon Free Zone, Shannon, CO. Clare, Ireland</t>
        </is>
      </c>
      <c r="I139" t="inlineStr">
        <is>
          <t>ATU66641618</t>
        </is>
      </c>
      <c r="J139" t="inlineStr">
        <is>
          <t>ThinkPad Workstation Dock, Lenovo Mini-DP-DP-Kabel</t>
        </is>
      </c>
      <c r="N139" t="b">
        <v>0</v>
      </c>
      <c r="O139" s="36" t="n">
        <v>309</v>
      </c>
      <c r="P139" s="51" t="n">
        <v>1</v>
      </c>
      <c r="Q139" s="27" t="n">
        <v>20</v>
      </c>
      <c r="R139" s="237">
        <f>O139*Q139/100</f>
        <v/>
      </c>
      <c r="S139" s="237">
        <f>P139*R139</f>
        <v/>
      </c>
      <c r="T139" s="208">
        <f>O139*P139</f>
        <v/>
      </c>
      <c r="U139" s="251">
        <f>O139+R139</f>
        <v/>
      </c>
      <c r="V139" s="251">
        <f>T139+S139</f>
        <v/>
      </c>
      <c r="W139" s="35">
        <f>voranmeldefrist_vierteljaehrlich(F139)</f>
        <v/>
      </c>
      <c r="X139" s="35" t="n">
        <v>42600</v>
      </c>
      <c r="Z139" s="210">
        <f>IF(N139=TRUE,T139/K139,T139)</f>
        <v/>
      </c>
      <c r="AA139" s="237">
        <f>Y139/100*V139</f>
        <v/>
      </c>
      <c r="AB139">
        <f>IF(AND(Y139&gt;0,Q139=Y139),TRUE,FALSE)</f>
        <v/>
      </c>
    </row>
    <row r="140">
      <c r="A140" t="n">
        <v>139</v>
      </c>
      <c r="D140" s="9" t="inlineStr">
        <is>
          <t>6344312104</t>
        </is>
      </c>
      <c r="E140" s="1" t="n">
        <v>42547</v>
      </c>
      <c r="F140" s="1" t="n">
        <v>42549</v>
      </c>
      <c r="G140" s="1">
        <f>CONCATENATE(H140,": ",J140)</f>
        <v/>
      </c>
      <c r="H140" t="inlineStr">
        <is>
          <t>Digital River Ireland, Ltd., Unit 153 Shannon Free Zone, Shannon, CO. Clare, Ireland</t>
        </is>
      </c>
      <c r="I140" t="inlineStr">
        <is>
          <t>ATU66641618</t>
        </is>
      </c>
      <c r="J140" t="inlineStr">
        <is>
          <t>ThinkPad P70</t>
        </is>
      </c>
      <c r="N140" t="b">
        <v>0</v>
      </c>
      <c r="O140" s="36" t="n">
        <v>2265.96</v>
      </c>
      <c r="P140" s="51" t="n">
        <v>1</v>
      </c>
      <c r="Q140" s="27" t="n">
        <v>20</v>
      </c>
      <c r="R140" s="237">
        <f>O140*Q140/100</f>
        <v/>
      </c>
      <c r="S140" s="237">
        <f>P140*R140</f>
        <v/>
      </c>
      <c r="T140" s="208">
        <f>O140*P140</f>
        <v/>
      </c>
      <c r="U140" s="251">
        <f>O140+R140</f>
        <v/>
      </c>
      <c r="V140" s="251">
        <f>T140+S140</f>
        <v/>
      </c>
      <c r="W140" s="35">
        <f>voranmeldefrist_vierteljaehrlich(F140)</f>
        <v/>
      </c>
      <c r="X140" s="35" t="n">
        <v>42600</v>
      </c>
      <c r="Z140" s="210">
        <f>IF(N140=TRUE,T140/K140,T140)</f>
        <v/>
      </c>
      <c r="AA140" s="237">
        <f>Y140/100*V140</f>
        <v/>
      </c>
      <c r="AB140">
        <f>IF(AND(Y140&gt;0,Q140=Y140),TRUE,FALSE)</f>
        <v/>
      </c>
    </row>
    <row r="141">
      <c r="A141" t="n">
        <v>140</v>
      </c>
      <c r="D141" s="9" t="inlineStr">
        <is>
          <t>0769707885498422</t>
        </is>
      </c>
      <c r="E141" s="1" t="n">
        <v>42536</v>
      </c>
      <c r="F141" s="1" t="n">
        <v>42538</v>
      </c>
      <c r="G141" s="1">
        <f>CONCATENATE(H141,": ",J141)</f>
        <v/>
      </c>
      <c r="H141" t="inlineStr">
        <is>
          <t>ÖBB-Personenverkehr AG</t>
        </is>
      </c>
      <c r="J141" t="inlineStr">
        <is>
          <t>Wien-Feldkirch, Feldirch-Wien</t>
        </is>
      </c>
      <c r="N141" t="b">
        <v>0</v>
      </c>
      <c r="O141" s="36" t="n">
        <v>76.36</v>
      </c>
      <c r="P141" s="51" t="n">
        <v>1</v>
      </c>
      <c r="Q141" s="27" t="n">
        <v>10</v>
      </c>
      <c r="R141" s="237">
        <f>O141*Q141/100</f>
        <v/>
      </c>
      <c r="S141" s="237">
        <f>P141*R141</f>
        <v/>
      </c>
      <c r="T141" s="208">
        <f>O141*P141</f>
        <v/>
      </c>
      <c r="U141" s="251">
        <f>O141+R141</f>
        <v/>
      </c>
      <c r="V141" s="251">
        <f>T141+S141</f>
        <v/>
      </c>
      <c r="W141" s="35">
        <f>voranmeldefrist_vierteljaehrlich(F141)</f>
        <v/>
      </c>
      <c r="X141" s="35" t="n">
        <v>42600</v>
      </c>
      <c r="Z141" s="210">
        <f>IF(N141=TRUE,T141/K141,T141)</f>
        <v/>
      </c>
      <c r="AA141" s="237">
        <f>Y141/100*V141</f>
        <v/>
      </c>
      <c r="AB141">
        <f>IF(AND(Y141&gt;0,Q141=Y141),TRUE,FALSE)</f>
        <v/>
      </c>
    </row>
    <row r="142">
      <c r="A142" t="n">
        <v>141</v>
      </c>
      <c r="D142" s="9" t="inlineStr">
        <is>
          <t>14000403096/40/2016</t>
        </is>
      </c>
      <c r="E142" s="1" t="n">
        <v>42522</v>
      </c>
      <c r="F142" s="1" t="n">
        <v>42536</v>
      </c>
      <c r="G142" s="1">
        <f>CONCATENATE(H142,": ",J142)</f>
        <v/>
      </c>
      <c r="H142" t="inlineStr">
        <is>
          <t>MONTANA Energie-Handel AT GmbH</t>
        </is>
      </c>
      <c r="J142" t="inlineStr">
        <is>
          <t>Teilzahlungsbetrag Gas 14000403096</t>
        </is>
      </c>
      <c r="N142">
        <f>(IF(AND(K142&lt;&gt;"",ABS(T142)&gt;400),TRUE,FALSE))</f>
        <v/>
      </c>
      <c r="O142" s="36" t="n">
        <v>52.5</v>
      </c>
      <c r="P142" s="51">
        <f>Arbeitszimmer!$B$3</f>
        <v/>
      </c>
      <c r="Q142" s="27" t="n">
        <v>20</v>
      </c>
      <c r="R142" s="237">
        <f>O142*Q142/100</f>
        <v/>
      </c>
      <c r="S142" s="237">
        <f>P142*R142</f>
        <v/>
      </c>
      <c r="T142" s="208">
        <f>O142*P142</f>
        <v/>
      </c>
      <c r="U142" s="251">
        <f>O142+R142</f>
        <v/>
      </c>
      <c r="V142" s="251">
        <f>T142+S142</f>
        <v/>
      </c>
      <c r="W142" s="35">
        <f>voranmeldefrist_vierteljaehrlich(F142)</f>
        <v/>
      </c>
      <c r="X142" s="35" t="n">
        <v>42600</v>
      </c>
      <c r="Z142" s="210">
        <f>IF(N142=TRUE,T142/K142,T142)</f>
        <v/>
      </c>
      <c r="AA142" s="237">
        <f>Y142/100*V142</f>
        <v/>
      </c>
      <c r="AB142">
        <f>IF(AND(Y142&gt;0,Q142=Y142),TRUE,FALSE)</f>
        <v/>
      </c>
    </row>
    <row r="143">
      <c r="A143" t="n">
        <v>142</v>
      </c>
      <c r="D143" s="9" t="inlineStr">
        <is>
          <t>3456133875</t>
        </is>
      </c>
      <c r="E143" s="1" t="n">
        <v>42541</v>
      </c>
      <c r="F143" s="1" t="n">
        <v>42543</v>
      </c>
      <c r="G143" s="1">
        <f>CONCATENATE(H143,": ",J143)</f>
        <v/>
      </c>
      <c r="H143" t="inlineStr">
        <is>
          <t>Microsoft Luxembourg Sàrl, 23-29, Rives de Clausen, L-2165 Luxembourg, Luxembourg, USt-IdNr.: LU19878750</t>
        </is>
      </c>
      <c r="N143">
        <f>(IF(AND(K143&lt;&gt;"",ABS(T143)&gt;400),TRUE,FALSE))</f>
        <v/>
      </c>
      <c r="O143" s="36" t="n">
        <v>57.5</v>
      </c>
      <c r="P143" s="51" t="n">
        <v>1</v>
      </c>
      <c r="Q143" s="27" t="n">
        <v>20</v>
      </c>
      <c r="R143" s="237">
        <f>O143*Q143/100</f>
        <v/>
      </c>
      <c r="S143" s="237">
        <f>P143*R143</f>
        <v/>
      </c>
      <c r="T143" s="208">
        <f>O143*P143</f>
        <v/>
      </c>
      <c r="U143" s="251">
        <f>O143+R143</f>
        <v/>
      </c>
      <c r="V143" s="251">
        <f>T143+S143</f>
        <v/>
      </c>
      <c r="W143" s="35">
        <f>voranmeldefrist_vierteljaehrlich(F143)</f>
        <v/>
      </c>
      <c r="X143" s="35" t="n">
        <v>42600</v>
      </c>
      <c r="Z143" s="210">
        <f>IF(N143=TRUE,T143/K143,T143)</f>
        <v/>
      </c>
      <c r="AA143" s="237">
        <f>Y143/100*V143</f>
        <v/>
      </c>
      <c r="AB143">
        <f>IF(AND(Y143&gt;0,Q143=Y143),TRUE,FALSE)</f>
        <v/>
      </c>
    </row>
    <row r="144">
      <c r="A144" t="n">
        <v>143</v>
      </c>
      <c r="D144" s="9" t="inlineStr">
        <is>
          <t>4756070616</t>
        </is>
      </c>
      <c r="E144" s="1" t="n">
        <v>42522</v>
      </c>
      <c r="F144" s="1" t="n">
        <v>42517</v>
      </c>
      <c r="G144" s="1">
        <f>CONCATENATE(H144,": ",J144)</f>
        <v/>
      </c>
      <c r="H144" t="inlineStr">
        <is>
          <t>IMV Immobilien Management GmbH</t>
        </is>
      </c>
      <c r="I144" t="inlineStr">
        <is>
          <t>ATU60795919</t>
        </is>
      </c>
      <c r="J144" t="inlineStr">
        <is>
          <t>Vorschreibung 6/16</t>
        </is>
      </c>
      <c r="N144">
        <f>(IF(AND(K144&lt;&gt;"",ABS(T144)&gt;400),TRUE,FALSE))</f>
        <v/>
      </c>
      <c r="O144" s="36" t="n">
        <v>801.77</v>
      </c>
      <c r="P144" s="51">
        <f>Arbeitszimmer!$B$3</f>
        <v/>
      </c>
      <c r="Q144" s="27" t="n">
        <v>10</v>
      </c>
      <c r="R144" s="237">
        <f>O144*Q144/100</f>
        <v/>
      </c>
      <c r="S144" s="237">
        <f>P144*R144</f>
        <v/>
      </c>
      <c r="T144" s="208">
        <f>O144*P144</f>
        <v/>
      </c>
      <c r="U144" s="251">
        <f>O144+R144</f>
        <v/>
      </c>
      <c r="V144" s="251">
        <f>T144+S144</f>
        <v/>
      </c>
      <c r="W144" s="35">
        <f>voranmeldefrist_vierteljaehrlich(F144)</f>
        <v/>
      </c>
      <c r="X144" s="35" t="n">
        <v>42600</v>
      </c>
      <c r="Z144" s="210">
        <f>IF(N144=TRUE,T144/K144,T144)</f>
        <v/>
      </c>
      <c r="AA144" s="237">
        <f>Y144/100*V144</f>
        <v/>
      </c>
      <c r="AB144">
        <f>IF(AND(Y144&gt;0,Q144=Y144),TRUE,FALSE)</f>
        <v/>
      </c>
    </row>
    <row r="145">
      <c r="A145" t="n">
        <v>144</v>
      </c>
      <c r="D145" s="9" t="inlineStr">
        <is>
          <t>4756070716</t>
        </is>
      </c>
      <c r="E145" s="1" t="n">
        <v>42552</v>
      </c>
      <c r="F145" s="1" t="n">
        <v>42550</v>
      </c>
      <c r="G145" s="1">
        <f>CONCATENATE(H145,": ",J145)</f>
        <v/>
      </c>
      <c r="H145" t="inlineStr">
        <is>
          <t>IMV Immobilien Management GmbH</t>
        </is>
      </c>
      <c r="I145" t="inlineStr">
        <is>
          <t>ATU60795919</t>
        </is>
      </c>
      <c r="J145" t="inlineStr">
        <is>
          <t>Vorschreibung 7/16</t>
        </is>
      </c>
      <c r="N145">
        <f>(IF(AND(K145&lt;&gt;"",ABS(T145)&gt;400),TRUE,FALSE))</f>
        <v/>
      </c>
      <c r="O145" s="36" t="n">
        <v>801.77</v>
      </c>
      <c r="P145" s="51">
        <f>Arbeitszimmer!$B$3</f>
        <v/>
      </c>
      <c r="Q145" s="27" t="n">
        <v>10</v>
      </c>
      <c r="R145" s="237">
        <f>O145*Q145/100</f>
        <v/>
      </c>
      <c r="S145" s="237">
        <f>P145*R145</f>
        <v/>
      </c>
      <c r="T145" s="208">
        <f>O145*P145</f>
        <v/>
      </c>
      <c r="U145" s="251">
        <f>O145+R145</f>
        <v/>
      </c>
      <c r="V145" s="251">
        <f>T145+S145</f>
        <v/>
      </c>
      <c r="W145" s="35">
        <f>voranmeldefrist_vierteljaehrlich(F145)</f>
        <v/>
      </c>
      <c r="X145" s="35" t="n">
        <v>42600</v>
      </c>
      <c r="Z145" s="210">
        <f>IF(N145=TRUE,T145/K145,T145)</f>
        <v/>
      </c>
      <c r="AA145" s="237">
        <f>Y145/100*V145</f>
        <v/>
      </c>
      <c r="AB145">
        <f>IF(AND(Y145&gt;0,Q145=Y145),TRUE,FALSE)</f>
        <v/>
      </c>
    </row>
    <row r="146">
      <c r="A146" t="n">
        <v>145</v>
      </c>
      <c r="D146" s="9" t="inlineStr">
        <is>
          <t>4756070816</t>
        </is>
      </c>
      <c r="E146" s="1" t="n">
        <v>42583</v>
      </c>
      <c r="F146" s="1" t="n">
        <v>42579</v>
      </c>
      <c r="G146" s="1">
        <f>CONCATENATE(H146,": ",J146)</f>
        <v/>
      </c>
      <c r="H146" t="inlineStr">
        <is>
          <t>IMV Immobilien Management GmbH</t>
        </is>
      </c>
      <c r="I146" t="inlineStr">
        <is>
          <t>ATU60795919</t>
        </is>
      </c>
      <c r="J146" t="inlineStr">
        <is>
          <t>Vorschreibung 8/16</t>
        </is>
      </c>
      <c r="N146">
        <f>(IF(AND(K146&lt;&gt;"",ABS(T146)&gt;400),TRUE,FALSE))</f>
        <v/>
      </c>
      <c r="O146" s="36" t="n">
        <v>475.87</v>
      </c>
      <c r="P146" s="51">
        <f>Arbeitszimmer!$B$3</f>
        <v/>
      </c>
      <c r="Q146" s="27" t="n">
        <v>10</v>
      </c>
      <c r="R146" s="237">
        <f>O146*Q146/100</f>
        <v/>
      </c>
      <c r="S146" s="237">
        <f>P146*R146</f>
        <v/>
      </c>
      <c r="T146" s="208">
        <f>O146*P146</f>
        <v/>
      </c>
      <c r="U146" s="251">
        <f>O146+R146</f>
        <v/>
      </c>
      <c r="V146" s="251">
        <f>T146+S146</f>
        <v/>
      </c>
      <c r="W146" s="35">
        <f>voranmeldefrist_vierteljaehrlich(F146)</f>
        <v/>
      </c>
      <c r="X146" s="35" t="n">
        <v>42687</v>
      </c>
      <c r="Z146" s="210">
        <f>IF(N146=TRUE,T146/K146,T146)</f>
        <v/>
      </c>
      <c r="AA146" s="237">
        <f>Y146/100*V146</f>
        <v/>
      </c>
      <c r="AB146">
        <f>IF(AND(Y146&gt;0,Q146=Y146),TRUE,FALSE)</f>
        <v/>
      </c>
    </row>
    <row r="147">
      <c r="A147" t="n">
        <v>146</v>
      </c>
      <c r="D147" s="9" t="inlineStr">
        <is>
          <t>4756070916</t>
        </is>
      </c>
      <c r="E147" s="1" t="n">
        <v>42614</v>
      </c>
      <c r="F147" s="1" t="n">
        <v>42611</v>
      </c>
      <c r="G147" s="1">
        <f>CONCATENATE(H147,": ",J147)</f>
        <v/>
      </c>
      <c r="H147" t="inlineStr">
        <is>
          <t>IMV Immobilien Management GmbH</t>
        </is>
      </c>
      <c r="I147" t="inlineStr">
        <is>
          <t>ATU60795919</t>
        </is>
      </c>
      <c r="J147" t="inlineStr">
        <is>
          <t>Vorschreibung 9/16</t>
        </is>
      </c>
      <c r="N147">
        <f>(IF(AND(K147&lt;&gt;"",ABS(T147)&gt;400),TRUE,FALSE))</f>
        <v/>
      </c>
      <c r="O147" s="36" t="n">
        <v>801.77</v>
      </c>
      <c r="P147" s="51">
        <f>Arbeitszimmer!$B$3</f>
        <v/>
      </c>
      <c r="Q147" s="27" t="n">
        <v>10</v>
      </c>
      <c r="R147" s="237">
        <f>O147*Q147/100</f>
        <v/>
      </c>
      <c r="S147" s="237">
        <f>P147*R147</f>
        <v/>
      </c>
      <c r="T147" s="208">
        <f>O147*P147</f>
        <v/>
      </c>
      <c r="U147" s="251">
        <f>O147+R147</f>
        <v/>
      </c>
      <c r="V147" s="251">
        <f>T147+S147</f>
        <v/>
      </c>
      <c r="W147" s="35">
        <f>voranmeldefrist_vierteljaehrlich(F147)</f>
        <v/>
      </c>
      <c r="X147" s="35" t="n">
        <v>42687</v>
      </c>
      <c r="Z147" s="210">
        <f>IF(N147=TRUE,T147/K147,T147)</f>
        <v/>
      </c>
      <c r="AA147" s="237">
        <f>Y147/100*V147</f>
        <v/>
      </c>
      <c r="AB147">
        <f>IF(AND(Y147&gt;0,Q147=Y147),TRUE,FALSE)</f>
        <v/>
      </c>
    </row>
    <row r="148">
      <c r="A148" t="n">
        <v>147</v>
      </c>
      <c r="D148" s="9" t="inlineStr">
        <is>
          <t>FE0007366</t>
        </is>
      </c>
      <c r="E148" s="1" t="n">
        <v>42562</v>
      </c>
      <c r="F148" s="1" t="n">
        <v>42562</v>
      </c>
      <c r="G148" s="1">
        <f>CONCATENATE(H148,": ",J148)</f>
        <v/>
      </c>
      <c r="H148" t="inlineStr">
        <is>
          <t>XXXLutz Feldkirch, Königshofstraße 56, A-6800 Feldkirch</t>
        </is>
      </c>
      <c r="I148" t="inlineStr">
        <is>
          <t>ATU65296645</t>
        </is>
      </c>
      <c r="J148" t="inlineStr">
        <is>
          <t>Drehstuhl Air Synchro Plus Typ SN80W G200 Schwarz</t>
        </is>
      </c>
      <c r="N148">
        <f>(IF(AND(K148&lt;&gt;"",ABS(T148)&gt;400),TRUE,FALSE))</f>
        <v/>
      </c>
      <c r="O148" s="36" t="n">
        <v>369</v>
      </c>
      <c r="P148" s="51">
        <f>Arbeitszimmer!$B$3</f>
        <v/>
      </c>
      <c r="Q148" s="27" t="n">
        <v>10</v>
      </c>
      <c r="R148" s="237">
        <f>O148*Q148/100</f>
        <v/>
      </c>
      <c r="S148" s="237">
        <f>P148*R148</f>
        <v/>
      </c>
      <c r="T148" s="208">
        <f>O148*P148</f>
        <v/>
      </c>
      <c r="U148" s="251">
        <f>O148+R148</f>
        <v/>
      </c>
      <c r="V148" s="251">
        <f>T148+S148</f>
        <v/>
      </c>
      <c r="W148" s="35">
        <f>voranmeldefrist_vierteljaehrlich(F148)</f>
        <v/>
      </c>
      <c r="X148" s="35" t="n">
        <v>42687</v>
      </c>
      <c r="Z148" s="210">
        <f>IF(N148=TRUE,T148/K148,T148)</f>
        <v/>
      </c>
      <c r="AA148" s="237">
        <f>Y148/100*V148</f>
        <v/>
      </c>
      <c r="AB148">
        <f>IF(AND(Y148&gt;0,Q148=Y148),TRUE,FALSE)</f>
        <v/>
      </c>
    </row>
    <row r="149">
      <c r="A149" t="n">
        <v>148</v>
      </c>
      <c r="D149" s="9" t="inlineStr">
        <is>
          <t>EUVINS1-OFS-DE-212159591</t>
        </is>
      </c>
      <c r="E149" s="1" t="n">
        <v>42576</v>
      </c>
      <c r="F149" s="1" t="n">
        <v>42579</v>
      </c>
      <c r="G149" s="1">
        <f>CONCATENATE(H149,": ",J149)</f>
        <v/>
      </c>
      <c r="H149" t="inlineStr">
        <is>
          <t>Amazon EU Sàrl, 5 Rue Plaetis, L-2338, Luxemburg</t>
        </is>
      </c>
      <c r="I149" s="10" t="inlineStr">
        <is>
          <t>ATU62353134</t>
        </is>
      </c>
      <c r="J149" t="inlineStr">
        <is>
          <t>Samsung Galaxy Tab A (2016) T580N 25,54 cm (10,1 Zoll) Wi-Fi Tablet-PC B01ERY8650</t>
        </is>
      </c>
      <c r="N149" t="b">
        <v>0</v>
      </c>
      <c r="O149" s="36" t="n">
        <v>217.65</v>
      </c>
      <c r="P149" s="51" t="n">
        <v>1</v>
      </c>
      <c r="Q149" s="27" t="n">
        <v>20</v>
      </c>
      <c r="R149" s="237">
        <f>O149*Q149/100</f>
        <v/>
      </c>
      <c r="S149" s="237">
        <f>P149*R149</f>
        <v/>
      </c>
      <c r="T149" s="208">
        <f>O149*P149</f>
        <v/>
      </c>
      <c r="U149" s="251">
        <f>O149+R149</f>
        <v/>
      </c>
      <c r="V149" s="251">
        <f>T149+S149</f>
        <v/>
      </c>
      <c r="W149" s="35">
        <f>voranmeldefrist_vierteljaehrlich(F149)</f>
        <v/>
      </c>
      <c r="X149" s="35" t="n">
        <v>42687</v>
      </c>
      <c r="Z149" s="210">
        <f>IF(N149=TRUE,T149/K149,T149)</f>
        <v/>
      </c>
      <c r="AA149" s="237">
        <f>Y149/100*V149</f>
        <v/>
      </c>
      <c r="AB149">
        <f>IF(AND(Y149&gt;0,Q149=Y149),TRUE,FALSE)</f>
        <v/>
      </c>
    </row>
    <row r="150">
      <c r="A150" t="n">
        <v>149</v>
      </c>
      <c r="D150" s="9" t="inlineStr">
        <is>
          <t>EUVINS1-OFS-DE-211441587</t>
        </is>
      </c>
      <c r="E150" s="1" t="n">
        <v>42573</v>
      </c>
      <c r="F150" s="1" t="n">
        <v>42575</v>
      </c>
      <c r="G150" s="1">
        <f>CONCATENATE(H150,": ",J150)</f>
        <v/>
      </c>
      <c r="H150" t="inlineStr">
        <is>
          <t>Amazon EU Sàrl, 5 Rue Plaetis, L-2338, Luxemburg</t>
        </is>
      </c>
      <c r="I150" s="10" t="inlineStr">
        <is>
          <t>ATU62353134</t>
        </is>
      </c>
      <c r="J150" t="inlineStr">
        <is>
          <t>Microsoft Natural Egonomic Keyboard 4000 Tastatur schnurgebunden B000A6DJKW</t>
        </is>
      </c>
      <c r="N150" t="b">
        <v>0</v>
      </c>
      <c r="O150" s="36" t="n">
        <v>31.08</v>
      </c>
      <c r="P150" s="51" t="n">
        <v>1</v>
      </c>
      <c r="Q150" s="27" t="n">
        <v>20</v>
      </c>
      <c r="R150" s="237">
        <f>O150*Q150/100</f>
        <v/>
      </c>
      <c r="S150" s="237">
        <f>P150*R150</f>
        <v/>
      </c>
      <c r="T150" s="208">
        <f>O150*P150</f>
        <v/>
      </c>
      <c r="U150" s="251">
        <f>O150+R150</f>
        <v/>
      </c>
      <c r="V150" s="251">
        <f>T150+S150</f>
        <v/>
      </c>
      <c r="W150" s="35">
        <f>voranmeldefrist_vierteljaehrlich(F150)</f>
        <v/>
      </c>
      <c r="X150" s="35" t="n">
        <v>42687</v>
      </c>
      <c r="Z150" s="210">
        <f>IF(N150=TRUE,T150/K150,T150)</f>
        <v/>
      </c>
      <c r="AA150" s="237">
        <f>Y150/100*V150</f>
        <v/>
      </c>
      <c r="AB150">
        <f>IF(AND(Y150&gt;0,Q150=Y150),TRUE,FALSE)</f>
        <v/>
      </c>
    </row>
    <row r="151">
      <c r="A151" t="n">
        <v>150</v>
      </c>
      <c r="D151" s="9" t="inlineStr">
        <is>
          <t>EUVINS1-OFS-CZ-30177017</t>
        </is>
      </c>
      <c r="E151" s="1" t="n">
        <v>42546</v>
      </c>
      <c r="F151" s="1" t="n">
        <v>42550</v>
      </c>
      <c r="G151" s="1">
        <f>CONCATENATE(H151,": ",J151)</f>
        <v/>
      </c>
      <c r="H151" t="inlineStr">
        <is>
          <t>Amazon EU Sàrl, 5 Rue Plaetis, L-2338, Luxemburg</t>
        </is>
      </c>
      <c r="I151" s="10" t="inlineStr">
        <is>
          <t>ATU62353134</t>
        </is>
      </c>
      <c r="J151" t="inlineStr">
        <is>
          <t>Business Analysis und Requirements Engineering (Buch)</t>
        </is>
      </c>
      <c r="N151" t="b">
        <v>0</v>
      </c>
      <c r="O151" s="36" t="n">
        <v>29.4</v>
      </c>
      <c r="P151" s="51" t="n">
        <v>1</v>
      </c>
      <c r="Q151" s="27" t="n">
        <v>20</v>
      </c>
      <c r="R151" s="237">
        <f>O151*Q151/100</f>
        <v/>
      </c>
      <c r="S151" s="237">
        <f>P151*R151</f>
        <v/>
      </c>
      <c r="T151" s="208">
        <f>O151*P151</f>
        <v/>
      </c>
      <c r="U151" s="251">
        <f>O151+R151</f>
        <v/>
      </c>
      <c r="V151" s="251">
        <f>T151+S151</f>
        <v/>
      </c>
      <c r="W151" s="35">
        <f>voranmeldefrist_vierteljaehrlich(F151)</f>
        <v/>
      </c>
      <c r="X151" s="35" t="n">
        <v>42600</v>
      </c>
      <c r="Z151" s="210">
        <f>IF(N151=TRUE,T151/K151,T151)</f>
        <v/>
      </c>
      <c r="AA151" s="237">
        <f>Y151/100*V151</f>
        <v/>
      </c>
      <c r="AB151">
        <f>IF(AND(Y151&gt;0,Q151=Y151),TRUE,FALSE)</f>
        <v/>
      </c>
    </row>
    <row r="152">
      <c r="A152" t="n">
        <v>151</v>
      </c>
      <c r="D152" s="9" t="inlineStr">
        <is>
          <t>R0006002303</t>
        </is>
      </c>
      <c r="E152" s="1" t="n">
        <v>42559</v>
      </c>
      <c r="F152" s="1" t="n">
        <v>42563</v>
      </c>
      <c r="G152" s="1">
        <f>CONCATENATE(H152,": ",J152)</f>
        <v/>
      </c>
      <c r="H152" t="inlineStr">
        <is>
          <t>Hetzner Online AG, Industriestr. 25, 91710 Gunzenhausen</t>
        </is>
      </c>
      <c r="I152" s="10" t="inlineStr">
        <is>
          <t>DE812871812</t>
        </is>
      </c>
      <c r="J152" t="inlineStr">
        <is>
          <t>EQ4 Server #50605 30TB 188.40.75.200, 188.40.75.242</t>
        </is>
      </c>
      <c r="N152">
        <f>(IF(AND(K152&lt;&gt;"",ABS(T152)&gt;400),TRUE,FALSE))</f>
        <v/>
      </c>
      <c r="O152" s="36" t="n">
        <v>42.02</v>
      </c>
      <c r="P152" s="51" t="n">
        <v>1</v>
      </c>
      <c r="Q152" s="27" t="n">
        <v>0</v>
      </c>
      <c r="R152" s="237">
        <f>O152*Q152/100</f>
        <v/>
      </c>
      <c r="S152" s="237">
        <f>P152*R152</f>
        <v/>
      </c>
      <c r="T152" s="208">
        <f>O152*P152</f>
        <v/>
      </c>
      <c r="U152" s="251">
        <f>O152+R152</f>
        <v/>
      </c>
      <c r="V152" s="251">
        <f>T152+S152</f>
        <v/>
      </c>
      <c r="W152" s="35">
        <f>voranmeldefrist_vierteljaehrlich(F152)</f>
        <v/>
      </c>
      <c r="X152" s="35" t="n">
        <v>42687</v>
      </c>
      <c r="Y152" s="27" t="n">
        <v>20</v>
      </c>
      <c r="Z152" s="210">
        <f>IF(N152=TRUE,T152/K152,T152)</f>
        <v/>
      </c>
      <c r="AA152" s="237">
        <f>Y152/100*V152</f>
        <v/>
      </c>
      <c r="AB152">
        <f>IF(AND(Y152&gt;0,Q152=Y152),TRUE,FALSE)</f>
        <v/>
      </c>
    </row>
    <row r="153">
      <c r="A153" t="n">
        <v>152</v>
      </c>
      <c r="D153" s="9" t="inlineStr">
        <is>
          <t>6115545802</t>
        </is>
      </c>
      <c r="E153" s="1" t="n">
        <v>42577</v>
      </c>
      <c r="F153" s="1" t="n">
        <v>42586</v>
      </c>
      <c r="G153" s="1">
        <f>CONCATENATE(H153,": ",J153)</f>
        <v/>
      </c>
      <c r="H153" t="inlineStr">
        <is>
          <t>Hutchison Drei Austria GmbH, Brünner Straße 52, 1210 Wien, Österreich</t>
        </is>
      </c>
      <c r="N153">
        <f>(IF(AND(K153&lt;&gt;"",ABS(T153)&gt;400),TRUE,FALSE))</f>
        <v/>
      </c>
      <c r="O153" s="36" t="n">
        <v>15</v>
      </c>
      <c r="P153" s="51" t="n">
        <v>1</v>
      </c>
      <c r="Q153" s="27" t="n">
        <v>20</v>
      </c>
      <c r="R153" s="237">
        <f>O153*Q153/100</f>
        <v/>
      </c>
      <c r="S153" s="237">
        <f>P153*R153</f>
        <v/>
      </c>
      <c r="T153" s="208">
        <f>O153*P153</f>
        <v/>
      </c>
      <c r="U153" s="251">
        <f>O153+R153</f>
        <v/>
      </c>
      <c r="V153" s="251">
        <f>T153+S153</f>
        <v/>
      </c>
      <c r="W153" s="35">
        <f>voranmeldefrist_vierteljaehrlich(F153)</f>
        <v/>
      </c>
      <c r="X153" s="35" t="n">
        <v>42687</v>
      </c>
      <c r="Z153" s="210">
        <f>IF(N153=TRUE,T153/K153,T153)</f>
        <v/>
      </c>
      <c r="AA153" s="237">
        <f>Y153/100*V153</f>
        <v/>
      </c>
      <c r="AB153">
        <f>IF(AND(Y153&gt;0,Q153=Y153),TRUE,FALSE)</f>
        <v/>
      </c>
    </row>
    <row r="154">
      <c r="A154" t="n">
        <v>153</v>
      </c>
      <c r="D154" s="9" t="inlineStr">
        <is>
          <t>EUVINS1-OFS-PL-201740217</t>
        </is>
      </c>
      <c r="E154" s="1" t="n">
        <v>42587</v>
      </c>
      <c r="F154" s="1" t="n">
        <v>42588</v>
      </c>
      <c r="G154" s="1">
        <f>CONCATENATE(H154,": ",J154)</f>
        <v/>
      </c>
      <c r="H154" t="inlineStr">
        <is>
          <t>Amazon EU Sàrl, 5 Rue Plaetis, L-2338, Luxemburg</t>
        </is>
      </c>
      <c r="I154" s="10" t="inlineStr">
        <is>
          <t>ATU62353134</t>
        </is>
      </c>
      <c r="J154" t="inlineStr">
        <is>
          <t>SanDisk Extreme USB-Flash-Laufwerk 32GB USB 3.0 FFP bis zu 245 MB/Sek | B0095SIH2Q</t>
        </is>
      </c>
      <c r="N154" t="b">
        <v>0</v>
      </c>
      <c r="O154" s="36" t="n">
        <v>20.16</v>
      </c>
      <c r="P154" s="51" t="n">
        <v>1</v>
      </c>
      <c r="Q154" s="27" t="n">
        <v>20</v>
      </c>
      <c r="R154" s="237">
        <f>O154*Q154/100</f>
        <v/>
      </c>
      <c r="S154" s="237">
        <f>P154*R154</f>
        <v/>
      </c>
      <c r="T154" s="208">
        <f>O154*P154</f>
        <v/>
      </c>
      <c r="U154" s="251">
        <f>O154+R154</f>
        <v/>
      </c>
      <c r="V154" s="251">
        <f>T154+S154</f>
        <v/>
      </c>
      <c r="W154" s="35">
        <f>voranmeldefrist_vierteljaehrlich(F154)</f>
        <v/>
      </c>
      <c r="X154" s="35" t="n">
        <v>42687</v>
      </c>
      <c r="Z154" s="210">
        <f>IF(N154=TRUE,T154/K154,T154)</f>
        <v/>
      </c>
      <c r="AA154" s="237">
        <f>Y154/100*V154</f>
        <v/>
      </c>
      <c r="AB154">
        <f>IF(AND(Y154&gt;0,Q154=Y154),TRUE,FALSE)</f>
        <v/>
      </c>
    </row>
    <row r="155">
      <c r="A155" t="n">
        <v>154</v>
      </c>
      <c r="D155" s="9" t="inlineStr">
        <is>
          <t>6362490</t>
        </is>
      </c>
      <c r="E155" s="1" t="n">
        <v>42590</v>
      </c>
      <c r="F155" s="1" t="n">
        <v>42588</v>
      </c>
      <c r="G155" s="1">
        <f>CONCATENATE(H155,": ",J155)</f>
        <v/>
      </c>
      <c r="H155" t="inlineStr">
        <is>
          <t>(Achtung: Zahlung über Amazon) Ganz Einfach GmbH · Wohlenbergstr. 16 · 30179 Hannover</t>
        </is>
      </c>
      <c r="I155" s="10" t="n"/>
      <c r="J155" t="inlineStr">
        <is>
          <t>HID Maus USB, R, 6 Tasten, optisch, 1600dpi, schwarz, vertikal, CSL / 260681 19,85 19,85 1000/1600dpi, vertikale Form</t>
        </is>
      </c>
      <c r="N155" t="b">
        <v>0</v>
      </c>
      <c r="O155" s="36" t="n">
        <v>16.54</v>
      </c>
      <c r="P155" s="51" t="n">
        <v>1</v>
      </c>
      <c r="Q155" s="27" t="n">
        <v>20</v>
      </c>
      <c r="R155" s="237">
        <f>O155*Q155/100</f>
        <v/>
      </c>
      <c r="S155" s="237">
        <f>P155*R155</f>
        <v/>
      </c>
      <c r="T155" s="208">
        <f>O155*P155</f>
        <v/>
      </c>
      <c r="U155" s="251">
        <f>O155+R155</f>
        <v/>
      </c>
      <c r="V155" s="251">
        <f>T155+S155</f>
        <v/>
      </c>
      <c r="W155" s="35">
        <f>voranmeldefrist_vierteljaehrlich(F155)</f>
        <v/>
      </c>
      <c r="X155" s="35" t="n">
        <v>42687</v>
      </c>
      <c r="Z155" s="210">
        <f>IF(N155=TRUE,T155/K155,T155)</f>
        <v/>
      </c>
      <c r="AA155" s="237">
        <f>Y155/100*V155</f>
        <v/>
      </c>
      <c r="AB155">
        <f>IF(AND(Y155&gt;0,Q155=Y155),TRUE,FALSE)</f>
        <v/>
      </c>
    </row>
    <row r="156">
      <c r="A156" t="n">
        <v>155</v>
      </c>
      <c r="D156" s="9" t="inlineStr">
        <is>
          <t>201607/08</t>
        </is>
      </c>
      <c r="E156" s="1" t="n">
        <v>42571</v>
      </c>
      <c r="F156" s="1" t="n">
        <v>42591</v>
      </c>
      <c r="G156" s="1">
        <f>CONCATENATE(H156,": ",J156)</f>
        <v/>
      </c>
      <c r="H156" t="inlineStr">
        <is>
          <t>Software Quality Lab GmbH, Gewerbepark Urfahr 6, 4040 Linz</t>
        </is>
      </c>
      <c r="I156" s="10" t="n"/>
      <c r="J156" t="inlineStr">
        <is>
          <t>Prüfungsgebühr IREB Certified Professional for Requirements Engineering - öffentliches Seminar</t>
        </is>
      </c>
      <c r="N156">
        <f>(IF(AND(K156&lt;&gt;"",ABS(T156)&gt;400),TRUE,FALSE))</f>
        <v/>
      </c>
      <c r="O156" s="36" t="n">
        <v>250</v>
      </c>
      <c r="P156" s="51" t="n">
        <v>1</v>
      </c>
      <c r="Q156" s="27" t="n">
        <v>20</v>
      </c>
      <c r="R156" s="237">
        <f>O156*Q156/100</f>
        <v/>
      </c>
      <c r="S156" s="237">
        <f>P156*R156</f>
        <v/>
      </c>
      <c r="T156" s="208">
        <f>O156*P156</f>
        <v/>
      </c>
      <c r="U156" s="251">
        <f>O156+R156</f>
        <v/>
      </c>
      <c r="V156" s="251">
        <f>T156+S156</f>
        <v/>
      </c>
      <c r="W156" s="35">
        <f>voranmeldefrist_vierteljaehrlich(F156)</f>
        <v/>
      </c>
      <c r="X156" s="35" t="n">
        <v>42687</v>
      </c>
      <c r="Z156" s="210">
        <f>IF(N156=TRUE,T156/K156,T156)</f>
        <v/>
      </c>
      <c r="AA156" s="237">
        <f>Y156/100*V156</f>
        <v/>
      </c>
      <c r="AB156">
        <f>IF(AND(Y156&gt;0,Q156=Y156),TRUE,FALSE)</f>
        <v/>
      </c>
    </row>
    <row r="157">
      <c r="A157" t="n">
        <v>156</v>
      </c>
      <c r="D157" s="9" t="inlineStr">
        <is>
          <t>R0006087987</t>
        </is>
      </c>
      <c r="E157" s="1" t="n">
        <v>42590</v>
      </c>
      <c r="F157" s="1" t="n">
        <v>42592</v>
      </c>
      <c r="G157" s="1">
        <f>CONCATENATE(H157,": ",J157)</f>
        <v/>
      </c>
      <c r="H157" t="inlineStr">
        <is>
          <t>Hetzner Online AG, Industriestr. 25, 91710 Gunzenhausen</t>
        </is>
      </c>
      <c r="I157" s="10" t="inlineStr">
        <is>
          <t>DE812871812</t>
        </is>
      </c>
      <c r="J157" t="inlineStr">
        <is>
          <t>EQ4 Server #50605 30TB 188.40.75.200, 188.40.75.242</t>
        </is>
      </c>
      <c r="N157">
        <f>(IF(AND(K157&lt;&gt;"",ABS(T157)&gt;400),TRUE,FALSE))</f>
        <v/>
      </c>
      <c r="O157" s="36" t="n">
        <v>42.02</v>
      </c>
      <c r="P157" s="51" t="n">
        <v>1</v>
      </c>
      <c r="Q157" s="27" t="n">
        <v>0</v>
      </c>
      <c r="R157" s="237">
        <f>O157*Q157/100</f>
        <v/>
      </c>
      <c r="S157" s="237">
        <f>P157*R157</f>
        <v/>
      </c>
      <c r="T157" s="208">
        <f>O157*P157</f>
        <v/>
      </c>
      <c r="U157" s="251">
        <f>O157+R157</f>
        <v/>
      </c>
      <c r="V157" s="251">
        <f>T157+S157</f>
        <v/>
      </c>
      <c r="W157" s="35">
        <f>voranmeldefrist_vierteljaehrlich(F157)</f>
        <v/>
      </c>
      <c r="X157" s="35" t="n">
        <v>42687</v>
      </c>
      <c r="Y157" s="27" t="n">
        <v>20</v>
      </c>
      <c r="Z157" s="210">
        <f>IF(N157=TRUE,T157/K157,T157)</f>
        <v/>
      </c>
      <c r="AA157" s="237">
        <f>Y157/100*V157</f>
        <v/>
      </c>
      <c r="AB157">
        <f>IF(AND(Y157&gt;0,Q157=Y157),TRUE,FALSE)</f>
        <v/>
      </c>
    </row>
    <row r="158">
      <c r="A158" t="n">
        <v>157</v>
      </c>
      <c r="D158" s="9" t="inlineStr">
        <is>
          <t>011561270283</t>
        </is>
      </c>
      <c r="E158" s="1" t="n">
        <v>42574</v>
      </c>
      <c r="F158" s="1" t="n">
        <v>42607</v>
      </c>
      <c r="G158" s="1">
        <f>CONCATENATE(H158,": ",J158)</f>
        <v/>
      </c>
      <c r="H158" t="inlineStr">
        <is>
          <t>Sozialversicherungsanstalt der gewerblichen Wirtschaft, Landesstelle Wien, Wiedner Hauptstraße 84-86, A-1051 Wien</t>
        </is>
      </c>
      <c r="J158" t="inlineStr">
        <is>
          <t>Kontoauszug vom 23.7.2016</t>
        </is>
      </c>
      <c r="N158">
        <f>(IF(AND(K158&lt;&gt;"",ABS(T158)&gt;400),TRUE,FALSE))</f>
        <v/>
      </c>
      <c r="O158" s="36" t="n">
        <v>589.5700000000001</v>
      </c>
      <c r="P158" s="51" t="n">
        <v>1</v>
      </c>
      <c r="Q158" s="27" t="n">
        <v>0</v>
      </c>
      <c r="R158" s="237">
        <f>O158*Q158/100</f>
        <v/>
      </c>
      <c r="S158" s="237">
        <f>P158*R158</f>
        <v/>
      </c>
      <c r="T158" s="208">
        <f>O158*P158</f>
        <v/>
      </c>
      <c r="U158" s="251">
        <f>O158+R158</f>
        <v/>
      </c>
      <c r="V158" s="251">
        <f>T158+S158</f>
        <v/>
      </c>
      <c r="W158" s="35">
        <f>voranmeldefrist_vierteljaehrlich(F158)</f>
        <v/>
      </c>
      <c r="X158" s="35" t="n">
        <v>42687</v>
      </c>
      <c r="Z158" s="210">
        <f>IF(N158=TRUE,T158/K158,T158)</f>
        <v/>
      </c>
      <c r="AA158" s="237">
        <f>Y158/100*V158</f>
        <v/>
      </c>
      <c r="AB158">
        <f>IF(AND(Y158&gt;0,Q158=Y158),TRUE,FALSE)</f>
        <v/>
      </c>
    </row>
    <row r="159">
      <c r="A159" t="n">
        <v>158</v>
      </c>
      <c r="D159" s="9" t="inlineStr">
        <is>
          <t>14000496682/40/2016</t>
        </is>
      </c>
      <c r="E159" s="1" t="n">
        <v>42552</v>
      </c>
      <c r="F159" s="1" t="n">
        <v>42566</v>
      </c>
      <c r="G159" s="1">
        <f>CONCATENATE(H159,": ",J159)</f>
        <v/>
      </c>
      <c r="H159" t="inlineStr">
        <is>
          <t>MONTANA Energie-Handel AT GmbH</t>
        </is>
      </c>
      <c r="J159" t="inlineStr">
        <is>
          <t>Teilzahlungsbetrag Gas 14000403096</t>
        </is>
      </c>
      <c r="N159">
        <f>(IF(AND(K159&lt;&gt;"",ABS(T159)&gt;400),TRUE,FALSE))</f>
        <v/>
      </c>
      <c r="O159" s="36" t="n">
        <v>52.5</v>
      </c>
      <c r="P159" s="51">
        <f>Arbeitszimmer!$B$3</f>
        <v/>
      </c>
      <c r="Q159" s="27" t="n">
        <v>20</v>
      </c>
      <c r="R159" s="237">
        <f>O159*Q159/100</f>
        <v/>
      </c>
      <c r="S159" s="237">
        <f>P159*R159</f>
        <v/>
      </c>
      <c r="T159" s="208">
        <f>O159*P159</f>
        <v/>
      </c>
      <c r="U159" s="251">
        <f>O159+R159</f>
        <v/>
      </c>
      <c r="V159" s="251">
        <f>T159+S159</f>
        <v/>
      </c>
      <c r="W159" s="35">
        <f>voranmeldefrist_vierteljaehrlich(F159)</f>
        <v/>
      </c>
      <c r="X159" s="35" t="n">
        <v>42687</v>
      </c>
      <c r="Z159" s="210">
        <f>IF(N159=TRUE,T159/K159,T159)</f>
        <v/>
      </c>
      <c r="AA159" s="237">
        <f>Y159/100*V159</f>
        <v/>
      </c>
      <c r="AB159">
        <f>IF(AND(Y159&gt;0,Q159=Y159),TRUE,FALSE)</f>
        <v/>
      </c>
    </row>
    <row r="160">
      <c r="A160" t="n">
        <v>159</v>
      </c>
      <c r="D160" s="9" t="inlineStr">
        <is>
          <t>34003523800/40/2016</t>
        </is>
      </c>
      <c r="E160" s="1" t="n">
        <v>42552</v>
      </c>
      <c r="F160" s="1" t="n">
        <v>42566</v>
      </c>
      <c r="G160" s="1">
        <f>CONCATENATE(H160,": ",J160)</f>
        <v/>
      </c>
      <c r="H160" t="inlineStr">
        <is>
          <t>VERBUND AG, Postfach 8400, 1011 Wien, Österreich</t>
        </is>
      </c>
      <c r="J160" t="inlineStr">
        <is>
          <t>Teilzahlungsbetrag Strom</t>
        </is>
      </c>
      <c r="N160">
        <f>(IF(AND(K160&lt;&gt;"",ABS(T160)&gt;400),TRUE,FALSE))</f>
        <v/>
      </c>
      <c r="O160" s="36" t="n">
        <v>137.5</v>
      </c>
      <c r="P160" s="51">
        <f>Arbeitszimmer!$B$3</f>
        <v/>
      </c>
      <c r="Q160" s="27" t="n">
        <v>20</v>
      </c>
      <c r="R160" s="237">
        <f>O160*Q160/100</f>
        <v/>
      </c>
      <c r="S160" s="237">
        <f>P160*R160</f>
        <v/>
      </c>
      <c r="T160" s="208">
        <f>O160*P160</f>
        <v/>
      </c>
      <c r="U160" s="251">
        <f>O160+R160</f>
        <v/>
      </c>
      <c r="V160" s="251">
        <f>T160+S160</f>
        <v/>
      </c>
      <c r="W160" s="35">
        <f>voranmeldefrist_vierteljaehrlich(F160)</f>
        <v/>
      </c>
      <c r="X160" s="35" t="n">
        <v>42687</v>
      </c>
      <c r="Z160" s="210">
        <f>IF(N160=TRUE,T160/K160,T160)</f>
        <v/>
      </c>
      <c r="AA160" s="237">
        <f>Y160/100*V160</f>
        <v/>
      </c>
      <c r="AB160">
        <f>IF(AND(Y160&gt;0,Q160=Y160),TRUE,FALSE)</f>
        <v/>
      </c>
    </row>
    <row r="161">
      <c r="A161" t="n">
        <v>160</v>
      </c>
      <c r="D161" s="9" t="inlineStr">
        <is>
          <t>14000589176/40/2016</t>
        </is>
      </c>
      <c r="E161" s="1" t="n">
        <v>42583</v>
      </c>
      <c r="F161" s="1" t="n">
        <v>42598</v>
      </c>
      <c r="G161" s="1">
        <f>CONCATENATE(H161,": ",J161)</f>
        <v/>
      </c>
      <c r="H161" t="inlineStr">
        <is>
          <t>MONTANA Energie-Handel AT GmbH</t>
        </is>
      </c>
      <c r="J161" t="inlineStr">
        <is>
          <t>Teilzahlungsbetrag Gas</t>
        </is>
      </c>
      <c r="N161">
        <f>(IF(AND(K161&lt;&gt;"",ABS(T161)&gt;400),TRUE,FALSE))</f>
        <v/>
      </c>
      <c r="O161" s="36" t="n">
        <v>52.5</v>
      </c>
      <c r="P161" s="51">
        <f>Arbeitszimmer!$B$3</f>
        <v/>
      </c>
      <c r="Q161" s="27" t="n">
        <v>20</v>
      </c>
      <c r="R161" s="237">
        <f>O161*Q161/100</f>
        <v/>
      </c>
      <c r="S161" s="237">
        <f>P161*R161</f>
        <v/>
      </c>
      <c r="T161" s="208">
        <f>O161*P161</f>
        <v/>
      </c>
      <c r="U161" s="251">
        <f>O161+R161</f>
        <v/>
      </c>
      <c r="V161" s="251">
        <f>T161+S161</f>
        <v/>
      </c>
      <c r="W161" s="35">
        <f>voranmeldefrist_vierteljaehrlich(F161)</f>
        <v/>
      </c>
      <c r="X161" s="35" t="n">
        <v>42687</v>
      </c>
      <c r="Z161" s="210">
        <f>IF(N161=TRUE,T161/K161,T161)</f>
        <v/>
      </c>
      <c r="AA161" s="237">
        <f>Y161/100*V161</f>
        <v/>
      </c>
      <c r="AB161">
        <f>IF(AND(Y161&gt;0,Q161=Y161),TRUE,FALSE)</f>
        <v/>
      </c>
    </row>
    <row r="162">
      <c r="A162" t="n">
        <v>161</v>
      </c>
      <c r="D162" s="9" t="inlineStr">
        <is>
          <t>11000035059/10/2016</t>
        </is>
      </c>
      <c r="E162" s="1" t="n">
        <v>42598</v>
      </c>
      <c r="F162" s="1" t="n">
        <v>42614</v>
      </c>
      <c r="G162" s="1">
        <f>CONCATENATE(H162,": ",J162)</f>
        <v/>
      </c>
      <c r="H162" t="inlineStr">
        <is>
          <t>MONTANA Energie-Handel AT GmbH</t>
        </is>
      </c>
      <c r="J162" t="inlineStr">
        <is>
          <t>Abrechnung Gas 11.8.15-8.8.16</t>
        </is>
      </c>
      <c r="N162">
        <f>(IF(AND(K162&lt;&gt;"",ABS(T162)&gt;400),TRUE,FALSE))</f>
        <v/>
      </c>
      <c r="O162" s="36">
        <f>323.44/1.2</f>
        <v/>
      </c>
      <c r="P162" s="51">
        <f>Arbeitszimmer!$B$3</f>
        <v/>
      </c>
      <c r="Q162" s="27" t="n">
        <v>20</v>
      </c>
      <c r="R162" s="237">
        <f>O162*Q162/100</f>
        <v/>
      </c>
      <c r="S162" s="237">
        <f>P162*R162</f>
        <v/>
      </c>
      <c r="T162" s="208">
        <f>O162*P162</f>
        <v/>
      </c>
      <c r="U162" s="251">
        <f>O162+R162</f>
        <v/>
      </c>
      <c r="V162" s="251">
        <f>T162+S162</f>
        <v/>
      </c>
      <c r="W162" s="35">
        <f>voranmeldefrist_vierteljaehrlich(F162)</f>
        <v/>
      </c>
      <c r="X162" s="35" t="n">
        <v>42687</v>
      </c>
      <c r="Z162" s="210">
        <f>IF(N162=TRUE,T162/K162,T162)</f>
        <v/>
      </c>
      <c r="AA162" s="237">
        <f>Y162/100*V162</f>
        <v/>
      </c>
      <c r="AB162">
        <f>IF(AND(Y162&gt;0,Q162=Y162),TRUE,FALSE)</f>
        <v/>
      </c>
    </row>
    <row r="163">
      <c r="A163" t="n">
        <v>162</v>
      </c>
      <c r="D163" s="9" t="inlineStr">
        <is>
          <t>6117360213</t>
        </is>
      </c>
      <c r="E163" s="1" t="n">
        <v>42606</v>
      </c>
      <c r="F163" s="1" t="n">
        <v>42614</v>
      </c>
      <c r="G163" s="1">
        <f>CONCATENATE(H163,": ",J163)</f>
        <v/>
      </c>
      <c r="H163" t="inlineStr">
        <is>
          <t>Hutchison Drei Austria GmbH, Brünner Straße 52, 1210 Wien, Österreich</t>
        </is>
      </c>
      <c r="N163">
        <f>(IF(AND(K163&lt;&gt;"",ABS(T163)&gt;400),TRUE,FALSE))</f>
        <v/>
      </c>
      <c r="O163" s="36" t="n">
        <v>15</v>
      </c>
      <c r="P163" s="51" t="n">
        <v>1</v>
      </c>
      <c r="Q163" s="27" t="n">
        <v>20</v>
      </c>
      <c r="R163" s="237">
        <f>O163*Q163/100</f>
        <v/>
      </c>
      <c r="S163" s="237">
        <f>P163*R163</f>
        <v/>
      </c>
      <c r="T163" s="208">
        <f>O163*P163</f>
        <v/>
      </c>
      <c r="U163" s="251">
        <f>O163+R163</f>
        <v/>
      </c>
      <c r="V163" s="251">
        <f>T163+S163</f>
        <v/>
      </c>
      <c r="W163" s="35">
        <f>voranmeldefrist_vierteljaehrlich(F163)</f>
        <v/>
      </c>
      <c r="X163" s="35" t="n">
        <v>42687</v>
      </c>
      <c r="Z163" s="210">
        <f>IF(N163=TRUE,T163/K163,T163)</f>
        <v/>
      </c>
      <c r="AA163" s="237">
        <f>Y163/100*V163</f>
        <v/>
      </c>
      <c r="AB163">
        <f>IF(AND(Y163&gt;0,Q163=Y163),TRUE,FALSE)</f>
        <v/>
      </c>
    </row>
    <row r="164">
      <c r="A164" t="n">
        <v>163</v>
      </c>
      <c r="D164" s="9" t="inlineStr">
        <is>
          <t>AMEU-INV-AT-2016-3004881</t>
        </is>
      </c>
      <c r="E164" s="1" t="n">
        <v>42608</v>
      </c>
      <c r="F164" s="1" t="n">
        <v>42612</v>
      </c>
      <c r="G164" s="1">
        <f>CONCATENATE(H164,": ",J164)</f>
        <v/>
      </c>
      <c r="H164" t="inlineStr">
        <is>
          <t>Amazon Media EU Sàrl, 5 Rue Plaetis, L-2338, Luxemburg</t>
        </is>
      </c>
      <c r="I164" s="10" t="inlineStr">
        <is>
          <t>LU20944528</t>
        </is>
      </c>
      <c r="J164" t="inlineStr">
        <is>
          <t>Zu teuer!: 118 freche, humorvolle, überzeugende und</t>
        </is>
      </c>
      <c r="N164" t="b">
        <v>0</v>
      </c>
      <c r="O164" s="36" t="n">
        <v>2.49</v>
      </c>
      <c r="P164" s="51" t="n">
        <v>1</v>
      </c>
      <c r="Q164" s="27" t="n">
        <v>20</v>
      </c>
      <c r="R164" s="237">
        <f>O164*Q164/100</f>
        <v/>
      </c>
      <c r="S164" s="237">
        <f>P164*R164</f>
        <v/>
      </c>
      <c r="T164" s="208">
        <f>O164*P164</f>
        <v/>
      </c>
      <c r="U164" s="251">
        <f>O164+R164</f>
        <v/>
      </c>
      <c r="V164" s="251">
        <f>T164+S164</f>
        <v/>
      </c>
      <c r="W164" s="35">
        <f>voranmeldefrist_vierteljaehrlich(F164)</f>
        <v/>
      </c>
      <c r="X164" s="35" t="n">
        <v>42687</v>
      </c>
      <c r="Z164" s="210">
        <f>IF(N164=TRUE,T164/K164,T164)</f>
        <v/>
      </c>
      <c r="AA164" s="237">
        <f>Y164/100*V164</f>
        <v/>
      </c>
      <c r="AB164">
        <f>IF(AND(Y164&gt;0,Q164=Y164),TRUE,FALSE)</f>
        <v/>
      </c>
    </row>
    <row r="165">
      <c r="A165" t="n">
        <v>164</v>
      </c>
      <c r="D165" t="inlineStr">
        <is>
          <t>EUVINS1-OFS-DE-222276824</t>
        </is>
      </c>
      <c r="E165" s="1" t="n">
        <v>42609</v>
      </c>
      <c r="F165" s="1" t="n">
        <v>42610</v>
      </c>
      <c r="G165" s="1">
        <f>CONCATENATE(H165,": ",J165)</f>
        <v/>
      </c>
      <c r="H165" t="inlineStr">
        <is>
          <t>Amazon EU Sàrl, 5 Rue Plaetis, L-2338, Luxemburg</t>
        </is>
      </c>
      <c r="I165" s="10" t="inlineStr">
        <is>
          <t>ATU62353134</t>
        </is>
      </c>
      <c r="J165" t="inlineStr">
        <is>
          <t>Existenzgründung und Businessplan: Ein Leitfaden für erfolgreiche Start-ups | 3503158790</t>
        </is>
      </c>
      <c r="N165" t="b">
        <v>0</v>
      </c>
      <c r="O165" s="36" t="n">
        <v>32.66</v>
      </c>
      <c r="P165" s="51" t="n">
        <v>1</v>
      </c>
      <c r="Q165" s="27" t="n">
        <v>10</v>
      </c>
      <c r="R165" s="237">
        <f>O165*Q165/100</f>
        <v/>
      </c>
      <c r="S165" s="237">
        <f>P165*R165</f>
        <v/>
      </c>
      <c r="T165" s="208">
        <f>O165*P165</f>
        <v/>
      </c>
      <c r="U165" s="251">
        <f>O165+R165</f>
        <v/>
      </c>
      <c r="V165" s="251">
        <f>T165+S165</f>
        <v/>
      </c>
      <c r="W165" s="35">
        <f>voranmeldefrist_vierteljaehrlich(F165)</f>
        <v/>
      </c>
      <c r="X165" s="35" t="n">
        <v>42687</v>
      </c>
      <c r="Z165" s="210">
        <f>IF(N165=TRUE,T165/K165,T165)</f>
        <v/>
      </c>
      <c r="AA165" s="237">
        <f>Y165/100*V165</f>
        <v/>
      </c>
      <c r="AB165">
        <f>IF(AND(Y165&gt;0,Q165=Y165),TRUE,FALSE)</f>
        <v/>
      </c>
    </row>
    <row r="166">
      <c r="A166" t="n">
        <v>165</v>
      </c>
      <c r="D166" s="9" t="inlineStr">
        <is>
          <t>12040000013145908</t>
        </is>
      </c>
      <c r="E166" s="1" t="n">
        <v>42609</v>
      </c>
      <c r="F166" s="1" t="n">
        <v>42612</v>
      </c>
      <c r="G166" s="1">
        <f>CONCATENATE(H166,": ",J166)</f>
        <v/>
      </c>
      <c r="H166" t="inlineStr">
        <is>
          <t>XING AG, D-20354 Hamburg, Dammtorstrasse 30</t>
        </is>
      </c>
      <c r="I166" s="10" t="inlineStr">
        <is>
          <t>DE 230144235</t>
        </is>
      </c>
      <c r="J166" t="inlineStr">
        <is>
          <t>Xing Premium 3 Monate</t>
        </is>
      </c>
      <c r="N166">
        <f>(IF(AND(K166&lt;&gt;"",ABS(T166)&gt;400),TRUE,FALSE))</f>
        <v/>
      </c>
      <c r="O166" s="36" t="n">
        <v>24.87</v>
      </c>
      <c r="P166" s="51" t="n">
        <v>1</v>
      </c>
      <c r="Q166" s="27" t="n">
        <v>20</v>
      </c>
      <c r="R166" s="237">
        <f>4.98</f>
        <v/>
      </c>
      <c r="S166" s="237">
        <f>P166*R166</f>
        <v/>
      </c>
      <c r="T166" s="208">
        <f>O166*P166</f>
        <v/>
      </c>
      <c r="U166" s="251">
        <f>O166+R166</f>
        <v/>
      </c>
      <c r="V166" s="251">
        <f>T166+S166</f>
        <v/>
      </c>
      <c r="W166" s="35">
        <f>voranmeldefrist_vierteljaehrlich(F166)</f>
        <v/>
      </c>
      <c r="X166" s="35" t="n">
        <v>42687</v>
      </c>
      <c r="Z166" s="210">
        <f>IF(N166=TRUE,T166/K166,T166)</f>
        <v/>
      </c>
      <c r="AA166" s="237">
        <f>Y166/100*V166</f>
        <v/>
      </c>
      <c r="AB166">
        <f>IF(AND(Y166&gt;0,Q166=Y166),TRUE,FALSE)</f>
        <v/>
      </c>
    </row>
    <row r="167">
      <c r="A167" t="n">
        <v>166</v>
      </c>
      <c r="D167" s="9" t="inlineStr">
        <is>
          <t>304331</t>
        </is>
      </c>
      <c r="E167" s="1" t="n">
        <v>42611</v>
      </c>
      <c r="F167" s="1" t="n">
        <v>42607</v>
      </c>
      <c r="G167" s="1">
        <f>CONCATENATE(H167,": ",J167)</f>
        <v/>
      </c>
      <c r="H167" t="inlineStr">
        <is>
          <t>BA-Computer HandelsgesmbH., Oberlaaerstraße 92, 1100 Wien</t>
        </is>
      </c>
      <c r="I167" t="inlineStr">
        <is>
          <t>ATU43116007</t>
        </is>
      </c>
      <c r="J167" t="inlineStr">
        <is>
          <t>My Passport Ultra 4 TB Noble Blue + Versand</t>
        </is>
      </c>
      <c r="N167">
        <f>(IF(AND(K167&lt;&gt;"",ABS(T167)&gt;400),TRUE,FALSE))</f>
        <v/>
      </c>
      <c r="O167" s="36" t="n">
        <v>128.7</v>
      </c>
      <c r="P167" s="51" t="n">
        <v>1</v>
      </c>
      <c r="Q167" s="27" t="n">
        <v>20</v>
      </c>
      <c r="R167" s="237">
        <f>O167*Q167/100</f>
        <v/>
      </c>
      <c r="S167" s="237">
        <f>P167*R167</f>
        <v/>
      </c>
      <c r="T167" s="208">
        <f>O167*P167</f>
        <v/>
      </c>
      <c r="U167" s="251">
        <f>O167+R167</f>
        <v/>
      </c>
      <c r="V167" s="251">
        <f>T167+S167</f>
        <v/>
      </c>
      <c r="W167" s="35">
        <f>voranmeldefrist_vierteljaehrlich(F167)</f>
        <v/>
      </c>
      <c r="X167" s="35" t="n">
        <v>42687</v>
      </c>
      <c r="Z167" s="210">
        <f>IF(N167=TRUE,T167/K167,T167)</f>
        <v/>
      </c>
      <c r="AA167" s="237">
        <f>Y167/100*V167</f>
        <v/>
      </c>
      <c r="AB167">
        <f>IF(AND(Y167&gt;0,Q167=Y167),TRUE,FALSE)</f>
        <v/>
      </c>
    </row>
    <row r="168">
      <c r="A168" t="n">
        <v>167</v>
      </c>
      <c r="D168" s="9" t="inlineStr">
        <is>
          <t>14000687997/40/2016</t>
        </is>
      </c>
      <c r="E168" s="1" t="n">
        <v>42614</v>
      </c>
      <c r="F168" s="1" t="n">
        <v>42628</v>
      </c>
      <c r="G168" s="1">
        <f>CONCATENATE(H168,": ",J168)</f>
        <v/>
      </c>
      <c r="H168" t="inlineStr">
        <is>
          <t>MONTANA Energie-Handel AT GmbH</t>
        </is>
      </c>
      <c r="J168" t="inlineStr">
        <is>
          <t>Teilzahlungsbetrag Gas</t>
        </is>
      </c>
      <c r="N168">
        <f>(IF(AND(K168&lt;&gt;"",ABS(T168)&gt;400),TRUE,FALSE))</f>
        <v/>
      </c>
      <c r="O168" s="36" t="n">
        <v>80</v>
      </c>
      <c r="P168" s="51">
        <f>Arbeitszimmer!$B$3</f>
        <v/>
      </c>
      <c r="Q168" s="27" t="n">
        <v>20</v>
      </c>
      <c r="R168" s="237">
        <f>O168*Q168/100</f>
        <v/>
      </c>
      <c r="S168" s="237">
        <f>P168*R168</f>
        <v/>
      </c>
      <c r="T168" s="208">
        <f>O168*P168</f>
        <v/>
      </c>
      <c r="U168" s="251">
        <f>O168+R168</f>
        <v/>
      </c>
      <c r="V168" s="251">
        <f>T168+S168</f>
        <v/>
      </c>
      <c r="W168" s="35">
        <f>voranmeldefrist_vierteljaehrlich(F168)</f>
        <v/>
      </c>
      <c r="X168" s="35" t="n">
        <v>42687</v>
      </c>
      <c r="Z168" s="210">
        <f>IF(N168=TRUE,T168/K168,T168)</f>
        <v/>
      </c>
      <c r="AA168" s="237">
        <f>Y168/100*V168</f>
        <v/>
      </c>
      <c r="AB168">
        <f>IF(AND(Y168&gt;0,Q168=Y168),TRUE,FALSE)</f>
        <v/>
      </c>
    </row>
    <row r="169">
      <c r="A169" t="n">
        <v>168</v>
      </c>
      <c r="D169" s="9" t="inlineStr">
        <is>
          <t>R0006174765</t>
        </is>
      </c>
      <c r="E169" s="1" t="n">
        <v>42621</v>
      </c>
      <c r="F169" s="1" t="n">
        <v>42623</v>
      </c>
      <c r="G169" s="1">
        <f>CONCATENATE(H169,": ",J169)</f>
        <v/>
      </c>
      <c r="H169" t="inlineStr">
        <is>
          <t>Hetzner Online AG, Industriestr. 25, 91710 Gunzenhausen</t>
        </is>
      </c>
      <c r="I169" s="10" t="inlineStr">
        <is>
          <t>DE812871812</t>
        </is>
      </c>
      <c r="J169" t="inlineStr">
        <is>
          <t>EQ4 Server #50605 30TB 188.40.75.200, 188.40.75.242</t>
        </is>
      </c>
      <c r="N169">
        <f>(IF(AND(K169&lt;&gt;"",ABS(T169)&gt;400),TRUE,FALSE))</f>
        <v/>
      </c>
      <c r="O169" s="36" t="n">
        <v>42.02</v>
      </c>
      <c r="P169" s="51" t="n">
        <v>1</v>
      </c>
      <c r="Q169" s="27" t="n">
        <v>0</v>
      </c>
      <c r="R169" s="237">
        <f>O169*Q169/100</f>
        <v/>
      </c>
      <c r="S169" s="237">
        <f>P169*R169</f>
        <v/>
      </c>
      <c r="T169" s="208">
        <f>O169*P169</f>
        <v/>
      </c>
      <c r="U169" s="251">
        <f>O169+R169</f>
        <v/>
      </c>
      <c r="V169" s="251">
        <f>T169+S169</f>
        <v/>
      </c>
      <c r="W169" s="35">
        <f>voranmeldefrist_vierteljaehrlich(F169)</f>
        <v/>
      </c>
      <c r="X169" s="35" t="n">
        <v>42687</v>
      </c>
      <c r="Y169" s="27" t="n">
        <v>20</v>
      </c>
      <c r="Z169" s="210">
        <f>IF(N169=TRUE,T169/K169,T169)</f>
        <v/>
      </c>
      <c r="AA169" s="237">
        <f>Y169/100*V169</f>
        <v/>
      </c>
      <c r="AB169">
        <f>IF(AND(Y169&gt;0,Q169=Y169),TRUE,FALSE)</f>
        <v/>
      </c>
    </row>
    <row r="170">
      <c r="A170" t="n">
        <v>169</v>
      </c>
      <c r="D170" s="9" t="inlineStr">
        <is>
          <t>6119172365</t>
        </is>
      </c>
      <c r="E170" s="1" t="n">
        <v>42640</v>
      </c>
      <c r="F170" s="1" t="n">
        <v>42649</v>
      </c>
      <c r="G170" s="1">
        <f>CONCATENATE(H170,": ",J170)</f>
        <v/>
      </c>
      <c r="H170" t="inlineStr">
        <is>
          <t>Hutchison Drei Austria GmbH, Brünner Straße 52, 1210 Wien, Österreich</t>
        </is>
      </c>
      <c r="N170">
        <f>(IF(AND(K170&lt;&gt;"",ABS(T170)&gt;400),TRUE,FALSE))</f>
        <v/>
      </c>
      <c r="O170" s="36" t="n">
        <v>15</v>
      </c>
      <c r="P170" s="51" t="n">
        <v>1</v>
      </c>
      <c r="Q170" s="27" t="n">
        <v>20</v>
      </c>
      <c r="R170" s="237">
        <f>O170*Q170/100</f>
        <v/>
      </c>
      <c r="S170" s="237">
        <f>P170*R170</f>
        <v/>
      </c>
      <c r="T170" s="208">
        <f>O170*P170</f>
        <v/>
      </c>
      <c r="U170" s="251">
        <f>O170+R170</f>
        <v/>
      </c>
      <c r="V170" s="251">
        <f>T170+S170</f>
        <v/>
      </c>
      <c r="W170" s="35">
        <f>voranmeldefrist_vierteljaehrlich(F170)</f>
        <v/>
      </c>
      <c r="X170" s="35" t="n">
        <v>42777</v>
      </c>
      <c r="Z170" s="210">
        <f>IF(N170=TRUE,T170/K170,T170)</f>
        <v/>
      </c>
      <c r="AA170" s="237">
        <f>Y170/100*V170</f>
        <v/>
      </c>
      <c r="AB170">
        <f>IF(AND(Y170&gt;0,Q170=Y170),TRUE,FALSE)</f>
        <v/>
      </c>
    </row>
    <row r="171">
      <c r="A171" t="n">
        <v>170</v>
      </c>
      <c r="D171" s="9" t="inlineStr">
        <is>
          <t>RE0414388</t>
        </is>
      </c>
      <c r="E171" s="1" t="n">
        <v>42642</v>
      </c>
      <c r="F171" s="1" t="n">
        <v>42644</v>
      </c>
      <c r="G171" s="1">
        <f>CONCATENATE(H171,": ",J171)</f>
        <v/>
      </c>
      <c r="H171" t="inlineStr">
        <is>
          <t>easyname GmbH, Fernkorngasse 10/3/501, 1110 Wien</t>
        </is>
      </c>
      <c r="I171" t="inlineStr">
        <is>
          <t>ATU68122177</t>
        </is>
      </c>
      <c r="J171" t="inlineStr">
        <is>
          <t>Domain: physio-weis.at</t>
        </is>
      </c>
      <c r="N171">
        <f>(IF(AND(K171&lt;&gt;"",ABS(T171)&gt;400),TRUE,FALSE))</f>
        <v/>
      </c>
      <c r="O171" s="36" t="n">
        <v>12.42</v>
      </c>
      <c r="P171" s="51" t="n">
        <v>1</v>
      </c>
      <c r="Q171" s="27" t="n">
        <v>20</v>
      </c>
      <c r="R171" s="237">
        <f>O171*Q171/100</f>
        <v/>
      </c>
      <c r="S171" s="237">
        <f>P171*R171</f>
        <v/>
      </c>
      <c r="T171" s="208">
        <f>O171*P171</f>
        <v/>
      </c>
      <c r="U171" s="251">
        <f>O171+R171</f>
        <v/>
      </c>
      <c r="V171" s="251">
        <f>T171+S171</f>
        <v/>
      </c>
      <c r="W171" s="35">
        <f>voranmeldefrist_vierteljaehrlich(F171)</f>
        <v/>
      </c>
      <c r="X171" s="35" t="n">
        <v>42777</v>
      </c>
      <c r="Z171" s="210">
        <f>IF(N171=TRUE,T171/K171,T171)</f>
        <v/>
      </c>
      <c r="AA171" s="237">
        <f>Y171/100*V171</f>
        <v/>
      </c>
      <c r="AB171">
        <f>IF(AND(Y171&gt;0,Q171=Y171),TRUE,FALSE)</f>
        <v/>
      </c>
    </row>
    <row r="172">
      <c r="A172" t="n">
        <v>171</v>
      </c>
      <c r="D172" s="9" t="inlineStr">
        <is>
          <t>R0006262678</t>
        </is>
      </c>
      <c r="E172" s="1" t="n">
        <v>42651</v>
      </c>
      <c r="F172" s="1" t="n">
        <v>42654</v>
      </c>
      <c r="G172" s="1">
        <f>CONCATENATE(H172,": ",J172)</f>
        <v/>
      </c>
      <c r="H172" t="inlineStr">
        <is>
          <t>Hetzner Online AG, Industriestr. 25, 91710 Gunzenhausen</t>
        </is>
      </c>
      <c r="I172" s="10" t="inlineStr">
        <is>
          <t>DE812871812</t>
        </is>
      </c>
      <c r="J172" t="inlineStr">
        <is>
          <t>EQ4 Server #50605 30TB 188.40.75.200, 188.40.75.242</t>
        </is>
      </c>
      <c r="N172">
        <f>(IF(AND(K172&lt;&gt;"",ABS(T172)&gt;400),TRUE,FALSE))</f>
        <v/>
      </c>
      <c r="O172" s="36" t="n">
        <v>42.02</v>
      </c>
      <c r="P172" s="51" t="n">
        <v>1</v>
      </c>
      <c r="Q172" s="27" t="n">
        <v>0</v>
      </c>
      <c r="R172" s="237">
        <f>O172*Q172/100</f>
        <v/>
      </c>
      <c r="S172" s="237">
        <f>P172*R172</f>
        <v/>
      </c>
      <c r="T172" s="208">
        <f>O172*P172</f>
        <v/>
      </c>
      <c r="U172" s="251">
        <f>O172+R172</f>
        <v/>
      </c>
      <c r="V172" s="251">
        <f>T172+S172</f>
        <v/>
      </c>
      <c r="W172" s="35">
        <f>voranmeldefrist_vierteljaehrlich(F172)</f>
        <v/>
      </c>
      <c r="X172" s="35" t="n">
        <v>42777</v>
      </c>
      <c r="Y172" s="27" t="n">
        <v>20</v>
      </c>
      <c r="Z172" s="210">
        <f>IF(N172=TRUE,T172/K172,T172)</f>
        <v/>
      </c>
      <c r="AA172" s="237">
        <f>Y172/100*V172</f>
        <v/>
      </c>
      <c r="AB172">
        <f>IF(AND(Y172&gt;0,Q172=Y172),TRUE,FALSE)</f>
        <v/>
      </c>
    </row>
    <row r="173">
      <c r="A173" t="n">
        <v>172</v>
      </c>
      <c r="D173" s="9" t="inlineStr">
        <is>
          <t>AMEU-INV-AT-2016-3710482</t>
        </is>
      </c>
      <c r="E173" s="1" t="n">
        <v>42663</v>
      </c>
      <c r="F173" s="1" t="n">
        <v>42667</v>
      </c>
      <c r="G173" s="1">
        <f>CONCATENATE(H173,": ",J173)</f>
        <v/>
      </c>
      <c r="H173" t="inlineStr">
        <is>
          <t>Amazon Media EU S.à r.l., 5 rue Plaetis, L-2338 Luxemburg</t>
        </is>
      </c>
      <c r="I173" s="10" t="inlineStr">
        <is>
          <t>LU20944528</t>
        </is>
      </c>
      <c r="J173" t="inlineStr">
        <is>
          <t>Marketing-Ansätze in öffentlichen Musikschulen</t>
        </is>
      </c>
      <c r="N173" t="b">
        <v>0</v>
      </c>
      <c r="O173" s="36" t="n">
        <v>24.99</v>
      </c>
      <c r="P173" s="51" t="n">
        <v>1</v>
      </c>
      <c r="Q173" s="27" t="n">
        <v>20</v>
      </c>
      <c r="R173" s="237">
        <f>O173*Q173/100</f>
        <v/>
      </c>
      <c r="S173" s="237">
        <f>P173*R173</f>
        <v/>
      </c>
      <c r="T173" s="208">
        <f>O173*P173</f>
        <v/>
      </c>
      <c r="U173" s="251">
        <f>O173+R173</f>
        <v/>
      </c>
      <c r="V173" s="251">
        <f>T173+S173</f>
        <v/>
      </c>
      <c r="W173" s="35">
        <f>voranmeldefrist_vierteljaehrlich(F173)</f>
        <v/>
      </c>
      <c r="X173" s="35" t="n">
        <v>42777</v>
      </c>
      <c r="Z173" s="210">
        <f>IF(N173=TRUE,T173/K173,T173)</f>
        <v/>
      </c>
      <c r="AA173" s="237">
        <f>Y173/100*V173</f>
        <v/>
      </c>
      <c r="AB173">
        <f>IF(AND(Y173&gt;0,Q173=Y173),TRUE,FALSE)</f>
        <v/>
      </c>
    </row>
    <row r="174">
      <c r="A174" t="n">
        <v>173</v>
      </c>
      <c r="D174" s="9" t="inlineStr">
        <is>
          <t>6120982130</t>
        </is>
      </c>
      <c r="E174" s="1" t="n">
        <v>42668</v>
      </c>
      <c r="F174" s="1" t="n">
        <v>42678</v>
      </c>
      <c r="G174" s="1">
        <f>CONCATENATE(H174,": ",J174)</f>
        <v/>
      </c>
      <c r="H174" t="inlineStr">
        <is>
          <t>Hutchison Drei Austria GmbH, Brünner Straße 52, 1210 Wien, Österreich</t>
        </is>
      </c>
      <c r="N174">
        <f>(IF(AND(K174&lt;&gt;"",ABS(T174)&gt;400),TRUE,FALSE))</f>
        <v/>
      </c>
      <c r="O174" s="36" t="n">
        <v>16.94</v>
      </c>
      <c r="P174" s="51" t="n">
        <v>1</v>
      </c>
      <c r="Q174" s="27" t="n">
        <v>20</v>
      </c>
      <c r="R174" s="237">
        <f>O174*Q174/100</f>
        <v/>
      </c>
      <c r="S174" s="237">
        <f>P174*R174</f>
        <v/>
      </c>
      <c r="T174" s="208">
        <f>O174*P174</f>
        <v/>
      </c>
      <c r="U174" s="251" t="n">
        <v>20.32</v>
      </c>
      <c r="V174" s="251" t="n">
        <v>20.32</v>
      </c>
      <c r="W174" s="35">
        <f>voranmeldefrist_vierteljaehrlich(F174)</f>
        <v/>
      </c>
      <c r="X174" s="35" t="n">
        <v>42777</v>
      </c>
      <c r="Z174" s="210">
        <f>IF(N174=TRUE,T174/K174,T174)</f>
        <v/>
      </c>
      <c r="AA174" s="237">
        <f>Y174/100*V174</f>
        <v/>
      </c>
      <c r="AB174">
        <f>IF(AND(Y174&gt;0,Q174=Y174),TRUE,FALSE)</f>
        <v/>
      </c>
    </row>
    <row r="175">
      <c r="A175" t="n">
        <v>174</v>
      </c>
      <c r="D175" s="9" t="inlineStr">
        <is>
          <t>011561270283</t>
        </is>
      </c>
      <c r="E175" s="1" t="n">
        <v>42665</v>
      </c>
      <c r="F175" s="1" t="n">
        <v>42699</v>
      </c>
      <c r="G175" s="1">
        <f>CONCATENATE(H175,": ",J175)</f>
        <v/>
      </c>
      <c r="H175" t="inlineStr">
        <is>
          <t>Sozialversicherungsanstalt der gewerblichen Wirtschaft, Landesstelle Wien, Wiedner Hauptstraße 84-86, A-1051 Wien</t>
        </is>
      </c>
      <c r="J175" t="inlineStr">
        <is>
          <t>Kontoauszug vom 22.10.2016</t>
        </is>
      </c>
      <c r="N175">
        <f>(IF(AND(K175&lt;&gt;"",ABS(T175)&gt;400),TRUE,FALSE))</f>
        <v/>
      </c>
      <c r="O175" s="36" t="n">
        <v>597.05</v>
      </c>
      <c r="P175" s="51" t="n">
        <v>1</v>
      </c>
      <c r="Q175" s="27" t="n">
        <v>0</v>
      </c>
      <c r="R175" s="237">
        <f>O175*Q175/100</f>
        <v/>
      </c>
      <c r="S175" s="237">
        <f>P175*R175</f>
        <v/>
      </c>
      <c r="T175" s="208">
        <f>O175*P175</f>
        <v/>
      </c>
      <c r="U175" s="251">
        <f>O175+R175</f>
        <v/>
      </c>
      <c r="V175" s="251">
        <f>T175+S175</f>
        <v/>
      </c>
      <c r="W175" s="35">
        <f>voranmeldefrist_vierteljaehrlich(F175)</f>
        <v/>
      </c>
      <c r="X175" s="35" t="n">
        <v>42777</v>
      </c>
      <c r="Z175" s="210">
        <f>IF(N175=TRUE,T175/K175,T175)</f>
        <v/>
      </c>
      <c r="AA175" s="237">
        <f>Y175/100*V175</f>
        <v/>
      </c>
      <c r="AB175">
        <f>IF(AND(Y175&gt;0,Q175=Y175),TRUE,FALSE)</f>
        <v/>
      </c>
    </row>
    <row r="176">
      <c r="A176" t="n">
        <v>175</v>
      </c>
      <c r="D176" s="9" t="inlineStr">
        <is>
          <t>PRM316110006369</t>
        </is>
      </c>
      <c r="E176" s="1" t="n">
        <v>42701</v>
      </c>
      <c r="F176" s="1" t="n">
        <v>42702</v>
      </c>
      <c r="G176" s="1">
        <f>CONCATENATE(H176,": ",J176)</f>
        <v/>
      </c>
      <c r="H176" t="inlineStr">
        <is>
          <t>XING AG, D-20354 Hamburg, Dammtorstrasse 30</t>
        </is>
      </c>
      <c r="I176" s="10" t="inlineStr">
        <is>
          <t>DE 230144235</t>
        </is>
      </c>
      <c r="J176" t="inlineStr">
        <is>
          <t>Three-month Premium membership</t>
        </is>
      </c>
      <c r="N176">
        <f>(IF(AND(K176&lt;&gt;"",ABS(T176)&gt;400),TRUE,FALSE))</f>
        <v/>
      </c>
      <c r="O176" s="36" t="n">
        <v>24.87</v>
      </c>
      <c r="P176" s="51" t="n">
        <v>1</v>
      </c>
      <c r="Q176" s="27" t="n">
        <v>20</v>
      </c>
      <c r="R176" s="237">
        <f>4.98</f>
        <v/>
      </c>
      <c r="S176" s="237">
        <f>P176*R176</f>
        <v/>
      </c>
      <c r="T176" s="208">
        <f>O176*P176</f>
        <v/>
      </c>
      <c r="U176" s="251">
        <f>O176+R176</f>
        <v/>
      </c>
      <c r="V176" s="251">
        <f>T176+S176</f>
        <v/>
      </c>
      <c r="W176" s="35">
        <f>voranmeldefrist_vierteljaehrlich(F176)</f>
        <v/>
      </c>
      <c r="X176" s="35" t="n">
        <v>42777</v>
      </c>
      <c r="Z176" s="210">
        <f>IF(N176=TRUE,T176/K176,T176)</f>
        <v/>
      </c>
      <c r="AA176" s="237">
        <f>Y176/100*V176</f>
        <v/>
      </c>
      <c r="AB176">
        <f>IF(AND(Y176&gt;0,Q176=Y176),TRUE,FALSE)</f>
        <v/>
      </c>
    </row>
    <row r="177">
      <c r="A177" t="n">
        <v>176</v>
      </c>
      <c r="D177" s="9" t="inlineStr">
        <is>
          <t>R0006351833</t>
        </is>
      </c>
      <c r="E177" s="1" t="n">
        <v>42682</v>
      </c>
      <c r="F177" s="1" t="n">
        <v>42684</v>
      </c>
      <c r="G177" s="1">
        <f>CONCATENATE(H177,": ",J177)</f>
        <v/>
      </c>
      <c r="H177" t="inlineStr">
        <is>
          <t>Hetzner Online AG, Industriestr. 25, 91710 Gunzenhausen</t>
        </is>
      </c>
      <c r="I177" s="10" t="inlineStr">
        <is>
          <t>DE812871812</t>
        </is>
      </c>
      <c r="J177" t="inlineStr">
        <is>
          <t>EQ4 Server #50605 30TB 188.40.75.200, 188.40.75.242</t>
        </is>
      </c>
      <c r="N177">
        <f>(IF(AND(K177&lt;&gt;"",ABS(T177)&gt;400),TRUE,FALSE))</f>
        <v/>
      </c>
      <c r="O177" s="36" t="n">
        <v>42.02</v>
      </c>
      <c r="P177" s="51" t="n">
        <v>1</v>
      </c>
      <c r="Q177" s="27" t="n">
        <v>0</v>
      </c>
      <c r="R177" s="237">
        <f>O177*Q177/100</f>
        <v/>
      </c>
      <c r="S177" s="237">
        <f>P177*R177</f>
        <v/>
      </c>
      <c r="T177" s="208">
        <f>O177*P177</f>
        <v/>
      </c>
      <c r="U177" s="251">
        <f>O177+R177</f>
        <v/>
      </c>
      <c r="V177" s="251">
        <f>T177+S177</f>
        <v/>
      </c>
      <c r="W177" s="35">
        <f>voranmeldefrist_vierteljaehrlich(F177)</f>
        <v/>
      </c>
      <c r="X177" s="35" t="n">
        <v>42777</v>
      </c>
      <c r="Y177" s="27" t="n">
        <v>20</v>
      </c>
      <c r="Z177" s="210">
        <f>IF(N177=TRUE,T177/K177,T177)</f>
        <v/>
      </c>
      <c r="AA177" s="237">
        <f>Y177/100*V177</f>
        <v/>
      </c>
      <c r="AB177">
        <f>IF(AND(Y177&gt;0,Q177=Y177),TRUE,FALSE)</f>
        <v/>
      </c>
    </row>
    <row r="178">
      <c r="A178" t="n">
        <v>177</v>
      </c>
      <c r="D178" s="9" t="inlineStr">
        <is>
          <t>R0006441945</t>
        </is>
      </c>
      <c r="E178" s="1" t="n">
        <v>42712</v>
      </c>
      <c r="F178" s="1" t="n">
        <v>42714</v>
      </c>
      <c r="G178" s="1">
        <f>CONCATENATE(H178,": ",J178)</f>
        <v/>
      </c>
      <c r="H178" t="inlineStr">
        <is>
          <t>Hetzner Online AG, Industriestr. 25, 91710 Gunzenhausen</t>
        </is>
      </c>
      <c r="I178" s="10" t="inlineStr">
        <is>
          <t>DE812871812</t>
        </is>
      </c>
      <c r="J178" t="inlineStr">
        <is>
          <t>EQ4 Server #50605 30TB 188.40.75.200, 188.40.75.242</t>
        </is>
      </c>
      <c r="N178">
        <f>(IF(AND(K178&lt;&gt;"",ABS(T178)&gt;400),TRUE,FALSE))</f>
        <v/>
      </c>
      <c r="O178" s="36" t="n">
        <v>42.02</v>
      </c>
      <c r="P178" s="51" t="n">
        <v>1</v>
      </c>
      <c r="Q178" s="27" t="n">
        <v>0</v>
      </c>
      <c r="R178" s="237">
        <f>O178*Q178/100</f>
        <v/>
      </c>
      <c r="S178" s="237">
        <f>P178*R178</f>
        <v/>
      </c>
      <c r="T178" s="208">
        <f>O178*P178</f>
        <v/>
      </c>
      <c r="U178" s="251">
        <f>O178+R178</f>
        <v/>
      </c>
      <c r="V178" s="251">
        <f>T178+S178</f>
        <v/>
      </c>
      <c r="W178" s="35">
        <f>voranmeldefrist_vierteljaehrlich(F178)</f>
        <v/>
      </c>
      <c r="X178" s="35" t="n">
        <v>42777</v>
      </c>
      <c r="Y178" s="27" t="n">
        <v>20</v>
      </c>
      <c r="Z178" s="210">
        <f>IF(N178=TRUE,T178/K178,T178)</f>
        <v/>
      </c>
      <c r="AA178" s="237">
        <f>Y178/100*V178</f>
        <v/>
      </c>
      <c r="AB178">
        <f>IF(AND(Y178&gt;0,Q178=Y178),TRUE,FALSE)</f>
        <v/>
      </c>
    </row>
    <row r="179">
      <c r="A179" t="n">
        <v>178</v>
      </c>
      <c r="D179" s="9" t="inlineStr">
        <is>
          <t>160028239</t>
        </is>
      </c>
      <c r="E179" s="1" t="n">
        <v>42626</v>
      </c>
      <c r="F179" s="1" t="n">
        <v>42713</v>
      </c>
      <c r="G179" s="1">
        <f>CONCATENATE(H179,": ",J179)</f>
        <v/>
      </c>
      <c r="H179" t="inlineStr">
        <is>
          <t>nic.at GmbH, Jakob-Haringer-Strasse 8, 5020 Salzburg, Austria</t>
        </is>
      </c>
      <c r="J179" t="inlineStr">
        <is>
          <t>Domain: energiebalance-lichtherz.at</t>
        </is>
      </c>
      <c r="N179">
        <f>(IF(AND(K179&lt;&gt;"",ABS(T179)&gt;400),TRUE,FALSE))</f>
        <v/>
      </c>
      <c r="O179" s="36" t="n">
        <v>29.1</v>
      </c>
      <c r="P179" s="51" t="n">
        <v>1</v>
      </c>
      <c r="Q179" s="27" t="n">
        <v>20</v>
      </c>
      <c r="R179" s="237">
        <f>O179*Q179/100</f>
        <v/>
      </c>
      <c r="S179" s="237">
        <f>P179*R179</f>
        <v/>
      </c>
      <c r="T179" s="208">
        <f>O179*P179</f>
        <v/>
      </c>
      <c r="U179" s="251">
        <f>O179+R179</f>
        <v/>
      </c>
      <c r="V179" s="251">
        <f>T179+S179</f>
        <v/>
      </c>
      <c r="W179" s="35">
        <f>voranmeldefrist_vierteljaehrlich(F179)</f>
        <v/>
      </c>
      <c r="X179" s="35" t="n">
        <v>42777</v>
      </c>
      <c r="Z179" s="210">
        <f>IF(N179=TRUE,T179/K179,T179)</f>
        <v/>
      </c>
      <c r="AA179" s="237">
        <f>Y179/100*V179</f>
        <v/>
      </c>
      <c r="AB179">
        <f>IF(AND(Y179&gt;0,Q179=Y179),TRUE,FALSE)</f>
        <v/>
      </c>
    </row>
    <row r="180">
      <c r="A180" t="n">
        <v>179</v>
      </c>
      <c r="D180" s="9" t="inlineStr">
        <is>
          <t>2015/22</t>
        </is>
      </c>
      <c r="E180" s="1" t="n">
        <v>42711</v>
      </c>
      <c r="F180" s="1" t="n">
        <v>42713</v>
      </c>
      <c r="G180" s="1">
        <f>CONCATENATE(H180,": ",J180)</f>
        <v/>
      </c>
      <c r="H180" t="inlineStr">
        <is>
          <t>Wilhelm Blaha, Steuerberater, 1080 Wien, Roter Hof 1a</t>
        </is>
      </c>
      <c r="I180" s="10" t="inlineStr">
        <is>
          <t>ATU12739205</t>
        </is>
      </c>
      <c r="J180" t="inlineStr">
        <is>
          <t>Jahresabschluss 2015</t>
        </is>
      </c>
      <c r="N180">
        <f>(IF(AND(K180&lt;&gt;"",ABS(T180)&gt;400),TRUE,FALSE))</f>
        <v/>
      </c>
      <c r="O180" s="36" t="n">
        <v>475</v>
      </c>
      <c r="P180" s="51" t="n">
        <v>1</v>
      </c>
      <c r="Q180" s="27" t="n">
        <v>20</v>
      </c>
      <c r="R180" s="237">
        <f>O180*Q180/100</f>
        <v/>
      </c>
      <c r="S180" s="237">
        <f>P180*R180</f>
        <v/>
      </c>
      <c r="T180" s="208">
        <f>O180*P180</f>
        <v/>
      </c>
      <c r="U180" s="251">
        <f>O180+R180</f>
        <v/>
      </c>
      <c r="V180" s="251">
        <f>T180+S180</f>
        <v/>
      </c>
      <c r="W180" s="35">
        <f>voranmeldefrist_vierteljaehrlich(F180)</f>
        <v/>
      </c>
      <c r="X180" s="35" t="n">
        <v>42777</v>
      </c>
      <c r="Z180" s="210">
        <f>IF(N180=TRUE,T180/K180,T180)</f>
        <v/>
      </c>
      <c r="AA180" s="237">
        <f>Y180/100*V180</f>
        <v/>
      </c>
      <c r="AB180">
        <f>IF(AND(Y180&gt;0,Q180=Y180),TRUE,FALSE)</f>
        <v/>
      </c>
    </row>
    <row r="181">
      <c r="A181" t="n">
        <v>180</v>
      </c>
      <c r="D181" s="9" t="inlineStr">
        <is>
          <t>EUVINS1-OFS-PL-254222524</t>
        </is>
      </c>
      <c r="E181" s="1" t="n">
        <v>42723</v>
      </c>
      <c r="F181" s="1" t="n">
        <v>42725</v>
      </c>
      <c r="G181" s="1">
        <f>CONCATENATE(H181,": ",J181)</f>
        <v/>
      </c>
      <c r="H181" t="inlineStr">
        <is>
          <t>Amazon EU Sàrl, 5 Rue Plaetis, L-2338, Luxemburg</t>
        </is>
      </c>
      <c r="I181" s="10" t="inlineStr">
        <is>
          <t>ATU62353134</t>
        </is>
      </c>
      <c r="J181" t="inlineStr">
        <is>
          <t>Buchführung und Bilanzierung für Dummies |3527712518</t>
        </is>
      </c>
      <c r="N181" t="b">
        <v>0</v>
      </c>
      <c r="O181" s="36" t="n">
        <v>23.36</v>
      </c>
      <c r="P181" s="51" t="n">
        <v>1</v>
      </c>
      <c r="Q181" s="27" t="n">
        <v>10</v>
      </c>
      <c r="R181" s="237">
        <f>O181*Q181/100</f>
        <v/>
      </c>
      <c r="S181" s="237">
        <f>P181*R181</f>
        <v/>
      </c>
      <c r="T181" s="208">
        <f>O181*P181</f>
        <v/>
      </c>
      <c r="U181" s="251">
        <f>O181+R181</f>
        <v/>
      </c>
      <c r="V181" s="251">
        <f>T181+S181</f>
        <v/>
      </c>
      <c r="W181" s="35">
        <f>voranmeldefrist_vierteljaehrlich(F181)</f>
        <v/>
      </c>
      <c r="X181" s="35" t="n">
        <v>42777</v>
      </c>
      <c r="Z181" s="210">
        <f>IF(N181=TRUE,T181/K181,T181)</f>
        <v/>
      </c>
      <c r="AA181" s="237">
        <f>Y181/100*V181</f>
        <v/>
      </c>
      <c r="AB181">
        <f>IF(AND(Y181&gt;0,Q181=Y181),TRUE,FALSE)</f>
        <v/>
      </c>
    </row>
    <row r="182">
      <c r="A182" t="n">
        <v>181</v>
      </c>
      <c r="D182" s="9" t="inlineStr">
        <is>
          <t>011561270283</t>
        </is>
      </c>
      <c r="E182" s="1" t="n">
        <v>42732</v>
      </c>
      <c r="F182" s="1" t="n">
        <v>42732</v>
      </c>
      <c r="G182" s="1">
        <f>CONCATENATE(H182,": ",J182)</f>
        <v/>
      </c>
      <c r="H182" t="inlineStr">
        <is>
          <t>Sozialversicherungsanstalt der gewerblichen Wirtschaft, Landesstelle Wien, Wiedner Hauptstraße 84-86, A-1051 Wien</t>
        </is>
      </c>
      <c r="J182" t="inlineStr">
        <is>
          <t>freiwillige Vorauszahlung 2015</t>
        </is>
      </c>
      <c r="N182">
        <f>(IF(AND(K182&lt;&gt;"",ABS(T182)&gt;400),TRUE,FALSE))</f>
        <v/>
      </c>
      <c r="O182" s="36" t="n">
        <v>1000</v>
      </c>
      <c r="P182" s="51" t="n">
        <v>1</v>
      </c>
      <c r="Q182" s="27" t="n">
        <v>0</v>
      </c>
      <c r="R182" s="237">
        <f>O182*Q182/100</f>
        <v/>
      </c>
      <c r="S182" s="237">
        <f>P182*R182</f>
        <v/>
      </c>
      <c r="T182" s="208">
        <f>O182*P182</f>
        <v/>
      </c>
      <c r="U182" s="251">
        <f>O182+R182</f>
        <v/>
      </c>
      <c r="V182" s="251">
        <f>T182+S182</f>
        <v/>
      </c>
      <c r="W182" s="35">
        <f>voranmeldefrist_vierteljaehrlich(F182)</f>
        <v/>
      </c>
      <c r="X182" s="35" t="n">
        <v>42777</v>
      </c>
      <c r="Z182" s="210">
        <f>IF(N182=TRUE,T182/K182,T182)</f>
        <v/>
      </c>
      <c r="AA182" s="237">
        <f>Y182/100*V182</f>
        <v/>
      </c>
      <c r="AB182">
        <f>IF(AND(Y182&gt;0,Q182=Y182),TRUE,FALSE)</f>
        <v/>
      </c>
    </row>
    <row r="183">
      <c r="A183" t="n">
        <v>182</v>
      </c>
      <c r="D183" s="9" t="inlineStr">
        <is>
          <t>011561270283</t>
        </is>
      </c>
      <c r="E183" s="1" t="n">
        <v>42732</v>
      </c>
      <c r="F183" s="1" t="n">
        <v>42732</v>
      </c>
      <c r="G183" s="1">
        <f>CONCATENATE(H183,": ",J183)</f>
        <v/>
      </c>
      <c r="H183" t="inlineStr">
        <is>
          <t>Sozialversicherungsanstalt der gewerblichen Wirtschaft, Landesstelle Wien, Wiedner Hauptstraße 84-86, A-1051 Wien</t>
        </is>
      </c>
      <c r="J183" t="inlineStr">
        <is>
          <t>freiwillige Vorauszahlung 2016</t>
        </is>
      </c>
      <c r="N183">
        <f>(IF(AND(K183&lt;&gt;"",ABS(T183)&gt;400),TRUE,FALSE))</f>
        <v/>
      </c>
      <c r="O183" s="36" t="n">
        <v>10000</v>
      </c>
      <c r="P183" s="51" t="n">
        <v>1</v>
      </c>
      <c r="Q183" s="27" t="n">
        <v>0</v>
      </c>
      <c r="R183" s="237">
        <f>O183*Q183/100</f>
        <v/>
      </c>
      <c r="S183" s="237">
        <f>P183*R183</f>
        <v/>
      </c>
      <c r="T183" s="208">
        <f>O183*P183</f>
        <v/>
      </c>
      <c r="U183" s="251">
        <f>O183+R183</f>
        <v/>
      </c>
      <c r="V183" s="251">
        <f>T183+S183</f>
        <v/>
      </c>
      <c r="W183" s="35">
        <f>voranmeldefrist_vierteljaehrlich(F183)</f>
        <v/>
      </c>
      <c r="X183" s="35" t="n">
        <v>42777</v>
      </c>
      <c r="Z183" s="210">
        <f>IF(N183=TRUE,T183/K183,T183)</f>
        <v/>
      </c>
      <c r="AA183" s="237">
        <f>Y183/100*V183</f>
        <v/>
      </c>
      <c r="AB183">
        <f>IF(AND(Y183&gt;0,Q183=Y183),TRUE,FALSE)</f>
        <v/>
      </c>
    </row>
    <row r="184">
      <c r="A184" t="n">
        <v>183</v>
      </c>
      <c r="D184" s="9" t="inlineStr">
        <is>
          <t>6124616522</t>
        </is>
      </c>
      <c r="E184" s="1" t="n">
        <v>42732</v>
      </c>
      <c r="F184" s="1" t="n">
        <v>42744</v>
      </c>
      <c r="G184" s="1">
        <f>CONCATENATE(H184,": ",J184)</f>
        <v/>
      </c>
      <c r="H184" t="inlineStr">
        <is>
          <t>Hutchison Drei Austria GmbH, Brünner Straße 52, 1210 Wien, Österreich</t>
        </is>
      </c>
      <c r="N184">
        <f>(IF(AND(K184&lt;&gt;"",ABS(T184)&gt;400),TRUE,FALSE))</f>
        <v/>
      </c>
      <c r="O184" s="36" t="n">
        <v>15</v>
      </c>
      <c r="P184" s="51" t="n">
        <v>1</v>
      </c>
      <c r="Q184" s="27" t="n">
        <v>20</v>
      </c>
      <c r="R184" s="237">
        <f>O184*Q184/100</f>
        <v/>
      </c>
      <c r="S184" s="237">
        <f>P184*R184</f>
        <v/>
      </c>
      <c r="T184" s="208">
        <f>O184*P184</f>
        <v/>
      </c>
      <c r="U184" s="251">
        <f>O184+R184</f>
        <v/>
      </c>
      <c r="V184" s="251">
        <f>T184+S184</f>
        <v/>
      </c>
      <c r="W184" s="35">
        <f>voranmeldefrist_vierteljaehrlich(F184)</f>
        <v/>
      </c>
      <c r="X184" s="35" t="n">
        <v>42860</v>
      </c>
      <c r="Z184" s="210">
        <f>IF(N184=TRUE,T184/K184,T184)</f>
        <v/>
      </c>
      <c r="AA184" s="237">
        <f>Y184/100*V184</f>
        <v/>
      </c>
      <c r="AB184">
        <f>IF(AND(Y184&gt;0,Q184=Y184),TRUE,FALSE)</f>
        <v/>
      </c>
      <c r="AC184">
        <f>Z184&lt;&gt;T184</f>
        <v/>
      </c>
    </row>
    <row r="185">
      <c r="A185" t="n">
        <v>184</v>
      </c>
      <c r="D185" s="9" t="inlineStr">
        <is>
          <t>RE0439013</t>
        </is>
      </c>
      <c r="E185" s="1" t="n">
        <v>42736</v>
      </c>
      <c r="F185" s="1" t="n">
        <v>42738</v>
      </c>
      <c r="G185" s="1">
        <f>CONCATENATE(H185,": ",J185)</f>
        <v/>
      </c>
      <c r="H185" t="inlineStr">
        <is>
          <t>easyname GmbH, Fernkorngasse 10/3/501, 1110 Wien</t>
        </is>
      </c>
      <c r="I185" t="inlineStr">
        <is>
          <t>ATU68122177</t>
        </is>
      </c>
      <c r="J185" t="inlineStr">
        <is>
          <t>Domain: dr-schiller.at</t>
        </is>
      </c>
      <c r="N185">
        <f>(IF(AND(K185&lt;&gt;"",ABS(T185)&gt;400),TRUE,FALSE))</f>
        <v/>
      </c>
      <c r="O185" s="36" t="n">
        <v>12.42</v>
      </c>
      <c r="P185" s="51" t="n">
        <v>1</v>
      </c>
      <c r="Q185" s="27" t="n">
        <v>20</v>
      </c>
      <c r="R185" s="237">
        <f>O185*Q185/100</f>
        <v/>
      </c>
      <c r="S185" s="237">
        <f>P185*R185</f>
        <v/>
      </c>
      <c r="T185" s="208">
        <f>O185*P185</f>
        <v/>
      </c>
      <c r="U185" s="251">
        <f>O185+R185</f>
        <v/>
      </c>
      <c r="V185" s="251">
        <f>T185+S185</f>
        <v/>
      </c>
      <c r="W185" s="35">
        <f>voranmeldefrist_vierteljaehrlich(F185)</f>
        <v/>
      </c>
      <c r="X185" s="35" t="n">
        <v>42860</v>
      </c>
      <c r="Z185" s="210">
        <f>IF(N185=TRUE,T185/K185,T185)</f>
        <v/>
      </c>
      <c r="AA185" s="237">
        <f>Y185/100*V185</f>
        <v/>
      </c>
      <c r="AB185">
        <f>IF(AND(Y185&gt;0,Q185=Y185),TRUE,FALSE)</f>
        <v/>
      </c>
      <c r="AC185">
        <f>Z185&lt;&gt;T185</f>
        <v/>
      </c>
    </row>
    <row r="186">
      <c r="A186" t="n">
        <v>185</v>
      </c>
      <c r="D186" s="9" t="inlineStr">
        <is>
          <t>4756071016</t>
        </is>
      </c>
      <c r="E186" s="1" t="n">
        <v>42644</v>
      </c>
      <c r="F186" s="1" t="n">
        <v>42639</v>
      </c>
      <c r="G186" s="1">
        <f>CONCATENATE(H186,": ",J186)</f>
        <v/>
      </c>
      <c r="H186" t="inlineStr">
        <is>
          <t>IMV Immobilien Management GmbH</t>
        </is>
      </c>
      <c r="I186" t="inlineStr">
        <is>
          <t>ATU60795919</t>
        </is>
      </c>
      <c r="J186" t="inlineStr">
        <is>
          <t>Vorschreibung 10/16</t>
        </is>
      </c>
      <c r="N186">
        <f>(IF(AND(K186&lt;&gt;"",ABS(T186)&gt;400),TRUE,FALSE))</f>
        <v/>
      </c>
      <c r="O186" s="36" t="n">
        <v>801.77</v>
      </c>
      <c r="P186" s="51">
        <f>Arbeitszimmer!$B$3</f>
        <v/>
      </c>
      <c r="Q186" s="27" t="n">
        <v>10</v>
      </c>
      <c r="R186" s="237">
        <f>O186*Q186/100</f>
        <v/>
      </c>
      <c r="S186" s="237">
        <f>P186*R186</f>
        <v/>
      </c>
      <c r="T186" s="208">
        <f>O186*P186</f>
        <v/>
      </c>
      <c r="U186" s="251">
        <f>O186+R186</f>
        <v/>
      </c>
      <c r="V186" s="251">
        <f>T186+S186</f>
        <v/>
      </c>
      <c r="W186" s="35">
        <f>voranmeldefrist_vierteljaehrlich(F186)</f>
        <v/>
      </c>
      <c r="X186" s="35" t="n"/>
      <c r="Z186" s="210">
        <f>IF(N186=TRUE,T186/K186,T186)</f>
        <v/>
      </c>
      <c r="AA186" s="237">
        <f>Y186/100*V186</f>
        <v/>
      </c>
      <c r="AB186">
        <f>IF(AND(Y186&gt;0,Q186=Y186),TRUE,FALSE)</f>
        <v/>
      </c>
    </row>
    <row r="187">
      <c r="A187" t="n">
        <v>186</v>
      </c>
      <c r="D187" s="9" t="inlineStr">
        <is>
          <t>4756071116</t>
        </is>
      </c>
      <c r="E187" s="1" t="n">
        <v>42675</v>
      </c>
      <c r="F187" s="1" t="n">
        <v>42685</v>
      </c>
      <c r="G187" s="1">
        <f>CONCATENATE(H187,": ",J187)</f>
        <v/>
      </c>
      <c r="H187" t="inlineStr">
        <is>
          <t>IMV Immobilien Management GmbH</t>
        </is>
      </c>
      <c r="I187" t="inlineStr">
        <is>
          <t>ATU60795919</t>
        </is>
      </c>
      <c r="J187" t="inlineStr">
        <is>
          <t>Vorschreibung 11/16</t>
        </is>
      </c>
      <c r="N187">
        <f>(IF(AND(K187&lt;&gt;"",ABS(T187)&gt;400),TRUE,FALSE))</f>
        <v/>
      </c>
      <c r="O187" s="36" t="n">
        <v>801.77</v>
      </c>
      <c r="P187" s="51">
        <f>Arbeitszimmer!$B$3</f>
        <v/>
      </c>
      <c r="Q187" s="27" t="n">
        <v>10</v>
      </c>
      <c r="R187" s="237">
        <f>O187*Q187/100</f>
        <v/>
      </c>
      <c r="S187" s="237">
        <f>P187*R187</f>
        <v/>
      </c>
      <c r="T187" s="208">
        <f>O187*P187</f>
        <v/>
      </c>
      <c r="U187" s="251">
        <f>O187+R187</f>
        <v/>
      </c>
      <c r="V187" s="251">
        <f>T187+S187</f>
        <v/>
      </c>
      <c r="W187" s="35">
        <f>voranmeldefrist_vierteljaehrlich(F187)</f>
        <v/>
      </c>
      <c r="X187" s="35" t="n">
        <v>42777</v>
      </c>
      <c r="Z187" s="210">
        <f>IF(N187=TRUE,T187/K187,T187)</f>
        <v/>
      </c>
      <c r="AA187" s="237">
        <f>Y187/100*V187</f>
        <v/>
      </c>
      <c r="AB187">
        <f>IF(AND(Y187&gt;0,Q187=Y187),TRUE,FALSE)</f>
        <v/>
      </c>
    </row>
    <row r="188">
      <c r="A188" t="n">
        <v>187</v>
      </c>
      <c r="D188" s="9" t="inlineStr">
        <is>
          <t>4756071216</t>
        </is>
      </c>
      <c r="E188" s="1" t="n">
        <v>42705</v>
      </c>
      <c r="F188" s="1" t="n">
        <v>42699</v>
      </c>
      <c r="G188" s="1">
        <f>CONCATENATE(H188,": ",J188)</f>
        <v/>
      </c>
      <c r="H188" t="inlineStr">
        <is>
          <t>IMV Immobilien Management GmbH</t>
        </is>
      </c>
      <c r="I188" t="inlineStr">
        <is>
          <t>ATU60795919</t>
        </is>
      </c>
      <c r="J188" t="inlineStr">
        <is>
          <t>Vorschreibung 12/16</t>
        </is>
      </c>
      <c r="N188">
        <f>(IF(AND(K188&lt;&gt;"",ABS(T188)&gt;400),TRUE,FALSE))</f>
        <v/>
      </c>
      <c r="O188" s="36" t="n">
        <v>801.77</v>
      </c>
      <c r="P188" s="51">
        <f>Arbeitszimmer!$B$3</f>
        <v/>
      </c>
      <c r="Q188" s="27" t="n">
        <v>10</v>
      </c>
      <c r="R188" s="237">
        <f>O188*Q188/100</f>
        <v/>
      </c>
      <c r="S188" s="237">
        <f>P188*R188</f>
        <v/>
      </c>
      <c r="T188" s="208">
        <f>O188*P188</f>
        <v/>
      </c>
      <c r="U188" s="251">
        <f>O188+R188</f>
        <v/>
      </c>
      <c r="V188" s="251">
        <f>T188+S188</f>
        <v/>
      </c>
      <c r="W188" s="35">
        <f>voranmeldefrist_vierteljaehrlich(F188)</f>
        <v/>
      </c>
      <c r="X188" s="35" t="n">
        <v>42777</v>
      </c>
      <c r="Z188" s="210">
        <f>IF(N188=TRUE,T188/K188,T188)</f>
        <v/>
      </c>
      <c r="AA188" s="237">
        <f>Y188/100*V188</f>
        <v/>
      </c>
      <c r="AB188">
        <f>IF(AND(Y188&gt;0,Q188=Y188),TRUE,FALSE)</f>
        <v/>
      </c>
    </row>
    <row r="189">
      <c r="A189" t="n">
        <v>188</v>
      </c>
      <c r="D189" s="9" t="inlineStr">
        <is>
          <t>2017/8058/14</t>
        </is>
      </c>
      <c r="E189" s="1" t="n">
        <v>42736</v>
      </c>
      <c r="F189" s="1" t="n">
        <v>42744</v>
      </c>
      <c r="G189" s="1">
        <f>CONCATENATE(H189,": ",J189)</f>
        <v/>
      </c>
      <c r="H189" t="inlineStr">
        <is>
          <t>PREMIUM Laudongasse 58 GmbH &amp; Co KG</t>
        </is>
      </c>
      <c r="I189" t="inlineStr">
        <is>
          <t>ATU60795919</t>
        </is>
      </c>
      <c r="J189" t="inlineStr">
        <is>
          <t>Dauerrechnung 2017-01</t>
        </is>
      </c>
      <c r="N189">
        <f>(IF(AND(K189&lt;&gt;"",ABS(T189)&gt;400),TRUE,FALSE))</f>
        <v/>
      </c>
      <c r="O189" s="36" t="n">
        <v>801.77</v>
      </c>
      <c r="P189" s="51">
        <f>Arbeitszimmer!$B$3</f>
        <v/>
      </c>
      <c r="Q189" s="27" t="n">
        <v>10</v>
      </c>
      <c r="R189" s="237">
        <f>O189*Q189/100</f>
        <v/>
      </c>
      <c r="S189" s="237">
        <f>P189*R189</f>
        <v/>
      </c>
      <c r="T189" s="208">
        <f>O189*P189</f>
        <v/>
      </c>
      <c r="U189" s="251">
        <f>O189+R189</f>
        <v/>
      </c>
      <c r="V189" s="251">
        <f>T189+S189</f>
        <v/>
      </c>
      <c r="W189" s="35">
        <f>voranmeldefrist_vierteljaehrlich(F189)</f>
        <v/>
      </c>
      <c r="X189" s="35" t="n">
        <v>42860</v>
      </c>
      <c r="Z189" s="210">
        <f>IF(N189=TRUE,T189/K189,T189)</f>
        <v/>
      </c>
      <c r="AA189" s="237">
        <f>Y189/100*V189</f>
        <v/>
      </c>
      <c r="AB189">
        <f>IF(AND(Y189&gt;0,Q189=Y189),TRUE,FALSE)</f>
        <v/>
      </c>
      <c r="AC189">
        <f>Z189&lt;&gt;T189</f>
        <v/>
      </c>
    </row>
    <row r="190">
      <c r="A190" t="n">
        <v>189</v>
      </c>
      <c r="D190" s="9" t="inlineStr">
        <is>
          <t>2017/8058/14</t>
        </is>
      </c>
      <c r="E190" s="1" t="n">
        <v>42736</v>
      </c>
      <c r="F190" s="1" t="n">
        <v>42760</v>
      </c>
      <c r="G190" s="1">
        <f>CONCATENATE(H190,": ",J190)</f>
        <v/>
      </c>
      <c r="H190" t="inlineStr">
        <is>
          <t>PREMIUM Laudongasse 58 GmbH &amp; Co KG</t>
        </is>
      </c>
      <c r="I190" t="inlineStr">
        <is>
          <t>ATU60795919</t>
        </is>
      </c>
      <c r="J190" t="inlineStr">
        <is>
          <t>Dauerrechnung 2017-D-2</t>
        </is>
      </c>
      <c r="N190">
        <f>(IF(AND(K190&lt;&gt;"",ABS(T190)&gt;400),TRUE,FALSE))</f>
        <v/>
      </c>
      <c r="O190" s="36" t="n">
        <v>801.77</v>
      </c>
      <c r="P190" s="51">
        <f>Arbeitszimmer!$B$3</f>
        <v/>
      </c>
      <c r="Q190" s="27" t="n">
        <v>10</v>
      </c>
      <c r="R190" s="237">
        <f>O190*Q190/100</f>
        <v/>
      </c>
      <c r="S190" s="237">
        <f>P190*R190</f>
        <v/>
      </c>
      <c r="T190" s="208">
        <f>O190*P190</f>
        <v/>
      </c>
      <c r="U190" s="251">
        <f>O190+R190</f>
        <v/>
      </c>
      <c r="V190" s="251">
        <f>T190+S190</f>
        <v/>
      </c>
      <c r="W190" s="35">
        <f>voranmeldefrist_vierteljaehrlich(F190)</f>
        <v/>
      </c>
      <c r="X190" s="35" t="n">
        <v>42860</v>
      </c>
      <c r="Z190" s="210">
        <f>IF(N190=TRUE,T190/K190,T190)</f>
        <v/>
      </c>
      <c r="AA190" s="237">
        <f>Y190/100*V190</f>
        <v/>
      </c>
      <c r="AB190">
        <f>IF(AND(Y190&gt;0,Q190=Y190),TRUE,FALSE)</f>
        <v/>
      </c>
      <c r="AC190">
        <f>Z190&lt;&gt;T190</f>
        <v/>
      </c>
    </row>
    <row r="191">
      <c r="A191" t="n">
        <v>190</v>
      </c>
      <c r="D191" s="9" t="inlineStr">
        <is>
          <t>6126460995</t>
        </is>
      </c>
      <c r="E191" s="1" t="n">
        <v>42760</v>
      </c>
      <c r="F191" s="1" t="n">
        <v>42768</v>
      </c>
      <c r="G191" s="1">
        <f>CONCATENATE(H191,": ",J191)</f>
        <v/>
      </c>
      <c r="H191" t="inlineStr">
        <is>
          <t>Hutchison Drei Austria GmbH, Brünner Straße 52, 1210 Wien, Österreich</t>
        </is>
      </c>
      <c r="N191">
        <f>(IF(AND(K191&lt;&gt;"",ABS(T191)&gt;400),TRUE,FALSE))</f>
        <v/>
      </c>
      <c r="O191" s="36" t="n">
        <v>15</v>
      </c>
      <c r="P191" s="51" t="n">
        <v>1</v>
      </c>
      <c r="Q191" s="27" t="n">
        <v>20</v>
      </c>
      <c r="R191" s="237">
        <f>O191*Q191/100</f>
        <v/>
      </c>
      <c r="S191" s="237">
        <f>P191*R191</f>
        <v/>
      </c>
      <c r="T191" s="208">
        <f>O191*P191</f>
        <v/>
      </c>
      <c r="U191" s="251">
        <f>O191+R191</f>
        <v/>
      </c>
      <c r="V191" s="251">
        <f>T191+S191</f>
        <v/>
      </c>
      <c r="W191" s="35">
        <f>voranmeldefrist_vierteljaehrlich(F191)</f>
        <v/>
      </c>
      <c r="X191" s="35" t="n">
        <v>42860</v>
      </c>
      <c r="Z191" s="210">
        <f>IF(N191=TRUE,T191/K191,T191)</f>
        <v/>
      </c>
      <c r="AA191" s="237">
        <f>Y191/100*V191</f>
        <v/>
      </c>
      <c r="AB191">
        <f>IF(AND(Y191&gt;0,Q191=Y191),TRUE,FALSE)</f>
        <v/>
      </c>
      <c r="AC191">
        <f>Z191&lt;&gt;T191</f>
        <v/>
      </c>
    </row>
    <row r="192">
      <c r="A192" t="n">
        <v>191</v>
      </c>
      <c r="D192" s="9" t="inlineStr">
        <is>
          <t>RE0447849</t>
        </is>
      </c>
      <c r="E192" s="1" t="n">
        <v>42765</v>
      </c>
      <c r="F192" s="1" t="n">
        <v>42768</v>
      </c>
      <c r="G192" s="1">
        <f>CONCATENATE(H192,": ",J192)</f>
        <v/>
      </c>
      <c r="H192" t="inlineStr">
        <is>
          <t>easyname GmbH, Fernkorngasse 10/3/501, 1110 Wien</t>
        </is>
      </c>
      <c r="I192" t="inlineStr">
        <is>
          <t>ATU68122177</t>
        </is>
      </c>
      <c r="J192" t="inlineStr">
        <is>
          <t>Domain: amweg.at</t>
        </is>
      </c>
      <c r="N192">
        <f>(IF(AND(K192&lt;&gt;"",ABS(T192)&gt;400),TRUE,FALSE))</f>
        <v/>
      </c>
      <c r="O192" s="36" t="n">
        <v>12.42</v>
      </c>
      <c r="P192" s="51" t="n">
        <v>1</v>
      </c>
      <c r="Q192" s="27" t="n">
        <v>20</v>
      </c>
      <c r="R192" s="237">
        <f>O192*Q192/100</f>
        <v/>
      </c>
      <c r="S192" s="237">
        <f>P192*R192</f>
        <v/>
      </c>
      <c r="T192" s="208">
        <f>O192*P192</f>
        <v/>
      </c>
      <c r="U192" s="251">
        <f>O192+R192</f>
        <v/>
      </c>
      <c r="V192" s="251">
        <f>T192+S192</f>
        <v/>
      </c>
      <c r="W192" s="35">
        <f>voranmeldefrist_vierteljaehrlich(F192)</f>
        <v/>
      </c>
      <c r="X192" s="35" t="n">
        <v>42860</v>
      </c>
      <c r="Z192" s="210">
        <f>IF(N192=TRUE,T192/K192,T192)</f>
        <v/>
      </c>
      <c r="AA192" s="237">
        <f>Y192/100*V192</f>
        <v/>
      </c>
      <c r="AB192">
        <f>IF(AND(Y192&gt;0,Q192=Y192),TRUE,FALSE)</f>
        <v/>
      </c>
      <c r="AC192">
        <f>Z192&lt;&gt;T192</f>
        <v/>
      </c>
    </row>
    <row r="193">
      <c r="A193" t="n">
        <v>192</v>
      </c>
      <c r="D193" s="9" t="inlineStr">
        <is>
          <t>RE0445823</t>
        </is>
      </c>
      <c r="E193" s="1" t="n">
        <v>42758</v>
      </c>
      <c r="F193" s="1" t="n">
        <v>42761</v>
      </c>
      <c r="G193" s="1">
        <f>CONCATENATE(H193,": ",J193)</f>
        <v/>
      </c>
      <c r="H193" t="inlineStr">
        <is>
          <t>easyname GmbH, Fernkorngasse 10/3/501, 1110 Wien</t>
        </is>
      </c>
      <c r="I193" t="inlineStr">
        <is>
          <t>ATU68122177</t>
        </is>
      </c>
      <c r="J193" t="inlineStr">
        <is>
          <t>Domain: jarosoft.at</t>
        </is>
      </c>
      <c r="N193">
        <f>(IF(AND(K193&lt;&gt;"",ABS(T193)&gt;400),TRUE,FALSE))</f>
        <v/>
      </c>
      <c r="O193" s="36" t="n">
        <v>12.42</v>
      </c>
      <c r="P193" s="51" t="n">
        <v>1</v>
      </c>
      <c r="Q193" s="27" t="n">
        <v>20</v>
      </c>
      <c r="R193" s="237">
        <f>O193*Q193/100</f>
        <v/>
      </c>
      <c r="S193" s="237">
        <f>P193*R193</f>
        <v/>
      </c>
      <c r="T193" s="208">
        <f>O193*P193</f>
        <v/>
      </c>
      <c r="U193" s="251">
        <f>O193+R193</f>
        <v/>
      </c>
      <c r="V193" s="251">
        <f>T193+S193</f>
        <v/>
      </c>
      <c r="W193" s="35">
        <f>voranmeldefrist_vierteljaehrlich(F193)</f>
        <v/>
      </c>
      <c r="X193" s="35" t="n">
        <v>42860</v>
      </c>
      <c r="Z193" s="210">
        <f>IF(N193=TRUE,T193/K193,T193)</f>
        <v/>
      </c>
      <c r="AA193" s="237">
        <f>Y193/100*V193</f>
        <v/>
      </c>
      <c r="AB193">
        <f>IF(AND(Y193&gt;0,Q193=Y193),TRUE,FALSE)</f>
        <v/>
      </c>
      <c r="AC193">
        <f>Z193&lt;&gt;T193</f>
        <v/>
      </c>
    </row>
    <row r="194">
      <c r="A194" t="n">
        <v>193</v>
      </c>
      <c r="D194" s="9" t="inlineStr">
        <is>
          <t>R0006532557</t>
        </is>
      </c>
      <c r="E194" s="1" t="n">
        <v>42743</v>
      </c>
      <c r="F194" s="1" t="n">
        <v>42745</v>
      </c>
      <c r="G194" s="1">
        <f>CONCATENATE(H194,": ",J194)</f>
        <v/>
      </c>
      <c r="H194" t="inlineStr">
        <is>
          <t>Hetzner Online AG, Industriestr. 25, 91710 Gunzenhausen</t>
        </is>
      </c>
      <c r="I194" s="10" t="inlineStr">
        <is>
          <t>DE812871812</t>
        </is>
      </c>
      <c r="J194" t="inlineStr">
        <is>
          <t>EQ4 Server #50605 30TB 188.40.75.200, 188.40.75.242</t>
        </is>
      </c>
      <c r="N194">
        <f>(IF(AND(K194&lt;&gt;"",ABS(T194)&gt;400),TRUE,FALSE))</f>
        <v/>
      </c>
      <c r="O194" s="36" t="n">
        <v>42.02</v>
      </c>
      <c r="P194" s="51" t="n">
        <v>1</v>
      </c>
      <c r="Q194" s="27" t="n">
        <v>0</v>
      </c>
      <c r="R194" s="237">
        <f>O194*Q194/100</f>
        <v/>
      </c>
      <c r="S194" s="237">
        <f>P194*R194</f>
        <v/>
      </c>
      <c r="T194" s="208">
        <f>O194*P194</f>
        <v/>
      </c>
      <c r="U194" s="251">
        <f>O194+R194</f>
        <v/>
      </c>
      <c r="V194" s="251">
        <f>T194+S194</f>
        <v/>
      </c>
      <c r="W194" s="35">
        <f>voranmeldefrist_vierteljaehrlich(F194)</f>
        <v/>
      </c>
      <c r="X194" s="35" t="n">
        <v>42860</v>
      </c>
      <c r="Y194" s="27" t="n">
        <v>20</v>
      </c>
      <c r="Z194" s="210">
        <f>IF(N194=TRUE,T194/K194,T194)</f>
        <v/>
      </c>
      <c r="AA194" s="237">
        <f>Y194/100*V194</f>
        <v/>
      </c>
      <c r="AB194">
        <f>IF(AND(Y194&gt;0,Q194=Y194),TRUE,FALSE)</f>
        <v/>
      </c>
      <c r="AC194">
        <f>Z194&lt;&gt;T194</f>
        <v/>
      </c>
    </row>
    <row r="195">
      <c r="A195" t="n">
        <v>194</v>
      </c>
      <c r="E195" s="1" t="n">
        <v>42745</v>
      </c>
      <c r="F195" s="1" t="n">
        <v>42765</v>
      </c>
      <c r="G195" s="1">
        <f>CONCATENATE(H195,": ",J195)</f>
        <v/>
      </c>
      <c r="H195" t="inlineStr">
        <is>
          <t>Wiener Linien GmbH &amp; Co KG, Erdbergstraße 202, 1031 Wien</t>
        </is>
      </c>
      <c r="I195" t="inlineStr">
        <is>
          <t>ATU47055001</t>
        </is>
      </c>
      <c r="J195" t="inlineStr">
        <is>
          <t>Jahreskarte</t>
        </is>
      </c>
      <c r="N195">
        <f>(IF(AND(K195&lt;&gt;"",ABS(T195)&gt;400),TRUE,FALSE))</f>
        <v/>
      </c>
      <c r="O195" s="36" t="n">
        <v>331.82</v>
      </c>
      <c r="P195" s="51" t="n">
        <v>1</v>
      </c>
      <c r="Q195" s="27" t="n">
        <v>10</v>
      </c>
      <c r="R195" s="237">
        <f>O195*Q195/100</f>
        <v/>
      </c>
      <c r="S195" s="237">
        <f>P195*R195</f>
        <v/>
      </c>
      <c r="T195" s="208">
        <f>O195*P195</f>
        <v/>
      </c>
      <c r="U195" s="251">
        <f>O195+R195</f>
        <v/>
      </c>
      <c r="V195" s="251">
        <f>T195+S195</f>
        <v/>
      </c>
      <c r="W195" s="35">
        <f>voranmeldefrist_vierteljaehrlich(F195)</f>
        <v/>
      </c>
      <c r="X195" s="35" t="n">
        <v>42860</v>
      </c>
      <c r="Z195" s="210">
        <f>IF(N195=TRUE,T195/K195,T195)</f>
        <v/>
      </c>
      <c r="AA195" s="237">
        <f>Y195/100*V195</f>
        <v/>
      </c>
      <c r="AB195">
        <f>IF(AND(Y195&gt;0,Q195=Y195),TRUE,FALSE)</f>
        <v/>
      </c>
      <c r="AC195">
        <f>Z195&lt;&gt;T195</f>
        <v/>
      </c>
    </row>
    <row r="196">
      <c r="A196" t="n">
        <v>195</v>
      </c>
      <c r="D196" s="9" t="inlineStr">
        <is>
          <t>R0006624857</t>
        </is>
      </c>
      <c r="E196" s="1" t="n">
        <v>42774</v>
      </c>
      <c r="F196" s="1" t="n">
        <v>42776</v>
      </c>
      <c r="G196" s="1">
        <f>CONCATENATE(H196,": ",J196)</f>
        <v/>
      </c>
      <c r="H196" t="inlineStr">
        <is>
          <t>Hetzner Online AG, Industriestr. 25, 91710 Gunzenhausen</t>
        </is>
      </c>
      <c r="I196" s="10" t="inlineStr">
        <is>
          <t>DE812871812</t>
        </is>
      </c>
      <c r="J196" t="inlineStr">
        <is>
          <t>EQ4 Server #50605 30TB 188.40.75.200, 188.40.75.242</t>
        </is>
      </c>
      <c r="N196">
        <f>(IF(AND(K196&lt;&gt;"",ABS(T196)&gt;400),TRUE,FALSE))</f>
        <v/>
      </c>
      <c r="O196" s="36" t="n">
        <v>42.02</v>
      </c>
      <c r="P196" s="51" t="n">
        <v>1</v>
      </c>
      <c r="Q196" s="27" t="n">
        <v>0</v>
      </c>
      <c r="R196" s="237">
        <f>O196*Q196/100</f>
        <v/>
      </c>
      <c r="S196" s="237">
        <f>P196*R196</f>
        <v/>
      </c>
      <c r="T196" s="208">
        <f>O196*P196</f>
        <v/>
      </c>
      <c r="U196" s="251">
        <f>O196+R196</f>
        <v/>
      </c>
      <c r="V196" s="251">
        <f>T196+S196</f>
        <v/>
      </c>
      <c r="W196" s="35">
        <f>voranmeldefrist_vierteljaehrlich(F196)</f>
        <v/>
      </c>
      <c r="X196" s="35" t="n">
        <v>42860</v>
      </c>
      <c r="Y196" s="27" t="n">
        <v>20</v>
      </c>
      <c r="Z196" s="210">
        <f>IF(N196=TRUE,T196/K196,T196)</f>
        <v/>
      </c>
      <c r="AA196" s="237">
        <f>Y196/100*V196</f>
        <v/>
      </c>
      <c r="AB196">
        <f>IF(AND(Y196&gt;0,Q196=Y196),TRUE,FALSE)</f>
        <v/>
      </c>
      <c r="AC196">
        <f>Z196&lt;&gt;T196</f>
        <v/>
      </c>
    </row>
    <row r="197">
      <c r="A197" t="n">
        <v>196</v>
      </c>
      <c r="D197" s="9" t="inlineStr">
        <is>
          <t>RE A103-102/00010275</t>
        </is>
      </c>
      <c r="E197" s="1" t="n">
        <v>42679</v>
      </c>
      <c r="F197" s="1" t="n">
        <v>42679</v>
      </c>
      <c r="G197" s="1">
        <f>CONCATENATE(H197,": ",J197)</f>
        <v/>
      </c>
      <c r="H197" t="inlineStr">
        <is>
          <t>Saturn Handels GmbH, Mariahilfer Str. 42-48, 1070 Wien</t>
        </is>
      </c>
      <c r="I197" t="inlineStr">
        <is>
          <t>ATU41593904</t>
        </is>
      </c>
      <c r="J197" t="inlineStr">
        <is>
          <t>Canon 384 Tinte</t>
        </is>
      </c>
      <c r="N197">
        <f>(IF(AND(K197&lt;&gt;"",ABS(T197)&gt;400),TRUE,FALSE))</f>
        <v/>
      </c>
      <c r="O197" s="36" t="n">
        <v>58.4</v>
      </c>
      <c r="P197" s="51" t="n">
        <v>1</v>
      </c>
      <c r="Q197" s="27" t="n">
        <v>20</v>
      </c>
      <c r="R197" s="237">
        <f>O197*Q197/100</f>
        <v/>
      </c>
      <c r="S197" s="237">
        <f>P197*R197</f>
        <v/>
      </c>
      <c r="T197" s="208">
        <f>O197*P197</f>
        <v/>
      </c>
      <c r="U197" s="251">
        <f>O197+R197</f>
        <v/>
      </c>
      <c r="V197" s="251">
        <f>T197+S197</f>
        <v/>
      </c>
      <c r="W197" s="35">
        <f>voranmeldefrist_vierteljaehrlich(F197)</f>
        <v/>
      </c>
      <c r="X197" s="35" t="n">
        <v>42777</v>
      </c>
      <c r="Z197" s="210">
        <f>IF(N197=TRUE,T197/K197,T197)</f>
        <v/>
      </c>
      <c r="AA197" s="237">
        <f>Y197/100*V197</f>
        <v/>
      </c>
      <c r="AB197">
        <f>IF(AND(Y197&gt;0,Q197=Y197),TRUE,FALSE)</f>
        <v/>
      </c>
    </row>
    <row r="198">
      <c r="A198" t="n">
        <v>197</v>
      </c>
      <c r="D198" s="9" t="inlineStr">
        <is>
          <t>6128353497</t>
        </is>
      </c>
      <c r="E198" s="1" t="n">
        <v>42790</v>
      </c>
      <c r="F198" s="1" t="n">
        <v>42800</v>
      </c>
      <c r="G198" s="1">
        <f>CONCATENATE(H198,": ",J198)</f>
        <v/>
      </c>
      <c r="H198" t="inlineStr">
        <is>
          <t>Hutchison Drei Austria GmbH, Brünner Straße 52, 1210 Wien, Österreich</t>
        </is>
      </c>
      <c r="N198">
        <f>(IF(AND(K198&lt;&gt;"",ABS(T198)&gt;400),TRUE,FALSE))</f>
        <v/>
      </c>
      <c r="O198" s="36" t="n">
        <v>15</v>
      </c>
      <c r="P198" s="51" t="n">
        <v>1</v>
      </c>
      <c r="Q198" s="27" t="n">
        <v>20</v>
      </c>
      <c r="R198" s="237">
        <f>O198*Q198/100</f>
        <v/>
      </c>
      <c r="S198" s="237">
        <f>P198*R198</f>
        <v/>
      </c>
      <c r="T198" s="208">
        <f>O198*P198</f>
        <v/>
      </c>
      <c r="U198" s="251">
        <f>O198+R198</f>
        <v/>
      </c>
      <c r="V198" s="251">
        <f>T198+S198</f>
        <v/>
      </c>
      <c r="W198" s="35">
        <f>voranmeldefrist_vierteljaehrlich(F198)</f>
        <v/>
      </c>
      <c r="X198" s="35" t="n">
        <v>42860</v>
      </c>
      <c r="Z198" s="210">
        <f>IF(N198=TRUE,T198/K198,T198)</f>
        <v/>
      </c>
      <c r="AA198" s="237">
        <f>Y198/100*V198</f>
        <v/>
      </c>
      <c r="AB198">
        <f>IF(AND(Y198&gt;0,Q198=Y198),TRUE,FALSE)</f>
        <v/>
      </c>
      <c r="AC198">
        <f>Z198&lt;&gt;T198</f>
        <v/>
      </c>
    </row>
    <row r="199">
      <c r="A199" t="n">
        <v>198</v>
      </c>
      <c r="D199" s="9" t="inlineStr">
        <is>
          <t>PRM317020006273</t>
        </is>
      </c>
      <c r="E199" s="1" t="n">
        <v>42793</v>
      </c>
      <c r="F199" s="1" t="n">
        <v>42794</v>
      </c>
      <c r="G199" s="1">
        <f>CONCATENATE(H199,": ",J199)</f>
        <v/>
      </c>
      <c r="H199" t="inlineStr">
        <is>
          <t>XING AG, D-20354 Hamburg, Dammtorstrasse 30</t>
        </is>
      </c>
      <c r="I199" s="10" t="inlineStr">
        <is>
          <t>DE 230144235</t>
        </is>
      </c>
      <c r="J199" t="inlineStr">
        <is>
          <t>Three-month Premium membership</t>
        </is>
      </c>
      <c r="N199">
        <f>(IF(AND(K199&lt;&gt;"",ABS(T199)&gt;400),TRUE,FALSE))</f>
        <v/>
      </c>
      <c r="O199" s="36" t="n">
        <v>24.87</v>
      </c>
      <c r="P199" s="51" t="n">
        <v>1</v>
      </c>
      <c r="Q199" s="27" t="n">
        <v>20</v>
      </c>
      <c r="R199" s="237" t="n">
        <v>4.98</v>
      </c>
      <c r="S199" s="237">
        <f>P199*R199</f>
        <v/>
      </c>
      <c r="T199" s="208">
        <f>O199*P199</f>
        <v/>
      </c>
      <c r="U199" s="251">
        <f>O199+R199</f>
        <v/>
      </c>
      <c r="V199" s="251">
        <f>T199+S199</f>
        <v/>
      </c>
      <c r="W199" s="35">
        <f>voranmeldefrist_vierteljaehrlich(F199)</f>
        <v/>
      </c>
      <c r="X199" s="35" t="n">
        <v>42860</v>
      </c>
      <c r="Z199" s="210">
        <f>IF(N199=TRUE,T199/K199,T199)</f>
        <v/>
      </c>
      <c r="AA199" s="237">
        <f>Y199/100*V199</f>
        <v/>
      </c>
      <c r="AB199">
        <f>IF(AND(Y199&gt;0,Q199=Y199),TRUE,FALSE)</f>
        <v/>
      </c>
      <c r="AC199">
        <f>Z199&lt;&gt;T199</f>
        <v/>
      </c>
    </row>
    <row r="200">
      <c r="A200" t="n">
        <v>199</v>
      </c>
      <c r="D200" s="9" t="inlineStr">
        <is>
          <t>EUVINS1-OFS-PL-277465836</t>
        </is>
      </c>
      <c r="E200" s="1" t="n">
        <v>42793</v>
      </c>
      <c r="F200" s="1" t="n">
        <v>42795</v>
      </c>
      <c r="G200" s="1">
        <f>CONCATENATE(H200,": ",J200)</f>
        <v/>
      </c>
      <c r="H200" t="inlineStr">
        <is>
          <t>Amazon EU Sàrl, 5 Rue Plaetis, L-2338, Luxemburg</t>
        </is>
      </c>
      <c r="I200" s="10" t="inlineStr">
        <is>
          <t>ATU62353134</t>
        </is>
      </c>
      <c r="J200" t="inlineStr">
        <is>
          <t>Sennheiser PC 7 USB Headset | B005HWEZ98</t>
        </is>
      </c>
      <c r="N200">
        <f>(IF(AND(K200&lt;&gt;"",ABS(T200)&gt;400),TRUE,FALSE))</f>
        <v/>
      </c>
      <c r="O200" s="36" t="n">
        <v>19.32</v>
      </c>
      <c r="P200" s="51" t="n">
        <v>1</v>
      </c>
      <c r="Q200" s="27" t="n">
        <v>20</v>
      </c>
      <c r="R200" s="237">
        <f>O200*Q200/100</f>
        <v/>
      </c>
      <c r="S200" s="237">
        <f>P200*R200</f>
        <v/>
      </c>
      <c r="T200" s="208">
        <f>O200*P200</f>
        <v/>
      </c>
      <c r="U200" s="251">
        <f>O200+R200</f>
        <v/>
      </c>
      <c r="V200" s="251">
        <f>T200+S200</f>
        <v/>
      </c>
      <c r="W200" s="35">
        <f>voranmeldefrist_vierteljaehrlich(F200)</f>
        <v/>
      </c>
      <c r="X200" s="35" t="n">
        <v>42860</v>
      </c>
      <c r="Z200" s="210">
        <f>IF(N200=TRUE,T200/K200,T200)</f>
        <v/>
      </c>
      <c r="AA200" s="237">
        <f>Y200/100*V200</f>
        <v/>
      </c>
      <c r="AB200">
        <f>IF(AND(Y200&gt;0,Q200=Y200),TRUE,FALSE)</f>
        <v/>
      </c>
      <c r="AC200">
        <f>Z200&lt;&gt;T200</f>
        <v/>
      </c>
    </row>
    <row r="201">
      <c r="A201" t="n">
        <v>200</v>
      </c>
      <c r="D201" s="9" t="inlineStr">
        <is>
          <t>13263277</t>
        </is>
      </c>
      <c r="E201" s="1" t="n">
        <v>42801</v>
      </c>
      <c r="F201" s="1" t="n">
        <v>42803</v>
      </c>
      <c r="G201" s="1">
        <f>CONCATENATE(H201,": ",J201)</f>
        <v/>
      </c>
      <c r="H201" t="inlineStr">
        <is>
          <t>Primus Office products Handelsges.mb.H &amp; Co KG FN210677w - ATU52268004, Margaretengürtel 44, 1050 Wien</t>
        </is>
      </c>
      <c r="J201" t="inlineStr">
        <is>
          <t>Samsung Toner black CLT-K506L 6000 S.</t>
        </is>
      </c>
      <c r="N201">
        <f>(IF(AND(K201&lt;&gt;"",ABS(T201)&gt;400),TRUE,FALSE))</f>
        <v/>
      </c>
      <c r="O201" s="36" t="n">
        <v>67.95999999999999</v>
      </c>
      <c r="P201" s="51" t="n">
        <v>1</v>
      </c>
      <c r="Q201" s="27" t="n">
        <v>20</v>
      </c>
      <c r="R201" s="237">
        <f>O201*Q201/100</f>
        <v/>
      </c>
      <c r="S201" s="237">
        <f>P201*R201</f>
        <v/>
      </c>
      <c r="T201" s="208">
        <f>O201*P201</f>
        <v/>
      </c>
      <c r="U201" s="251">
        <f>O201+R201</f>
        <v/>
      </c>
      <c r="V201" s="251">
        <f>T201+S201</f>
        <v/>
      </c>
      <c r="W201" s="35">
        <f>voranmeldefrist_vierteljaehrlich(F201)</f>
        <v/>
      </c>
      <c r="X201" s="35" t="n">
        <v>42860</v>
      </c>
      <c r="Z201" s="210">
        <f>IF(N201=TRUE,T201/K201,T201)</f>
        <v/>
      </c>
      <c r="AA201" s="237">
        <f>Y201/100*V201</f>
        <v/>
      </c>
      <c r="AB201">
        <f>IF(AND(Y201&gt;0,Q201=Y201),TRUE,FALSE)</f>
        <v/>
      </c>
      <c r="AC201">
        <f>Z201&lt;&gt;T201</f>
        <v/>
      </c>
    </row>
    <row r="202">
      <c r="A202" t="n">
        <v>201</v>
      </c>
      <c r="D202" s="9" t="inlineStr">
        <is>
          <t>GCINIE6426071CAT2017000000045250</t>
        </is>
      </c>
      <c r="E202" s="1" t="n">
        <v>42803</v>
      </c>
      <c r="F202" s="1" t="n">
        <v>42803</v>
      </c>
      <c r="G202" s="1">
        <f>CONCATENATE(H202,": ",J202)</f>
        <v/>
      </c>
      <c r="H202" t="inlineStr">
        <is>
          <t>Digital River Ireland Ltd, Unit 153, Shannon Free Zone West, Shannon, Co. Clare, Ireland</t>
        </is>
      </c>
      <c r="J202" t="inlineStr">
        <is>
          <t>Dragon Professional Individual v15 elektron. Download</t>
        </is>
      </c>
      <c r="N202">
        <f>(IF(AND(K202&lt;&gt;"",ABS(T202)&gt;400),TRUE,FALSE))</f>
        <v/>
      </c>
      <c r="O202" s="36" t="n">
        <v>332.5</v>
      </c>
      <c r="P202" s="51" t="n">
        <v>1</v>
      </c>
      <c r="Q202" s="27" t="n">
        <v>0</v>
      </c>
      <c r="R202" s="237">
        <f>O202*Q202/100</f>
        <v/>
      </c>
      <c r="S202" s="237">
        <f>P202*R202</f>
        <v/>
      </c>
      <c r="T202" s="208">
        <f>O202*P202</f>
        <v/>
      </c>
      <c r="U202" s="251">
        <f>O202+R202</f>
        <v/>
      </c>
      <c r="V202" s="251">
        <f>T202+S202</f>
        <v/>
      </c>
      <c r="W202" s="35">
        <f>voranmeldefrist_vierteljaehrlich(F202)</f>
        <v/>
      </c>
      <c r="X202" s="35" t="n">
        <v>42860</v>
      </c>
      <c r="Y202" s="27" t="n">
        <v>20</v>
      </c>
      <c r="Z202" s="210">
        <f>IF(N202=TRUE,T202/K202,T202)</f>
        <v/>
      </c>
      <c r="AA202" s="237">
        <f>Y202/100*V202</f>
        <v/>
      </c>
      <c r="AB202">
        <f>IF(AND(Y202&gt;0,Q202=Y202),TRUE,FALSE)</f>
        <v/>
      </c>
      <c r="AC202">
        <f>Z202&lt;&gt;T202</f>
        <v/>
      </c>
    </row>
    <row r="203">
      <c r="A203" t="n">
        <v>202</v>
      </c>
      <c r="D203" s="9" t="inlineStr">
        <is>
          <t>6130716022</t>
        </is>
      </c>
      <c r="E203" s="1" t="n">
        <v>42818</v>
      </c>
      <c r="F203" s="1" t="n">
        <v>42825</v>
      </c>
      <c r="G203" s="1">
        <f>CONCATENATE(H203,": ",J203)</f>
        <v/>
      </c>
      <c r="H203" t="inlineStr">
        <is>
          <t>Hutchison Drei Austria GmbH, Brünner Straße 52, 1210 Wien, Österreich</t>
        </is>
      </c>
      <c r="N203">
        <f>(IF(AND(K203&lt;&gt;"",ABS(T203)&gt;400),TRUE,FALSE))</f>
        <v/>
      </c>
      <c r="O203" s="36" t="n">
        <v>15</v>
      </c>
      <c r="P203" s="51" t="n">
        <v>1</v>
      </c>
      <c r="Q203" s="27" t="n">
        <v>20</v>
      </c>
      <c r="R203" s="237">
        <f>O203*Q203/100</f>
        <v/>
      </c>
      <c r="S203" s="237">
        <f>P203*R203</f>
        <v/>
      </c>
      <c r="T203" s="208">
        <f>O203*P203</f>
        <v/>
      </c>
      <c r="U203" s="251">
        <f>O203+R203</f>
        <v/>
      </c>
      <c r="V203" s="251">
        <f>T203+S203</f>
        <v/>
      </c>
      <c r="W203" s="35">
        <f>voranmeldefrist_vierteljaehrlich(F203)</f>
        <v/>
      </c>
      <c r="X203" s="35" t="n">
        <v>42860</v>
      </c>
      <c r="Z203" s="210">
        <f>IF(N203=TRUE,T203/K203,T203)</f>
        <v/>
      </c>
      <c r="AA203" s="237">
        <f>Y203/100*V203</f>
        <v/>
      </c>
      <c r="AB203">
        <f>IF(AND(Y203&gt;0,Q203=Y203),TRUE,FALSE)</f>
        <v/>
      </c>
      <c r="AC203">
        <f>Z203&lt;&gt;T203</f>
        <v/>
      </c>
    </row>
    <row r="204">
      <c r="A204" t="n">
        <v>203</v>
      </c>
      <c r="D204" s="9" t="inlineStr">
        <is>
          <t>6132930597</t>
        </is>
      </c>
      <c r="E204" s="1" t="n">
        <v>42851</v>
      </c>
      <c r="F204" s="1" t="n">
        <v>42860</v>
      </c>
      <c r="G204" s="1">
        <f>CONCATENATE(H204,": ",J204)</f>
        <v/>
      </c>
      <c r="H204" t="inlineStr">
        <is>
          <t>Hutchison Drei Austria GmbH, Brünner Straße 52, 1210 Wien, Österreich</t>
        </is>
      </c>
      <c r="N204">
        <f>(IF(AND(K204&lt;&gt;"",ABS(T204)&gt;400),TRUE,FALSE))</f>
        <v/>
      </c>
      <c r="O204" s="36" t="n">
        <v>16.03</v>
      </c>
      <c r="P204" s="51" t="n">
        <v>1</v>
      </c>
      <c r="Q204" s="27" t="n">
        <v>20</v>
      </c>
      <c r="R204" s="237">
        <f>O204*Q204/100</f>
        <v/>
      </c>
      <c r="S204" s="237">
        <f>P204*R204</f>
        <v/>
      </c>
      <c r="T204" s="208">
        <f>O204*P204</f>
        <v/>
      </c>
      <c r="U204" s="251">
        <f>O204+R204</f>
        <v/>
      </c>
      <c r="V204" s="251">
        <f>T204+S204</f>
        <v/>
      </c>
      <c r="W204" s="35">
        <f>voranmeldefrist_vierteljaehrlich(F204)</f>
        <v/>
      </c>
      <c r="X204" s="35" t="n">
        <v>42983</v>
      </c>
      <c r="Z204" s="210">
        <f>IF(N204=TRUE,T204/K204,T204)</f>
        <v/>
      </c>
      <c r="AA204" s="237">
        <f>Y204/100*V204</f>
        <v/>
      </c>
      <c r="AB204">
        <f>IF(AND(Y204&gt;0,Q204=Y204),TRUE,FALSE)</f>
        <v/>
      </c>
      <c r="AC204">
        <f>Z204&lt;&gt;T204</f>
        <v/>
      </c>
    </row>
    <row r="205">
      <c r="A205" t="n">
        <v>204</v>
      </c>
      <c r="D205" s="9" t="inlineStr">
        <is>
          <t>171001871465</t>
        </is>
      </c>
      <c r="E205" s="1" t="n">
        <v>42873</v>
      </c>
      <c r="F205" s="1" t="n">
        <v>42892</v>
      </c>
      <c r="G205" s="1">
        <f>CONCATENATE(H205,": ",J205)</f>
        <v/>
      </c>
      <c r="H205" t="inlineStr">
        <is>
          <t>WKO</t>
        </is>
      </c>
      <c r="J205" t="inlineStr">
        <is>
          <t>Grundumlage UBIT</t>
        </is>
      </c>
      <c r="N205">
        <f>(IF(AND(K205&lt;&gt;"",ABS(T205)&gt;400),TRUE,FALSE))</f>
        <v/>
      </c>
      <c r="O205" s="36" t="n">
        <v>65</v>
      </c>
      <c r="P205" s="51" t="n">
        <v>1</v>
      </c>
      <c r="Q205" s="27" t="n">
        <v>0</v>
      </c>
      <c r="R205" s="237">
        <f>O205*Q205/100</f>
        <v/>
      </c>
      <c r="S205" s="237">
        <f>P205*R205</f>
        <v/>
      </c>
      <c r="T205" s="208">
        <f>O205*P205</f>
        <v/>
      </c>
      <c r="U205" s="251">
        <f>O205+R205</f>
        <v/>
      </c>
      <c r="V205" s="251">
        <f>T205+S205</f>
        <v/>
      </c>
      <c r="W205" s="35">
        <f>voranmeldefrist_vierteljaehrlich(F205)</f>
        <v/>
      </c>
      <c r="X205" s="35" t="n">
        <v>42983</v>
      </c>
      <c r="Z205" s="210">
        <f>IF(N205=TRUE,T205/K205,T205)</f>
        <v/>
      </c>
      <c r="AA205" s="237">
        <f>Y205/100*V205</f>
        <v/>
      </c>
      <c r="AB205">
        <f>IF(AND(Y205&gt;0,Q205=Y205),TRUE,FALSE)</f>
        <v/>
      </c>
      <c r="AC205">
        <f>Z205&lt;&gt;T205</f>
        <v/>
      </c>
    </row>
    <row r="206">
      <c r="A206" t="n">
        <v>205</v>
      </c>
      <c r="D206" s="9" t="inlineStr">
        <is>
          <t>AEU-INV-AT-2017-3205734</t>
        </is>
      </c>
      <c r="E206" s="1" t="n">
        <v>42872</v>
      </c>
      <c r="F206" s="1" t="n">
        <v>42906</v>
      </c>
      <c r="G206" s="1">
        <f>CONCATENATE(H206,": ",J206)</f>
        <v/>
      </c>
      <c r="H206" t="inlineStr">
        <is>
          <t>Amazon EU Sàrl, 5 Rue Plaetis, L-2338, Luxemburg</t>
        </is>
      </c>
      <c r="I206" t="inlineStr">
        <is>
          <t>ATU62353134</t>
        </is>
      </c>
      <c r="J206" t="inlineStr">
        <is>
          <t>Scythe USB_2FS-2 USB Fußschalter | B004FS0120</t>
        </is>
      </c>
      <c r="N206">
        <f>(IF(AND(K206&lt;&gt;"",ABS(T206)&gt;400),TRUE,FALSE))</f>
        <v/>
      </c>
      <c r="O206" s="36" t="n">
        <v>33.54</v>
      </c>
      <c r="P206" s="51" t="n">
        <v>1</v>
      </c>
      <c r="Q206" s="27" t="n">
        <v>20</v>
      </c>
      <c r="R206" s="237">
        <f>O206*Q206/100</f>
        <v/>
      </c>
      <c r="S206" s="237">
        <f>P206*R206</f>
        <v/>
      </c>
      <c r="T206" s="208">
        <f>O206*P206</f>
        <v/>
      </c>
      <c r="U206" s="251">
        <f>O206+R206</f>
        <v/>
      </c>
      <c r="V206" s="251">
        <f>T206+S206</f>
        <v/>
      </c>
      <c r="W206" s="35">
        <f>voranmeldefrist_vierteljaehrlich(F206)</f>
        <v/>
      </c>
      <c r="X206" s="35" t="n">
        <v>42983</v>
      </c>
      <c r="Z206" s="210">
        <f>IF(N206=TRUE,T206/K206,T206)</f>
        <v/>
      </c>
      <c r="AA206" s="237">
        <f>Y206/100*V206</f>
        <v/>
      </c>
      <c r="AB206">
        <f>IF(AND(Y206&gt;0,Q206=Y206),TRUE,FALSE)</f>
        <v/>
      </c>
      <c r="AC206">
        <f>Z206&lt;&gt;T206</f>
        <v/>
      </c>
    </row>
    <row r="207">
      <c r="A207" t="n">
        <v>206</v>
      </c>
      <c r="D207" s="9" t="inlineStr">
        <is>
          <t>6994178796</t>
        </is>
      </c>
      <c r="E207" s="1" t="n">
        <v>42906</v>
      </c>
      <c r="F207" s="1" t="n">
        <v>42907</v>
      </c>
      <c r="G207" s="1">
        <f>CONCATENATE(H207,": ",J207)</f>
        <v/>
      </c>
      <c r="H207" t="inlineStr">
        <is>
          <t>Microsoft Ireland Operations Ltd., Atrium Building Block B, Carmenhall Rd., Sandyford Industrial Estate, Dublin 18, Ireland</t>
        </is>
      </c>
      <c r="I207" t="inlineStr">
        <is>
          <t>ATU44846609</t>
        </is>
      </c>
      <c r="J207" t="inlineStr">
        <is>
          <t>Office 365</t>
        </is>
      </c>
      <c r="N207">
        <f>(IF(AND(K207&lt;&gt;"",ABS(T207)&gt;400),TRUE,FALSE))</f>
        <v/>
      </c>
      <c r="O207" s="36" t="n">
        <v>57.5</v>
      </c>
      <c r="P207" s="51" t="n">
        <v>1</v>
      </c>
      <c r="Q207" s="27" t="n">
        <v>20</v>
      </c>
      <c r="R207" s="237">
        <f>O207*Q207/100</f>
        <v/>
      </c>
      <c r="S207" s="237">
        <f>P207*R207</f>
        <v/>
      </c>
      <c r="T207" s="208">
        <f>O207*P207</f>
        <v/>
      </c>
      <c r="U207" s="251">
        <f>O207+R207</f>
        <v/>
      </c>
      <c r="V207" s="251">
        <f>T207+S207</f>
        <v/>
      </c>
      <c r="W207" s="35">
        <f>voranmeldefrist_vierteljaehrlich(F207)</f>
        <v/>
      </c>
      <c r="X207" s="35" t="n">
        <v>42983</v>
      </c>
      <c r="Z207" s="210">
        <f>IF(N207=TRUE,T207/K207,T207)</f>
        <v/>
      </c>
      <c r="AA207" s="237">
        <f>Y207/100*V207</f>
        <v/>
      </c>
      <c r="AB207">
        <f>IF(AND(Y207&gt;0,Q207=Y207),TRUE,FALSE)</f>
        <v/>
      </c>
      <c r="AC207">
        <f>Z207&lt;&gt;T207</f>
        <v/>
      </c>
    </row>
    <row r="208">
      <c r="A208" t="n">
        <v>207</v>
      </c>
      <c r="D208" s="9" t="inlineStr">
        <is>
          <t>6134782309</t>
        </is>
      </c>
      <c r="E208" s="1" t="n">
        <v>42880</v>
      </c>
      <c r="F208" s="1" t="n">
        <v>42888</v>
      </c>
      <c r="G208" s="1">
        <f>CONCATENATE(H208,": ",J208)</f>
        <v/>
      </c>
      <c r="H208" t="inlineStr">
        <is>
          <t>Hutchison Drei Austria GmbH, Brünner Straße 52, 1210 Wien, Österreich</t>
        </is>
      </c>
      <c r="N208">
        <f>(IF(AND(K208&lt;&gt;"",ABS(T208)&gt;400),TRUE,FALSE))</f>
        <v/>
      </c>
      <c r="O208" s="36" t="n">
        <v>15</v>
      </c>
      <c r="P208" s="51" t="n">
        <v>1</v>
      </c>
      <c r="Q208" s="27" t="n">
        <v>20</v>
      </c>
      <c r="R208" s="237">
        <f>O208*Q208/100</f>
        <v/>
      </c>
      <c r="S208" s="237">
        <f>P208*R208</f>
        <v/>
      </c>
      <c r="T208" s="208">
        <f>O208*P208</f>
        <v/>
      </c>
      <c r="U208" s="251">
        <f>O208+R208</f>
        <v/>
      </c>
      <c r="V208" s="251">
        <f>T208+S208</f>
        <v/>
      </c>
      <c r="W208" s="35">
        <f>voranmeldefrist_vierteljaehrlich(F208)</f>
        <v/>
      </c>
      <c r="X208" s="35" t="n">
        <v>42983</v>
      </c>
      <c r="Z208" s="210">
        <f>IF(N208=TRUE,T208/K208,T208)</f>
        <v/>
      </c>
      <c r="AA208" s="237">
        <f>Y208/100*V208</f>
        <v/>
      </c>
      <c r="AB208">
        <f>IF(AND(Y208&gt;0,Q208=Y208),TRUE,FALSE)</f>
        <v/>
      </c>
      <c r="AC208">
        <f>Z208&lt;&gt;T208</f>
        <v/>
      </c>
    </row>
    <row r="209">
      <c r="A209" t="n">
        <v>208</v>
      </c>
      <c r="D209" s="9" t="inlineStr">
        <is>
          <t>2017/8058/14</t>
        </is>
      </c>
      <c r="E209" s="1" t="n">
        <v>42736</v>
      </c>
      <c r="F209" s="1" t="n">
        <v>42793</v>
      </c>
      <c r="G209" s="1">
        <f>CONCATENATE(H209,": ",J209)</f>
        <v/>
      </c>
      <c r="H209" t="inlineStr">
        <is>
          <t>PREMIUM Laudongasse 58 GmbH &amp; Co KG</t>
        </is>
      </c>
      <c r="I209" t="inlineStr">
        <is>
          <t>ATU60795919</t>
        </is>
      </c>
      <c r="J209" t="inlineStr">
        <is>
          <t>Dauerrechnung 2017-D-3</t>
        </is>
      </c>
      <c r="N209">
        <f>(IF(AND(K209&lt;&gt;"",ABS(T209)&gt;400),TRUE,FALSE))</f>
        <v/>
      </c>
      <c r="O209" s="36" t="n">
        <v>801.77</v>
      </c>
      <c r="P209" s="51">
        <f>Arbeitszimmer!$B$3</f>
        <v/>
      </c>
      <c r="Q209" s="27" t="n">
        <v>10</v>
      </c>
      <c r="R209" s="237">
        <f>O209*Q209/100</f>
        <v/>
      </c>
      <c r="S209" s="237">
        <f>P209*R209</f>
        <v/>
      </c>
      <c r="T209" s="208">
        <f>O209*P209</f>
        <v/>
      </c>
      <c r="U209" s="251">
        <f>O209+R209</f>
        <v/>
      </c>
      <c r="V209" s="251">
        <f>T209+S209</f>
        <v/>
      </c>
      <c r="W209" s="35">
        <f>voranmeldefrist_vierteljaehrlich(F209)</f>
        <v/>
      </c>
      <c r="X209" s="35" t="n"/>
      <c r="Z209" s="210">
        <f>IF(N209=TRUE,T209/K209,T209)</f>
        <v/>
      </c>
      <c r="AA209" s="237">
        <f>Y209/100*V209</f>
        <v/>
      </c>
      <c r="AB209">
        <f>IF(AND(Y209&gt;0,Q209=Y209),TRUE,FALSE)</f>
        <v/>
      </c>
      <c r="AC209">
        <f>Z209&lt;&gt;T209</f>
        <v/>
      </c>
    </row>
    <row r="210">
      <c r="A210" t="n">
        <v>209</v>
      </c>
      <c r="D210" s="9" t="inlineStr">
        <is>
          <t>2017/8058/14</t>
        </is>
      </c>
      <c r="E210" s="1" t="n">
        <v>42736</v>
      </c>
      <c r="F210" s="1" t="n">
        <v>42821</v>
      </c>
      <c r="G210" s="1">
        <f>CONCATENATE(H210,": ",J210)</f>
        <v/>
      </c>
      <c r="H210" t="inlineStr">
        <is>
          <t>PREMIUM Laudongasse 58 GmbH &amp; Co KG</t>
        </is>
      </c>
      <c r="I210" t="inlineStr">
        <is>
          <t>ATU60795919</t>
        </is>
      </c>
      <c r="J210" t="inlineStr">
        <is>
          <t>Dauerrechnung 2017-D-4</t>
        </is>
      </c>
      <c r="N210">
        <f>(IF(AND(K210&lt;&gt;"",ABS(T210)&gt;400),TRUE,FALSE))</f>
        <v/>
      </c>
      <c r="O210" s="36" t="n">
        <v>801.77</v>
      </c>
      <c r="P210" s="51">
        <f>Arbeitszimmer!$B$3</f>
        <v/>
      </c>
      <c r="Q210" s="27" t="n">
        <v>10</v>
      </c>
      <c r="R210" s="237">
        <f>O210*Q210/100</f>
        <v/>
      </c>
      <c r="S210" s="237">
        <f>P210*R210</f>
        <v/>
      </c>
      <c r="T210" s="208">
        <f>O210*P210</f>
        <v/>
      </c>
      <c r="U210" s="251">
        <f>O210+R210</f>
        <v/>
      </c>
      <c r="V210" s="251">
        <f>T210+S210</f>
        <v/>
      </c>
      <c r="W210" s="35">
        <f>voranmeldefrist_vierteljaehrlich(F210)</f>
        <v/>
      </c>
      <c r="X210" s="35" t="n"/>
      <c r="Z210" s="210">
        <f>IF(N210=TRUE,T210/K210,T210)</f>
        <v/>
      </c>
      <c r="AA210" s="237">
        <f>Y210/100*V210</f>
        <v/>
      </c>
      <c r="AB210">
        <f>IF(AND(Y210&gt;0,Q210=Y210),TRUE,FALSE)</f>
        <v/>
      </c>
      <c r="AC210">
        <f>Z210&lt;&gt;T210</f>
        <v/>
      </c>
    </row>
    <row r="211">
      <c r="A211" t="n">
        <v>210</v>
      </c>
      <c r="D211" s="9" t="inlineStr">
        <is>
          <t>2017/8058/14</t>
        </is>
      </c>
      <c r="E211" s="1" t="n">
        <v>42736</v>
      </c>
      <c r="F211" s="1" t="n">
        <v>42850</v>
      </c>
      <c r="G211" s="1">
        <f>CONCATENATE(H211,": ",J211)</f>
        <v/>
      </c>
      <c r="H211" t="inlineStr">
        <is>
          <t>PREMIUM Laudongasse 58 GmbH &amp; Co KG</t>
        </is>
      </c>
      <c r="I211" t="inlineStr">
        <is>
          <t>ATU60795919</t>
        </is>
      </c>
      <c r="J211" t="inlineStr">
        <is>
          <t>Dauerrechnung 2017-D-5</t>
        </is>
      </c>
      <c r="N211">
        <f>(IF(AND(K211&lt;&gt;"",ABS(T211)&gt;400),TRUE,FALSE))</f>
        <v/>
      </c>
      <c r="O211" s="36" t="n">
        <v>801.77</v>
      </c>
      <c r="P211" s="51">
        <f>Arbeitszimmer!$B$3</f>
        <v/>
      </c>
      <c r="Q211" s="27" t="n">
        <v>10</v>
      </c>
      <c r="R211" s="237">
        <f>O211*Q211/100</f>
        <v/>
      </c>
      <c r="S211" s="237">
        <f>P211*R211</f>
        <v/>
      </c>
      <c r="T211" s="208">
        <f>O211*P211</f>
        <v/>
      </c>
      <c r="U211" s="251">
        <f>O211+R211</f>
        <v/>
      </c>
      <c r="V211" s="251">
        <f>T211+S211</f>
        <v/>
      </c>
      <c r="W211" s="35">
        <f>voranmeldefrist_vierteljaehrlich(F211)</f>
        <v/>
      </c>
      <c r="X211" s="35" t="n">
        <v>42983</v>
      </c>
      <c r="Z211" s="210">
        <f>IF(N211=TRUE,T211/K211,T211)</f>
        <v/>
      </c>
      <c r="AA211" s="237">
        <f>Y211/100*V211</f>
        <v/>
      </c>
      <c r="AB211">
        <f>IF(AND(Y211&gt;0,Q211=Y211),TRUE,FALSE)</f>
        <v/>
      </c>
      <c r="AC211">
        <f>Z211&lt;&gt;T211</f>
        <v/>
      </c>
    </row>
    <row r="212">
      <c r="A212" t="n">
        <v>211</v>
      </c>
      <c r="D212" s="9" t="inlineStr">
        <is>
          <t>2017/8058/14</t>
        </is>
      </c>
      <c r="E212" s="1" t="n">
        <v>42736</v>
      </c>
      <c r="F212" s="1" t="n">
        <v>42881</v>
      </c>
      <c r="G212" s="1">
        <f>CONCATENATE(H212,": ",J212)</f>
        <v/>
      </c>
      <c r="H212" t="inlineStr">
        <is>
          <t>PREMIUM Laudongasse 58 GmbH &amp; Co KG</t>
        </is>
      </c>
      <c r="I212" t="inlineStr">
        <is>
          <t>ATU60795919</t>
        </is>
      </c>
      <c r="J212" t="inlineStr">
        <is>
          <t>Dauerrechnung 2017-D-6</t>
        </is>
      </c>
      <c r="N212">
        <f>(IF(AND(K212&lt;&gt;"",ABS(T212)&gt;400),TRUE,FALSE))</f>
        <v/>
      </c>
      <c r="O212" s="36" t="n">
        <v>801.77</v>
      </c>
      <c r="P212" s="51">
        <f>Arbeitszimmer!$B$3</f>
        <v/>
      </c>
      <c r="Q212" s="27" t="n">
        <v>10</v>
      </c>
      <c r="R212" s="237">
        <f>O212*Q212/100</f>
        <v/>
      </c>
      <c r="S212" s="237">
        <f>P212*R212</f>
        <v/>
      </c>
      <c r="T212" s="208">
        <f>O212*P212</f>
        <v/>
      </c>
      <c r="U212" s="251">
        <f>O212+R212</f>
        <v/>
      </c>
      <c r="V212" s="251">
        <f>T212+S212</f>
        <v/>
      </c>
      <c r="W212" s="35">
        <f>voranmeldefrist_vierteljaehrlich(F212)</f>
        <v/>
      </c>
      <c r="X212" s="35" t="n">
        <v>42983</v>
      </c>
      <c r="Z212" s="210">
        <f>IF(N212=TRUE,T212/K212,T212)</f>
        <v/>
      </c>
      <c r="AA212" s="237">
        <f>Y212/100*V212</f>
        <v/>
      </c>
      <c r="AB212">
        <f>IF(AND(Y212&gt;0,Q212=Y212),TRUE,FALSE)</f>
        <v/>
      </c>
      <c r="AC212">
        <f>Z212&lt;&gt;T212</f>
        <v/>
      </c>
    </row>
    <row r="213">
      <c r="A213" t="n">
        <v>212</v>
      </c>
      <c r="D213" s="9" t="inlineStr">
        <is>
          <t>31000261808/10/2016</t>
        </is>
      </c>
      <c r="E213" s="1" t="n">
        <v>42604</v>
      </c>
      <c r="F213" s="1" t="n">
        <v>42628</v>
      </c>
      <c r="G213" s="1">
        <f>CONCATENATE(H213,": ",J213)</f>
        <v/>
      </c>
      <c r="H213" t="inlineStr">
        <is>
          <t>VERBUND AG, Postfach 8400, 1011 Wien, Österreich</t>
        </is>
      </c>
      <c r="I213" t="inlineStr">
        <is>
          <t>ATU14703908</t>
        </is>
      </c>
      <c r="J213" t="inlineStr">
        <is>
          <t>Jahresabrechnung 12.8.2015-17.8.2016</t>
        </is>
      </c>
      <c r="N213">
        <f>(IF(AND(K213&lt;&gt;"",ABS(T213)&gt;400),TRUE,FALSE))</f>
        <v/>
      </c>
      <c r="O213" s="36" t="n">
        <v>14.1666</v>
      </c>
      <c r="P213" s="51">
        <f>Arbeitszimmer!$B$3</f>
        <v/>
      </c>
      <c r="Q213" s="27" t="n">
        <v>20</v>
      </c>
      <c r="R213" s="237">
        <f>O213*Q213/100</f>
        <v/>
      </c>
      <c r="S213" s="237">
        <f>P213*R213</f>
        <v/>
      </c>
      <c r="T213" s="208">
        <f>O213*P213</f>
        <v/>
      </c>
      <c r="U213" s="251">
        <f>O213+R213</f>
        <v/>
      </c>
      <c r="V213" s="251">
        <f>T213+S213</f>
        <v/>
      </c>
      <c r="W213" s="35">
        <f>voranmeldefrist_vierteljaehrlich(F213)</f>
        <v/>
      </c>
      <c r="X213" s="35" t="n"/>
      <c r="Z213" s="210">
        <f>IF(N213=TRUE,T213/K213,T213)</f>
        <v/>
      </c>
      <c r="AA213" s="237">
        <f>Y213/100*V213</f>
        <v/>
      </c>
      <c r="AB213">
        <f>IF(AND(Y213&gt;0,Q213=Y213),TRUE,FALSE)</f>
        <v/>
      </c>
    </row>
    <row r="214">
      <c r="A214" t="n">
        <v>213</v>
      </c>
      <c r="D214" s="9" t="inlineStr">
        <is>
          <t>34005405993/40/2016</t>
        </is>
      </c>
      <c r="E214" s="1" t="n">
        <v>42644</v>
      </c>
      <c r="F214" s="1" t="n">
        <v>42660</v>
      </c>
      <c r="G214" s="1">
        <f>CONCATENATE(H214,": ",J214)</f>
        <v/>
      </c>
      <c r="H214" t="inlineStr">
        <is>
          <t>VERBUND AG, Postfach 8400, 1011 Wien, Österreich</t>
        </is>
      </c>
      <c r="I214" t="inlineStr">
        <is>
          <t>ATU14703908</t>
        </is>
      </c>
      <c r="J214" t="inlineStr">
        <is>
          <t>Teilzahlungsvorschreibung</t>
        </is>
      </c>
      <c r="N214">
        <f>(IF(AND(K214&lt;&gt;"",ABS(T214)&gt;400),TRUE,FALSE))</f>
        <v/>
      </c>
      <c r="O214" s="36" t="n">
        <v>142.5</v>
      </c>
      <c r="P214" s="51">
        <f>Arbeitszimmer!$B$3</f>
        <v/>
      </c>
      <c r="Q214" s="27" t="n">
        <v>20</v>
      </c>
      <c r="R214" s="237">
        <f>O214*Q214/100</f>
        <v/>
      </c>
      <c r="S214" s="237">
        <f>P214*R214</f>
        <v/>
      </c>
      <c r="T214" s="208">
        <f>O214*P214</f>
        <v/>
      </c>
      <c r="U214" s="251">
        <f>O214+R214</f>
        <v/>
      </c>
      <c r="V214" s="251">
        <f>T214+S214</f>
        <v/>
      </c>
      <c r="W214" s="35">
        <f>voranmeldefrist_vierteljaehrlich(F214)</f>
        <v/>
      </c>
      <c r="X214" s="35" t="n"/>
      <c r="Z214" s="210">
        <f>IF(N214=TRUE,T214/K214,T214)</f>
        <v/>
      </c>
      <c r="AA214" s="237">
        <f>Y214/100*V214</f>
        <v/>
      </c>
      <c r="AB214">
        <f>IF(AND(Y214&gt;0,Q214=Y214),TRUE,FALSE)</f>
        <v/>
      </c>
    </row>
    <row r="215">
      <c r="A215" t="n">
        <v>214</v>
      </c>
      <c r="D215" s="9" t="inlineStr">
        <is>
          <t>34007307375/40/2017</t>
        </is>
      </c>
      <c r="E215" s="1" t="n">
        <v>42736</v>
      </c>
      <c r="F215" s="1" t="n">
        <v>42751</v>
      </c>
      <c r="G215" s="1">
        <f>CONCATENATE(H215,": ",J215)</f>
        <v/>
      </c>
      <c r="H215" t="inlineStr">
        <is>
          <t>VERBUND AG, Postfach 8400, 1011 Wien, Österreich</t>
        </is>
      </c>
      <c r="I215" t="inlineStr">
        <is>
          <t>ATU14703908</t>
        </is>
      </c>
      <c r="J215" t="inlineStr">
        <is>
          <t>Teilzahlungsvorschreibung</t>
        </is>
      </c>
      <c r="N215">
        <f>(IF(AND(K215&lt;&gt;"",ABS(T215)&gt;400),TRUE,FALSE))</f>
        <v/>
      </c>
      <c r="O215" s="36" t="n">
        <v>142.5</v>
      </c>
      <c r="P215" s="51">
        <f>Arbeitszimmer!$B$3</f>
        <v/>
      </c>
      <c r="Q215" s="27" t="n">
        <v>20</v>
      </c>
      <c r="R215" s="237">
        <f>O215*Q215/100</f>
        <v/>
      </c>
      <c r="S215" s="237">
        <f>P215*R215</f>
        <v/>
      </c>
      <c r="T215" s="208">
        <f>O215*P215</f>
        <v/>
      </c>
      <c r="U215" s="251">
        <f>O215+R215</f>
        <v/>
      </c>
      <c r="V215" s="251">
        <f>T215+S215</f>
        <v/>
      </c>
      <c r="W215" s="35">
        <f>voranmeldefrist_vierteljaehrlich(F215)</f>
        <v/>
      </c>
      <c r="X215" s="35" t="n"/>
      <c r="Z215" s="210">
        <f>IF(N215=TRUE,T215/K215,T215)</f>
        <v/>
      </c>
      <c r="AA215" s="237">
        <f>Y215/100*V215</f>
        <v/>
      </c>
      <c r="AB215">
        <f>IF(AND(Y215&gt;0,Q215=Y215),TRUE,FALSE)</f>
        <v/>
      </c>
      <c r="AC215">
        <f>Z215&lt;&gt;T215</f>
        <v/>
      </c>
    </row>
    <row r="216">
      <c r="A216" t="n">
        <v>215</v>
      </c>
      <c r="D216" s="9" t="inlineStr">
        <is>
          <t>34009136817/40/2017</t>
        </is>
      </c>
      <c r="E216" s="1" t="n">
        <v>42826</v>
      </c>
      <c r="F216" s="1" t="n">
        <v>42843</v>
      </c>
      <c r="G216" s="1">
        <f>CONCATENATE(H216,": ",J216)</f>
        <v/>
      </c>
      <c r="H216" t="inlineStr">
        <is>
          <t>VERBUND AG, Postfach 8400, 1011 Wien, Österreich</t>
        </is>
      </c>
      <c r="I216" t="inlineStr">
        <is>
          <t>ATU14703908</t>
        </is>
      </c>
      <c r="J216" t="inlineStr">
        <is>
          <t>Teilzahlungsvorschreibung</t>
        </is>
      </c>
      <c r="N216">
        <f>(IF(AND(K216&lt;&gt;"",ABS(T216)&gt;400),TRUE,FALSE))</f>
        <v/>
      </c>
      <c r="O216" s="36" t="n">
        <v>142.5</v>
      </c>
      <c r="P216" s="51">
        <f>Arbeitszimmer!$B$3</f>
        <v/>
      </c>
      <c r="Q216" s="27" t="n">
        <v>20</v>
      </c>
      <c r="R216" s="237">
        <f>O216*Q216/100</f>
        <v/>
      </c>
      <c r="S216" s="237">
        <f>P216*R216</f>
        <v/>
      </c>
      <c r="T216" s="208">
        <f>O216*P216</f>
        <v/>
      </c>
      <c r="U216" s="251">
        <f>O216+R216</f>
        <v/>
      </c>
      <c r="V216" s="251">
        <f>T216+S216</f>
        <v/>
      </c>
      <c r="W216" s="35">
        <f>voranmeldefrist_vierteljaehrlich(F216)</f>
        <v/>
      </c>
      <c r="X216" s="35" t="n">
        <v>42983</v>
      </c>
      <c r="Z216" s="210">
        <f>IF(N216=TRUE,T216/K216,T216)</f>
        <v/>
      </c>
      <c r="AA216" s="237">
        <f>Y216/100*V216</f>
        <v/>
      </c>
      <c r="AB216">
        <f>IF(AND(Y216&gt;0,Q216=Y216),TRUE,FALSE)</f>
        <v/>
      </c>
      <c r="AC216">
        <f>Z216&lt;&gt;T216</f>
        <v/>
      </c>
    </row>
    <row r="217">
      <c r="A217" t="n">
        <v>216</v>
      </c>
      <c r="D217" s="9" t="inlineStr">
        <is>
          <t>14000784129/40/2016</t>
        </is>
      </c>
      <c r="E217" s="1" t="n">
        <v>42644</v>
      </c>
      <c r="F217" s="1" t="n">
        <v>42660</v>
      </c>
      <c r="G217" s="1">
        <f>CONCATENATE(H217,": ",J217)</f>
        <v/>
      </c>
      <c r="H217" t="inlineStr">
        <is>
          <t>MONTANA Energie-Handel AT GmbH</t>
        </is>
      </c>
      <c r="J217" t="inlineStr">
        <is>
          <t>Teilzahlungsbetrag Gas</t>
        </is>
      </c>
      <c r="N217">
        <f>(IF(AND(K217&lt;&gt;"",ABS(T217)&gt;400),TRUE,FALSE))</f>
        <v/>
      </c>
      <c r="O217" s="36" t="n">
        <v>80</v>
      </c>
      <c r="P217" s="51">
        <f>Arbeitszimmer!$B$3</f>
        <v/>
      </c>
      <c r="Q217" s="27" t="n">
        <v>20</v>
      </c>
      <c r="R217" s="237">
        <f>O217*Q217/100</f>
        <v/>
      </c>
      <c r="S217" s="237">
        <f>P217*R217</f>
        <v/>
      </c>
      <c r="T217" s="208">
        <f>O217*P217</f>
        <v/>
      </c>
      <c r="U217" s="251">
        <f>O217+R217</f>
        <v/>
      </c>
      <c r="V217" s="251">
        <f>T217+S217</f>
        <v/>
      </c>
      <c r="W217" s="35">
        <f>voranmeldefrist_vierteljaehrlich(F217)</f>
        <v/>
      </c>
      <c r="X217" s="35" t="n">
        <v>42687</v>
      </c>
      <c r="Z217" s="210">
        <f>IF(N217=TRUE,T217/K217,T217)</f>
        <v/>
      </c>
      <c r="AA217" s="237">
        <f>Y217/100*V217</f>
        <v/>
      </c>
      <c r="AB217">
        <f>IF(AND(Y217&gt;0,Q217=Y217),TRUE,FALSE)</f>
        <v/>
      </c>
    </row>
    <row r="218">
      <c r="A218" t="n">
        <v>217</v>
      </c>
      <c r="D218" s="9" t="inlineStr">
        <is>
          <t>14000881645/40/2016</t>
        </is>
      </c>
      <c r="E218" s="1" t="n">
        <v>42675</v>
      </c>
      <c r="F218" s="1" t="n">
        <v>42689</v>
      </c>
      <c r="G218" s="1">
        <f>CONCATENATE(H218,": ",J218)</f>
        <v/>
      </c>
      <c r="H218" t="inlineStr">
        <is>
          <t>MONTANA Energie-Handel AT GmbH</t>
        </is>
      </c>
      <c r="J218" t="inlineStr">
        <is>
          <t>Teilzahlungsbetrag Gas</t>
        </is>
      </c>
      <c r="N218">
        <f>(IF(AND(K218&lt;&gt;"",ABS(T218)&gt;400),TRUE,FALSE))</f>
        <v/>
      </c>
      <c r="O218" s="36" t="n">
        <v>80</v>
      </c>
      <c r="P218" s="51">
        <f>Arbeitszimmer!$B$3</f>
        <v/>
      </c>
      <c r="Q218" s="27" t="n">
        <v>20</v>
      </c>
      <c r="R218" s="237">
        <f>O218*Q218/100</f>
        <v/>
      </c>
      <c r="S218" s="237">
        <f>P218*R218</f>
        <v/>
      </c>
      <c r="T218" s="208">
        <f>O218*P218</f>
        <v/>
      </c>
      <c r="U218" s="251">
        <f>O218+R218</f>
        <v/>
      </c>
      <c r="V218" s="251">
        <f>T218+S218</f>
        <v/>
      </c>
      <c r="W218" s="35">
        <f>voranmeldefrist_vierteljaehrlich(F218)</f>
        <v/>
      </c>
      <c r="X218" s="35" t="n">
        <v>42687</v>
      </c>
      <c r="Z218" s="210">
        <f>IF(N218=TRUE,T218/K218,T218)</f>
        <v/>
      </c>
      <c r="AA218" s="237">
        <f>Y218/100*V218</f>
        <v/>
      </c>
      <c r="AB218">
        <f>IF(AND(Y218&gt;0,Q218=Y218),TRUE,FALSE)</f>
        <v/>
      </c>
    </row>
    <row r="219">
      <c r="A219" t="n">
        <v>218</v>
      </c>
      <c r="D219" s="9" t="inlineStr">
        <is>
          <t>14001051659/40/2016</t>
        </is>
      </c>
      <c r="E219" s="1" t="n">
        <v>42705</v>
      </c>
      <c r="F219" s="1" t="n">
        <v>42719</v>
      </c>
      <c r="G219" s="1">
        <f>CONCATENATE(H219,": ",J219)</f>
        <v/>
      </c>
      <c r="H219" t="inlineStr">
        <is>
          <t>MONTANA Energie-Handel AT GmbH</t>
        </is>
      </c>
      <c r="J219" t="inlineStr">
        <is>
          <t>Teilzahlungsbetrag Gas</t>
        </is>
      </c>
      <c r="N219">
        <f>(IF(AND(K219&lt;&gt;"",ABS(T219)&gt;400),TRUE,FALSE))</f>
        <v/>
      </c>
      <c r="O219" s="36" t="n">
        <v>80</v>
      </c>
      <c r="P219" s="51">
        <f>Arbeitszimmer!$B$3</f>
        <v/>
      </c>
      <c r="Q219" s="27" t="n">
        <v>20</v>
      </c>
      <c r="R219" s="237">
        <f>O219*Q219/100</f>
        <v/>
      </c>
      <c r="S219" s="237">
        <f>P219*R219</f>
        <v/>
      </c>
      <c r="T219" s="208">
        <f>O219*P219</f>
        <v/>
      </c>
      <c r="U219" s="251">
        <f>O219+R219</f>
        <v/>
      </c>
      <c r="V219" s="251">
        <f>T219+S219</f>
        <v/>
      </c>
      <c r="W219" s="35">
        <f>voranmeldefrist_vierteljaehrlich(F219)</f>
        <v/>
      </c>
      <c r="X219" s="35" t="n">
        <v>42687</v>
      </c>
      <c r="Z219" s="210">
        <f>IF(N219=TRUE,T219/K219,T219)</f>
        <v/>
      </c>
      <c r="AA219" s="237">
        <f>Y219/100*V219</f>
        <v/>
      </c>
      <c r="AB219">
        <f>IF(AND(Y219&gt;0,Q219=Y219),TRUE,FALSE)</f>
        <v/>
      </c>
    </row>
    <row r="220">
      <c r="A220" t="n">
        <v>219</v>
      </c>
      <c r="D220" s="9" t="inlineStr">
        <is>
          <t>14001173053/40/2017</t>
        </is>
      </c>
      <c r="E220" s="1" t="n">
        <v>42736</v>
      </c>
      <c r="F220" s="1" t="n">
        <v>42751</v>
      </c>
      <c r="G220" s="1">
        <f>CONCATENATE(H220,": ",J220)</f>
        <v/>
      </c>
      <c r="H220" t="inlineStr">
        <is>
          <t>MONTANA Energie-Handel AT GmbH</t>
        </is>
      </c>
      <c r="J220" t="inlineStr">
        <is>
          <t>Teilzahlungsbetrag Gas</t>
        </is>
      </c>
      <c r="N220">
        <f>(IF(AND(K220&lt;&gt;"",ABS(T220)&gt;400),TRUE,FALSE))</f>
        <v/>
      </c>
      <c r="O220" s="36" t="n">
        <v>80</v>
      </c>
      <c r="P220" s="51">
        <f>Arbeitszimmer!$B$3</f>
        <v/>
      </c>
      <c r="Q220" s="27" t="n">
        <v>20</v>
      </c>
      <c r="R220" s="237">
        <f>O220*Q220/100</f>
        <v/>
      </c>
      <c r="S220" s="237">
        <f>P220*R220</f>
        <v/>
      </c>
      <c r="T220" s="208">
        <f>O220*P220</f>
        <v/>
      </c>
      <c r="U220" s="251">
        <f>O220+R220</f>
        <v/>
      </c>
      <c r="V220" s="251">
        <f>T220+S220</f>
        <v/>
      </c>
      <c r="W220" s="35">
        <f>voranmeldefrist_vierteljaehrlich(F220)</f>
        <v/>
      </c>
      <c r="X220" s="35" t="n">
        <v>42687</v>
      </c>
      <c r="Z220" s="210">
        <f>IF(N220=TRUE,T220/K220,T220)</f>
        <v/>
      </c>
      <c r="AA220" s="237">
        <f>Y220/100*V220</f>
        <v/>
      </c>
      <c r="AB220">
        <f>IF(AND(Y220&gt;0,Q220=Y220),TRUE,FALSE)</f>
        <v/>
      </c>
      <c r="AC220">
        <f>Z220&lt;&gt;T220</f>
        <v/>
      </c>
    </row>
    <row r="221">
      <c r="A221" t="n">
        <v>220</v>
      </c>
      <c r="D221" s="9" t="inlineStr">
        <is>
          <t>14001281770/40/2017</t>
        </is>
      </c>
      <c r="E221" s="1" t="n">
        <v>42767</v>
      </c>
      <c r="F221" s="1" t="n">
        <v>42781</v>
      </c>
      <c r="G221" s="1">
        <f>CONCATENATE(H221,": ",J221)</f>
        <v/>
      </c>
      <c r="H221" t="inlineStr">
        <is>
          <t>MONTANA Energie-Handel AT GmbH</t>
        </is>
      </c>
      <c r="J221" t="inlineStr">
        <is>
          <t>Teilzahlungsbetrag Gas</t>
        </is>
      </c>
      <c r="N221">
        <f>(IF(AND(K221&lt;&gt;"",ABS(T221)&gt;400),TRUE,FALSE))</f>
        <v/>
      </c>
      <c r="O221" s="36" t="n">
        <v>80</v>
      </c>
      <c r="P221" s="51">
        <f>Arbeitszimmer!$B$3</f>
        <v/>
      </c>
      <c r="Q221" s="27" t="n">
        <v>20</v>
      </c>
      <c r="R221" s="237">
        <f>O221*Q221/100</f>
        <v/>
      </c>
      <c r="S221" s="237">
        <f>P221*R221</f>
        <v/>
      </c>
      <c r="T221" s="208">
        <f>O221*P221</f>
        <v/>
      </c>
      <c r="U221" s="251">
        <f>O221+R221</f>
        <v/>
      </c>
      <c r="V221" s="251">
        <f>T221+S221</f>
        <v/>
      </c>
      <c r="W221" s="35">
        <f>voranmeldefrist_vierteljaehrlich(F221)</f>
        <v/>
      </c>
      <c r="X221" s="35" t="n">
        <v>42687</v>
      </c>
      <c r="Z221" s="210">
        <f>IF(N221=TRUE,T221/K221,T221)</f>
        <v/>
      </c>
      <c r="AA221" s="237">
        <f>Y221/100*V221</f>
        <v/>
      </c>
      <c r="AB221">
        <f>IF(AND(Y221&gt;0,Q221=Y221),TRUE,FALSE)</f>
        <v/>
      </c>
      <c r="AC221">
        <f>Z221&lt;&gt;T221</f>
        <v/>
      </c>
    </row>
    <row r="222">
      <c r="A222" t="n">
        <v>221</v>
      </c>
      <c r="D222" s="9" t="inlineStr">
        <is>
          <t>14001392296/40/2017</t>
        </is>
      </c>
      <c r="E222" s="1" t="n">
        <v>42795</v>
      </c>
      <c r="F222" s="1" t="n">
        <v>42809</v>
      </c>
      <c r="G222" s="1">
        <f>CONCATENATE(H222,": ",J222)</f>
        <v/>
      </c>
      <c r="H222" t="inlineStr">
        <is>
          <t>MONTANA Energie-Handel AT GmbH</t>
        </is>
      </c>
      <c r="J222" t="inlineStr">
        <is>
          <t>Teilzahlungsbetrag Gas</t>
        </is>
      </c>
      <c r="N222">
        <f>(IF(AND(K222&lt;&gt;"",ABS(T222)&gt;400),TRUE,FALSE))</f>
        <v/>
      </c>
      <c r="O222" s="36" t="n">
        <v>80</v>
      </c>
      <c r="P222" s="51">
        <f>Arbeitszimmer!$B$3</f>
        <v/>
      </c>
      <c r="Q222" s="27" t="n">
        <v>20</v>
      </c>
      <c r="R222" s="237">
        <f>O222*Q222/100</f>
        <v/>
      </c>
      <c r="S222" s="237">
        <f>P222*R222</f>
        <v/>
      </c>
      <c r="T222" s="208">
        <f>O222*P222</f>
        <v/>
      </c>
      <c r="U222" s="251">
        <f>O222+R222</f>
        <v/>
      </c>
      <c r="V222" s="251">
        <f>T222+S222</f>
        <v/>
      </c>
      <c r="W222" s="35">
        <f>voranmeldefrist_vierteljaehrlich(F222)</f>
        <v/>
      </c>
      <c r="X222" s="35" t="n">
        <v>42687</v>
      </c>
      <c r="Z222" s="210">
        <f>IF(N222=TRUE,T222/K222,T222)</f>
        <v/>
      </c>
      <c r="AA222" s="237">
        <f>Y222/100*V222</f>
        <v/>
      </c>
      <c r="AB222">
        <f>IF(AND(Y222&gt;0,Q222=Y222),TRUE,FALSE)</f>
        <v/>
      </c>
      <c r="AC222">
        <f>Z222&lt;&gt;T222</f>
        <v/>
      </c>
    </row>
    <row r="223">
      <c r="A223" t="n">
        <v>222</v>
      </c>
      <c r="D223" s="9" t="inlineStr">
        <is>
          <t>14001507897/40/2017</t>
        </is>
      </c>
      <c r="E223" s="1" t="n">
        <v>42826</v>
      </c>
      <c r="F223" s="1" t="n">
        <v>42843</v>
      </c>
      <c r="G223" s="1">
        <f>CONCATENATE(H223,": ",J223)</f>
        <v/>
      </c>
      <c r="H223" t="inlineStr">
        <is>
          <t>MONTANA Energie-Handel AT GmbH</t>
        </is>
      </c>
      <c r="J223" t="inlineStr">
        <is>
          <t>Teilzahlungsbetrag Gas</t>
        </is>
      </c>
      <c r="N223">
        <f>(IF(AND(K223&lt;&gt;"",ABS(T223)&gt;400),TRUE,FALSE))</f>
        <v/>
      </c>
      <c r="O223" s="36" t="n">
        <v>80</v>
      </c>
      <c r="P223" s="51">
        <f>Arbeitszimmer!$B$3</f>
        <v/>
      </c>
      <c r="Q223" s="27" t="n">
        <v>20</v>
      </c>
      <c r="R223" s="237">
        <f>O223*Q223/100</f>
        <v/>
      </c>
      <c r="S223" s="237">
        <f>P223*R223</f>
        <v/>
      </c>
      <c r="T223" s="208">
        <f>O223*P223</f>
        <v/>
      </c>
      <c r="U223" s="251">
        <f>O223+R223</f>
        <v/>
      </c>
      <c r="V223" s="251">
        <f>T223+S223</f>
        <v/>
      </c>
      <c r="W223" s="35">
        <f>voranmeldefrist_vierteljaehrlich(F223)</f>
        <v/>
      </c>
      <c r="X223" s="35" t="n">
        <v>42983</v>
      </c>
      <c r="Z223" s="210">
        <f>IF(N223=TRUE,T223/K223,T223)</f>
        <v/>
      </c>
      <c r="AA223" s="237">
        <f>Y223/100*V223</f>
        <v/>
      </c>
      <c r="AB223">
        <f>IF(AND(Y223&gt;0,Q223=Y223),TRUE,FALSE)</f>
        <v/>
      </c>
      <c r="AC223">
        <f>Z223&lt;&gt;T223</f>
        <v/>
      </c>
    </row>
    <row r="224">
      <c r="A224" t="n">
        <v>223</v>
      </c>
      <c r="D224" s="9" t="inlineStr">
        <is>
          <t>14001620291/40/2017</t>
        </is>
      </c>
      <c r="E224" s="1" t="n">
        <v>42856</v>
      </c>
      <c r="F224" s="1" t="n">
        <v>42870</v>
      </c>
      <c r="G224" s="1">
        <f>CONCATENATE(H224,": ",J224)</f>
        <v/>
      </c>
      <c r="H224" t="inlineStr">
        <is>
          <t>MONTANA Energie-Handel AT GmbH</t>
        </is>
      </c>
      <c r="J224" t="inlineStr">
        <is>
          <t>Teilzahlungsbetrag Gas</t>
        </is>
      </c>
      <c r="N224">
        <f>(IF(AND(K224&lt;&gt;"",ABS(T224)&gt;400),TRUE,FALSE))</f>
        <v/>
      </c>
      <c r="O224" s="36" t="n">
        <v>80</v>
      </c>
      <c r="P224" s="51">
        <f>Arbeitszimmer!$B$3</f>
        <v/>
      </c>
      <c r="Q224" s="27" t="n">
        <v>20</v>
      </c>
      <c r="R224" s="237">
        <f>O224*Q224/100</f>
        <v/>
      </c>
      <c r="S224" s="237">
        <f>P224*R224</f>
        <v/>
      </c>
      <c r="T224" s="208">
        <f>O224*P224</f>
        <v/>
      </c>
      <c r="U224" s="251">
        <f>O224+R224</f>
        <v/>
      </c>
      <c r="V224" s="251">
        <f>T224+S224</f>
        <v/>
      </c>
      <c r="W224" s="35">
        <f>voranmeldefrist_vierteljaehrlich(F224)</f>
        <v/>
      </c>
      <c r="X224" s="35" t="n">
        <v>42983</v>
      </c>
      <c r="Z224" s="210">
        <f>IF(N224=TRUE,T224/K224,T224)</f>
        <v/>
      </c>
      <c r="AA224" s="237">
        <f>Y224/100*V224</f>
        <v/>
      </c>
      <c r="AB224">
        <f>IF(AND(Y224&gt;0,Q224=Y224),TRUE,FALSE)</f>
        <v/>
      </c>
      <c r="AC224">
        <f>Z224&lt;&gt;T224</f>
        <v/>
      </c>
    </row>
    <row r="225">
      <c r="A225" t="n">
        <v>224</v>
      </c>
      <c r="D225" s="9" t="inlineStr">
        <is>
          <t>14001738828/40/2017</t>
        </is>
      </c>
      <c r="E225" s="1" t="n">
        <v>42887</v>
      </c>
      <c r="F225" s="1" t="n">
        <v>42902</v>
      </c>
      <c r="G225" s="1">
        <f>CONCATENATE(H225,": ",J225)</f>
        <v/>
      </c>
      <c r="H225" t="inlineStr">
        <is>
          <t>MONTANA Energie-Handel AT GmbH</t>
        </is>
      </c>
      <c r="J225" t="inlineStr">
        <is>
          <t>Teilzahlungsbetrag Gas</t>
        </is>
      </c>
      <c r="N225">
        <f>(IF(AND(K225&lt;&gt;"",ABS(T225)&gt;400),TRUE,FALSE))</f>
        <v/>
      </c>
      <c r="O225" s="36" t="n">
        <v>80</v>
      </c>
      <c r="P225" s="51">
        <f>Arbeitszimmer!$B$3</f>
        <v/>
      </c>
      <c r="Q225" s="27" t="n">
        <v>20</v>
      </c>
      <c r="R225" s="237">
        <f>O225*Q225/100</f>
        <v/>
      </c>
      <c r="S225" s="237">
        <f>P225*R225</f>
        <v/>
      </c>
      <c r="T225" s="208">
        <f>O225*P225</f>
        <v/>
      </c>
      <c r="U225" s="251">
        <f>O225+R225</f>
        <v/>
      </c>
      <c r="V225" s="251">
        <f>T225+S225</f>
        <v/>
      </c>
      <c r="W225" s="35">
        <f>voranmeldefrist_vierteljaehrlich(F225)</f>
        <v/>
      </c>
      <c r="X225" s="35" t="n">
        <v>42983</v>
      </c>
      <c r="Z225" s="210">
        <f>IF(N225=TRUE,T225/K225,T225)</f>
        <v/>
      </c>
      <c r="AA225" s="237">
        <f>Y225/100*V225</f>
        <v/>
      </c>
      <c r="AB225">
        <f>IF(AND(Y225&gt;0,Q225=Y225),TRUE,FALSE)</f>
        <v/>
      </c>
      <c r="AC225">
        <f>Z225&lt;&gt;T225</f>
        <v/>
      </c>
    </row>
    <row r="226">
      <c r="A226" t="n">
        <v>225</v>
      </c>
      <c r="D226" s="9" t="inlineStr">
        <is>
          <t>6136633132</t>
        </is>
      </c>
      <c r="E226" s="1" t="n">
        <v>42912</v>
      </c>
      <c r="F226" s="1" t="n">
        <v>42919</v>
      </c>
      <c r="G226" s="1">
        <f>CONCATENATE(H226,": ",J226)</f>
        <v/>
      </c>
      <c r="H226" t="inlineStr">
        <is>
          <t>Hutchison Drei Austria GmbH, Brünner Straße 52, 1210 Wien, Österreich</t>
        </is>
      </c>
      <c r="N226">
        <f>(IF(AND(K226&lt;&gt;"",ABS(T226)&gt;400),TRUE,FALSE))</f>
        <v/>
      </c>
      <c r="O226" s="36" t="n">
        <v>15</v>
      </c>
      <c r="P226" s="51" t="n">
        <v>1</v>
      </c>
      <c r="Q226" s="27" t="n">
        <v>20</v>
      </c>
      <c r="R226" s="237">
        <f>O226*Q226/100</f>
        <v/>
      </c>
      <c r="S226" s="237">
        <f>P226*R226</f>
        <v/>
      </c>
      <c r="T226" s="208">
        <f>O226*P226</f>
        <v/>
      </c>
      <c r="U226" s="251">
        <f>O226+R226</f>
        <v/>
      </c>
      <c r="V226" s="251">
        <f>T226+S226</f>
        <v/>
      </c>
      <c r="W226" s="35">
        <f>voranmeldefrist_vierteljaehrlich(F226)</f>
        <v/>
      </c>
      <c r="X226" s="35" t="n">
        <v>43047</v>
      </c>
      <c r="Z226" s="210">
        <f>IF(N226=TRUE,T226/K226,T226)</f>
        <v/>
      </c>
      <c r="AA226" s="237">
        <f>Y226/100*V226</f>
        <v/>
      </c>
      <c r="AB226">
        <f>IF(AND(Y226&gt;0,Q226=Y226),TRUE,FALSE)</f>
        <v/>
      </c>
      <c r="AC226">
        <f>Z226&lt;&gt;T226</f>
        <v/>
      </c>
    </row>
    <row r="227">
      <c r="A227" t="n">
        <v>226</v>
      </c>
      <c r="D227" s="9" t="inlineStr">
        <is>
          <t>2017/8058/14</t>
        </is>
      </c>
      <c r="E227" s="1" t="n">
        <v>42736</v>
      </c>
      <c r="F227" s="1" t="n">
        <v>42912</v>
      </c>
      <c r="G227" s="1">
        <f>CONCATENATE(H227,": ",J227)</f>
        <v/>
      </c>
      <c r="H227" t="inlineStr">
        <is>
          <t>PREMIUM Laudongasse 58 GmbH &amp; Co KG</t>
        </is>
      </c>
      <c r="I227" t="inlineStr">
        <is>
          <t>ATU60795919</t>
        </is>
      </c>
      <c r="J227" t="inlineStr">
        <is>
          <t>Dauerrechnung 2017-D-7</t>
        </is>
      </c>
      <c r="N227">
        <f>(IF(AND(K227&lt;&gt;"",ABS(T227)&gt;400),TRUE,FALSE))</f>
        <v/>
      </c>
      <c r="O227" s="36" t="n">
        <v>801.77</v>
      </c>
      <c r="P227" s="51">
        <f>Arbeitszimmer!$B$3</f>
        <v/>
      </c>
      <c r="Q227" s="27" t="n">
        <v>10</v>
      </c>
      <c r="R227" s="237">
        <f>O227*Q227/100</f>
        <v/>
      </c>
      <c r="S227" s="237">
        <f>P227*R227</f>
        <v/>
      </c>
      <c r="T227" s="208">
        <f>O227*P227</f>
        <v/>
      </c>
      <c r="U227" s="251">
        <f>O227+R227</f>
        <v/>
      </c>
      <c r="V227" s="251">
        <f>T227+S227</f>
        <v/>
      </c>
      <c r="W227" s="35">
        <f>voranmeldefrist_vierteljaehrlich(F227)</f>
        <v/>
      </c>
      <c r="X227" s="35" t="n"/>
      <c r="Z227" s="210">
        <f>IF(N227=TRUE,T227/K227,T227)</f>
        <v/>
      </c>
      <c r="AA227" s="237">
        <f>Y227/100*V227</f>
        <v/>
      </c>
      <c r="AB227">
        <f>IF(AND(Y227&gt;0,Q227=Y227),TRUE,FALSE)</f>
        <v/>
      </c>
      <c r="AC227">
        <f>Z227&lt;&gt;T227</f>
        <v/>
      </c>
    </row>
    <row r="228">
      <c r="A228" t="n">
        <v>227</v>
      </c>
      <c r="D228" s="39" t="inlineStr">
        <is>
          <t>34011068828</t>
        </is>
      </c>
      <c r="E228" s="1" t="n">
        <v>42917</v>
      </c>
      <c r="F228" s="1" t="n">
        <v>42933</v>
      </c>
      <c r="G228" s="1">
        <f>CONCATENATE(H228,": ",J228)</f>
        <v/>
      </c>
      <c r="H228" t="inlineStr">
        <is>
          <t>VERBUND AG, Postfach 8400, 1011 Wien, Österreich</t>
        </is>
      </c>
      <c r="I228" t="inlineStr">
        <is>
          <t>ATU14703908</t>
        </is>
      </c>
      <c r="J228" t="inlineStr">
        <is>
          <t>Teilzahlungsvorschreibung</t>
        </is>
      </c>
      <c r="N228">
        <f>(IF(AND(K228&lt;&gt;"",ABS(T228)&gt;400),TRUE,FALSE))</f>
        <v/>
      </c>
      <c r="O228" s="36" t="n">
        <v>142.5</v>
      </c>
      <c r="P228" s="51">
        <f>Arbeitszimmer!$B$3</f>
        <v/>
      </c>
      <c r="Q228" s="27" t="n">
        <v>20</v>
      </c>
      <c r="R228" s="237">
        <f>O228*Q228/100</f>
        <v/>
      </c>
      <c r="S228" s="237">
        <f>P228*R228</f>
        <v/>
      </c>
      <c r="T228" s="208">
        <f>O228*P228</f>
        <v/>
      </c>
      <c r="U228" s="251">
        <f>O228+R228</f>
        <v/>
      </c>
      <c r="V228" s="251">
        <f>T228+S228</f>
        <v/>
      </c>
      <c r="W228" s="35">
        <f>voranmeldefrist_vierteljaehrlich(F228)</f>
        <v/>
      </c>
      <c r="X228" s="35" t="n">
        <v>43047</v>
      </c>
      <c r="Z228" s="210">
        <f>IF(N228=TRUE,T228/K228,T228)</f>
        <v/>
      </c>
      <c r="AA228" s="237">
        <f>Y228/100*V228</f>
        <v/>
      </c>
      <c r="AB228">
        <f>IF(AND(Y228&gt;0,Q228=Y228),TRUE,FALSE)</f>
        <v/>
      </c>
      <c r="AC228">
        <f>Z228&lt;&gt;T228</f>
        <v/>
      </c>
    </row>
    <row r="229">
      <c r="A229" t="n">
        <v>228</v>
      </c>
      <c r="D229" s="39" t="inlineStr">
        <is>
          <t>14001855137</t>
        </is>
      </c>
      <c r="E229" s="1" t="n">
        <v>42917</v>
      </c>
      <c r="F229" s="1" t="n">
        <v>42933</v>
      </c>
      <c r="G229" s="1">
        <f>CONCATENATE(H229,": ",J229)</f>
        <v/>
      </c>
      <c r="H229" t="inlineStr">
        <is>
          <t>MONTANA Energie-Handel AT GmbH</t>
        </is>
      </c>
      <c r="J229" t="inlineStr">
        <is>
          <t>Teilzahlungsbetrag Gas</t>
        </is>
      </c>
      <c r="N229">
        <f>(IF(AND(K229&lt;&gt;"",ABS(T229)&gt;400),TRUE,FALSE))</f>
        <v/>
      </c>
      <c r="O229" s="36" t="n">
        <v>80</v>
      </c>
      <c r="P229" s="51">
        <f>Arbeitszimmer!$B$3</f>
        <v/>
      </c>
      <c r="Q229" s="27" t="n">
        <v>20</v>
      </c>
      <c r="R229" s="237">
        <f>O229*Q229/100</f>
        <v/>
      </c>
      <c r="S229" s="237">
        <f>P229*R229</f>
        <v/>
      </c>
      <c r="T229" s="208">
        <f>O229*P229</f>
        <v/>
      </c>
      <c r="U229" s="251">
        <f>O229+R229</f>
        <v/>
      </c>
      <c r="V229" s="251">
        <f>T229+S229</f>
        <v/>
      </c>
      <c r="W229" s="35">
        <f>voranmeldefrist_vierteljaehrlich(F229)</f>
        <v/>
      </c>
      <c r="X229" s="35" t="n">
        <v>43047</v>
      </c>
      <c r="Z229" s="210">
        <f>IF(N229=TRUE,T229/K229,T229)</f>
        <v/>
      </c>
      <c r="AA229" s="237">
        <f>Y229/100*V229</f>
        <v/>
      </c>
      <c r="AB229">
        <f>IF(AND(Y229&gt;0,Q229=Y229),TRUE,FALSE)</f>
        <v/>
      </c>
      <c r="AC229">
        <f>Z229&lt;&gt;T229</f>
        <v/>
      </c>
    </row>
    <row r="230">
      <c r="A230" t="n">
        <v>229</v>
      </c>
      <c r="D230" s="9" t="inlineStr">
        <is>
          <t>2017/8058/14</t>
        </is>
      </c>
      <c r="E230" s="1" t="n">
        <v>42736</v>
      </c>
      <c r="F230" s="1" t="n">
        <v>42937</v>
      </c>
      <c r="G230" s="1">
        <f>CONCATENATE(H230,": ",J230)</f>
        <v/>
      </c>
      <c r="H230" t="inlineStr">
        <is>
          <t>PREMIUM Laudongasse 58 GmbH &amp; Co KG</t>
        </is>
      </c>
      <c r="I230" t="inlineStr">
        <is>
          <t>ATU60795919</t>
        </is>
      </c>
      <c r="J230" t="inlineStr">
        <is>
          <t>Rückerstattung BK 2016</t>
        </is>
      </c>
      <c r="N230">
        <f>(IF(AND(K230&lt;&gt;"",ABS(T230)&gt;400),TRUE,FALSE))</f>
        <v/>
      </c>
      <c r="O230" s="36" t="n">
        <v>-333.55</v>
      </c>
      <c r="P230" s="51">
        <f>Arbeitszimmer!$B$3</f>
        <v/>
      </c>
      <c r="Q230" s="27" t="n">
        <v>10</v>
      </c>
      <c r="R230" s="237">
        <f>O230*Q230/100</f>
        <v/>
      </c>
      <c r="S230" s="237">
        <f>P230*R230</f>
        <v/>
      </c>
      <c r="T230" s="208">
        <f>O230*P230</f>
        <v/>
      </c>
      <c r="U230" s="251">
        <f>O230+R230</f>
        <v/>
      </c>
      <c r="V230" s="251">
        <f>T230+S230</f>
        <v/>
      </c>
      <c r="W230" s="35">
        <f>voranmeldefrist_vierteljaehrlich(F230)</f>
        <v/>
      </c>
      <c r="X230" s="35" t="n">
        <v>43047</v>
      </c>
      <c r="Z230" s="210">
        <f>IF(N230=TRUE,T230/K230,T230)</f>
        <v/>
      </c>
      <c r="AA230" s="237">
        <f>Y230/100*V230</f>
        <v/>
      </c>
      <c r="AB230">
        <f>IF(AND(Y230&gt;0,Q230=Y230),TRUE,FALSE)</f>
        <v/>
      </c>
      <c r="AC230">
        <f>Z230&lt;&gt;T230</f>
        <v/>
      </c>
    </row>
    <row r="231">
      <c r="A231" t="n">
        <v>230</v>
      </c>
      <c r="D231" s="9" t="inlineStr">
        <is>
          <t>2017/8058/14</t>
        </is>
      </c>
      <c r="E231" s="1" t="n">
        <v>42736</v>
      </c>
      <c r="F231" s="1" t="n">
        <v>42941</v>
      </c>
      <c r="G231" s="1">
        <f>CONCATENATE(H231,": ",J231)</f>
        <v/>
      </c>
      <c r="H231" t="inlineStr">
        <is>
          <t>PREMIUM Laudongasse 58 GmbH &amp; Co KG</t>
        </is>
      </c>
      <c r="I231" t="inlineStr">
        <is>
          <t>ATU60795919</t>
        </is>
      </c>
      <c r="J231" t="inlineStr">
        <is>
          <t>Dauerrechnung 2017-D-8</t>
        </is>
      </c>
      <c r="N231">
        <f>(IF(AND(K231&lt;&gt;"",ABS(T231)&gt;400),TRUE,FALSE))</f>
        <v/>
      </c>
      <c r="O231" s="36" t="n">
        <v>801.77</v>
      </c>
      <c r="P231" s="51">
        <f>Arbeitszimmer!$B$3</f>
        <v/>
      </c>
      <c r="Q231" s="27" t="n">
        <v>10</v>
      </c>
      <c r="R231" s="237">
        <f>O231*Q231/100</f>
        <v/>
      </c>
      <c r="S231" s="237">
        <f>P231*R231</f>
        <v/>
      </c>
      <c r="T231" s="208">
        <f>O231*P231</f>
        <v/>
      </c>
      <c r="U231" s="251">
        <f>O231+R231</f>
        <v/>
      </c>
      <c r="V231" s="251">
        <f>T231+S231</f>
        <v/>
      </c>
      <c r="W231" s="35">
        <f>voranmeldefrist_vierteljaehrlich(F231)</f>
        <v/>
      </c>
      <c r="X231" s="35" t="n">
        <v>43047</v>
      </c>
      <c r="Z231" s="210">
        <f>IF(N231=TRUE,T231/K231,T231)</f>
        <v/>
      </c>
      <c r="AA231" s="237">
        <f>Y231/100*V231</f>
        <v/>
      </c>
      <c r="AB231">
        <f>IF(AND(Y231&gt;0,Q231=Y231),TRUE,FALSE)</f>
        <v/>
      </c>
      <c r="AC231">
        <f>Z231&lt;&gt;T231</f>
        <v/>
      </c>
    </row>
    <row r="232">
      <c r="A232" t="n">
        <v>231</v>
      </c>
      <c r="D232" s="9" t="inlineStr">
        <is>
          <t>6138487568</t>
        </is>
      </c>
      <c r="E232" s="1" t="n">
        <v>42941</v>
      </c>
      <c r="F232" s="1" t="n">
        <v>42949</v>
      </c>
      <c r="G232" s="1">
        <f>CONCATENATE(H232,": ",J232)</f>
        <v/>
      </c>
      <c r="H232" t="inlineStr">
        <is>
          <t>Hutchison Drei Austria GmbH, Brünner Straße 52, 1210 Wien, Österreich</t>
        </is>
      </c>
      <c r="N232">
        <f>(IF(AND(K232&lt;&gt;"",ABS(T232)&gt;400),TRUE,FALSE))</f>
        <v/>
      </c>
      <c r="O232" s="36" t="n">
        <v>15</v>
      </c>
      <c r="P232" s="51" t="n">
        <v>1</v>
      </c>
      <c r="Q232" s="27" t="n">
        <v>20</v>
      </c>
      <c r="R232" s="237">
        <f>O232*Q232/100</f>
        <v/>
      </c>
      <c r="S232" s="237">
        <f>P232*R232</f>
        <v/>
      </c>
      <c r="T232" s="208">
        <f>O232*P232</f>
        <v/>
      </c>
      <c r="U232" s="251">
        <f>O232+R232</f>
        <v/>
      </c>
      <c r="V232" s="251">
        <f>T232+S232</f>
        <v/>
      </c>
      <c r="W232" s="35">
        <f>voranmeldefrist_vierteljaehrlich(F232)</f>
        <v/>
      </c>
      <c r="X232" s="35" t="n">
        <v>43047</v>
      </c>
      <c r="Z232" s="210">
        <f>IF(N232=TRUE,T232/K232,T232)</f>
        <v/>
      </c>
      <c r="AA232" s="237">
        <f>Y232/100*V232</f>
        <v/>
      </c>
      <c r="AB232">
        <f>IF(AND(Y232&gt;0,Q232=Y232),TRUE,FALSE)</f>
        <v/>
      </c>
      <c r="AC232">
        <f>Z232&lt;&gt;T232</f>
        <v/>
      </c>
    </row>
    <row r="233">
      <c r="A233" t="n">
        <v>232</v>
      </c>
      <c r="D233" s="39" t="inlineStr">
        <is>
          <t>14001975411</t>
        </is>
      </c>
      <c r="E233" s="1" t="n">
        <v>42948</v>
      </c>
      <c r="F233" s="1" t="n">
        <v>42963</v>
      </c>
      <c r="G233" s="1">
        <f>CONCATENATE(H233,": ",J233)</f>
        <v/>
      </c>
      <c r="H233" t="inlineStr">
        <is>
          <t>MONTANA Energie-Handel AT GmbH</t>
        </is>
      </c>
      <c r="J233" t="inlineStr">
        <is>
          <t>Teilzahlungsbetrag Gas</t>
        </is>
      </c>
      <c r="N233">
        <f>(IF(AND(K233&lt;&gt;"",ABS(T233)&gt;400),TRUE,FALSE))</f>
        <v/>
      </c>
      <c r="O233" s="36" t="n">
        <v>80</v>
      </c>
      <c r="P233" s="51">
        <f>Arbeitszimmer!$B$3</f>
        <v/>
      </c>
      <c r="Q233" s="27" t="n">
        <v>20</v>
      </c>
      <c r="R233" s="237">
        <f>O233*Q233/100</f>
        <v/>
      </c>
      <c r="S233" s="237">
        <f>P233*R233</f>
        <v/>
      </c>
      <c r="T233" s="208">
        <f>O233*P233</f>
        <v/>
      </c>
      <c r="U233" s="251">
        <f>O233+R233</f>
        <v/>
      </c>
      <c r="V233" s="251">
        <f>T233+S233</f>
        <v/>
      </c>
      <c r="W233" s="35">
        <f>voranmeldefrist_vierteljaehrlich(F233)</f>
        <v/>
      </c>
      <c r="X233" s="35" t="n">
        <v>43047</v>
      </c>
      <c r="Z233" s="210">
        <f>IF(N233=TRUE,T233/K233,T233)</f>
        <v/>
      </c>
      <c r="AA233" s="237">
        <f>Y233/100*V233</f>
        <v/>
      </c>
      <c r="AB233">
        <f>IF(AND(Y233&gt;0,Q233=Y233),TRUE,FALSE)</f>
        <v/>
      </c>
      <c r="AC233">
        <f>Z233&lt;&gt;T233</f>
        <v/>
      </c>
    </row>
    <row r="234">
      <c r="A234" t="n">
        <v>233</v>
      </c>
      <c r="D234" s="9" t="inlineStr">
        <is>
          <t>2017/8058/14</t>
        </is>
      </c>
      <c r="E234" s="1" t="n">
        <v>42736</v>
      </c>
      <c r="F234" s="1" t="n">
        <v>42972</v>
      </c>
      <c r="G234" s="1">
        <f>CONCATENATE(H234,": ",J234)</f>
        <v/>
      </c>
      <c r="H234" t="inlineStr">
        <is>
          <t>PREMIUM Laudongasse 58 GmbH &amp; Co KG</t>
        </is>
      </c>
      <c r="I234" t="inlineStr">
        <is>
          <t>ATU60795919</t>
        </is>
      </c>
      <c r="J234" t="inlineStr">
        <is>
          <t>Dauerrechnung 2017-D-9</t>
        </is>
      </c>
      <c r="N234">
        <f>(IF(AND(K234&lt;&gt;"",ABS(T234)&gt;400),TRUE,FALSE))</f>
        <v/>
      </c>
      <c r="O234" s="36" t="n">
        <v>801.77</v>
      </c>
      <c r="P234" s="51">
        <f>Arbeitszimmer!$B$3</f>
        <v/>
      </c>
      <c r="Q234" s="27" t="n">
        <v>10</v>
      </c>
      <c r="R234" s="237">
        <f>O234*Q234/100</f>
        <v/>
      </c>
      <c r="S234" s="237">
        <f>P234*R234</f>
        <v/>
      </c>
      <c r="T234" s="208">
        <f>O234*P234</f>
        <v/>
      </c>
      <c r="U234" s="251">
        <f>O234+R234</f>
        <v/>
      </c>
      <c r="V234" s="251">
        <f>T234+S234</f>
        <v/>
      </c>
      <c r="W234" s="35">
        <f>voranmeldefrist_vierteljaehrlich(F234)</f>
        <v/>
      </c>
      <c r="X234" s="35" t="n">
        <v>43047</v>
      </c>
      <c r="Z234" s="210">
        <f>IF(N234=TRUE,T234/K234,T234)</f>
        <v/>
      </c>
      <c r="AA234" s="237">
        <f>Y234/100*V234</f>
        <v/>
      </c>
      <c r="AB234">
        <f>IF(AND(Y234&gt;0,Q234=Y234),TRUE,FALSE)</f>
        <v/>
      </c>
      <c r="AC234">
        <f>Z234&lt;&gt;T234</f>
        <v/>
      </c>
    </row>
    <row r="235">
      <c r="A235" t="n">
        <v>234</v>
      </c>
      <c r="D235" s="9" t="inlineStr">
        <is>
          <t>6140343821</t>
        </is>
      </c>
      <c r="E235" s="1" t="n">
        <v>42971</v>
      </c>
      <c r="F235" s="1" t="n">
        <v>42978</v>
      </c>
      <c r="G235" s="1">
        <f>CONCATENATE(H235,": ",J235)</f>
        <v/>
      </c>
      <c r="H235" t="inlineStr">
        <is>
          <t>Hutchison Drei Austria GmbH, Brünner Straße 52, 1210 Wien, Österreich</t>
        </is>
      </c>
      <c r="N235">
        <f>(IF(AND(K235&lt;&gt;"",ABS(T235)&gt;400),TRUE,FALSE))</f>
        <v/>
      </c>
      <c r="O235" s="36" t="n">
        <v>15</v>
      </c>
      <c r="P235" s="51" t="n">
        <v>1</v>
      </c>
      <c r="Q235" s="27" t="n">
        <v>20</v>
      </c>
      <c r="R235" s="237">
        <f>O235*Q235/100</f>
        <v/>
      </c>
      <c r="S235" s="237">
        <f>P235*R235</f>
        <v/>
      </c>
      <c r="T235" s="208">
        <f>O235*P235</f>
        <v/>
      </c>
      <c r="U235" s="251">
        <f>O235+R235</f>
        <v/>
      </c>
      <c r="V235" s="251">
        <f>T235+S235</f>
        <v/>
      </c>
      <c r="W235" s="35">
        <f>voranmeldefrist_vierteljaehrlich(F235)</f>
        <v/>
      </c>
      <c r="X235" s="35" t="n">
        <v>43047</v>
      </c>
      <c r="Z235" s="210">
        <f>IF(N235=TRUE,T235/K235,T235)</f>
        <v/>
      </c>
      <c r="AA235" s="237">
        <f>Y235/100*V235</f>
        <v/>
      </c>
      <c r="AB235">
        <f>IF(AND(Y235&gt;0,Q235=Y235),TRUE,FALSE)</f>
        <v/>
      </c>
      <c r="AC235">
        <f>Z235&lt;&gt;T235</f>
        <v/>
      </c>
    </row>
    <row r="236">
      <c r="A236" t="n">
        <v>235</v>
      </c>
      <c r="D236" s="9" t="inlineStr">
        <is>
          <t>14002088308/40/2017</t>
        </is>
      </c>
      <c r="E236" s="1" t="n">
        <v>42979</v>
      </c>
      <c r="F236" s="1" t="n">
        <v>42993</v>
      </c>
      <c r="G236" s="1">
        <f>CONCATENATE(H236,": ",J236)</f>
        <v/>
      </c>
      <c r="H236" t="inlineStr">
        <is>
          <t>MONTANA Energie-Handel AT GmbH</t>
        </is>
      </c>
      <c r="J236" t="inlineStr">
        <is>
          <t>Teilzahlungsbetrag Gas</t>
        </is>
      </c>
      <c r="N236">
        <f>(IF(AND(K236&lt;&gt;"",ABS(T236)&gt;400),TRUE,FALSE))</f>
        <v/>
      </c>
      <c r="O236" s="36" t="n">
        <v>80</v>
      </c>
      <c r="P236" s="51">
        <f>Arbeitszimmer!$B$3</f>
        <v/>
      </c>
      <c r="Q236" s="27" t="n">
        <v>20</v>
      </c>
      <c r="R236" s="237">
        <f>O236*Q236/100</f>
        <v/>
      </c>
      <c r="S236" s="237">
        <f>P236*R236</f>
        <v/>
      </c>
      <c r="T236" s="208">
        <f>O236*P236</f>
        <v/>
      </c>
      <c r="U236" s="251">
        <f>O236+R236</f>
        <v/>
      </c>
      <c r="V236" s="251">
        <f>T236+S236</f>
        <v/>
      </c>
      <c r="W236" s="35">
        <f>voranmeldefrist_vierteljaehrlich(F236)</f>
        <v/>
      </c>
      <c r="X236" s="35" t="n">
        <v>43047</v>
      </c>
      <c r="Z236" s="210">
        <f>IF(N236=TRUE,T236/K236,T236)</f>
        <v/>
      </c>
      <c r="AA236" s="237">
        <f>Y236/100*V236</f>
        <v/>
      </c>
      <c r="AB236">
        <f>IF(AND(Y236&gt;0,Q236=Y236),TRUE,FALSE)</f>
        <v/>
      </c>
      <c r="AC236">
        <f>Z236&lt;&gt;T236</f>
        <v/>
      </c>
    </row>
    <row r="237">
      <c r="A237" t="n">
        <v>236</v>
      </c>
      <c r="D237" s="9" t="inlineStr">
        <is>
          <t>34011068828/40/2017</t>
        </is>
      </c>
      <c r="E237" s="1" t="n">
        <v>42968</v>
      </c>
      <c r="F237" s="1" t="n">
        <v>42993</v>
      </c>
      <c r="G237" s="1">
        <f>CONCATENATE(H237,": ",J237)</f>
        <v/>
      </c>
      <c r="H237" t="inlineStr">
        <is>
          <t>VERBUND AG, Postfach 8400, 1011 Wien, Österreich</t>
        </is>
      </c>
      <c r="I237" t="inlineStr">
        <is>
          <t>ATU14703908</t>
        </is>
      </c>
      <c r="J237" t="inlineStr">
        <is>
          <t>Teilzahlungsvorschreibung</t>
        </is>
      </c>
      <c r="N237">
        <f>(IF(AND(K237&lt;&gt;"",ABS(T237)&gt;400),TRUE,FALSE))</f>
        <v/>
      </c>
      <c r="O237" s="36" t="n">
        <v>21.82</v>
      </c>
      <c r="P237" s="51">
        <f>Arbeitszimmer!$B$3</f>
        <v/>
      </c>
      <c r="Q237" s="27" t="n">
        <v>20</v>
      </c>
      <c r="R237" s="237">
        <f>O237*Q237/100</f>
        <v/>
      </c>
      <c r="S237" s="237">
        <f>P237*R237</f>
        <v/>
      </c>
      <c r="T237" s="208">
        <f>O237*P237</f>
        <v/>
      </c>
      <c r="U237" s="251">
        <f>O237+R237</f>
        <v/>
      </c>
      <c r="V237" s="251">
        <f>T237+S237</f>
        <v/>
      </c>
      <c r="W237" s="35">
        <f>voranmeldefrist_vierteljaehrlich(F237)</f>
        <v/>
      </c>
      <c r="X237" s="35" t="n">
        <v>43047</v>
      </c>
      <c r="Z237" s="210">
        <f>IF(N237=TRUE,T237/K237,T237)</f>
        <v/>
      </c>
      <c r="AA237" s="237">
        <f>Y237/100*V237</f>
        <v/>
      </c>
      <c r="AB237">
        <f>IF(AND(Y237&gt;0,Q237=Y237),TRUE,FALSE)</f>
        <v/>
      </c>
      <c r="AC237">
        <f>Z237&lt;&gt;T237</f>
        <v/>
      </c>
    </row>
    <row r="238">
      <c r="A238" t="n">
        <v>237</v>
      </c>
      <c r="D238" s="9" t="inlineStr">
        <is>
          <t>170025346</t>
        </is>
      </c>
      <c r="E238" s="1" t="n">
        <v>42990</v>
      </c>
      <c r="F238" s="1" t="n">
        <v>43031</v>
      </c>
      <c r="G238" s="1">
        <f>CONCATENATE(H238,": ",J238)</f>
        <v/>
      </c>
      <c r="H238" t="inlineStr">
        <is>
          <t>nic.at GmbH, Jakob-Haringer-Strasse 8, 5020 Salzburg, Austria</t>
        </is>
      </c>
      <c r="J238" t="inlineStr">
        <is>
          <t>Domain: energiebalance-lichtherz.at</t>
        </is>
      </c>
      <c r="N238">
        <f>(IF(AND(K238&lt;&gt;"",ABS(T238)&gt;400),TRUE,FALSE))</f>
        <v/>
      </c>
      <c r="O238" s="36" t="n">
        <v>29.1</v>
      </c>
      <c r="P238" s="51" t="n">
        <v>1</v>
      </c>
      <c r="Q238" s="27" t="n">
        <v>20</v>
      </c>
      <c r="R238" s="237">
        <f>O238*Q238/100</f>
        <v/>
      </c>
      <c r="S238" s="237">
        <f>P238*R238</f>
        <v/>
      </c>
      <c r="T238" s="208">
        <f>O238*P238</f>
        <v/>
      </c>
      <c r="U238" s="251">
        <f>O238+R238</f>
        <v/>
      </c>
      <c r="V238" s="251">
        <f>T238+S238</f>
        <v/>
      </c>
      <c r="W238" s="35">
        <f>voranmeldefrist_vierteljaehrlich(F238)</f>
        <v/>
      </c>
      <c r="X238" s="35" t="n">
        <v>43134</v>
      </c>
      <c r="Z238" s="210">
        <f>IF(N238=TRUE,T238/K238,T238)</f>
        <v/>
      </c>
      <c r="AA238" s="237">
        <f>Y238/100*V238</f>
        <v/>
      </c>
      <c r="AB238">
        <f>IF(AND(Y238&gt;0,Q238=Y238),TRUE,FALSE)</f>
        <v/>
      </c>
      <c r="AC238">
        <f>Z238&lt;&gt;T238</f>
        <v/>
      </c>
    </row>
    <row r="239">
      <c r="A239" t="n">
        <v>238</v>
      </c>
      <c r="D239" s="9" t="inlineStr">
        <is>
          <t>2017/8058/14</t>
        </is>
      </c>
      <c r="E239" s="1" t="n">
        <v>42736</v>
      </c>
      <c r="F239" s="1" t="n">
        <v>43003</v>
      </c>
      <c r="G239" s="1">
        <f>CONCATENATE(H239,": ",J239)</f>
        <v/>
      </c>
      <c r="H239" t="inlineStr">
        <is>
          <t>PREMIUM Laudongasse 58 GmbH &amp; Co KG</t>
        </is>
      </c>
      <c r="I239" t="inlineStr">
        <is>
          <t>ATU60795919</t>
        </is>
      </c>
      <c r="J239" t="inlineStr">
        <is>
          <t>Dauerrechnung 2017-D-9</t>
        </is>
      </c>
      <c r="N239">
        <f>(IF(AND(K239&lt;&gt;"",ABS(T239)&gt;400),TRUE,FALSE))</f>
        <v/>
      </c>
      <c r="O239" s="36" t="n">
        <v>801.77</v>
      </c>
      <c r="P239" s="51">
        <f>Arbeitszimmer!$B$3</f>
        <v/>
      </c>
      <c r="Q239" s="27" t="n">
        <v>10</v>
      </c>
      <c r="R239" s="237">
        <f>O239*Q239/100</f>
        <v/>
      </c>
      <c r="S239" s="237">
        <f>P239*R239</f>
        <v/>
      </c>
      <c r="T239" s="208">
        <f>O239*P239</f>
        <v/>
      </c>
      <c r="U239" s="251">
        <f>O239+R239</f>
        <v/>
      </c>
      <c r="V239" s="251">
        <f>T239+S239</f>
        <v/>
      </c>
      <c r="W239" s="35">
        <f>voranmeldefrist_vierteljaehrlich(F239)</f>
        <v/>
      </c>
      <c r="X239" s="35" t="n">
        <v>43047</v>
      </c>
      <c r="Z239" s="210">
        <f>IF(N239=TRUE,T239/K239,T239)</f>
        <v/>
      </c>
      <c r="AA239" s="237">
        <f>Y239/100*V239</f>
        <v/>
      </c>
      <c r="AB239">
        <f>IF(AND(Y239&gt;0,Q239=Y239),TRUE,FALSE)</f>
        <v/>
      </c>
      <c r="AC239">
        <f>Z239&lt;&gt;T239</f>
        <v/>
      </c>
    </row>
    <row r="240">
      <c r="A240" t="n">
        <v>239</v>
      </c>
      <c r="D240" s="9" t="inlineStr">
        <is>
          <t>6142197321</t>
        </is>
      </c>
      <c r="E240" s="1" t="n">
        <v>43004</v>
      </c>
      <c r="F240" s="1" t="n">
        <v>43013</v>
      </c>
      <c r="G240" s="1">
        <f>CONCATENATE(H240,": ",J240)</f>
        <v/>
      </c>
      <c r="H240" t="inlineStr">
        <is>
          <t>Hutchison Drei Austria GmbH, Brünner Straße 52, 1210 Wien, Österreich</t>
        </is>
      </c>
      <c r="N240">
        <f>(IF(AND(K240&lt;&gt;"",ABS(T240)&gt;400),TRUE,FALSE))</f>
        <v/>
      </c>
      <c r="O240" s="36" t="n">
        <v>15</v>
      </c>
      <c r="P240" s="51" t="n">
        <v>1</v>
      </c>
      <c r="Q240" s="27" t="n">
        <v>20</v>
      </c>
      <c r="R240" s="237">
        <f>O240*Q240/100</f>
        <v/>
      </c>
      <c r="S240" s="237">
        <f>P240*R240</f>
        <v/>
      </c>
      <c r="T240" s="208">
        <f>O240*P240</f>
        <v/>
      </c>
      <c r="U240" s="251">
        <f>O240+R240</f>
        <v/>
      </c>
      <c r="V240" s="251">
        <f>T240+S240</f>
        <v/>
      </c>
      <c r="W240" s="35">
        <f>voranmeldefrist_vierteljaehrlich(F240)</f>
        <v/>
      </c>
      <c r="X240" s="35" t="n">
        <v>43134</v>
      </c>
      <c r="Z240" s="210">
        <f>IF(N240=TRUE,T240/K240,T240)</f>
        <v/>
      </c>
      <c r="AA240" s="237">
        <f>Y240/100*V240</f>
        <v/>
      </c>
      <c r="AB240">
        <f>IF(AND(Y240&gt;0,Q240=Y240),TRUE,FALSE)</f>
        <v/>
      </c>
      <c r="AC240">
        <f>Z240&lt;&gt;T240</f>
        <v/>
      </c>
    </row>
    <row r="241">
      <c r="A241" t="n">
        <v>240</v>
      </c>
      <c r="D241" s="9" t="inlineStr">
        <is>
          <t>14002205999/40/2017</t>
        </is>
      </c>
      <c r="E241" s="1" t="n">
        <v>43009</v>
      </c>
      <c r="F241" s="1" t="n">
        <v>43024</v>
      </c>
      <c r="G241" s="1">
        <f>CONCATENATE(H241,": ",J241)</f>
        <v/>
      </c>
      <c r="H241" t="inlineStr">
        <is>
          <t>MONTANA Energie-Handel AT GmbH</t>
        </is>
      </c>
      <c r="J241" t="inlineStr">
        <is>
          <t>Teilzahlungsbetrag Gas</t>
        </is>
      </c>
      <c r="N241">
        <f>(IF(AND(K241&lt;&gt;"",ABS(T241)&gt;400),TRUE,FALSE))</f>
        <v/>
      </c>
      <c r="O241" s="36" t="n">
        <v>80</v>
      </c>
      <c r="P241" s="51">
        <f>Arbeitszimmer!$B$3</f>
        <v/>
      </c>
      <c r="Q241" s="27" t="n">
        <v>20</v>
      </c>
      <c r="R241" s="237">
        <f>O241*Q241/100</f>
        <v/>
      </c>
      <c r="S241" s="237">
        <f>P241*R241</f>
        <v/>
      </c>
      <c r="T241" s="208">
        <f>O241*P241</f>
        <v/>
      </c>
      <c r="U241" s="251">
        <f>O241+R241</f>
        <v/>
      </c>
      <c r="V241" s="251">
        <f>T241+S241</f>
        <v/>
      </c>
      <c r="W241" s="35">
        <f>voranmeldefrist_vierteljaehrlich(F241)</f>
        <v/>
      </c>
      <c r="X241" s="35" t="n">
        <v>43134</v>
      </c>
      <c r="Z241" s="210">
        <f>IF(N241=TRUE,T241/K241,T241)</f>
        <v/>
      </c>
      <c r="AA241" s="237">
        <f>Y241/100*V241</f>
        <v/>
      </c>
      <c r="AB241">
        <f>IF(AND(Y241&gt;0,Q241=Y241),TRUE,FALSE)</f>
        <v/>
      </c>
      <c r="AC241">
        <f>Z241&lt;&gt;T241</f>
        <v/>
      </c>
    </row>
    <row r="242">
      <c r="A242" t="n">
        <v>241</v>
      </c>
      <c r="D242" s="9" t="inlineStr">
        <is>
          <t>34013061966/40/2017</t>
        </is>
      </c>
      <c r="E242" s="1" t="n">
        <v>43009</v>
      </c>
      <c r="F242" s="1" t="n">
        <v>43024</v>
      </c>
      <c r="G242" s="1">
        <f>CONCATENATE(H242,": ",J242)</f>
        <v/>
      </c>
      <c r="H242" t="inlineStr">
        <is>
          <t>VERBUND AG, Postfach 8400, 1011 Wien, Österreich</t>
        </is>
      </c>
      <c r="I242" t="inlineStr">
        <is>
          <t>ATU14703908</t>
        </is>
      </c>
      <c r="J242" t="inlineStr">
        <is>
          <t>Teilzahlungsvorschreibung</t>
        </is>
      </c>
      <c r="N242">
        <f>(IF(AND(K242&lt;&gt;"",ABS(T242)&gt;400),TRUE,FALSE))</f>
        <v/>
      </c>
      <c r="O242" s="36" t="n">
        <v>151.67</v>
      </c>
      <c r="P242" s="51">
        <f>Arbeitszimmer!$B$3</f>
        <v/>
      </c>
      <c r="Q242" s="27" t="n">
        <v>20</v>
      </c>
      <c r="R242" s="237">
        <f>O242*Q242/100</f>
        <v/>
      </c>
      <c r="S242" s="237">
        <f>P242*R242</f>
        <v/>
      </c>
      <c r="T242" s="208">
        <f>O242*P242</f>
        <v/>
      </c>
      <c r="U242" s="251">
        <f>O242+R242</f>
        <v/>
      </c>
      <c r="V242" s="251">
        <f>T242+S242</f>
        <v/>
      </c>
      <c r="W242" s="35">
        <f>voranmeldefrist_vierteljaehrlich(F242)</f>
        <v/>
      </c>
      <c r="X242" s="35" t="n">
        <v>43134</v>
      </c>
      <c r="Z242" s="210">
        <f>IF(N242=TRUE,T242/K242,T242)</f>
        <v/>
      </c>
      <c r="AA242" s="237">
        <f>Y242/100*V242</f>
        <v/>
      </c>
      <c r="AB242">
        <f>IF(AND(Y242&gt;0,Q242=Y242),TRUE,FALSE)</f>
        <v/>
      </c>
      <c r="AC242">
        <f>Z242&lt;&gt;T242</f>
        <v/>
      </c>
    </row>
    <row r="243">
      <c r="A243" t="n">
        <v>242</v>
      </c>
      <c r="D243" s="9" t="inlineStr">
        <is>
          <t>2017/8058/14</t>
        </is>
      </c>
      <c r="E243" s="1" t="n">
        <v>42736</v>
      </c>
      <c r="F243" s="1" t="n">
        <v>43033</v>
      </c>
      <c r="G243" s="1">
        <f>CONCATENATE(H243,": ",J243)</f>
        <v/>
      </c>
      <c r="H243" t="inlineStr">
        <is>
          <t>PREMIUM Laudongasse 58 GmbH &amp; Co KG</t>
        </is>
      </c>
      <c r="I243" t="inlineStr">
        <is>
          <t>ATU60795919</t>
        </is>
      </c>
      <c r="J243" t="inlineStr">
        <is>
          <t>Dauerrechnung 2017-D-9</t>
        </is>
      </c>
      <c r="N243">
        <f>(IF(AND(K243&lt;&gt;"",ABS(T243)&gt;400),TRUE,FALSE))</f>
        <v/>
      </c>
      <c r="O243" s="36" t="n">
        <v>801.77</v>
      </c>
      <c r="P243" s="51">
        <f>Arbeitszimmer!$B$3</f>
        <v/>
      </c>
      <c r="Q243" s="27" t="n">
        <v>10</v>
      </c>
      <c r="R243" s="237">
        <f>O243*Q243/100</f>
        <v/>
      </c>
      <c r="S243" s="237">
        <f>P243*R243</f>
        <v/>
      </c>
      <c r="T243" s="208">
        <f>O243*P243</f>
        <v/>
      </c>
      <c r="U243" s="251">
        <f>O243+R243</f>
        <v/>
      </c>
      <c r="V243" s="251">
        <f>T243+S243</f>
        <v/>
      </c>
      <c r="W243" s="35">
        <f>voranmeldefrist_vierteljaehrlich(F243)</f>
        <v/>
      </c>
      <c r="X243" s="35" t="n">
        <v>43134</v>
      </c>
      <c r="Z243" s="210">
        <f>IF(N243=TRUE,T243/K243,T243)</f>
        <v/>
      </c>
      <c r="AA243" s="237">
        <f>Y243/100*V243</f>
        <v/>
      </c>
      <c r="AB243">
        <f>IF(AND(Y243&gt;0,Q243=Y243),TRUE,FALSE)</f>
        <v/>
      </c>
      <c r="AC243">
        <f>Z243&lt;&gt;T243</f>
        <v/>
      </c>
      <c r="AD243" s="38">
        <f>T243*12</f>
        <v/>
      </c>
    </row>
    <row r="244">
      <c r="A244" t="n">
        <v>243</v>
      </c>
      <c r="D244" s="9" t="inlineStr">
        <is>
          <t>RE0518946</t>
        </is>
      </c>
      <c r="E244" s="1" t="n">
        <v>43024</v>
      </c>
      <c r="F244" s="1" t="n">
        <v>43026</v>
      </c>
      <c r="G244" s="1">
        <f>CONCATENATE(H244,": ",J244)</f>
        <v/>
      </c>
      <c r="H244" t="inlineStr">
        <is>
          <t>easyname GmbH, Fernkorngasse 10/3/501, 1110 Wien</t>
        </is>
      </c>
      <c r="I244" t="inlineStr">
        <is>
          <t>ATU68122177</t>
        </is>
      </c>
      <c r="J244" t="inlineStr">
        <is>
          <t>via VISA MJ: Domain: stokol.at</t>
        </is>
      </c>
      <c r="N244">
        <f>(IF(AND(K244&lt;&gt;"",ABS(T244)&gt;400),TRUE,FALSE))</f>
        <v/>
      </c>
      <c r="O244" s="36" t="n">
        <v>12.42</v>
      </c>
      <c r="P244" s="51" t="n">
        <v>1</v>
      </c>
      <c r="Q244" s="27" t="n">
        <v>20</v>
      </c>
      <c r="R244" s="237">
        <f>O244*Q244/100</f>
        <v/>
      </c>
      <c r="S244" s="237">
        <f>P244*R244</f>
        <v/>
      </c>
      <c r="T244" s="208">
        <f>O244*P244</f>
        <v/>
      </c>
      <c r="U244" s="251">
        <f>O244+R244</f>
        <v/>
      </c>
      <c r="V244" s="251">
        <f>T244+S244</f>
        <v/>
      </c>
      <c r="W244" s="35">
        <f>voranmeldefrist_vierteljaehrlich(F244)</f>
        <v/>
      </c>
      <c r="X244" s="35" t="n">
        <v>43134</v>
      </c>
      <c r="Z244" s="210">
        <f>IF(N244=TRUE,T244/K244,T244)</f>
        <v/>
      </c>
      <c r="AA244" s="237">
        <f>Y244/100*V244</f>
        <v/>
      </c>
      <c r="AB244">
        <f>IF(AND(Y244&gt;0,Q244=Y244),TRUE,FALSE)</f>
        <v/>
      </c>
      <c r="AC244">
        <f>Z244&lt;&gt;T244</f>
        <v/>
      </c>
    </row>
    <row r="245">
      <c r="A245" t="n">
        <v>244</v>
      </c>
      <c r="D245" s="6" t="n">
        <v>6144051313</v>
      </c>
      <c r="E245" s="1" t="n">
        <v>43032</v>
      </c>
      <c r="F245" s="1" t="n">
        <v>43045</v>
      </c>
      <c r="G245" s="1">
        <f>CONCATENATE(H245,": ",J245)</f>
        <v/>
      </c>
      <c r="H245" t="inlineStr">
        <is>
          <t>Hutchison Drei Austria GmbH, Brünner Straße 52, 1210 Wien, Österreich</t>
        </is>
      </c>
      <c r="N245">
        <f>(IF(AND(K245&lt;&gt;"",ABS(T245)&gt;400),TRUE,FALSE))</f>
        <v/>
      </c>
      <c r="O245" s="36" t="n">
        <v>15</v>
      </c>
      <c r="P245" s="51" t="n">
        <v>1</v>
      </c>
      <c r="Q245" s="27" t="n">
        <v>20</v>
      </c>
      <c r="R245" s="237">
        <f>O245*Q245/100</f>
        <v/>
      </c>
      <c r="S245" s="237">
        <f>P245*R245</f>
        <v/>
      </c>
      <c r="T245" s="208">
        <f>O245*P245</f>
        <v/>
      </c>
      <c r="U245" s="251">
        <f>O245+R245</f>
        <v/>
      </c>
      <c r="V245" s="251">
        <f>T245+S245</f>
        <v/>
      </c>
      <c r="W245" s="35">
        <f>voranmeldefrist_vierteljaehrlich(F245)</f>
        <v/>
      </c>
      <c r="X245" s="35" t="n">
        <v>43134</v>
      </c>
      <c r="Z245" s="210">
        <f>IF(N245=TRUE,T245/K245,T245)</f>
        <v/>
      </c>
      <c r="AA245" s="237">
        <f>Y245/100*V245</f>
        <v/>
      </c>
      <c r="AB245">
        <f>IF(AND(Y245&gt;0,Q245=Y245),TRUE,FALSE)</f>
        <v/>
      </c>
      <c r="AC245">
        <f>Z245&lt;&gt;T245</f>
        <v/>
      </c>
    </row>
    <row r="246">
      <c r="A246" t="n">
        <v>245</v>
      </c>
      <c r="D246" s="9" t="inlineStr">
        <is>
          <t>2017-101</t>
        </is>
      </c>
      <c r="E246" s="1" t="n">
        <v>43028</v>
      </c>
      <c r="F246" s="1" t="n">
        <v>43054</v>
      </c>
      <c r="G246" s="1">
        <f>CONCATENATE(H246,": ",J246)</f>
        <v/>
      </c>
      <c r="H246" t="inlineStr">
        <is>
          <t>Mag. Barbara Hube, Huber Unternehmensberatung, 1210, Mühlschüttelgasse 59/2/9</t>
        </is>
      </c>
      <c r="I246" t="inlineStr">
        <is>
          <t>ATU63980589</t>
        </is>
      </c>
      <c r="J246" t="inlineStr">
        <is>
          <t>UB gefördert Art.Nr. 23</t>
        </is>
      </c>
      <c r="N246">
        <f>(IF(AND(K246&lt;&gt;"",ABS(T246)&gt;400),TRUE,FALSE))</f>
        <v/>
      </c>
      <c r="O246" s="36">
        <f>936/1.2</f>
        <v/>
      </c>
      <c r="P246" s="51" t="n">
        <v>1</v>
      </c>
      <c r="Q246" s="27" t="n">
        <v>20</v>
      </c>
      <c r="R246" s="237">
        <f>Q246%*O246</f>
        <v/>
      </c>
      <c r="S246" s="237">
        <f>P246*R246</f>
        <v/>
      </c>
      <c r="T246" s="208">
        <f>O246*P246</f>
        <v/>
      </c>
      <c r="U246" s="251">
        <f>O246+R246</f>
        <v/>
      </c>
      <c r="V246" s="251">
        <f>T246+S246</f>
        <v/>
      </c>
      <c r="W246" s="35">
        <f>voranmeldefrist_vierteljaehrlich(F246)</f>
        <v/>
      </c>
      <c r="X246" s="35" t="n">
        <v>43134</v>
      </c>
      <c r="Z246" s="210">
        <f>IF(N246=TRUE,T246/K246,T246)</f>
        <v/>
      </c>
      <c r="AA246" s="237">
        <f>Y246/100*V246</f>
        <v/>
      </c>
      <c r="AB246">
        <f>IF(AND(Y246&gt;0,Q246=Y246),TRUE,FALSE)</f>
        <v/>
      </c>
      <c r="AC246">
        <f>Z246&lt;&gt;T246</f>
        <v/>
      </c>
    </row>
    <row r="247">
      <c r="A247" t="n">
        <v>245</v>
      </c>
      <c r="D247" s="9" t="inlineStr">
        <is>
          <t>2017-101</t>
        </is>
      </c>
      <c r="E247" s="1" t="n"/>
      <c r="F247" s="1" t="n">
        <v>43054</v>
      </c>
      <c r="G247" s="1" t="inlineStr">
        <is>
          <t>Mag. Barbara Hube, Huber Unternehmensberatung, 1210, Mühlschüttelgasse 59/2/9: UB gefördert Art.Nr. 23</t>
        </is>
      </c>
      <c r="N247">
        <f>(IF(AND(K247&lt;&gt;"",ABS(T247)&gt;400),TRUE,FALSE))</f>
        <v/>
      </c>
      <c r="O247" s="36" t="n">
        <v>-585</v>
      </c>
      <c r="P247" s="51" t="n">
        <v>1</v>
      </c>
      <c r="Q247" s="27" t="n">
        <v>0</v>
      </c>
      <c r="R247" s="237">
        <f>Q247%*O247</f>
        <v/>
      </c>
      <c r="S247" s="237">
        <f>P247*R247</f>
        <v/>
      </c>
      <c r="T247" s="208">
        <f>O247*P247</f>
        <v/>
      </c>
      <c r="U247" s="251">
        <f>O247+R247</f>
        <v/>
      </c>
      <c r="V247" s="251">
        <f>T247+S247</f>
        <v/>
      </c>
      <c r="W247" s="35">
        <f>voranmeldefrist_vierteljaehrlich(F247)</f>
        <v/>
      </c>
      <c r="X247" s="35" t="n">
        <v>43134</v>
      </c>
      <c r="Z247" s="210">
        <f>IF(N247=TRUE,T247/K247,T247)</f>
        <v/>
      </c>
      <c r="AA247" s="237">
        <f>Y247/100*V247</f>
        <v/>
      </c>
      <c r="AB247">
        <f>IF(AND(Y247&gt;0,Q247=Y247),TRUE,FALSE)</f>
        <v/>
      </c>
      <c r="AC247">
        <f>Z247&lt;&gt;T247</f>
        <v/>
      </c>
    </row>
    <row r="248">
      <c r="A248" t="n">
        <v>246</v>
      </c>
      <c r="D248" s="9" t="inlineStr">
        <is>
          <t>14002325371/40/2017</t>
        </is>
      </c>
      <c r="E248" s="1" t="n">
        <v>43040</v>
      </c>
      <c r="F248" s="1" t="n">
        <v>43054</v>
      </c>
      <c r="G248" s="1">
        <f>CONCATENATE(H248,": ",J248)</f>
        <v/>
      </c>
      <c r="H248" t="inlineStr">
        <is>
          <t>MONTANA Energie-Handel AT GmbH</t>
        </is>
      </c>
      <c r="J248" t="inlineStr">
        <is>
          <t>Teilzahlungsbetrag Gas</t>
        </is>
      </c>
      <c r="N248">
        <f>(IF(AND(K248&lt;&gt;"",ABS(T248)&gt;400),TRUE,FALSE))</f>
        <v/>
      </c>
      <c r="O248" s="36" t="n">
        <v>115.1</v>
      </c>
      <c r="P248" s="51">
        <f>Arbeitszimmer!$B$3</f>
        <v/>
      </c>
      <c r="Q248" s="27" t="n">
        <v>20</v>
      </c>
      <c r="R248" s="237">
        <f>O248*Q248/100</f>
        <v/>
      </c>
      <c r="S248" s="237">
        <f>P248*R248</f>
        <v/>
      </c>
      <c r="T248" s="208">
        <f>O248*P248</f>
        <v/>
      </c>
      <c r="U248" s="251">
        <f>O248+R248</f>
        <v/>
      </c>
      <c r="V248" s="251">
        <f>T248+S248</f>
        <v/>
      </c>
      <c r="W248" s="35">
        <f>voranmeldefrist_vierteljaehrlich(F248)</f>
        <v/>
      </c>
      <c r="X248" s="35" t="n">
        <v>43134</v>
      </c>
      <c r="Z248" s="210">
        <f>IF(N248=TRUE,T248/K248,T248)</f>
        <v/>
      </c>
      <c r="AA248" s="237">
        <f>Y248/100*V248</f>
        <v/>
      </c>
      <c r="AB248">
        <f>IF(AND(Y248&gt;0,Q248=Y248),TRUE,FALSE)</f>
        <v/>
      </c>
      <c r="AC248">
        <f>Z248&lt;&gt;T248</f>
        <v/>
      </c>
    </row>
    <row r="249">
      <c r="A249" t="n">
        <v>247</v>
      </c>
      <c r="D249" s="9" t="inlineStr">
        <is>
          <t>650398</t>
        </is>
      </c>
      <c r="E249" s="1" t="n">
        <v>43056</v>
      </c>
      <c r="F249" s="1" t="n">
        <v>43055</v>
      </c>
      <c r="G249" s="1">
        <f>CONCATENATE(H249,": ",J249)</f>
        <v/>
      </c>
      <c r="H249" t="inlineStr">
        <is>
          <t>Lemon Technologies GmbH</t>
        </is>
      </c>
      <c r="I249" t="inlineStr">
        <is>
          <t>ATU65194167</t>
        </is>
      </c>
      <c r="J249" t="inlineStr">
        <is>
          <t>Dock, 8GB RAM, ThinkServer TS-150</t>
        </is>
      </c>
      <c r="M249" s="36" t="inlineStr">
        <is>
          <t>Weiterverkauf</t>
        </is>
      </c>
      <c r="N249" t="b">
        <v>0</v>
      </c>
      <c r="O249" s="36" t="n">
        <v>828.4400000000001</v>
      </c>
      <c r="P249" s="51" t="n">
        <v>1</v>
      </c>
      <c r="Q249" s="27" t="n">
        <v>20</v>
      </c>
      <c r="R249" s="237">
        <f>O249*Q249/100</f>
        <v/>
      </c>
      <c r="S249" s="237">
        <f>P249*R249</f>
        <v/>
      </c>
      <c r="T249" s="208">
        <f>O249*P249</f>
        <v/>
      </c>
      <c r="U249" s="251">
        <f>O249+R249</f>
        <v/>
      </c>
      <c r="V249" s="251">
        <f>T249+S249</f>
        <v/>
      </c>
      <c r="W249" s="35">
        <f>voranmeldefrist_vierteljaehrlich(F249)</f>
        <v/>
      </c>
      <c r="X249" s="35" t="n">
        <v>43134</v>
      </c>
      <c r="Z249" s="210">
        <f>IF(N249=TRUE,T249/M249,T249)</f>
        <v/>
      </c>
      <c r="AA249" s="237">
        <f>Y249/100*V249</f>
        <v/>
      </c>
      <c r="AB249">
        <f>IF(AND(Y249&gt;0,Q249=Y249),TRUE,FALSE)</f>
        <v/>
      </c>
      <c r="AC249">
        <f>Z249&lt;&gt;T249</f>
        <v/>
      </c>
    </row>
    <row r="250">
      <c r="A250" t="n">
        <v>248</v>
      </c>
      <c r="D250" s="9" t="inlineStr">
        <is>
          <t>AEU-INV-AT-2017-16243160</t>
        </is>
      </c>
      <c r="E250" s="1" t="n">
        <v>43053</v>
      </c>
      <c r="F250" s="1" t="n">
        <v>43056</v>
      </c>
      <c r="G250" s="1">
        <f>CONCATENATE(H250,": ",J250)</f>
        <v/>
      </c>
      <c r="H250" t="inlineStr">
        <is>
          <t>Amazon EU Sàrl, 5 Rue Plaetis, L-2338, Luxemburg</t>
        </is>
      </c>
      <c r="I250" t="inlineStr">
        <is>
          <t>ATU62353134</t>
        </is>
      </c>
      <c r="J250" t="inlineStr">
        <is>
          <t>LG 27BK550Y-B</t>
        </is>
      </c>
      <c r="M250" s="36" t="inlineStr">
        <is>
          <t>Weiterverkauf</t>
        </is>
      </c>
      <c r="N250" t="b">
        <v>0</v>
      </c>
      <c r="O250" s="36" t="n">
        <v>208.25</v>
      </c>
      <c r="P250" s="51" t="n">
        <v>1</v>
      </c>
      <c r="Q250" s="27" t="n">
        <v>20</v>
      </c>
      <c r="R250" s="237">
        <f>O250*Q250/100</f>
        <v/>
      </c>
      <c r="S250" s="237">
        <f>P250*R250</f>
        <v/>
      </c>
      <c r="T250" s="208">
        <f>O250*P250</f>
        <v/>
      </c>
      <c r="U250" s="251">
        <f>O250+R250</f>
        <v/>
      </c>
      <c r="V250" s="251">
        <f>T250+S250</f>
        <v/>
      </c>
      <c r="W250" s="35">
        <f>voranmeldefrist_vierteljaehrlich(F250)</f>
        <v/>
      </c>
      <c r="X250" s="35" t="n">
        <v>43134</v>
      </c>
      <c r="Z250" s="210">
        <f>IF(N250=TRUE,T250/M250,T250)</f>
        <v/>
      </c>
      <c r="AA250" s="237">
        <f>Y250/100*V250</f>
        <v/>
      </c>
      <c r="AB250">
        <f>IF(AND(Y250&gt;0,Q250=Y250),TRUE,FALSE)</f>
        <v/>
      </c>
      <c r="AC250">
        <f>Z250&lt;&gt;T250</f>
        <v/>
      </c>
    </row>
    <row r="251">
      <c r="A251" t="n">
        <v>249</v>
      </c>
      <c r="D251" s="9" t="inlineStr">
        <is>
          <t>AEU-INV-AT-2017-16231379</t>
        </is>
      </c>
      <c r="E251" s="1" t="n">
        <v>43053</v>
      </c>
      <c r="F251" s="1" t="n">
        <v>43056</v>
      </c>
      <c r="G251" s="1">
        <f>CONCATENATE(H251,": ",J251)</f>
        <v/>
      </c>
      <c r="H251" t="inlineStr">
        <is>
          <t>Amazon EU Sàrl, 5 Rue Plaetis, L-2338, Luxemburg</t>
        </is>
      </c>
      <c r="I251" t="inlineStr">
        <is>
          <t>ATU62353134</t>
        </is>
      </c>
      <c r="J251" t="inlineStr">
        <is>
          <t>LG 27BK550Y-B</t>
        </is>
      </c>
      <c r="M251" s="36" t="inlineStr">
        <is>
          <t>Weiterverkauf</t>
        </is>
      </c>
      <c r="N251" t="b">
        <v>0</v>
      </c>
      <c r="O251" s="36" t="n">
        <v>208.25</v>
      </c>
      <c r="P251" s="51" t="n">
        <v>1</v>
      </c>
      <c r="Q251" s="27" t="n">
        <v>20</v>
      </c>
      <c r="R251" s="237">
        <f>O251*Q251/100</f>
        <v/>
      </c>
      <c r="S251" s="237">
        <f>P251*R251</f>
        <v/>
      </c>
      <c r="T251" s="208">
        <f>O251*P251</f>
        <v/>
      </c>
      <c r="U251" s="251">
        <f>O251+R251</f>
        <v/>
      </c>
      <c r="V251" s="251">
        <f>T251+S251</f>
        <v/>
      </c>
      <c r="W251" s="35">
        <f>voranmeldefrist_vierteljaehrlich(F251)</f>
        <v/>
      </c>
      <c r="X251" s="35" t="n">
        <v>43134</v>
      </c>
      <c r="Z251" s="210">
        <f>IF(N251=TRUE,T251/M251,T251)</f>
        <v/>
      </c>
      <c r="AA251" s="237">
        <f>Y251/100*V251</f>
        <v/>
      </c>
      <c r="AB251">
        <f>IF(AND(Y251&gt;0,Q251=Y251),TRUE,FALSE)</f>
        <v/>
      </c>
      <c r="AC251">
        <f>Z251&lt;&gt;T251</f>
        <v/>
      </c>
    </row>
    <row r="252">
      <c r="A252" t="n">
        <v>250</v>
      </c>
      <c r="D252" s="9" t="inlineStr">
        <is>
          <t>AEU-INV-AT-2017-16363411</t>
        </is>
      </c>
      <c r="E252" s="1" t="n">
        <v>43054</v>
      </c>
      <c r="F252" s="1" t="n">
        <v>43056</v>
      </c>
      <c r="G252" s="1">
        <f>CONCATENATE(H252,": ",J252)</f>
        <v/>
      </c>
      <c r="H252" t="inlineStr">
        <is>
          <t>Amazon EU Sàrl, 5 Rue Plaetis, L-2338, Luxemburg</t>
        </is>
      </c>
      <c r="I252" t="inlineStr">
        <is>
          <t>ATU62353134</t>
        </is>
      </c>
      <c r="J252" t="inlineStr">
        <is>
          <t>Switch, AP</t>
        </is>
      </c>
      <c r="M252" s="36" t="inlineStr">
        <is>
          <t>Weiterverkauf</t>
        </is>
      </c>
      <c r="N252" t="b">
        <v>0</v>
      </c>
      <c r="O252" s="36" t="n">
        <v>229.06</v>
      </c>
      <c r="P252" s="51" t="n">
        <v>1</v>
      </c>
      <c r="Q252" s="27" t="n">
        <v>20</v>
      </c>
      <c r="R252" s="237">
        <f>O252*Q252/100</f>
        <v/>
      </c>
      <c r="S252" s="237">
        <f>P252*R252</f>
        <v/>
      </c>
      <c r="T252" s="208">
        <f>O252*P252</f>
        <v/>
      </c>
      <c r="U252" s="251">
        <f>O252+R252</f>
        <v/>
      </c>
      <c r="V252" s="251">
        <f>T252+S252</f>
        <v/>
      </c>
      <c r="W252" s="35">
        <f>voranmeldefrist_vierteljaehrlich(F252)</f>
        <v/>
      </c>
      <c r="X252" s="35" t="n">
        <v>43134</v>
      </c>
      <c r="Z252" s="210">
        <f>IF(N252=TRUE,T252/M252,T252)</f>
        <v/>
      </c>
      <c r="AA252" s="237">
        <f>Y252/100*V252</f>
        <v/>
      </c>
      <c r="AB252">
        <f>IF(AND(Y252&gt;0,Q252=Y252),TRUE,FALSE)</f>
        <v/>
      </c>
      <c r="AC252">
        <f>Z252&lt;&gt;T252</f>
        <v/>
      </c>
    </row>
    <row r="253">
      <c r="A253" t="n">
        <v>251</v>
      </c>
      <c r="D253" s="9" t="inlineStr">
        <is>
          <t>AEU-INV-AT-2017-16236859</t>
        </is>
      </c>
      <c r="E253" s="1" t="n">
        <v>43053</v>
      </c>
      <c r="F253" s="1" t="n">
        <v>43059</v>
      </c>
      <c r="G253" s="1">
        <f>CONCATENATE(H253,": ",J253)</f>
        <v/>
      </c>
      <c r="H253" t="inlineStr">
        <is>
          <t>Amazon EU Sàrl, 5 Rue Plaetis, L-2338, Luxemburg</t>
        </is>
      </c>
      <c r="I253" t="inlineStr">
        <is>
          <t>ATU62353134</t>
        </is>
      </c>
      <c r="J253" t="inlineStr">
        <is>
          <t>LG 27BK550Y-B</t>
        </is>
      </c>
      <c r="M253" s="36" t="inlineStr">
        <is>
          <t>Weiterverkauf</t>
        </is>
      </c>
      <c r="N253" t="b">
        <v>0</v>
      </c>
      <c r="O253" s="36" t="n">
        <v>208.25</v>
      </c>
      <c r="P253" s="51" t="n">
        <v>1</v>
      </c>
      <c r="Q253" s="27" t="n">
        <v>20</v>
      </c>
      <c r="R253" s="237">
        <f>O253*Q253/100</f>
        <v/>
      </c>
      <c r="S253" s="237">
        <f>P253*R253</f>
        <v/>
      </c>
      <c r="T253" s="208">
        <f>O253*P253</f>
        <v/>
      </c>
      <c r="U253" s="251">
        <f>O253+R253</f>
        <v/>
      </c>
      <c r="V253" s="251">
        <f>T253+S253</f>
        <v/>
      </c>
      <c r="W253" s="35">
        <f>voranmeldefrist_vierteljaehrlich(F253)</f>
        <v/>
      </c>
      <c r="X253" s="35" t="n">
        <v>43134</v>
      </c>
      <c r="Z253" s="210">
        <f>IF(N253=TRUE,T253/M253,T253)</f>
        <v/>
      </c>
      <c r="AA253" s="237">
        <f>Y253/100*V253</f>
        <v/>
      </c>
      <c r="AB253">
        <f>IF(AND(Y253&gt;0,Q253=Y253),TRUE,FALSE)</f>
        <v/>
      </c>
      <c r="AC253">
        <f>Z253&lt;&gt;T253</f>
        <v/>
      </c>
    </row>
    <row r="254">
      <c r="A254" t="n">
        <v>252</v>
      </c>
      <c r="D254" s="9" t="inlineStr">
        <is>
          <t>AEU-INV-AT-2017-16329348</t>
        </is>
      </c>
      <c r="E254" s="1" t="n">
        <v>43053</v>
      </c>
      <c r="F254" s="1" t="n">
        <v>43059</v>
      </c>
      <c r="G254" s="1">
        <f>CONCATENATE(H254,": ",J254)</f>
        <v/>
      </c>
      <c r="H254" t="inlineStr">
        <is>
          <t>Amazon EU Sàrl, 5 Rue Plaetis, L-2338, Luxemburg</t>
        </is>
      </c>
      <c r="I254" t="inlineStr">
        <is>
          <t>ATU62353134</t>
        </is>
      </c>
      <c r="J254" t="inlineStr">
        <is>
          <t>Lenovo ideacentre Y700</t>
        </is>
      </c>
      <c r="M254" s="36" t="inlineStr">
        <is>
          <t>Weiterverkauf</t>
        </is>
      </c>
      <c r="N254" t="b">
        <v>0</v>
      </c>
      <c r="O254" s="36" t="n">
        <v>1511.77</v>
      </c>
      <c r="P254" s="51" t="n">
        <v>1</v>
      </c>
      <c r="Q254" s="27" t="n">
        <v>20</v>
      </c>
      <c r="R254" s="237">
        <f>O254*Q254/100</f>
        <v/>
      </c>
      <c r="S254" s="237">
        <f>P254*R254</f>
        <v/>
      </c>
      <c r="T254" s="208">
        <f>O254*P254</f>
        <v/>
      </c>
      <c r="U254" s="251">
        <f>O254+R254</f>
        <v/>
      </c>
      <c r="V254" s="251">
        <f>T254+S254</f>
        <v/>
      </c>
      <c r="W254" s="35">
        <f>voranmeldefrist_vierteljaehrlich(F254)</f>
        <v/>
      </c>
      <c r="X254" s="35" t="n">
        <v>43134</v>
      </c>
      <c r="Z254" s="210">
        <f>IF(N254=TRUE,T254/M254,T254)</f>
        <v/>
      </c>
      <c r="AA254" s="237">
        <f>Y254/100*V254</f>
        <v/>
      </c>
      <c r="AB254">
        <f>IF(AND(Y254&gt;0,Q254=Y254),TRUE,FALSE)</f>
        <v/>
      </c>
      <c r="AC254">
        <f>Z254&lt;&gt;T254</f>
        <v/>
      </c>
    </row>
    <row r="255">
      <c r="A255" t="n">
        <v>253</v>
      </c>
      <c r="D255" s="9" t="inlineStr">
        <is>
          <t>650802</t>
        </is>
      </c>
      <c r="E255" s="1" t="n">
        <v>43056</v>
      </c>
      <c r="F255" s="1" t="n">
        <v>43055</v>
      </c>
      <c r="G255" s="1">
        <f>CONCATENATE(H255,": ",J255)</f>
        <v/>
      </c>
      <c r="H255" t="inlineStr">
        <is>
          <t>Lemon Technologies GmbH</t>
        </is>
      </c>
      <c r="I255" t="inlineStr">
        <is>
          <t>ATU65194167</t>
        </is>
      </c>
      <c r="J255" t="inlineStr">
        <is>
          <t>Office, Win16Svr</t>
        </is>
      </c>
      <c r="M255" s="36" t="inlineStr">
        <is>
          <t>Weiterverkauf</t>
        </is>
      </c>
      <c r="N255" t="b">
        <v>0</v>
      </c>
      <c r="O255" s="36" t="n">
        <v>464.31</v>
      </c>
      <c r="P255" s="51" t="n">
        <v>1</v>
      </c>
      <c r="Q255" s="27" t="n">
        <v>20</v>
      </c>
      <c r="R255" s="237">
        <f>O255*Q255/100</f>
        <v/>
      </c>
      <c r="S255" s="237">
        <f>P255*R255</f>
        <v/>
      </c>
      <c r="T255" s="208">
        <f>O255*P255</f>
        <v/>
      </c>
      <c r="U255" s="251">
        <f>O255+R255</f>
        <v/>
      </c>
      <c r="V255" s="251">
        <f>T255+S255</f>
        <v/>
      </c>
      <c r="W255" s="35">
        <f>voranmeldefrist_vierteljaehrlich(F255)</f>
        <v/>
      </c>
      <c r="X255" s="35" t="n">
        <v>43134</v>
      </c>
      <c r="Z255" s="210">
        <f>IF(N255=TRUE,T255/M255,T255)</f>
        <v/>
      </c>
      <c r="AA255" s="237">
        <f>Y255/100*V255</f>
        <v/>
      </c>
      <c r="AB255">
        <f>IF(AND(Y255&gt;0,Q255=Y255),TRUE,FALSE)</f>
        <v/>
      </c>
      <c r="AC255">
        <f>Z255&lt;&gt;T255</f>
        <v/>
      </c>
    </row>
    <row r="256">
      <c r="A256" t="n">
        <v>254</v>
      </c>
      <c r="D256" s="9" t="inlineStr">
        <is>
          <t>AEU-INV-AT-2017-16575031</t>
        </is>
      </c>
      <c r="E256" s="1" t="n">
        <v>43056</v>
      </c>
      <c r="F256" s="1" t="n">
        <v>43059</v>
      </c>
      <c r="G256" s="1">
        <f>CONCATENATE(H256,": ",J256)</f>
        <v/>
      </c>
      <c r="H256" t="inlineStr">
        <is>
          <t>Amazon EU Sàrl, 5 Rue Plaetis, L-2338, Luxemburg</t>
        </is>
      </c>
      <c r="I256" t="inlineStr">
        <is>
          <t>ATU62353134</t>
        </is>
      </c>
      <c r="J256" t="inlineStr">
        <is>
          <t>APC Back UPS Pro USV 900VA</t>
        </is>
      </c>
      <c r="M256" s="36" t="inlineStr">
        <is>
          <t>Weiterverkauf</t>
        </is>
      </c>
      <c r="N256" t="b">
        <v>0</v>
      </c>
      <c r="O256" s="36" t="n">
        <v>150.42</v>
      </c>
      <c r="P256" s="51" t="n">
        <v>1</v>
      </c>
      <c r="Q256" s="27" t="n">
        <v>20</v>
      </c>
      <c r="R256" s="237">
        <f>O256*Q256/100</f>
        <v/>
      </c>
      <c r="S256" s="237">
        <f>P256*R256</f>
        <v/>
      </c>
      <c r="T256" s="208">
        <f>O256*P256</f>
        <v/>
      </c>
      <c r="U256" s="251">
        <f>O256+R256</f>
        <v/>
      </c>
      <c r="V256" s="251">
        <f>T256+S256</f>
        <v/>
      </c>
      <c r="W256" s="35">
        <f>voranmeldefrist_vierteljaehrlich(F256)</f>
        <v/>
      </c>
      <c r="X256" s="35" t="n">
        <v>43134</v>
      </c>
      <c r="Z256" s="210">
        <f>IF(N256=TRUE,T256/M256,T256)</f>
        <v/>
      </c>
      <c r="AA256" s="237">
        <f>Y256/100*V256</f>
        <v/>
      </c>
      <c r="AB256">
        <f>IF(AND(Y256&gt;0,Q256=Y256),TRUE,FALSE)</f>
        <v/>
      </c>
      <c r="AC256">
        <f>Z256&lt;&gt;T256</f>
        <v/>
      </c>
    </row>
    <row r="257">
      <c r="A257" t="n">
        <v>255</v>
      </c>
      <c r="D257" s="9" t="inlineStr">
        <is>
          <t>AEU-INV-AT-2017-16221562</t>
        </is>
      </c>
      <c r="E257" s="1" t="n">
        <v>43052</v>
      </c>
      <c r="F257" s="1" t="n">
        <v>43059</v>
      </c>
      <c r="G257" s="1">
        <f>CONCATENATE(H257,": ",J257)</f>
        <v/>
      </c>
      <c r="H257" t="inlineStr">
        <is>
          <t>Amazon EU Sàrl, 5 Rue Plaetis, L-2338, Luxemburg</t>
        </is>
      </c>
      <c r="I257" t="inlineStr">
        <is>
          <t>ATU62353134</t>
        </is>
      </c>
      <c r="J257" t="inlineStr">
        <is>
          <t>Acer G246HYLbid 23,8 Zoll</t>
        </is>
      </c>
      <c r="M257" s="36" t="inlineStr">
        <is>
          <t>Weiterverkauf</t>
        </is>
      </c>
      <c r="N257" t="b">
        <v>0</v>
      </c>
      <c r="O257" s="36" t="n">
        <v>108.19</v>
      </c>
      <c r="P257" s="51" t="n">
        <v>1</v>
      </c>
      <c r="Q257" s="27" t="n">
        <v>20</v>
      </c>
      <c r="R257" s="237">
        <f>O257*Q257/100</f>
        <v/>
      </c>
      <c r="S257" s="237">
        <f>P257*R257</f>
        <v/>
      </c>
      <c r="T257" s="208">
        <f>O257*P257</f>
        <v/>
      </c>
      <c r="U257" s="251">
        <f>O257+R257</f>
        <v/>
      </c>
      <c r="V257" s="251">
        <f>T257+S257</f>
        <v/>
      </c>
      <c r="W257" s="35">
        <f>voranmeldefrist_vierteljaehrlich(F257)</f>
        <v/>
      </c>
      <c r="X257" s="35" t="n">
        <v>43134</v>
      </c>
      <c r="Z257" s="210">
        <f>IF(N257=TRUE,T257/M257,T257)</f>
        <v/>
      </c>
      <c r="AA257" s="237">
        <f>Y257/100*V257</f>
        <v/>
      </c>
      <c r="AB257">
        <f>IF(AND(Y257&gt;0,Q257=Y257),TRUE,FALSE)</f>
        <v/>
      </c>
      <c r="AC257">
        <f>Z257&lt;&gt;T257</f>
        <v/>
      </c>
    </row>
    <row r="258">
      <c r="A258" t="n">
        <v>256</v>
      </c>
      <c r="D258" s="9" t="inlineStr">
        <is>
          <t>INV-AT-105173521-2017-37295</t>
        </is>
      </c>
      <c r="E258" s="1" t="n">
        <v>43057</v>
      </c>
      <c r="F258" s="1" t="n">
        <v>43059</v>
      </c>
      <c r="G258" s="1">
        <f>CONCATENATE(H258,": ",J258)</f>
        <v/>
      </c>
      <c r="H258" t="inlineStr">
        <is>
          <t>Ganz Einfach GmbH, Wohlenbergstr 16, Hannover, 30179 DE</t>
        </is>
      </c>
      <c r="I258" t="inlineStr">
        <is>
          <t>ATU72593712</t>
        </is>
      </c>
      <c r="J258" t="inlineStr">
        <is>
          <t>3 7,5m HDMI 3f. geschirmt</t>
        </is>
      </c>
      <c r="M258" s="36" t="inlineStr">
        <is>
          <t>Weiterverkauf</t>
        </is>
      </c>
      <c r="N258" t="b">
        <v>0</v>
      </c>
      <c r="O258" s="36" t="n">
        <v>30.24</v>
      </c>
      <c r="P258" s="51" t="n">
        <v>1</v>
      </c>
      <c r="Q258" s="27" t="n">
        <v>20</v>
      </c>
      <c r="R258" s="237">
        <f>O258*Q258/100</f>
        <v/>
      </c>
      <c r="S258" s="237">
        <f>P258*R258</f>
        <v/>
      </c>
      <c r="T258" s="208">
        <f>O258*P258</f>
        <v/>
      </c>
      <c r="U258" s="251">
        <f>O258+R258</f>
        <v/>
      </c>
      <c r="V258" s="251">
        <f>T258+S258</f>
        <v/>
      </c>
      <c r="W258" s="35">
        <f>voranmeldefrist_vierteljaehrlich(F258)</f>
        <v/>
      </c>
      <c r="X258" s="35" t="n">
        <v>43134</v>
      </c>
      <c r="Z258" s="210">
        <f>IF(N258=TRUE,T258/M258,T258)</f>
        <v/>
      </c>
      <c r="AA258" s="237">
        <f>Y258/100*V258</f>
        <v/>
      </c>
      <c r="AB258">
        <f>IF(AND(Y258&gt;0,Q258=Y258),TRUE,FALSE)</f>
        <v/>
      </c>
      <c r="AC258">
        <f>Z258&lt;&gt;T258</f>
        <v/>
      </c>
    </row>
    <row r="259">
      <c r="A259" t="n">
        <v>257</v>
      </c>
      <c r="D259" s="9" t="inlineStr">
        <is>
          <t>40048218</t>
        </is>
      </c>
      <c r="E259" s="1" t="n">
        <v>43063</v>
      </c>
      <c r="F259" s="1" t="n">
        <v>43059</v>
      </c>
      <c r="G259" s="1">
        <f>CONCATENATE(H259,": ",J259)</f>
        <v/>
      </c>
      <c r="H259" t="inlineStr">
        <is>
          <t>E.Alt KG, MTS-Shop.eu, 1140 Wien, Mühlbergstrasse 18</t>
        </is>
      </c>
      <c r="I259" t="inlineStr">
        <is>
          <t>ATU47951202</t>
        </is>
      </c>
      <c r="J259" t="inlineStr">
        <is>
          <t>IPCam, TV-Wandhalterung</t>
        </is>
      </c>
      <c r="M259" s="36" t="inlineStr">
        <is>
          <t>Weiterverkauf</t>
        </is>
      </c>
      <c r="N259" t="b">
        <v>0</v>
      </c>
      <c r="O259" s="36" t="n">
        <v>197.97</v>
      </c>
      <c r="P259" s="51" t="n">
        <v>1</v>
      </c>
      <c r="Q259" s="27" t="n">
        <v>20</v>
      </c>
      <c r="R259" s="237">
        <f>O259*Q259/100</f>
        <v/>
      </c>
      <c r="S259" s="237">
        <f>P259*R259</f>
        <v/>
      </c>
      <c r="T259" s="208">
        <f>O259*P259</f>
        <v/>
      </c>
      <c r="U259" s="251">
        <f>O259+R259</f>
        <v/>
      </c>
      <c r="V259" s="251">
        <f>T259+S259</f>
        <v/>
      </c>
      <c r="W259" s="35">
        <f>voranmeldefrist_vierteljaehrlich(F259)</f>
        <v/>
      </c>
      <c r="X259" s="35" t="n">
        <v>43134</v>
      </c>
      <c r="Z259" s="210">
        <f>IF(N259=TRUE,T259/M259,T259)</f>
        <v/>
      </c>
      <c r="AA259" s="237">
        <f>Y259/100*V259</f>
        <v/>
      </c>
      <c r="AB259">
        <f>IF(AND(Y259&gt;0,Q259=Y259),TRUE,FALSE)</f>
        <v/>
      </c>
      <c r="AC259">
        <f>Z259&lt;&gt;T259</f>
        <v/>
      </c>
    </row>
    <row r="260">
      <c r="A260" t="n">
        <v>258</v>
      </c>
      <c r="D260" s="9" t="inlineStr">
        <is>
          <t>AEU-INV-AT-2017-16695382</t>
        </is>
      </c>
      <c r="E260" s="1" t="n">
        <v>43057</v>
      </c>
      <c r="F260" s="1" t="n">
        <v>43060</v>
      </c>
      <c r="G260" s="1">
        <f>CONCATENATE(H260,": ",J260)</f>
        <v/>
      </c>
      <c r="H260" t="inlineStr">
        <is>
          <t>Amazon EU Sàrl, 5 Rue Plaetis, L-2338, Luxemburg</t>
        </is>
      </c>
      <c r="I260" t="inlineStr">
        <is>
          <t>ATU62353134</t>
        </is>
      </c>
      <c r="J260" t="inlineStr">
        <is>
          <t>Sony DVP-SR760HB</t>
        </is>
      </c>
      <c r="M260" s="36" t="inlineStr">
        <is>
          <t>Weiterverkauf</t>
        </is>
      </c>
      <c r="N260" t="b">
        <v>0</v>
      </c>
      <c r="O260" s="36" t="n">
        <v>40.32</v>
      </c>
      <c r="P260" s="51" t="n">
        <v>1</v>
      </c>
      <c r="Q260" s="27" t="n">
        <v>20</v>
      </c>
      <c r="R260" s="237">
        <f>O260*Q260/100</f>
        <v/>
      </c>
      <c r="S260" s="237">
        <f>P260*R260</f>
        <v/>
      </c>
      <c r="T260" s="208">
        <f>O260*P260</f>
        <v/>
      </c>
      <c r="U260" s="251">
        <f>O260+R260</f>
        <v/>
      </c>
      <c r="V260" s="251">
        <f>T260+S260</f>
        <v/>
      </c>
      <c r="W260" s="35">
        <f>voranmeldefrist_vierteljaehrlich(F260)</f>
        <v/>
      </c>
      <c r="X260" s="35" t="n">
        <v>43134</v>
      </c>
      <c r="Z260" s="210">
        <f>IF(N260=TRUE,T260/M260,T260)</f>
        <v/>
      </c>
      <c r="AA260" s="237">
        <f>Y260/100*V260</f>
        <v/>
      </c>
      <c r="AB260">
        <f>IF(AND(Y260&gt;0,Q260=Y260),TRUE,FALSE)</f>
        <v/>
      </c>
      <c r="AC260">
        <f>Z260&lt;&gt;T260</f>
        <v/>
      </c>
    </row>
    <row r="261">
      <c r="A261" t="n">
        <v>259</v>
      </c>
      <c r="D261" s="9" t="inlineStr">
        <is>
          <t>AEU-INV-AT-2017-16695368</t>
        </is>
      </c>
      <c r="E261" s="1" t="n">
        <v>43057</v>
      </c>
      <c r="F261" s="1" t="n">
        <v>43060</v>
      </c>
      <c r="G261" s="1">
        <f>CONCATENATE(H261,": ",J261)</f>
        <v/>
      </c>
      <c r="H261" t="inlineStr">
        <is>
          <t>Amazon EU Sàrl, 5 Rue Plaetis, L-2338, Luxemburg</t>
        </is>
      </c>
      <c r="I261" t="inlineStr">
        <is>
          <t>ATU62353134</t>
        </is>
      </c>
      <c r="J261" t="inlineStr">
        <is>
          <t>Seagate STEL800200 8TB</t>
        </is>
      </c>
      <c r="M261" s="36" t="inlineStr">
        <is>
          <t>Weiterverkauf</t>
        </is>
      </c>
      <c r="N261" t="b">
        <v>0</v>
      </c>
      <c r="O261" s="36" t="n">
        <v>171.14</v>
      </c>
      <c r="P261" s="51" t="n">
        <v>1</v>
      </c>
      <c r="Q261" s="27" t="n">
        <v>20</v>
      </c>
      <c r="R261" s="237">
        <f>O261*Q261/100</f>
        <v/>
      </c>
      <c r="S261" s="237">
        <f>P261*R261</f>
        <v/>
      </c>
      <c r="T261" s="208">
        <f>O261*P261</f>
        <v/>
      </c>
      <c r="U261" s="251">
        <f>O261+R261</f>
        <v/>
      </c>
      <c r="V261" s="251">
        <f>T261+S261</f>
        <v/>
      </c>
      <c r="W261" s="35">
        <f>voranmeldefrist_vierteljaehrlich(F261)</f>
        <v/>
      </c>
      <c r="X261" s="35" t="n">
        <v>43134</v>
      </c>
      <c r="Z261" s="210">
        <f>IF(N261=TRUE,T261/M261,T261)</f>
        <v/>
      </c>
      <c r="AA261" s="237">
        <f>Y261/100*V261</f>
        <v/>
      </c>
      <c r="AB261">
        <f>IF(AND(Y261&gt;0,Q261=Y261),TRUE,FALSE)</f>
        <v/>
      </c>
      <c r="AC261">
        <f>Z261&lt;&gt;T261</f>
        <v/>
      </c>
    </row>
    <row r="262">
      <c r="A262" t="n">
        <v>260</v>
      </c>
      <c r="D262" s="9" t="inlineStr">
        <is>
          <t>AEU-INV-AT-2017-16695375</t>
        </is>
      </c>
      <c r="E262" s="1" t="n">
        <v>43057</v>
      </c>
      <c r="F262" s="1" t="n">
        <v>43060</v>
      </c>
      <c r="G262" s="1">
        <f>CONCATENATE(H262,": ",J262)</f>
        <v/>
      </c>
      <c r="H262" t="inlineStr">
        <is>
          <t>Amazon EU Sàrl, 5 Rue Plaetis, L-2338, Luxemburg</t>
        </is>
      </c>
      <c r="I262" t="inlineStr">
        <is>
          <t>ATU62353134</t>
        </is>
      </c>
      <c r="J262" t="inlineStr">
        <is>
          <t>SP-Link TL-PoE150S</t>
        </is>
      </c>
      <c r="M262" s="36" t="inlineStr">
        <is>
          <t>Weiterverkauf</t>
        </is>
      </c>
      <c r="N262" t="b">
        <v>0</v>
      </c>
      <c r="O262" s="36" t="n">
        <v>17.56</v>
      </c>
      <c r="P262" s="51" t="n">
        <v>1</v>
      </c>
      <c r="Q262" s="27" t="n">
        <v>20</v>
      </c>
      <c r="R262" s="237">
        <f>O262*Q262/100</f>
        <v/>
      </c>
      <c r="S262" s="237">
        <f>P262*R262</f>
        <v/>
      </c>
      <c r="T262" s="208">
        <f>O262*P262</f>
        <v/>
      </c>
      <c r="U262" s="251">
        <f>O262+R262</f>
        <v/>
      </c>
      <c r="V262" s="251">
        <f>T262+S262</f>
        <v/>
      </c>
      <c r="W262" s="35">
        <f>voranmeldefrist_vierteljaehrlich(F262)</f>
        <v/>
      </c>
      <c r="X262" s="35" t="n">
        <v>43134</v>
      </c>
      <c r="Z262" s="210">
        <f>IF(N262=TRUE,T262/M262,T262)</f>
        <v/>
      </c>
      <c r="AA262" s="237">
        <f>Y262/100*V262</f>
        <v/>
      </c>
      <c r="AB262">
        <f>IF(AND(Y262&gt;0,Q262=Y262),TRUE,FALSE)</f>
        <v/>
      </c>
      <c r="AC262">
        <f>Z262&lt;&gt;T262</f>
        <v/>
      </c>
    </row>
    <row r="263">
      <c r="A263" t="n">
        <v>261</v>
      </c>
      <c r="D263" s="9" t="inlineStr">
        <is>
          <t>AEU-INV-AT-2017-16673435</t>
        </is>
      </c>
      <c r="E263" s="1" t="n">
        <v>43057</v>
      </c>
      <c r="F263" s="1" t="n">
        <v>43062</v>
      </c>
      <c r="G263" s="1">
        <f>CONCATENATE(H263,": ",J263)</f>
        <v/>
      </c>
      <c r="H263" t="inlineStr">
        <is>
          <t>Amazon EU Sàrl, 5 Rue Plaetis, L-2338, Luxemburg</t>
        </is>
      </c>
      <c r="I263" t="inlineStr">
        <is>
          <t>ATU62353134</t>
        </is>
      </c>
      <c r="J263" t="inlineStr">
        <is>
          <t>LogiLink BP0004 TV-Halterung</t>
        </is>
      </c>
      <c r="M263" s="36" t="inlineStr">
        <is>
          <t>Weiterverkauf</t>
        </is>
      </c>
      <c r="N263" t="b">
        <v>0</v>
      </c>
      <c r="O263" s="36" t="n">
        <v>8.93</v>
      </c>
      <c r="P263" s="51" t="n">
        <v>1</v>
      </c>
      <c r="Q263" s="27" t="n">
        <v>20</v>
      </c>
      <c r="R263" s="237">
        <f>O263*Q263/100</f>
        <v/>
      </c>
      <c r="S263" s="237">
        <f>P263*R263</f>
        <v/>
      </c>
      <c r="T263" s="208">
        <f>O263*P263</f>
        <v/>
      </c>
      <c r="U263" s="251">
        <f>O263+R263</f>
        <v/>
      </c>
      <c r="V263" s="251">
        <f>T263+S263</f>
        <v/>
      </c>
      <c r="W263" s="35">
        <f>voranmeldefrist_vierteljaehrlich(F263)</f>
        <v/>
      </c>
      <c r="X263" s="35" t="n">
        <v>43134</v>
      </c>
      <c r="Z263" s="210">
        <f>IF(N263=TRUE,T263/M263,T263)</f>
        <v/>
      </c>
      <c r="AA263" s="237">
        <f>Y263/100*V263</f>
        <v/>
      </c>
      <c r="AB263">
        <f>IF(AND(Y263&gt;0,Q263=Y263),TRUE,FALSE)</f>
        <v/>
      </c>
      <c r="AC263">
        <f>Z263&lt;&gt;T263</f>
        <v/>
      </c>
    </row>
    <row r="264">
      <c r="A264" t="n">
        <v>262</v>
      </c>
      <c r="D264" s="9" t="inlineStr">
        <is>
          <t>AEU-INV-AT-2017-16663299</t>
        </is>
      </c>
      <c r="E264" s="1" t="n">
        <v>43057</v>
      </c>
      <c r="F264" s="1" t="n">
        <v>43062</v>
      </c>
      <c r="G264" s="1">
        <f>CONCATENATE(H264,": ",J264)</f>
        <v/>
      </c>
      <c r="H264" t="inlineStr">
        <is>
          <t>Amazon EU Sàrl, 5 Rue Plaetis, L-2338, Luxemburg</t>
        </is>
      </c>
      <c r="I264" t="inlineStr">
        <is>
          <t>ATU62353134</t>
        </is>
      </c>
      <c r="J264" t="inlineStr">
        <is>
          <t>STRONG SRT 40FX4003</t>
        </is>
      </c>
      <c r="M264" s="36" t="inlineStr">
        <is>
          <t>Weiterverkauf</t>
        </is>
      </c>
      <c r="N264" t="b">
        <v>0</v>
      </c>
      <c r="O264" s="36" t="n">
        <v>238.45</v>
      </c>
      <c r="P264" s="51" t="n">
        <v>1</v>
      </c>
      <c r="Q264" s="27" t="n">
        <v>20</v>
      </c>
      <c r="R264" s="237">
        <f>O264*Q264/100</f>
        <v/>
      </c>
      <c r="S264" s="237">
        <f>P264*R264</f>
        <v/>
      </c>
      <c r="T264" s="208">
        <f>O264*P264</f>
        <v/>
      </c>
      <c r="U264" s="251">
        <f>O264+R264</f>
        <v/>
      </c>
      <c r="V264" s="251">
        <f>T264+S264</f>
        <v/>
      </c>
      <c r="W264" s="35">
        <f>voranmeldefrist_vierteljaehrlich(F264)</f>
        <v/>
      </c>
      <c r="X264" s="35" t="n">
        <v>43134</v>
      </c>
      <c r="Z264" s="210">
        <f>IF(N264=TRUE,T264/M264,T264)</f>
        <v/>
      </c>
      <c r="AA264" s="237">
        <f>Y264/100*V264</f>
        <v/>
      </c>
      <c r="AB264">
        <f>IF(AND(Y264&gt;0,Q264=Y264),TRUE,FALSE)</f>
        <v/>
      </c>
      <c r="AC264">
        <f>Z264&lt;&gt;T264</f>
        <v/>
      </c>
    </row>
    <row r="265">
      <c r="A265" t="n">
        <v>263</v>
      </c>
      <c r="D265" s="9" t="inlineStr">
        <is>
          <t>AEU-INV-AT-2017-16842561</t>
        </is>
      </c>
      <c r="E265" s="1" t="n">
        <v>43059</v>
      </c>
      <c r="F265" s="1" t="n">
        <v>43066</v>
      </c>
      <c r="G265" s="1">
        <f>CONCATENATE(H265,": ",J265)</f>
        <v/>
      </c>
      <c r="H265" t="inlineStr">
        <is>
          <t>Amazon EU Sàrl, 5 Rue Plaetis, L-2338, Luxemburg</t>
        </is>
      </c>
      <c r="I265" t="inlineStr">
        <is>
          <t>ATU62353134</t>
        </is>
      </c>
      <c r="J265" t="inlineStr">
        <is>
          <t>STRONG SRT 40FX4003</t>
        </is>
      </c>
      <c r="M265" s="36" t="inlineStr">
        <is>
          <t>Weiterverkauf</t>
        </is>
      </c>
      <c r="N265" t="b">
        <v>0</v>
      </c>
      <c r="O265" s="36" t="n">
        <v>238.45</v>
      </c>
      <c r="P265" s="51" t="n">
        <v>1</v>
      </c>
      <c r="Q265" s="27" t="n">
        <v>20</v>
      </c>
      <c r="R265" s="237">
        <f>O265*Q265/100</f>
        <v/>
      </c>
      <c r="S265" s="237">
        <f>P265*R265</f>
        <v/>
      </c>
      <c r="T265" s="208">
        <f>O265*P265</f>
        <v/>
      </c>
      <c r="U265" s="251">
        <f>O265+R265</f>
        <v/>
      </c>
      <c r="V265" s="251">
        <f>T265+S265</f>
        <v/>
      </c>
      <c r="W265" s="35">
        <f>voranmeldefrist_vierteljaehrlich(F265)</f>
        <v/>
      </c>
      <c r="X265" s="35" t="n">
        <v>43134</v>
      </c>
      <c r="Z265" s="210">
        <f>IF(N265=TRUE,T265/M265,T265)</f>
        <v/>
      </c>
      <c r="AA265" s="237">
        <f>Y265/100*V265</f>
        <v/>
      </c>
      <c r="AB265">
        <f>IF(AND(Y265&gt;0,Q265=Y265),TRUE,FALSE)</f>
        <v/>
      </c>
      <c r="AC265">
        <f>Z265&lt;&gt;T265</f>
        <v/>
      </c>
    </row>
    <row r="266">
      <c r="A266" t="n">
        <v>264</v>
      </c>
      <c r="D266" s="9" t="inlineStr">
        <is>
          <t>2017101287</t>
        </is>
      </c>
      <c r="E266" s="1" t="n">
        <v>43065</v>
      </c>
      <c r="F266" s="1" t="n">
        <v>43067</v>
      </c>
      <c r="G266" s="1">
        <f>CONCATENATE(H266,": ",J266)</f>
        <v/>
      </c>
      <c r="H266" t="inlineStr">
        <is>
          <t>myKey GmbH, Embelgasse 2-8/4/441, 1050 Wien</t>
        </is>
      </c>
      <c r="I266" t="inlineStr">
        <is>
          <t>ATU69957978</t>
        </is>
      </c>
      <c r="J266" t="inlineStr">
        <is>
          <t>Windows 10 Pro Key</t>
        </is>
      </c>
      <c r="M266" s="36" t="inlineStr">
        <is>
          <t>Weiterverkauf</t>
        </is>
      </c>
      <c r="N266" t="b">
        <v>0</v>
      </c>
      <c r="O266" s="36" t="n">
        <v>58.25</v>
      </c>
      <c r="P266" s="51" t="n">
        <v>1</v>
      </c>
      <c r="Q266" s="27" t="n">
        <v>20</v>
      </c>
      <c r="R266" s="237">
        <f>O266*Q266/100</f>
        <v/>
      </c>
      <c r="S266" s="237">
        <f>P266*R266</f>
        <v/>
      </c>
      <c r="T266" s="208">
        <f>O266*P266</f>
        <v/>
      </c>
      <c r="U266" s="251">
        <f>O266+R266</f>
        <v/>
      </c>
      <c r="V266" s="251">
        <f>T266+S266</f>
        <v/>
      </c>
      <c r="W266" s="35">
        <f>voranmeldefrist_vierteljaehrlich(F266)</f>
        <v/>
      </c>
      <c r="X266" s="35" t="n">
        <v>43134</v>
      </c>
      <c r="Z266" s="210">
        <f>IF(N266=TRUE,T266/M266,T266)</f>
        <v/>
      </c>
      <c r="AA266" s="237">
        <f>Y266/100*V266</f>
        <v/>
      </c>
      <c r="AB266">
        <f>IF(AND(Y266&gt;0,Q266=Y266),TRUE,FALSE)</f>
        <v/>
      </c>
      <c r="AC266">
        <f>Z266&lt;&gt;T266</f>
        <v/>
      </c>
    </row>
    <row r="267">
      <c r="A267" t="n">
        <v>265</v>
      </c>
      <c r="D267" s="9" t="inlineStr">
        <is>
          <t>6145902558</t>
        </is>
      </c>
      <c r="E267" s="1" t="n">
        <v>43063</v>
      </c>
      <c r="F267" s="1" t="n">
        <v>43075</v>
      </c>
      <c r="G267" s="1">
        <f>CONCATENATE(H267,": ",J267)</f>
        <v/>
      </c>
      <c r="H267" t="inlineStr">
        <is>
          <t>Hutchison Drei Austria GmbH, Brünner Straße 52, 1210 Wien, Österreich</t>
        </is>
      </c>
      <c r="N267">
        <f>(IF(AND(M267&lt;&gt;"",ABS(T267)&gt;400),TRUE,FALSE))</f>
        <v/>
      </c>
      <c r="O267" s="36" t="n">
        <v>15</v>
      </c>
      <c r="P267" s="51" t="n">
        <v>1</v>
      </c>
      <c r="Q267" s="27" t="n">
        <v>20</v>
      </c>
      <c r="R267" s="237">
        <f>O267*Q267/100</f>
        <v/>
      </c>
      <c r="S267" s="237">
        <f>P267*R267</f>
        <v/>
      </c>
      <c r="T267" s="208">
        <f>O267*P267</f>
        <v/>
      </c>
      <c r="U267" s="251">
        <f>O267+R267</f>
        <v/>
      </c>
      <c r="V267" s="251">
        <f>T267+S267</f>
        <v/>
      </c>
      <c r="W267" s="35">
        <f>voranmeldefrist_vierteljaehrlich(F267)</f>
        <v/>
      </c>
      <c r="X267" s="35" t="n">
        <v>43134</v>
      </c>
      <c r="Z267" s="210">
        <f>IF(N267=TRUE,T267/M267,T267)</f>
        <v/>
      </c>
      <c r="AA267" s="237">
        <f>Y267/100*V267</f>
        <v/>
      </c>
      <c r="AB267">
        <f>IF(AND(Y267&gt;0,Q267=Y267),TRUE,FALSE)</f>
        <v/>
      </c>
      <c r="AC267">
        <f>Z267&lt;&gt;T267</f>
        <v/>
      </c>
    </row>
    <row r="268">
      <c r="A268" t="n">
        <v>266</v>
      </c>
      <c r="D268" s="9" t="inlineStr">
        <is>
          <t>896454</t>
        </is>
      </c>
      <c r="E268" s="1" t="n">
        <v>43060</v>
      </c>
      <c r="F268" s="1" t="n">
        <v>43069</v>
      </c>
      <c r="G268" s="1">
        <f>CONCATENATE(H268,": ",J268)</f>
        <v/>
      </c>
      <c r="H268" t="inlineStr">
        <is>
          <t>officeb2b GmbH - Stettenstr. 15 - 86482 Aystetten - (DE)</t>
        </is>
      </c>
      <c r="I268" t="inlineStr">
        <is>
          <t>DE212287479</t>
        </is>
      </c>
      <c r="J268" t="inlineStr">
        <is>
          <t>LogiLink TV-Wandhalterung BP0004</t>
        </is>
      </c>
      <c r="M268" s="36" t="inlineStr">
        <is>
          <t>Weiterverkauf</t>
        </is>
      </c>
      <c r="N268">
        <f>(IF(AND(M268&lt;&gt;"",ABS(T268)&gt;400),TRUE,FALSE))</f>
        <v/>
      </c>
      <c r="O268" s="36" t="n">
        <v>9.15</v>
      </c>
      <c r="P268" s="51" t="n">
        <v>1</v>
      </c>
      <c r="Q268" s="27" t="n">
        <v>0</v>
      </c>
      <c r="R268" s="237">
        <f>O268*Q268/100</f>
        <v/>
      </c>
      <c r="S268" s="237">
        <f>P268*R268</f>
        <v/>
      </c>
      <c r="T268" s="208">
        <f>O268*P268</f>
        <v/>
      </c>
      <c r="U268" s="251">
        <f>O268+R268</f>
        <v/>
      </c>
      <c r="V268" s="251">
        <f>T268+S268</f>
        <v/>
      </c>
      <c r="W268" s="35">
        <f>voranmeldefrist_vierteljaehrlich(F268)</f>
        <v/>
      </c>
      <c r="X268" s="35" t="n">
        <v>43134</v>
      </c>
      <c r="Y268" s="27" t="n">
        <v>20</v>
      </c>
      <c r="Z268" s="210">
        <f>IF(N268=TRUE,T268/M268,T268)</f>
        <v/>
      </c>
      <c r="AA268" s="237">
        <f>Y268/100*V268</f>
        <v/>
      </c>
      <c r="AB268">
        <f>IF(AND(Y268&gt;0,Q268=Y268),TRUE,FALSE)</f>
        <v/>
      </c>
      <c r="AC268">
        <f>Z268&lt;&gt;T268</f>
        <v/>
      </c>
    </row>
    <row r="269">
      <c r="A269" t="n">
        <v>267</v>
      </c>
      <c r="D269" s="9" t="inlineStr">
        <is>
          <t>1985221</t>
        </is>
      </c>
      <c r="E269" s="1" t="n">
        <v>43069</v>
      </c>
      <c r="F269" s="1" t="n">
        <v>43070</v>
      </c>
      <c r="G269" s="1">
        <f>CONCATENATE(H269,": ",J269)</f>
        <v/>
      </c>
      <c r="H269" t="inlineStr">
        <is>
          <t>1attack.de Mundo del Arte GmbH</t>
        </is>
      </c>
      <c r="I269" t="inlineStr">
        <is>
          <t>DE236431386</t>
        </is>
      </c>
      <c r="J269" t="inlineStr">
        <is>
          <t>Patchkabel</t>
        </is>
      </c>
      <c r="M269" s="36" t="inlineStr">
        <is>
          <t>Weiterverkauf</t>
        </is>
      </c>
      <c r="N269">
        <f>(IF(AND(M269&lt;&gt;"",ABS(T269)&gt;400),TRUE,FALSE))</f>
        <v/>
      </c>
      <c r="O269" s="36" t="n">
        <v>21.97</v>
      </c>
      <c r="P269" s="51" t="n">
        <v>1</v>
      </c>
      <c r="Q269" s="27" t="n">
        <v>20</v>
      </c>
      <c r="R269" s="237">
        <f>O269*Q269/100</f>
        <v/>
      </c>
      <c r="S269" s="237">
        <f>P269*R269</f>
        <v/>
      </c>
      <c r="T269" s="208">
        <f>O269*P269</f>
        <v/>
      </c>
      <c r="U269" s="251">
        <f>O269+R269</f>
        <v/>
      </c>
      <c r="V269" s="251">
        <f>T269+S269</f>
        <v/>
      </c>
      <c r="W269" s="35">
        <f>voranmeldefrist_vierteljaehrlich(F269)</f>
        <v/>
      </c>
      <c r="X269" s="35" t="n">
        <v>43134</v>
      </c>
      <c r="Z269" s="210">
        <f>IF(N269=TRUE,T269/M269,T269)</f>
        <v/>
      </c>
      <c r="AA269" s="237">
        <f>Y269/100*V269</f>
        <v/>
      </c>
      <c r="AB269">
        <f>IF(AND(Y269&gt;0,Q269=Y269),TRUE,FALSE)</f>
        <v/>
      </c>
      <c r="AC269">
        <f>Z269&lt;&gt;T269</f>
        <v/>
      </c>
    </row>
    <row r="270">
      <c r="A270" t="n">
        <v>268</v>
      </c>
      <c r="D270" s="9" t="inlineStr">
        <is>
          <t>2017101374</t>
        </is>
      </c>
      <c r="E270" s="1" t="n">
        <v>43073</v>
      </c>
      <c r="F270" s="1" t="n">
        <v>43074</v>
      </c>
      <c r="G270" s="1">
        <f>CONCATENATE(H270,": ",J270)</f>
        <v/>
      </c>
      <c r="H270" t="inlineStr">
        <is>
          <t>myKey GmbH, Embelgasse 2-8/4/441, 1050 Wien</t>
        </is>
      </c>
      <c r="I270" t="inlineStr">
        <is>
          <t>ATU69957978</t>
        </is>
      </c>
      <c r="J270" t="inlineStr">
        <is>
          <t>Windows 10 Pro Key</t>
        </is>
      </c>
      <c r="M270" s="36" t="inlineStr">
        <is>
          <t>Weiterverkauf</t>
        </is>
      </c>
      <c r="N270" t="b">
        <v>0</v>
      </c>
      <c r="O270" s="36" t="n">
        <v>58.25</v>
      </c>
      <c r="P270" s="51" t="n">
        <v>1</v>
      </c>
      <c r="Q270" s="27" t="n">
        <v>20</v>
      </c>
      <c r="R270" s="237">
        <f>O270*Q270/100</f>
        <v/>
      </c>
      <c r="S270" s="237">
        <f>P270*R270</f>
        <v/>
      </c>
      <c r="T270" s="208">
        <f>O270*P270</f>
        <v/>
      </c>
      <c r="U270" s="251">
        <f>O270+R270</f>
        <v/>
      </c>
      <c r="V270" s="251">
        <f>T270+S270</f>
        <v/>
      </c>
      <c r="W270" s="35">
        <f>voranmeldefrist_vierteljaehrlich(F270)</f>
        <v/>
      </c>
      <c r="X270" s="35" t="n">
        <v>43134</v>
      </c>
      <c r="Z270" s="210">
        <f>IF(N270=TRUE,T270/M270,T270)</f>
        <v/>
      </c>
      <c r="AA270" s="237">
        <f>Y270/100*V270</f>
        <v/>
      </c>
      <c r="AB270">
        <f>IF(AND(Y270&gt;0,Q270=Y270),TRUE,FALSE)</f>
        <v/>
      </c>
      <c r="AC270">
        <f>Z270&lt;&gt;T270</f>
        <v/>
      </c>
    </row>
    <row r="271">
      <c r="A271" t="n">
        <v>269</v>
      </c>
      <c r="D271" s="9" t="inlineStr">
        <is>
          <t>INV-AT-105173521-2017-56322</t>
        </is>
      </c>
      <c r="E271" s="1" t="n">
        <v>43077</v>
      </c>
      <c r="F271" s="1" t="n">
        <v>43080</v>
      </c>
      <c r="G271" s="1">
        <f>CONCATENATE(H271,": ",J271)</f>
        <v/>
      </c>
      <c r="H271" t="inlineStr">
        <is>
          <t>Ganz Einfach GmbH, Wohlenbergstr 16, Hannover, 30179 DE</t>
        </is>
      </c>
      <c r="I271" t="inlineStr">
        <is>
          <t>ATU72593712</t>
        </is>
      </c>
      <c r="J271" t="inlineStr">
        <is>
          <t>CSL -4k UHD HDMI Splitter B01615JA3A</t>
        </is>
      </c>
      <c r="M271" s="36" t="inlineStr">
        <is>
          <t>Weiterverkauf</t>
        </is>
      </c>
      <c r="N271" t="b">
        <v>0</v>
      </c>
      <c r="O271" s="36" t="n">
        <v>16.68</v>
      </c>
      <c r="P271" s="51" t="n">
        <v>1</v>
      </c>
      <c r="Q271" s="27" t="n">
        <v>20</v>
      </c>
      <c r="R271" s="237">
        <f>O271*Q271/100</f>
        <v/>
      </c>
      <c r="S271" s="237">
        <f>P271*R271</f>
        <v/>
      </c>
      <c r="T271" s="208">
        <f>O271*P271</f>
        <v/>
      </c>
      <c r="U271" s="251">
        <f>O271+R271</f>
        <v/>
      </c>
      <c r="V271" s="251">
        <f>T271+S271</f>
        <v/>
      </c>
      <c r="W271" s="35">
        <f>voranmeldefrist_vierteljaehrlich(F271)</f>
        <v/>
      </c>
      <c r="X271" s="35" t="n">
        <v>43134</v>
      </c>
      <c r="Z271" s="210">
        <f>IF(N271=TRUE,T271/M271,T271)</f>
        <v/>
      </c>
      <c r="AA271" s="237">
        <f>Y271/100*V271</f>
        <v/>
      </c>
      <c r="AB271">
        <f>IF(AND(Y271&gt;0,Q271=Y271),TRUE,FALSE)</f>
        <v/>
      </c>
      <c r="AC271">
        <f>Z271&lt;&gt;T271</f>
        <v/>
      </c>
    </row>
    <row r="272">
      <c r="A272" t="n">
        <v>270</v>
      </c>
      <c r="D272" s="9" t="inlineStr">
        <is>
          <t>6985995</t>
        </is>
      </c>
      <c r="E272" s="1" t="n">
        <v>43060</v>
      </c>
      <c r="F272" s="1" t="n">
        <v>43060</v>
      </c>
      <c r="G272" s="1">
        <f>CONCATENATE(H272,": ",J272)</f>
        <v/>
      </c>
      <c r="H272" t="inlineStr">
        <is>
          <t>Veloce Botendienste GmbH</t>
        </is>
      </c>
      <c r="I272" t="inlineStr">
        <is>
          <t>ATU15403800</t>
        </is>
      </c>
      <c r="J272" t="inlineStr">
        <is>
          <t>Laudong. - Linzerstraße</t>
        </is>
      </c>
      <c r="M272" s="36" t="n"/>
      <c r="N272" t="b">
        <v>0</v>
      </c>
      <c r="O272" s="36">
        <f>13.2/1.2</f>
        <v/>
      </c>
      <c r="P272" s="51" t="n">
        <v>1</v>
      </c>
      <c r="Q272" s="27" t="n">
        <v>20</v>
      </c>
      <c r="R272" s="237">
        <f>O272*Q272/100</f>
        <v/>
      </c>
      <c r="S272" s="237">
        <f>P272*R272</f>
        <v/>
      </c>
      <c r="T272" s="208">
        <f>O272*P272</f>
        <v/>
      </c>
      <c r="U272" s="251">
        <f>O272+R272</f>
        <v/>
      </c>
      <c r="V272" s="251">
        <f>T272+S272</f>
        <v/>
      </c>
      <c r="W272" s="35">
        <f>voranmeldefrist_vierteljaehrlich(F272)</f>
        <v/>
      </c>
      <c r="X272" s="35" t="n">
        <v>43134</v>
      </c>
      <c r="Z272" s="210">
        <f>IF(N272=TRUE,T272/M272,T272)</f>
        <v/>
      </c>
      <c r="AA272" s="237">
        <f>Y272/100*V272</f>
        <v/>
      </c>
      <c r="AB272">
        <f>IF(AND(Y272&gt;0,Q272=Y272),TRUE,FALSE)</f>
        <v/>
      </c>
      <c r="AC272">
        <f>Z272&lt;&gt;T272</f>
        <v/>
      </c>
    </row>
    <row r="273">
      <c r="A273" t="n">
        <v>271</v>
      </c>
      <c r="D273" s="9" t="inlineStr">
        <is>
          <t>14002443106/40/2017</t>
        </is>
      </c>
      <c r="E273" s="1" t="n">
        <v>43070</v>
      </c>
      <c r="F273" s="1" t="n">
        <v>43084</v>
      </c>
      <c r="G273" s="1">
        <f>CONCATENATE(H273,": ",J273)</f>
        <v/>
      </c>
      <c r="H273" t="inlineStr">
        <is>
          <t>MONTANA Energie-Handel AT GmbH</t>
        </is>
      </c>
      <c r="J273" t="inlineStr">
        <is>
          <t>Teilzahlungsbetrag Gas</t>
        </is>
      </c>
      <c r="N273">
        <f>(IF(AND(M273&lt;&gt;"",ABS(T273)&gt;400),TRUE,FALSE))</f>
        <v/>
      </c>
      <c r="O273" s="36" t="n">
        <v>82.5</v>
      </c>
      <c r="P273" s="51">
        <f>Arbeitszimmer!$B$3</f>
        <v/>
      </c>
      <c r="Q273" s="27" t="n">
        <v>20</v>
      </c>
      <c r="R273" s="237">
        <f>O273*Q273/100</f>
        <v/>
      </c>
      <c r="S273" s="237">
        <f>P273*R273</f>
        <v/>
      </c>
      <c r="T273" s="208">
        <f>O273*P273</f>
        <v/>
      </c>
      <c r="U273" s="251">
        <f>O273+R273</f>
        <v/>
      </c>
      <c r="V273" s="251">
        <f>T273+S273</f>
        <v/>
      </c>
      <c r="W273" s="35">
        <f>voranmeldefrist_vierteljaehrlich(F273)</f>
        <v/>
      </c>
      <c r="X273" s="35" t="n">
        <v>43134</v>
      </c>
      <c r="Z273" s="210">
        <f>IF(N273=TRUE,T273/M273,T273)</f>
        <v/>
      </c>
      <c r="AA273" s="237">
        <f>Y273/100*V273</f>
        <v/>
      </c>
      <c r="AB273">
        <f>IF(AND(Y273&gt;0,Q273=Y273),TRUE,FALSE)</f>
        <v/>
      </c>
      <c r="AC273">
        <f>Z273&lt;&gt;T273</f>
        <v/>
      </c>
    </row>
    <row r="274">
      <c r="A274" t="n">
        <v>272</v>
      </c>
      <c r="D274" s="9" t="inlineStr">
        <is>
          <t>2017/8058/14</t>
        </is>
      </c>
      <c r="E274" s="1" t="n">
        <v>42736</v>
      </c>
      <c r="F274" s="1" t="n">
        <v>43096</v>
      </c>
      <c r="G274" s="1">
        <f>CONCATENATE(H274,": ",J274)</f>
        <v/>
      </c>
      <c r="H274" t="inlineStr">
        <is>
          <t>PREMIUM Laudongasse 58 GmbH &amp; Co KG</t>
        </is>
      </c>
      <c r="I274" t="inlineStr">
        <is>
          <t>ATU60795919</t>
        </is>
      </c>
      <c r="J274" t="inlineStr">
        <is>
          <t>Dauerrechnung 2017-D-9</t>
        </is>
      </c>
      <c r="N274">
        <f>(IF(AND(M274&lt;&gt;"",ABS(T274)&gt;400),TRUE,FALSE))</f>
        <v/>
      </c>
      <c r="O274" s="36" t="n">
        <v>801.77</v>
      </c>
      <c r="P274" s="51">
        <f>Arbeitszimmer!$B$3</f>
        <v/>
      </c>
      <c r="Q274" s="27" t="n">
        <v>10</v>
      </c>
      <c r="R274" s="237">
        <f>O274*Q274/100</f>
        <v/>
      </c>
      <c r="S274" s="237">
        <f>P274*R274</f>
        <v/>
      </c>
      <c r="T274" s="208">
        <f>O274*P274</f>
        <v/>
      </c>
      <c r="U274" s="251">
        <f>O274+R274</f>
        <v/>
      </c>
      <c r="V274" s="251">
        <f>T274+S274</f>
        <v/>
      </c>
      <c r="W274" s="35">
        <f>voranmeldefrist_vierteljaehrlich(F274)</f>
        <v/>
      </c>
      <c r="X274" s="35" t="n">
        <v>43134</v>
      </c>
      <c r="Z274" s="210">
        <f>IF(N274=TRUE,T274/M274,T274)</f>
        <v/>
      </c>
      <c r="AA274" s="237">
        <f>Y274/100*V274</f>
        <v/>
      </c>
      <c r="AB274">
        <f>IF(AND(Y274&gt;0,Q274=Y274),TRUE,FALSE)</f>
        <v/>
      </c>
      <c r="AC274">
        <f>Z274&lt;&gt;T274</f>
        <v/>
      </c>
    </row>
    <row r="275">
      <c r="A275" t="n">
        <v>273</v>
      </c>
      <c r="D275" s="9" t="inlineStr">
        <is>
          <t>1101540</t>
        </is>
      </c>
      <c r="E275" s="1" t="n">
        <v>43081</v>
      </c>
      <c r="F275" s="1" t="n">
        <v>43082</v>
      </c>
      <c r="G275" s="1">
        <f>CONCATENATE(H275,": ",J275)</f>
        <v/>
      </c>
      <c r="H275" t="inlineStr">
        <is>
          <t>Wall-Art-Design, Patrick Dießl, Streudorfer Str. 124, D-98663 Westhausen</t>
        </is>
      </c>
      <c r="I275" t="inlineStr">
        <is>
          <t>DE270772562</t>
        </is>
      </c>
      <c r="N275">
        <f>(IF(AND(M275&lt;&gt;"",ABS(T275)&gt;400),TRUE,FALSE))</f>
        <v/>
      </c>
      <c r="O275" s="36" t="n">
        <v>7.91</v>
      </c>
      <c r="P275" s="51" t="n">
        <v>1</v>
      </c>
      <c r="Q275" s="27" t="n">
        <v>20</v>
      </c>
      <c r="R275" s="237">
        <f>O275*Q275/100</f>
        <v/>
      </c>
      <c r="S275" s="237">
        <f>P275*R275</f>
        <v/>
      </c>
      <c r="T275" s="208">
        <f>O275*P275</f>
        <v/>
      </c>
      <c r="U275" s="251">
        <f>O275+R275</f>
        <v/>
      </c>
      <c r="V275" s="251">
        <f>T275+S275</f>
        <v/>
      </c>
      <c r="W275" s="35">
        <f>voranmeldefrist_vierteljaehrlich(F275)</f>
        <v/>
      </c>
      <c r="X275" s="35" t="n">
        <v>43134</v>
      </c>
      <c r="Z275" s="210">
        <f>IF(N275=TRUE,T275/M275,T275)</f>
        <v/>
      </c>
      <c r="AA275" s="237">
        <f>Y275/100*V275</f>
        <v/>
      </c>
      <c r="AB275">
        <f>IF(AND(Y275&gt;0,Q275=Y275),TRUE,FALSE)</f>
        <v/>
      </c>
      <c r="AC275">
        <f>Z275&lt;&gt;T275</f>
        <v/>
      </c>
    </row>
    <row r="276">
      <c r="A276" t="n">
        <v>274</v>
      </c>
      <c r="D276" s="9" t="inlineStr">
        <is>
          <t>E050052CKO</t>
        </is>
      </c>
      <c r="E276" s="1" t="n">
        <v>43088</v>
      </c>
      <c r="F276" s="1" t="n">
        <v>43090</v>
      </c>
      <c r="G276" s="1">
        <f>CONCATENATE(H276,": ",J276)</f>
        <v/>
      </c>
      <c r="H276" t="inlineStr">
        <is>
          <t>Microsoft Ireland Operations Ltd, One Microsoft Place, South County Business Park Leopardstown Dublin 18, D18 P521 Irland</t>
        </is>
      </c>
      <c r="I276" t="inlineStr">
        <is>
          <t>ATU44846609</t>
        </is>
      </c>
      <c r="J276" t="inlineStr">
        <is>
          <t>Office 365 Business Essentials (monatlich)</t>
        </is>
      </c>
      <c r="M276" s="16" t="inlineStr">
        <is>
          <t>Weiterverkauf</t>
        </is>
      </c>
      <c r="N276">
        <f>(IF(AND(M276&lt;&gt;"",ABS(T276)&gt;400),TRUE,FALSE))</f>
        <v/>
      </c>
      <c r="O276" s="36" t="n">
        <v>18.7</v>
      </c>
      <c r="P276" s="51" t="n">
        <v>1</v>
      </c>
      <c r="Q276" s="27" t="n">
        <v>20</v>
      </c>
      <c r="R276" s="237">
        <f>O276*Q276/100</f>
        <v/>
      </c>
      <c r="S276" s="237">
        <f>P276*R276</f>
        <v/>
      </c>
      <c r="T276" s="208">
        <f>O276*P276</f>
        <v/>
      </c>
      <c r="U276" s="251">
        <f>O276+R276</f>
        <v/>
      </c>
      <c r="V276" s="251">
        <f>T276+S276</f>
        <v/>
      </c>
      <c r="W276" s="35">
        <f>voranmeldefrist_vierteljaehrlich(F276)</f>
        <v/>
      </c>
      <c r="X276" s="35" t="n">
        <v>43134</v>
      </c>
      <c r="Z276" s="210">
        <f>IF(N276=TRUE,T276/M276,T276)</f>
        <v/>
      </c>
      <c r="AA276" s="237">
        <f>Y276/100*V276</f>
        <v/>
      </c>
      <c r="AB276">
        <f>IF(AND(Y276&gt;0,Q276=Y276),TRUE,FALSE)</f>
        <v/>
      </c>
      <c r="AC276">
        <f>Z276&lt;&gt;T276</f>
        <v/>
      </c>
    </row>
    <row r="277">
      <c r="A277" t="n">
        <v>275</v>
      </c>
      <c r="F277" s="1" t="n">
        <v>43090</v>
      </c>
      <c r="G277" s="1">
        <f>CONCATENATE(H277,": ",J277)</f>
        <v/>
      </c>
      <c r="H277" t="inlineStr">
        <is>
          <t>Vistaprint B.V., Hudsonweg 8, 5928 LW Venlo, Niederlande</t>
        </is>
      </c>
      <c r="N277">
        <f>(IF(AND(M277&lt;&gt;"",ABS(T277)&gt;400),TRUE,FALSE))</f>
        <v/>
      </c>
      <c r="O277" s="36">
        <f>90.36/1.2</f>
        <v/>
      </c>
      <c r="P277" s="51" t="n">
        <v>1</v>
      </c>
      <c r="Q277" s="27" t="n">
        <v>20</v>
      </c>
      <c r="R277" s="237">
        <f>O277*Q277/100</f>
        <v/>
      </c>
      <c r="S277" s="237">
        <f>P277*R277</f>
        <v/>
      </c>
      <c r="T277" s="208">
        <f>O277*P277</f>
        <v/>
      </c>
      <c r="U277" s="251">
        <f>O277+R277</f>
        <v/>
      </c>
      <c r="V277" s="251">
        <f>T277+S277</f>
        <v/>
      </c>
      <c r="W277" s="35">
        <f>voranmeldefrist_vierteljaehrlich(F277)</f>
        <v/>
      </c>
      <c r="X277" s="35" t="n">
        <v>43134</v>
      </c>
      <c r="Z277" s="210">
        <f>IF(N277=TRUE,T277/M277,T277)</f>
        <v/>
      </c>
      <c r="AA277" s="237">
        <f>Y277/100*V277</f>
        <v/>
      </c>
      <c r="AB277">
        <f>IF(AND(Y277&gt;0,Q277=Y277),TRUE,FALSE)</f>
        <v/>
      </c>
      <c r="AC277">
        <f>Z277&lt;&gt;T277</f>
        <v/>
      </c>
    </row>
    <row r="278">
      <c r="A278" t="n">
        <v>276</v>
      </c>
      <c r="D278" s="9" t="inlineStr">
        <is>
          <t>2016/52</t>
        </is>
      </c>
      <c r="E278" s="1" t="n">
        <v>43076</v>
      </c>
      <c r="F278" s="1" t="n">
        <v>43098</v>
      </c>
      <c r="G278" s="1">
        <f>CONCATENATE(H278,": ",J278)</f>
        <v/>
      </c>
      <c r="H278" t="inlineStr">
        <is>
          <t>Wilhelm Blaha, Steuerberater, 1080 Wien, Roter Hof 1a</t>
        </is>
      </c>
      <c r="I278" s="10" t="inlineStr">
        <is>
          <t>ATU12739205</t>
        </is>
      </c>
      <c r="J278" t="inlineStr">
        <is>
          <t>Jahresabschluss 2015</t>
        </is>
      </c>
      <c r="N278">
        <f>(IF(AND(M278&lt;&gt;"",ABS(T278)&gt;400),TRUE,FALSE))</f>
        <v/>
      </c>
      <c r="O278" s="36" t="n">
        <v>825</v>
      </c>
      <c r="P278" s="51" t="n">
        <v>1</v>
      </c>
      <c r="Q278" s="27" t="n">
        <v>20</v>
      </c>
      <c r="R278" s="237">
        <f>O278*Q278/100</f>
        <v/>
      </c>
      <c r="S278" s="237">
        <f>P278*R278</f>
        <v/>
      </c>
      <c r="T278" s="208">
        <f>O278*P278</f>
        <v/>
      </c>
      <c r="U278" s="251">
        <f>O278+R278</f>
        <v/>
      </c>
      <c r="V278" s="251">
        <f>T278+S278</f>
        <v/>
      </c>
      <c r="W278" s="35">
        <f>voranmeldefrist_vierteljaehrlich(F278)</f>
        <v/>
      </c>
      <c r="X278" s="35" t="n">
        <v>43134</v>
      </c>
      <c r="Z278" s="210">
        <f>IF(N278=TRUE,T278/M278,T278)</f>
        <v/>
      </c>
      <c r="AA278" s="237">
        <f>Y278/100*V278</f>
        <v/>
      </c>
      <c r="AB278">
        <f>IF(AND(Y278&gt;0,Q278=Y278),TRUE,FALSE)</f>
        <v/>
      </c>
      <c r="AC278">
        <f>Z278&lt;&gt;T278</f>
        <v/>
      </c>
    </row>
    <row r="279">
      <c r="A279" t="n">
        <v>277</v>
      </c>
      <c r="D279" s="6" t="inlineStr">
        <is>
          <t>2016</t>
        </is>
      </c>
      <c r="E279" s="1">
        <f>DATE($D279,1,1)</f>
        <v/>
      </c>
      <c r="F279" s="1">
        <f>DATE($D279,1,1)</f>
        <v/>
      </c>
      <c r="G279" s="1">
        <f>CONCATENATE(H279,": ",J279)</f>
        <v/>
      </c>
      <c r="H279" t="inlineStr">
        <is>
          <t>jarosoft</t>
        </is>
      </c>
      <c r="J279">
        <f>VLOOKUP(--$D279,AfA!$A:$C,2)</f>
        <v/>
      </c>
      <c r="N279">
        <f>(IF(AND(M279&lt;&gt;"",ABS(T279)&gt;400),TRUE,FALSE))</f>
        <v/>
      </c>
      <c r="O279" s="36" t="n">
        <v>120</v>
      </c>
      <c r="P279" s="51" t="n">
        <v>1</v>
      </c>
      <c r="Q279" s="27" t="n">
        <v>20</v>
      </c>
      <c r="R279" s="237">
        <f>O279*Q279/100</f>
        <v/>
      </c>
      <c r="S279" s="237">
        <f>P279*R279</f>
        <v/>
      </c>
      <c r="T279" s="208">
        <f>O279*P279</f>
        <v/>
      </c>
      <c r="U279" s="251">
        <f>O279+R279</f>
        <v/>
      </c>
      <c r="V279" s="251">
        <f>T279+S279</f>
        <v/>
      </c>
      <c r="W279" s="35">
        <f>voranmeldefrist_vierteljaehrlich(F279)</f>
        <v/>
      </c>
      <c r="X279" s="35" t="n"/>
      <c r="Z279" s="210">
        <f>IF(N279=TRUE,T279/M279,T279)</f>
        <v/>
      </c>
      <c r="AA279" s="237">
        <f>Y279/100*V279</f>
        <v/>
      </c>
      <c r="AB279">
        <f>IF(AND(Y279&gt;0,Q279=Y279),TRUE,FALSE)</f>
        <v/>
      </c>
    </row>
    <row r="280">
      <c r="A280" t="n">
        <v>278</v>
      </c>
      <c r="D280" s="9" t="inlineStr">
        <is>
          <t>2017</t>
        </is>
      </c>
      <c r="E280" s="1">
        <f>DATE($D280,1,1)</f>
        <v/>
      </c>
      <c r="F280" s="1">
        <f>DATE($D280,1,1)</f>
        <v/>
      </c>
      <c r="G280" s="1">
        <f>CONCATENATE(H280,": ",J280)</f>
        <v/>
      </c>
      <c r="H280" t="inlineStr">
        <is>
          <t>jarosoft</t>
        </is>
      </c>
      <c r="J280">
        <f>VLOOKUP(--$D280,AfA!$A:$C,2)</f>
        <v/>
      </c>
      <c r="N280">
        <f>(IF(AND(M280&lt;&gt;"",ABS(T280)&gt;400),TRUE,FALSE))</f>
        <v/>
      </c>
      <c r="O280" s="36" t="n">
        <v>494.334</v>
      </c>
      <c r="P280" s="51" t="n">
        <v>1</v>
      </c>
      <c r="Q280" s="27" t="n">
        <v>0</v>
      </c>
      <c r="R280" s="237">
        <f>O280*Q280/100</f>
        <v/>
      </c>
      <c r="S280" s="237">
        <f>P280*R280</f>
        <v/>
      </c>
      <c r="T280" s="208">
        <f>O280*P280</f>
        <v/>
      </c>
      <c r="U280" s="251">
        <f>O280+R280</f>
        <v/>
      </c>
      <c r="V280" s="251">
        <f>T280+S280</f>
        <v/>
      </c>
      <c r="W280" s="35">
        <f>voranmeldefrist_vierteljaehrlich(F280)</f>
        <v/>
      </c>
      <c r="X280" s="35" t="n"/>
      <c r="Z280" s="210">
        <f>IF(N280=TRUE,T280/M280,T280)</f>
        <v/>
      </c>
      <c r="AA280" s="237">
        <f>Y280/100*V280</f>
        <v/>
      </c>
      <c r="AB280">
        <f>IF(AND(Y280&gt;0,Q280=Y280),TRUE,FALSE)</f>
        <v/>
      </c>
      <c r="AC280">
        <f>Z280&lt;&gt;T280</f>
        <v/>
      </c>
    </row>
    <row r="281">
      <c r="A281" t="n">
        <v>279</v>
      </c>
      <c r="B281" s="53" t="n">
        <v>2018</v>
      </c>
      <c r="C281" s="53" t="n">
        <v>1</v>
      </c>
      <c r="D281" s="9" t="inlineStr">
        <is>
          <t>2018</t>
        </is>
      </c>
      <c r="E281" s="1">
        <f>DATE($D281,1,1)</f>
        <v/>
      </c>
      <c r="F281" s="1">
        <f>DATE($D281,1,1)</f>
        <v/>
      </c>
      <c r="G281" s="1">
        <f>CONCATENATE(H281,": ",J281)</f>
        <v/>
      </c>
      <c r="H281" t="inlineStr">
        <is>
          <t>jarosoft</t>
        </is>
      </c>
      <c r="J281">
        <f>VLOOKUP(--$D281,AfA!$A:$C,2)</f>
        <v/>
      </c>
      <c r="L281" s="16" t="inlineStr">
        <is>
          <t>Abschreibung Anlagevermögen</t>
        </is>
      </c>
      <c r="M281" s="16">
        <f>IF(L281="Waren, Rohstoffe, Hilfsstoffe", "Weiterverkauf", "")</f>
        <v/>
      </c>
      <c r="N281">
        <f>(IF(AND(M281&lt;&gt;"",ABS(T281)&gt;400),TRUE,FALSE))</f>
        <v/>
      </c>
      <c r="O281" s="36" t="n">
        <v>494.334</v>
      </c>
      <c r="P281" s="51" t="n">
        <v>1</v>
      </c>
      <c r="Q281" s="27" t="n">
        <v>20</v>
      </c>
      <c r="R281" s="237">
        <f>O281*Q281/100</f>
        <v/>
      </c>
      <c r="S281" s="237">
        <f>P281*R281</f>
        <v/>
      </c>
      <c r="T281" s="208">
        <f>O281*P281</f>
        <v/>
      </c>
      <c r="U281" s="251">
        <f>O281+R281</f>
        <v/>
      </c>
      <c r="V281" s="251">
        <f>T281+S281</f>
        <v/>
      </c>
      <c r="W281" s="35">
        <f>voranmeldefrist_vierteljaehrlich(F281)</f>
        <v/>
      </c>
      <c r="X281" s="35" t="n"/>
      <c r="Z281" s="210">
        <f>IF(N281=TRUE,T281/M281,T281)</f>
        <v/>
      </c>
      <c r="AA281" s="237">
        <f>Y281/100*V281</f>
        <v/>
      </c>
      <c r="AB281">
        <f>IF(AND(Y281&gt;0,Q281=Y281),TRUE,FALSE)</f>
        <v/>
      </c>
    </row>
    <row r="282">
      <c r="A282" t="n">
        <v>280</v>
      </c>
      <c r="B282" s="53" t="n">
        <v>2018</v>
      </c>
      <c r="C282" s="53" t="n">
        <v>2</v>
      </c>
      <c r="D282" s="9" t="inlineStr">
        <is>
          <t>659185</t>
        </is>
      </c>
      <c r="F282" s="1" t="n">
        <v>43102</v>
      </c>
      <c r="G282" t="inlineStr">
        <is>
          <t>Lemon Thinkpad-Adapter, Maus</t>
        </is>
      </c>
      <c r="L282" s="16" t="inlineStr">
        <is>
          <t>Waren, Rohstoffe, Hilfsstoffe</t>
        </is>
      </c>
      <c r="M282" s="16">
        <f>IF(L282="Waren, Rohstoffe, Hilfsstoffe", "Weiterverkauf", "")</f>
        <v/>
      </c>
      <c r="N282">
        <f>(IF(AND(M282&lt;&gt;"",ABS(T282)&gt;400),TRUE,FALSE))</f>
        <v/>
      </c>
      <c r="O282" s="36" t="n">
        <v>79.33</v>
      </c>
      <c r="P282" s="51" t="n">
        <v>1</v>
      </c>
      <c r="Q282" s="27" t="n">
        <v>20</v>
      </c>
      <c r="R282" s="237">
        <f>O282*Q282/100</f>
        <v/>
      </c>
      <c r="S282" s="237">
        <f>P282*R282</f>
        <v/>
      </c>
      <c r="T282" s="208">
        <f>O282*P282</f>
        <v/>
      </c>
      <c r="U282" s="251">
        <f>O282+R282</f>
        <v/>
      </c>
      <c r="V282" s="251">
        <f>T282+S282</f>
        <v/>
      </c>
      <c r="W282" s="35">
        <f>voranmeldefrist_vierteljaehrlich(F282)</f>
        <v/>
      </c>
      <c r="X282" s="35" t="n"/>
      <c r="Z282" s="210">
        <f>IF(N282=TRUE,T282/M282,T282)</f>
        <v/>
      </c>
      <c r="AA282" s="237">
        <f>Y282/100*V282</f>
        <v/>
      </c>
      <c r="AB282">
        <f>IF(AND(Y282&gt;0,Q282=Y282),TRUE,FALSE)</f>
        <v/>
      </c>
    </row>
    <row r="283">
      <c r="A283" t="n">
        <v>281</v>
      </c>
      <c r="B283" s="53" t="n">
        <v>2018</v>
      </c>
      <c r="C283" s="53" t="n">
        <v>3</v>
      </c>
      <c r="D283" s="9" t="inlineStr">
        <is>
          <t>167278439-00</t>
        </is>
      </c>
      <c r="F283" s="1" t="n">
        <v>43103</v>
      </c>
      <c r="G283" t="inlineStr">
        <is>
          <t>UPC Laudongasse</t>
        </is>
      </c>
      <c r="L283" s="16" t="inlineStr">
        <is>
          <t>Telefon/Internet</t>
        </is>
      </c>
      <c r="M283" s="16">
        <f>IF(L283="Waren, Rohstoffe, Hilfsstoffe", "Weiterverkauf", "")</f>
        <v/>
      </c>
      <c r="N283">
        <f>(IF(AND(M283&lt;&gt;"",ABS(T283)&gt;400),TRUE,FALSE))</f>
        <v/>
      </c>
      <c r="O283" s="36" t="n">
        <v>42.12</v>
      </c>
      <c r="P283" s="51">
        <f>20.3/39.11*2/3</f>
        <v/>
      </c>
      <c r="Q283" s="27" t="inlineStr">
        <is>
          <t>gemischt</t>
        </is>
      </c>
      <c r="R283" s="237" t="n">
        <v>6.38</v>
      </c>
      <c r="S283" s="237">
        <f>P283*R283</f>
        <v/>
      </c>
      <c r="T283" s="208">
        <f>O283*P283</f>
        <v/>
      </c>
      <c r="U283" s="251">
        <f>O283+R283</f>
        <v/>
      </c>
      <c r="V283" s="251">
        <f>T283+S283</f>
        <v/>
      </c>
      <c r="W283" s="35">
        <f>voranmeldefrist_vierteljaehrlich(F283)</f>
        <v/>
      </c>
      <c r="X283" s="35" t="n"/>
      <c r="Z283" s="210">
        <f>IF(N283=TRUE,T283/M283,T283)</f>
        <v/>
      </c>
      <c r="AA283" s="237">
        <f>Y283/100*V283</f>
        <v/>
      </c>
      <c r="AB283">
        <f>IF(AND(Y283&gt;0,Q283=Y283),TRUE,FALSE)</f>
        <v/>
      </c>
    </row>
    <row r="284">
      <c r="A284" t="n">
        <v>282</v>
      </c>
      <c r="B284" s="53" t="n">
        <v>2018</v>
      </c>
      <c r="C284" s="53" t="n">
        <v>4</v>
      </c>
      <c r="D284" s="9" t="inlineStr">
        <is>
          <t>6147758411</t>
        </is>
      </c>
      <c r="F284" s="1" t="n">
        <v>43111</v>
      </c>
      <c r="G284" t="inlineStr">
        <is>
          <t>Hutchison Drei Austria GmbH, Brünner Straße 52, 1210 Wien, Österreich</t>
        </is>
      </c>
      <c r="L284" s="16" t="inlineStr">
        <is>
          <t>Telefon/Internet</t>
        </is>
      </c>
      <c r="M284" s="16">
        <f>IF(L284="Waren, Rohstoffe, Hilfsstoffe", "Weiterverkauf", "")</f>
        <v/>
      </c>
      <c r="N284">
        <f>(IF(AND(M284&lt;&gt;"",ABS(T284)&gt;400),TRUE,FALSE))</f>
        <v/>
      </c>
      <c r="O284" s="36" t="n">
        <v>16.74</v>
      </c>
      <c r="P284" s="51" t="n">
        <v>1</v>
      </c>
      <c r="Q284" s="27" t="n">
        <v>20</v>
      </c>
      <c r="R284" s="237">
        <f>O284*Q284/100</f>
        <v/>
      </c>
      <c r="S284" s="237">
        <f>P284*R284</f>
        <v/>
      </c>
      <c r="T284" s="208">
        <f>O284*P284</f>
        <v/>
      </c>
      <c r="U284" s="251">
        <f>O284+R284</f>
        <v/>
      </c>
      <c r="V284" s="251">
        <f>T284+S284</f>
        <v/>
      </c>
      <c r="W284" s="35">
        <f>voranmeldefrist_vierteljaehrlich(F284)</f>
        <v/>
      </c>
      <c r="X284" s="35" t="n"/>
      <c r="Z284" s="210">
        <f>IF(N284=TRUE,T284/M284,T284)</f>
        <v/>
      </c>
      <c r="AA284" s="237">
        <f>Y284/100*V284</f>
        <v/>
      </c>
      <c r="AB284">
        <f>IF(AND(Y284&gt;0,Q284=Y284),TRUE,FALSE)</f>
        <v/>
      </c>
    </row>
    <row r="285">
      <c r="A285" t="n">
        <v>283</v>
      </c>
      <c r="D285" s="9" t="inlineStr">
        <is>
          <t>156482326-00</t>
        </is>
      </c>
      <c r="F285" s="1" t="n">
        <v>42390</v>
      </c>
      <c r="G285" t="inlineStr">
        <is>
          <t>Nachtrag UPC 2016-1</t>
        </is>
      </c>
      <c r="L285" s="16" t="inlineStr">
        <is>
          <t>Telefon/Internet</t>
        </is>
      </c>
      <c r="M285" s="16">
        <f>IF(L285="Waren, Rohstoffe, Hilfsstoffe", "Weiterverkauf", "")</f>
        <v/>
      </c>
      <c r="N285">
        <f>(IF(AND(M285&lt;&gt;"",ABS(T285)&gt;400),TRUE,FALSE))</f>
        <v/>
      </c>
      <c r="O285" s="36" t="n">
        <v>40.15</v>
      </c>
      <c r="P285" s="51">
        <f>20.3/39.11*2/3</f>
        <v/>
      </c>
      <c r="Q285" s="27" t="inlineStr">
        <is>
          <t>gemischt</t>
        </is>
      </c>
      <c r="R285" s="237" t="n">
        <v>6.15</v>
      </c>
      <c r="S285" s="237">
        <f>P285*R285</f>
        <v/>
      </c>
      <c r="T285" s="208">
        <f>O285*P285</f>
        <v/>
      </c>
      <c r="U285" s="251">
        <f>O285+R285</f>
        <v/>
      </c>
      <c r="V285" s="251">
        <f>T285+S285</f>
        <v/>
      </c>
      <c r="W285" s="35">
        <f>voranmeldefrist_vierteljaehrlich(F285)</f>
        <v/>
      </c>
      <c r="X285" s="35" t="n"/>
      <c r="Z285" s="210">
        <f>IF(N285=TRUE,T285/M285,T285)</f>
        <v/>
      </c>
      <c r="AA285" s="237">
        <f>Y285/100*V285</f>
        <v/>
      </c>
      <c r="AB285">
        <f>IF(AND(Y285&gt;0,Q285=Y285),TRUE,FALSE)</f>
        <v/>
      </c>
    </row>
    <row r="286">
      <c r="A286" t="n">
        <v>284</v>
      </c>
      <c r="D286" s="9" t="inlineStr">
        <is>
          <t>157030140-00</t>
        </is>
      </c>
      <c r="F286" s="1" t="n">
        <v>42415</v>
      </c>
      <c r="G286" t="inlineStr">
        <is>
          <t>Nachtrag UPC 2016-2</t>
        </is>
      </c>
      <c r="L286" s="16" t="inlineStr">
        <is>
          <t>Telefon/Internet</t>
        </is>
      </c>
      <c r="M286" s="16">
        <f>IF(L286="Waren, Rohstoffe, Hilfsstoffe", "Weiterverkauf", "")</f>
        <v/>
      </c>
      <c r="N286">
        <f>(IF(AND(M286&lt;&gt;"",ABS(T286)&gt;400),TRUE,FALSE))</f>
        <v/>
      </c>
      <c r="O286" s="36" t="n">
        <v>40.15</v>
      </c>
      <c r="P286" s="51">
        <f>20.3/39.11*2/3</f>
        <v/>
      </c>
      <c r="Q286" s="27" t="inlineStr">
        <is>
          <t>gemischt</t>
        </is>
      </c>
      <c r="R286" s="237" t="n">
        <v>6.15</v>
      </c>
      <c r="S286" s="237">
        <f>P286*R286</f>
        <v/>
      </c>
      <c r="T286" s="208">
        <f>O286*P286</f>
        <v/>
      </c>
      <c r="U286" s="251">
        <f>O286+R286</f>
        <v/>
      </c>
      <c r="V286" s="251">
        <f>T286+S286</f>
        <v/>
      </c>
      <c r="W286" s="35">
        <f>voranmeldefrist_vierteljaehrlich(F286)</f>
        <v/>
      </c>
      <c r="X286" s="35" t="n"/>
      <c r="Z286" s="210">
        <f>IF(N286=TRUE,T286/M286,T286)</f>
        <v/>
      </c>
      <c r="AA286" s="237">
        <f>Y286/100*V286</f>
        <v/>
      </c>
      <c r="AB286">
        <f>IF(AND(Y286&gt;0,Q286=Y286),TRUE,FALSE)</f>
        <v/>
      </c>
    </row>
    <row r="287">
      <c r="A287" t="n">
        <v>285</v>
      </c>
      <c r="D287" s="9" t="inlineStr">
        <is>
          <t>157519266-00</t>
        </is>
      </c>
      <c r="F287" s="1" t="n">
        <v>42443</v>
      </c>
      <c r="G287" t="inlineStr">
        <is>
          <t>Nachtrag UPC 2016-3</t>
        </is>
      </c>
      <c r="L287" s="16" t="inlineStr">
        <is>
          <t>Telefon/Internet</t>
        </is>
      </c>
      <c r="M287" s="16">
        <f>IF(L287="Waren, Rohstoffe, Hilfsstoffe", "Weiterverkauf", "")</f>
        <v/>
      </c>
      <c r="N287">
        <f>(IF(AND(M287&lt;&gt;"",ABS(T287)&gt;400),TRUE,FALSE))</f>
        <v/>
      </c>
      <c r="O287" s="36" t="n">
        <v>40.15</v>
      </c>
      <c r="P287" s="51">
        <f>20.3/39.11*2/3</f>
        <v/>
      </c>
      <c r="Q287" s="27" t="inlineStr">
        <is>
          <t>gemischt</t>
        </is>
      </c>
      <c r="R287" s="237" t="n">
        <v>6.15</v>
      </c>
      <c r="S287" s="237">
        <f>P287*R287</f>
        <v/>
      </c>
      <c r="T287" s="208">
        <f>O287*P287</f>
        <v/>
      </c>
      <c r="U287" s="251">
        <f>O287+R287</f>
        <v/>
      </c>
      <c r="V287" s="251">
        <f>T287+S287</f>
        <v/>
      </c>
      <c r="W287" s="35">
        <f>voranmeldefrist_vierteljaehrlich(F287)</f>
        <v/>
      </c>
      <c r="X287" s="35" t="n"/>
      <c r="Z287" s="210">
        <f>IF(N287=TRUE,T287/M287,T287)</f>
        <v/>
      </c>
      <c r="AA287" s="237">
        <f>Y287/100*V287</f>
        <v/>
      </c>
      <c r="AB287">
        <f>IF(AND(Y287&gt;0,Q287=Y287),TRUE,FALSE)</f>
        <v/>
      </c>
    </row>
    <row r="288">
      <c r="A288" t="n">
        <v>286</v>
      </c>
      <c r="D288" s="9" t="inlineStr">
        <is>
          <t>157980843-00</t>
        </is>
      </c>
      <c r="F288" s="1" t="n">
        <v>42478</v>
      </c>
      <c r="G288" t="inlineStr">
        <is>
          <t>Nachtrag UPC 2016-4</t>
        </is>
      </c>
      <c r="L288" s="16" t="inlineStr">
        <is>
          <t>Telefon/Internet</t>
        </is>
      </c>
      <c r="M288" s="16">
        <f>IF(L288="Waren, Rohstoffe, Hilfsstoffe", "Weiterverkauf", "")</f>
        <v/>
      </c>
      <c r="N288">
        <f>(IF(AND(M288&lt;&gt;"",ABS(T288)&gt;400),TRUE,FALSE))</f>
        <v/>
      </c>
      <c r="O288" s="36" t="n">
        <v>40.15</v>
      </c>
      <c r="P288" s="51">
        <f>20.3/39.11*2/3</f>
        <v/>
      </c>
      <c r="Q288" s="27" t="inlineStr">
        <is>
          <t>gemischt</t>
        </is>
      </c>
      <c r="R288" s="237" t="n">
        <v>6.15</v>
      </c>
      <c r="S288" s="237">
        <f>P288*R288</f>
        <v/>
      </c>
      <c r="T288" s="208">
        <f>O288*P288</f>
        <v/>
      </c>
      <c r="U288" s="251">
        <f>O288+R288</f>
        <v/>
      </c>
      <c r="V288" s="251">
        <f>T288+S288</f>
        <v/>
      </c>
      <c r="W288" s="35">
        <f>voranmeldefrist_vierteljaehrlich(F288)</f>
        <v/>
      </c>
      <c r="X288" s="35" t="n"/>
      <c r="Z288" s="210">
        <f>IF(N288=TRUE,T288/M288,T288)</f>
        <v/>
      </c>
      <c r="AA288" s="237">
        <f>Y288/100*V288</f>
        <v/>
      </c>
      <c r="AB288">
        <f>IF(AND(Y288&gt;0,Q288=Y288),TRUE,FALSE)</f>
        <v/>
      </c>
    </row>
    <row r="289">
      <c r="A289" t="n">
        <v>287</v>
      </c>
      <c r="D289" s="9" t="inlineStr">
        <is>
          <t>158223152-00</t>
        </is>
      </c>
      <c r="F289" s="1" t="n">
        <v>42507</v>
      </c>
      <c r="G289" t="inlineStr">
        <is>
          <t>Nachtrag UPC 2016-5</t>
        </is>
      </c>
      <c r="L289" s="16" t="inlineStr">
        <is>
          <t>Telefon/Internet</t>
        </is>
      </c>
      <c r="M289" s="16">
        <f>IF(L289="Waren, Rohstoffe, Hilfsstoffe", "Weiterverkauf", "")</f>
        <v/>
      </c>
      <c r="N289">
        <f>(IF(AND(M289&lt;&gt;"",ABS(T289)&gt;400),TRUE,FALSE))</f>
        <v/>
      </c>
      <c r="O289" s="36" t="n">
        <v>40.15</v>
      </c>
      <c r="P289" s="51">
        <f>20.3/39.11*2/3</f>
        <v/>
      </c>
      <c r="Q289" s="27" t="inlineStr">
        <is>
          <t>gemischt</t>
        </is>
      </c>
      <c r="R289" s="237" t="n">
        <v>6.15</v>
      </c>
      <c r="S289" s="237">
        <f>P289*R289</f>
        <v/>
      </c>
      <c r="T289" s="208">
        <f>O289*P289</f>
        <v/>
      </c>
      <c r="U289" s="251">
        <f>O289+R289</f>
        <v/>
      </c>
      <c r="V289" s="251">
        <f>T289+S289</f>
        <v/>
      </c>
      <c r="W289" s="35">
        <f>voranmeldefrist_vierteljaehrlich(F289)</f>
        <v/>
      </c>
      <c r="X289" s="35" t="n"/>
      <c r="Z289" s="210">
        <f>IF(N289=TRUE,T289/M289,T289)</f>
        <v/>
      </c>
      <c r="AA289" s="237">
        <f>Y289/100*V289</f>
        <v/>
      </c>
      <c r="AB289">
        <f>IF(AND(Y289&gt;0,Q289=Y289),TRUE,FALSE)</f>
        <v/>
      </c>
    </row>
    <row r="290">
      <c r="A290" t="n">
        <v>288</v>
      </c>
      <c r="D290" s="9" t="inlineStr">
        <is>
          <t>158701040-00</t>
        </is>
      </c>
      <c r="F290" s="1" t="n">
        <v>42541</v>
      </c>
      <c r="G290" t="inlineStr">
        <is>
          <t>Nachtrag UPC 2016-6</t>
        </is>
      </c>
      <c r="L290" s="16" t="inlineStr">
        <is>
          <t>Telefon/Internet</t>
        </is>
      </c>
      <c r="M290" s="16">
        <f>IF(L290="Waren, Rohstoffe, Hilfsstoffe", "Weiterverkauf", "")</f>
        <v/>
      </c>
      <c r="N290">
        <f>(IF(AND(M290&lt;&gt;"",ABS(T290)&gt;400),TRUE,FALSE))</f>
        <v/>
      </c>
      <c r="O290" s="36" t="n">
        <v>40.15</v>
      </c>
      <c r="P290" s="51">
        <f>20.3/39.11*2/3</f>
        <v/>
      </c>
      <c r="Q290" s="27" t="inlineStr">
        <is>
          <t>gemischt</t>
        </is>
      </c>
      <c r="R290" s="237" t="n">
        <v>6.15</v>
      </c>
      <c r="S290" s="237">
        <f>P290*R290</f>
        <v/>
      </c>
      <c r="T290" s="208">
        <f>O290*P290</f>
        <v/>
      </c>
      <c r="U290" s="251">
        <f>O290+R290</f>
        <v/>
      </c>
      <c r="V290" s="251">
        <f>T290+S290</f>
        <v/>
      </c>
      <c r="W290" s="35">
        <f>voranmeldefrist_vierteljaehrlich(F290)</f>
        <v/>
      </c>
      <c r="X290" s="35" t="n"/>
      <c r="Z290" s="210">
        <f>IF(N290=TRUE,T290/M290,T290)</f>
        <v/>
      </c>
      <c r="AA290" s="237">
        <f>Y290/100*V290</f>
        <v/>
      </c>
      <c r="AB290">
        <f>IF(AND(Y290&gt;0,Q290=Y290),TRUE,FALSE)</f>
        <v/>
      </c>
    </row>
    <row r="291">
      <c r="A291" t="n">
        <v>289</v>
      </c>
      <c r="D291" s="9" t="inlineStr">
        <is>
          <t>159167390-00</t>
        </is>
      </c>
      <c r="F291" s="1" t="n">
        <v>42569</v>
      </c>
      <c r="G291" t="inlineStr">
        <is>
          <t>Nachtrag UPC 2016-7</t>
        </is>
      </c>
      <c r="L291" s="16" t="inlineStr">
        <is>
          <t>Telefon/Internet</t>
        </is>
      </c>
      <c r="M291" s="16">
        <f>IF(L291="Waren, Rohstoffe, Hilfsstoffe", "Weiterverkauf", "")</f>
        <v/>
      </c>
      <c r="N291">
        <f>(IF(AND(M291&lt;&gt;"",ABS(T291)&gt;400),TRUE,FALSE))</f>
        <v/>
      </c>
      <c r="O291" s="36" t="n">
        <v>40.15</v>
      </c>
      <c r="P291" s="51">
        <f>20.3/39.11*2/3</f>
        <v/>
      </c>
      <c r="Q291" s="27" t="inlineStr">
        <is>
          <t>gemischt</t>
        </is>
      </c>
      <c r="R291" s="237" t="n">
        <v>6.15</v>
      </c>
      <c r="S291" s="237">
        <f>P291*R291</f>
        <v/>
      </c>
      <c r="T291" s="208">
        <f>O291*P291</f>
        <v/>
      </c>
      <c r="U291" s="251">
        <f>O291+R291</f>
        <v/>
      </c>
      <c r="V291" s="251">
        <f>T291+S291</f>
        <v/>
      </c>
      <c r="W291" s="35">
        <f>voranmeldefrist_vierteljaehrlich(F291)</f>
        <v/>
      </c>
      <c r="X291" s="35" t="n"/>
      <c r="Z291" s="210">
        <f>IF(N291=TRUE,T291/M291,T291)</f>
        <v/>
      </c>
      <c r="AA291" s="237">
        <f>Y291/100*V291</f>
        <v/>
      </c>
      <c r="AB291">
        <f>IF(AND(Y291&gt;0,Q291=Y291),TRUE,FALSE)</f>
        <v/>
      </c>
    </row>
    <row r="292">
      <c r="A292" t="n">
        <v>290</v>
      </c>
      <c r="D292" s="9" t="inlineStr">
        <is>
          <t>159713325-00</t>
        </is>
      </c>
      <c r="F292" s="1" t="n">
        <v>42598</v>
      </c>
      <c r="G292" t="inlineStr">
        <is>
          <t>Nachtrag UPC 2016-8</t>
        </is>
      </c>
      <c r="L292" s="16" t="inlineStr">
        <is>
          <t>Telefon/Internet</t>
        </is>
      </c>
      <c r="M292" s="16">
        <f>IF(L292="Waren, Rohstoffe, Hilfsstoffe", "Weiterverkauf", "")</f>
        <v/>
      </c>
      <c r="N292">
        <f>(IF(AND(M292&lt;&gt;"",ABS(T292)&gt;400),TRUE,FALSE))</f>
        <v/>
      </c>
      <c r="O292" s="36" t="n">
        <v>40.15</v>
      </c>
      <c r="P292" s="51">
        <f>20.3/39.11*2/3</f>
        <v/>
      </c>
      <c r="Q292" s="27" t="inlineStr">
        <is>
          <t>gemischt</t>
        </is>
      </c>
      <c r="R292" s="237" t="n">
        <v>6.15</v>
      </c>
      <c r="S292" s="237">
        <f>P292*R292</f>
        <v/>
      </c>
      <c r="T292" s="208">
        <f>O292*P292</f>
        <v/>
      </c>
      <c r="U292" s="251">
        <f>O292+R292</f>
        <v/>
      </c>
      <c r="V292" s="251">
        <f>T292+S292</f>
        <v/>
      </c>
      <c r="W292" s="35">
        <f>voranmeldefrist_vierteljaehrlich(F292)</f>
        <v/>
      </c>
      <c r="X292" s="35" t="n"/>
      <c r="Z292" s="210">
        <f>IF(N292=TRUE,T292/M292,T292)</f>
        <v/>
      </c>
      <c r="AA292" s="237">
        <f>Y292/100*V292</f>
        <v/>
      </c>
      <c r="AB292">
        <f>IF(AND(Y292&gt;0,Q292=Y292),TRUE,FALSE)</f>
        <v/>
      </c>
    </row>
    <row r="293">
      <c r="A293" t="n">
        <v>291</v>
      </c>
      <c r="D293" s="9" t="inlineStr">
        <is>
          <t>160189881-00</t>
        </is>
      </c>
      <c r="F293" s="1" t="n">
        <v>42628</v>
      </c>
      <c r="G293" t="inlineStr">
        <is>
          <t>Nachtrag UPC 2016-9</t>
        </is>
      </c>
      <c r="L293" s="16" t="inlineStr">
        <is>
          <t>Telefon/Internet</t>
        </is>
      </c>
      <c r="M293" s="16">
        <f>IF(L293="Waren, Rohstoffe, Hilfsstoffe", "Weiterverkauf", "")</f>
        <v/>
      </c>
      <c r="N293">
        <f>(IF(AND(M293&lt;&gt;"",ABS(T293)&gt;400),TRUE,FALSE))</f>
        <v/>
      </c>
      <c r="O293" s="36" t="n">
        <v>40.15</v>
      </c>
      <c r="P293" s="51">
        <f>20.3/39.11*2/3</f>
        <v/>
      </c>
      <c r="Q293" s="27" t="inlineStr">
        <is>
          <t>gemischt</t>
        </is>
      </c>
      <c r="R293" s="237" t="n">
        <v>6.15</v>
      </c>
      <c r="S293" s="237">
        <f>P293*R293</f>
        <v/>
      </c>
      <c r="T293" s="208">
        <f>O293*P293</f>
        <v/>
      </c>
      <c r="U293" s="251">
        <f>O293+R293</f>
        <v/>
      </c>
      <c r="V293" s="251">
        <f>T293+S293</f>
        <v/>
      </c>
      <c r="W293" s="35">
        <f>voranmeldefrist_vierteljaehrlich(F293)</f>
        <v/>
      </c>
      <c r="X293" s="35" t="n"/>
      <c r="Z293" s="210">
        <f>IF(N293=TRUE,T293/M293,T293)</f>
        <v/>
      </c>
      <c r="AA293" s="237">
        <f>Y293/100*V293</f>
        <v/>
      </c>
      <c r="AB293">
        <f>IF(AND(Y293&gt;0,Q293=Y293),TRUE,FALSE)</f>
        <v/>
      </c>
    </row>
    <row r="294">
      <c r="A294" t="n">
        <v>292</v>
      </c>
      <c r="D294" s="9" t="inlineStr">
        <is>
          <t>160405182-00</t>
        </is>
      </c>
      <c r="F294" s="1" t="n">
        <v>42656</v>
      </c>
      <c r="G294" t="inlineStr">
        <is>
          <t>Nachtrag UPC 2016-10</t>
        </is>
      </c>
      <c r="L294" s="16" t="inlineStr">
        <is>
          <t>Telefon/Internet</t>
        </is>
      </c>
      <c r="M294" s="16">
        <f>IF(L294="Waren, Rohstoffe, Hilfsstoffe", "Weiterverkauf", "")</f>
        <v/>
      </c>
      <c r="N294">
        <f>(IF(AND(M294&lt;&gt;"",ABS(T294)&gt;400),TRUE,FALSE))</f>
        <v/>
      </c>
      <c r="O294" s="36" t="n">
        <v>40.15</v>
      </c>
      <c r="P294" s="51">
        <f>20.3/39.11*2/3</f>
        <v/>
      </c>
      <c r="Q294" s="27" t="inlineStr">
        <is>
          <t>gemischt</t>
        </is>
      </c>
      <c r="R294" s="237" t="n">
        <v>6.15</v>
      </c>
      <c r="S294" s="237">
        <f>P294*R294</f>
        <v/>
      </c>
      <c r="T294" s="208">
        <f>O294*P294</f>
        <v/>
      </c>
      <c r="U294" s="251">
        <f>O294+R294</f>
        <v/>
      </c>
      <c r="V294" s="251">
        <f>T294+S294</f>
        <v/>
      </c>
      <c r="W294" s="35">
        <f>voranmeldefrist_vierteljaehrlich(F294)</f>
        <v/>
      </c>
      <c r="X294" s="35" t="n"/>
      <c r="Z294" s="210">
        <f>IF(N294=TRUE,T294/M294,T294)</f>
        <v/>
      </c>
      <c r="AA294" s="237">
        <f>Y294/100*V294</f>
        <v/>
      </c>
      <c r="AB294">
        <f>IF(AND(Y294&gt;0,Q294=Y294),TRUE,FALSE)</f>
        <v/>
      </c>
    </row>
    <row r="295">
      <c r="A295" t="n">
        <v>293</v>
      </c>
      <c r="D295" s="9" t="inlineStr">
        <is>
          <t>160916207-00</t>
        </is>
      </c>
      <c r="F295" s="1" t="n">
        <v>42688</v>
      </c>
      <c r="G295" t="inlineStr">
        <is>
          <t>Nachtrag UPC 2016-11</t>
        </is>
      </c>
      <c r="L295" s="16" t="inlineStr">
        <is>
          <t>Telefon/Internet</t>
        </is>
      </c>
      <c r="M295" s="16">
        <f>IF(L295="Waren, Rohstoffe, Hilfsstoffe", "Weiterverkauf", "")</f>
        <v/>
      </c>
      <c r="N295">
        <f>(IF(AND(M295&lt;&gt;"",ABS(T295)&gt;400),TRUE,FALSE))</f>
        <v/>
      </c>
      <c r="O295" s="36" t="n">
        <v>40.15</v>
      </c>
      <c r="P295" s="51">
        <f>20.3/39.11*2/3</f>
        <v/>
      </c>
      <c r="Q295" s="27" t="inlineStr">
        <is>
          <t>gemischt</t>
        </is>
      </c>
      <c r="R295" s="237" t="n">
        <v>6.15</v>
      </c>
      <c r="S295" s="237">
        <f>P295*R295</f>
        <v/>
      </c>
      <c r="T295" s="208">
        <f>O295*P295</f>
        <v/>
      </c>
      <c r="U295" s="251">
        <f>O295+R295</f>
        <v/>
      </c>
      <c r="V295" s="251">
        <f>T295+S295</f>
        <v/>
      </c>
      <c r="W295" s="35">
        <f>voranmeldefrist_vierteljaehrlich(F295)</f>
        <v/>
      </c>
      <c r="X295" s="35" t="n"/>
      <c r="Z295" s="210">
        <f>IF(N295=TRUE,T295/M295,T295)</f>
        <v/>
      </c>
      <c r="AA295" s="237">
        <f>Y295/100*V295</f>
        <v/>
      </c>
      <c r="AB295">
        <f>IF(AND(Y295&gt;0,Q295=Y295),TRUE,FALSE)</f>
        <v/>
      </c>
    </row>
    <row r="296">
      <c r="A296" t="n">
        <v>294</v>
      </c>
      <c r="D296" s="9" t="inlineStr">
        <is>
          <t>161430714-00</t>
        </is>
      </c>
      <c r="F296" s="1" t="n">
        <v>42724</v>
      </c>
      <c r="G296" t="inlineStr">
        <is>
          <t>Nachtrag UPC 2016-12</t>
        </is>
      </c>
      <c r="L296" s="16" t="inlineStr">
        <is>
          <t>Telefon/Internet</t>
        </is>
      </c>
      <c r="M296" s="16">
        <f>IF(L296="Waren, Rohstoffe, Hilfsstoffe", "Weiterverkauf", "")</f>
        <v/>
      </c>
      <c r="N296">
        <f>(IF(AND(M296&lt;&gt;"",ABS(T296)&gt;400),TRUE,FALSE))</f>
        <v/>
      </c>
      <c r="O296" s="36" t="n">
        <v>40.15</v>
      </c>
      <c r="P296" s="51">
        <f>20.3/39.11*2/3</f>
        <v/>
      </c>
      <c r="Q296" s="27" t="inlineStr">
        <is>
          <t>gemischt</t>
        </is>
      </c>
      <c r="R296" s="237" t="n">
        <v>6.15</v>
      </c>
      <c r="S296" s="237">
        <f>P296*R296</f>
        <v/>
      </c>
      <c r="T296" s="208">
        <f>O296*P296</f>
        <v/>
      </c>
      <c r="U296" s="251">
        <f>O296+R296</f>
        <v/>
      </c>
      <c r="V296" s="251">
        <f>T296+S296</f>
        <v/>
      </c>
      <c r="W296" s="35">
        <f>voranmeldefrist_vierteljaehrlich(F296)</f>
        <v/>
      </c>
      <c r="X296" s="35" t="n"/>
      <c r="Z296" s="210">
        <f>IF(N296=TRUE,T296/M296,T296)</f>
        <v/>
      </c>
      <c r="AA296" s="237">
        <f>Y296/100*V296</f>
        <v/>
      </c>
      <c r="AB296">
        <f>IF(AND(Y296&gt;0,Q296=Y296),TRUE,FALSE)</f>
        <v/>
      </c>
    </row>
    <row r="297">
      <c r="A297" t="n">
        <v>295</v>
      </c>
      <c r="B297" s="53" t="n">
        <v>2018</v>
      </c>
      <c r="C297" s="53" t="n">
        <v>5</v>
      </c>
      <c r="D297" s="9" t="n">
        <v>14002676583</v>
      </c>
      <c r="F297" s="1" t="n">
        <v>43115</v>
      </c>
      <c r="G297" s="1">
        <f>CONCATENATE(H297,": ",J297)</f>
        <v/>
      </c>
      <c r="H297" t="inlineStr">
        <is>
          <t>MONTANA Energie-Handel AT GmbH</t>
        </is>
      </c>
      <c r="J297" t="inlineStr">
        <is>
          <t>Teilzahlungsbetrag Gas</t>
        </is>
      </c>
      <c r="L297" s="16" t="inlineStr">
        <is>
          <t>sonstige Betriebsausgaben</t>
        </is>
      </c>
      <c r="M297" s="16">
        <f>IF(L297="Waren, Rohstoffe, Hilfsstoffe", "Weiterverkauf", "")</f>
        <v/>
      </c>
      <c r="N297">
        <f>(IF(AND(M297&lt;&gt;"",ABS(T297)&gt;400),TRUE,FALSE))</f>
        <v/>
      </c>
      <c r="O297" s="36" t="n">
        <v>82.5</v>
      </c>
      <c r="P297" s="51">
        <f>Arbeitszimmer!$B$3</f>
        <v/>
      </c>
      <c r="Q297" s="27" t="n">
        <v>20</v>
      </c>
      <c r="R297" s="237">
        <f>O297*Q297/100</f>
        <v/>
      </c>
      <c r="S297" s="237">
        <f>P297*R297</f>
        <v/>
      </c>
      <c r="T297" s="208">
        <f>O297*P297</f>
        <v/>
      </c>
      <c r="U297" s="251">
        <f>O297+R297</f>
        <v/>
      </c>
      <c r="V297" s="251">
        <f>T297+S297</f>
        <v/>
      </c>
      <c r="W297" s="35">
        <f>voranmeldefrist_vierteljaehrlich(F297)</f>
        <v/>
      </c>
      <c r="X297" s="35" t="n">
        <v>43234</v>
      </c>
      <c r="Z297" s="210">
        <f>IF(N297=TRUE,T297/K297,T297)</f>
        <v/>
      </c>
      <c r="AA297" s="237">
        <f>Y297/100*V297</f>
        <v/>
      </c>
      <c r="AB297">
        <f>IF(AND(Y297&gt;0,Q297=Y297),TRUE,FALSE)</f>
        <v/>
      </c>
    </row>
    <row r="298">
      <c r="A298" t="n">
        <v>296</v>
      </c>
      <c r="B298" s="53" t="n">
        <v>2018</v>
      </c>
      <c r="C298" s="53" t="n">
        <v>6</v>
      </c>
      <c r="D298" s="9" t="inlineStr">
        <is>
          <t>34015135358</t>
        </is>
      </c>
      <c r="F298" s="1" t="n">
        <v>43115</v>
      </c>
      <c r="G298" s="1">
        <f>CONCATENATE(H298,": ",J298)</f>
        <v/>
      </c>
      <c r="H298" t="inlineStr">
        <is>
          <t>VERBUND AG, Postfach 8400, 1011 Wien, Österreich</t>
        </is>
      </c>
      <c r="I298" t="inlineStr">
        <is>
          <t>ATU14703908</t>
        </is>
      </c>
      <c r="J298" t="inlineStr">
        <is>
          <t>Teilzahlungsvorschreibung</t>
        </is>
      </c>
      <c r="L298" s="16" t="inlineStr">
        <is>
          <t>sonstige Betriebsausgaben</t>
        </is>
      </c>
      <c r="M298" s="16">
        <f>IF(L298="Waren, Rohstoffe, Hilfsstoffe", "Weiterverkauf", "")</f>
        <v/>
      </c>
      <c r="N298">
        <f>(IF(AND(M298&lt;&gt;"",ABS(T298)&gt;400),TRUE,FALSE))</f>
        <v/>
      </c>
      <c r="O298" s="36" t="n">
        <v>151.67</v>
      </c>
      <c r="P298" s="51">
        <f>Arbeitszimmer!$B$3</f>
        <v/>
      </c>
      <c r="Q298" s="27" t="n">
        <v>20</v>
      </c>
      <c r="R298" s="237">
        <f>O298*Q298/100</f>
        <v/>
      </c>
      <c r="S298" s="237">
        <f>P298*R298</f>
        <v/>
      </c>
      <c r="T298" s="208">
        <f>O298*P298</f>
        <v/>
      </c>
      <c r="U298" s="251">
        <f>O298+R298</f>
        <v/>
      </c>
      <c r="V298" s="251">
        <f>T298+S298</f>
        <v/>
      </c>
      <c r="W298" s="35">
        <f>voranmeldefrist_vierteljaehrlich(F298)</f>
        <v/>
      </c>
      <c r="X298" s="35" t="n">
        <v>43234</v>
      </c>
      <c r="Z298" s="210">
        <f>IF(N298=TRUE,T298/K298,T298)</f>
        <v/>
      </c>
      <c r="AA298" s="237">
        <f>Y298/100*V298</f>
        <v/>
      </c>
      <c r="AB298">
        <f>IF(AND(Y298&gt;0,Q298=Y298),TRUE,FALSE)</f>
        <v/>
      </c>
    </row>
    <row r="299">
      <c r="A299" t="n">
        <v>297</v>
      </c>
      <c r="B299" s="53" t="n">
        <v>2018</v>
      </c>
      <c r="C299" s="53" t="n">
        <v>7</v>
      </c>
      <c r="D299" s="9" t="inlineStr">
        <is>
          <t>2018/8058/18</t>
        </is>
      </c>
      <c r="E299" s="1" t="n">
        <v>42736</v>
      </c>
      <c r="F299" s="1" t="n">
        <v>43125</v>
      </c>
      <c r="G299" s="1">
        <f>CONCATENATE(H299,": ",J299)</f>
        <v/>
      </c>
      <c r="H299" t="inlineStr">
        <is>
          <t>PREMIUM Laudongasse 58 GmbH &amp; Co KG</t>
        </is>
      </c>
      <c r="I299" t="inlineStr">
        <is>
          <t>ATU60795919</t>
        </is>
      </c>
      <c r="J299" t="inlineStr">
        <is>
          <t>Dauerrechnung 2018-D</t>
        </is>
      </c>
      <c r="L299" s="16" t="inlineStr">
        <is>
          <t>Miet- und Pachtaufwand, Leasing</t>
        </is>
      </c>
      <c r="M299" s="16">
        <f>IF(L299="Waren, Rohstoffe, Hilfsstoffe", "Weiterverkauf", "")</f>
        <v/>
      </c>
      <c r="N299">
        <f>(IF(AND(M299&lt;&gt;"",ABS(T299)&gt;400),TRUE,FALSE))</f>
        <v/>
      </c>
      <c r="O299" s="36">
        <f>797.61/1.1</f>
        <v/>
      </c>
      <c r="P299" s="51">
        <f>Arbeitszimmer!$B$3</f>
        <v/>
      </c>
      <c r="Q299" s="27" t="n">
        <v>10</v>
      </c>
      <c r="R299" s="237">
        <f>O299*Q299/100</f>
        <v/>
      </c>
      <c r="S299" s="237">
        <f>P299*R299</f>
        <v/>
      </c>
      <c r="T299" s="208">
        <f>O299*P299</f>
        <v/>
      </c>
      <c r="U299" s="251">
        <f>O299+R299</f>
        <v/>
      </c>
      <c r="V299" s="251">
        <f>T299+S299</f>
        <v/>
      </c>
      <c r="W299" s="35">
        <f>voranmeldefrist_vierteljaehrlich(F299)</f>
        <v/>
      </c>
      <c r="X299" s="35" t="n">
        <v>43234</v>
      </c>
      <c r="Z299" s="210">
        <f>IF(N299=TRUE,T299/M299,T299)</f>
        <v/>
      </c>
      <c r="AA299" s="237">
        <f>Y299/100*V299</f>
        <v/>
      </c>
      <c r="AB299">
        <f>IF(AND(Y299&gt;0,Q299=Y299),TRUE,FALSE)</f>
        <v/>
      </c>
    </row>
    <row r="300">
      <c r="A300" t="n">
        <v>298</v>
      </c>
      <c r="B300" s="53" t="n">
        <v>2018</v>
      </c>
      <c r="C300" s="53" t="n">
        <v>8</v>
      </c>
      <c r="D300" s="9" t="inlineStr">
        <is>
          <t>E050058GBA</t>
        </is>
      </c>
      <c r="F300" s="1" t="n">
        <v>43121</v>
      </c>
      <c r="G300" t="inlineStr">
        <is>
          <t>Microsoft Ireland Operations Ltd, One Microsoft Place, South County Business Park Leopardstown Dublin 18, D18 P521 Irland: Office 365 Business Essentials (monatlich)</t>
        </is>
      </c>
      <c r="L300" s="16" t="inlineStr">
        <is>
          <t>sonstige Betriebsausgaben</t>
        </is>
      </c>
      <c r="M300" s="16">
        <f>IF(L300="Waren, Rohstoffe, Hilfsstoffe", "Weiterverkauf", "")</f>
        <v/>
      </c>
      <c r="N300">
        <f>(IF(AND(M300&lt;&gt;"",ABS(T300)&gt;400),TRUE,FALSE))</f>
        <v/>
      </c>
      <c r="O300" s="36" t="n">
        <v>15.3</v>
      </c>
      <c r="P300" s="51" t="n">
        <v>1</v>
      </c>
      <c r="Q300" s="27" t="n">
        <v>20</v>
      </c>
      <c r="R300" s="237">
        <f>O300*Q300/100</f>
        <v/>
      </c>
      <c r="S300" s="237">
        <f>P300*R300</f>
        <v/>
      </c>
      <c r="T300" s="208">
        <f>O300*P300</f>
        <v/>
      </c>
      <c r="U300" s="251">
        <f>O300+R300</f>
        <v/>
      </c>
      <c r="V300" s="251">
        <f>T300+S300</f>
        <v/>
      </c>
      <c r="W300" s="35">
        <f>voranmeldefrist_vierteljaehrlich(F300)</f>
        <v/>
      </c>
      <c r="X300" s="35" t="n">
        <v>43234</v>
      </c>
      <c r="Z300" s="210">
        <f>IF(N300=TRUE,T300/M300,T300)</f>
        <v/>
      </c>
      <c r="AA300" s="237">
        <f>Y300/100*V300</f>
        <v/>
      </c>
      <c r="AB300">
        <f>IF(AND(Y300&gt;0,Q300=Y300),TRUE,FALSE)</f>
        <v/>
      </c>
    </row>
    <row r="301">
      <c r="A301" t="n">
        <v>299</v>
      </c>
      <c r="B301" s="53" t="n">
        <v>2018</v>
      </c>
      <c r="C301" s="53" t="n">
        <v>9</v>
      </c>
      <c r="D301" s="9" t="inlineStr">
        <is>
          <t>RE0562181</t>
        </is>
      </c>
      <c r="F301" s="1" t="n">
        <v>43121</v>
      </c>
      <c r="G301" s="1" t="inlineStr">
        <is>
          <t>easyname jarosoft.at</t>
        </is>
      </c>
      <c r="I301" t="inlineStr">
        <is>
          <t>ATU68122177</t>
        </is>
      </c>
      <c r="L301" s="16" t="inlineStr">
        <is>
          <t>sonstige Betriebsausgaben</t>
        </is>
      </c>
      <c r="M301" s="16">
        <f>IF(L301="Waren, Rohstoffe, Hilfsstoffe", "Weiterverkauf", "")</f>
        <v/>
      </c>
      <c r="N301">
        <f>(IF(AND(M301&lt;&gt;"",ABS(T301)&gt;400),TRUE,FALSE))</f>
        <v/>
      </c>
      <c r="O301" s="36" t="n">
        <v>12.42</v>
      </c>
      <c r="P301" s="51" t="n">
        <v>1</v>
      </c>
      <c r="Q301" s="27" t="n">
        <v>20</v>
      </c>
      <c r="R301" s="237">
        <f>O301*Q301/100</f>
        <v/>
      </c>
      <c r="S301" s="237">
        <f>P301*R301</f>
        <v/>
      </c>
      <c r="T301" s="208">
        <f>O301*P301</f>
        <v/>
      </c>
      <c r="U301" s="251">
        <f>O301+R301</f>
        <v/>
      </c>
      <c r="V301" s="251">
        <f>T301+S301</f>
        <v/>
      </c>
      <c r="W301" s="35">
        <f>voranmeldefrist_vierteljaehrlich(F301)</f>
        <v/>
      </c>
      <c r="X301" s="35" t="n">
        <v>43234</v>
      </c>
      <c r="Z301" s="210">
        <f>IF(N301=TRUE,T301/K301,T301)</f>
        <v/>
      </c>
      <c r="AA301" s="237">
        <f>Y301/100*V301</f>
        <v/>
      </c>
      <c r="AB301">
        <f>IF(AND(Y301&gt;0,Q301=Y301),TRUE,FALSE)</f>
        <v/>
      </c>
    </row>
    <row r="302">
      <c r="A302" t="n">
        <v>300</v>
      </c>
      <c r="D302" s="9" t="inlineStr">
        <is>
          <t>161912688-00</t>
        </is>
      </c>
      <c r="F302" s="1" t="n">
        <v>42752</v>
      </c>
      <c r="G302" t="inlineStr">
        <is>
          <t>Nachtrag UPC 2017-1</t>
        </is>
      </c>
      <c r="L302" s="16" t="inlineStr">
        <is>
          <t>Telefon/Internet</t>
        </is>
      </c>
      <c r="M302" s="16">
        <f>IF(L302="Waren, Rohstoffe, Hilfsstoffe", "Weiterverkauf", "")</f>
        <v/>
      </c>
      <c r="N302">
        <f>(IF(AND(M302&lt;&gt;"",ABS(T302)&gt;400),TRUE,FALSE))</f>
        <v/>
      </c>
      <c r="O302" s="36">
        <f>20.61+1.04+2.5-2.5</f>
        <v/>
      </c>
      <c r="P302" s="51">
        <f>2/3</f>
        <v/>
      </c>
      <c r="Q302" s="27" t="n">
        <v>20</v>
      </c>
      <c r="R302" s="237">
        <f>Q302%*O302</f>
        <v/>
      </c>
      <c r="S302" s="237">
        <f>P302*R302</f>
        <v/>
      </c>
      <c r="T302" s="208">
        <f>O302*P302</f>
        <v/>
      </c>
      <c r="U302" s="251">
        <f>O302+R302</f>
        <v/>
      </c>
      <c r="V302" s="251">
        <f>T302+S302</f>
        <v/>
      </c>
      <c r="W302" s="35">
        <f>voranmeldefrist_vierteljaehrlich(F302)</f>
        <v/>
      </c>
      <c r="X302" s="35" t="n"/>
      <c r="Z302" s="210">
        <f>IF(N302=TRUE,T302/M302,T302)</f>
        <v/>
      </c>
      <c r="AA302" s="237">
        <f>Y302/100*V302</f>
        <v/>
      </c>
      <c r="AB302">
        <f>IF(AND(Y302&gt;0,Q302=Y302),TRUE,FALSE)</f>
        <v/>
      </c>
      <c r="AC302">
        <f>Z302&lt;&gt;T302</f>
        <v/>
      </c>
    </row>
    <row r="303">
      <c r="A303" t="n">
        <v>301</v>
      </c>
      <c r="D303" s="9" t="inlineStr">
        <is>
          <t>162355217-00</t>
        </is>
      </c>
      <c r="F303" s="1" t="n">
        <v>42782</v>
      </c>
      <c r="G303" t="inlineStr">
        <is>
          <t>Nachtrag UPC 2017-2</t>
        </is>
      </c>
      <c r="L303" s="16" t="inlineStr">
        <is>
          <t>Telefon/Internet</t>
        </is>
      </c>
      <c r="M303" s="16">
        <f>IF(L303="Waren, Rohstoffe, Hilfsstoffe", "Weiterverkauf", "")</f>
        <v/>
      </c>
      <c r="N303">
        <f>(IF(AND(M303&lt;&gt;"",ABS(T303)&gt;400),TRUE,FALSE))</f>
        <v/>
      </c>
      <c r="O303" s="36">
        <f>20.61+1.04+2.5-2.5</f>
        <v/>
      </c>
      <c r="P303" s="51">
        <f>2/3</f>
        <v/>
      </c>
      <c r="Q303" s="27" t="n">
        <v>20</v>
      </c>
      <c r="R303" s="237">
        <f>Q303%*O303</f>
        <v/>
      </c>
      <c r="S303" s="237">
        <f>P303*R303</f>
        <v/>
      </c>
      <c r="T303" s="208">
        <f>O303*P303</f>
        <v/>
      </c>
      <c r="U303" s="251">
        <f>O303+R303</f>
        <v/>
      </c>
      <c r="V303" s="251">
        <f>T303+S303</f>
        <v/>
      </c>
      <c r="W303" s="35">
        <f>voranmeldefrist_vierteljaehrlich(F303)</f>
        <v/>
      </c>
      <c r="X303" s="35" t="n"/>
      <c r="Z303" s="210">
        <f>IF(N303=TRUE,T303/M303,T303)</f>
        <v/>
      </c>
      <c r="AA303" s="237">
        <f>Y303/100*V303</f>
        <v/>
      </c>
      <c r="AB303">
        <f>IF(AND(Y303&gt;0,Q303=Y303),TRUE,FALSE)</f>
        <v/>
      </c>
      <c r="AC303">
        <f>Z303&lt;&gt;T303</f>
        <v/>
      </c>
    </row>
    <row r="304">
      <c r="A304" t="n">
        <v>302</v>
      </c>
      <c r="D304" s="9" t="inlineStr">
        <is>
          <t>162806671-00</t>
        </is>
      </c>
      <c r="F304" s="1" t="n">
        <v>42810</v>
      </c>
      <c r="G304" t="inlineStr">
        <is>
          <t>Nachtrag UPC 2017-3</t>
        </is>
      </c>
      <c r="L304" s="16" t="inlineStr">
        <is>
          <t>Telefon/Internet</t>
        </is>
      </c>
      <c r="N304">
        <f>(IF(AND(M304&lt;&gt;"",ABS(T304)&gt;400),TRUE,FALSE))</f>
        <v/>
      </c>
      <c r="O304" s="36">
        <f>20.61+1.04+2.5-2.5</f>
        <v/>
      </c>
      <c r="P304" s="51">
        <f>2/3</f>
        <v/>
      </c>
      <c r="Q304" s="27" t="n">
        <v>20</v>
      </c>
      <c r="R304" s="237">
        <f>Q304%*O304</f>
        <v/>
      </c>
      <c r="S304" s="237">
        <f>P304*R304</f>
        <v/>
      </c>
      <c r="T304" s="208">
        <f>O304*P304</f>
        <v/>
      </c>
      <c r="U304" s="251">
        <f>O304+R304</f>
        <v/>
      </c>
      <c r="V304" s="251">
        <f>T304+S304</f>
        <v/>
      </c>
      <c r="W304" s="35">
        <f>voranmeldefrist_vierteljaehrlich(F304)</f>
        <v/>
      </c>
      <c r="X304" s="35" t="n"/>
      <c r="Z304" s="210">
        <f>IF(N304=TRUE,T304/M304,T304)</f>
        <v/>
      </c>
      <c r="AA304" s="237">
        <f>Y304/100*V304</f>
        <v/>
      </c>
      <c r="AB304">
        <f>IF(AND(Y304&gt;0,Q304=Y304),TRUE,FALSE)</f>
        <v/>
      </c>
      <c r="AC304">
        <f>Z304&lt;&gt;T304</f>
        <v/>
      </c>
    </row>
    <row r="305">
      <c r="A305" t="n">
        <v>303</v>
      </c>
      <c r="D305" s="9" t="inlineStr">
        <is>
          <t>163259537-00</t>
        </is>
      </c>
      <c r="F305" s="1" t="n">
        <v>42843</v>
      </c>
      <c r="G305" t="inlineStr">
        <is>
          <t>Nachtrag UPC 2017-4</t>
        </is>
      </c>
      <c r="L305" s="16" t="inlineStr">
        <is>
          <t>Telefon/Internet</t>
        </is>
      </c>
      <c r="M305" s="16">
        <f>IF(L305="Waren, Rohstoffe, Hilfsstoffe", "Weiterverkauf", "")</f>
        <v/>
      </c>
      <c r="N305">
        <f>(IF(AND(M305&lt;&gt;"",ABS(T305)&gt;400),TRUE,FALSE))</f>
        <v/>
      </c>
      <c r="O305" s="36">
        <f>20.61+1.04+2.5-2.5</f>
        <v/>
      </c>
      <c r="P305" s="51">
        <f>2/3</f>
        <v/>
      </c>
      <c r="Q305" s="27" t="n">
        <v>20</v>
      </c>
      <c r="R305" s="237">
        <f>Q305%*O305</f>
        <v/>
      </c>
      <c r="S305" s="237">
        <f>P305*R305</f>
        <v/>
      </c>
      <c r="T305" s="208">
        <f>O305*P305</f>
        <v/>
      </c>
      <c r="U305" s="251">
        <f>O305+R305</f>
        <v/>
      </c>
      <c r="V305" s="251">
        <f>T305+S305</f>
        <v/>
      </c>
      <c r="W305" s="35">
        <f>voranmeldefrist_vierteljaehrlich(F305)</f>
        <v/>
      </c>
      <c r="X305" s="35" t="n"/>
      <c r="Z305" s="210">
        <f>IF(N305=TRUE,T305/M305,T305)</f>
        <v/>
      </c>
      <c r="AA305" s="237">
        <f>Y305/100*V305</f>
        <v/>
      </c>
      <c r="AB305">
        <f>IF(AND(Y305&gt;0,Q305=Y305),TRUE,FALSE)</f>
        <v/>
      </c>
      <c r="AC305">
        <f>Z305&lt;&gt;T305</f>
        <v/>
      </c>
    </row>
    <row r="306">
      <c r="A306" t="n">
        <v>304</v>
      </c>
      <c r="D306" s="9" t="inlineStr">
        <is>
          <t>163739259-00</t>
        </is>
      </c>
      <c r="F306" s="1" t="n">
        <v>42873</v>
      </c>
      <c r="G306" t="inlineStr">
        <is>
          <t>Nachtrag UPC 2017-5</t>
        </is>
      </c>
      <c r="L306" s="16" t="inlineStr">
        <is>
          <t>Telefon/Internet</t>
        </is>
      </c>
      <c r="M306" s="16">
        <f>IF(L306="Waren, Rohstoffe, Hilfsstoffe", "Weiterverkauf", "")</f>
        <v/>
      </c>
      <c r="N306">
        <f>(IF(AND(M306&lt;&gt;"",ABS(T306)&gt;400),TRUE,FALSE))</f>
        <v/>
      </c>
      <c r="O306" s="36">
        <f>20.61+1.04+2.5-2.5</f>
        <v/>
      </c>
      <c r="P306" s="51">
        <f>2/3</f>
        <v/>
      </c>
      <c r="Q306" s="27" t="n">
        <v>20</v>
      </c>
      <c r="R306" s="237">
        <f>Q306%*O306</f>
        <v/>
      </c>
      <c r="S306" s="237">
        <f>P306*R306</f>
        <v/>
      </c>
      <c r="T306" s="208">
        <f>O306*P306</f>
        <v/>
      </c>
      <c r="U306" s="251">
        <f>O306+R306</f>
        <v/>
      </c>
      <c r="V306" s="251">
        <f>T306+S306</f>
        <v/>
      </c>
      <c r="W306" s="35">
        <f>voranmeldefrist_vierteljaehrlich(F306)</f>
        <v/>
      </c>
      <c r="X306" s="35" t="n"/>
      <c r="Z306" s="210">
        <f>IF(N306=TRUE,T306/M306,T306)</f>
        <v/>
      </c>
      <c r="AA306" s="237">
        <f>Y306/100*V306</f>
        <v/>
      </c>
      <c r="AB306">
        <f>IF(AND(Y306&gt;0,Q306=Y306),TRUE,FALSE)</f>
        <v/>
      </c>
      <c r="AC306">
        <f>Z306&lt;&gt;T306</f>
        <v/>
      </c>
    </row>
    <row r="307">
      <c r="A307" t="n">
        <v>305</v>
      </c>
      <c r="D307" s="9" t="inlineStr">
        <is>
          <t>164194770-00</t>
        </is>
      </c>
      <c r="F307" s="1" t="n">
        <v>42906</v>
      </c>
      <c r="G307" t="inlineStr">
        <is>
          <t>Nachtrag UPC 2017-6</t>
        </is>
      </c>
      <c r="L307" s="16" t="inlineStr">
        <is>
          <t>Telefon/Internet</t>
        </is>
      </c>
      <c r="M307" s="16">
        <f>IF(L307="Waren, Rohstoffe, Hilfsstoffe", "Weiterverkauf", "")</f>
        <v/>
      </c>
      <c r="N307">
        <f>(IF(AND(M307&lt;&gt;"",ABS(T307)&gt;400),TRUE,FALSE))</f>
        <v/>
      </c>
      <c r="O307" s="36">
        <f>20.61+1.04+2.5-2.5</f>
        <v/>
      </c>
      <c r="P307" s="51">
        <f>2/3</f>
        <v/>
      </c>
      <c r="Q307" s="27" t="n">
        <v>20</v>
      </c>
      <c r="R307" s="237">
        <f>Q307%*O307</f>
        <v/>
      </c>
      <c r="S307" s="237">
        <f>P307*R307</f>
        <v/>
      </c>
      <c r="T307" s="208">
        <f>O307*P307</f>
        <v/>
      </c>
      <c r="U307" s="251">
        <f>O307+R307</f>
        <v/>
      </c>
      <c r="V307" s="251">
        <f>T307+S307</f>
        <v/>
      </c>
      <c r="W307" s="35">
        <f>voranmeldefrist_vierteljaehrlich(F307)</f>
        <v/>
      </c>
      <c r="X307" s="35" t="n"/>
      <c r="Z307" s="210">
        <f>IF(N307=TRUE,T307/M307,T307)</f>
        <v/>
      </c>
      <c r="AA307" s="237">
        <f>Y307/100*V307</f>
        <v/>
      </c>
      <c r="AB307">
        <f>IF(AND(Y307&gt;0,Q307=Y307),TRUE,FALSE)</f>
        <v/>
      </c>
      <c r="AC307">
        <f>Z307&lt;&gt;T307</f>
        <v/>
      </c>
    </row>
    <row r="308">
      <c r="A308" t="n">
        <v>306</v>
      </c>
      <c r="D308" s="9" t="inlineStr">
        <is>
          <t>164485132-00</t>
        </is>
      </c>
      <c r="F308" s="1" t="n">
        <v>42920</v>
      </c>
      <c r="G308" t="inlineStr">
        <is>
          <t>Nachtrag UPC 2017-7</t>
        </is>
      </c>
      <c r="L308" s="16" t="inlineStr">
        <is>
          <t>Telefon/Internet</t>
        </is>
      </c>
      <c r="M308" s="16">
        <f>IF(L308="Waren, Rohstoffe, Hilfsstoffe", "Weiterverkauf", "")</f>
        <v/>
      </c>
      <c r="N308">
        <f>(IF(AND(M308&lt;&gt;"",ABS(T308)&gt;400),TRUE,FALSE))</f>
        <v/>
      </c>
      <c r="O308" s="36">
        <f>20.61+1.04+2.5-2.5</f>
        <v/>
      </c>
      <c r="P308" s="51">
        <f>2/3</f>
        <v/>
      </c>
      <c r="Q308" s="27" t="n">
        <v>20</v>
      </c>
      <c r="R308" s="237">
        <f>Q308%*O308</f>
        <v/>
      </c>
      <c r="S308" s="237">
        <f>P308*R308</f>
        <v/>
      </c>
      <c r="T308" s="208">
        <f>O308*P308</f>
        <v/>
      </c>
      <c r="U308" s="251">
        <f>O308+R308</f>
        <v/>
      </c>
      <c r="V308" s="251">
        <f>T308+S308</f>
        <v/>
      </c>
      <c r="W308" s="35">
        <f>voranmeldefrist_vierteljaehrlich(F308)</f>
        <v/>
      </c>
      <c r="X308" s="35" t="n"/>
      <c r="Z308" s="210">
        <f>IF(N308=TRUE,T308/M308,T308)</f>
        <v/>
      </c>
      <c r="AA308" s="237">
        <f>Y308/100*V308</f>
        <v/>
      </c>
      <c r="AB308">
        <f>IF(AND(Y308&gt;0,Q308=Y308),TRUE,FALSE)</f>
        <v/>
      </c>
      <c r="AC308">
        <f>Z308&lt;&gt;T308</f>
        <v/>
      </c>
    </row>
    <row r="309">
      <c r="A309" t="n">
        <v>307</v>
      </c>
      <c r="D309" s="9" t="inlineStr">
        <is>
          <t>164944624-00</t>
        </is>
      </c>
      <c r="F309" s="1" t="n">
        <v>42950</v>
      </c>
      <c r="G309" t="inlineStr">
        <is>
          <t>Nachtrag UPC 2017-8</t>
        </is>
      </c>
      <c r="L309" s="16" t="inlineStr">
        <is>
          <t>Telefon/Internet</t>
        </is>
      </c>
      <c r="M309" s="16">
        <f>IF(L309="Waren, Rohstoffe, Hilfsstoffe", "Weiterverkauf", "")</f>
        <v/>
      </c>
      <c r="N309">
        <f>(IF(AND(M309&lt;&gt;"",ABS(T309)&gt;400),TRUE,FALSE))</f>
        <v/>
      </c>
      <c r="O309" s="36">
        <f>20.61+1.04+2.5-2.5</f>
        <v/>
      </c>
      <c r="P309" s="51">
        <f>2/3</f>
        <v/>
      </c>
      <c r="Q309" s="27" t="n">
        <v>20</v>
      </c>
      <c r="R309" s="237">
        <f>Q309%*O309</f>
        <v/>
      </c>
      <c r="S309" s="237">
        <f>P309*R309</f>
        <v/>
      </c>
      <c r="T309" s="208">
        <f>O309*P309</f>
        <v/>
      </c>
      <c r="U309" s="251">
        <f>O309+R309</f>
        <v/>
      </c>
      <c r="V309" s="251">
        <f>T309+S309</f>
        <v/>
      </c>
      <c r="W309" s="35">
        <f>voranmeldefrist_vierteljaehrlich(F309)</f>
        <v/>
      </c>
      <c r="X309" s="35" t="n"/>
      <c r="Z309" s="210">
        <f>IF(N309=TRUE,T309/M309,T309)</f>
        <v/>
      </c>
      <c r="AA309" s="237">
        <f>Y309/100*V309</f>
        <v/>
      </c>
      <c r="AB309">
        <f>IF(AND(Y309&gt;0,Q309=Y309),TRUE,FALSE)</f>
        <v/>
      </c>
      <c r="AC309">
        <f>Z309&lt;&gt;T309</f>
        <v/>
      </c>
    </row>
    <row r="310">
      <c r="A310" t="n">
        <v>308</v>
      </c>
      <c r="D310" s="9" t="inlineStr">
        <is>
          <t>165431550-00</t>
        </is>
      </c>
      <c r="F310" s="1" t="n">
        <v>42983</v>
      </c>
      <c r="G310" t="inlineStr">
        <is>
          <t>Nachtrag UPC 2017-9</t>
        </is>
      </c>
      <c r="L310" s="16" t="inlineStr">
        <is>
          <t>Telefon/Internet</t>
        </is>
      </c>
      <c r="M310" s="16">
        <f>IF(L310="Waren, Rohstoffe, Hilfsstoffe", "Weiterverkauf", "")</f>
        <v/>
      </c>
      <c r="N310">
        <f>(IF(AND(M310&lt;&gt;"",ABS(T310)&gt;400),TRUE,FALSE))</f>
        <v/>
      </c>
      <c r="O310" s="36">
        <f>20.61+1.04+2.5-2.5</f>
        <v/>
      </c>
      <c r="P310" s="51">
        <f>2/3</f>
        <v/>
      </c>
      <c r="Q310" s="27" t="n">
        <v>20</v>
      </c>
      <c r="R310" s="237">
        <f>Q310%*O310</f>
        <v/>
      </c>
      <c r="S310" s="237">
        <f>P310*R310</f>
        <v/>
      </c>
      <c r="T310" s="208">
        <f>O310*P310</f>
        <v/>
      </c>
      <c r="U310" s="251">
        <f>O310+R310</f>
        <v/>
      </c>
      <c r="V310" s="251">
        <f>T310+S310</f>
        <v/>
      </c>
      <c r="W310" s="35">
        <f>voranmeldefrist_vierteljaehrlich(F310)</f>
        <v/>
      </c>
      <c r="X310" s="35" t="n"/>
      <c r="Z310" s="210">
        <f>IF(N310=TRUE,T310/M310,T310)</f>
        <v/>
      </c>
      <c r="AA310" s="237">
        <f>Y310/100*V310</f>
        <v/>
      </c>
      <c r="AB310">
        <f>IF(AND(Y310&gt;0,Q310=Y310),TRUE,FALSE)</f>
        <v/>
      </c>
      <c r="AC310">
        <f>Z310&lt;&gt;T310</f>
        <v/>
      </c>
    </row>
    <row r="311">
      <c r="A311" t="n">
        <v>309</v>
      </c>
      <c r="D311" s="9" t="inlineStr">
        <is>
          <t>165891138-00</t>
        </is>
      </c>
      <c r="F311" s="1" t="n">
        <v>43013</v>
      </c>
      <c r="G311" t="inlineStr">
        <is>
          <t>Nachtrag UPC 2017-10</t>
        </is>
      </c>
      <c r="L311" s="16" t="inlineStr">
        <is>
          <t>Telefon/Internet</t>
        </is>
      </c>
      <c r="M311" s="16">
        <f>IF(L311="Waren, Rohstoffe, Hilfsstoffe", "Weiterverkauf", "")</f>
        <v/>
      </c>
      <c r="N311">
        <f>(IF(AND(M311&lt;&gt;"",ABS(T311)&gt;400),TRUE,FALSE))</f>
        <v/>
      </c>
      <c r="O311" s="36">
        <f>20.61+1.04+2.5-2.5</f>
        <v/>
      </c>
      <c r="P311" s="51">
        <f>2/3</f>
        <v/>
      </c>
      <c r="Q311" s="27" t="n">
        <v>20</v>
      </c>
      <c r="R311" s="237">
        <f>Q311%*O311</f>
        <v/>
      </c>
      <c r="S311" s="237">
        <f>P311*R311</f>
        <v/>
      </c>
      <c r="T311" s="208">
        <f>O311*P311</f>
        <v/>
      </c>
      <c r="U311" s="251">
        <f>O311+R311</f>
        <v/>
      </c>
      <c r="V311" s="251">
        <f>T311+S311</f>
        <v/>
      </c>
      <c r="W311" s="35">
        <f>voranmeldefrist_vierteljaehrlich(F311)</f>
        <v/>
      </c>
      <c r="X311" s="35" t="n">
        <v>43134</v>
      </c>
      <c r="Z311" s="210">
        <f>IF(N311=TRUE,T311/M311,T311)</f>
        <v/>
      </c>
      <c r="AA311" s="237">
        <f>Y311/100*V311</f>
        <v/>
      </c>
      <c r="AB311">
        <f>IF(AND(Y311&gt;0,Q311=Y311),TRUE,FALSE)</f>
        <v/>
      </c>
      <c r="AC311">
        <f>Z311&lt;&gt;T311</f>
        <v/>
      </c>
    </row>
    <row r="312">
      <c r="A312" t="n">
        <v>310</v>
      </c>
      <c r="D312" s="9" t="inlineStr">
        <is>
          <t>166356416-00</t>
        </is>
      </c>
      <c r="F312" s="1" t="n">
        <v>43046</v>
      </c>
      <c r="G312" t="inlineStr">
        <is>
          <t>Nachtrag UPC 2017-11</t>
        </is>
      </c>
      <c r="L312" s="16" t="inlineStr">
        <is>
          <t>Telefon/Internet</t>
        </is>
      </c>
      <c r="M312" s="16">
        <f>IF(L312="Waren, Rohstoffe, Hilfsstoffe", "Weiterverkauf", "")</f>
        <v/>
      </c>
      <c r="N312">
        <f>(IF(AND(M312&lt;&gt;"",ABS(T312)&gt;400),TRUE,FALSE))</f>
        <v/>
      </c>
      <c r="O312" s="36">
        <f>20.61+1.04+2.5-2.5</f>
        <v/>
      </c>
      <c r="P312" s="51">
        <f>2/3</f>
        <v/>
      </c>
      <c r="Q312" s="27" t="n">
        <v>20</v>
      </c>
      <c r="R312" s="237">
        <f>Q312%*O312</f>
        <v/>
      </c>
      <c r="S312" s="237">
        <f>P312*R312</f>
        <v/>
      </c>
      <c r="T312" s="208">
        <f>O312*P312</f>
        <v/>
      </c>
      <c r="U312" s="251">
        <f>O312+R312</f>
        <v/>
      </c>
      <c r="V312" s="251">
        <f>T312+S312</f>
        <v/>
      </c>
      <c r="W312" s="35">
        <f>voranmeldefrist_vierteljaehrlich(F312)</f>
        <v/>
      </c>
      <c r="X312" s="35" t="n">
        <v>43134</v>
      </c>
      <c r="Z312" s="210">
        <f>IF(N312=TRUE,T312/M312,T312)</f>
        <v/>
      </c>
      <c r="AA312" s="237">
        <f>Y312/100*V312</f>
        <v/>
      </c>
      <c r="AB312">
        <f>IF(AND(Y312&gt;0,Q312=Y312),TRUE,FALSE)</f>
        <v/>
      </c>
      <c r="AC312">
        <f>Z312&lt;&gt;T312</f>
        <v/>
      </c>
    </row>
    <row r="313">
      <c r="A313" t="n">
        <v>311</v>
      </c>
      <c r="D313" s="9" t="inlineStr">
        <is>
          <t>166818894-00</t>
        </is>
      </c>
      <c r="F313" s="1" t="n">
        <v>43074</v>
      </c>
      <c r="G313" t="inlineStr">
        <is>
          <t>Nachtrag UPC 2017-12</t>
        </is>
      </c>
      <c r="L313" s="16" t="inlineStr">
        <is>
          <t>Telefon/Internet</t>
        </is>
      </c>
      <c r="M313" s="16">
        <f>IF(L313="Waren, Rohstoffe, Hilfsstoffe", "Weiterverkauf", "")</f>
        <v/>
      </c>
      <c r="N313">
        <f>(IF(AND(M313&lt;&gt;"",ABS(T313)&gt;400),TRUE,FALSE))</f>
        <v/>
      </c>
      <c r="O313" s="36">
        <f>20.66+1.04+2.5-2.5</f>
        <v/>
      </c>
      <c r="P313" s="51">
        <f>2/3</f>
        <v/>
      </c>
      <c r="Q313" s="27" t="n">
        <v>20</v>
      </c>
      <c r="R313" s="237">
        <f>Q313%*O313</f>
        <v/>
      </c>
      <c r="S313" s="237">
        <f>P313*R313</f>
        <v/>
      </c>
      <c r="T313" s="208">
        <f>O313*P313</f>
        <v/>
      </c>
      <c r="U313" s="251">
        <f>O313+R313</f>
        <v/>
      </c>
      <c r="V313" s="251">
        <f>T313+S313</f>
        <v/>
      </c>
      <c r="W313" s="35">
        <f>voranmeldefrist_vierteljaehrlich(F313)</f>
        <v/>
      </c>
      <c r="X313" s="35" t="n">
        <v>43134</v>
      </c>
      <c r="Z313" s="210">
        <f>IF(N313=TRUE,T313/M313,T313)</f>
        <v/>
      </c>
      <c r="AA313" s="237">
        <f>Y313/100*V313</f>
        <v/>
      </c>
      <c r="AB313">
        <f>IF(AND(Y313&gt;0,Q313=Y313),TRUE,FALSE)</f>
        <v/>
      </c>
      <c r="AC313">
        <f>Z313&lt;&gt;T313</f>
        <v/>
      </c>
    </row>
    <row r="314">
      <c r="A314" t="n">
        <v>312</v>
      </c>
      <c r="B314" s="53" t="n">
        <v>2018</v>
      </c>
      <c r="C314" s="53" t="n">
        <v>10</v>
      </c>
      <c r="D314" s="9" t="inlineStr">
        <is>
          <t>6149618312</t>
        </is>
      </c>
      <c r="F314" s="1" t="n">
        <v>43132</v>
      </c>
      <c r="G314" t="inlineStr">
        <is>
          <t>Hutchison Drei Austria GmbH, Brünner Straße 52, 1210 Wien, Österreich</t>
        </is>
      </c>
      <c r="L314" s="16" t="inlineStr">
        <is>
          <t>Telefon/Internet</t>
        </is>
      </c>
      <c r="M314" s="16">
        <f>IF(L314="Waren, Rohstoffe, Hilfsstoffe", "Weiterverkauf", "")</f>
        <v/>
      </c>
      <c r="N314">
        <f>(IF(AND(M314&lt;&gt;"",ABS(T314)&gt;400),TRUE,FALSE))</f>
        <v/>
      </c>
      <c r="O314" s="36" t="n">
        <v>15.58</v>
      </c>
      <c r="P314" s="51" t="n">
        <v>1</v>
      </c>
      <c r="Q314" s="27" t="n">
        <v>20</v>
      </c>
      <c r="R314" s="237">
        <f>O314*Q314/100</f>
        <v/>
      </c>
      <c r="S314" s="237">
        <f>P314*R314</f>
        <v/>
      </c>
      <c r="T314" s="208">
        <f>O314*P314</f>
        <v/>
      </c>
      <c r="U314" s="251">
        <f>O314+R314</f>
        <v/>
      </c>
      <c r="V314" s="251">
        <f>T314+S314</f>
        <v/>
      </c>
      <c r="W314" s="35">
        <f>voranmeldefrist_vierteljaehrlich(F314)</f>
        <v/>
      </c>
      <c r="X314" s="35" t="n">
        <v>43234</v>
      </c>
      <c r="Z314" s="210">
        <f>IF(N314=TRUE,T314/M314,T314)</f>
        <v/>
      </c>
      <c r="AA314" s="237">
        <f>Y314/100*V314</f>
        <v/>
      </c>
      <c r="AB314">
        <f>IF(AND(Y314&gt;0,Q314=Y314),TRUE,FALSE)</f>
        <v/>
      </c>
    </row>
    <row r="315">
      <c r="A315" t="n">
        <v>313</v>
      </c>
      <c r="B315" s="53" t="n">
        <v>2018</v>
      </c>
      <c r="C315" s="53" t="n">
        <v>11</v>
      </c>
      <c r="D315" s="9" t="inlineStr">
        <is>
          <t>167750781-00</t>
        </is>
      </c>
      <c r="F315" s="1" t="n">
        <v>43132</v>
      </c>
      <c r="G315" t="inlineStr">
        <is>
          <t>UPC Laudongasse</t>
        </is>
      </c>
      <c r="L315" s="16" t="inlineStr">
        <is>
          <t>Telefon/Internet</t>
        </is>
      </c>
      <c r="M315" s="16">
        <f>IF(L315="Waren, Rohstoffe, Hilfsstoffe", "Weiterverkauf", "")</f>
        <v/>
      </c>
      <c r="N315">
        <f>(IF(AND(M315&lt;&gt;"",ABS(T315)&gt;400),TRUE,FALSE))</f>
        <v/>
      </c>
      <c r="O315" s="36" t="n">
        <v>42.12</v>
      </c>
      <c r="P315" s="51">
        <f>20.3/39.11*2/3</f>
        <v/>
      </c>
      <c r="Q315" s="27" t="inlineStr">
        <is>
          <t>gemischt</t>
        </is>
      </c>
      <c r="R315" s="237" t="n">
        <v>6.38</v>
      </c>
      <c r="S315" s="237">
        <f>P315*R315</f>
        <v/>
      </c>
      <c r="T315" s="208">
        <f>O315*P315</f>
        <v/>
      </c>
      <c r="U315" s="251">
        <f>O315+R315</f>
        <v/>
      </c>
      <c r="V315" s="251">
        <f>T315+S315</f>
        <v/>
      </c>
      <c r="W315" s="35">
        <f>voranmeldefrist_vierteljaehrlich(F315)</f>
        <v/>
      </c>
      <c r="X315" s="35" t="n">
        <v>43234</v>
      </c>
      <c r="Z315" s="210">
        <f>IF(N315=TRUE,T315/M315,T315)</f>
        <v/>
      </c>
      <c r="AA315" s="237">
        <f>Y315/100*V315</f>
        <v/>
      </c>
      <c r="AB315">
        <f>IF(AND(Y315&gt;0,Q315=Y315),TRUE,FALSE)</f>
        <v/>
      </c>
    </row>
    <row r="316">
      <c r="A316" t="n">
        <v>314</v>
      </c>
      <c r="B316" s="53" t="n">
        <v>2018</v>
      </c>
      <c r="C316" s="53" t="n">
        <v>12</v>
      </c>
      <c r="D316" s="9" t="inlineStr">
        <is>
          <t>14002797636/40/2018</t>
        </is>
      </c>
      <c r="F316" s="1" t="n">
        <v>43146</v>
      </c>
      <c r="G316" s="1">
        <f>CONCATENATE(H316,": ",J316)</f>
        <v/>
      </c>
      <c r="H316" t="inlineStr">
        <is>
          <t>MONTANA Energie-Handel AT GmbH</t>
        </is>
      </c>
      <c r="J316" t="inlineStr">
        <is>
          <t>Teilzahlungsbetrag Gas</t>
        </is>
      </c>
      <c r="L316" s="16" t="inlineStr">
        <is>
          <t>sonstige Betriebsausgaben</t>
        </is>
      </c>
      <c r="M316" s="16">
        <f>IF(L316="Waren, Rohstoffe, Hilfsstoffe", "Weiterverkauf", "")</f>
        <v/>
      </c>
      <c r="N316">
        <f>(IF(AND(M316&lt;&gt;"",ABS(T316)&gt;400),TRUE,FALSE))</f>
        <v/>
      </c>
      <c r="O316" s="36" t="n">
        <v>82.5</v>
      </c>
      <c r="P316" s="51">
        <f>Arbeitszimmer!$B$3</f>
        <v/>
      </c>
      <c r="Q316" s="27" t="n">
        <v>20</v>
      </c>
      <c r="R316" s="237">
        <f>O316*Q316/100</f>
        <v/>
      </c>
      <c r="S316" s="237">
        <f>P316*R316</f>
        <v/>
      </c>
      <c r="T316" s="208">
        <f>O316*P316</f>
        <v/>
      </c>
      <c r="U316" s="251">
        <f>O316+R316</f>
        <v/>
      </c>
      <c r="V316" s="251">
        <f>T316+S316</f>
        <v/>
      </c>
      <c r="W316" s="35">
        <f>voranmeldefrist_vierteljaehrlich(F316)</f>
        <v/>
      </c>
      <c r="X316" s="35" t="n">
        <v>43234</v>
      </c>
      <c r="Z316" s="210">
        <f>IF(N316=TRUE,T316/K316,T316)</f>
        <v/>
      </c>
      <c r="AA316" s="237">
        <f>Y316/100*V316</f>
        <v/>
      </c>
      <c r="AB316">
        <f>IF(AND(Y316&gt;0,Q316=Y316),TRUE,FALSE)</f>
        <v/>
      </c>
    </row>
    <row r="317">
      <c r="A317" t="n">
        <v>315</v>
      </c>
      <c r="B317" s="53" t="n">
        <v>2018</v>
      </c>
      <c r="C317" s="53" t="n">
        <v>13</v>
      </c>
      <c r="D317" s="9" t="inlineStr">
        <is>
          <t>12018006</t>
        </is>
      </c>
      <c r="F317" s="1" t="n">
        <v>43152</v>
      </c>
      <c r="G317" t="inlineStr">
        <is>
          <t>foxcraft OG, LAudongasse 58/16, 1080 Wien</t>
        </is>
      </c>
      <c r="L317" s="16" t="inlineStr">
        <is>
          <t>sonstige Betriebsausgaben</t>
        </is>
      </c>
      <c r="N317">
        <f>(IF(AND(M317&lt;&gt;"",ABS(T317)&gt;400),TRUE,FALSE))</f>
        <v/>
      </c>
      <c r="O317" s="36" t="n">
        <v>168.75</v>
      </c>
      <c r="P317" s="51" t="n">
        <v>1</v>
      </c>
      <c r="Q317" s="27" t="n">
        <v>20</v>
      </c>
      <c r="R317" s="237">
        <f>O317*Q317/100</f>
        <v/>
      </c>
      <c r="S317" s="237">
        <f>P317*R317</f>
        <v/>
      </c>
      <c r="T317" s="208">
        <f>O317*P317</f>
        <v/>
      </c>
      <c r="U317" s="251">
        <f>O317+R317</f>
        <v/>
      </c>
      <c r="V317" s="251">
        <f>T317+S317</f>
        <v/>
      </c>
      <c r="W317" s="35">
        <f>voranmeldefrist_vierteljaehrlich(F317)</f>
        <v/>
      </c>
      <c r="X317" s="35" t="n">
        <v>43234</v>
      </c>
      <c r="Z317" s="210">
        <f>IF(N317=TRUE,T317/K317,T317)</f>
        <v/>
      </c>
      <c r="AA317" s="237">
        <f>Y317/100*V317</f>
        <v/>
      </c>
      <c r="AB317">
        <f>IF(AND(Y317&gt;0,Q317=Y317),TRUE,FALSE)</f>
        <v/>
      </c>
    </row>
    <row r="318">
      <c r="B318" s="53" t="n">
        <v>2018</v>
      </c>
      <c r="C318" s="53" t="n">
        <v>14</v>
      </c>
      <c r="D318" s="9" t="inlineStr">
        <is>
          <t>2018/8058/18</t>
        </is>
      </c>
      <c r="F318" s="1" t="n">
        <v>43157</v>
      </c>
      <c r="G318" s="1">
        <f>CONCATENATE(H318,": ",J318)</f>
        <v/>
      </c>
      <c r="H318" t="inlineStr">
        <is>
          <t>PREMIUM Laudongasse 58 GmbH &amp; Co KG</t>
        </is>
      </c>
      <c r="I318" t="inlineStr">
        <is>
          <t>ATU60795919</t>
        </is>
      </c>
      <c r="J318" t="inlineStr">
        <is>
          <t>Dauerrechnung 2018-D</t>
        </is>
      </c>
      <c r="L318" s="16" t="inlineStr">
        <is>
          <t>Miet- und Pachtaufwand, Leasing</t>
        </is>
      </c>
      <c r="M318" s="16">
        <f>IF(L318="Waren, Rohstoffe, Hilfsstoffe", "Weiterverkauf", "")</f>
        <v/>
      </c>
      <c r="N318">
        <f>(IF(AND(M318&lt;&gt;"",ABS(T318)&gt;400),TRUE,FALSE))</f>
        <v/>
      </c>
      <c r="O318" s="36" t="n">
        <v>763.4400000000001</v>
      </c>
      <c r="P318" s="51">
        <f>Arbeitszimmer!$B$3</f>
        <v/>
      </c>
      <c r="Q318" s="27" t="n">
        <v>10</v>
      </c>
      <c r="R318" s="237">
        <f>O318*Q318/100</f>
        <v/>
      </c>
      <c r="S318" s="237">
        <f>P318*R318</f>
        <v/>
      </c>
      <c r="T318" s="208">
        <f>O318*P318</f>
        <v/>
      </c>
      <c r="U318" s="251">
        <f>O318+R318</f>
        <v/>
      </c>
      <c r="V318" s="251">
        <f>T318+S318</f>
        <v/>
      </c>
      <c r="W318" s="35">
        <f>voranmeldefrist_vierteljaehrlich(F318)</f>
        <v/>
      </c>
      <c r="X318" s="35" t="n">
        <v>43234</v>
      </c>
      <c r="Z318" s="210">
        <f>IF(N318=TRUE,T318/M318,T318)</f>
        <v/>
      </c>
      <c r="AA318" s="237">
        <f>Y318/100*V318</f>
        <v/>
      </c>
      <c r="AB318">
        <f>IF(AND(Y318&gt;0,Q318=Y318),TRUE,FALSE)</f>
        <v/>
      </c>
    </row>
    <row r="319">
      <c r="B319" s="53" t="n">
        <v>2018</v>
      </c>
      <c r="C319" s="53" t="n">
        <v>15</v>
      </c>
      <c r="D319" s="9" t="inlineStr">
        <is>
          <t>168210423-00</t>
        </is>
      </c>
      <c r="F319" s="1" t="n">
        <v>43160</v>
      </c>
      <c r="G319" t="inlineStr">
        <is>
          <t>UPC Laudongasse</t>
        </is>
      </c>
      <c r="L319" s="16" t="inlineStr">
        <is>
          <t>Telefon/Internet</t>
        </is>
      </c>
      <c r="M319" s="16">
        <f>IF(L319="Waren, Rohstoffe, Hilfsstoffe", "Weiterverkauf", "")</f>
        <v/>
      </c>
      <c r="N319">
        <f>(IF(AND(M319&lt;&gt;"",ABS(T319)&gt;400),TRUE,FALSE))</f>
        <v/>
      </c>
      <c r="O319" s="36" t="n">
        <v>42.12</v>
      </c>
      <c r="P319" s="51">
        <f>20.3/39.11*2/3</f>
        <v/>
      </c>
      <c r="Q319" s="27" t="inlineStr">
        <is>
          <t>gemischt</t>
        </is>
      </c>
      <c r="R319" s="237" t="n">
        <v>6.38</v>
      </c>
      <c r="S319" s="237">
        <f>P319*R319</f>
        <v/>
      </c>
      <c r="T319" s="208">
        <f>O319*P319</f>
        <v/>
      </c>
      <c r="U319" s="251">
        <f>O319+R319</f>
        <v/>
      </c>
      <c r="V319" s="251">
        <f>T319+S319</f>
        <v/>
      </c>
      <c r="W319" s="35">
        <f>voranmeldefrist_vierteljaehrlich(F319)</f>
        <v/>
      </c>
      <c r="X319" s="35" t="n">
        <v>43234</v>
      </c>
      <c r="Z319" s="210">
        <f>IF(N319=TRUE,T319/M319,T319)</f>
        <v/>
      </c>
      <c r="AA319" s="237">
        <f>Y319/100*V319</f>
        <v/>
      </c>
      <c r="AB319">
        <f>IF(AND(Y319&gt;0,Q319=Y319),TRUE,FALSE)</f>
        <v/>
      </c>
    </row>
    <row r="320">
      <c r="B320" s="53" t="n">
        <v>2018</v>
      </c>
      <c r="C320" s="53" t="n">
        <v>16</v>
      </c>
      <c r="D320" s="9" t="inlineStr">
        <is>
          <t>6151479272</t>
        </is>
      </c>
      <c r="F320" s="1" t="n">
        <v>43167</v>
      </c>
      <c r="G320" t="inlineStr">
        <is>
          <t>Hutchison Drei Austria GmbH, Brünner Straße 52, 1210 Wien, Österreich</t>
        </is>
      </c>
      <c r="L320" s="16" t="inlineStr">
        <is>
          <t>Telefon/Internet</t>
        </is>
      </c>
      <c r="M320" s="16">
        <f>IF(L320="Waren, Rohstoffe, Hilfsstoffe", "Weiterverkauf", "")</f>
        <v/>
      </c>
      <c r="N320">
        <f>(IF(AND(M320&lt;&gt;"",ABS(T320)&gt;400),TRUE,FALSE))</f>
        <v/>
      </c>
      <c r="O320" s="36" t="n">
        <v>15.58</v>
      </c>
      <c r="P320" s="51" t="n">
        <v>1</v>
      </c>
      <c r="Q320" s="27" t="n">
        <v>20</v>
      </c>
      <c r="R320" s="237">
        <f>O320*Q320/100</f>
        <v/>
      </c>
      <c r="S320" s="237">
        <f>P320*R320</f>
        <v/>
      </c>
      <c r="T320" s="208">
        <f>O320*P320</f>
        <v/>
      </c>
      <c r="U320" s="251">
        <f>O320+R320</f>
        <v/>
      </c>
      <c r="V320" s="251">
        <f>T320+S320</f>
        <v/>
      </c>
      <c r="W320" s="35">
        <f>voranmeldefrist_vierteljaehrlich(F320)</f>
        <v/>
      </c>
      <c r="X320" s="35" t="n">
        <v>43234</v>
      </c>
      <c r="Z320" s="210">
        <f>IF(N320=TRUE,T320/M320,T320)</f>
        <v/>
      </c>
      <c r="AA320" s="237">
        <f>Y320/100*V320</f>
        <v/>
      </c>
      <c r="AB320">
        <f>IF(AND(Y320&gt;0,Q320=Y320),TRUE,FALSE)</f>
        <v/>
      </c>
    </row>
    <row r="321">
      <c r="B321" s="53" t="n">
        <v>2018</v>
      </c>
      <c r="C321" s="53" t="n">
        <v>17</v>
      </c>
      <c r="D321" s="9" t="inlineStr">
        <is>
          <t>14002906745/40/2018</t>
        </is>
      </c>
      <c r="F321" s="1" t="n">
        <v>43174</v>
      </c>
      <c r="G321" s="1">
        <f>CONCATENATE(H321,": ",J321)</f>
        <v/>
      </c>
      <c r="H321" t="inlineStr">
        <is>
          <t>MONTANA Energie-Handel AT GmbH</t>
        </is>
      </c>
      <c r="J321" t="inlineStr">
        <is>
          <t>Teilzahlungsbetrag Gas</t>
        </is>
      </c>
      <c r="L321" s="16" t="inlineStr">
        <is>
          <t>sonstige Betriebsausgaben</t>
        </is>
      </c>
      <c r="M321" s="16">
        <f>IF(L321="Waren, Rohstoffe, Hilfsstoffe", "Weiterverkauf", "")</f>
        <v/>
      </c>
      <c r="N321">
        <f>(IF(AND(M321&lt;&gt;"",ABS(T321)&gt;400),TRUE,FALSE))</f>
        <v/>
      </c>
      <c r="O321" s="36">
        <f>99/1.2</f>
        <v/>
      </c>
      <c r="P321" s="51">
        <f>Arbeitszimmer!$B$3</f>
        <v/>
      </c>
      <c r="Q321" s="27" t="n">
        <v>20</v>
      </c>
      <c r="R321" s="237">
        <f>O321*Q321/100</f>
        <v/>
      </c>
      <c r="S321" s="237">
        <f>P321*R321</f>
        <v/>
      </c>
      <c r="T321" s="208">
        <f>O321*P321</f>
        <v/>
      </c>
      <c r="U321" s="251">
        <f>O321+R321</f>
        <v/>
      </c>
      <c r="V321" s="251">
        <f>T321+S321</f>
        <v/>
      </c>
      <c r="W321" s="35">
        <f>voranmeldefrist_vierteljaehrlich(F321)</f>
        <v/>
      </c>
      <c r="X321" s="35" t="n">
        <v>43234</v>
      </c>
      <c r="Z321" s="210">
        <f>IF(N321=TRUE,T321/K321,T321)</f>
        <v/>
      </c>
      <c r="AA321" s="237">
        <f>Y321/100*V321</f>
        <v/>
      </c>
      <c r="AB321">
        <f>IF(AND(Y321&gt;0,Q321=Y321),TRUE,FALSE)</f>
        <v/>
      </c>
    </row>
    <row r="322">
      <c r="B322" s="53" t="n">
        <v>2018</v>
      </c>
      <c r="C322" s="53" t="n">
        <v>18</v>
      </c>
      <c r="D322" s="9" t="inlineStr">
        <is>
          <t>E05005ER62</t>
        </is>
      </c>
      <c r="F322" s="1" t="n">
        <v>43152</v>
      </c>
      <c r="G322" t="inlineStr">
        <is>
          <t>Microsoft Ireland Operations Ltd, One Microsoft Place, South County Business Park Leopardstown Dublin 18, D18 P521 Irland: Office 365 Business Essentials (monatlich)</t>
        </is>
      </c>
      <c r="L322" s="16" t="inlineStr">
        <is>
          <t>sonstige Betriebsausgaben</t>
        </is>
      </c>
      <c r="M322" s="16">
        <f>IF(L322="Waren, Rohstoffe, Hilfsstoffe", "Weiterverkauf", "")</f>
        <v/>
      </c>
      <c r="N322">
        <f>(IF(AND(M322&lt;&gt;"",ABS(T322)&gt;400),TRUE,FALSE))</f>
        <v/>
      </c>
      <c r="O322" s="36" t="n">
        <v>15.3</v>
      </c>
      <c r="P322" s="51" t="n">
        <v>1</v>
      </c>
      <c r="Q322" s="27" t="n">
        <v>20</v>
      </c>
      <c r="R322" s="237">
        <f>O322*Q322/100</f>
        <v/>
      </c>
      <c r="S322" s="237">
        <f>P322*R322</f>
        <v/>
      </c>
      <c r="T322" s="208">
        <f>O322*P322</f>
        <v/>
      </c>
      <c r="U322" s="251">
        <f>O322+R322</f>
        <v/>
      </c>
      <c r="V322" s="251">
        <f>T322+S322</f>
        <v/>
      </c>
      <c r="W322" s="35">
        <f>voranmeldefrist_vierteljaehrlich(F322)</f>
        <v/>
      </c>
      <c r="X322" s="35" t="n">
        <v>43234</v>
      </c>
      <c r="Z322" s="210">
        <f>IF(N322=TRUE,T322/M322,T322)</f>
        <v/>
      </c>
      <c r="AA322" s="237">
        <f>Y322/100*V322</f>
        <v/>
      </c>
      <c r="AB322">
        <f>IF(AND(Y322&gt;0,Q322=Y322),TRUE,FALSE)</f>
        <v/>
      </c>
    </row>
    <row r="323">
      <c r="B323" s="53" t="n">
        <v>2018</v>
      </c>
      <c r="C323" s="53" t="n">
        <v>19</v>
      </c>
      <c r="D323" s="9" t="inlineStr">
        <is>
          <t>2018/8058/18</t>
        </is>
      </c>
      <c r="F323" s="1" t="n">
        <v>43185</v>
      </c>
      <c r="G323" s="1">
        <f>CONCATENATE(H323,": ",J323)</f>
        <v/>
      </c>
      <c r="H323" t="inlineStr">
        <is>
          <t>PREMIUM Laudongasse 58 GmbH &amp; Co KG</t>
        </is>
      </c>
      <c r="I323" t="inlineStr">
        <is>
          <t>ATU60795919</t>
        </is>
      </c>
      <c r="J323" t="inlineStr">
        <is>
          <t>Dauerrechnung 2018-D</t>
        </is>
      </c>
      <c r="L323" s="16" t="inlineStr">
        <is>
          <t>Miet- und Pachtaufwand, Leasing</t>
        </is>
      </c>
      <c r="M323" s="16">
        <f>IF(L323="Waren, Rohstoffe, Hilfsstoffe", "Weiterverkauf", "")</f>
        <v/>
      </c>
      <c r="N323">
        <f>(IF(AND(M323&lt;&gt;"",ABS(T323)&gt;400),TRUE,FALSE))</f>
        <v/>
      </c>
      <c r="O323" s="36" t="n">
        <v>763.4400000000001</v>
      </c>
      <c r="P323" s="51">
        <f>Arbeitszimmer!$B$3</f>
        <v/>
      </c>
      <c r="Q323" s="27" t="n">
        <v>10</v>
      </c>
      <c r="R323" s="237">
        <f>O323*Q323/100</f>
        <v/>
      </c>
      <c r="S323" s="237">
        <f>P323*R323</f>
        <v/>
      </c>
      <c r="T323" s="208">
        <f>O323*P323</f>
        <v/>
      </c>
      <c r="U323" s="251">
        <f>O323+R323</f>
        <v/>
      </c>
      <c r="V323" s="251">
        <f>T323+S323</f>
        <v/>
      </c>
      <c r="W323" s="35">
        <f>voranmeldefrist_vierteljaehrlich(F323)</f>
        <v/>
      </c>
      <c r="X323" s="35" t="n">
        <v>43234</v>
      </c>
      <c r="Z323" s="210">
        <f>IF(N323=TRUE,T323/M323,T323)</f>
        <v/>
      </c>
      <c r="AA323" s="237">
        <f>Y323/100*V323</f>
        <v/>
      </c>
      <c r="AB323">
        <f>IF(AND(Y323&gt;0,Q323=Y323),TRUE,FALSE)</f>
        <v/>
      </c>
    </row>
    <row r="324">
      <c r="B324" s="53" t="n">
        <v>2018</v>
      </c>
      <c r="C324" s="53" t="n">
        <v>20</v>
      </c>
      <c r="D324" s="9" t="inlineStr">
        <is>
          <t>168670526-00</t>
        </is>
      </c>
      <c r="F324" s="1" t="n">
        <v>43194</v>
      </c>
      <c r="G324" t="inlineStr">
        <is>
          <t>UPC Laudongasse</t>
        </is>
      </c>
      <c r="L324" s="16" t="inlineStr">
        <is>
          <t>Telefon/Internet</t>
        </is>
      </c>
      <c r="N324">
        <f>(IF(AND(M324&lt;&gt;"",ABS(T324)&gt;400),TRUE,FALSE))</f>
        <v/>
      </c>
      <c r="O324" s="36">
        <f>57.02</f>
        <v/>
      </c>
      <c r="P324" s="56">
        <f>(8.93+27.82+27.81-7.66-19.64)/57.02*(2/3)</f>
        <v/>
      </c>
      <c r="Q324" s="27" t="inlineStr">
        <is>
          <t>gemischt</t>
        </is>
      </c>
      <c r="R324" s="237" t="n">
        <v>9.539999999999999</v>
      </c>
      <c r="S324" s="237">
        <f>P324*R324</f>
        <v/>
      </c>
      <c r="T324" s="208">
        <f>O324*P324</f>
        <v/>
      </c>
      <c r="U324" s="251">
        <f>O324+R324</f>
        <v/>
      </c>
      <c r="V324" s="251">
        <f>T324+S324</f>
        <v/>
      </c>
      <c r="W324" s="35">
        <f>voranmeldefrist_vierteljaehrlich(F324)</f>
        <v/>
      </c>
      <c r="X324" s="35" t="n">
        <v>43318</v>
      </c>
      <c r="Z324" s="210">
        <f>IF(N324=TRUE,T324/M324,T324)</f>
        <v/>
      </c>
      <c r="AA324" s="237">
        <f>Y324/100*V324</f>
        <v/>
      </c>
      <c r="AB324">
        <f>IF(AND(Y324&gt;0,Q324=Y324),TRUE,FALSE)</f>
        <v/>
      </c>
    </row>
    <row r="325">
      <c r="B325" s="53" t="n">
        <v>2018</v>
      </c>
      <c r="C325" s="53" t="n">
        <v>21</v>
      </c>
      <c r="D325" s="9" t="inlineStr">
        <is>
          <t>6153332230</t>
        </is>
      </c>
      <c r="F325" s="1" t="n">
        <v>43196</v>
      </c>
      <c r="G325" t="inlineStr">
        <is>
          <t>Hutchison Drei Austria GmbH, Brünner Straße 52, 1210 Wien, Österreich</t>
        </is>
      </c>
      <c r="L325" s="16" t="inlineStr">
        <is>
          <t>Telefon/Internet</t>
        </is>
      </c>
      <c r="M325" s="16">
        <f>IF(L325="Waren, Rohstoffe, Hilfsstoffe", "Weiterverkauf", "")</f>
        <v/>
      </c>
      <c r="N325">
        <f>(IF(AND(M325&lt;&gt;"",ABS(T325)&gt;400),TRUE,FALSE))</f>
        <v/>
      </c>
      <c r="O325" s="36" t="n">
        <v>15.58</v>
      </c>
      <c r="P325" s="51" t="n">
        <v>1</v>
      </c>
      <c r="Q325" s="27" t="n">
        <v>20</v>
      </c>
      <c r="R325" s="237">
        <f>O325*Q325/100</f>
        <v/>
      </c>
      <c r="S325" s="237">
        <f>P325*R325</f>
        <v/>
      </c>
      <c r="T325" s="208">
        <f>O325*P325</f>
        <v/>
      </c>
      <c r="U325" s="251">
        <f>O325+R325</f>
        <v/>
      </c>
      <c r="V325" s="251">
        <f>T325+S325</f>
        <v/>
      </c>
      <c r="W325" s="35">
        <f>voranmeldefrist_vierteljaehrlich(F325)</f>
        <v/>
      </c>
      <c r="X325" s="35" t="n">
        <v>43318</v>
      </c>
      <c r="Z325" s="210">
        <f>IF(N325=TRUE,T325/M325,T325)</f>
        <v/>
      </c>
      <c r="AA325" s="237">
        <f>Y325/100*V325</f>
        <v/>
      </c>
      <c r="AB325">
        <f>IF(AND(Y325&gt;0,Q325=Y325),TRUE,FALSE)</f>
        <v/>
      </c>
    </row>
    <row r="326">
      <c r="B326" s="53" t="n">
        <v>2018</v>
      </c>
      <c r="C326" s="53" t="n">
        <v>22</v>
      </c>
      <c r="D326" s="9" t="inlineStr">
        <is>
          <t>34017285963/40/2018</t>
        </is>
      </c>
      <c r="F326" s="1" t="n">
        <v>43206</v>
      </c>
      <c r="G326" s="1">
        <f>CONCATENATE(H326,": ",J326)</f>
        <v/>
      </c>
      <c r="H326" t="inlineStr">
        <is>
          <t>VERBUND AG, Postfach 8400, 1011 Wien, Österreich</t>
        </is>
      </c>
      <c r="I326" t="inlineStr">
        <is>
          <t>ATU14703908</t>
        </is>
      </c>
      <c r="J326" t="inlineStr">
        <is>
          <t>Teilzahlungsvorschreibung</t>
        </is>
      </c>
      <c r="L326" s="16" t="inlineStr">
        <is>
          <t>sonstige Betriebsausgaben</t>
        </is>
      </c>
      <c r="M326" s="16">
        <f>IF(L326="Waren, Rohstoffe, Hilfsstoffe", "Weiterverkauf", "")</f>
        <v/>
      </c>
      <c r="N326">
        <f>(IF(AND(M326&lt;&gt;"",ABS(T326)&gt;400),TRUE,FALSE))</f>
        <v/>
      </c>
      <c r="O326" s="36" t="n">
        <v>151.67</v>
      </c>
      <c r="P326" s="51">
        <f>Arbeitszimmer!$B$3</f>
        <v/>
      </c>
      <c r="Q326" s="27" t="n">
        <v>20</v>
      </c>
      <c r="R326" s="237">
        <f>O326*Q326/100</f>
        <v/>
      </c>
      <c r="S326" s="237">
        <f>P326*R326</f>
        <v/>
      </c>
      <c r="T326" s="208">
        <f>O326*P326</f>
        <v/>
      </c>
      <c r="U326" s="251">
        <f>O326+R326</f>
        <v/>
      </c>
      <c r="V326" s="251">
        <f>T326+S326</f>
        <v/>
      </c>
      <c r="W326" s="35">
        <f>voranmeldefrist_vierteljaehrlich(F326)</f>
        <v/>
      </c>
      <c r="X326" s="35" t="n">
        <v>43318</v>
      </c>
      <c r="Z326" s="210">
        <f>IF(N326=TRUE,T326/K326,T326)</f>
        <v/>
      </c>
      <c r="AA326" s="237">
        <f>Y326/100*V326</f>
        <v/>
      </c>
      <c r="AB326">
        <f>IF(AND(Y326&gt;0,Q326=Y326),TRUE,FALSE)</f>
        <v/>
      </c>
    </row>
    <row r="327">
      <c r="B327" s="53" t="n">
        <v>2018</v>
      </c>
      <c r="C327" s="53" t="n">
        <v>23</v>
      </c>
      <c r="D327" s="9" t="inlineStr">
        <is>
          <t>14003021448/40/2018</t>
        </is>
      </c>
      <c r="F327" s="1" t="n">
        <v>43206</v>
      </c>
      <c r="G327" s="1">
        <f>CONCATENATE(H327,": ",J327)</f>
        <v/>
      </c>
      <c r="H327" t="inlineStr">
        <is>
          <t>MONTANA Energie-Handel AT GmbH</t>
        </is>
      </c>
      <c r="J327" t="inlineStr">
        <is>
          <t>Teilzahlungsbetrag Gas</t>
        </is>
      </c>
      <c r="L327" s="16" t="inlineStr">
        <is>
          <t>sonstige Betriebsausgaben</t>
        </is>
      </c>
      <c r="M327" s="16">
        <f>IF(L327="Waren, Rohstoffe, Hilfsstoffe", "Weiterverkauf", "")</f>
        <v/>
      </c>
      <c r="N327">
        <f>(IF(AND(M327&lt;&gt;"",ABS(T327)&gt;400),TRUE,FALSE))</f>
        <v/>
      </c>
      <c r="O327" s="36">
        <f>99/1.2</f>
        <v/>
      </c>
      <c r="P327" s="51">
        <f>Arbeitszimmer!$B$3</f>
        <v/>
      </c>
      <c r="Q327" s="27" t="n">
        <v>20</v>
      </c>
      <c r="R327" s="237">
        <f>O327*Q327/100</f>
        <v/>
      </c>
      <c r="S327" s="237">
        <f>P327*R327</f>
        <v/>
      </c>
      <c r="T327" s="208">
        <f>O327*P327</f>
        <v/>
      </c>
      <c r="U327" s="251">
        <f>O327+R327</f>
        <v/>
      </c>
      <c r="V327" s="251">
        <f>T327+S327</f>
        <v/>
      </c>
      <c r="W327" s="35">
        <f>voranmeldefrist_vierteljaehrlich(F327)</f>
        <v/>
      </c>
      <c r="X327" s="35" t="n">
        <v>43318</v>
      </c>
      <c r="Z327" s="210">
        <f>IF(N327=TRUE,T327/K327,T327)</f>
        <v/>
      </c>
      <c r="AA327" s="237">
        <f>Y327/100*V327</f>
        <v/>
      </c>
      <c r="AB327">
        <f>IF(AND(Y327&gt;0,Q327=Y327),TRUE,FALSE)</f>
        <v/>
      </c>
    </row>
    <row r="328">
      <c r="B328" s="53" t="n">
        <v>2018</v>
      </c>
      <c r="C328" s="53" t="n">
        <v>24</v>
      </c>
      <c r="D328" s="9" t="inlineStr">
        <is>
          <t>AEU-INV-AT-2018-6321625</t>
        </is>
      </c>
      <c r="F328" s="1" t="n">
        <v>43181</v>
      </c>
      <c r="G328" s="1" t="inlineStr">
        <is>
          <t>Amazon EU Sàrl, 5 Rue Plaetis, L-2338, Luxemburg: WLAN-AP</t>
        </is>
      </c>
      <c r="H328" t="inlineStr">
        <is>
          <t>Amazon EU Sàrl, 5 Rue Plaetis, L-2338, Luxemburg</t>
        </is>
      </c>
      <c r="I328" t="inlineStr">
        <is>
          <t>ATU62353134</t>
        </is>
      </c>
      <c r="J328" t="inlineStr">
        <is>
          <t>STRONG SRT 40FX4003</t>
        </is>
      </c>
      <c r="L328" s="16" t="inlineStr">
        <is>
          <t>Waren, Rohstoffe, Hilfsstoffe</t>
        </is>
      </c>
      <c r="M328" s="36" t="inlineStr">
        <is>
          <t>Weiterverkauf</t>
        </is>
      </c>
      <c r="N328" t="b">
        <v>0</v>
      </c>
      <c r="O328" s="36" t="n">
        <v>30.24</v>
      </c>
      <c r="P328" s="51" t="n">
        <v>1</v>
      </c>
      <c r="Q328" s="27" t="n">
        <v>20</v>
      </c>
      <c r="R328" s="237">
        <f>O328*Q328/100</f>
        <v/>
      </c>
      <c r="S328" s="237">
        <f>P328*R328</f>
        <v/>
      </c>
      <c r="T328" s="208">
        <f>O328*P328</f>
        <v/>
      </c>
      <c r="U328" s="251">
        <f>O328+R328</f>
        <v/>
      </c>
      <c r="V328" s="251">
        <f>T328+S328</f>
        <v/>
      </c>
      <c r="W328" s="35">
        <f>voranmeldefrist_vierteljaehrlich(F328)</f>
        <v/>
      </c>
      <c r="X328" s="35" t="n">
        <v>43234</v>
      </c>
      <c r="Z328" s="210">
        <f>IF(N328=TRUE,T328/M328,T328)</f>
        <v/>
      </c>
      <c r="AA328" s="237">
        <f>Y328/100*V328</f>
        <v/>
      </c>
      <c r="AB328">
        <f>IF(AND(Y328&gt;0,Q328=Y328),TRUE,FALSE)</f>
        <v/>
      </c>
    </row>
    <row r="329">
      <c r="B329" s="53" t="n">
        <v>2018</v>
      </c>
      <c r="C329" s="53" t="n">
        <v>25</v>
      </c>
      <c r="D329" s="9" t="inlineStr">
        <is>
          <t>2018/8058/18</t>
        </is>
      </c>
      <c r="F329" s="1" t="n">
        <v>43215</v>
      </c>
      <c r="G329" s="1">
        <f>CONCATENATE(H329,": ",J329)</f>
        <v/>
      </c>
      <c r="H329" t="inlineStr">
        <is>
          <t>PREMIUM Laudongasse 58 GmbH &amp; Co KG</t>
        </is>
      </c>
      <c r="I329" t="inlineStr">
        <is>
          <t>ATU60795919</t>
        </is>
      </c>
      <c r="J329" t="inlineStr">
        <is>
          <t>Dauerrechnung 2018-D</t>
        </is>
      </c>
      <c r="L329" s="16" t="inlineStr">
        <is>
          <t>Miet- und Pachtaufwand, Leasing</t>
        </is>
      </c>
      <c r="M329" s="16">
        <f>IF(L329="Waren, Rohstoffe, Hilfsstoffe", "Weiterverkauf", "")</f>
        <v/>
      </c>
      <c r="N329">
        <f>(IF(AND(M329&lt;&gt;"",ABS(T329)&gt;400),TRUE,FALSE))</f>
        <v/>
      </c>
      <c r="O329" s="36" t="n">
        <v>763.4400000000001</v>
      </c>
      <c r="P329" s="51">
        <f>Arbeitszimmer!$B$3</f>
        <v/>
      </c>
      <c r="Q329" s="27" t="n">
        <v>10</v>
      </c>
      <c r="R329" s="237">
        <f>O329*Q329/100</f>
        <v/>
      </c>
      <c r="S329" s="237">
        <f>P329*R329</f>
        <v/>
      </c>
      <c r="T329" s="208">
        <f>O329*P329</f>
        <v/>
      </c>
      <c r="U329" s="251">
        <f>O329+R329</f>
        <v/>
      </c>
      <c r="V329" s="251">
        <f>T329+S329</f>
        <v/>
      </c>
      <c r="W329" s="35">
        <f>voranmeldefrist_vierteljaehrlich(F329)</f>
        <v/>
      </c>
      <c r="X329" s="35" t="n">
        <v>43318</v>
      </c>
      <c r="Z329" s="210">
        <f>IF(N329=TRUE,T329/M329,T329)</f>
        <v/>
      </c>
      <c r="AA329" s="237">
        <f>Y329/100*V329</f>
        <v/>
      </c>
      <c r="AB329">
        <f>IF(AND(Y329&gt;0,Q329=Y329),TRUE,FALSE)</f>
        <v/>
      </c>
    </row>
    <row r="330">
      <c r="B330" s="53" t="n">
        <v>2018</v>
      </c>
      <c r="C330" s="53" t="n">
        <v>26</v>
      </c>
      <c r="D330" s="9" t="inlineStr">
        <is>
          <t>169132529-00</t>
        </is>
      </c>
      <c r="F330" s="1" t="n">
        <v>43224</v>
      </c>
      <c r="G330" t="inlineStr">
        <is>
          <t>UPC Laudongasse</t>
        </is>
      </c>
      <c r="L330" s="16" t="inlineStr">
        <is>
          <t>Telefon/Internet</t>
        </is>
      </c>
      <c r="N330">
        <f>(IF(AND(M330&lt;&gt;"",ABS(T330)&gt;400),TRUE,FALSE))</f>
        <v/>
      </c>
      <c r="O330" s="36" t="n">
        <v>48.32</v>
      </c>
      <c r="P330" s="56">
        <f>(27.82+1.04)/48.32*(2/3)</f>
        <v/>
      </c>
      <c r="Q330" s="27" t="inlineStr">
        <is>
          <t>gemischt</t>
        </is>
      </c>
      <c r="R330" s="237" t="n">
        <v>7.72</v>
      </c>
      <c r="S330" s="237">
        <f>P330*R330</f>
        <v/>
      </c>
      <c r="T330" s="208">
        <f>O330*P330</f>
        <v/>
      </c>
      <c r="U330" s="251">
        <f>O330+R330</f>
        <v/>
      </c>
      <c r="V330" s="251">
        <f>T330+S330</f>
        <v/>
      </c>
      <c r="W330" s="35">
        <f>voranmeldefrist_vierteljaehrlich(F330)</f>
        <v/>
      </c>
      <c r="X330" s="35" t="n">
        <v>43318</v>
      </c>
      <c r="Z330" s="210">
        <f>IF(N330=TRUE,T330/M330,T330)</f>
        <v/>
      </c>
      <c r="AA330" s="237">
        <f>Y330/100*V330</f>
        <v/>
      </c>
      <c r="AB330">
        <f>IF(AND(Y330&gt;0,Q330=Y330),TRUE,FALSE)</f>
        <v/>
      </c>
    </row>
    <row r="331">
      <c r="B331" s="53" t="n">
        <v>2018</v>
      </c>
      <c r="C331" s="53" t="n">
        <v>27</v>
      </c>
      <c r="D331" s="9" t="inlineStr">
        <is>
          <t>6155179680</t>
        </is>
      </c>
      <c r="F331" s="1" t="n">
        <v>43227</v>
      </c>
      <c r="G331" t="inlineStr">
        <is>
          <t>Hutchison Drei Austria GmbH, Brünner Straße 52, 1210 Wien, Österreich</t>
        </is>
      </c>
      <c r="L331" s="16" t="inlineStr">
        <is>
          <t>Telefon/Internet</t>
        </is>
      </c>
      <c r="M331" s="16">
        <f>IF(L331="Waren, Rohstoffe, Hilfsstoffe", "Weiterverkauf", "")</f>
        <v/>
      </c>
      <c r="N331">
        <f>(IF(AND(M331&lt;&gt;"",ABS(T331)&gt;400),TRUE,FALSE))</f>
        <v/>
      </c>
      <c r="O331" s="36" t="n">
        <v>15</v>
      </c>
      <c r="P331" s="51" t="n">
        <v>1</v>
      </c>
      <c r="Q331" s="27" t="n">
        <v>20</v>
      </c>
      <c r="R331" s="237">
        <f>O331*Q331/100</f>
        <v/>
      </c>
      <c r="S331" s="237">
        <f>P331*R331</f>
        <v/>
      </c>
      <c r="T331" s="208">
        <f>O331*P331</f>
        <v/>
      </c>
      <c r="U331" s="251">
        <f>O331+R331</f>
        <v/>
      </c>
      <c r="V331" s="251">
        <f>T331+S331</f>
        <v/>
      </c>
      <c r="W331" s="35">
        <f>voranmeldefrist_vierteljaehrlich(F331)</f>
        <v/>
      </c>
      <c r="X331" s="35" t="n">
        <v>43318</v>
      </c>
      <c r="Z331" s="210">
        <f>IF(N331=TRUE,T331/M331,T331)</f>
        <v/>
      </c>
      <c r="AA331" s="237">
        <f>Y331/100*V331</f>
        <v/>
      </c>
      <c r="AB331">
        <f>IF(AND(Y331&gt;0,Q331=Y331),TRUE,FALSE)</f>
        <v/>
      </c>
    </row>
    <row r="332">
      <c r="B332" s="53" t="n">
        <v>2018</v>
      </c>
      <c r="C332" s="53" t="n">
        <v>28</v>
      </c>
      <c r="D332" s="9" t="inlineStr">
        <is>
          <t>181001871465</t>
        </is>
      </c>
      <c r="F332" s="1" t="n">
        <v>43234</v>
      </c>
      <c r="G332" s="1">
        <f>CONCATENATE(H332,": ",J332)</f>
        <v/>
      </c>
      <c r="H332" t="inlineStr">
        <is>
          <t>WKO</t>
        </is>
      </c>
      <c r="J332" t="inlineStr">
        <is>
          <t>Grundumlage</t>
        </is>
      </c>
      <c r="L332" s="16" t="inlineStr">
        <is>
          <t>Porto/Gebühren</t>
        </is>
      </c>
      <c r="N332">
        <f>(IF(AND(K332&lt;&gt;"",ABS(T332)&gt;400),TRUE,FALSE))</f>
        <v/>
      </c>
      <c r="O332" s="36" t="n">
        <v>65</v>
      </c>
      <c r="P332" s="51" t="n">
        <v>1</v>
      </c>
      <c r="Q332" s="27" t="n">
        <v>0</v>
      </c>
      <c r="R332" s="237">
        <f>O332*Q332/100</f>
        <v/>
      </c>
      <c r="S332" s="237">
        <f>P332*R332</f>
        <v/>
      </c>
      <c r="T332" s="208">
        <f>O332*P332</f>
        <v/>
      </c>
      <c r="U332" s="251">
        <f>O332+R332</f>
        <v/>
      </c>
      <c r="V332" s="251">
        <f>T332+S332</f>
        <v/>
      </c>
      <c r="W332" s="35">
        <f>voranmeldefrist_vierteljaehrlich(F332)</f>
        <v/>
      </c>
      <c r="X332" s="35" t="n">
        <v>43318</v>
      </c>
      <c r="Z332" s="210">
        <f>IF(N332=TRUE,T332/K332,T332)</f>
        <v/>
      </c>
      <c r="AA332" s="237">
        <f>Y332/100*V332</f>
        <v/>
      </c>
      <c r="AB332">
        <f>IF(AND(Y332&gt;0,Q332=Y332),TRUE,FALSE)</f>
        <v/>
      </c>
    </row>
    <row r="333">
      <c r="B333" s="53" t="n">
        <v>2018</v>
      </c>
      <c r="C333" s="53" t="n">
        <v>29</v>
      </c>
      <c r="D333" s="9" t="inlineStr">
        <is>
          <t>14003136019/40/2018</t>
        </is>
      </c>
      <c r="F333" s="1" t="n">
        <v>43235</v>
      </c>
      <c r="G333" s="1">
        <f>CONCATENATE(H333,": ",J333)</f>
        <v/>
      </c>
      <c r="H333" t="inlineStr">
        <is>
          <t>MONTANA Energie-Handel AT GmbH</t>
        </is>
      </c>
      <c r="J333" t="inlineStr">
        <is>
          <t>Teilzahlungsbetrag Gas</t>
        </is>
      </c>
      <c r="L333" s="16" t="inlineStr">
        <is>
          <t>sonstige Betriebsausgaben</t>
        </is>
      </c>
      <c r="M333" s="16">
        <f>IF(L333="Waren, Rohstoffe, Hilfsstoffe", "Weiterverkauf", "")</f>
        <v/>
      </c>
      <c r="N333">
        <f>(IF(AND(M333&lt;&gt;"",ABS(T333)&gt;400),TRUE,FALSE))</f>
        <v/>
      </c>
      <c r="O333" s="36">
        <f>99/1.2</f>
        <v/>
      </c>
      <c r="P333" s="51">
        <f>Arbeitszimmer!$B$3</f>
        <v/>
      </c>
      <c r="Q333" s="27" t="n">
        <v>20</v>
      </c>
      <c r="R333" s="237">
        <f>O333*Q333/100</f>
        <v/>
      </c>
      <c r="S333" s="237">
        <f>P333*R333</f>
        <v/>
      </c>
      <c r="T333" s="208">
        <f>O333*P333</f>
        <v/>
      </c>
      <c r="U333" s="251">
        <f>O333+R333</f>
        <v/>
      </c>
      <c r="V333" s="251">
        <f>T333+S333</f>
        <v/>
      </c>
      <c r="W333" s="35">
        <f>voranmeldefrist_vierteljaehrlich(F333)</f>
        <v/>
      </c>
      <c r="X333" s="35" t="n">
        <v>43318</v>
      </c>
      <c r="Z333" s="210">
        <f>IF(N333=TRUE,T333/K333,T333)</f>
        <v/>
      </c>
      <c r="AA333" s="237">
        <f>Y333/100*V333</f>
        <v/>
      </c>
      <c r="AB333">
        <f>IF(AND(Y333&gt;0,Q333=Y333),TRUE,FALSE)</f>
        <v/>
      </c>
    </row>
    <row r="334">
      <c r="B334" s="53" t="n">
        <v>2018</v>
      </c>
      <c r="C334" s="53" t="n">
        <v>30</v>
      </c>
      <c r="D334" s="9" t="inlineStr">
        <is>
          <t>2018/8058/18</t>
        </is>
      </c>
      <c r="F334" s="1" t="n">
        <v>43245</v>
      </c>
      <c r="G334" s="1">
        <f>CONCATENATE(H334,": ",J334)</f>
        <v/>
      </c>
      <c r="H334" t="inlineStr">
        <is>
          <t>PREMIUM Laudongasse 58 GmbH &amp; Co KG</t>
        </is>
      </c>
      <c r="I334" t="inlineStr">
        <is>
          <t>ATU60795919</t>
        </is>
      </c>
      <c r="J334" t="inlineStr">
        <is>
          <t>Dauerrechnung 2018-D</t>
        </is>
      </c>
      <c r="L334" s="16" t="inlineStr">
        <is>
          <t>Miet- und Pachtaufwand, Leasing</t>
        </is>
      </c>
      <c r="M334" s="16">
        <f>IF(L334="Waren, Rohstoffe, Hilfsstoffe", "Weiterverkauf", "")</f>
        <v/>
      </c>
      <c r="N334">
        <f>(IF(AND(M334&lt;&gt;"",ABS(T334)&gt;400),TRUE,FALSE))</f>
        <v/>
      </c>
      <c r="O334" s="36" t="n">
        <v>763.4400000000001</v>
      </c>
      <c r="P334" s="51">
        <f>Arbeitszimmer!$B$3</f>
        <v/>
      </c>
      <c r="Q334" s="27" t="n">
        <v>10</v>
      </c>
      <c r="R334" s="237">
        <f>O334*Q334/100</f>
        <v/>
      </c>
      <c r="S334" s="237">
        <f>P334*R334</f>
        <v/>
      </c>
      <c r="T334" s="208">
        <f>O334*P334</f>
        <v/>
      </c>
      <c r="U334" s="251">
        <f>O334+R334</f>
        <v/>
      </c>
      <c r="V334" s="251">
        <f>T334+S334</f>
        <v/>
      </c>
      <c r="W334" s="35">
        <f>voranmeldefrist_vierteljaehrlich(F334)</f>
        <v/>
      </c>
      <c r="X334" s="35" t="n">
        <v>43318</v>
      </c>
      <c r="Z334" s="210">
        <f>IF(N334=TRUE,T334/M334,T334)</f>
        <v/>
      </c>
      <c r="AA334" s="237">
        <f>Y334/100*V334</f>
        <v/>
      </c>
      <c r="AB334">
        <f>IF(AND(Y334&gt;0,Q334=Y334),TRUE,FALSE)</f>
        <v/>
      </c>
    </row>
    <row r="335">
      <c r="B335" s="53" t="n">
        <v>2018</v>
      </c>
      <c r="C335" s="53" t="n">
        <v>31</v>
      </c>
      <c r="D335" s="9" t="inlineStr">
        <is>
          <t>AEU-INV-AT-2018-7711065</t>
        </is>
      </c>
      <c r="F335" s="1" t="n">
        <v>43200</v>
      </c>
      <c r="G335" s="1" t="inlineStr">
        <is>
          <t>Amazon EU Sàrl, 5 Rue Plaetis, L-2338, Luxemburg: Toner magenta, gelb</t>
        </is>
      </c>
      <c r="H335" t="inlineStr">
        <is>
          <t>Amazon EU Sàrl, 5 Rue Plaetis, L-2338, Luxemburg</t>
        </is>
      </c>
      <c r="I335" t="inlineStr">
        <is>
          <t>ATU62353134</t>
        </is>
      </c>
      <c r="J335" t="inlineStr">
        <is>
          <t>STRONG SRT 40FX4003</t>
        </is>
      </c>
      <c r="L335" s="16" t="inlineStr">
        <is>
          <t>Waren, Rohstoffe, Hilfsstoffe</t>
        </is>
      </c>
      <c r="M335" s="36" t="inlineStr">
        <is>
          <t>Weiterverkauf</t>
        </is>
      </c>
      <c r="N335" t="b">
        <v>0</v>
      </c>
      <c r="O335" s="36" t="n">
        <v>78.13</v>
      </c>
      <c r="P335" s="51" t="n">
        <v>1</v>
      </c>
      <c r="Q335" s="27" t="n">
        <v>20</v>
      </c>
      <c r="R335" s="237">
        <f>O335*Q335/100</f>
        <v/>
      </c>
      <c r="S335" s="237">
        <f>P335*R335</f>
        <v/>
      </c>
      <c r="T335" s="208">
        <f>O335*P335</f>
        <v/>
      </c>
      <c r="U335" s="251">
        <f>O335+R335</f>
        <v/>
      </c>
      <c r="V335" s="251">
        <f>T335+S335</f>
        <v/>
      </c>
      <c r="W335" s="35">
        <f>voranmeldefrist_vierteljaehrlich(F335)</f>
        <v/>
      </c>
      <c r="X335" s="35" t="n">
        <v>43318</v>
      </c>
      <c r="Z335" s="210" t="n">
        <v>30.24</v>
      </c>
      <c r="AA335" s="237" t="n">
        <v>0</v>
      </c>
      <c r="AB335" t="b">
        <v>0</v>
      </c>
    </row>
    <row r="336">
      <c r="B336" s="53" t="n">
        <v>2018</v>
      </c>
      <c r="C336" s="53" t="n">
        <v>32</v>
      </c>
      <c r="D336" s="9" t="inlineStr">
        <is>
          <t>354007</t>
        </is>
      </c>
      <c r="F336" s="1" t="n">
        <v>43196</v>
      </c>
      <c r="G336" t="inlineStr">
        <is>
          <t>Impro Group Sàrl, Rue Saint-Léger 6, 1205 Geneva, Switzerland: Toner Cyan</t>
        </is>
      </c>
      <c r="L336" s="16" t="inlineStr">
        <is>
          <t>Waren, Rohstoffe, Hilfsstoffe</t>
        </is>
      </c>
      <c r="M336" s="16" t="inlineStr">
        <is>
          <t>Weiterverkauf</t>
        </is>
      </c>
      <c r="N336" t="b">
        <v>0</v>
      </c>
      <c r="O336" s="36" t="n">
        <v>32.51</v>
      </c>
      <c r="P336" s="51" t="n">
        <v>1</v>
      </c>
      <c r="Q336" s="27" t="n">
        <v>21</v>
      </c>
      <c r="R336" s="237">
        <f>O336*Q336/100</f>
        <v/>
      </c>
      <c r="S336" s="237">
        <f>P336*R336</f>
        <v/>
      </c>
      <c r="T336" s="208">
        <f>O336*P336</f>
        <v/>
      </c>
      <c r="U336" s="251">
        <f>O336+R336</f>
        <v/>
      </c>
      <c r="V336" s="251">
        <f>T336+S336</f>
        <v/>
      </c>
      <c r="W336" s="35">
        <f>voranmeldefrist_vierteljaehrlich(F336)</f>
        <v/>
      </c>
      <c r="X336" s="35" t="n">
        <v>43318</v>
      </c>
      <c r="Z336" s="210" t="n">
        <v>30.24</v>
      </c>
      <c r="AA336" s="237" t="n">
        <v>0</v>
      </c>
      <c r="AB336" t="b">
        <v>0</v>
      </c>
    </row>
    <row r="337">
      <c r="B337" s="53" t="n">
        <v>2018</v>
      </c>
      <c r="C337" s="53" t="n">
        <v>33</v>
      </c>
      <c r="D337" s="9" t="inlineStr">
        <is>
          <t>E05005Y89R</t>
        </is>
      </c>
      <c r="F337" s="1" t="n">
        <v>43242</v>
      </c>
      <c r="G337" t="inlineStr">
        <is>
          <t>Microsoft Ireland Operations Ltd, One Microsoft Place, South County Business Park Leopardstown Dublin 18, D18 P521 Irland: Office 365 Business Essentials (monatlich)</t>
        </is>
      </c>
      <c r="L337" s="16" t="inlineStr">
        <is>
          <t>sonstige Betriebsausgaben</t>
        </is>
      </c>
      <c r="M337" s="16">
        <f>IF(L337="Waren, Rohstoffe, Hilfsstoffe", "Weiterverkauf", "")</f>
        <v/>
      </c>
      <c r="N337">
        <f>(IF(AND(M337&lt;&gt;"",ABS(T337)&gt;400),TRUE,FALSE))</f>
        <v/>
      </c>
      <c r="O337" s="36" t="n">
        <v>15.3</v>
      </c>
      <c r="P337" s="51" t="n">
        <v>1</v>
      </c>
      <c r="Q337" s="27" t="n">
        <v>20</v>
      </c>
      <c r="R337" s="237">
        <f>O337*Q337/100</f>
        <v/>
      </c>
      <c r="S337" s="237">
        <f>P337*R337</f>
        <v/>
      </c>
      <c r="T337" s="208">
        <f>O337*P337</f>
        <v/>
      </c>
      <c r="U337" s="251">
        <f>O337+R337</f>
        <v/>
      </c>
      <c r="V337" s="251">
        <f>T337+S337</f>
        <v/>
      </c>
      <c r="W337" s="35">
        <f>voranmeldefrist_vierteljaehrlich(F337)</f>
        <v/>
      </c>
      <c r="X337" s="35" t="n">
        <v>43318</v>
      </c>
      <c r="Z337" s="210">
        <f>IF(N337=TRUE,T337/M337,T337)</f>
        <v/>
      </c>
      <c r="AA337" s="237">
        <f>Y337/100*V337</f>
        <v/>
      </c>
      <c r="AB337">
        <f>IF(AND(Y337&gt;0,Q337=Y337),TRUE,FALSE)</f>
        <v/>
      </c>
    </row>
    <row r="338">
      <c r="B338" s="53" t="n">
        <v>2018</v>
      </c>
      <c r="C338" s="53" t="n">
        <v>34</v>
      </c>
      <c r="D338" s="9" t="inlineStr">
        <is>
          <t>O-0000190422</t>
        </is>
      </c>
      <c r="F338" s="1" t="n">
        <v>43102</v>
      </c>
      <c r="G338" s="1" t="inlineStr">
        <is>
          <t>Flextronics Global Services Manchester Ltd, Stretton Green Distribution Cn, Langford Way, Appleton, Cheshire, WA4 4TQ, United Kingdom</t>
        </is>
      </c>
      <c r="M338" s="16" t="inlineStr">
        <is>
          <t>Weiterverkauf</t>
        </is>
      </c>
      <c r="N338">
        <f>(IF(AND(M338&lt;&gt;"",ABS(T338)&gt;400),TRUE,FALSE))</f>
        <v/>
      </c>
      <c r="O338" s="36" t="n">
        <v>91.33</v>
      </c>
      <c r="P338" s="51" t="n">
        <v>1</v>
      </c>
      <c r="Q338" s="27" t="n">
        <v>0</v>
      </c>
      <c r="R338" s="237">
        <f>O338*Q338/100</f>
        <v/>
      </c>
      <c r="S338" s="237">
        <f>P338*R338</f>
        <v/>
      </c>
      <c r="T338" s="208">
        <f>O338*P338</f>
        <v/>
      </c>
      <c r="U338" s="251">
        <f>O338+R338</f>
        <v/>
      </c>
      <c r="V338" s="251">
        <f>T338+S338</f>
        <v/>
      </c>
      <c r="W338" s="35">
        <f>voranmeldefrist_vierteljaehrlich(F338)</f>
        <v/>
      </c>
      <c r="X338" s="35" t="n"/>
      <c r="Z338" s="210">
        <f>IF(N338=TRUE,T338/M338,T338)</f>
        <v/>
      </c>
      <c r="AA338" s="237">
        <f>Y338/100*V338</f>
        <v/>
      </c>
      <c r="AB338">
        <f>IF(AND(Y338&gt;0,Q338=Y338),TRUE,FALSE)</f>
        <v/>
      </c>
    </row>
    <row r="339">
      <c r="B339" s="53" t="n">
        <v>2018</v>
      </c>
      <c r="C339" s="53" t="n">
        <v>35</v>
      </c>
      <c r="D339" s="9" t="inlineStr">
        <is>
          <t>E05005LAV5</t>
        </is>
      </c>
      <c r="F339" s="1" t="n">
        <v>43181</v>
      </c>
      <c r="G339" t="inlineStr">
        <is>
          <t>Microsoft Ireland Operations Ltd, One Microsoft Place, South County Business Park Leopardstown Dublin 18, D18 P521 Irland: Office 365 Business Essentials (monatlich)</t>
        </is>
      </c>
      <c r="L339" s="16" t="inlineStr">
        <is>
          <t>sonstige Betriebsausgaben</t>
        </is>
      </c>
      <c r="M339" s="16">
        <f>IF(L339="Waren, Rohstoffe, Hilfsstoffe", "Weiterverkauf", "")</f>
        <v/>
      </c>
      <c r="N339">
        <f>(IF(AND(M339&lt;&gt;"",ABS(T339)&gt;400),TRUE,FALSE))</f>
        <v/>
      </c>
      <c r="O339" s="36" t="n">
        <v>15.3</v>
      </c>
      <c r="P339" s="51" t="n">
        <v>1</v>
      </c>
      <c r="Q339" s="27" t="n">
        <v>20</v>
      </c>
      <c r="R339" s="237">
        <f>O339*Q339/100</f>
        <v/>
      </c>
      <c r="S339" s="237">
        <f>P339*R339</f>
        <v/>
      </c>
      <c r="T339" s="208">
        <f>O339*P339</f>
        <v/>
      </c>
      <c r="U339" s="251">
        <f>O339+R339</f>
        <v/>
      </c>
      <c r="V339" s="251">
        <f>T339+S339</f>
        <v/>
      </c>
      <c r="W339" s="35">
        <f>voranmeldefrist_vierteljaehrlich(F339)</f>
        <v/>
      </c>
      <c r="X339" s="35" t="n"/>
      <c r="Z339" s="210">
        <f>IF(N339=TRUE,T339/M339,T339)</f>
        <v/>
      </c>
      <c r="AA339" s="237">
        <f>Y339/100*V339</f>
        <v/>
      </c>
      <c r="AB339">
        <f>IF(AND(Y339&gt;0,Q339=Y339),TRUE,FALSE)</f>
        <v/>
      </c>
    </row>
    <row r="340">
      <c r="B340" s="53" t="n">
        <v>2018</v>
      </c>
      <c r="C340" s="53" t="n">
        <v>36</v>
      </c>
      <c r="D340" s="9" t="inlineStr">
        <is>
          <t>AEU-INV-AT-2018-6088080</t>
        </is>
      </c>
      <c r="F340" s="1" t="n">
        <v>43178</v>
      </c>
      <c r="G340" s="1" t="inlineStr">
        <is>
          <t>Amazon EU Sàrl, 5 Rue Plaetis, L-2338, Luxemburg: Toner schwarz</t>
        </is>
      </c>
      <c r="H340" t="inlineStr">
        <is>
          <t>Amazon EU Sàrl, 5 Rue Plaetis, L-2338, Luxemburg</t>
        </is>
      </c>
      <c r="I340" t="inlineStr">
        <is>
          <t>ATU62353134</t>
        </is>
      </c>
      <c r="J340" t="inlineStr">
        <is>
          <t>STRONG SRT 40FX4003</t>
        </is>
      </c>
      <c r="L340" s="16" t="inlineStr">
        <is>
          <t>Waren, Rohstoffe, Hilfsstoffe</t>
        </is>
      </c>
      <c r="M340" s="36" t="inlineStr">
        <is>
          <t>Weiterverkauf</t>
        </is>
      </c>
      <c r="N340" t="b">
        <v>0</v>
      </c>
      <c r="O340" s="36" t="n">
        <v>46.02</v>
      </c>
      <c r="P340" s="51" t="n">
        <v>1</v>
      </c>
      <c r="Q340" s="27" t="n">
        <v>20</v>
      </c>
      <c r="R340" s="237">
        <f>O340*Q340/100</f>
        <v/>
      </c>
      <c r="S340" s="237">
        <f>P340*R340</f>
        <v/>
      </c>
      <c r="T340" s="208">
        <f>O340*P340</f>
        <v/>
      </c>
      <c r="U340" s="251">
        <f>O340+R340</f>
        <v/>
      </c>
      <c r="V340" s="251">
        <f>T340+S340</f>
        <v/>
      </c>
      <c r="W340" s="35">
        <f>voranmeldefrist_vierteljaehrlich(F340)</f>
        <v/>
      </c>
      <c r="X340" s="35" t="n"/>
      <c r="Z340" s="210" t="n">
        <v>30.24</v>
      </c>
      <c r="AA340" s="237" t="n">
        <v>0</v>
      </c>
      <c r="AB340" t="b">
        <v>0</v>
      </c>
    </row>
    <row r="341">
      <c r="B341" s="53" t="n">
        <v>2018</v>
      </c>
      <c r="C341" s="53" t="n">
        <v>37</v>
      </c>
      <c r="D341" s="9" t="inlineStr">
        <is>
          <t>AEU-INV-AT-2018-10486099</t>
        </is>
      </c>
      <c r="F341" s="1" t="n">
        <v>43238</v>
      </c>
      <c r="G341" s="1" t="inlineStr">
        <is>
          <t>Amazon EU Sàrl, 5 Rue Plaetis, L-2338, Luxemburg: Logo modernism</t>
        </is>
      </c>
      <c r="H341" t="inlineStr">
        <is>
          <t>Amazon EU Sàrl, 5 Rue Plaetis, L-2338, Luxemburg</t>
        </is>
      </c>
      <c r="I341" t="inlineStr">
        <is>
          <t>ATU62353134</t>
        </is>
      </c>
      <c r="J341" t="inlineStr">
        <is>
          <t>STRONG SRT 40FX4003</t>
        </is>
      </c>
      <c r="L341" s="16" t="inlineStr">
        <is>
          <t>Fachliteratur</t>
        </is>
      </c>
      <c r="M341" s="16">
        <f>IF(L341="Waren, Rohstoffe, Hilfsstoffe", "Weiterverkauf", "")</f>
        <v/>
      </c>
      <c r="N341" t="b">
        <v>0</v>
      </c>
      <c r="O341" s="36" t="n">
        <v>46.73</v>
      </c>
      <c r="P341" s="51" t="n">
        <v>1</v>
      </c>
      <c r="Q341" s="27" t="n">
        <v>10</v>
      </c>
      <c r="R341" s="237">
        <f>O341*Q341/100</f>
        <v/>
      </c>
      <c r="S341" s="237">
        <f>P341*R341</f>
        <v/>
      </c>
      <c r="T341" s="208">
        <f>O341*P341</f>
        <v/>
      </c>
      <c r="U341" s="251">
        <f>O341+R341</f>
        <v/>
      </c>
      <c r="V341" s="251">
        <f>T341+S341</f>
        <v/>
      </c>
      <c r="W341" s="35">
        <f>voranmeldefrist_vierteljaehrlich(F341)</f>
        <v/>
      </c>
      <c r="X341" s="35" t="n">
        <v>43318</v>
      </c>
      <c r="Z341" s="210" t="n">
        <v>30.24</v>
      </c>
      <c r="AA341" s="237" t="n">
        <v>0</v>
      </c>
      <c r="AB341" t="b">
        <v>0</v>
      </c>
    </row>
    <row r="342">
      <c r="B342" s="53" t="n">
        <v>2018</v>
      </c>
      <c r="C342" s="53" t="n">
        <v>38</v>
      </c>
      <c r="D342" s="9" t="inlineStr">
        <is>
          <t>2131969</t>
        </is>
      </c>
      <c r="F342" s="1" t="n">
        <v>43210</v>
      </c>
      <c r="G342" t="inlineStr">
        <is>
          <t>freiwerk GmbH, Drahthammerstr. 20, 92224 Amberg: Netzwerkkabel+Versand</t>
        </is>
      </c>
      <c r="M342" s="36" t="inlineStr">
        <is>
          <t>Weiterverkauf</t>
        </is>
      </c>
      <c r="N342" t="b">
        <v>0</v>
      </c>
      <c r="O342" s="36" t="n">
        <v>20.9</v>
      </c>
      <c r="P342" s="51" t="n">
        <v>1</v>
      </c>
      <c r="Q342" s="27" t="n">
        <v>20</v>
      </c>
      <c r="R342" s="237">
        <f>O342*Q342/100</f>
        <v/>
      </c>
      <c r="S342" s="237">
        <f>P342*R342</f>
        <v/>
      </c>
      <c r="T342" s="208">
        <f>O342*P342</f>
        <v/>
      </c>
      <c r="U342" s="251">
        <f>O342+R342</f>
        <v/>
      </c>
      <c r="V342" s="251">
        <f>T342+S342</f>
        <v/>
      </c>
      <c r="W342" s="35">
        <f>voranmeldefrist_vierteljaehrlich(F342)</f>
        <v/>
      </c>
      <c r="X342" s="35" t="n">
        <v>43318</v>
      </c>
      <c r="Z342" s="210" t="n">
        <v>30.24</v>
      </c>
      <c r="AA342" s="237" t="n">
        <v>0</v>
      </c>
      <c r="AB342" t="b">
        <v>0</v>
      </c>
    </row>
    <row r="343">
      <c r="B343" s="53" t="n">
        <v>2018</v>
      </c>
      <c r="C343" s="53" t="n">
        <v>39</v>
      </c>
      <c r="D343" s="9" t="inlineStr">
        <is>
          <t>E05005ROXE</t>
        </is>
      </c>
      <c r="F343" s="1" t="n">
        <v>43213</v>
      </c>
      <c r="G343" t="inlineStr">
        <is>
          <t>Microsoft Ireland Operations Ltd, One Microsoft Place, South County Business Park Leopardstown Dublin 18, D18 P521 Irland: Office 365 Business Essentials (monatlich)</t>
        </is>
      </c>
      <c r="L343" s="16" t="inlineStr">
        <is>
          <t>sonstige Betriebsausgaben</t>
        </is>
      </c>
      <c r="M343" s="16">
        <f>IF(L343="Waren, Rohstoffe, Hilfsstoffe", "Weiterverkauf", "")</f>
        <v/>
      </c>
      <c r="N343">
        <f>(IF(AND(M343&lt;&gt;"",ABS(T343)&gt;400),TRUE,FALSE))</f>
        <v/>
      </c>
      <c r="O343" s="36" t="n">
        <v>15.3</v>
      </c>
      <c r="P343" s="51" t="n">
        <v>1</v>
      </c>
      <c r="Q343" s="27" t="n">
        <v>20</v>
      </c>
      <c r="R343" s="237">
        <f>O343*Q343/100</f>
        <v/>
      </c>
      <c r="S343" s="237">
        <f>P343*R343</f>
        <v/>
      </c>
      <c r="T343" s="208">
        <f>O343*P343</f>
        <v/>
      </c>
      <c r="U343" s="251">
        <f>O343+R343</f>
        <v/>
      </c>
      <c r="V343" s="251">
        <f>T343+S343</f>
        <v/>
      </c>
      <c r="W343" s="35">
        <f>voranmeldefrist_vierteljaehrlich(F343)</f>
        <v/>
      </c>
      <c r="X343" s="35" t="n">
        <v>43318</v>
      </c>
      <c r="Z343" s="210">
        <f>IF(N343=TRUE,T343/M343,T343)</f>
        <v/>
      </c>
      <c r="AA343" s="237">
        <f>Y343/100*V343</f>
        <v/>
      </c>
      <c r="AB343">
        <f>IF(AND(Y343&gt;0,Q343=Y343),TRUE,FALSE)</f>
        <v/>
      </c>
    </row>
    <row r="344">
      <c r="B344" s="53" t="n">
        <v>2018</v>
      </c>
      <c r="C344" s="53" t="n">
        <v>40</v>
      </c>
      <c r="D344" s="9" t="inlineStr">
        <is>
          <t>RE0600113</t>
        </is>
      </c>
      <c r="F344" s="1" t="n">
        <v>43245</v>
      </c>
      <c r="G344" s="1" t="inlineStr">
        <is>
          <t>easyname mj1.at</t>
        </is>
      </c>
      <c r="I344" t="inlineStr">
        <is>
          <t>ATU68122177</t>
        </is>
      </c>
      <c r="L344" s="16" t="inlineStr">
        <is>
          <t>sonstige Betriebsausgaben</t>
        </is>
      </c>
      <c r="M344" s="16">
        <f>IF(L344="Waren, Rohstoffe, Hilfsstoffe", "Weiterverkauf", "")</f>
        <v/>
      </c>
      <c r="N344">
        <f>(IF(AND(M344&lt;&gt;"",ABS(T344)&gt;400),TRUE,FALSE))</f>
        <v/>
      </c>
      <c r="O344" s="36" t="n">
        <v>12.42</v>
      </c>
      <c r="P344" s="51" t="n">
        <v>1</v>
      </c>
      <c r="Q344" s="27" t="n">
        <v>20</v>
      </c>
      <c r="R344" s="237">
        <f>O344*Q344/100</f>
        <v/>
      </c>
      <c r="S344" s="237">
        <f>P344*R344</f>
        <v/>
      </c>
      <c r="T344" s="208">
        <f>O344*P344</f>
        <v/>
      </c>
      <c r="U344" s="251">
        <f>O344+R344</f>
        <v/>
      </c>
      <c r="V344" s="251">
        <f>T344+S344</f>
        <v/>
      </c>
      <c r="W344" s="35">
        <f>voranmeldefrist_vierteljaehrlich(F344)</f>
        <v/>
      </c>
      <c r="X344" s="35" t="n">
        <v>43318</v>
      </c>
      <c r="Z344" s="210">
        <f>IF(N344=TRUE,T344/K344,T344)</f>
        <v/>
      </c>
      <c r="AA344" s="237">
        <f>Y344/100*V344</f>
        <v/>
      </c>
      <c r="AB344">
        <f>IF(AND(Y344&gt;0,Q344=Y344),TRUE,FALSE)</f>
        <v/>
      </c>
    </row>
    <row r="345">
      <c r="B345" s="53" t="n">
        <v>2018</v>
      </c>
      <c r="C345" s="53" t="n">
        <v>41</v>
      </c>
      <c r="D345" s="9" t="inlineStr">
        <is>
          <t>3293000005973773</t>
        </is>
      </c>
      <c r="F345" s="1" t="n">
        <v>43229</v>
      </c>
      <c r="G345" t="inlineStr">
        <is>
          <t>Daimler Mobility Services GmbH, Fasanenweg 15-17, 70771 Leinfelden-Echterdingen, Germany</t>
        </is>
      </c>
      <c r="L345" s="16" t="inlineStr">
        <is>
          <t>Reise- und Fahrtspesen inkl. Kilometergeld und Diäten</t>
        </is>
      </c>
      <c r="N345">
        <f>(IF(AND(M345&lt;&gt;"",ABS(T345)&gt;400),TRUE,FALSE))</f>
        <v/>
      </c>
      <c r="O345" s="36" t="n">
        <v>8.52</v>
      </c>
      <c r="P345" s="51" t="n">
        <v>1</v>
      </c>
      <c r="Q345" s="27" t="n">
        <v>20</v>
      </c>
      <c r="R345" s="237">
        <f>O345*Q345/100</f>
        <v/>
      </c>
      <c r="S345" s="237">
        <f>P345*R345</f>
        <v/>
      </c>
      <c r="T345" s="208">
        <f>O345*P345</f>
        <v/>
      </c>
      <c r="U345" s="251">
        <f>O345+R345</f>
        <v/>
      </c>
      <c r="V345" s="251">
        <f>T345+S345</f>
        <v/>
      </c>
      <c r="W345" s="35">
        <f>voranmeldefrist_vierteljaehrlich(F345)</f>
        <v/>
      </c>
      <c r="X345" s="35" t="n">
        <v>43318</v>
      </c>
      <c r="Z345" s="210">
        <f>IF(N345=TRUE,T345/K345,T345)</f>
        <v/>
      </c>
      <c r="AA345" s="237">
        <f>Y345/100*V345</f>
        <v/>
      </c>
      <c r="AB345">
        <f>IF(AND(Y345&gt;0,Q345=Y345),TRUE,FALSE)</f>
        <v/>
      </c>
    </row>
    <row r="346">
      <c r="B346" s="53" t="n">
        <v>2018</v>
      </c>
      <c r="C346" s="53" t="n">
        <v>42</v>
      </c>
      <c r="D346" s="9" t="inlineStr">
        <is>
          <t>E05005Y89R</t>
        </is>
      </c>
      <c r="F346" s="1" t="n">
        <v>43241</v>
      </c>
      <c r="G346" t="inlineStr">
        <is>
          <t>Microsoft Ireland Operations Ltd, One Microsoft Place, South County Business Park Leopardstown Dublin 18, D18 P521 Irland: Office 365 Business Essentials (monatlich)</t>
        </is>
      </c>
      <c r="L346" s="16" t="inlineStr">
        <is>
          <t>sonstige Betriebsausgaben</t>
        </is>
      </c>
      <c r="N346">
        <f>(IF(AND(M346&lt;&gt;"",ABS(T346)&gt;400),TRUE,FALSE))</f>
        <v/>
      </c>
      <c r="O346" s="36" t="n">
        <v>15.3</v>
      </c>
      <c r="P346" s="51" t="n">
        <v>1</v>
      </c>
      <c r="Q346" s="27" t="n">
        <v>20</v>
      </c>
      <c r="R346" s="237">
        <f>O346*Q346/100</f>
        <v/>
      </c>
      <c r="S346" s="237">
        <f>P346*R346</f>
        <v/>
      </c>
      <c r="T346" s="208">
        <f>O346*P346</f>
        <v/>
      </c>
      <c r="U346" s="251">
        <f>O346+R346</f>
        <v/>
      </c>
      <c r="V346" s="251">
        <f>T346+S346</f>
        <v/>
      </c>
      <c r="W346" s="35">
        <f>voranmeldefrist_vierteljaehrlich(F346)</f>
        <v/>
      </c>
      <c r="X346" s="35" t="n">
        <v>43318</v>
      </c>
      <c r="Z346" s="210">
        <f>IF(N346=TRUE,T346/K346,T346)</f>
        <v/>
      </c>
      <c r="AA346" s="237">
        <f>Y346/100*V346</f>
        <v/>
      </c>
      <c r="AB346">
        <f>IF(AND(Y346&gt;0,Q346=Y346),TRUE,FALSE)</f>
        <v/>
      </c>
    </row>
    <row r="347">
      <c r="B347" s="53" t="n">
        <v>2018</v>
      </c>
      <c r="C347" s="53" t="n">
        <v>43</v>
      </c>
      <c r="D347" s="9" t="inlineStr">
        <is>
          <t>3467622978</t>
        </is>
      </c>
      <c r="F347" s="1" t="n">
        <v>43253</v>
      </c>
      <c r="G347" t="inlineStr">
        <is>
          <t>Google Ireland Limited, Gordon House, Barrow Street, Dublin 4, Ireland, UID: IE6388047V</t>
        </is>
      </c>
      <c r="L347" s="16" t="inlineStr">
        <is>
          <t>sonstige Betriebsausgaben</t>
        </is>
      </c>
      <c r="N347">
        <f>(IF(AND(M347&lt;&gt;"",ABS(T347)&gt;400),TRUE,FALSE))</f>
        <v/>
      </c>
      <c r="O347" s="36" t="n">
        <v>2.32</v>
      </c>
      <c r="P347" s="51" t="n">
        <v>1</v>
      </c>
      <c r="Q347" s="27" t="n">
        <v>0</v>
      </c>
      <c r="R347" s="237">
        <f>O347*Q347/100</f>
        <v/>
      </c>
      <c r="S347" s="237">
        <f>P347*R347</f>
        <v/>
      </c>
      <c r="T347" s="208">
        <f>O347*P347</f>
        <v/>
      </c>
      <c r="U347" s="251">
        <f>O347+R347</f>
        <v/>
      </c>
      <c r="V347" s="251">
        <f>T347+S347</f>
        <v/>
      </c>
      <c r="W347" s="35">
        <f>voranmeldefrist_vierteljaehrlich(F347)</f>
        <v/>
      </c>
      <c r="X347" s="35" t="n">
        <v>43318</v>
      </c>
      <c r="Y347" s="27" t="n">
        <v>20</v>
      </c>
      <c r="Z347" s="210">
        <f>IF(N347=TRUE,T347/K347,T347)</f>
        <v/>
      </c>
      <c r="AA347" s="237">
        <f>Y347/100*V347</f>
        <v/>
      </c>
      <c r="AB347">
        <f>IF(AND(Y347&gt;0,Q347=Y347),TRUE,FALSE)</f>
        <v/>
      </c>
    </row>
    <row r="348">
      <c r="B348" s="53" t="n">
        <v>2018</v>
      </c>
      <c r="C348" s="53" t="n">
        <v>44</v>
      </c>
      <c r="D348" s="9" t="inlineStr">
        <is>
          <t>6157023742</t>
        </is>
      </c>
      <c r="F348" s="1" t="n">
        <v>43265</v>
      </c>
      <c r="G348" t="inlineStr">
        <is>
          <t>Hutchison Drei Austria GmbH, Brünner Straße 52, 1210 Wien, Österreich</t>
        </is>
      </c>
      <c r="L348" s="16" t="inlineStr">
        <is>
          <t>Telefon/Internet</t>
        </is>
      </c>
      <c r="N348">
        <f>(IF(AND(M348&lt;&gt;"",ABS(T348)&gt;400),TRUE,FALSE))</f>
        <v/>
      </c>
      <c r="O348" s="36" t="n">
        <v>15.58</v>
      </c>
      <c r="P348" s="51" t="n">
        <v>1</v>
      </c>
      <c r="Q348" s="27" t="n">
        <v>20</v>
      </c>
      <c r="R348" s="237">
        <f>O348*Q348/100</f>
        <v/>
      </c>
      <c r="S348" s="237">
        <f>P348*R348</f>
        <v/>
      </c>
      <c r="T348" s="208">
        <f>O348*P348</f>
        <v/>
      </c>
      <c r="U348" s="251">
        <f>O348+R348</f>
        <v/>
      </c>
      <c r="V348" s="251">
        <f>T348+S348</f>
        <v/>
      </c>
      <c r="W348" s="35">
        <f>voranmeldefrist_vierteljaehrlich(F348)</f>
        <v/>
      </c>
      <c r="X348" s="35" t="n">
        <v>43318</v>
      </c>
      <c r="Z348" s="210">
        <f>IF(N348=TRUE,T348/K348,T348)</f>
        <v/>
      </c>
      <c r="AA348" s="237">
        <f>Y348/100*V348</f>
        <v/>
      </c>
      <c r="AB348">
        <f>IF(AND(Y348&gt;0,Q348=Y348),TRUE,FALSE)</f>
        <v/>
      </c>
    </row>
    <row r="349">
      <c r="B349" s="53" t="n">
        <v>2018</v>
      </c>
      <c r="C349" s="53" t="n">
        <v>45</v>
      </c>
      <c r="D349" s="9" t="inlineStr">
        <is>
          <t>169593506-00</t>
        </is>
      </c>
      <c r="F349" s="1" t="n">
        <v>43256</v>
      </c>
      <c r="G349" t="inlineStr">
        <is>
          <t>UPC Laudongasse</t>
        </is>
      </c>
      <c r="L349" s="16" t="inlineStr">
        <is>
          <t>Telefon/Internet</t>
        </is>
      </c>
      <c r="N349">
        <f>(IF(AND(M349&lt;&gt;"",ABS(T349)&gt;400),TRUE,FALSE))</f>
        <v/>
      </c>
      <c r="O349" s="36" t="n">
        <v>48.32</v>
      </c>
      <c r="P349" s="51">
        <f>(27.82+1.04)/48.32*(2/3)</f>
        <v/>
      </c>
      <c r="Q349" s="27" t="inlineStr">
        <is>
          <t>gemischt</t>
        </is>
      </c>
      <c r="R349" s="237" t="n">
        <v>7.72</v>
      </c>
      <c r="S349" s="237">
        <f>P349*R349</f>
        <v/>
      </c>
      <c r="T349" s="208">
        <f>O349*P349</f>
        <v/>
      </c>
      <c r="U349" s="251">
        <f>O349+R349</f>
        <v/>
      </c>
      <c r="V349" s="251">
        <f>T349+S349</f>
        <v/>
      </c>
      <c r="W349" s="35">
        <f>voranmeldefrist_vierteljaehrlich(F349)</f>
        <v/>
      </c>
      <c r="X349" s="35" t="n">
        <v>43318</v>
      </c>
      <c r="Z349" s="210">
        <f>IF(N349=TRUE,T349/M349,T349)</f>
        <v/>
      </c>
      <c r="AA349" s="237">
        <f>Y349/100*V349</f>
        <v/>
      </c>
      <c r="AB349">
        <f>IF(AND(Y349&gt;0,Q349=Y349),TRUE,FALSE)</f>
        <v/>
      </c>
    </row>
    <row r="350">
      <c r="B350" s="53" t="n">
        <v>2018</v>
      </c>
      <c r="C350" s="53" t="n">
        <v>46</v>
      </c>
      <c r="D350" s="9" t="inlineStr">
        <is>
          <t>14003245753/40/2018</t>
        </is>
      </c>
      <c r="F350" s="1" t="n">
        <v>43266</v>
      </c>
      <c r="G350" s="1">
        <f>CONCATENATE(H350,": ",J350)</f>
        <v/>
      </c>
      <c r="H350" t="inlineStr">
        <is>
          <t>MONTANA Energie-Handel AT GmbH</t>
        </is>
      </c>
      <c r="J350" t="inlineStr">
        <is>
          <t>Teilzahlungsbetrag Gas</t>
        </is>
      </c>
      <c r="L350" s="16" t="inlineStr">
        <is>
          <t>sonstige Betriebsausgaben</t>
        </is>
      </c>
      <c r="M350" s="16">
        <f>IF(L350="Waren, Rohstoffe, Hilfsstoffe", "Weiterverkauf", "")</f>
        <v/>
      </c>
      <c r="N350">
        <f>(IF(AND(M350&lt;&gt;"",ABS(T350)&gt;400),TRUE,FALSE))</f>
        <v/>
      </c>
      <c r="O350" s="36">
        <f>99/1.2</f>
        <v/>
      </c>
      <c r="P350" s="51">
        <f>Arbeitszimmer!$B$3</f>
        <v/>
      </c>
      <c r="Q350" s="27" t="n">
        <v>20</v>
      </c>
      <c r="R350" s="237">
        <f>O350*Q350/100</f>
        <v/>
      </c>
      <c r="S350" s="237">
        <f>P350*R350</f>
        <v/>
      </c>
      <c r="T350" s="208">
        <f>O350*P350</f>
        <v/>
      </c>
      <c r="U350" s="251">
        <f>O350+R350</f>
        <v/>
      </c>
      <c r="V350" s="251">
        <f>T350+S350</f>
        <v/>
      </c>
      <c r="W350" s="35">
        <f>voranmeldefrist_vierteljaehrlich(F350)</f>
        <v/>
      </c>
      <c r="X350" s="35" t="n">
        <v>43318</v>
      </c>
      <c r="Z350" s="210">
        <f>IF(N350=TRUE,T350/K350,T350)</f>
        <v/>
      </c>
      <c r="AA350" s="237">
        <f>Y350/100*V350</f>
        <v/>
      </c>
      <c r="AB350">
        <f>IF(AND(Y350&gt;0,Q350=Y350),TRUE,FALSE)</f>
        <v/>
      </c>
    </row>
    <row r="351">
      <c r="B351" s="53" t="n">
        <v>2018</v>
      </c>
      <c r="C351" s="53" t="n">
        <v>47</v>
      </c>
      <c r="D351" s="9" t="inlineStr">
        <is>
          <t>11793156960</t>
        </is>
      </c>
      <c r="F351" s="1" t="n">
        <v>43272</v>
      </c>
      <c r="G351" t="inlineStr">
        <is>
          <t>Microsoft Ireland Operations Ltd, One Microsoft Place, South County Business Park Leopardstown Dublin 18, D18 P521 Irland: Office 365 Business Essentials (monatlich)</t>
        </is>
      </c>
      <c r="L351" s="16" t="inlineStr">
        <is>
          <t>sonstige Betriebsausgaben</t>
        </is>
      </c>
      <c r="N351">
        <f>(IF(AND(M351&lt;&gt;"",ABS(T351)&gt;400),TRUE,FALSE))</f>
        <v/>
      </c>
      <c r="O351" s="36" t="n">
        <v>57.5</v>
      </c>
      <c r="P351" s="51" t="n">
        <v>1</v>
      </c>
      <c r="Q351" s="27" t="n">
        <v>20</v>
      </c>
      <c r="R351" s="237">
        <f>O351*Q351/100</f>
        <v/>
      </c>
      <c r="S351" s="237">
        <f>P351*R351</f>
        <v/>
      </c>
      <c r="T351" s="208">
        <f>O351*P351</f>
        <v/>
      </c>
      <c r="U351" s="251">
        <f>O351+R351</f>
        <v/>
      </c>
      <c r="V351" s="251">
        <f>T351+S351</f>
        <v/>
      </c>
      <c r="W351" s="35">
        <f>voranmeldefrist_vierteljaehrlich(F351)</f>
        <v/>
      </c>
      <c r="X351" s="35" t="n">
        <v>43318</v>
      </c>
      <c r="Z351" s="210">
        <f>IF(N351=TRUE,T351/K351,T351)</f>
        <v/>
      </c>
      <c r="AA351" s="237">
        <f>Y351/100*V351</f>
        <v/>
      </c>
      <c r="AB351">
        <f>IF(AND(Y351&gt;0,Q351=Y351),TRUE,FALSE)</f>
        <v/>
      </c>
    </row>
    <row r="352">
      <c r="B352" s="53" t="n">
        <v>2018</v>
      </c>
      <c r="C352" s="53" t="n">
        <v>48</v>
      </c>
      <c r="D352" s="9" t="inlineStr">
        <is>
          <t>E050064VW3</t>
        </is>
      </c>
      <c r="F352" s="1" t="n">
        <v>43273</v>
      </c>
      <c r="G352" t="inlineStr">
        <is>
          <t>Microsoft Ireland Operations Ltd, One Microsoft Place, South County Business Park Leopardstown Dublin 18, D18 P521 Irland: Office 365 Business Essentials (monatlich)</t>
        </is>
      </c>
      <c r="L352" s="16" t="inlineStr">
        <is>
          <t>sonstige Betriebsausgaben</t>
        </is>
      </c>
      <c r="N352" t="b">
        <v>0</v>
      </c>
      <c r="O352" s="36" t="n">
        <v>15.3</v>
      </c>
      <c r="P352" s="51" t="n">
        <v>1</v>
      </c>
      <c r="Q352" s="27" t="n">
        <v>20</v>
      </c>
      <c r="R352" s="237">
        <f>O352*Q352/100</f>
        <v/>
      </c>
      <c r="S352" s="237">
        <f>P352*R352</f>
        <v/>
      </c>
      <c r="T352" s="208">
        <f>O352*P352</f>
        <v/>
      </c>
      <c r="U352" s="251">
        <f>O352+R352</f>
        <v/>
      </c>
      <c r="V352" s="251">
        <f>T352+S352</f>
        <v/>
      </c>
      <c r="W352" s="35">
        <f>voranmeldefrist_vierteljaehrlich(F352)</f>
        <v/>
      </c>
      <c r="X352" s="35" t="n">
        <v>43318</v>
      </c>
      <c r="Z352" s="210">
        <f>IF(N352=TRUE,T352/K352,T352)</f>
        <v/>
      </c>
      <c r="AA352" s="237">
        <f>Y352/100*V352</f>
        <v/>
      </c>
      <c r="AB352">
        <f>IF(AND(Y352&gt;0,Q352=Y352),TRUE,FALSE)</f>
        <v/>
      </c>
    </row>
    <row r="353">
      <c r="B353" s="53" t="n">
        <v>2018</v>
      </c>
      <c r="C353" s="53" t="n">
        <v>49</v>
      </c>
      <c r="D353" s="9" t="inlineStr">
        <is>
          <t>2018/8058/18</t>
        </is>
      </c>
      <c r="F353" s="1" t="n">
        <v>43276</v>
      </c>
      <c r="G353" s="1">
        <f>CONCATENATE(H353,": ",J353)</f>
        <v/>
      </c>
      <c r="H353" t="inlineStr">
        <is>
          <t>PREMIUM Laudongasse 58 GmbH &amp; Co KG</t>
        </is>
      </c>
      <c r="I353" t="inlineStr">
        <is>
          <t>ATU60795919</t>
        </is>
      </c>
      <c r="J353" t="inlineStr">
        <is>
          <t>Dauerrechnung 2018-D</t>
        </is>
      </c>
      <c r="L353" s="16" t="inlineStr">
        <is>
          <t>Miet- und Pachtaufwand, Leasing</t>
        </is>
      </c>
      <c r="M353" s="16">
        <f>IF(L353="Waren, Rohstoffe, Hilfsstoffe", "Weiterverkauf", "")</f>
        <v/>
      </c>
      <c r="N353">
        <f>(IF(AND(M353&lt;&gt;"",ABS(T353)&gt;400),TRUE,FALSE))</f>
        <v/>
      </c>
      <c r="O353" s="36" t="n">
        <v>763.4400000000001</v>
      </c>
      <c r="P353" s="51">
        <f>Arbeitszimmer!$B$3</f>
        <v/>
      </c>
      <c r="Q353" s="27" t="n">
        <v>10</v>
      </c>
      <c r="R353" s="237">
        <f>O353*Q353/100</f>
        <v/>
      </c>
      <c r="S353" s="237">
        <f>P353*R353</f>
        <v/>
      </c>
      <c r="T353" s="208">
        <f>O353*P353</f>
        <v/>
      </c>
      <c r="U353" s="251">
        <f>O353+R353</f>
        <v/>
      </c>
      <c r="V353" s="251">
        <f>T353+S353</f>
        <v/>
      </c>
      <c r="W353" s="35">
        <f>voranmeldefrist_vierteljaehrlich(F353)</f>
        <v/>
      </c>
      <c r="X353" s="35" t="n">
        <v>43318</v>
      </c>
      <c r="Z353" s="210">
        <f>IF(N353=TRUE,T353/M353,T353)</f>
        <v/>
      </c>
      <c r="AA353" s="237">
        <f>Y353/100*V353</f>
        <v/>
      </c>
      <c r="AB353">
        <f>IF(AND(Y353&gt;0,Q353=Y353),TRUE,FALSE)</f>
        <v/>
      </c>
    </row>
    <row r="354">
      <c r="B354" s="53" t="n">
        <v>2018</v>
      </c>
      <c r="C354" s="53" t="n">
        <v>50</v>
      </c>
      <c r="D354" s="9" t="inlineStr">
        <is>
          <t>AEU-INV-AT-2018-13729083</t>
        </is>
      </c>
      <c r="F354" s="1" t="n">
        <v>43278</v>
      </c>
      <c r="G354" t="inlineStr">
        <is>
          <t>Clean Coder Amazon EU S.à.r.l. - 5 Rue Plaetis, L-2338 Luxembourg, ATU62353134</t>
        </is>
      </c>
      <c r="L354" s="16" t="inlineStr">
        <is>
          <t>sonstige Betriebsausgaben</t>
        </is>
      </c>
      <c r="N354" t="b">
        <v>0</v>
      </c>
      <c r="O354" s="36" t="n">
        <v>27.09</v>
      </c>
      <c r="P354" s="51" t="n">
        <v>1</v>
      </c>
      <c r="Q354" s="27" t="n">
        <v>10</v>
      </c>
      <c r="R354" s="237">
        <f>O354*Q354/100</f>
        <v/>
      </c>
      <c r="S354" s="237">
        <f>P354*R354</f>
        <v/>
      </c>
      <c r="T354" s="208">
        <f>O354*P354</f>
        <v/>
      </c>
      <c r="U354" s="251">
        <f>O354+R354</f>
        <v/>
      </c>
      <c r="V354" s="251">
        <f>T354+S354</f>
        <v/>
      </c>
      <c r="W354" s="35">
        <f>voranmeldefrist_vierteljaehrlich(F354)</f>
        <v/>
      </c>
      <c r="X354" s="35" t="n">
        <v>43318</v>
      </c>
      <c r="Z354" s="210">
        <f>IF(N354=TRUE,T354/K354,T354)</f>
        <v/>
      </c>
      <c r="AA354" s="237">
        <f>Y354/100*V354</f>
        <v/>
      </c>
      <c r="AB354">
        <f>IF(AND(Y354&gt;0,Q354=Y354),TRUE,FALSE)</f>
        <v/>
      </c>
    </row>
    <row r="355">
      <c r="B355" s="53" t="n">
        <v>2018</v>
      </c>
      <c r="C355" s="53" t="n">
        <v>51</v>
      </c>
      <c r="D355" s="9" t="inlineStr">
        <is>
          <t>684128</t>
        </is>
      </c>
      <c r="F355" s="1" t="n">
        <v>43278</v>
      </c>
      <c r="G355" t="inlineStr">
        <is>
          <t xml:space="preserve">Drucker+PCs+LCDs: Lemon Technologies GmbH,Unterweißenbach 181, 8330 Feldbach, Österreich </t>
        </is>
      </c>
      <c r="L355" s="16" t="inlineStr">
        <is>
          <t>sonstige Betriebsausgaben</t>
        </is>
      </c>
      <c r="M355" s="16" t="inlineStr">
        <is>
          <t>Weiterverkauf</t>
        </is>
      </c>
      <c r="N355" t="b">
        <v>0</v>
      </c>
      <c r="O355" s="36" t="n">
        <v>3132.56</v>
      </c>
      <c r="P355" s="51" t="n">
        <v>1</v>
      </c>
      <c r="Q355" s="27" t="n">
        <v>20</v>
      </c>
      <c r="R355" s="237">
        <f>O355*Q355/100</f>
        <v/>
      </c>
      <c r="S355" s="237">
        <f>P355*R355</f>
        <v/>
      </c>
      <c r="T355" s="208">
        <f>O355*P355</f>
        <v/>
      </c>
      <c r="U355" s="251">
        <f>O355+R355</f>
        <v/>
      </c>
      <c r="V355" s="251">
        <f>T355+S355</f>
        <v/>
      </c>
      <c r="W355" s="35">
        <f>voranmeldefrist_vierteljaehrlich(F355)</f>
        <v/>
      </c>
      <c r="X355" s="35" t="n">
        <v>43318</v>
      </c>
      <c r="Z355" s="210">
        <f>IF(N355=TRUE,T355/K355,T355)</f>
        <v/>
      </c>
      <c r="AA355" s="237">
        <f>Y355/100*V355</f>
        <v/>
      </c>
      <c r="AB355">
        <f>IF(AND(Y355&gt;0,Q355=Y355),TRUE,FALSE)</f>
        <v/>
      </c>
    </row>
    <row r="356">
      <c r="B356" s="53" t="n">
        <v>2018</v>
      </c>
      <c r="C356" s="53" t="n">
        <v>52</v>
      </c>
      <c r="D356" s="9" t="inlineStr">
        <is>
          <t>684492</t>
        </is>
      </c>
      <c r="F356" s="1" t="n">
        <v>43280</v>
      </c>
      <c r="G356" t="inlineStr">
        <is>
          <t xml:space="preserve">UEPC: Lemon Technologies GmbH,Unterweißenbach 181, 8330 Feldbach, Österreich </t>
        </is>
      </c>
      <c r="L356" s="16" t="inlineStr">
        <is>
          <t>sonstige Betriebsausgaben</t>
        </is>
      </c>
      <c r="M356" s="16" t="inlineStr">
        <is>
          <t>Weiterverkauf</t>
        </is>
      </c>
      <c r="N356" t="b">
        <v>0</v>
      </c>
      <c r="O356" s="36" t="n">
        <v>529.01</v>
      </c>
      <c r="P356" s="51" t="n">
        <v>1</v>
      </c>
      <c r="Q356" s="27" t="n">
        <v>20</v>
      </c>
      <c r="R356" s="237">
        <f>O356*Q356/100</f>
        <v/>
      </c>
      <c r="S356" s="237">
        <f>P356*R356</f>
        <v/>
      </c>
      <c r="T356" s="208">
        <f>O356*P356</f>
        <v/>
      </c>
      <c r="U356" s="251">
        <f>O356+R356</f>
        <v/>
      </c>
      <c r="V356" s="251">
        <f>T356+S356</f>
        <v/>
      </c>
      <c r="W356" s="35">
        <f>voranmeldefrist_vierteljaehrlich(F356)</f>
        <v/>
      </c>
      <c r="X356" s="35" t="n">
        <v>43318</v>
      </c>
      <c r="Z356" s="210">
        <f>IF(N356=TRUE,T356/K356,T356)</f>
        <v/>
      </c>
      <c r="AA356" s="237">
        <f>Y356/100*V356</f>
        <v/>
      </c>
      <c r="AB356">
        <f>IF(AND(Y356&gt;0,Q356=Y356),TRUE,FALSE)</f>
        <v/>
      </c>
    </row>
    <row r="357">
      <c r="B357" s="53" t="n">
        <v>2018</v>
      </c>
      <c r="C357" s="53" t="n">
        <v>53</v>
      </c>
      <c r="D357" s="9" t="inlineStr">
        <is>
          <t>Amazon: AEU-INV-AT-2018-13708794; 1attack: 2191562</t>
        </is>
      </c>
      <c r="F357" s="1" t="n">
        <v>43278</v>
      </c>
      <c r="G357" s="1" t="inlineStr">
        <is>
          <t>1attack Patchkabel und Zyxel Switch, Steckdosenleisten: Amazon EU Sàrl, 5 Rue Plaetis, L-2338, Luxemburg</t>
        </is>
      </c>
      <c r="L357" s="16" t="inlineStr">
        <is>
          <t>sonstige Betriebsausgaben</t>
        </is>
      </c>
      <c r="M357" s="16" t="inlineStr">
        <is>
          <t>Weiterverkauf</t>
        </is>
      </c>
      <c r="N357" t="b">
        <v>0</v>
      </c>
      <c r="O357" s="36">
        <f>28.1+23.44</f>
        <v/>
      </c>
      <c r="P357" s="51" t="n">
        <v>1</v>
      </c>
      <c r="Q357" s="27" t="n">
        <v>20</v>
      </c>
      <c r="R357" s="237">
        <f>O357*Q357/100</f>
        <v/>
      </c>
      <c r="S357" s="237">
        <f>P357*R357</f>
        <v/>
      </c>
      <c r="T357" s="208">
        <f>O357*P357</f>
        <v/>
      </c>
      <c r="U357" s="251">
        <f>O357+R357</f>
        <v/>
      </c>
      <c r="V357" s="251">
        <f>T357+S357</f>
        <v/>
      </c>
      <c r="W357" s="35">
        <f>voranmeldefrist_vierteljaehrlich(F357)</f>
        <v/>
      </c>
      <c r="X357" s="35" t="n">
        <v>43318</v>
      </c>
      <c r="Z357" s="210">
        <f>IF(N357=TRUE,T357/K357,T357)</f>
        <v/>
      </c>
      <c r="AA357" s="237">
        <f>Y357/100*V357</f>
        <v/>
      </c>
      <c r="AB357">
        <f>IF(AND(Y357&gt;0,Q357=Y357),TRUE,FALSE)</f>
        <v/>
      </c>
    </row>
    <row r="358">
      <c r="B358" s="53" t="n">
        <v>2018</v>
      </c>
      <c r="C358" s="53" t="n">
        <v>54</v>
      </c>
      <c r="D358" s="9" t="inlineStr">
        <is>
          <t>AEU-INV-AT-2018-13708984</t>
        </is>
      </c>
      <c r="F358" s="1" t="n">
        <v>43278</v>
      </c>
      <c r="G358" t="inlineStr">
        <is>
          <t>Steckdosenleisten Amazon Marketplace 5040</t>
        </is>
      </c>
      <c r="L358" s="16" t="inlineStr">
        <is>
          <t>sonstige Betriebsausgaben</t>
        </is>
      </c>
      <c r="M358" s="16" t="inlineStr">
        <is>
          <t>Weiterverkauf</t>
        </is>
      </c>
      <c r="N358" t="b">
        <v>0</v>
      </c>
      <c r="O358" s="36" t="n">
        <v>29.32</v>
      </c>
      <c r="P358" s="51" t="n">
        <v>1</v>
      </c>
      <c r="Q358" s="27" t="n">
        <v>20</v>
      </c>
      <c r="R358" s="237">
        <f>O358*Q358/100</f>
        <v/>
      </c>
      <c r="S358" s="237">
        <f>P358*R358</f>
        <v/>
      </c>
      <c r="T358" s="208">
        <f>O358*P358</f>
        <v/>
      </c>
      <c r="U358" s="251">
        <f>O358+R358</f>
        <v/>
      </c>
      <c r="V358" s="251">
        <f>T358+S358</f>
        <v/>
      </c>
      <c r="W358" s="35">
        <f>voranmeldefrist_vierteljaehrlich(F358)</f>
        <v/>
      </c>
      <c r="X358" s="35" t="n">
        <v>43318</v>
      </c>
      <c r="Z358" s="210">
        <f>IF(N358=TRUE,T358/K358,T358)</f>
        <v/>
      </c>
      <c r="AA358" s="237">
        <f>Y358/100*V358</f>
        <v/>
      </c>
      <c r="AB358">
        <f>IF(AND(Y358&gt;0,Q358=Y358),TRUE,FALSE)</f>
        <v/>
      </c>
    </row>
    <row r="359">
      <c r="B359" s="53" t="n">
        <v>2018</v>
      </c>
      <c r="C359" s="53" t="n">
        <v>55</v>
      </c>
      <c r="D359" s="9" t="inlineStr">
        <is>
          <t>AEU-INV-AT-2018-13708785</t>
        </is>
      </c>
      <c r="F359" s="1" t="n">
        <v>43278</v>
      </c>
      <c r="G359" t="inlineStr">
        <is>
          <t>Tastatur+Maus Logitech: Amazon Marketplace 3518</t>
        </is>
      </c>
      <c r="L359" s="16" t="inlineStr">
        <is>
          <t>sonstige Betriebsausgaben</t>
        </is>
      </c>
      <c r="M359" s="16" t="inlineStr">
        <is>
          <t>Weiterverkauf</t>
        </is>
      </c>
      <c r="N359" t="b">
        <v>0</v>
      </c>
      <c r="O359" s="36" t="n">
        <v>42</v>
      </c>
      <c r="P359" s="51" t="n">
        <v>1</v>
      </c>
      <c r="Q359" s="27" t="n">
        <v>20</v>
      </c>
      <c r="R359" s="237">
        <f>O359*Q359/100</f>
        <v/>
      </c>
      <c r="S359" s="237">
        <f>P359*R359</f>
        <v/>
      </c>
      <c r="T359" s="208">
        <f>O359*P359</f>
        <v/>
      </c>
      <c r="U359" s="251">
        <f>O359+R359</f>
        <v/>
      </c>
      <c r="V359" s="251">
        <f>T359+S359</f>
        <v/>
      </c>
      <c r="W359" s="35">
        <f>voranmeldefrist_vierteljaehrlich(F359)</f>
        <v/>
      </c>
      <c r="X359" s="35" t="n">
        <v>43318</v>
      </c>
      <c r="Z359" s="210">
        <f>IF(N359=TRUE,T359/K359,T359)</f>
        <v/>
      </c>
      <c r="AA359" s="237">
        <f>Y359/100*V359</f>
        <v/>
      </c>
      <c r="AB359">
        <f>IF(AND(Y359&gt;0,Q359=Y359),TRUE,FALSE)</f>
        <v/>
      </c>
    </row>
    <row r="360">
      <c r="B360" s="53" t="n">
        <v>2018</v>
      </c>
      <c r="C360" s="53" t="n">
        <v>56</v>
      </c>
      <c r="D360" s="9" t="inlineStr">
        <is>
          <t>170054282-00</t>
        </is>
      </c>
      <c r="F360" s="1" t="n">
        <v>43284</v>
      </c>
      <c r="G360" t="inlineStr">
        <is>
          <t>UPC Laudongasse</t>
        </is>
      </c>
      <c r="L360" s="16" t="inlineStr">
        <is>
          <t>Telefon/Internet</t>
        </is>
      </c>
      <c r="N360">
        <f>(IF(AND(M360&lt;&gt;"",ABS(T360)&gt;400),TRUE,FALSE))</f>
        <v/>
      </c>
      <c r="O360" s="36" t="n">
        <v>48.32</v>
      </c>
      <c r="P360" s="51">
        <f>(27.82+1.04)/48.32*(2/3)</f>
        <v/>
      </c>
      <c r="Q360" s="27" t="inlineStr">
        <is>
          <t>gemischt</t>
        </is>
      </c>
      <c r="R360" s="237" t="n">
        <v>7.72</v>
      </c>
      <c r="S360" s="237">
        <f>P360*R360</f>
        <v/>
      </c>
      <c r="T360" s="208">
        <f>O360*P360</f>
        <v/>
      </c>
      <c r="U360" s="251">
        <f>O360+R360</f>
        <v/>
      </c>
      <c r="V360" s="251">
        <f>T360+S360</f>
        <v/>
      </c>
      <c r="W360" s="35">
        <f>voranmeldefrist_vierteljaehrlich(F360)</f>
        <v/>
      </c>
      <c r="X360" s="35" t="n">
        <v>43418</v>
      </c>
      <c r="Z360" s="210">
        <f>IF(N360=TRUE,T360/M360,T360)</f>
        <v/>
      </c>
      <c r="AA360" s="237">
        <f>Y360/100*V360</f>
        <v/>
      </c>
      <c r="AB360">
        <f>IF(AND(Y360&gt;0,Q360=Y360),TRUE,FALSE)</f>
        <v/>
      </c>
    </row>
    <row r="361">
      <c r="B361" s="53" t="n">
        <v>2018</v>
      </c>
      <c r="C361" s="53" t="n">
        <v>57</v>
      </c>
      <c r="D361" s="9" t="inlineStr">
        <is>
          <t>6055</t>
        </is>
      </c>
      <c r="F361" s="1" t="n">
        <v>43287</v>
      </c>
      <c r="G361" t="inlineStr">
        <is>
          <t>ProcessWire, Ryan Cramer Design, LLC, 204 Clarion Ave, Decatur, GA 30030, USA ==&gt; 129,00 USD</t>
        </is>
      </c>
      <c r="L361" s="16" t="inlineStr">
        <is>
          <t>sonstige Betriebsausgaben</t>
        </is>
      </c>
      <c r="N361" t="b">
        <v>0</v>
      </c>
      <c r="O361" s="36" t="n">
        <v>112.6</v>
      </c>
      <c r="P361" s="51" t="n">
        <v>1</v>
      </c>
      <c r="Q361" s="27" t="n">
        <v>0</v>
      </c>
      <c r="R361" s="237">
        <f>O361*Q361/100</f>
        <v/>
      </c>
      <c r="S361" s="237">
        <f>P361*R361</f>
        <v/>
      </c>
      <c r="T361" s="208">
        <f>O361*P361</f>
        <v/>
      </c>
      <c r="U361" s="251">
        <f>O361+R361</f>
        <v/>
      </c>
      <c r="V361" s="251">
        <f>T361+S361</f>
        <v/>
      </c>
      <c r="W361" s="35">
        <f>voranmeldefrist_vierteljaehrlich(F361)</f>
        <v/>
      </c>
      <c r="X361" s="35" t="n">
        <v>43418</v>
      </c>
      <c r="Z361" s="210">
        <f>IF(N361=TRUE,T361/K361,T361)</f>
        <v/>
      </c>
      <c r="AA361" s="237">
        <f>Y361/100*V361</f>
        <v/>
      </c>
      <c r="AB361">
        <f>IF(AND(Y361&gt;0,Q361=Y361),TRUE,FALSE)</f>
        <v/>
      </c>
    </row>
    <row r="362">
      <c r="B362" s="53" t="n">
        <v>2018</v>
      </c>
      <c r="C362" s="53" t="n">
        <v>58</v>
      </c>
      <c r="D362" s="9" t="inlineStr">
        <is>
          <t>AI2208418</t>
        </is>
      </c>
      <c r="F362" s="1" t="n">
        <v>43290</v>
      </c>
      <c r="G362" t="inlineStr">
        <is>
          <t>Nemt GmbH</t>
        </is>
      </c>
      <c r="L362" s="16" t="inlineStr">
        <is>
          <t>sonstige Betriebsausgaben</t>
        </is>
      </c>
      <c r="M362" s="16" t="inlineStr">
        <is>
          <t>Weiterverkauf</t>
        </is>
      </c>
      <c r="N362" t="b">
        <v>0</v>
      </c>
      <c r="O362" s="36" t="n">
        <v>12.9</v>
      </c>
      <c r="P362" s="51" t="n">
        <v>1</v>
      </c>
      <c r="Q362" s="27" t="n">
        <v>20</v>
      </c>
      <c r="R362" s="237">
        <f>O362*Q362/100</f>
        <v/>
      </c>
      <c r="S362" s="237">
        <f>P362*R362</f>
        <v/>
      </c>
      <c r="T362" s="208">
        <f>O362*P362</f>
        <v/>
      </c>
      <c r="U362" s="251">
        <f>O362+R362</f>
        <v/>
      </c>
      <c r="V362" s="251">
        <f>T362+S362</f>
        <v/>
      </c>
      <c r="W362" s="35">
        <f>voranmeldefrist_vierteljaehrlich(F362)</f>
        <v/>
      </c>
      <c r="X362" s="35" t="n">
        <v>43418</v>
      </c>
      <c r="Z362" s="210">
        <f>IF(N362=TRUE,T362/K362,T362)</f>
        <v/>
      </c>
      <c r="AA362" s="237">
        <f>Y362/100*V362</f>
        <v/>
      </c>
      <c r="AB362">
        <f>IF(AND(Y362&gt;0,Q362=Y362),TRUE,FALSE)</f>
        <v/>
      </c>
    </row>
    <row r="363">
      <c r="B363" s="53" t="n">
        <v>2018</v>
      </c>
      <c r="C363" s="53" t="n">
        <v>59</v>
      </c>
      <c r="D363" s="9" t="inlineStr">
        <is>
          <t>6158865234</t>
        </is>
      </c>
      <c r="F363" s="1" t="n">
        <v>43290</v>
      </c>
      <c r="G363" t="inlineStr">
        <is>
          <t>Hutchison Drei Austria GmbH, Brünner Straße 52, 1210 Wien, Österreich</t>
        </is>
      </c>
      <c r="L363" s="16" t="inlineStr">
        <is>
          <t>Telefon/Internet</t>
        </is>
      </c>
      <c r="N363">
        <f>(IF(AND(M363&lt;&gt;"",ABS(T363)&gt;400),TRUE,FALSE))</f>
        <v/>
      </c>
      <c r="O363" s="36" t="n">
        <v>15</v>
      </c>
      <c r="P363" s="51" t="n">
        <v>1</v>
      </c>
      <c r="Q363" s="27" t="n">
        <v>20</v>
      </c>
      <c r="R363" s="237">
        <f>O363*Q363/100</f>
        <v/>
      </c>
      <c r="S363" s="237">
        <f>P363*R363</f>
        <v/>
      </c>
      <c r="T363" s="208">
        <f>O363*P363</f>
        <v/>
      </c>
      <c r="U363" s="251">
        <f>O363+R363</f>
        <v/>
      </c>
      <c r="V363" s="251">
        <f>T363+S363</f>
        <v/>
      </c>
      <c r="W363" s="35">
        <f>voranmeldefrist_vierteljaehrlich(F363)</f>
        <v/>
      </c>
      <c r="X363" s="35" t="n">
        <v>43418</v>
      </c>
      <c r="Z363" s="210">
        <f>IF(N363=TRUE,T363/K363,T363)</f>
        <v/>
      </c>
      <c r="AA363" s="237">
        <f>Y363/100*V363</f>
        <v/>
      </c>
      <c r="AB363">
        <f>IF(AND(Y363&gt;0,Q363=Y363),TRUE,FALSE)</f>
        <v/>
      </c>
    </row>
    <row r="364">
      <c r="B364" s="53" t="n">
        <v>2018</v>
      </c>
      <c r="C364" s="53" t="n">
        <v>60</v>
      </c>
      <c r="D364" s="9" t="inlineStr">
        <is>
          <t>20180901202</t>
        </is>
      </c>
      <c r="F364" s="1" t="n">
        <v>43293</v>
      </c>
      <c r="G364" t="inlineStr">
        <is>
          <t xml:space="preserve">Shenzhenshi Yunguihui Keji Youxian Gongsi: Türstopper Gummi 4 Stk. </t>
        </is>
      </c>
      <c r="H364" s="59" t="n"/>
      <c r="I364" s="59" t="n"/>
      <c r="J364" s="59" t="n"/>
      <c r="L364" s="16" t="inlineStr">
        <is>
          <t>sonstige Betriebsausgaben</t>
        </is>
      </c>
      <c r="M364" s="16" t="inlineStr">
        <is>
          <t>Weiterverkauf</t>
        </is>
      </c>
      <c r="N364">
        <f>(IF(AND(M364&lt;&gt;"",ABS(T364)&gt;400),TRUE,FALSE))</f>
        <v/>
      </c>
      <c r="O364" s="36" t="n">
        <v>8.99</v>
      </c>
      <c r="P364" s="51" t="n">
        <v>1</v>
      </c>
      <c r="Q364" s="27" t="n">
        <v>0</v>
      </c>
      <c r="R364" s="237">
        <f>O364*Q364/100</f>
        <v/>
      </c>
      <c r="S364" s="237">
        <f>P364*R364</f>
        <v/>
      </c>
      <c r="T364" s="208">
        <f>O364*P364</f>
        <v/>
      </c>
      <c r="U364" s="251">
        <f>O364+R364</f>
        <v/>
      </c>
      <c r="V364" s="251">
        <f>T364+S364</f>
        <v/>
      </c>
      <c r="W364" s="35">
        <f>voranmeldefrist_vierteljaehrlich(F364)</f>
        <v/>
      </c>
      <c r="X364" s="35" t="n">
        <v>43418</v>
      </c>
      <c r="Z364" s="210">
        <f>IF(N364=TRUE,T364/K364,T364)</f>
        <v/>
      </c>
      <c r="AA364" s="237">
        <f>Y364/100*V364</f>
        <v/>
      </c>
      <c r="AB364">
        <f>IF(AND(Y364&gt;0,Q364=Y364),TRUE,FALSE)</f>
        <v/>
      </c>
    </row>
    <row r="365">
      <c r="B365" s="53" t="n">
        <v>2018</v>
      </c>
      <c r="C365" s="53" t="n">
        <v>61</v>
      </c>
      <c r="D365" s="9" t="inlineStr">
        <is>
          <t>34019581014/40/2018</t>
        </is>
      </c>
      <c r="F365" s="1" t="n">
        <v>43297</v>
      </c>
      <c r="G365" s="1">
        <f>CONCATENATE(H365,": ",J365)</f>
        <v/>
      </c>
      <c r="H365" t="inlineStr">
        <is>
          <t>VERBUND AG, Postfach 8400, 1011 Wien, Österreich</t>
        </is>
      </c>
      <c r="I365" t="inlineStr">
        <is>
          <t>ATU14703908</t>
        </is>
      </c>
      <c r="J365" t="inlineStr">
        <is>
          <t>Teilzahlungsvorschreibung</t>
        </is>
      </c>
      <c r="L365" s="16" t="inlineStr">
        <is>
          <t>sonstige Betriebsausgaben</t>
        </is>
      </c>
      <c r="M365" s="16">
        <f>IF(L365="Waren, Rohstoffe, Hilfsstoffe", "Weiterverkauf", "")</f>
        <v/>
      </c>
      <c r="N365">
        <f>(IF(AND(M365&lt;&gt;"",ABS(T365)&gt;400),TRUE,FALSE))</f>
        <v/>
      </c>
      <c r="O365" s="36" t="n">
        <v>151.67</v>
      </c>
      <c r="P365" s="51">
        <f>Arbeitszimmer!$B$3</f>
        <v/>
      </c>
      <c r="Q365" s="27" t="n">
        <v>20</v>
      </c>
      <c r="R365" s="237">
        <f>O365*Q365/100</f>
        <v/>
      </c>
      <c r="S365" s="237">
        <f>P365*R365</f>
        <v/>
      </c>
      <c r="T365" s="208">
        <f>O365*P365</f>
        <v/>
      </c>
      <c r="U365" s="251">
        <f>O365+R365</f>
        <v/>
      </c>
      <c r="V365" s="251">
        <f>T365+S365</f>
        <v/>
      </c>
      <c r="W365" s="35">
        <f>voranmeldefrist_vierteljaehrlich(F365)</f>
        <v/>
      </c>
      <c r="X365" s="35" t="n">
        <v>43418</v>
      </c>
      <c r="Z365" s="210">
        <f>IF(N365=TRUE,T365/K365,T365)</f>
        <v/>
      </c>
      <c r="AA365" s="237">
        <f>Y365/100*V365</f>
        <v/>
      </c>
      <c r="AB365">
        <f>IF(AND(Y365&gt;0,Q365=Y365),TRUE,FALSE)</f>
        <v/>
      </c>
    </row>
    <row r="366">
      <c r="B366" s="53" t="n">
        <v>2018</v>
      </c>
      <c r="C366" s="53" t="n">
        <v>62</v>
      </c>
      <c r="D366" s="9" t="inlineStr">
        <is>
          <t>14003364782/40/2018</t>
        </is>
      </c>
      <c r="F366" s="1" t="n">
        <v>43297</v>
      </c>
      <c r="G366" s="1">
        <f>CONCATENATE(H366,": ",J366)</f>
        <v/>
      </c>
      <c r="H366" t="inlineStr">
        <is>
          <t>MONTANA Energie-Handel AT GmbH</t>
        </is>
      </c>
      <c r="J366" t="inlineStr">
        <is>
          <t>Teilzahlungsbetrag Gas</t>
        </is>
      </c>
      <c r="L366" s="16" t="inlineStr">
        <is>
          <t>sonstige Betriebsausgaben</t>
        </is>
      </c>
      <c r="M366" s="16">
        <f>IF(L366="Waren, Rohstoffe, Hilfsstoffe", "Weiterverkauf", "")</f>
        <v/>
      </c>
      <c r="N366">
        <f>(IF(AND(M366&lt;&gt;"",ABS(T366)&gt;400),TRUE,FALSE))</f>
        <v/>
      </c>
      <c r="O366" s="36">
        <f>99/1.2</f>
        <v/>
      </c>
      <c r="P366" s="51">
        <f>Arbeitszimmer!$B$3</f>
        <v/>
      </c>
      <c r="Q366" s="27" t="n">
        <v>20</v>
      </c>
      <c r="R366" s="237">
        <f>O366*Q366/100</f>
        <v/>
      </c>
      <c r="S366" s="237">
        <f>P366*R366</f>
        <v/>
      </c>
      <c r="T366" s="208">
        <f>O366*P366</f>
        <v/>
      </c>
      <c r="U366" s="251">
        <f>O366+R366</f>
        <v/>
      </c>
      <c r="V366" s="251">
        <f>T366+S366</f>
        <v/>
      </c>
      <c r="W366" s="35">
        <f>voranmeldefrist_vierteljaehrlich(F366)</f>
        <v/>
      </c>
      <c r="X366" s="35" t="n">
        <v>43418</v>
      </c>
      <c r="Z366" s="210">
        <f>IF(N366=TRUE,T366/K366,T366)</f>
        <v/>
      </c>
      <c r="AA366" s="237">
        <f>Y366/100*V366</f>
        <v/>
      </c>
      <c r="AB366">
        <f>IF(AND(Y366&gt;0,Q366=Y366),TRUE,FALSE)</f>
        <v/>
      </c>
    </row>
    <row r="367">
      <c r="B367" s="53" t="n">
        <v>2018</v>
      </c>
      <c r="C367" s="53" t="n">
        <v>63</v>
      </c>
      <c r="D367" s="9" t="inlineStr">
        <is>
          <t>E05006BO0M</t>
        </is>
      </c>
      <c r="F367" s="1" t="n">
        <v>43304</v>
      </c>
      <c r="G367" t="inlineStr">
        <is>
          <t>Microsoft Ireland Operations Ltd, One Microsoft Place, South County Business Park Leopardstown Dublin 18, D18 P521 Irland: Office 365 Business Essentials (monatlich)</t>
        </is>
      </c>
      <c r="L367" s="16" t="inlineStr">
        <is>
          <t>sonstige Betriebsausgaben</t>
        </is>
      </c>
      <c r="M367" s="16">
        <f>IF(L367="Waren, Rohstoffe, Hilfsstoffe", "Weiterverkauf", "")</f>
        <v/>
      </c>
      <c r="N367">
        <f>(IF(AND(M367&lt;&gt;"",ABS(T367)&gt;400),TRUE,FALSE))</f>
        <v/>
      </c>
      <c r="O367" s="36" t="n">
        <v>15.3</v>
      </c>
      <c r="P367" s="51" t="n">
        <v>1</v>
      </c>
      <c r="Q367" s="27" t="n">
        <v>20</v>
      </c>
      <c r="R367" s="237">
        <f>O367*Q367/100</f>
        <v/>
      </c>
      <c r="S367" s="237">
        <f>P367*R367</f>
        <v/>
      </c>
      <c r="T367" s="208">
        <f>O367*P367</f>
        <v/>
      </c>
      <c r="U367" s="251">
        <f>O367+R367</f>
        <v/>
      </c>
      <c r="V367" s="251">
        <f>T367+S367</f>
        <v/>
      </c>
      <c r="W367" s="35">
        <f>voranmeldefrist_vierteljaehrlich(F367)</f>
        <v/>
      </c>
      <c r="X367" s="35" t="n">
        <v>43418</v>
      </c>
      <c r="Z367" s="210">
        <f>IF(N367=TRUE,T367/M367,T367)</f>
        <v/>
      </c>
      <c r="AA367" s="237">
        <f>Y367/100*V367</f>
        <v/>
      </c>
      <c r="AB367">
        <f>IF(AND(Y367&gt;0,Q367=Y367),TRUE,FALSE)</f>
        <v/>
      </c>
    </row>
    <row r="368">
      <c r="B368" s="53" t="n">
        <v>2018</v>
      </c>
      <c r="C368" s="53" t="n">
        <v>64</v>
      </c>
      <c r="D368" s="9" t="inlineStr">
        <is>
          <t>2018/8058/18</t>
        </is>
      </c>
      <c r="F368" s="1" t="n">
        <v>43306</v>
      </c>
      <c r="G368" s="1">
        <f>CONCATENATE(H368,": ",J368)</f>
        <v/>
      </c>
      <c r="H368" t="inlineStr">
        <is>
          <t>PREMIUM Laudongasse 58 GmbH &amp; Co KG</t>
        </is>
      </c>
      <c r="I368" t="inlineStr">
        <is>
          <t>ATU60795919</t>
        </is>
      </c>
      <c r="J368" t="inlineStr">
        <is>
          <t>Dauerrechnung 2018-D</t>
        </is>
      </c>
      <c r="L368" s="16" t="inlineStr">
        <is>
          <t>Miet- und Pachtaufwand, Leasing</t>
        </is>
      </c>
      <c r="M368" s="16">
        <f>IF(L368="Waren, Rohstoffe, Hilfsstoffe", "Weiterverkauf", "")</f>
        <v/>
      </c>
      <c r="N368">
        <f>(IF(AND(M368&lt;&gt;"",ABS(T368)&gt;400),TRUE,FALSE))</f>
        <v/>
      </c>
      <c r="O368" s="36" t="n">
        <v>763.4400000000001</v>
      </c>
      <c r="P368" s="51">
        <f>Arbeitszimmer!$B$3</f>
        <v/>
      </c>
      <c r="Q368" s="27" t="n">
        <v>10</v>
      </c>
      <c r="R368" s="237">
        <f>O368*Q368/100</f>
        <v/>
      </c>
      <c r="S368" s="237">
        <f>P368*R368</f>
        <v/>
      </c>
      <c r="T368" s="208">
        <f>O368*P368</f>
        <v/>
      </c>
      <c r="U368" s="251">
        <f>O368+R368</f>
        <v/>
      </c>
      <c r="V368" s="251">
        <f>T368+S368</f>
        <v/>
      </c>
      <c r="W368" s="35">
        <f>voranmeldefrist_vierteljaehrlich(F368)</f>
        <v/>
      </c>
      <c r="X368" s="35" t="n">
        <v>43418</v>
      </c>
      <c r="Z368" s="210">
        <f>IF(N368=TRUE,T368/M368,T368)</f>
        <v/>
      </c>
      <c r="AA368" s="237">
        <f>Y368/100*V368</f>
        <v/>
      </c>
      <c r="AB368">
        <f>IF(AND(Y368&gt;0,Q368=Y368),TRUE,FALSE)</f>
        <v/>
      </c>
    </row>
    <row r="369">
      <c r="B369" s="53" t="n">
        <v>2018</v>
      </c>
      <c r="C369" s="53" t="n">
        <v>65</v>
      </c>
      <c r="D369" s="9" t="inlineStr">
        <is>
          <t>170518765-00</t>
        </is>
      </c>
      <c r="F369" s="1" t="n">
        <v>43314</v>
      </c>
      <c r="G369" t="inlineStr">
        <is>
          <t>UPC Laudongasse</t>
        </is>
      </c>
      <c r="L369" s="16" t="inlineStr">
        <is>
          <t>Telefon/Internet</t>
        </is>
      </c>
      <c r="N369">
        <f>(IF(AND(M369&lt;&gt;"",ABS(T369)&gt;400),TRUE,FALSE))</f>
        <v/>
      </c>
      <c r="O369" s="36" t="n">
        <v>48.32</v>
      </c>
      <c r="P369" s="51">
        <f>(27.82+1.04)/48.32*(2/3)</f>
        <v/>
      </c>
      <c r="Q369" s="27" t="inlineStr">
        <is>
          <t>gemischt</t>
        </is>
      </c>
      <c r="R369" s="237" t="n">
        <v>7.72</v>
      </c>
      <c r="S369" s="237">
        <f>P369*R369</f>
        <v/>
      </c>
      <c r="T369" s="208">
        <f>O369*P369</f>
        <v/>
      </c>
      <c r="U369" s="251">
        <f>O369+R369</f>
        <v/>
      </c>
      <c r="V369" s="251">
        <f>T369+S369</f>
        <v/>
      </c>
      <c r="W369" s="35">
        <f>voranmeldefrist_vierteljaehrlich(F369)</f>
        <v/>
      </c>
      <c r="X369" s="35" t="n">
        <v>43418</v>
      </c>
      <c r="Z369" s="210">
        <f>IF(N369=TRUE,T369/M369,T369)</f>
        <v/>
      </c>
      <c r="AA369" s="237">
        <f>Y369/100*V369</f>
        <v/>
      </c>
      <c r="AB369">
        <f>IF(AND(Y369&gt;0,Q369=Y369),TRUE,FALSE)</f>
        <v/>
      </c>
    </row>
    <row r="370">
      <c r="B370" s="53" t="n">
        <v>2018</v>
      </c>
      <c r="C370" s="53" t="n">
        <v>66</v>
      </c>
      <c r="D370" s="9" t="inlineStr">
        <is>
          <t>6160696858</t>
        </is>
      </c>
      <c r="F370" s="1" t="n">
        <v>43315</v>
      </c>
      <c r="G370" t="inlineStr">
        <is>
          <t>Hutchison Drei Austria GmbH, Brünner Straße 52, 1210 Wien, Österreich</t>
        </is>
      </c>
      <c r="L370" s="16" t="inlineStr">
        <is>
          <t>Telefon/Internet</t>
        </is>
      </c>
      <c r="N370">
        <f>(IF(AND(M370&lt;&gt;"",ABS(T370)&gt;400),TRUE,FALSE))</f>
        <v/>
      </c>
      <c r="O370" s="36" t="n">
        <v>15</v>
      </c>
      <c r="P370" s="51" t="n">
        <v>1</v>
      </c>
      <c r="Q370" s="27" t="n">
        <v>20</v>
      </c>
      <c r="R370" s="237">
        <f>O370*Q370/100</f>
        <v/>
      </c>
      <c r="S370" s="237">
        <f>P370*R370</f>
        <v/>
      </c>
      <c r="T370" s="208">
        <f>O370*P370</f>
        <v/>
      </c>
      <c r="U370" s="251">
        <f>O370+R370</f>
        <v/>
      </c>
      <c r="V370" s="251">
        <f>T370+S370</f>
        <v/>
      </c>
      <c r="W370" s="35">
        <f>voranmeldefrist_vierteljaehrlich(F370)</f>
        <v/>
      </c>
      <c r="X370" s="35" t="n">
        <v>43418</v>
      </c>
      <c r="Z370" s="210">
        <f>IF(N370=TRUE,T370/M370,T370)</f>
        <v/>
      </c>
      <c r="AA370" s="237">
        <f>Y370/100*V370</f>
        <v/>
      </c>
      <c r="AB370">
        <f>IF(AND(Y370&gt;0,Q370=Y370),TRUE,FALSE)</f>
        <v/>
      </c>
    </row>
    <row r="371">
      <c r="B371" s="53" t="n">
        <v>2018</v>
      </c>
      <c r="C371" s="53" t="n">
        <v>67</v>
      </c>
      <c r="D371" s="9" t="inlineStr">
        <is>
          <t>14003481874/40/2018</t>
        </is>
      </c>
      <c r="F371" s="1" t="n">
        <v>43328</v>
      </c>
      <c r="G371" s="1">
        <f>CONCATENATE(H371,": ",J371)</f>
        <v/>
      </c>
      <c r="H371" t="inlineStr">
        <is>
          <t>MONTANA Energie-Handel AT GmbH</t>
        </is>
      </c>
      <c r="J371" t="inlineStr">
        <is>
          <t>Teilzahlungsbetrag Gas</t>
        </is>
      </c>
      <c r="L371" s="16" t="inlineStr">
        <is>
          <t>sonstige Betriebsausgaben</t>
        </is>
      </c>
      <c r="M371" s="16">
        <f>IF(L371="Waren, Rohstoffe, Hilfsstoffe", "Weiterverkauf", "")</f>
        <v/>
      </c>
      <c r="N371">
        <f>(IF(AND(M371&lt;&gt;"",ABS(T371)&gt;400),TRUE,FALSE))</f>
        <v/>
      </c>
      <c r="O371" s="36">
        <f>99/1.2</f>
        <v/>
      </c>
      <c r="P371" s="51">
        <f>Arbeitszimmer!$B$3</f>
        <v/>
      </c>
      <c r="Q371" s="27" t="n">
        <v>20</v>
      </c>
      <c r="R371" s="237">
        <f>O371*Q371/100</f>
        <v/>
      </c>
      <c r="S371" s="237">
        <f>P371*R371</f>
        <v/>
      </c>
      <c r="T371" s="208">
        <f>O371*P371</f>
        <v/>
      </c>
      <c r="U371" s="251">
        <f>O371+R371</f>
        <v/>
      </c>
      <c r="V371" s="251">
        <f>T371+S371</f>
        <v/>
      </c>
      <c r="W371" s="35">
        <f>voranmeldefrist_vierteljaehrlich(F371)</f>
        <v/>
      </c>
      <c r="X371" s="35" t="n">
        <v>43418</v>
      </c>
      <c r="Z371" s="210">
        <f>IF(N371=TRUE,T371/M371,T371)</f>
        <v/>
      </c>
      <c r="AA371" s="237">
        <f>Y371/100*V371</f>
        <v/>
      </c>
      <c r="AB371">
        <f>IF(AND(Y371&gt;0,Q371=Y371),TRUE,FALSE)</f>
        <v/>
      </c>
    </row>
    <row r="372">
      <c r="B372" s="53" t="n">
        <v>2018</v>
      </c>
      <c r="C372" s="53" t="n">
        <v>68</v>
      </c>
      <c r="D372" s="9" t="inlineStr">
        <is>
          <t>2018/8058/18</t>
        </is>
      </c>
      <c r="F372" s="1" t="n">
        <v>43339</v>
      </c>
      <c r="G372" s="1">
        <f>CONCATENATE(H372,": ",J372)</f>
        <v/>
      </c>
      <c r="H372" t="inlineStr">
        <is>
          <t>PREMIUM Laudongasse 58 GmbH &amp; Co KG</t>
        </is>
      </c>
      <c r="I372" t="inlineStr">
        <is>
          <t>ATU60795919</t>
        </is>
      </c>
      <c r="J372" t="inlineStr">
        <is>
          <t>Dauerrechnung 2018-D</t>
        </is>
      </c>
      <c r="L372" s="16" t="inlineStr">
        <is>
          <t>Miet- und Pachtaufwand, Leasing</t>
        </is>
      </c>
      <c r="M372" s="16">
        <f>IF(L372="Waren, Rohstoffe, Hilfsstoffe", "Weiterverkauf", "")</f>
        <v/>
      </c>
      <c r="N372">
        <f>(IF(AND(M372&lt;&gt;"",ABS(T372)&gt;400),TRUE,FALSE))</f>
        <v/>
      </c>
      <c r="O372" s="36" t="n">
        <v>763.4400000000001</v>
      </c>
      <c r="P372" s="51">
        <f>Arbeitszimmer!$B$3</f>
        <v/>
      </c>
      <c r="Q372" s="27" t="n">
        <v>10</v>
      </c>
      <c r="R372" s="237">
        <f>O372*Q372/100</f>
        <v/>
      </c>
      <c r="S372" s="237">
        <f>P372*R372</f>
        <v/>
      </c>
      <c r="T372" s="208">
        <f>O372*P372</f>
        <v/>
      </c>
      <c r="U372" s="251">
        <f>O372+R372</f>
        <v/>
      </c>
      <c r="V372" s="251">
        <f>T372+S372</f>
        <v/>
      </c>
      <c r="W372" s="35">
        <f>voranmeldefrist_vierteljaehrlich(F372)</f>
        <v/>
      </c>
      <c r="X372" s="35" t="n">
        <v>43418</v>
      </c>
      <c r="Z372" s="210">
        <f>IF(N372=TRUE,T372/M372,T372)</f>
        <v/>
      </c>
      <c r="AA372" s="237">
        <f>Y372/100*V372</f>
        <v/>
      </c>
      <c r="AB372">
        <f>IF(AND(Y372&gt;0,Q372=Y372),TRUE,FALSE)</f>
        <v/>
      </c>
    </row>
    <row r="373">
      <c r="B373" s="53" t="n">
        <v>2018</v>
      </c>
      <c r="C373" s="53" t="n">
        <v>69</v>
      </c>
      <c r="D373" s="9" t="inlineStr">
        <is>
          <t>6162525369</t>
        </is>
      </c>
      <c r="F373" s="1" t="n">
        <v>43343</v>
      </c>
      <c r="G373" t="inlineStr">
        <is>
          <t>Hutchison Drei Austria GmbH, Brünner Straße 52, 1210 Wien, Österreich</t>
        </is>
      </c>
      <c r="L373" s="16" t="inlineStr">
        <is>
          <t>Telefon/Internet</t>
        </is>
      </c>
      <c r="N373">
        <f>(IF(AND(M373&lt;&gt;"",ABS(T373)&gt;400),TRUE,FALSE))</f>
        <v/>
      </c>
      <c r="O373" s="36" t="n">
        <v>19.23</v>
      </c>
      <c r="P373" s="51" t="n">
        <v>1</v>
      </c>
      <c r="Q373" s="27" t="n">
        <v>20</v>
      </c>
      <c r="R373" s="237">
        <f>O373*Q373/100</f>
        <v/>
      </c>
      <c r="S373" s="237">
        <f>P373*R373</f>
        <v/>
      </c>
      <c r="T373" s="208">
        <f>O373*P373</f>
        <v/>
      </c>
      <c r="U373" s="251">
        <f>O373+R373</f>
        <v/>
      </c>
      <c r="V373" s="251">
        <f>T373+S373</f>
        <v/>
      </c>
      <c r="W373" s="35">
        <f>voranmeldefrist_vierteljaehrlich(F373)</f>
        <v/>
      </c>
      <c r="X373" s="35" t="n">
        <v>43418</v>
      </c>
      <c r="Z373" s="210">
        <f>IF(N373=TRUE,T373/M373,T373)</f>
        <v/>
      </c>
      <c r="AA373" s="237">
        <f>Y373/100*V373</f>
        <v/>
      </c>
      <c r="AB373">
        <f>IF(AND(Y373&gt;0,Q373=Y373),TRUE,FALSE)</f>
        <v/>
      </c>
    </row>
    <row r="374">
      <c r="B374" s="53" t="n">
        <v>2018</v>
      </c>
      <c r="C374" s="53" t="n">
        <v>70</v>
      </c>
      <c r="D374" s="9" t="inlineStr">
        <is>
          <t>RE0629060</t>
        </is>
      </c>
      <c r="F374" s="1" t="n">
        <v>43346</v>
      </c>
      <c r="G374" s="1" t="inlineStr">
        <is>
          <t>easyname raunz.info</t>
        </is>
      </c>
      <c r="I374" t="inlineStr">
        <is>
          <t>ATU68122177</t>
        </is>
      </c>
      <c r="L374" s="16" t="inlineStr">
        <is>
          <t>sonstige Betriebsausgaben</t>
        </is>
      </c>
      <c r="M374" s="16">
        <f>IF(L374="Waren, Rohstoffe, Hilfsstoffe", "Weiterverkauf", "")</f>
        <v/>
      </c>
      <c r="N374">
        <f>(IF(AND(M374&lt;&gt;"",ABS(T374)&gt;400),TRUE,FALSE))</f>
        <v/>
      </c>
      <c r="O374" s="36" t="n">
        <v>13.25</v>
      </c>
      <c r="P374" s="51" t="n">
        <v>1</v>
      </c>
      <c r="Q374" s="27" t="n">
        <v>20</v>
      </c>
      <c r="R374" s="237">
        <f>O374*Q374/100</f>
        <v/>
      </c>
      <c r="S374" s="237">
        <f>P374*R374</f>
        <v/>
      </c>
      <c r="T374" s="208">
        <f>O374*P374</f>
        <v/>
      </c>
      <c r="U374" s="251">
        <f>O374+R374</f>
        <v/>
      </c>
      <c r="V374" s="251">
        <f>T374+S374</f>
        <v/>
      </c>
      <c r="W374" s="35">
        <f>voranmeldefrist_vierteljaehrlich(F374)</f>
        <v/>
      </c>
      <c r="X374" s="35" t="n">
        <v>43418</v>
      </c>
      <c r="Z374" s="210">
        <f>IF(N374=TRUE,T374/M374,T374)</f>
        <v/>
      </c>
      <c r="AA374" s="237">
        <f>Y374/100*V374</f>
        <v/>
      </c>
      <c r="AB374">
        <f>IF(AND(Y374&gt;0,Q374=Y374),TRUE,FALSE)</f>
        <v/>
      </c>
    </row>
    <row r="375">
      <c r="B375" s="53" t="n">
        <v>2018</v>
      </c>
      <c r="C375" s="53" t="n">
        <v>71</v>
      </c>
      <c r="D375" s="9" t="inlineStr">
        <is>
          <t>170981024-00</t>
        </is>
      </c>
      <c r="F375" s="1" t="n">
        <v>43347</v>
      </c>
      <c r="G375" t="inlineStr">
        <is>
          <t>UPC Laudongasse</t>
        </is>
      </c>
      <c r="L375" s="16" t="inlineStr">
        <is>
          <t>Telefon/Internet</t>
        </is>
      </c>
      <c r="N375">
        <f>(IF(AND(M375&lt;&gt;"",ABS(T375)&gt;400),TRUE,FALSE))</f>
        <v/>
      </c>
      <c r="O375" s="36" t="n">
        <v>48.32</v>
      </c>
      <c r="P375" s="51">
        <f>(27.82+1.04)/48.32*(2/3)</f>
        <v/>
      </c>
      <c r="Q375" s="27" t="inlineStr">
        <is>
          <t>gemischt</t>
        </is>
      </c>
      <c r="R375" s="237" t="n">
        <v>7.72</v>
      </c>
      <c r="S375" s="237">
        <f>P375*R375</f>
        <v/>
      </c>
      <c r="T375" s="208">
        <f>O375*P375</f>
        <v/>
      </c>
      <c r="U375" s="251">
        <f>O375+R375</f>
        <v/>
      </c>
      <c r="V375" s="251">
        <f>T375+S375</f>
        <v/>
      </c>
      <c r="W375" s="35">
        <f>voranmeldefrist_vierteljaehrlich(F375)</f>
        <v/>
      </c>
      <c r="X375" s="35" t="n">
        <v>43418</v>
      </c>
      <c r="Z375" s="210">
        <f>IF(N375=TRUE,T375/M375,T375)</f>
        <v/>
      </c>
      <c r="AA375" s="237">
        <f>Y375/100*V375</f>
        <v/>
      </c>
      <c r="AB375">
        <f>IF(AND(Y375&gt;0,Q375=Y375),TRUE,FALSE)</f>
        <v/>
      </c>
    </row>
    <row r="376">
      <c r="B376" s="53" t="n">
        <v>2018</v>
      </c>
      <c r="C376" s="53" t="n">
        <v>72</v>
      </c>
      <c r="D376" s="61" t="n"/>
      <c r="F376" s="1" t="n">
        <v>43346</v>
      </c>
      <c r="G376" s="59" t="inlineStr">
        <is>
          <t>??VERKÄUFER??: Avantree USB Bluetooth 4.0 Dongle</t>
        </is>
      </c>
      <c r="K376" s="60" t="n"/>
      <c r="L376" s="16" t="inlineStr">
        <is>
          <t>sonstige Betriebsausgaben</t>
        </is>
      </c>
      <c r="N376">
        <f>(IF(AND(M376&lt;&gt;"",ABS(T376)&gt;400),TRUE,FALSE))</f>
        <v/>
      </c>
      <c r="O376" s="36" t="n">
        <v>14.06</v>
      </c>
      <c r="P376" s="51" t="n">
        <v>1</v>
      </c>
      <c r="Q376" s="27" t="n">
        <v>20</v>
      </c>
      <c r="R376" s="237">
        <f>O376*Q376/100</f>
        <v/>
      </c>
      <c r="S376" s="237">
        <f>P376*R376</f>
        <v/>
      </c>
      <c r="T376" s="208">
        <f>O376*P376</f>
        <v/>
      </c>
      <c r="U376" s="251">
        <f>O376+R376</f>
        <v/>
      </c>
      <c r="V376" s="251">
        <f>T376+S376</f>
        <v/>
      </c>
      <c r="W376" s="35">
        <f>voranmeldefrist_vierteljaehrlich(F376)</f>
        <v/>
      </c>
      <c r="X376" s="35" t="n">
        <v>43418</v>
      </c>
      <c r="Z376" s="210">
        <f>IF(N376=TRUE,T376/M376,T376)</f>
        <v/>
      </c>
      <c r="AA376" s="237">
        <f>Y376/100*V376</f>
        <v/>
      </c>
      <c r="AB376">
        <f>IF(AND(Y376&gt;0,Q376=Y376),TRUE,FALSE)</f>
        <v/>
      </c>
    </row>
    <row r="377">
      <c r="B377" s="53" t="n">
        <v>2018</v>
      </c>
      <c r="C377" s="53" t="n">
        <v>73</v>
      </c>
      <c r="D377" s="9" t="inlineStr">
        <is>
          <t>14003587017/40/2018</t>
        </is>
      </c>
      <c r="F377" s="1" t="n">
        <v>43360</v>
      </c>
      <c r="G377" s="1">
        <f>CONCATENATE(H377,": ",J377)</f>
        <v/>
      </c>
      <c r="H377" t="inlineStr">
        <is>
          <t>MONTANA Energie-Handel AT GmbH</t>
        </is>
      </c>
      <c r="J377" t="inlineStr">
        <is>
          <t>Teilzahlungsbetrag Gas</t>
        </is>
      </c>
      <c r="L377" s="16" t="inlineStr">
        <is>
          <t>sonstige Betriebsausgaben</t>
        </is>
      </c>
      <c r="M377" s="16">
        <f>IF(L377="Waren, Rohstoffe, Hilfsstoffe", "Weiterverkauf", "")</f>
        <v/>
      </c>
      <c r="N377">
        <f>(IF(AND(M377&lt;&gt;"",ABS(T377)&gt;400),TRUE,FALSE))</f>
        <v/>
      </c>
      <c r="O377" s="36">
        <f>99/1.2</f>
        <v/>
      </c>
      <c r="P377" s="51">
        <f>Arbeitszimmer!$B$3</f>
        <v/>
      </c>
      <c r="Q377" s="27" t="n">
        <v>20</v>
      </c>
      <c r="R377" s="237">
        <f>O377*Q377/100</f>
        <v/>
      </c>
      <c r="S377" s="237">
        <f>P377*R377</f>
        <v/>
      </c>
      <c r="T377" s="208">
        <f>O377*P377</f>
        <v/>
      </c>
      <c r="U377" s="251">
        <f>O377+R377</f>
        <v/>
      </c>
      <c r="V377" s="251">
        <f>T377+S377</f>
        <v/>
      </c>
      <c r="W377" s="35">
        <f>voranmeldefrist_vierteljaehrlich(F377)</f>
        <v/>
      </c>
      <c r="X377" s="35" t="n">
        <v>43418</v>
      </c>
      <c r="Z377" s="210">
        <f>IF(N377=TRUE,T377/M377,T377)</f>
        <v/>
      </c>
      <c r="AA377" s="237">
        <f>Y377/100*V377</f>
        <v/>
      </c>
      <c r="AB377">
        <f>IF(AND(Y377&gt;0,Q377=Y377),TRUE,FALSE)</f>
        <v/>
      </c>
    </row>
    <row r="378">
      <c r="B378" s="53" t="n">
        <v>2018</v>
      </c>
      <c r="C378" s="53" t="n">
        <v>74</v>
      </c>
      <c r="D378" s="9" t="inlineStr">
        <is>
          <t>E2EC180919000006</t>
        </is>
      </c>
      <c r="F378" s="1" t="n">
        <v>43363</v>
      </c>
      <c r="G378" s="1" t="inlineStr">
        <is>
          <t>PREMIUM Laudongasse 58 GmbH &amp; Co KG: Dauerrechnung 2018-D: Rückerstattung BK</t>
        </is>
      </c>
      <c r="H378" t="inlineStr">
        <is>
          <t>PREMIUM Laudongasse 58 GmbH &amp; Co KG</t>
        </is>
      </c>
      <c r="I378" t="inlineStr">
        <is>
          <t>ATU60795919</t>
        </is>
      </c>
      <c r="J378" t="inlineStr">
        <is>
          <t>Dauerrechnung 2018-D</t>
        </is>
      </c>
      <c r="L378" s="16" t="inlineStr">
        <is>
          <t>Miet- und Pachtaufwand, Leasing</t>
        </is>
      </c>
      <c r="M378" s="16">
        <f>IF(L378="Waren, Rohstoffe, Hilfsstoffe", "Weiterverkauf", "")</f>
        <v/>
      </c>
      <c r="N378">
        <f>(IF(AND(M378&lt;&gt;"",ABS(T378)&gt;400),TRUE,FALSE))</f>
        <v/>
      </c>
      <c r="O378" s="36" t="n">
        <v>-551.95</v>
      </c>
      <c r="P378" s="51">
        <f>Arbeitszimmer!$B$3</f>
        <v/>
      </c>
      <c r="Q378" s="27" t="n">
        <v>10</v>
      </c>
      <c r="R378" s="237">
        <f>O378*Q378/100</f>
        <v/>
      </c>
      <c r="S378" s="237">
        <f>P378*R378</f>
        <v/>
      </c>
      <c r="T378" s="208">
        <f>O378*P378</f>
        <v/>
      </c>
      <c r="U378" s="251">
        <f>O378+R378</f>
        <v/>
      </c>
      <c r="V378" s="251">
        <f>T378+S378</f>
        <v/>
      </c>
      <c r="W378" s="35">
        <f>voranmeldefrist_vierteljaehrlich(F378)</f>
        <v/>
      </c>
      <c r="X378" s="35" t="n">
        <v>43418</v>
      </c>
      <c r="Z378" s="210">
        <f>IF(N378=TRUE,T378/M378,T378)</f>
        <v/>
      </c>
      <c r="AA378" s="237">
        <f>Y378/100*V378</f>
        <v/>
      </c>
      <c r="AB378">
        <f>IF(AND(Y378&gt;0,Q378=Y378),TRUE,FALSE)</f>
        <v/>
      </c>
    </row>
    <row r="379">
      <c r="B379" s="53" t="n">
        <v>2018</v>
      </c>
      <c r="C379" s="53" t="n">
        <v>75</v>
      </c>
      <c r="D379" s="9" t="inlineStr">
        <is>
          <t>536000000024904222</t>
        </is>
      </c>
      <c r="F379" s="1" t="n">
        <v>43364</v>
      </c>
      <c r="G379" s="1" t="inlineStr">
        <is>
          <t>ÖBB Personenverkehr AG Wien St. Pölten &amp; retour</t>
        </is>
      </c>
      <c r="L379" s="16" t="inlineStr">
        <is>
          <t>Reise- und Fahrtspesen inkl. Kilometergeld und Diäten</t>
        </is>
      </c>
      <c r="N379">
        <f>(IF(AND(M379&lt;&gt;"",ABS(T379)&gt;400),TRUE,FALSE))</f>
        <v/>
      </c>
      <c r="O379" s="36" t="n">
        <v>10</v>
      </c>
      <c r="P379" s="51" t="n">
        <v>1</v>
      </c>
      <c r="Q379" s="27" t="n">
        <v>10</v>
      </c>
      <c r="R379" s="237">
        <f>O379*Q379/100</f>
        <v/>
      </c>
      <c r="S379" s="237">
        <f>P379*R379</f>
        <v/>
      </c>
      <c r="T379" s="208">
        <f>O379*P379</f>
        <v/>
      </c>
      <c r="U379" s="251">
        <f>O379+R379</f>
        <v/>
      </c>
      <c r="V379" s="251">
        <f>T379+S379</f>
        <v/>
      </c>
      <c r="W379" s="35">
        <f>voranmeldefrist_vierteljaehrlich(F379)</f>
        <v/>
      </c>
      <c r="X379" s="35" t="n">
        <v>43418</v>
      </c>
      <c r="Z379" s="210">
        <f>IF(N379=TRUE,T379/M379,T379)</f>
        <v/>
      </c>
      <c r="AA379" s="237">
        <f>Y379/100*V379</f>
        <v/>
      </c>
      <c r="AB379">
        <f>IF(AND(Y379&gt;0,Q379=Y379),TRUE,FALSE)</f>
        <v/>
      </c>
    </row>
    <row r="380">
      <c r="B380" s="53" t="n">
        <v>2018</v>
      </c>
      <c r="C380" s="53" t="n">
        <v>76</v>
      </c>
      <c r="D380" s="9" t="inlineStr">
        <is>
          <t>2018/8058/18</t>
        </is>
      </c>
      <c r="F380" s="1" t="n">
        <v>43368</v>
      </c>
      <c r="G380" s="1">
        <f>CONCATENATE(H380,": ",J380)</f>
        <v/>
      </c>
      <c r="H380" t="inlineStr">
        <is>
          <t>PREMIUM Laudongasse 58 GmbH &amp; Co KG</t>
        </is>
      </c>
      <c r="I380" t="inlineStr">
        <is>
          <t>ATU60795919</t>
        </is>
      </c>
      <c r="J380" t="inlineStr">
        <is>
          <t>Dauerrechnung 2018-D</t>
        </is>
      </c>
      <c r="L380" s="16" t="inlineStr">
        <is>
          <t>Miet- und Pachtaufwand, Leasing</t>
        </is>
      </c>
      <c r="M380" s="16">
        <f>IF(L380="Waren, Rohstoffe, Hilfsstoffe", "Weiterverkauf", "")</f>
        <v/>
      </c>
      <c r="N380">
        <f>(IF(AND(M380&lt;&gt;"",ABS(T380)&gt;400),TRUE,FALSE))</f>
        <v/>
      </c>
      <c r="O380" s="36" t="n">
        <v>763.4400000000001</v>
      </c>
      <c r="P380" s="51">
        <f>Arbeitszimmer!$B$3</f>
        <v/>
      </c>
      <c r="Q380" s="27" t="n">
        <v>10</v>
      </c>
      <c r="R380" s="237">
        <f>O380*Q380/100</f>
        <v/>
      </c>
      <c r="S380" s="237">
        <f>P380*R380</f>
        <v/>
      </c>
      <c r="T380" s="208">
        <f>O380*P380</f>
        <v/>
      </c>
      <c r="U380" s="251">
        <f>O380+R380</f>
        <v/>
      </c>
      <c r="V380" s="251">
        <f>T380+S380</f>
        <v/>
      </c>
      <c r="W380" s="35">
        <f>voranmeldefrist_vierteljaehrlich(F380)</f>
        <v/>
      </c>
      <c r="X380" s="35" t="n">
        <v>43418</v>
      </c>
      <c r="Z380" s="210">
        <f>IF(N380=TRUE,T380/M380,T380)</f>
        <v/>
      </c>
      <c r="AA380" s="237">
        <f>Y380/100*V380</f>
        <v/>
      </c>
      <c r="AB380">
        <f>IF(AND(Y380&gt;0,Q380=Y380),TRUE,FALSE)</f>
        <v/>
      </c>
    </row>
    <row r="381">
      <c r="B381" s="53" t="n">
        <v>2018</v>
      </c>
      <c r="C381" s="53" t="n">
        <v>77</v>
      </c>
      <c r="D381" s="9" t="inlineStr">
        <is>
          <t>10800180903823</t>
        </is>
      </c>
      <c r="F381" s="1" t="n">
        <v>43369</v>
      </c>
      <c r="G381" s="1" t="inlineStr">
        <is>
          <t>Österreichische Post AG Brief + Marken</t>
        </is>
      </c>
      <c r="L381" s="16" t="inlineStr">
        <is>
          <t>Porto/Gebühren</t>
        </is>
      </c>
      <c r="N381">
        <f>(IF(AND(M381&lt;&gt;"",ABS(T381)&gt;400),TRUE,FALSE))</f>
        <v/>
      </c>
      <c r="O381" s="36" t="n">
        <v>20.8</v>
      </c>
      <c r="P381" s="51" t="n">
        <v>1</v>
      </c>
      <c r="Q381" s="27" t="n">
        <v>0</v>
      </c>
      <c r="R381" s="237">
        <f>O381*Q381/100</f>
        <v/>
      </c>
      <c r="S381" s="237">
        <f>P381*R381</f>
        <v/>
      </c>
      <c r="T381" s="208">
        <f>O381*P381</f>
        <v/>
      </c>
      <c r="U381" s="251">
        <f>O381+R381</f>
        <v/>
      </c>
      <c r="V381" s="251">
        <f>T381+S381</f>
        <v/>
      </c>
      <c r="W381" s="35">
        <f>voranmeldefrist_vierteljaehrlich(F381)</f>
        <v/>
      </c>
      <c r="X381" s="35" t="n">
        <v>43418</v>
      </c>
      <c r="Z381" s="210">
        <f>IF(N381=TRUE,T381/M381,T381)</f>
        <v/>
      </c>
      <c r="AA381" s="237">
        <f>Y381/100*V381</f>
        <v/>
      </c>
      <c r="AB381">
        <f>IF(AND(Y381&gt;0,Q381=Y381),TRUE,FALSE)</f>
        <v/>
      </c>
    </row>
    <row r="382">
      <c r="B382" s="53" t="n">
        <v>2018</v>
      </c>
      <c r="C382" s="53" t="n">
        <v>78</v>
      </c>
      <c r="D382" s="9" t="inlineStr">
        <is>
          <t>51643619</t>
        </is>
      </c>
      <c r="F382" s="1" t="n">
        <v>43370</v>
      </c>
      <c r="G382" s="1" t="inlineStr">
        <is>
          <t>Office Partner GmbH: Samsung CLX 6260ND/SEE</t>
        </is>
      </c>
      <c r="L382" s="16" t="inlineStr">
        <is>
          <t>Waren, Rohstoffe, Hilfsstoffe</t>
        </is>
      </c>
      <c r="M382" s="16" t="inlineStr">
        <is>
          <t>Weiterverkauf</t>
        </is>
      </c>
      <c r="N382">
        <f>(IF(AND(M382&lt;&gt;"",ABS(T382)&gt;400),TRUE,FALSE))</f>
        <v/>
      </c>
      <c r="O382" s="36" t="n">
        <v>299.16</v>
      </c>
      <c r="P382" s="51" t="n">
        <v>1</v>
      </c>
      <c r="Q382" s="27" t="n">
        <v>20</v>
      </c>
      <c r="R382" s="237">
        <f>O382*Q382/100</f>
        <v/>
      </c>
      <c r="S382" s="237">
        <f>P382*R382</f>
        <v/>
      </c>
      <c r="T382" s="208">
        <f>O382*P382</f>
        <v/>
      </c>
      <c r="U382" s="251">
        <f>O382+R382</f>
        <v/>
      </c>
      <c r="V382" s="251">
        <f>T382+S382</f>
        <v/>
      </c>
      <c r="W382" s="35">
        <f>voranmeldefrist_vierteljaehrlich(F382)</f>
        <v/>
      </c>
      <c r="X382" s="35" t="n">
        <v>43418</v>
      </c>
      <c r="Z382" s="210">
        <f>IF(N382=TRUE,T382/M382,T382)</f>
        <v/>
      </c>
      <c r="AA382" s="237">
        <f>Y382/100*V382</f>
        <v/>
      </c>
      <c r="AB382">
        <f>IF(AND(Y382&gt;0,Q382=Y382),TRUE,FALSE)</f>
        <v/>
      </c>
    </row>
    <row r="383">
      <c r="B383" s="53" t="n">
        <v>2018</v>
      </c>
      <c r="C383" s="53" t="n">
        <v>79</v>
      </c>
      <c r="D383" s="9" t="inlineStr">
        <is>
          <t>171443843-00</t>
        </is>
      </c>
      <c r="F383" s="1" t="n">
        <v>43377</v>
      </c>
      <c r="G383" t="inlineStr">
        <is>
          <t>UPC Laudongasse</t>
        </is>
      </c>
      <c r="L383" s="16" t="inlineStr">
        <is>
          <t>Telefon/Internet</t>
        </is>
      </c>
      <c r="N383">
        <f>(IF(AND(M383&lt;&gt;"",ABS(T383)&gt;400),TRUE,FALSE))</f>
        <v/>
      </c>
      <c r="O383" s="36" t="n">
        <v>48.32</v>
      </c>
      <c r="P383" s="51">
        <f>(27.82+1.04)/48.32*(2/3)</f>
        <v/>
      </c>
      <c r="Q383" s="27" t="inlineStr">
        <is>
          <t>gemischt</t>
        </is>
      </c>
      <c r="R383" s="237" t="n">
        <v>7.72</v>
      </c>
      <c r="S383" s="237">
        <f>P383*R383</f>
        <v/>
      </c>
      <c r="T383" s="208">
        <f>O383*P383</f>
        <v/>
      </c>
      <c r="U383" s="251">
        <f>O383+R383</f>
        <v/>
      </c>
      <c r="V383" s="251">
        <f>T383+S383</f>
        <v/>
      </c>
      <c r="W383" s="35">
        <f>voranmeldefrist_vierteljaehrlich(F383)</f>
        <v/>
      </c>
      <c r="X383" s="35" t="n"/>
      <c r="Z383" s="210">
        <f>IF(N383=TRUE,T383/M383,T383)</f>
        <v/>
      </c>
      <c r="AA383" s="237">
        <f>Y383/100*V383</f>
        <v/>
      </c>
      <c r="AB383">
        <f>IF(AND(Y383&gt;0,Q383=Y383),TRUE,FALSE)</f>
        <v/>
      </c>
    </row>
    <row r="384">
      <c r="B384" s="53" t="n">
        <v>2018</v>
      </c>
      <c r="C384" s="53" t="n">
        <v>80</v>
      </c>
      <c r="D384" s="9" t="inlineStr">
        <is>
          <t>6164351414</t>
        </is>
      </c>
      <c r="F384" s="1" t="n">
        <v>43378</v>
      </c>
      <c r="G384" t="inlineStr">
        <is>
          <t>Hutchison Drei Austria GmbH, Brünner Straße 52, 1210 Wien, Österreich</t>
        </is>
      </c>
      <c r="L384" s="16" t="inlineStr">
        <is>
          <t>Telefon/Internet</t>
        </is>
      </c>
      <c r="N384">
        <f>(IF(AND(M384&lt;&gt;"",ABS(T384)&gt;400),TRUE,FALSE))</f>
        <v/>
      </c>
      <c r="O384" s="36" t="n">
        <v>15</v>
      </c>
      <c r="P384" s="51" t="n">
        <v>1</v>
      </c>
      <c r="Q384" s="27" t="n">
        <v>20</v>
      </c>
      <c r="R384" s="237">
        <f>O384*Q384/100</f>
        <v/>
      </c>
      <c r="S384" s="237">
        <f>P384*R384</f>
        <v/>
      </c>
      <c r="T384" s="208">
        <f>O384*P384</f>
        <v/>
      </c>
      <c r="U384" s="251">
        <f>O384+R384</f>
        <v/>
      </c>
      <c r="V384" s="251">
        <f>T384+S384</f>
        <v/>
      </c>
      <c r="W384" s="35">
        <f>voranmeldefrist_vierteljaehrlich(F384)</f>
        <v/>
      </c>
      <c r="X384" s="35" t="n"/>
      <c r="Z384" s="210">
        <f>IF(N384=TRUE,T384/M384,T384)</f>
        <v/>
      </c>
      <c r="AA384" s="237">
        <f>Y384/100*V384</f>
        <v/>
      </c>
      <c r="AB384">
        <f>IF(AND(Y384&gt;0,Q384=Y384),TRUE,FALSE)</f>
        <v/>
      </c>
    </row>
    <row r="385">
      <c r="B385" s="53" t="n">
        <v>2018</v>
      </c>
      <c r="C385" s="53" t="n">
        <v>81</v>
      </c>
      <c r="D385" s="9" t="inlineStr">
        <is>
          <t>71 Fr 18314/18 i</t>
        </is>
      </c>
      <c r="F385" s="1" t="n">
        <v>43382</v>
      </c>
      <c r="G385" s="1" t="inlineStr">
        <is>
          <t>Bezirksgericht Beglaubigung</t>
        </is>
      </c>
      <c r="L385" s="16" t="inlineStr">
        <is>
          <t>Porto/Gebühren</t>
        </is>
      </c>
      <c r="N385">
        <f>(IF(AND(M385&lt;&gt;"",ABS(T385)&gt;400),TRUE,FALSE))</f>
        <v/>
      </c>
      <c r="O385" s="36" t="n">
        <v>64.8</v>
      </c>
      <c r="P385" s="51" t="n">
        <v>1</v>
      </c>
      <c r="Q385" s="27" t="n">
        <v>0</v>
      </c>
      <c r="R385" s="237">
        <f>O385*Q385/100</f>
        <v/>
      </c>
      <c r="S385" s="237">
        <f>P385*R385</f>
        <v/>
      </c>
      <c r="T385" s="208">
        <f>O385*P385</f>
        <v/>
      </c>
      <c r="U385" s="251">
        <f>O385+R385</f>
        <v/>
      </c>
      <c r="V385" s="251">
        <f>T385+S385</f>
        <v/>
      </c>
      <c r="W385" s="35">
        <f>voranmeldefrist_vierteljaehrlich(F385)</f>
        <v/>
      </c>
      <c r="Z385" s="210">
        <f>IF(N385=TRUE,T385/M385,T385)</f>
        <v/>
      </c>
      <c r="AA385" s="237">
        <f>Y385/100*V385</f>
        <v/>
      </c>
      <c r="AB385">
        <f>IF(AND(Y385&gt;0,Q385=Y385),TRUE,FALSE)</f>
        <v/>
      </c>
    </row>
    <row r="386">
      <c r="B386" s="53" t="n">
        <v>2018</v>
      </c>
      <c r="C386" s="53" t="n">
        <v>82</v>
      </c>
      <c r="D386" s="9" t="inlineStr">
        <is>
          <t>34021907236/40/2018</t>
        </is>
      </c>
      <c r="F386" s="1" t="n">
        <v>43388</v>
      </c>
      <c r="G386" s="1">
        <f>CONCATENATE(H386,": ",J386)</f>
        <v/>
      </c>
      <c r="H386" t="inlineStr">
        <is>
          <t>VERBUND AG, Postfach 8400, 1011 Wien, Österreich</t>
        </is>
      </c>
      <c r="I386" t="inlineStr">
        <is>
          <t>ATU14703908</t>
        </is>
      </c>
      <c r="J386" t="inlineStr">
        <is>
          <t>Teilzahlungsvorschreibung</t>
        </is>
      </c>
      <c r="L386" s="16" t="inlineStr">
        <is>
          <t>sonstige Betriebsausgaben</t>
        </is>
      </c>
      <c r="M386" s="16">
        <f>IF(L386="Waren, Rohstoffe, Hilfsstoffe", "Weiterverkauf", "")</f>
        <v/>
      </c>
      <c r="N386">
        <f>(IF(AND(M386&lt;&gt;"",ABS(T386)&gt;400),TRUE,FALSE))</f>
        <v/>
      </c>
      <c r="O386" s="36" t="n">
        <v>151.67</v>
      </c>
      <c r="P386" s="51">
        <f>Arbeitszimmer!$B$3</f>
        <v/>
      </c>
      <c r="Q386" s="27" t="n">
        <v>20</v>
      </c>
      <c r="R386" s="237">
        <f>O386*Q386/100</f>
        <v/>
      </c>
      <c r="S386" s="237">
        <f>P386*R386</f>
        <v/>
      </c>
      <c r="T386" s="208">
        <f>O386*P386</f>
        <v/>
      </c>
      <c r="U386" s="251">
        <f>O386+R386</f>
        <v/>
      </c>
      <c r="V386" s="251">
        <f>T386+S386</f>
        <v/>
      </c>
      <c r="W386" s="35">
        <f>voranmeldefrist_vierteljaehrlich(F386)</f>
        <v/>
      </c>
      <c r="X386" s="35" t="n"/>
      <c r="Z386" s="210">
        <f>IF(N386=TRUE,T386/K386,T386)</f>
        <v/>
      </c>
      <c r="AA386" s="237">
        <f>Y386/100*V386</f>
        <v/>
      </c>
      <c r="AB386">
        <f>IF(AND(Y386&gt;0,Q386=Y386),TRUE,FALSE)</f>
        <v/>
      </c>
    </row>
    <row r="387">
      <c r="B387" s="53" t="n">
        <v>2018</v>
      </c>
      <c r="C387" s="53" t="n">
        <v>83</v>
      </c>
      <c r="D387" s="9" t="inlineStr">
        <is>
          <t>14003700445/40/2018</t>
        </is>
      </c>
      <c r="F387" s="1" t="n">
        <v>43388</v>
      </c>
      <c r="G387" s="1">
        <f>CONCATENATE(H387,": ",J387)</f>
        <v/>
      </c>
      <c r="H387" t="inlineStr">
        <is>
          <t>MONTANA Energie-Handel AT GmbH</t>
        </is>
      </c>
      <c r="J387" t="inlineStr">
        <is>
          <t>Teilzahlungsbetrag Gas</t>
        </is>
      </c>
      <c r="L387" s="16" t="inlineStr">
        <is>
          <t>sonstige Betriebsausgaben</t>
        </is>
      </c>
      <c r="M387" s="16">
        <f>IF(L387="Waren, Rohstoffe, Hilfsstoffe", "Weiterverkauf", "")</f>
        <v/>
      </c>
      <c r="N387">
        <f>(IF(AND(M387&lt;&gt;"",ABS(T387)&gt;400),TRUE,FALSE))</f>
        <v/>
      </c>
      <c r="O387" s="36">
        <f>99/1.2</f>
        <v/>
      </c>
      <c r="P387" s="51">
        <f>Arbeitszimmer!$B$3</f>
        <v/>
      </c>
      <c r="Q387" s="27" t="n">
        <v>20</v>
      </c>
      <c r="R387" s="237">
        <f>O387*Q387/100</f>
        <v/>
      </c>
      <c r="S387" s="237">
        <f>P387*R387</f>
        <v/>
      </c>
      <c r="T387" s="208">
        <f>O387*P387</f>
        <v/>
      </c>
      <c r="U387" s="251">
        <f>O387+R387</f>
        <v/>
      </c>
      <c r="V387" s="251">
        <f>T387+S387</f>
        <v/>
      </c>
      <c r="W387" s="35">
        <f>voranmeldefrist_vierteljaehrlich(F387)</f>
        <v/>
      </c>
      <c r="X387" s="35" t="n"/>
      <c r="Z387" s="210">
        <f>IF(N387=TRUE,T387/K387,T387)</f>
        <v/>
      </c>
      <c r="AA387" s="237">
        <f>Y387/100*V387</f>
        <v/>
      </c>
      <c r="AB387">
        <f>IF(AND(Y387&gt;0,Q387=Y387),TRUE,FALSE)</f>
        <v/>
      </c>
    </row>
    <row r="388">
      <c r="B388" s="53" t="n">
        <v>2018</v>
      </c>
      <c r="C388" s="53" t="n">
        <v>84</v>
      </c>
      <c r="D388" s="9" t="inlineStr">
        <is>
          <t>RE0641423</t>
        </is>
      </c>
      <c r="F388" s="1" t="n">
        <v>43382</v>
      </c>
      <c r="G388" s="1" t="inlineStr">
        <is>
          <t>easyname stokol.at</t>
        </is>
      </c>
      <c r="L388" s="16" t="inlineStr">
        <is>
          <t>sonstige Betriebsausgaben</t>
        </is>
      </c>
      <c r="M388" s="16">
        <f>IF(L388="Waren, Rohstoffe, Hilfsstoffe", "Weiterverkauf", "")</f>
        <v/>
      </c>
      <c r="N388">
        <f>(IF(AND(M388&lt;&gt;"",ABS(T388)&gt;400),TRUE,FALSE))</f>
        <v/>
      </c>
      <c r="O388" s="36" t="n">
        <v>12.42</v>
      </c>
      <c r="P388" s="51" t="n">
        <v>1</v>
      </c>
      <c r="Q388" s="27" t="n">
        <v>20</v>
      </c>
      <c r="R388" s="237">
        <f>O388*Q388/100</f>
        <v/>
      </c>
      <c r="S388" s="237">
        <f>P388*R388</f>
        <v/>
      </c>
      <c r="T388" s="208">
        <f>O388*P388</f>
        <v/>
      </c>
      <c r="U388" s="251">
        <f>O388+R388</f>
        <v/>
      </c>
      <c r="V388" s="251">
        <f>T388+S388</f>
        <v/>
      </c>
      <c r="W388" s="35">
        <f>voranmeldefrist_vierteljaehrlich(F388)</f>
        <v/>
      </c>
      <c r="X388" s="35" t="n"/>
      <c r="Z388" s="210">
        <f>IF(N388=TRUE,T388/K388,T388)</f>
        <v/>
      </c>
      <c r="AA388" s="237">
        <f>Y388/100*V388</f>
        <v/>
      </c>
      <c r="AB388">
        <f>IF(AND(Y388&gt;0,Q388=Y388),TRUE,FALSE)</f>
        <v/>
      </c>
    </row>
    <row r="389">
      <c r="B389" s="53" t="n">
        <v>2018</v>
      </c>
      <c r="C389" s="53" t="n">
        <v>85</v>
      </c>
      <c r="D389" s="9" t="inlineStr">
        <is>
          <t>E05006T0YG</t>
        </is>
      </c>
      <c r="F389" s="1" t="n">
        <v>43381</v>
      </c>
      <c r="G389" t="inlineStr">
        <is>
          <t>Microsoft Ireland Operations Ltd, One Microsoft Place, South County Business Park Leopardstown Dublin 18, D18 P521 Irland: Office 365 Business Essentials (jährlich)</t>
        </is>
      </c>
      <c r="L389" s="16" t="inlineStr">
        <is>
          <t>sonstige Betriebsausgaben</t>
        </is>
      </c>
      <c r="M389" s="16">
        <f>IF(L389="Waren, Rohstoffe, Hilfsstoffe", "Weiterverkauf", "")</f>
        <v/>
      </c>
      <c r="N389">
        <f>(IF(AND(M389&lt;&gt;"",ABS(T389)&gt;400),TRUE,FALSE))</f>
        <v/>
      </c>
      <c r="O389" s="36" t="n">
        <v>100.8</v>
      </c>
      <c r="P389" s="51" t="n">
        <v>1</v>
      </c>
      <c r="Q389" s="27" t="n">
        <v>20</v>
      </c>
      <c r="R389" s="237">
        <f>O389*Q389/100</f>
        <v/>
      </c>
      <c r="S389" s="237">
        <f>P389*R389</f>
        <v/>
      </c>
      <c r="T389" s="208">
        <f>O389*P389</f>
        <v/>
      </c>
      <c r="U389" s="251">
        <f>O389+R389</f>
        <v/>
      </c>
      <c r="V389" s="251">
        <f>T389+S389</f>
        <v/>
      </c>
      <c r="W389" s="35">
        <f>voranmeldefrist_vierteljaehrlich(F389)</f>
        <v/>
      </c>
      <c r="X389" s="35" t="n"/>
      <c r="Z389" s="210">
        <f>IF(N389=TRUE,T389/M389,T389)</f>
        <v/>
      </c>
      <c r="AA389" s="237">
        <f>Y389/100*V389</f>
        <v/>
      </c>
      <c r="AB389">
        <f>IF(AND(Y389&gt;0,Q389=Y389),TRUE,FALSE)</f>
        <v/>
      </c>
    </row>
    <row r="390">
      <c r="B390" s="53" t="n">
        <v>2018</v>
      </c>
      <c r="C390" s="53" t="n">
        <v>86</v>
      </c>
      <c r="D390" s="9" t="inlineStr">
        <is>
          <t>A18-7592</t>
        </is>
      </c>
      <c r="F390" s="1" t="n">
        <v>43385</v>
      </c>
      <c r="G390" s="1" t="inlineStr">
        <is>
          <t>Faxonline GmbH</t>
        </is>
      </c>
      <c r="L390" s="16" t="inlineStr">
        <is>
          <t>sonstige Betriebsausgaben</t>
        </is>
      </c>
      <c r="M390" s="16">
        <f>IF(L390="Waren, Rohstoffe, Hilfsstoffe", "Weiterverkauf", "")</f>
        <v/>
      </c>
      <c r="N390">
        <f>(IF(AND(M390&lt;&gt;"",ABS(T390)&gt;400),TRUE,FALSE))</f>
        <v/>
      </c>
      <c r="O390" s="36" t="n">
        <v>6.67</v>
      </c>
      <c r="P390" s="51" t="n">
        <v>1</v>
      </c>
      <c r="Q390" s="27" t="n">
        <v>20</v>
      </c>
      <c r="R390" s="237">
        <f>O390*Q390/100</f>
        <v/>
      </c>
      <c r="S390" s="237">
        <f>P390*R390</f>
        <v/>
      </c>
      <c r="T390" s="208">
        <f>O390*P390</f>
        <v/>
      </c>
      <c r="U390" s="251">
        <f>O390+R390</f>
        <v/>
      </c>
      <c r="V390" s="251">
        <f>T390+S390</f>
        <v/>
      </c>
      <c r="W390" s="35">
        <f>voranmeldefrist_vierteljaehrlich(F390)</f>
        <v/>
      </c>
      <c r="X390" s="35" t="n"/>
      <c r="Z390" s="210">
        <f>IF(N390=TRUE,T390/K390,T390)</f>
        <v/>
      </c>
      <c r="AA390" s="237">
        <f>Y390/100*V390</f>
        <v/>
      </c>
      <c r="AB390">
        <f>IF(AND(Y390&gt;0,Q390=Y390),TRUE,FALSE)</f>
        <v/>
      </c>
    </row>
    <row r="391">
      <c r="B391" s="53" t="n">
        <v>2018</v>
      </c>
      <c r="C391" s="53" t="n">
        <v>87</v>
      </c>
      <c r="D391" s="9" t="inlineStr">
        <is>
          <t>71 Fr 18314/18 i</t>
        </is>
      </c>
      <c r="F391" s="1" t="n">
        <v>43397</v>
      </c>
      <c r="G391" s="1" t="inlineStr">
        <is>
          <t>Bezirksgericht FB-Eintragung</t>
        </is>
      </c>
      <c r="L391" s="16" t="inlineStr">
        <is>
          <t>Porto/Gebühren</t>
        </is>
      </c>
      <c r="N391">
        <f>(IF(AND(M391&lt;&gt;"",ABS(T391)&gt;400),TRUE,FALSE))</f>
        <v/>
      </c>
      <c r="O391" s="36" t="n">
        <v>91.40000000000001</v>
      </c>
      <c r="P391" s="51" t="n">
        <v>1</v>
      </c>
      <c r="Q391" s="27" t="n">
        <v>20</v>
      </c>
      <c r="R391" s="237">
        <f>O391*Q391/100</f>
        <v/>
      </c>
      <c r="S391" s="237">
        <f>P391*R391</f>
        <v/>
      </c>
      <c r="T391" s="208">
        <f>O391*P391</f>
        <v/>
      </c>
      <c r="U391" s="251">
        <f>O391+R391</f>
        <v/>
      </c>
      <c r="V391" s="251">
        <f>T391+S391</f>
        <v/>
      </c>
      <c r="W391" s="35">
        <f>voranmeldefrist_vierteljaehrlich(F391)</f>
        <v/>
      </c>
      <c r="X391" s="35" t="n"/>
      <c r="Z391" s="210">
        <f>IF(N391=TRUE,T391/K391,T391)</f>
        <v/>
      </c>
      <c r="AA391" s="237">
        <f>Y391/100*V391</f>
        <v/>
      </c>
      <c r="AB391">
        <f>IF(AND(Y391&gt;0,Q391=Y391),TRUE,FALSE)</f>
        <v/>
      </c>
    </row>
    <row r="392">
      <c r="B392" s="53" t="n">
        <v>2018</v>
      </c>
      <c r="C392" s="53" t="n">
        <v>88</v>
      </c>
      <c r="D392" s="9" t="inlineStr">
        <is>
          <t>E2EC180919000006</t>
        </is>
      </c>
      <c r="F392" s="1" t="n">
        <v>43398</v>
      </c>
      <c r="G392" s="1">
        <f>CONCATENATE(H392,": ",J392)</f>
        <v/>
      </c>
      <c r="H392" t="inlineStr">
        <is>
          <t>PREMIUM Laudongasse 58 GmbH &amp; Co KG</t>
        </is>
      </c>
      <c r="I392" t="inlineStr">
        <is>
          <t>ATU60795919</t>
        </is>
      </c>
      <c r="J392" t="inlineStr">
        <is>
          <t>Dauerrechnung 2018-D</t>
        </is>
      </c>
      <c r="L392" s="16" t="inlineStr">
        <is>
          <t>Miet- und Pachtaufwand, Leasing</t>
        </is>
      </c>
      <c r="M392" s="16">
        <f>IF(L392="Waren, Rohstoffe, Hilfsstoffe", "Weiterverkauf", "")</f>
        <v/>
      </c>
      <c r="N392">
        <f>(IF(AND(M392&lt;&gt;"",ABS(T392)&gt;400),TRUE,FALSE))</f>
        <v/>
      </c>
      <c r="O392" s="36" t="n">
        <v>763.4400000000001</v>
      </c>
      <c r="P392" s="51">
        <f>Arbeitszimmer!$B$3</f>
        <v/>
      </c>
      <c r="Q392" s="27" t="n">
        <v>10</v>
      </c>
      <c r="R392" s="237">
        <f>O392*Q392/100</f>
        <v/>
      </c>
      <c r="S392" s="237">
        <f>P392*R392</f>
        <v/>
      </c>
      <c r="T392" s="208">
        <f>O392*P392</f>
        <v/>
      </c>
      <c r="U392" s="251">
        <f>O392+R392</f>
        <v/>
      </c>
      <c r="V392" s="251">
        <f>T392+S392</f>
        <v/>
      </c>
      <c r="W392" s="35">
        <f>voranmeldefrist_vierteljaehrlich(F392)</f>
        <v/>
      </c>
      <c r="X392" s="35" t="n"/>
      <c r="Z392" s="210">
        <f>IF(N392=TRUE,T392/M392,T392)</f>
        <v/>
      </c>
      <c r="AA392" s="237">
        <f>Y392/100*V392</f>
        <v/>
      </c>
      <c r="AB392">
        <f>IF(AND(Y392&gt;0,Q392=Y392),TRUE,FALSE)</f>
        <v/>
      </c>
    </row>
    <row r="393">
      <c r="B393" s="53" t="n">
        <v>2018</v>
      </c>
      <c r="C393" s="53" t="n">
        <v>89</v>
      </c>
      <c r="D393" s="9" t="inlineStr">
        <is>
          <t>IVIP28712590</t>
        </is>
      </c>
      <c r="F393" s="1" t="n">
        <v>43403</v>
      </c>
      <c r="G393" s="1" t="inlineStr">
        <is>
          <t>Envato Pty LTd, PO Box 16122, Collins St. West, Victoria   8007, Australia, EU VAT ID EU826409867</t>
        </is>
      </c>
      <c r="L393" s="16" t="inlineStr">
        <is>
          <t>Werbe- und Repräsentationsaufwand</t>
        </is>
      </c>
      <c r="N393">
        <f>(IF(AND(M393&lt;&gt;"",ABS(T393)&gt;400),TRUE,FALSE))</f>
        <v/>
      </c>
      <c r="O393" s="36" t="n">
        <v>12.56</v>
      </c>
      <c r="P393" s="51" t="n">
        <v>1</v>
      </c>
      <c r="Q393" s="27" t="n">
        <v>0</v>
      </c>
      <c r="R393" s="237">
        <f>O393*Q393/100</f>
        <v/>
      </c>
      <c r="S393" s="237">
        <f>P393*R393</f>
        <v/>
      </c>
      <c r="T393" s="208">
        <f>O393*P393</f>
        <v/>
      </c>
      <c r="U393" s="251">
        <f>O393+R393</f>
        <v/>
      </c>
      <c r="V393" s="251">
        <f>T393+S393</f>
        <v/>
      </c>
      <c r="W393" s="35">
        <f>voranmeldefrist_vierteljaehrlich(F393)</f>
        <v/>
      </c>
      <c r="X393" s="35" t="n"/>
      <c r="Y393" s="27" t="n">
        <v>20</v>
      </c>
      <c r="Z393" s="210">
        <f>IF(N393=TRUE,T393/M393,T393)</f>
        <v/>
      </c>
      <c r="AA393" s="237">
        <f>Y393/100*V393</f>
        <v/>
      </c>
      <c r="AB393">
        <f>IF(AND(Y393&gt;0,Q393=Y393),TRUE,FALSE)</f>
        <v/>
      </c>
    </row>
    <row r="394">
      <c r="B394" s="53" t="n">
        <v>2018</v>
      </c>
      <c r="C394" s="53" t="n">
        <v>90</v>
      </c>
      <c r="D394" s="9" t="inlineStr">
        <is>
          <t>6166179078</t>
        </is>
      </c>
      <c r="F394" s="1" t="n">
        <v>43406</v>
      </c>
      <c r="G394" t="inlineStr">
        <is>
          <t>Hutchison Drei Austria GmbH, Brünner Straße 52, 1210 Wien, Österreich</t>
        </is>
      </c>
      <c r="L394" s="16" t="inlineStr">
        <is>
          <t>Telefon/Internet</t>
        </is>
      </c>
      <c r="N394">
        <f>(IF(AND(M394&lt;&gt;"",ABS(T394)&gt;400),TRUE,FALSE))</f>
        <v/>
      </c>
      <c r="O394" s="36" t="n">
        <v>17.32</v>
      </c>
      <c r="P394" s="51" t="n">
        <v>1</v>
      </c>
      <c r="Q394" s="27" t="n">
        <v>20</v>
      </c>
      <c r="R394" s="237">
        <f>O394*Q394/100</f>
        <v/>
      </c>
      <c r="S394" s="237">
        <f>P394*R394</f>
        <v/>
      </c>
      <c r="T394" s="208">
        <f>O394*P394</f>
        <v/>
      </c>
      <c r="U394" s="251">
        <f>O394+R394</f>
        <v/>
      </c>
      <c r="V394" s="251">
        <f>T394+S394</f>
        <v/>
      </c>
      <c r="W394" s="35">
        <f>voranmeldefrist_vierteljaehrlich(F394)</f>
        <v/>
      </c>
      <c r="X394" s="35" t="n"/>
      <c r="Z394" s="210">
        <f>IF(N394=TRUE,T394/M394,T394)</f>
        <v/>
      </c>
      <c r="AA394" s="237">
        <f>Y394/100*V394</f>
        <v/>
      </c>
      <c r="AB394">
        <f>IF(AND(Y394&gt;0,Q394=Y394),TRUE,FALSE)</f>
        <v/>
      </c>
    </row>
    <row r="395">
      <c r="B395" s="53" t="n">
        <v>2018</v>
      </c>
      <c r="C395" s="53" t="n">
        <v>91</v>
      </c>
      <c r="D395" s="9" t="inlineStr">
        <is>
          <t>IEE2018004924624</t>
        </is>
      </c>
      <c r="F395" s="1" t="n">
        <v>43406</v>
      </c>
      <c r="G395" s="1" t="inlineStr">
        <is>
          <t>Adobe Systems Software Ireland Ltd., 2-6 Riverwalk, Citywest Business Park, Dublin 24, Ireland</t>
        </is>
      </c>
      <c r="L395" s="16" t="inlineStr">
        <is>
          <t>Werbe- und Repräsentationsaufwand</t>
        </is>
      </c>
      <c r="N395">
        <f>(IF(AND(M395&lt;&gt;"",ABS(T395)&gt;400),TRUE,FALSE))</f>
        <v/>
      </c>
      <c r="O395" s="36" t="n">
        <v>29.99</v>
      </c>
      <c r="P395" s="51" t="n">
        <v>1</v>
      </c>
      <c r="Q395" s="27" t="n">
        <v>0</v>
      </c>
      <c r="R395" s="237">
        <f>O395*Q395/100</f>
        <v/>
      </c>
      <c r="S395" s="237">
        <f>P395*R395</f>
        <v/>
      </c>
      <c r="T395" s="208">
        <f>O395*P395</f>
        <v/>
      </c>
      <c r="U395" s="251">
        <f>O395+R395</f>
        <v/>
      </c>
      <c r="V395" s="251">
        <f>T395+S395</f>
        <v/>
      </c>
      <c r="W395" s="35">
        <f>voranmeldefrist_vierteljaehrlich(F395)</f>
        <v/>
      </c>
      <c r="Y395" s="27" t="n">
        <v>20</v>
      </c>
      <c r="Z395" s="210">
        <f>IF(N395=TRUE,T395/M395,T395)</f>
        <v/>
      </c>
      <c r="AA395" s="237">
        <f>Y395/100*V395</f>
        <v/>
      </c>
      <c r="AB395">
        <f>IF(AND(Y395&gt;0,Q395=Y395),TRUE,FALSE)</f>
        <v/>
      </c>
    </row>
    <row r="396">
      <c r="B396" s="53" t="n">
        <v>2018</v>
      </c>
      <c r="C396" s="53" t="n">
        <v>92</v>
      </c>
      <c r="D396" s="9" t="inlineStr">
        <is>
          <t>171913896-00</t>
        </is>
      </c>
      <c r="F396" s="1" t="n">
        <v>43409</v>
      </c>
      <c r="G396" t="inlineStr">
        <is>
          <t>UPC Laudongasse</t>
        </is>
      </c>
      <c r="L396" s="16" t="inlineStr">
        <is>
          <t>Telefon/Internet</t>
        </is>
      </c>
      <c r="N396">
        <f>(IF(AND(M396&lt;&gt;"",ABS(T396)&gt;400),TRUE,FALSE))</f>
        <v/>
      </c>
      <c r="O396" s="36" t="n">
        <v>48.32</v>
      </c>
      <c r="P396" s="51">
        <f>(27.82+1.04)/48.32*(2/3)</f>
        <v/>
      </c>
      <c r="Q396" s="27" t="inlineStr">
        <is>
          <t>gemischt</t>
        </is>
      </c>
      <c r="R396" s="237" t="n">
        <v>7.72</v>
      </c>
      <c r="S396" s="237">
        <f>P396*R396</f>
        <v/>
      </c>
      <c r="T396" s="208">
        <f>O396*P396</f>
        <v/>
      </c>
      <c r="U396" s="251">
        <f>O396+R396</f>
        <v/>
      </c>
      <c r="V396" s="251">
        <f>T396+S396</f>
        <v/>
      </c>
      <c r="W396" s="35">
        <f>voranmeldefrist_vierteljaehrlich(F396)</f>
        <v/>
      </c>
      <c r="X396" s="35" t="n"/>
      <c r="Z396" s="210">
        <f>IF(N396=TRUE,T396/M396,T396)</f>
        <v/>
      </c>
      <c r="AA396" s="237">
        <f>Y396/100*V396</f>
        <v/>
      </c>
      <c r="AB396">
        <f>IF(AND(Y396&gt;0,Q396=Y396),TRUE,FALSE)</f>
        <v/>
      </c>
    </row>
    <row r="397">
      <c r="B397" s="53" t="n">
        <v>2018</v>
      </c>
      <c r="C397" s="53" t="n">
        <v>93</v>
      </c>
      <c r="D397" s="9" t="inlineStr">
        <is>
          <t>701930</t>
        </is>
      </c>
      <c r="F397" s="1" t="n">
        <v>43411</v>
      </c>
      <c r="G397" s="1" t="inlineStr">
        <is>
          <t>Lemon Technologies GmbH, Unterweißenbach 181, 8330 Feldbach: Seagate Skyhawk 8TB ST8000VX0022</t>
        </is>
      </c>
      <c r="L397" s="16" t="inlineStr">
        <is>
          <t>Waren, Rohstoffe, Hilfsstoffe</t>
        </is>
      </c>
      <c r="M397" s="16" t="inlineStr">
        <is>
          <t>Weiterverkauf</t>
        </is>
      </c>
      <c r="N397">
        <f>(IF(AND(M397&lt;&gt;"",ABS(T397)&gt;400),TRUE,FALSE))</f>
        <v/>
      </c>
      <c r="O397" s="36" t="n">
        <v>202.17</v>
      </c>
      <c r="P397" s="51" t="n">
        <v>1</v>
      </c>
      <c r="Q397" s="27" t="n">
        <v>20</v>
      </c>
      <c r="R397" s="237">
        <f>O397*Q397/100</f>
        <v/>
      </c>
      <c r="S397" s="237">
        <f>P397*R397</f>
        <v/>
      </c>
      <c r="T397" s="208">
        <f>O397*P397</f>
        <v/>
      </c>
      <c r="U397" s="251">
        <f>O397+R397</f>
        <v/>
      </c>
      <c r="V397" s="251">
        <f>T397+S397</f>
        <v/>
      </c>
      <c r="W397" s="35">
        <f>voranmeldefrist_vierteljaehrlich(F397)</f>
        <v/>
      </c>
      <c r="X397" s="35" t="n"/>
      <c r="Z397" s="210">
        <f>IF(N397=TRUE,T397/M397,T397)</f>
        <v/>
      </c>
      <c r="AA397" s="237">
        <f>Y397/100*V397</f>
        <v/>
      </c>
      <c r="AB397">
        <f>IF(AND(Y397&gt;0,Q397=Y397),TRUE,FALSE)</f>
        <v/>
      </c>
    </row>
    <row r="398">
      <c r="B398" s="53" t="n">
        <v>2018</v>
      </c>
      <c r="C398" s="53" t="n">
        <v>94</v>
      </c>
      <c r="D398" s="9" t="inlineStr">
        <is>
          <t>13337582</t>
        </is>
      </c>
      <c r="F398" s="1" t="n">
        <v>43411</v>
      </c>
      <c r="G398" t="inlineStr">
        <is>
          <t>Primus office products HandelsgmbH &amp; Co KG, Margaretengürtel 44,1050 Wien: Tonershop, TOSM-CLP360MULTI.O</t>
        </is>
      </c>
      <c r="L398" s="16" t="inlineStr">
        <is>
          <t>Waren, Rohstoffe, Hilfsstoffe</t>
        </is>
      </c>
      <c r="M398" s="16" t="inlineStr">
        <is>
          <t>Weiterverkauf</t>
        </is>
      </c>
      <c r="N398">
        <f>(IF(AND(M398&lt;&gt;"",ABS(T398)&gt;400),TRUE,FALSE))</f>
        <v/>
      </c>
      <c r="O398" s="36" t="n">
        <v>126.08</v>
      </c>
      <c r="P398" s="51" t="n">
        <v>1</v>
      </c>
      <c r="Q398" s="27" t="n">
        <v>20</v>
      </c>
      <c r="R398" s="237">
        <f>O398*Q398/100</f>
        <v/>
      </c>
      <c r="S398" s="237">
        <f>P398*R398</f>
        <v/>
      </c>
      <c r="T398" s="208">
        <f>O398*P398</f>
        <v/>
      </c>
      <c r="U398" s="251">
        <f>O398+R398</f>
        <v/>
      </c>
      <c r="V398" s="251">
        <f>T398+S398</f>
        <v/>
      </c>
      <c r="W398" s="35">
        <f>voranmeldefrist_vierteljaehrlich(F398)</f>
        <v/>
      </c>
      <c r="X398" s="35" t="n"/>
      <c r="Z398" s="210">
        <f>IF(N398=TRUE,T398/M398,T398)</f>
        <v/>
      </c>
      <c r="AA398" s="237">
        <f>Y398/100*V398</f>
        <v/>
      </c>
      <c r="AB398">
        <f>IF(AND(Y398&gt;0,Q398=Y398),TRUE,FALSE)</f>
        <v/>
      </c>
    </row>
    <row r="399">
      <c r="B399" s="53" t="n">
        <v>2018</v>
      </c>
      <c r="C399" s="53" t="n">
        <v>95</v>
      </c>
      <c r="D399" s="9" t="inlineStr">
        <is>
          <t>AT1756279</t>
        </is>
      </c>
      <c r="F399" s="1" t="n">
        <v>43413</v>
      </c>
      <c r="G399" s="1" t="inlineStr">
        <is>
          <t>Flyeralarm  online Druck GmbH, Brown-Boveri-Str. 8, 2351 Wr. Neudorf</t>
        </is>
      </c>
      <c r="L399" s="16" t="inlineStr">
        <is>
          <t>Werbe- und Repräsentationsaufwand</t>
        </is>
      </c>
      <c r="N399">
        <f>(IF(AND(M399&lt;&gt;"",ABS(T399)&gt;400),TRUE,FALSE))</f>
        <v/>
      </c>
      <c r="O399" s="36" t="n">
        <v>31.01</v>
      </c>
      <c r="P399" s="51" t="n">
        <v>1</v>
      </c>
      <c r="Q399" s="27" t="n">
        <v>20</v>
      </c>
      <c r="R399" s="237">
        <f>O399*Q399/100</f>
        <v/>
      </c>
      <c r="S399" s="237">
        <f>P399*R399</f>
        <v/>
      </c>
      <c r="T399" s="208">
        <f>O399*P399</f>
        <v/>
      </c>
      <c r="U399" s="251">
        <f>O399+R399</f>
        <v/>
      </c>
      <c r="V399" s="251">
        <f>T399+S399</f>
        <v/>
      </c>
      <c r="W399" s="35">
        <f>voranmeldefrist_vierteljaehrlich(F399)</f>
        <v/>
      </c>
      <c r="X399" s="35" t="n"/>
      <c r="Z399" s="210">
        <f>IF(N399=TRUE,T399/M399,T399)</f>
        <v/>
      </c>
      <c r="AA399" s="237">
        <f>Y399/100*V399</f>
        <v/>
      </c>
      <c r="AB399">
        <f>IF(AND(Y399&gt;0,Q399=Y399),TRUE,FALSE)</f>
        <v/>
      </c>
    </row>
    <row r="400">
      <c r="B400" s="53" t="n">
        <v>2018</v>
      </c>
      <c r="C400" s="53" t="n">
        <v>96</v>
      </c>
      <c r="D400" s="9" t="inlineStr">
        <is>
          <t>FDC6360477</t>
        </is>
      </c>
      <c r="F400" s="1" t="n">
        <v>43416</v>
      </c>
      <c r="G400" t="inlineStr">
        <is>
          <t>fonts.com Monotype, 600 Unicorn Park Drive, Woburn, MA 01801 USA, VAT ID EU826009166</t>
        </is>
      </c>
      <c r="L400" s="16" t="inlineStr">
        <is>
          <t>Werbe- und Repräsentationsaufwand</t>
        </is>
      </c>
      <c r="N400">
        <f>(IF(AND(M400&lt;&gt;"",ABS(T400)&gt;400),TRUE,FALSE))</f>
        <v/>
      </c>
      <c r="O400" s="36" t="n">
        <v>35</v>
      </c>
      <c r="P400" s="51" t="n">
        <v>1</v>
      </c>
      <c r="Q400" s="27" t="n">
        <v>0</v>
      </c>
      <c r="R400" s="237">
        <f>O400*Q400/100</f>
        <v/>
      </c>
      <c r="S400" s="237">
        <f>P400*R400</f>
        <v/>
      </c>
      <c r="T400" s="208">
        <f>O400*P400</f>
        <v/>
      </c>
      <c r="U400" s="251">
        <f>O400+R400</f>
        <v/>
      </c>
      <c r="V400" s="251">
        <f>T400+S400</f>
        <v/>
      </c>
      <c r="W400" s="35">
        <f>voranmeldefrist_vierteljaehrlich(F400)</f>
        <v/>
      </c>
      <c r="Y400" s="27" t="n">
        <v>20</v>
      </c>
      <c r="Z400" s="210">
        <f>IF(N400=TRUE,T400/M400,T400)</f>
        <v/>
      </c>
      <c r="AA400" s="237">
        <f>Y400/100*V400</f>
        <v/>
      </c>
      <c r="AB400">
        <f>IF(AND(Y400&gt;0,Q400=Y400),TRUE,FALSE)</f>
        <v/>
      </c>
    </row>
    <row r="401">
      <c r="B401" s="53" t="n">
        <v>2018</v>
      </c>
      <c r="C401" s="53" t="n">
        <v>97</v>
      </c>
      <c r="D401" s="9" t="inlineStr">
        <is>
          <t>FDC6360492</t>
        </is>
      </c>
      <c r="F401" s="1" t="n">
        <v>43416</v>
      </c>
      <c r="G401" t="inlineStr">
        <is>
          <t>fonts.com Monotype, 600 Unicorn Park Drive, Woburn, MA 01801 USA, VAT ID EU826009166</t>
        </is>
      </c>
      <c r="L401" s="16" t="inlineStr">
        <is>
          <t>Werbe- und Repräsentationsaufwand</t>
        </is>
      </c>
      <c r="N401">
        <f>(IF(AND(M401&lt;&gt;"",ABS(T401)&gt;400),TRUE,FALSE))</f>
        <v/>
      </c>
      <c r="O401" s="36" t="n">
        <v>35</v>
      </c>
      <c r="P401" s="51" t="n">
        <v>1</v>
      </c>
      <c r="Q401" s="27" t="n">
        <v>0</v>
      </c>
      <c r="R401" s="237">
        <f>O401*Q401/100</f>
        <v/>
      </c>
      <c r="S401" s="237">
        <f>P401*R401</f>
        <v/>
      </c>
      <c r="T401" s="208">
        <f>O401*P401</f>
        <v/>
      </c>
      <c r="U401" s="251">
        <f>O401+R401</f>
        <v/>
      </c>
      <c r="V401" s="251">
        <f>T401+S401</f>
        <v/>
      </c>
      <c r="W401" s="35">
        <f>voranmeldefrist_vierteljaehrlich(F401)</f>
        <v/>
      </c>
      <c r="Y401" s="27" t="n">
        <v>20</v>
      </c>
      <c r="Z401" s="210">
        <f>IF(N401=TRUE,T401/M401,T401)</f>
        <v/>
      </c>
      <c r="AA401" s="237">
        <f>Y401/100*V401</f>
        <v/>
      </c>
      <c r="AB401">
        <f>IF(AND(Y401&gt;0,Q401=Y401),TRUE,FALSE)</f>
        <v/>
      </c>
    </row>
    <row r="402">
      <c r="B402" s="53" t="n">
        <v>2018</v>
      </c>
      <c r="C402" s="53" t="n">
        <v>98</v>
      </c>
      <c r="D402" s="9" t="inlineStr">
        <is>
          <t>14003807434/40/2018</t>
        </is>
      </c>
      <c r="F402" s="1" t="n">
        <v>43419</v>
      </c>
      <c r="G402" s="1" t="inlineStr">
        <is>
          <t>MONTANA Energie-Handel AT GmbH: Teilzahlungsbetrag Gas + Jahresabrechnung (94-66,83=27,17 inkl. 20% USt.)</t>
        </is>
      </c>
      <c r="L402" s="16" t="inlineStr">
        <is>
          <t>sonstige Betriebsausgaben</t>
        </is>
      </c>
      <c r="N402">
        <f>(IF(AND(M402&lt;&gt;"",ABS(T402)&gt;400),TRUE,FALSE))</f>
        <v/>
      </c>
      <c r="O402" s="36" t="n">
        <v>22.64</v>
      </c>
      <c r="P402" s="51">
        <f>Arbeitszimmer!$B$3</f>
        <v/>
      </c>
      <c r="Q402" s="27" t="n">
        <v>20</v>
      </c>
      <c r="R402" s="237">
        <f>O402*Q402/100</f>
        <v/>
      </c>
      <c r="S402" s="237">
        <f>P402*R402</f>
        <v/>
      </c>
      <c r="T402" s="208">
        <f>O402*P402</f>
        <v/>
      </c>
      <c r="U402" s="251">
        <f>O402+R402</f>
        <v/>
      </c>
      <c r="V402" s="251">
        <f>T402+S402</f>
        <v/>
      </c>
      <c r="W402" s="35">
        <f>voranmeldefrist_vierteljaehrlich(F402)</f>
        <v/>
      </c>
      <c r="Z402" s="210">
        <f>IF(N402=TRUE,T402/M402,T402)</f>
        <v/>
      </c>
      <c r="AA402" s="237">
        <f>Y402/100*V402</f>
        <v/>
      </c>
      <c r="AB402">
        <f>IF(AND(Y402&gt;0,Q402=Y402),TRUE,FALSE)</f>
        <v/>
      </c>
    </row>
    <row r="403">
      <c r="B403" s="53" t="n">
        <v>2018</v>
      </c>
      <c r="C403" s="53" t="n">
        <v>99</v>
      </c>
      <c r="D403" s="9" t="inlineStr">
        <is>
          <t>2/81/82354875~13113 0</t>
        </is>
      </c>
      <c r="F403" s="1" t="n">
        <v>43420</v>
      </c>
      <c r="G403" s="1" t="inlineStr">
        <is>
          <t>AON Austria GmbH: UBIT Berufshaftpflicht-/Rechtschutzversicherung</t>
        </is>
      </c>
      <c r="L403" s="16" t="inlineStr">
        <is>
          <t>sonstige Betriebsausgaben</t>
        </is>
      </c>
      <c r="N403">
        <f>(IF(AND(M403&lt;&gt;"",ABS(T403)&gt;400),TRUE,FALSE))</f>
        <v/>
      </c>
      <c r="O403" s="36" t="n">
        <v>117.8</v>
      </c>
      <c r="P403" s="51" t="n">
        <v>1</v>
      </c>
      <c r="Q403" s="27" t="n">
        <v>0</v>
      </c>
      <c r="R403" s="237">
        <f>O403*Q403/100</f>
        <v/>
      </c>
      <c r="S403" s="237">
        <f>P403*R403</f>
        <v/>
      </c>
      <c r="T403" s="208">
        <f>O403*P403</f>
        <v/>
      </c>
      <c r="U403" s="251">
        <f>O403+R403</f>
        <v/>
      </c>
      <c r="V403" s="251">
        <f>T403+S403</f>
        <v/>
      </c>
      <c r="W403" s="35">
        <f>voranmeldefrist_vierteljaehrlich(F403)</f>
        <v/>
      </c>
      <c r="Z403" s="210">
        <f>IF(N403=TRUE,T403/M403,T403)</f>
        <v/>
      </c>
      <c r="AA403" s="237">
        <f>Y403/100*V403</f>
        <v/>
      </c>
      <c r="AB403">
        <f>IF(AND(Y403&gt;0,Q403=Y403),TRUE,FALSE)</f>
        <v/>
      </c>
    </row>
    <row r="404">
      <c r="B404" s="53" t="n">
        <v>2018</v>
      </c>
      <c r="C404" s="53" t="n">
        <v>100</v>
      </c>
      <c r="D404" s="9" t="inlineStr">
        <is>
          <t>3647872/0</t>
        </is>
      </c>
      <c r="F404" s="1" t="n">
        <v>43425</v>
      </c>
      <c r="G404" s="1" t="inlineStr">
        <is>
          <t>Niederösterreichische Versicherung AG, Neue Herrengasse 10, 3100 St. Pölten; Polizze 3647872/0</t>
        </is>
      </c>
      <c r="L404" s="16" t="inlineStr">
        <is>
          <t>sonstige Betriebsausgaben</t>
        </is>
      </c>
      <c r="N404">
        <f>(IF(AND(M404&lt;&gt;"",ABS(T404)&gt;400),TRUE,FALSE))</f>
        <v/>
      </c>
      <c r="O404" s="36" t="n">
        <v>81.75</v>
      </c>
      <c r="P404" s="51">
        <f>Arbeitszimmer!$B$3</f>
        <v/>
      </c>
      <c r="Q404" s="27" t="n">
        <v>0</v>
      </c>
      <c r="R404" s="237">
        <f>O404*Q404/100</f>
        <v/>
      </c>
      <c r="S404" s="237">
        <f>P404*R404</f>
        <v/>
      </c>
      <c r="T404" s="208">
        <f>O404*P404</f>
        <v/>
      </c>
      <c r="U404" s="251">
        <f>O404+R404</f>
        <v/>
      </c>
      <c r="V404" s="251">
        <f>T404+S404</f>
        <v/>
      </c>
      <c r="W404" s="35">
        <f>voranmeldefrist_vierteljaehrlich(F404)</f>
        <v/>
      </c>
      <c r="Z404" s="210">
        <f>IF(N404=TRUE,T404/M404,T404)</f>
        <v/>
      </c>
      <c r="AA404" s="237">
        <f>Y404/100*V404</f>
        <v/>
      </c>
      <c r="AB404">
        <f>IF(AND(Y404&gt;0,Q404=Y404),TRUE,FALSE)</f>
        <v/>
      </c>
    </row>
    <row r="405">
      <c r="B405" s="53" t="n">
        <v>2018</v>
      </c>
      <c r="C405" s="53" t="n">
        <v>101</v>
      </c>
      <c r="D405" s="9" t="inlineStr">
        <is>
          <t>704781</t>
        </is>
      </c>
      <c r="F405" s="1" t="n">
        <v>43426</v>
      </c>
      <c r="G405" s="1" t="inlineStr">
        <is>
          <t>Lemon Technologies GmbH, Unterweißenbach 181, 8330 Feldbach: HP Toner Samsung 4 Artikel</t>
        </is>
      </c>
      <c r="L405" s="16" t="inlineStr">
        <is>
          <t>Waren, Rohstoffe, Hilfsstoffe</t>
        </is>
      </c>
      <c r="M405" s="16" t="inlineStr">
        <is>
          <t>Weiterverkauf</t>
        </is>
      </c>
      <c r="N405">
        <f>(IF(AND(M405&lt;&gt;"",ABS(T405)&gt;400),TRUE,FALSE))</f>
        <v/>
      </c>
      <c r="O405" s="36" t="n">
        <v>243.78</v>
      </c>
      <c r="P405" s="51" t="n">
        <v>1</v>
      </c>
      <c r="Q405" s="27" t="n">
        <v>20</v>
      </c>
      <c r="R405" s="237">
        <f>O405*Q405/100</f>
        <v/>
      </c>
      <c r="S405" s="237">
        <f>P405*R405</f>
        <v/>
      </c>
      <c r="T405" s="208">
        <f>O405*P405</f>
        <v/>
      </c>
      <c r="U405" s="251">
        <f>O405+R405</f>
        <v/>
      </c>
      <c r="V405" s="251">
        <f>T405+S405</f>
        <v/>
      </c>
      <c r="W405" s="35">
        <f>voranmeldefrist_vierteljaehrlich(F405)</f>
        <v/>
      </c>
      <c r="Z405" s="210">
        <f>IF(N405=TRUE,T405/M405,T405)</f>
        <v/>
      </c>
      <c r="AA405" s="237">
        <f>Y405/100*V405</f>
        <v/>
      </c>
      <c r="AB405">
        <f>IF(AND(Y405&gt;0,Q405=Y405),TRUE,FALSE)</f>
        <v/>
      </c>
    </row>
    <row r="406">
      <c r="B406" s="53" t="n">
        <v>2018</v>
      </c>
      <c r="C406" s="53" t="n">
        <v>102</v>
      </c>
      <c r="D406" s="9" t="inlineStr">
        <is>
          <t>AEU-INV-AT-2018-27151801</t>
        </is>
      </c>
      <c r="F406" s="1" t="n">
        <v>43426</v>
      </c>
      <c r="G406" s="1" t="inlineStr">
        <is>
          <t>Amazon EU Sàrl, 5 Rue Plaetis, L-2338, Luxemburg: Gutschrift für Strong TV (Kauf Vorjahr, Reklamation)</t>
        </is>
      </c>
      <c r="L406" s="16" t="inlineStr">
        <is>
          <t>Übrige Erträge</t>
        </is>
      </c>
      <c r="N406">
        <f>(IF(AND(M406&lt;&gt;"",ABS(T406)&gt;400),TRUE,FALSE))</f>
        <v/>
      </c>
      <c r="O406" s="36">
        <f>-286.14/1.2</f>
        <v/>
      </c>
      <c r="P406" s="51" t="n">
        <v>1</v>
      </c>
      <c r="Q406" s="27" t="n">
        <v>20</v>
      </c>
      <c r="R406" s="237">
        <f>O406*Q406/100</f>
        <v/>
      </c>
      <c r="S406" s="237">
        <f>P406*R406</f>
        <v/>
      </c>
      <c r="T406" s="208">
        <f>O406*P406</f>
        <v/>
      </c>
      <c r="U406" s="251">
        <f>O406+R406</f>
        <v/>
      </c>
      <c r="V406" s="251">
        <f>T406+S406</f>
        <v/>
      </c>
      <c r="W406" s="35">
        <f>voranmeldefrist_vierteljaehrlich(F406)</f>
        <v/>
      </c>
      <c r="Z406" s="210">
        <f>IF(N406=TRUE,T406/M406,T406)</f>
        <v/>
      </c>
      <c r="AA406" s="237">
        <f>Y406/100*V406</f>
        <v/>
      </c>
      <c r="AB406">
        <f>IF(AND(Y406&gt;0,Q406=Y406),TRUE,FALSE)</f>
        <v/>
      </c>
    </row>
    <row r="407">
      <c r="B407" s="53" t="n">
        <v>2018</v>
      </c>
      <c r="C407" s="53" t="n">
        <v>103</v>
      </c>
      <c r="D407" s="9" t="inlineStr">
        <is>
          <t>AEU-INV-AT-2018-27151801</t>
        </is>
      </c>
      <c r="F407" s="1" t="n">
        <v>43427</v>
      </c>
      <c r="G407" s="1" t="inlineStr">
        <is>
          <t>Amazon EU Sàrl, 5 Rue Plaetis, L-2338, Luxemburg: Strong SRT 40FZ4003N</t>
        </is>
      </c>
      <c r="I407" s="10" t="n"/>
      <c r="L407" s="16" t="inlineStr">
        <is>
          <t>Waren, Rohstoffe, Hilfsstoffe</t>
        </is>
      </c>
      <c r="M407" s="16" t="inlineStr">
        <is>
          <t>Weiterverkauf</t>
        </is>
      </c>
      <c r="N407">
        <f>(IF(AND(M407&lt;&gt;"",ABS(T406)&gt;400),TRUE,FALSE))</f>
        <v/>
      </c>
      <c r="O407" s="36" t="n">
        <v>188.19</v>
      </c>
      <c r="P407" s="51" t="n">
        <v>1</v>
      </c>
      <c r="Q407" s="27" t="n">
        <v>20</v>
      </c>
      <c r="R407" s="237">
        <f>O407*Q407/100</f>
        <v/>
      </c>
      <c r="S407" s="237">
        <f>P407*R407</f>
        <v/>
      </c>
      <c r="T407" s="208">
        <f>O407*P407</f>
        <v/>
      </c>
      <c r="U407" s="251">
        <f>O407+R407</f>
        <v/>
      </c>
      <c r="V407" s="251">
        <f>T407+S407</f>
        <v/>
      </c>
      <c r="W407" s="35">
        <f>voranmeldefrist_vierteljaehrlich(F407)</f>
        <v/>
      </c>
      <c r="Z407" s="210">
        <f>IF(N407=TRUE,T407/M407,T407)</f>
        <v/>
      </c>
      <c r="AA407" s="237">
        <f>Y407/100*V407</f>
        <v/>
      </c>
      <c r="AB407">
        <f>IF(AND(Y407&gt;0,Q407=Y407),TRUE,FALSE)</f>
        <v/>
      </c>
    </row>
    <row r="408">
      <c r="B408" s="53" t="n">
        <v>2018</v>
      </c>
      <c r="C408" s="53" t="n">
        <v>104</v>
      </c>
      <c r="D408" s="9" t="inlineStr">
        <is>
          <t>2018/8058/18</t>
        </is>
      </c>
      <c r="F408" s="1" t="n">
        <v>43430</v>
      </c>
      <c r="G408" s="1" t="inlineStr">
        <is>
          <t>PREMIUM Laudongasse 58 GmbH &amp; Co KG: Dauerrechnung 2018-D</t>
        </is>
      </c>
      <c r="I408" s="10" t="n"/>
      <c r="L408" s="16" t="inlineStr">
        <is>
          <t>Miet- und Pachtaufwand, Leasing</t>
        </is>
      </c>
      <c r="N408">
        <f>(IF(AND(M408&lt;&gt;"",ABS(T407)&gt;400),TRUE,FALSE))</f>
        <v/>
      </c>
      <c r="O408" s="36" t="n">
        <v>763.4400000000001</v>
      </c>
      <c r="P408" s="51">
        <f>Arbeitszimmer!$B$3</f>
        <v/>
      </c>
      <c r="Q408" s="27" t="n">
        <v>10</v>
      </c>
      <c r="R408" s="237">
        <f>O408*Q408/100</f>
        <v/>
      </c>
      <c r="S408" s="237">
        <f>P408*R408</f>
        <v/>
      </c>
      <c r="T408" s="208">
        <f>O408*P408</f>
        <v/>
      </c>
      <c r="U408" s="251">
        <f>O408+R408</f>
        <v/>
      </c>
      <c r="V408" s="251">
        <f>T408+S408</f>
        <v/>
      </c>
      <c r="W408" s="35">
        <f>voranmeldefrist_vierteljaehrlich(F408)</f>
        <v/>
      </c>
      <c r="Z408" s="210">
        <f>IF(N408=TRUE,T408/M408,T408)</f>
        <v/>
      </c>
      <c r="AA408" s="237">
        <f>Y408/100*V408</f>
        <v/>
      </c>
      <c r="AB408">
        <f>IF(AND(Y408&gt;0,Q408=Y408),TRUE,FALSE)</f>
        <v/>
      </c>
    </row>
    <row r="409">
      <c r="B409" s="53" t="n">
        <v>2018</v>
      </c>
      <c r="C409" s="53" t="n">
        <v>105</v>
      </c>
      <c r="D409" s="9" t="inlineStr">
        <is>
          <t>2017/75</t>
        </is>
      </c>
      <c r="F409" s="1" t="n">
        <v>43430</v>
      </c>
      <c r="G409" s="1" t="inlineStr">
        <is>
          <t>Blaha Wilhelm Steuerberater, 1080 Wien, Roter Hof 1a</t>
        </is>
      </c>
      <c r="I409" s="10" t="n"/>
      <c r="L409" s="16" t="inlineStr">
        <is>
          <t>sonstige Betriebsausgaben</t>
        </is>
      </c>
      <c r="N409">
        <f>(IF(AND(M409&lt;&gt;"",ABS(T408)&gt;400),TRUE,FALSE))</f>
        <v/>
      </c>
      <c r="O409" s="36" t="n">
        <v>855</v>
      </c>
      <c r="P409" s="51" t="n">
        <v>1</v>
      </c>
      <c r="Q409" s="27" t="n">
        <v>20</v>
      </c>
      <c r="R409" s="237">
        <f>O409*Q409/100</f>
        <v/>
      </c>
      <c r="S409" s="237">
        <f>P409*R409</f>
        <v/>
      </c>
      <c r="T409" s="208">
        <f>O409*P409</f>
        <v/>
      </c>
      <c r="U409" s="251">
        <f>O409+R409</f>
        <v/>
      </c>
      <c r="V409" s="251">
        <f>T409+S409</f>
        <v/>
      </c>
      <c r="W409" s="35">
        <f>voranmeldefrist_vierteljaehrlich(F409)</f>
        <v/>
      </c>
      <c r="Z409" s="210">
        <f>IF(N409=TRUE,T409/M409,T409)</f>
        <v/>
      </c>
      <c r="AA409" s="237">
        <f>Y409/100*V409</f>
        <v/>
      </c>
      <c r="AB409">
        <f>IF(AND(Y409&gt;0,Q409=Y409),TRUE,FALSE)</f>
        <v/>
      </c>
    </row>
    <row r="410">
      <c r="B410" s="53" t="n">
        <v>2018</v>
      </c>
      <c r="C410" s="53" t="n">
        <v>106</v>
      </c>
      <c r="D410" s="9" t="inlineStr">
        <is>
          <t>10800281166026</t>
        </is>
      </c>
      <c r="F410" s="1" t="n">
        <v>43431</v>
      </c>
      <c r="G410" s="1" t="inlineStr">
        <is>
          <t>Österreichische Post AG Paket (Küche &amp; Co.)</t>
        </is>
      </c>
      <c r="I410" s="10" t="n"/>
      <c r="L410" s="16" t="inlineStr">
        <is>
          <t>Porto/Gebühren</t>
        </is>
      </c>
      <c r="N410">
        <f>(IF(AND(M410&lt;&gt;"",ABS(T409)&gt;400),TRUE,FALSE))</f>
        <v/>
      </c>
      <c r="O410" s="36" t="n">
        <v>11.5</v>
      </c>
      <c r="P410" s="51" t="n">
        <v>1</v>
      </c>
      <c r="Q410" s="27" t="n">
        <v>0</v>
      </c>
      <c r="R410" s="237">
        <f>O410*Q410/100</f>
        <v/>
      </c>
      <c r="S410" s="237">
        <f>P410*R410</f>
        <v/>
      </c>
      <c r="T410" s="208">
        <f>O410*P410</f>
        <v/>
      </c>
      <c r="U410" s="251">
        <f>O410+R410</f>
        <v/>
      </c>
      <c r="V410" s="251">
        <f>T410+S410</f>
        <v/>
      </c>
      <c r="W410" s="35">
        <f>voranmeldefrist_vierteljaehrlich(F410)</f>
        <v/>
      </c>
      <c r="Z410" s="210">
        <f>IF(N410=TRUE,T410/M410,T410)</f>
        <v/>
      </c>
      <c r="AA410" s="237">
        <f>Y410/100*V410</f>
        <v/>
      </c>
      <c r="AB410">
        <f>IF(AND(Y410&gt;0,Q410=Y410),TRUE,FALSE)</f>
        <v/>
      </c>
    </row>
    <row r="411">
      <c r="B411" s="53" t="n">
        <v>2018</v>
      </c>
      <c r="C411" s="53" t="n">
        <v>107</v>
      </c>
      <c r="D411" s="9" t="inlineStr">
        <is>
          <t>PRM318110005752</t>
        </is>
      </c>
      <c r="F411" s="1" t="n">
        <v>43433</v>
      </c>
      <c r="G411" s="1" t="inlineStr">
        <is>
          <t>XING AG, D-20354 Hamburg, Dammtorstrasse 30: Xing Premium 3 Monate</t>
        </is>
      </c>
      <c r="H411" t="inlineStr">
        <is>
          <t>XING AG, D-20354 Hamburg, Dammtorstrasse 30</t>
        </is>
      </c>
      <c r="I411" s="10" t="inlineStr">
        <is>
          <t>DE 230144235</t>
        </is>
      </c>
      <c r="J411" t="inlineStr">
        <is>
          <t>Xing Premium 3 Monate</t>
        </is>
      </c>
      <c r="L411" s="16" t="inlineStr">
        <is>
          <t>Werbe- und Repräsentationsaufwand</t>
        </is>
      </c>
      <c r="N411">
        <f>(IF(AND(M411&lt;&gt;"",ABS(T410)&gt;400),TRUE,FALSE))</f>
        <v/>
      </c>
      <c r="O411" s="36" t="n">
        <v>24.88</v>
      </c>
      <c r="P411" s="51" t="n">
        <v>1</v>
      </c>
      <c r="Q411" s="27" t="n">
        <v>0</v>
      </c>
      <c r="R411" s="237">
        <f>O411*Q411/100</f>
        <v/>
      </c>
      <c r="S411" s="237">
        <f>P411*R411</f>
        <v/>
      </c>
      <c r="T411" s="208">
        <f>O411*P411</f>
        <v/>
      </c>
      <c r="U411" s="251">
        <f>O411+R411</f>
        <v/>
      </c>
      <c r="V411" s="251">
        <f>T411+S411</f>
        <v/>
      </c>
      <c r="W411" s="35">
        <f>voranmeldefrist_vierteljaehrlich(F411)</f>
        <v/>
      </c>
      <c r="Y411" s="27" t="n">
        <v>20</v>
      </c>
      <c r="Z411" s="210">
        <f>IF(N411=TRUE,T411/M411,T411)</f>
        <v/>
      </c>
      <c r="AA411" s="237">
        <f>Y411/100*V411</f>
        <v/>
      </c>
      <c r="AB411">
        <f>IF(AND(Y411&gt;0,Q411=Y411),TRUE,FALSE)</f>
        <v/>
      </c>
    </row>
    <row r="412">
      <c r="B412" s="53" t="n">
        <v>2018</v>
      </c>
      <c r="C412" s="53" t="n">
        <v>108</v>
      </c>
      <c r="D412" s="9" t="inlineStr">
        <is>
          <t>172374600-00</t>
        </is>
      </c>
      <c r="F412" s="1" t="n">
        <v>43437</v>
      </c>
      <c r="G412" t="inlineStr">
        <is>
          <t>UPC Laudongasse</t>
        </is>
      </c>
      <c r="L412" s="16" t="inlineStr">
        <is>
          <t>Telefon/Internet</t>
        </is>
      </c>
      <c r="N412">
        <f>(IF(AND(M412&lt;&gt;"",ABS(T412)&gt;400),TRUE,FALSE))</f>
        <v/>
      </c>
      <c r="O412" s="36" t="n">
        <v>48.32</v>
      </c>
      <c r="P412" s="51">
        <f>(27.82+1.04)/48.32*(2/3)</f>
        <v/>
      </c>
      <c r="Q412" s="27" t="inlineStr">
        <is>
          <t>gemischt</t>
        </is>
      </c>
      <c r="R412" s="237" t="n">
        <v>7.72</v>
      </c>
      <c r="S412" s="237">
        <f>P412*R412</f>
        <v/>
      </c>
      <c r="T412" s="208">
        <f>O412*P412</f>
        <v/>
      </c>
      <c r="U412" s="251">
        <f>O412+R412</f>
        <v/>
      </c>
      <c r="V412" s="251">
        <f>T412+S412</f>
        <v/>
      </c>
      <c r="W412" s="35">
        <f>voranmeldefrist_vierteljaehrlich(F412)</f>
        <v/>
      </c>
      <c r="X412" s="35" t="n"/>
      <c r="Z412" s="210">
        <f>IF(N412=TRUE,T412/M412,T412)</f>
        <v/>
      </c>
      <c r="AA412" s="237">
        <f>Y412/100*V412</f>
        <v/>
      </c>
      <c r="AB412">
        <f>IF(AND(Y412&gt;0,Q412=Y412),TRUE,FALSE)</f>
        <v/>
      </c>
    </row>
    <row r="413">
      <c r="B413" s="53" t="n">
        <v>2018</v>
      </c>
      <c r="C413" s="53" t="n">
        <v>109</v>
      </c>
      <c r="D413" s="9" t="inlineStr">
        <is>
          <t>6168007977</t>
        </is>
      </c>
      <c r="F413" s="1" t="n">
        <v>43437</v>
      </c>
      <c r="G413" t="inlineStr">
        <is>
          <t>Hutchison Drei Austria GmbH, Brünner Straße 52, 1210 Wien, Österreich</t>
        </is>
      </c>
      <c r="L413" s="16" t="inlineStr">
        <is>
          <t>Telefon/Internet</t>
        </is>
      </c>
      <c r="N413">
        <f>(IF(AND(M413&lt;&gt;"",ABS(T413)&gt;400),TRUE,FALSE))</f>
        <v/>
      </c>
      <c r="O413" s="36" t="n">
        <v>15</v>
      </c>
      <c r="P413" s="51" t="n">
        <v>1</v>
      </c>
      <c r="Q413" s="27" t="n">
        <v>20</v>
      </c>
      <c r="R413" s="237">
        <f>O413*Q413/100</f>
        <v/>
      </c>
      <c r="S413" s="237">
        <f>P413*R413</f>
        <v/>
      </c>
      <c r="T413" s="208">
        <f>O413*P413</f>
        <v/>
      </c>
      <c r="U413" s="251">
        <f>O413+R413</f>
        <v/>
      </c>
      <c r="V413" s="251">
        <f>T413+S413</f>
        <v/>
      </c>
      <c r="W413" s="35">
        <f>voranmeldefrist_vierteljaehrlich(F413)</f>
        <v/>
      </c>
      <c r="Z413" s="210">
        <f>IF(N413=TRUE,T413/M413,T413)</f>
        <v/>
      </c>
      <c r="AA413" s="237">
        <f>Y413/100*V413</f>
        <v/>
      </c>
      <c r="AB413">
        <f>IF(AND(Y413&gt;0,Q413=Y413),TRUE,FALSE)</f>
        <v/>
      </c>
    </row>
    <row r="414">
      <c r="B414" s="53" t="n">
        <v>2018</v>
      </c>
      <c r="C414" s="53" t="n">
        <v>110</v>
      </c>
      <c r="D414" s="9" t="inlineStr">
        <is>
          <t>34022881671/40/2018</t>
        </is>
      </c>
      <c r="F414" s="1" t="n">
        <v>43437</v>
      </c>
      <c r="G414" s="1">
        <f>CONCATENATE(H414,": ",J414)</f>
        <v/>
      </c>
      <c r="H414" t="inlineStr">
        <is>
          <t>VERBUND AG, Postfach 8400, 1011 Wien, Österreich</t>
        </is>
      </c>
      <c r="I414" t="inlineStr">
        <is>
          <t>ATU14703908</t>
        </is>
      </c>
      <c r="J414" t="inlineStr">
        <is>
          <t>Teilzahlungsvorschreibung</t>
        </is>
      </c>
      <c r="L414" s="16" t="inlineStr">
        <is>
          <t>sonstige Betriebsausgaben</t>
        </is>
      </c>
      <c r="M414" s="16">
        <f>IF(L414="Waren, Rohstoffe, Hilfsstoffe", "Weiterverkauf", "")</f>
        <v/>
      </c>
      <c r="N414">
        <f>(IF(AND(M414&lt;&gt;"",ABS(T414)&gt;400),TRUE,FALSE))</f>
        <v/>
      </c>
      <c r="O414" s="36" t="n">
        <v>149.17</v>
      </c>
      <c r="P414" s="51">
        <f>Arbeitszimmer!$B$3</f>
        <v/>
      </c>
      <c r="Q414" s="27" t="n">
        <v>20</v>
      </c>
      <c r="R414" s="237">
        <f>O414*Q414/100</f>
        <v/>
      </c>
      <c r="S414" s="237">
        <f>P414*R414</f>
        <v/>
      </c>
      <c r="T414" s="208">
        <f>O414*P414</f>
        <v/>
      </c>
      <c r="U414" s="251">
        <f>O414+R414</f>
        <v/>
      </c>
      <c r="V414" s="251">
        <f>T414+S414</f>
        <v/>
      </c>
      <c r="W414" s="35">
        <f>voranmeldefrist_vierteljaehrlich(F414)</f>
        <v/>
      </c>
      <c r="Z414" s="210">
        <f>IF(N414=TRUE,T414/M414,T414)</f>
        <v/>
      </c>
      <c r="AA414" s="237">
        <f>Y414/100*V414</f>
        <v/>
      </c>
      <c r="AB414">
        <f>IF(AND(Y414&gt;0,Q414=Y414),TRUE,FALSE)</f>
        <v/>
      </c>
    </row>
    <row r="415">
      <c r="B415" s="53" t="n">
        <v>2018</v>
      </c>
      <c r="C415" s="53" t="n">
        <v>111</v>
      </c>
      <c r="D415" s="9" t="inlineStr">
        <is>
          <t>AEU-INV-AT-2018-30447820</t>
        </is>
      </c>
      <c r="F415" s="1" t="n">
        <v>43451</v>
      </c>
      <c r="G415" s="1" t="inlineStr">
        <is>
          <t>Amazon EU Sàrl, 5 Rue Plaetis, L-2338, Luxemburg: Buch "der agile Festpreis" (Achtung: Weder Rechnung noch Zahlung geben exten Preis dieser Betriebsausgabe wieder)</t>
        </is>
      </c>
      <c r="L415" s="16" t="inlineStr">
        <is>
          <t>Fachliteratur</t>
        </is>
      </c>
      <c r="N415">
        <f>(IF(AND(M415&lt;&gt;"",ABS(T415)&gt;400),TRUE,FALSE))</f>
        <v/>
      </c>
      <c r="O415" s="36" t="n">
        <v>31.93</v>
      </c>
      <c r="P415" s="51" t="n">
        <v>1</v>
      </c>
      <c r="Q415" s="27" t="n">
        <v>20</v>
      </c>
      <c r="R415" s="237">
        <f>O415*Q415/100</f>
        <v/>
      </c>
      <c r="S415" s="237">
        <f>P415*R415</f>
        <v/>
      </c>
      <c r="T415" s="208">
        <f>O415*P415</f>
        <v/>
      </c>
      <c r="U415" s="251">
        <f>O415+R415</f>
        <v/>
      </c>
      <c r="V415" s="251">
        <f>T415+S415</f>
        <v/>
      </c>
      <c r="W415" s="35">
        <f>voranmeldefrist_vierteljaehrlich(F415)</f>
        <v/>
      </c>
      <c r="Z415" s="210">
        <f>IF(N415=TRUE,T415/M415,T415)</f>
        <v/>
      </c>
      <c r="AA415" s="237">
        <f>Y415/100*V415</f>
        <v/>
      </c>
      <c r="AB415">
        <f>IF(AND(Y415&gt;0,Q415=Y415),TRUE,FALSE)</f>
        <v/>
      </c>
    </row>
    <row r="416">
      <c r="B416" s="53" t="n">
        <v>2018</v>
      </c>
      <c r="C416" s="53" t="n">
        <v>112</v>
      </c>
      <c r="D416" s="9" t="inlineStr">
        <is>
          <t>0893-20181203-01-3380</t>
        </is>
      </c>
      <c r="F416" s="1" t="n">
        <v>43451</v>
      </c>
      <c r="G416" s="1" t="inlineStr">
        <is>
          <t>Libro (Überwiesen an Eva Kolbitsch)</t>
        </is>
      </c>
      <c r="L416" s="16" t="inlineStr">
        <is>
          <t>Büromaterial</t>
        </is>
      </c>
      <c r="N416">
        <f>(IF(AND(M416&lt;&gt;"",ABS(T416)&gt;400),TRUE,FALSE))</f>
        <v/>
      </c>
      <c r="O416" s="36">
        <f>27.9/1.2</f>
        <v/>
      </c>
      <c r="P416" s="51" t="n">
        <v>1</v>
      </c>
      <c r="Q416" s="27" t="n">
        <v>20</v>
      </c>
      <c r="R416" s="237">
        <f>O416*Q416/100</f>
        <v/>
      </c>
      <c r="S416" s="237">
        <f>P416*R416</f>
        <v/>
      </c>
      <c r="T416" s="208">
        <f>O416*P416</f>
        <v/>
      </c>
      <c r="U416" s="251">
        <f>O416+R416</f>
        <v/>
      </c>
      <c r="V416" s="251">
        <f>T416+S416</f>
        <v/>
      </c>
      <c r="W416" s="35">
        <f>voranmeldefrist_vierteljaehrlich(F416)</f>
        <v/>
      </c>
      <c r="Z416" s="210">
        <f>IF(N416=TRUE,T416/M416,T416)</f>
        <v/>
      </c>
      <c r="AA416" s="237">
        <f>Y416/100*V416</f>
        <v/>
      </c>
      <c r="AB416">
        <f>IF(AND(Y416&gt;0,Q416=Y416),TRUE,FALSE)</f>
        <v/>
      </c>
    </row>
    <row r="417">
      <c r="B417" s="53" t="n">
        <v>2018</v>
      </c>
      <c r="C417" s="53" t="n">
        <v>113</v>
      </c>
      <c r="D417" s="9" t="inlineStr">
        <is>
          <t>14003915689/40/2018</t>
        </is>
      </c>
      <c r="F417" s="1" t="n">
        <v>43451</v>
      </c>
      <c r="G417" s="1" t="inlineStr">
        <is>
          <t>MONTANA Energie-Handel AT GmbH: Teilzahlungsbetrag Gas + Jahresabrechnung (94-66,83=27,17 inkl. 20% USt.)</t>
        </is>
      </c>
      <c r="L417" s="16" t="inlineStr">
        <is>
          <t>sonstige Betriebsausgaben</t>
        </is>
      </c>
      <c r="N417">
        <f>(IF(AND(M417&lt;&gt;"",ABS(T417)&gt;400),TRUE,FALSE))</f>
        <v/>
      </c>
      <c r="O417" s="36" t="n">
        <v>78.33</v>
      </c>
      <c r="P417" s="51">
        <f>Arbeitszimmer!$B$3</f>
        <v/>
      </c>
      <c r="Q417" s="27" t="n">
        <v>20</v>
      </c>
      <c r="R417" s="237">
        <f>O417*Q417/100</f>
        <v/>
      </c>
      <c r="S417" s="237">
        <f>P417*R417</f>
        <v/>
      </c>
      <c r="T417" s="208">
        <f>O417*P417</f>
        <v/>
      </c>
      <c r="U417" s="251">
        <f>O417+R417</f>
        <v/>
      </c>
      <c r="V417" s="251">
        <f>T417+S417</f>
        <v/>
      </c>
      <c r="W417" s="35">
        <f>voranmeldefrist_vierteljaehrlich(F417)</f>
        <v/>
      </c>
      <c r="Z417" s="210">
        <f>IF(N417=TRUE,T417/M417,T417)</f>
        <v/>
      </c>
      <c r="AA417" s="237">
        <f>Y417/100*V417</f>
        <v/>
      </c>
      <c r="AB417">
        <f>IF(AND(Y417&gt;0,Q417=Y417),TRUE,FALSE)</f>
        <v/>
      </c>
    </row>
    <row r="418">
      <c r="B418" s="53" t="n">
        <v>2018</v>
      </c>
      <c r="C418" s="53" t="n">
        <v>114</v>
      </c>
      <c r="D418" s="9" t="inlineStr">
        <is>
          <t>2018/8058/18</t>
        </is>
      </c>
      <c r="F418" s="1" t="n">
        <v>43461</v>
      </c>
      <c r="G418" s="1" t="inlineStr">
        <is>
          <t>PREMIUM Laudongasse 58 GmbH &amp; Co KG: Dauerrechnung 2018-D</t>
        </is>
      </c>
      <c r="I418" s="10" t="n"/>
      <c r="L418" s="16" t="inlineStr">
        <is>
          <t>Miet- und Pachtaufwand, Leasing</t>
        </is>
      </c>
      <c r="N418">
        <f>(IF(AND(M418&lt;&gt;"",ABS(T417)&gt;400),TRUE,FALSE))</f>
        <v/>
      </c>
      <c r="O418" s="36" t="n">
        <v>763.4400000000001</v>
      </c>
      <c r="P418" s="51">
        <f>Arbeitszimmer!$B$3</f>
        <v/>
      </c>
      <c r="Q418" s="27" t="n">
        <v>10</v>
      </c>
      <c r="R418" s="237">
        <f>O418*Q418/100</f>
        <v/>
      </c>
      <c r="S418" s="237">
        <f>P418*R418</f>
        <v/>
      </c>
      <c r="T418" s="208">
        <f>O418*P418</f>
        <v/>
      </c>
      <c r="U418" s="251">
        <f>O418+R418</f>
        <v/>
      </c>
      <c r="V418" s="251">
        <f>T418+S418</f>
        <v/>
      </c>
      <c r="W418" s="35">
        <f>voranmeldefrist_vierteljaehrlich(F418)</f>
        <v/>
      </c>
      <c r="Z418" s="210">
        <f>IF(N418=TRUE,T418/M418,T418)</f>
        <v/>
      </c>
      <c r="AA418" s="237">
        <f>Y418/100*V418</f>
        <v/>
      </c>
      <c r="AB418">
        <f>IF(AND(Y418&gt;0,Q418=Y418),TRUE,FALSE)</f>
        <v/>
      </c>
    </row>
  </sheetData>
  <autoFilter ref="D1:Y418"/>
  <conditionalFormatting sqref="W2:W62 W145:W171 W227:W235 W239:W241 W314 W356 W419:W1010">
    <cfRule type="expression" priority="1065" dxfId="2">
      <formula>AND(AND($W2&lt;TODAY(),$W2&lt;&gt;""),$X2="")</formula>
    </cfRule>
  </conditionalFormatting>
  <conditionalFormatting sqref="F1:F22 F26:F27 F30 F37:F43 F45:F46 F52:F64 F66:F67 F69 F74:F76 F89:F92 F95:F102 F105:F108 F111:F114 F116 F119:F120 F122:F136 F140:F143 F145:F147 F149:F157 F159:F171 F176:F193 F195:F197 F199:F201 F203:F204 F206:F208 F213:F214 F217:F225 F227:F235 F242 F246:F254 F256:F269 F271:F278 F282:F298 F300:F315 F317:F318 F322:F336 F338 F340 F342:F344 F346:F379 F381:F388 F392:F395 F397:F400 F404:F405 F407:F1048576">
    <cfRule type="expression" priority="1054" dxfId="2">
      <formula>ISBLANK($F1)</formula>
    </cfRule>
  </conditionalFormatting>
  <conditionalFormatting sqref="E1:E13 E15:E20 E22:E23 E26:E27 E34:E35 E45 E52:E54 E56:E64 E66:E67 E69 E74:E76 E83:E86 E90:E92 E94:E97 E99:E102 E105:E108 E111:E114 E116:E117 E119:E120 E122:E131 E133:E136 E140:E143 E145:E147 E149:E157 E159:E168 E170:E171 E176:E193 E195:E197 E199:E201 E203:E204 E206:E214 E217:E225 E227:E231 E233:E235 E241:E242 E244:E254 E257:E269 E271:E273 E275:E278 E282:E298 E300:E318 E322:E336 E338 E340:E379 E381:E400 E404:E405 E407:E1048576 F23">
    <cfRule type="expression" priority="1053" dxfId="2">
      <formula>ISBLANK($E1)</formula>
    </cfRule>
  </conditionalFormatting>
  <conditionalFormatting sqref="F24">
    <cfRule type="expression" priority="1035" dxfId="2">
      <formula>ISBLANK($F24)</formula>
    </cfRule>
  </conditionalFormatting>
  <conditionalFormatting sqref="F28">
    <cfRule type="expression" priority="1034" dxfId="2">
      <formula>ISBLANK($F28)</formula>
    </cfRule>
  </conditionalFormatting>
  <conditionalFormatting sqref="F25">
    <cfRule type="expression" priority="1030" dxfId="2">
      <formula>ISBLANK($F25)</formula>
    </cfRule>
  </conditionalFormatting>
  <conditionalFormatting sqref="E30">
    <cfRule type="expression" priority="1027" dxfId="2">
      <formula>ISBLANK($F30)</formula>
    </cfRule>
  </conditionalFormatting>
  <conditionalFormatting sqref="F44">
    <cfRule type="expression" priority="1003" dxfId="2">
      <formula>ISBLANK($F44)</formula>
    </cfRule>
  </conditionalFormatting>
  <conditionalFormatting sqref="D14 D21">
    <cfRule type="expression" priority="1067" dxfId="2">
      <formula>ISBLANK($D14)</formula>
    </cfRule>
  </conditionalFormatting>
  <conditionalFormatting sqref="E55">
    <cfRule type="expression" priority="995" dxfId="2">
      <formula>ISBLANK($F55)</formula>
    </cfRule>
  </conditionalFormatting>
  <conditionalFormatting sqref="M249:M266 M268:M272 O1:O53 O55:O57 O66:O67 O97 O99 O101:O102 O111:O112 O117 O119:O120 O122 O135 O141 O143 O180 O189:O190 O197 O200:O201 O203:O204 O206:O207 O227 O234:O235 O246:O247 O252 O254:O266 O268:O269 O272 O276:O277 O282:O284 O317 O324 O338 O345:O348 O351:O352 O354:O357 O361:O362 O364 O376 O381:O382 O385 O393 O395 O416 O419:O1048576">
    <cfRule type="expression" priority="989" dxfId="420">
      <formula>"$G$G&gt;400"</formula>
    </cfRule>
  </conditionalFormatting>
  <conditionalFormatting sqref="O62">
    <cfRule type="expression" priority="986" dxfId="420">
      <formula>"$G$G&gt;400"</formula>
    </cfRule>
  </conditionalFormatting>
  <conditionalFormatting sqref="O61">
    <cfRule type="expression" priority="983" dxfId="420">
      <formula>"$G$G&gt;400"</formula>
    </cfRule>
  </conditionalFormatting>
  <conditionalFormatting sqref="O59">
    <cfRule type="expression" priority="977" dxfId="420">
      <formula>"$G$G&gt;400"</formula>
    </cfRule>
  </conditionalFormatting>
  <conditionalFormatting sqref="O60">
    <cfRule type="expression" priority="975" dxfId="420">
      <formula>"$G$G&gt;400"</formula>
    </cfRule>
  </conditionalFormatting>
  <conditionalFormatting sqref="O58">
    <cfRule type="expression" priority="973" dxfId="420">
      <formula>"$G$G&gt;400"</formula>
    </cfRule>
  </conditionalFormatting>
  <conditionalFormatting sqref="O54">
    <cfRule type="expression" priority="971" dxfId="420">
      <formula>"$G$G&gt;400"</formula>
    </cfRule>
  </conditionalFormatting>
  <conditionalFormatting sqref="W65">
    <cfRule type="expression" priority="970" dxfId="2">
      <formula>AND(AND($W65&lt;TODAY(),$W65&lt;&gt;""),$X65="")</formula>
    </cfRule>
  </conditionalFormatting>
  <conditionalFormatting sqref="F65">
    <cfRule type="expression" priority="969" dxfId="2">
      <formula>ISBLANK($F65)</formula>
    </cfRule>
  </conditionalFormatting>
  <conditionalFormatting sqref="E65">
    <cfRule type="expression" priority="968" dxfId="2">
      <formula>ISBLANK($E65)</formula>
    </cfRule>
  </conditionalFormatting>
  <conditionalFormatting sqref="O65">
    <cfRule type="expression" priority="966" dxfId="420">
      <formula>"$G$G&gt;400"</formula>
    </cfRule>
  </conditionalFormatting>
  <conditionalFormatting sqref="W66">
    <cfRule type="expression" priority="965" dxfId="2">
      <formula>AND(AND($W66&lt;TODAY(),$W66&lt;&gt;""),$X66="")</formula>
    </cfRule>
  </conditionalFormatting>
  <conditionalFormatting sqref="W67">
    <cfRule type="expression" priority="963" dxfId="2">
      <formula>AND(AND($W67&lt;TODAY(),$W67&lt;&gt;""),$X67="")</formula>
    </cfRule>
  </conditionalFormatting>
  <conditionalFormatting sqref="W63">
    <cfRule type="expression" priority="961" dxfId="2">
      <formula>AND(AND($W63&lt;TODAY(),$W63&lt;&gt;""),$X63="")</formula>
    </cfRule>
  </conditionalFormatting>
  <conditionalFormatting sqref="O63">
    <cfRule type="expression" priority="960" dxfId="420">
      <formula>"$G$G&gt;400"</formula>
    </cfRule>
  </conditionalFormatting>
  <conditionalFormatting sqref="W64">
    <cfRule type="expression" priority="959" dxfId="2">
      <formula>AND(AND($W64&lt;TODAY(),$W64&lt;&gt;""),$X64="")</formula>
    </cfRule>
  </conditionalFormatting>
  <conditionalFormatting sqref="O64">
    <cfRule type="expression" priority="957" dxfId="420">
      <formula>"$G$G&gt;400"</formula>
    </cfRule>
  </conditionalFormatting>
  <conditionalFormatting sqref="W68:W109">
    <cfRule type="expression" priority="956" dxfId="2">
      <formula>AND(AND($W68&lt;TODAY(),$W68&lt;&gt;""),$X68="")</formula>
    </cfRule>
  </conditionalFormatting>
  <conditionalFormatting sqref="F68">
    <cfRule type="expression" priority="955" dxfId="2">
      <formula>ISBLANK($F68)</formula>
    </cfRule>
  </conditionalFormatting>
  <conditionalFormatting sqref="O68">
    <cfRule type="expression" priority="953" dxfId="420">
      <formula>"$G$G&gt;400"</formula>
    </cfRule>
  </conditionalFormatting>
  <conditionalFormatting sqref="O69">
    <cfRule type="expression" priority="951" dxfId="420">
      <formula>"$G$G&gt;400"</formula>
    </cfRule>
  </conditionalFormatting>
  <conditionalFormatting sqref="F70:F71">
    <cfRule type="expression" priority="949" dxfId="2">
      <formula>ISBLANK($F70)</formula>
    </cfRule>
  </conditionalFormatting>
  <conditionalFormatting sqref="O70:O71">
    <cfRule type="expression" priority="947" dxfId="420">
      <formula>"$G$G&gt;400"</formula>
    </cfRule>
  </conditionalFormatting>
  <conditionalFormatting sqref="O74">
    <cfRule type="expression" priority="944" dxfId="420">
      <formula>"$G$G&gt;400"</formula>
    </cfRule>
  </conditionalFormatting>
  <conditionalFormatting sqref="F72:F73">
    <cfRule type="expression" priority="940" dxfId="2">
      <formula>ISBLANK($F72)</formula>
    </cfRule>
  </conditionalFormatting>
  <conditionalFormatting sqref="D73">
    <cfRule type="expression" priority="942" dxfId="2">
      <formula>ISBLANK($D73)</formula>
    </cfRule>
  </conditionalFormatting>
  <conditionalFormatting sqref="O72:O73">
    <cfRule type="expression" priority="938" dxfId="420">
      <formula>"$G$G&gt;400"</formula>
    </cfRule>
  </conditionalFormatting>
  <conditionalFormatting sqref="O75">
    <cfRule type="expression" priority="936" dxfId="420">
      <formula>"$G$G&gt;400"</formula>
    </cfRule>
  </conditionalFormatting>
  <conditionalFormatting sqref="F78">
    <cfRule type="expression" priority="929" dxfId="2">
      <formula>ISBLANK($F78)</formula>
    </cfRule>
  </conditionalFormatting>
  <conditionalFormatting sqref="E78">
    <cfRule type="expression" priority="928" dxfId="2">
      <formula>ISBLANK($E78)</formula>
    </cfRule>
  </conditionalFormatting>
  <conditionalFormatting sqref="O78">
    <cfRule type="expression" priority="924" dxfId="420">
      <formula>"$G$G&gt;400"</formula>
    </cfRule>
  </conditionalFormatting>
  <conditionalFormatting sqref="O79">
    <cfRule type="expression" priority="896" dxfId="420">
      <formula>"$G$G&gt;400"</formula>
    </cfRule>
  </conditionalFormatting>
  <conditionalFormatting sqref="O80">
    <cfRule type="expression" priority="891" dxfId="420">
      <formula>"$G$G&gt;400"</formula>
    </cfRule>
  </conditionalFormatting>
  <conditionalFormatting sqref="O81">
    <cfRule type="expression" priority="886" dxfId="420">
      <formula>"$G$G&gt;400"</formula>
    </cfRule>
  </conditionalFormatting>
  <conditionalFormatting sqref="O82">
    <cfRule type="expression" priority="881" dxfId="420">
      <formula>"$G$G&gt;400"</formula>
    </cfRule>
  </conditionalFormatting>
  <conditionalFormatting sqref="F79:F82">
    <cfRule type="expression" priority="878" dxfId="2">
      <formula>ISBLANK($F79)</formula>
    </cfRule>
  </conditionalFormatting>
  <conditionalFormatting sqref="E79:E82">
    <cfRule type="expression" priority="877" dxfId="2">
      <formula>ISBLANK($E79)</formula>
    </cfRule>
  </conditionalFormatting>
  <conditionalFormatting sqref="O76">
    <cfRule type="expression" priority="874" dxfId="420">
      <formula>"$G$G&gt;400"</formula>
    </cfRule>
  </conditionalFormatting>
  <conditionalFormatting sqref="F77">
    <cfRule type="expression" priority="872" dxfId="2">
      <formula>ISBLANK($F77)</formula>
    </cfRule>
  </conditionalFormatting>
  <conditionalFormatting sqref="O77">
    <cfRule type="expression" priority="870" dxfId="420">
      <formula>"$G$G&gt;400"</formula>
    </cfRule>
  </conditionalFormatting>
  <conditionalFormatting sqref="O83">
    <cfRule type="expression" priority="865" dxfId="420">
      <formula>"$G$G&gt;400"</formula>
    </cfRule>
  </conditionalFormatting>
  <conditionalFormatting sqref="O84:O86">
    <cfRule type="expression" priority="860" dxfId="420">
      <formula>"$G$G&gt;400"</formula>
    </cfRule>
  </conditionalFormatting>
  <conditionalFormatting sqref="F88">
    <cfRule type="expression" priority="857" dxfId="2">
      <formula>ISBLANK($F88)</formula>
    </cfRule>
  </conditionalFormatting>
  <conditionalFormatting sqref="E88">
    <cfRule type="expression" priority="856" dxfId="2">
      <formula>ISBLANK($E88)</formula>
    </cfRule>
  </conditionalFormatting>
  <conditionalFormatting sqref="O88">
    <cfRule type="expression" priority="855" dxfId="420">
      <formula>"$G$G&gt;400"</formula>
    </cfRule>
  </conditionalFormatting>
  <conditionalFormatting sqref="F87">
    <cfRule type="expression" priority="852" dxfId="2">
      <formula>ISBLANK($F87)</formula>
    </cfRule>
  </conditionalFormatting>
  <conditionalFormatting sqref="E87">
    <cfRule type="expression" priority="851" dxfId="2">
      <formula>ISBLANK($E87)</formula>
    </cfRule>
  </conditionalFormatting>
  <conditionalFormatting sqref="O87">
    <cfRule type="expression" priority="849" dxfId="420">
      <formula>"$G$G&gt;400"</formula>
    </cfRule>
  </conditionalFormatting>
  <conditionalFormatting sqref="F83:F86">
    <cfRule type="expression" priority="848" dxfId="2">
      <formula>ISBLANK($F83)</formula>
    </cfRule>
  </conditionalFormatting>
  <conditionalFormatting sqref="E89">
    <cfRule type="expression" priority="845" dxfId="2">
      <formula>ISBLANK($E89)</formula>
    </cfRule>
  </conditionalFormatting>
  <conditionalFormatting sqref="O89">
    <cfRule type="expression" priority="842" dxfId="420">
      <formula>"$G$G&gt;400"</formula>
    </cfRule>
  </conditionalFormatting>
  <conditionalFormatting sqref="O90">
    <cfRule type="expression" priority="839" dxfId="420">
      <formula>"$G$G&gt;400"</formula>
    </cfRule>
  </conditionalFormatting>
  <conditionalFormatting sqref="O92">
    <cfRule type="expression" priority="835" dxfId="420">
      <formula>"$G$G&gt;400"</formula>
    </cfRule>
  </conditionalFormatting>
  <conditionalFormatting sqref="O91">
    <cfRule type="expression" priority="833" dxfId="420">
      <formula>"$G$G&gt;400"</formula>
    </cfRule>
  </conditionalFormatting>
  <conditionalFormatting sqref="O93">
    <cfRule type="expression" priority="831" dxfId="420">
      <formula>"$G$G&gt;400"</formula>
    </cfRule>
  </conditionalFormatting>
  <conditionalFormatting sqref="O94">
    <cfRule type="expression" priority="829" dxfId="420">
      <formula>"$G$G&gt;400"</formula>
    </cfRule>
  </conditionalFormatting>
  <conditionalFormatting sqref="O95">
    <cfRule type="expression" priority="825" dxfId="420">
      <formula>"$G$G&gt;400"</formula>
    </cfRule>
  </conditionalFormatting>
  <conditionalFormatting sqref="O96">
    <cfRule type="expression" priority="822" dxfId="420">
      <formula>"$G$G&gt;400"</formula>
    </cfRule>
  </conditionalFormatting>
  <conditionalFormatting sqref="O98">
    <cfRule type="expression" priority="820" dxfId="420">
      <formula>"$G$G&gt;400"</formula>
    </cfRule>
  </conditionalFormatting>
  <conditionalFormatting sqref="O100">
    <cfRule type="expression" priority="815" dxfId="420">
      <formula>"$G$G&gt;400"</formula>
    </cfRule>
  </conditionalFormatting>
  <conditionalFormatting sqref="F103">
    <cfRule type="expression" priority="812" dxfId="2">
      <formula>ISBLANK($F103)</formula>
    </cfRule>
  </conditionalFormatting>
  <conditionalFormatting sqref="E103">
    <cfRule type="expression" priority="811" dxfId="2">
      <formula>ISBLANK($E103)</formula>
    </cfRule>
  </conditionalFormatting>
  <conditionalFormatting sqref="O103">
    <cfRule type="expression" priority="810" dxfId="420">
      <formula>"$G$G&gt;400"</formula>
    </cfRule>
  </conditionalFormatting>
  <conditionalFormatting sqref="F104">
    <cfRule type="expression" priority="808" dxfId="2">
      <formula>ISBLANK($F104)</formula>
    </cfRule>
  </conditionalFormatting>
  <conditionalFormatting sqref="E104">
    <cfRule type="expression" priority="807" dxfId="2">
      <formula>ISBLANK($E104)</formula>
    </cfRule>
  </conditionalFormatting>
  <conditionalFormatting sqref="O104:O105">
    <cfRule type="expression" priority="801" dxfId="420">
      <formula>"$G$G&gt;400"</formula>
    </cfRule>
  </conditionalFormatting>
  <conditionalFormatting sqref="O106">
    <cfRule type="expression" priority="796" dxfId="420">
      <formula>"$G$G&gt;400"</formula>
    </cfRule>
  </conditionalFormatting>
  <conditionalFormatting sqref="O107">
    <cfRule type="expression" priority="792" dxfId="420">
      <formula>"$G$G&gt;400"</formula>
    </cfRule>
  </conditionalFormatting>
  <conditionalFormatting sqref="O108">
    <cfRule type="expression" priority="789" dxfId="420">
      <formula>"$G$G&gt;400"</formula>
    </cfRule>
  </conditionalFormatting>
  <conditionalFormatting sqref="F93">
    <cfRule type="expression" priority="787" dxfId="2">
      <formula>ISBLANK($F93)</formula>
    </cfRule>
  </conditionalFormatting>
  <conditionalFormatting sqref="F94">
    <cfRule type="expression" priority="786" dxfId="2">
      <formula>ISBLANK($F94)</formula>
    </cfRule>
  </conditionalFormatting>
  <conditionalFormatting sqref="O109">
    <cfRule type="expression" priority="783" dxfId="420">
      <formula>"$G$G&gt;400"</formula>
    </cfRule>
  </conditionalFormatting>
  <conditionalFormatting sqref="F110">
    <cfRule type="expression" priority="775" dxfId="2">
      <formula>ISBLANK($F110)</formula>
    </cfRule>
  </conditionalFormatting>
  <conditionalFormatting sqref="E110">
    <cfRule type="expression" priority="774" dxfId="2">
      <formula>ISBLANK($E110)</formula>
    </cfRule>
  </conditionalFormatting>
  <conditionalFormatting sqref="W110">
    <cfRule type="expression" priority="773" dxfId="2">
      <formula>AND(AND($W110&lt;TODAY(),$W110&lt;&gt;""),$X110="")</formula>
    </cfRule>
  </conditionalFormatting>
  <conditionalFormatting sqref="O110">
    <cfRule type="expression" priority="771" dxfId="420">
      <formula>"$G$G&gt;400"</formula>
    </cfRule>
  </conditionalFormatting>
  <conditionalFormatting sqref="W111">
    <cfRule type="expression" priority="770" dxfId="2">
      <formula>AND(AND($W111&lt;TODAY(),$W111&lt;&gt;""),$X111="")</formula>
    </cfRule>
  </conditionalFormatting>
  <conditionalFormatting sqref="W112">
    <cfRule type="expression" priority="768" dxfId="2">
      <formula>AND(AND($W112&lt;TODAY(),$W112&lt;&gt;""),$X112="")</formula>
    </cfRule>
  </conditionalFormatting>
  <conditionalFormatting sqref="W113">
    <cfRule type="expression" priority="766" dxfId="2">
      <formula>AND(AND($W113&lt;TODAY(),$W113&lt;&gt;""),$X113="")</formula>
    </cfRule>
  </conditionalFormatting>
  <conditionalFormatting sqref="O113">
    <cfRule type="expression" priority="764" dxfId="420">
      <formula>"$G$G&gt;400"</formula>
    </cfRule>
  </conditionalFormatting>
  <conditionalFormatting sqref="W114">
    <cfRule type="expression" priority="763" dxfId="2">
      <formula>AND(AND($W114&lt;TODAY(),$W114&lt;&gt;""),$X114="")</formula>
    </cfRule>
  </conditionalFormatting>
  <conditionalFormatting sqref="O114">
    <cfRule type="expression" priority="762" dxfId="420">
      <formula>"$G$G&gt;400"</formula>
    </cfRule>
  </conditionalFormatting>
  <conditionalFormatting sqref="W115">
    <cfRule type="expression" priority="760" dxfId="2">
      <formula>AND(AND($W115&lt;TODAY(),$W115&lt;&gt;""),$X115="")</formula>
    </cfRule>
  </conditionalFormatting>
  <conditionalFormatting sqref="F115">
    <cfRule type="expression" priority="759" dxfId="2">
      <formula>ISBLANK($F115)</formula>
    </cfRule>
  </conditionalFormatting>
  <conditionalFormatting sqref="E115">
    <cfRule type="expression" priority="758" dxfId="2">
      <formula>ISBLANK($E115)</formula>
    </cfRule>
  </conditionalFormatting>
  <conditionalFormatting sqref="O115">
    <cfRule type="expression" priority="756" dxfId="420">
      <formula>"$G$G&gt;400"</formula>
    </cfRule>
  </conditionalFormatting>
  <conditionalFormatting sqref="O116">
    <cfRule type="expression" priority="755" dxfId="420">
      <formula>"$G$G&gt;400"</formula>
    </cfRule>
  </conditionalFormatting>
  <conditionalFormatting sqref="W117">
    <cfRule type="expression" priority="752" dxfId="2">
      <formula>AND(AND($W117&lt;TODAY(),$W117&lt;&gt;""),$X117="")</formula>
    </cfRule>
  </conditionalFormatting>
  <conditionalFormatting sqref="W118">
    <cfRule type="expression" priority="750" dxfId="2">
      <formula>AND(AND($W118&lt;TODAY(),$W118&lt;&gt;""),$X118="")</formula>
    </cfRule>
  </conditionalFormatting>
  <conditionalFormatting sqref="F118">
    <cfRule type="expression" priority="749" dxfId="2">
      <formula>ISBLANK($F118)</formula>
    </cfRule>
  </conditionalFormatting>
  <conditionalFormatting sqref="O118">
    <cfRule type="expression" priority="747" dxfId="420">
      <formula>"$G$G&gt;400"</formula>
    </cfRule>
  </conditionalFormatting>
  <conditionalFormatting sqref="W119">
    <cfRule type="expression" priority="746" dxfId="2">
      <formula>AND(AND($W119&lt;TODAY(),$W119&lt;&gt;""),$X119="")</formula>
    </cfRule>
  </conditionalFormatting>
  <conditionalFormatting sqref="W120">
    <cfRule type="expression" priority="744" dxfId="2">
      <formula>AND(AND($W120&lt;TODAY(),$W120&lt;&gt;""),$X120="")</formula>
    </cfRule>
  </conditionalFormatting>
  <conditionalFormatting sqref="W121">
    <cfRule type="expression" priority="742" dxfId="2">
      <formula>AND(AND($W121&lt;TODAY(),$W121&lt;&gt;""),$X121="")</formula>
    </cfRule>
  </conditionalFormatting>
  <conditionalFormatting sqref="F121">
    <cfRule type="expression" priority="741" dxfId="2">
      <formula>ISBLANK($F121)</formula>
    </cfRule>
  </conditionalFormatting>
  <conditionalFormatting sqref="O121">
    <cfRule type="expression" priority="739" dxfId="420">
      <formula>"$G$G&gt;400"</formula>
    </cfRule>
  </conditionalFormatting>
  <conditionalFormatting sqref="W122">
    <cfRule type="expression" priority="738" dxfId="2">
      <formula>AND(AND($W122&lt;TODAY(),$W122&lt;&gt;""),$X122="")</formula>
    </cfRule>
  </conditionalFormatting>
  <conditionalFormatting sqref="W123">
    <cfRule type="expression" priority="736" dxfId="2">
      <formula>AND(AND($W123&lt;TODAY(),$W123&lt;&gt;""),$X123="")</formula>
    </cfRule>
  </conditionalFormatting>
  <conditionalFormatting sqref="O123">
    <cfRule type="expression" priority="734" dxfId="420">
      <formula>"$G$G&gt;400"</formula>
    </cfRule>
  </conditionalFormatting>
  <conditionalFormatting sqref="W124">
    <cfRule type="expression" priority="733" dxfId="2">
      <formula>AND(AND($W124&lt;TODAY(),$W124&lt;&gt;""),$X124="")</formula>
    </cfRule>
  </conditionalFormatting>
  <conditionalFormatting sqref="O124">
    <cfRule type="expression" priority="731" dxfId="420">
      <formula>"$G$G&gt;400"</formula>
    </cfRule>
  </conditionalFormatting>
  <conditionalFormatting sqref="W125">
    <cfRule type="expression" priority="730" dxfId="2">
      <formula>AND(AND($W125&lt;TODAY(),$W125&lt;&gt;""),$X125="")</formula>
    </cfRule>
  </conditionalFormatting>
  <conditionalFormatting sqref="O125">
    <cfRule type="expression" priority="728" dxfId="420">
      <formula>"$G$G&gt;400"</formula>
    </cfRule>
  </conditionalFormatting>
  <conditionalFormatting sqref="W126">
    <cfRule type="expression" priority="727" dxfId="2">
      <formula>AND(AND($W126&lt;TODAY(),$W126&lt;&gt;""),$X126="")</formula>
    </cfRule>
  </conditionalFormatting>
  <conditionalFormatting sqref="O126">
    <cfRule type="expression" priority="725" dxfId="420">
      <formula>"$G$G&gt;400"</formula>
    </cfRule>
  </conditionalFormatting>
  <conditionalFormatting sqref="W127">
    <cfRule type="expression" priority="724" dxfId="2">
      <formula>AND(AND($W127&lt;TODAY(),$W127&lt;&gt;""),$X127="")</formula>
    </cfRule>
  </conditionalFormatting>
  <conditionalFormatting sqref="O127">
    <cfRule type="expression" priority="722" dxfId="420">
      <formula>"$G$G&gt;400"</formula>
    </cfRule>
  </conditionalFormatting>
  <conditionalFormatting sqref="W128">
    <cfRule type="expression" priority="721" dxfId="2">
      <formula>AND(AND($W128&lt;TODAY(),$W128&lt;&gt;""),$X128="")</formula>
    </cfRule>
  </conditionalFormatting>
  <conditionalFormatting sqref="O128">
    <cfRule type="expression" priority="720" dxfId="420">
      <formula>"$G$G&gt;400"</formula>
    </cfRule>
  </conditionalFormatting>
  <conditionalFormatting sqref="W129">
    <cfRule type="expression" priority="718" dxfId="2">
      <formula>AND(AND($W129&lt;TODAY(),$W129&lt;&gt;""),$X129="")</formula>
    </cfRule>
  </conditionalFormatting>
  <conditionalFormatting sqref="O129">
    <cfRule type="expression" priority="717" dxfId="420">
      <formula>"$G$G&gt;400"</formula>
    </cfRule>
  </conditionalFormatting>
  <conditionalFormatting sqref="W130">
    <cfRule type="expression" priority="715" dxfId="2">
      <formula>AND(AND($W130&lt;TODAY(),$W130&lt;&gt;""),$X130="")</formula>
    </cfRule>
  </conditionalFormatting>
  <conditionalFormatting sqref="O130">
    <cfRule type="expression" priority="713" dxfId="420">
      <formula>"$G$G&gt;400"</formula>
    </cfRule>
  </conditionalFormatting>
  <conditionalFormatting sqref="W131">
    <cfRule type="expression" priority="712" dxfId="2">
      <formula>AND(AND($W131&lt;TODAY(),$W131&lt;&gt;""),$X131="")</formula>
    </cfRule>
  </conditionalFormatting>
  <conditionalFormatting sqref="O131">
    <cfRule type="expression" priority="711" dxfId="420">
      <formula>"$G$G&gt;400"</formula>
    </cfRule>
  </conditionalFormatting>
  <conditionalFormatting sqref="O132">
    <cfRule type="expression" priority="709" dxfId="420">
      <formula>"$G$G&gt;400"</formula>
    </cfRule>
  </conditionalFormatting>
  <conditionalFormatting sqref="W132">
    <cfRule type="expression" priority="708" dxfId="2">
      <formula>AND(AND($W132&lt;TODAY(),$W132&lt;&gt;""),$X132="")</formula>
    </cfRule>
  </conditionalFormatting>
  <conditionalFormatting sqref="O134">
    <cfRule type="expression" priority="706" dxfId="420">
      <formula>"$G$G&gt;400"</formula>
    </cfRule>
  </conditionalFormatting>
  <conditionalFormatting sqref="W134">
    <cfRule type="expression" priority="705" dxfId="2">
      <formula>AND(AND($W134&lt;TODAY(),$W134&lt;&gt;""),$X134="")</formula>
    </cfRule>
  </conditionalFormatting>
  <conditionalFormatting sqref="O133">
    <cfRule type="expression" priority="703" dxfId="420">
      <formula>"$G$G&gt;400"</formula>
    </cfRule>
  </conditionalFormatting>
  <conditionalFormatting sqref="W133">
    <cfRule type="expression" priority="702" dxfId="2">
      <formula>AND(AND($W133&lt;TODAY(),$W133&lt;&gt;""),$X133="")</formula>
    </cfRule>
  </conditionalFormatting>
  <conditionalFormatting sqref="W135">
    <cfRule type="expression" priority="700" dxfId="2">
      <formula>AND(AND($W135&lt;TODAY(),$W135&lt;&gt;""),$X135="")</formula>
    </cfRule>
  </conditionalFormatting>
  <conditionalFormatting sqref="F137">
    <cfRule type="expression" priority="698" dxfId="2">
      <formula>ISBLANK($F137)</formula>
    </cfRule>
  </conditionalFormatting>
  <conditionalFormatting sqref="E137">
    <cfRule type="expression" priority="697" dxfId="2">
      <formula>ISBLANK($E137)</formula>
    </cfRule>
  </conditionalFormatting>
  <conditionalFormatting sqref="W137">
    <cfRule type="expression" priority="696" dxfId="2">
      <formula>AND(AND($W137&lt;TODAY(),$W137&lt;&gt;""),$X137="")</formula>
    </cfRule>
  </conditionalFormatting>
  <conditionalFormatting sqref="O137">
    <cfRule type="expression" priority="695" dxfId="420">
      <formula>"$G$G&gt;400"</formula>
    </cfRule>
  </conditionalFormatting>
  <conditionalFormatting sqref="O136">
    <cfRule type="expression" priority="692" dxfId="420">
      <formula>"$G$G&gt;400"</formula>
    </cfRule>
  </conditionalFormatting>
  <conditionalFormatting sqref="O140">
    <cfRule type="expression" priority="689" dxfId="420">
      <formula>"$G$G&gt;400"</formula>
    </cfRule>
  </conditionalFormatting>
  <conditionalFormatting sqref="W140">
    <cfRule type="expression" priority="687" dxfId="2">
      <formula>AND(AND($W140&lt;TODAY(),$W140&lt;&gt;""),$X140="")</formula>
    </cfRule>
  </conditionalFormatting>
  <conditionalFormatting sqref="F138:F139">
    <cfRule type="expression" priority="685" dxfId="2">
      <formula>ISBLANK($F138)</formula>
    </cfRule>
  </conditionalFormatting>
  <conditionalFormatting sqref="E138:E139">
    <cfRule type="expression" priority="684" dxfId="2">
      <formula>ISBLANK($E138)</formula>
    </cfRule>
  </conditionalFormatting>
  <conditionalFormatting sqref="O138:O139">
    <cfRule type="expression" priority="683" dxfId="420">
      <formula>"$G$G&gt;400"</formula>
    </cfRule>
  </conditionalFormatting>
  <conditionalFormatting sqref="W138:W139">
    <cfRule type="expression" priority="682" dxfId="2">
      <formula>AND(AND($W138&lt;TODAY(),$W138&lt;&gt;""),$X138="")</formula>
    </cfRule>
  </conditionalFormatting>
  <conditionalFormatting sqref="F117">
    <cfRule type="expression" priority="680" dxfId="2">
      <formula>ISBLANK($F117)</formula>
    </cfRule>
  </conditionalFormatting>
  <conditionalFormatting sqref="W141">
    <cfRule type="expression" priority="679" dxfId="2">
      <formula>AND(AND($W141&lt;TODAY(),$W141&lt;&gt;""),$X141="")</formula>
    </cfRule>
  </conditionalFormatting>
  <conditionalFormatting sqref="W143">
    <cfRule type="expression" priority="677" dxfId="2">
      <formula>AND(AND($W143&lt;TODAY(),$W143&lt;&gt;""),$X143="")</formula>
    </cfRule>
  </conditionalFormatting>
  <conditionalFormatting sqref="E144">
    <cfRule type="expression" priority="675" dxfId="2">
      <formula>ISBLANK($E144)</formula>
    </cfRule>
  </conditionalFormatting>
  <conditionalFormatting sqref="W144">
    <cfRule type="expression" priority="674" dxfId="2">
      <formula>AND(AND($W144&lt;TODAY(),$W144&lt;&gt;""),$X144="")</formula>
    </cfRule>
  </conditionalFormatting>
  <conditionalFormatting sqref="O144">
    <cfRule type="expression" priority="673" dxfId="420">
      <formula>"$G$G&gt;400"</formula>
    </cfRule>
  </conditionalFormatting>
  <conditionalFormatting sqref="F144">
    <cfRule type="expression" priority="671" dxfId="2">
      <formula>ISBLANK($F144)</formula>
    </cfRule>
  </conditionalFormatting>
  <conditionalFormatting sqref="O145:O148">
    <cfRule type="expression" priority="669" dxfId="420">
      <formula>"$G$G&gt;400"</formula>
    </cfRule>
  </conditionalFormatting>
  <conditionalFormatting sqref="W142">
    <cfRule type="expression" priority="667" dxfId="2">
      <formula>AND(AND($W142&lt;TODAY(),$W142&lt;&gt;""),$X142="")</formula>
    </cfRule>
  </conditionalFormatting>
  <conditionalFormatting sqref="O142">
    <cfRule type="expression" priority="665" dxfId="420">
      <formula>"$G$G&gt;400"</formula>
    </cfRule>
  </conditionalFormatting>
  <conditionalFormatting sqref="O153">
    <cfRule type="expression" priority="661" dxfId="420">
      <formula>"$G$G&gt;400"</formula>
    </cfRule>
  </conditionalFormatting>
  <conditionalFormatting sqref="W136">
    <cfRule type="expression" priority="660" dxfId="2">
      <formula>AND(AND($W136&lt;TODAY(),$W136&lt;&gt;""),$X136="")</formula>
    </cfRule>
  </conditionalFormatting>
  <conditionalFormatting sqref="W153 W170">
    <cfRule type="expression" priority="1072" dxfId="2">
      <formula>AND(AND($W153&lt;TODAY(),$W153&lt;&gt;""),$X148="")</formula>
    </cfRule>
  </conditionalFormatting>
  <conditionalFormatting sqref="W152">
    <cfRule type="expression" priority="659" dxfId="2">
      <formula>AND(AND($W152&lt;TODAY(),$W152&lt;&gt;""),$X152="")</formula>
    </cfRule>
  </conditionalFormatting>
  <conditionalFormatting sqref="O152">
    <cfRule type="expression" priority="658" dxfId="420">
      <formula>"$G$G&gt;400"</formula>
    </cfRule>
  </conditionalFormatting>
  <conditionalFormatting sqref="O151">
    <cfRule type="expression" priority="657" dxfId="420">
      <formula>"$G$G&gt;400"</formula>
    </cfRule>
  </conditionalFormatting>
  <conditionalFormatting sqref="W151">
    <cfRule type="expression" priority="656" dxfId="2">
      <formula>AND(AND($W151&lt;TODAY(),$W151&lt;&gt;""),$X151="")</formula>
    </cfRule>
  </conditionalFormatting>
  <conditionalFormatting sqref="O150">
    <cfRule type="expression" priority="655" dxfId="420">
      <formula>"$G$G&gt;400"</formula>
    </cfRule>
  </conditionalFormatting>
  <conditionalFormatting sqref="W150">
    <cfRule type="expression" priority="654" dxfId="2">
      <formula>AND(AND($W150&lt;TODAY(),$W150&lt;&gt;""),$X150="")</formula>
    </cfRule>
  </conditionalFormatting>
  <conditionalFormatting sqref="O149">
    <cfRule type="expression" priority="653" dxfId="420">
      <formula>"$G$G&gt;400"</formula>
    </cfRule>
  </conditionalFormatting>
  <conditionalFormatting sqref="W149">
    <cfRule type="expression" priority="652" dxfId="2">
      <formula>AND(AND($W149&lt;TODAY(),$W149&lt;&gt;""),$X149="")</formula>
    </cfRule>
  </conditionalFormatting>
  <conditionalFormatting sqref="W148">
    <cfRule type="expression" priority="651" dxfId="2">
      <formula>AND(AND($W148&lt;TODAY(),$W148&lt;&gt;""),$X148="")</formula>
    </cfRule>
  </conditionalFormatting>
  <conditionalFormatting sqref="W116">
    <cfRule type="expression" priority="650" dxfId="2">
      <formula>AND(AND($W116&lt;TODAY(),$W116&lt;&gt;""),$X116="")</formula>
    </cfRule>
  </conditionalFormatting>
  <conditionalFormatting sqref="O154">
    <cfRule type="expression" priority="649" dxfId="420">
      <formula>"$G$G&gt;400"</formula>
    </cfRule>
  </conditionalFormatting>
  <conditionalFormatting sqref="W154">
    <cfRule type="expression" priority="648" dxfId="2">
      <formula>AND(AND($W154&lt;TODAY(),$W154&lt;&gt;""),$X154="")</formula>
    </cfRule>
  </conditionalFormatting>
  <conditionalFormatting sqref="O155">
    <cfRule type="expression" priority="647" dxfId="420">
      <formula>"$G$G&gt;400"</formula>
    </cfRule>
  </conditionalFormatting>
  <conditionalFormatting sqref="W155">
    <cfRule type="expression" priority="646" dxfId="2">
      <formula>AND(AND($W155&lt;TODAY(),$W155&lt;&gt;""),$X155="")</formula>
    </cfRule>
  </conditionalFormatting>
  <conditionalFormatting sqref="O156">
    <cfRule type="expression" priority="641" dxfId="420">
      <formula>"$G$G&gt;400"</formula>
    </cfRule>
  </conditionalFormatting>
  <conditionalFormatting sqref="W156">
    <cfRule type="expression" priority="640" dxfId="2">
      <formula>AND(AND($W156&lt;TODAY(),$W156&lt;&gt;""),$X156="")</formula>
    </cfRule>
  </conditionalFormatting>
  <conditionalFormatting sqref="W157">
    <cfRule type="expression" priority="639" dxfId="2">
      <formula>AND(AND($W157&lt;TODAY(),$W157&lt;&gt;""),$X157="")</formula>
    </cfRule>
  </conditionalFormatting>
  <conditionalFormatting sqref="O157">
    <cfRule type="expression" priority="638" dxfId="420">
      <formula>"$G$G&gt;400"</formula>
    </cfRule>
  </conditionalFormatting>
  <conditionalFormatting sqref="W158">
    <cfRule type="expression" priority="637" dxfId="2">
      <formula>AND(AND($W158&lt;TODAY(),$W158&lt;&gt;""),$X158="")</formula>
    </cfRule>
  </conditionalFormatting>
  <conditionalFormatting sqref="F158">
    <cfRule type="expression" priority="636" dxfId="2">
      <formula>ISBLANK($F158)</formula>
    </cfRule>
  </conditionalFormatting>
  <conditionalFormatting sqref="E158">
    <cfRule type="expression" priority="635" dxfId="2">
      <formula>ISBLANK($E158)</formula>
    </cfRule>
  </conditionalFormatting>
  <conditionalFormatting sqref="O158">
    <cfRule type="expression" priority="634" dxfId="420">
      <formula>"$G$G&gt;400"</formula>
    </cfRule>
  </conditionalFormatting>
  <conditionalFormatting sqref="W159">
    <cfRule type="expression" priority="633" dxfId="2">
      <formula>AND(AND($W159&lt;TODAY(),$W159&lt;&gt;""),$X159="")</formula>
    </cfRule>
  </conditionalFormatting>
  <conditionalFormatting sqref="O159">
    <cfRule type="expression" priority="632" dxfId="420">
      <formula>"$G$G&gt;400"</formula>
    </cfRule>
  </conditionalFormatting>
  <conditionalFormatting sqref="W160">
    <cfRule type="expression" priority="631" dxfId="2">
      <formula>AND(AND($W160&lt;TODAY(),$W160&lt;&gt;""),$X160="")</formula>
    </cfRule>
  </conditionalFormatting>
  <conditionalFormatting sqref="O160">
    <cfRule type="expression" priority="630" dxfId="420">
      <formula>"$G$G&gt;400"</formula>
    </cfRule>
  </conditionalFormatting>
  <conditionalFormatting sqref="W161">
    <cfRule type="expression" priority="629" dxfId="2">
      <formula>AND(AND($W161&lt;TODAY(),$W161&lt;&gt;""),$X161="")</formula>
    </cfRule>
  </conditionalFormatting>
  <conditionalFormatting sqref="O161">
    <cfRule type="expression" priority="628" dxfId="420">
      <formula>"$G$G&gt;400"</formula>
    </cfRule>
  </conditionalFormatting>
  <conditionalFormatting sqref="W162">
    <cfRule type="expression" priority="627" dxfId="2">
      <formula>AND(AND($W162&lt;TODAY(),$W162&lt;&gt;""),$X162="")</formula>
    </cfRule>
  </conditionalFormatting>
  <conditionalFormatting sqref="O162">
    <cfRule type="expression" priority="626" dxfId="420">
      <formula>"$G$G&gt;400"</formula>
    </cfRule>
  </conditionalFormatting>
  <conditionalFormatting sqref="O163">
    <cfRule type="expression" priority="625" dxfId="420">
      <formula>"$G$G&gt;400"</formula>
    </cfRule>
  </conditionalFormatting>
  <conditionalFormatting sqref="O166">
    <cfRule type="expression" priority="622" dxfId="420">
      <formula>"$G$G&gt;400"</formula>
    </cfRule>
  </conditionalFormatting>
  <conditionalFormatting sqref="O167">
    <cfRule type="expression" priority="620" dxfId="420">
      <formula>"$G$G&gt;400"</formula>
    </cfRule>
  </conditionalFormatting>
  <conditionalFormatting sqref="O168">
    <cfRule type="expression" priority="616" dxfId="420">
      <formula>"$G$G&gt;400"</formula>
    </cfRule>
  </conditionalFormatting>
  <conditionalFormatting sqref="O164">
    <cfRule type="expression" priority="614" dxfId="420">
      <formula>"$G$G&gt;400"</formula>
    </cfRule>
  </conditionalFormatting>
  <conditionalFormatting sqref="O165">
    <cfRule type="expression" priority="610" dxfId="420">
      <formula>"$G$G&gt;400"</formula>
    </cfRule>
  </conditionalFormatting>
  <conditionalFormatting sqref="O169">
    <cfRule type="expression" priority="605" dxfId="420">
      <formula>"$G$G&gt;400"</formula>
    </cfRule>
  </conditionalFormatting>
  <conditionalFormatting sqref="O170">
    <cfRule type="expression" priority="597" dxfId="420">
      <formula>"$G$G&gt;400"</formula>
    </cfRule>
  </conditionalFormatting>
  <conditionalFormatting sqref="O171">
    <cfRule type="expression" priority="600" dxfId="420">
      <formula>"$G$G&gt;400"</formula>
    </cfRule>
  </conditionalFormatting>
  <conditionalFormatting sqref="W172">
    <cfRule type="expression" priority="596" dxfId="2">
      <formula>AND(AND($W172&lt;TODAY(),$W172&lt;&gt;""),$X172="")</formula>
    </cfRule>
  </conditionalFormatting>
  <conditionalFormatting sqref="O172">
    <cfRule type="expression" priority="595" dxfId="420">
      <formula>"$G$G&gt;400"</formula>
    </cfRule>
  </conditionalFormatting>
  <conditionalFormatting sqref="F172">
    <cfRule type="expression" priority="594" dxfId="2">
      <formula>ISBLANK($F172)</formula>
    </cfRule>
  </conditionalFormatting>
  <conditionalFormatting sqref="O174">
    <cfRule type="expression" priority="591" dxfId="420">
      <formula>"$G$G&gt;400"</formula>
    </cfRule>
  </conditionalFormatting>
  <conditionalFormatting sqref="W173">
    <cfRule type="expression" priority="590" dxfId="2">
      <formula>AND(AND($W173&lt;TODAY(),$W173&lt;&gt;""),$X173="")</formula>
    </cfRule>
  </conditionalFormatting>
  <conditionalFormatting sqref="O173">
    <cfRule type="expression" priority="589" dxfId="420">
      <formula>"$G$G&gt;400"</formula>
    </cfRule>
  </conditionalFormatting>
  <conditionalFormatting sqref="F173:F174">
    <cfRule type="expression" priority="588" dxfId="2">
      <formula>ISBLANK($F173)</formula>
    </cfRule>
  </conditionalFormatting>
  <conditionalFormatting sqref="F175">
    <cfRule type="expression" priority="585" dxfId="2">
      <formula>ISBLANK($F175)</formula>
    </cfRule>
  </conditionalFormatting>
  <conditionalFormatting sqref="E175">
    <cfRule type="expression" priority="584" dxfId="2">
      <formula>ISBLANK($E175)</formula>
    </cfRule>
  </conditionalFormatting>
  <conditionalFormatting sqref="O175">
    <cfRule type="expression" priority="583" dxfId="420">
      <formula>"$G$G&gt;400"</formula>
    </cfRule>
  </conditionalFormatting>
  <conditionalFormatting sqref="O177">
    <cfRule type="expression" priority="582" dxfId="420">
      <formula>"$G$G&gt;400"</formula>
    </cfRule>
  </conditionalFormatting>
  <conditionalFormatting sqref="O178">
    <cfRule type="expression" priority="581" dxfId="420">
      <formula>"$G$G&gt;400"</formula>
    </cfRule>
  </conditionalFormatting>
  <conditionalFormatting sqref="O176">
    <cfRule type="expression" priority="578" dxfId="420">
      <formula>"$G$G&gt;400"</formula>
    </cfRule>
  </conditionalFormatting>
  <conditionalFormatting sqref="O179">
    <cfRule type="expression" priority="576" dxfId="420">
      <formula>"$G$G&gt;400"</formula>
    </cfRule>
  </conditionalFormatting>
  <conditionalFormatting sqref="O181">
    <cfRule type="expression" priority="573" dxfId="420">
      <formula>"$G$G&gt;400"</formula>
    </cfRule>
  </conditionalFormatting>
  <conditionalFormatting sqref="O182">
    <cfRule type="expression" priority="567" dxfId="420">
      <formula>"$G$G&gt;400"</formula>
    </cfRule>
  </conditionalFormatting>
  <conditionalFormatting sqref="O183">
    <cfRule type="expression" priority="564" dxfId="420">
      <formula>"$G$G&gt;400"</formula>
    </cfRule>
  </conditionalFormatting>
  <conditionalFormatting sqref="O185">
    <cfRule type="expression" priority="562" dxfId="420">
      <formula>"$G$G&gt;400"</formula>
    </cfRule>
  </conditionalFormatting>
  <conditionalFormatting sqref="O184">
    <cfRule type="expression" priority="559" dxfId="420">
      <formula>"$G$G&gt;400"</formula>
    </cfRule>
  </conditionalFormatting>
  <conditionalFormatting sqref="O186">
    <cfRule type="expression" priority="555" dxfId="420">
      <formula>"$G$G&gt;400"</formula>
    </cfRule>
  </conditionalFormatting>
  <conditionalFormatting sqref="O187:O188">
    <cfRule type="expression" priority="554" dxfId="420">
      <formula>"$G$G&gt;400"</formula>
    </cfRule>
  </conditionalFormatting>
  <conditionalFormatting sqref="O191">
    <cfRule type="expression" priority="548" dxfId="420">
      <formula>"$G$G&gt;400"</formula>
    </cfRule>
  </conditionalFormatting>
  <conditionalFormatting sqref="O192">
    <cfRule type="expression" priority="547" dxfId="420">
      <formula>"$G$G&gt;400"</formula>
    </cfRule>
  </conditionalFormatting>
  <conditionalFormatting sqref="O193">
    <cfRule type="expression" priority="544" dxfId="420">
      <formula>"$G$G&gt;400"</formula>
    </cfRule>
  </conditionalFormatting>
  <conditionalFormatting sqref="F194">
    <cfRule type="expression" priority="541" dxfId="2">
      <formula>ISBLANK($F194)</formula>
    </cfRule>
  </conditionalFormatting>
  <conditionalFormatting sqref="E194">
    <cfRule type="expression" priority="540" dxfId="2">
      <formula>ISBLANK($E194)</formula>
    </cfRule>
  </conditionalFormatting>
  <conditionalFormatting sqref="O194">
    <cfRule type="expression" priority="539" dxfId="420">
      <formula>"$G$G&gt;400"</formula>
    </cfRule>
  </conditionalFormatting>
  <conditionalFormatting sqref="O195">
    <cfRule type="expression" priority="537" dxfId="420">
      <formula>"$G$G&gt;400"</formula>
    </cfRule>
  </conditionalFormatting>
  <conditionalFormatting sqref="O196">
    <cfRule type="expression" priority="535" dxfId="420">
      <formula>"$G$G&gt;400"</formula>
    </cfRule>
  </conditionalFormatting>
  <conditionalFormatting sqref="O198">
    <cfRule type="expression" priority="530" dxfId="420">
      <formula>"$G$G&gt;400"</formula>
    </cfRule>
  </conditionalFormatting>
  <conditionalFormatting sqref="F198">
    <cfRule type="expression" priority="529" dxfId="2">
      <formula>ISBLANK($F198)</formula>
    </cfRule>
  </conditionalFormatting>
  <conditionalFormatting sqref="O199">
    <cfRule type="expression" priority="526" dxfId="420">
      <formula>"$G$G&gt;400"</formula>
    </cfRule>
  </conditionalFormatting>
  <conditionalFormatting sqref="F205">
    <cfRule type="expression" priority="517" dxfId="2">
      <formula>ISBLANK($F205)</formula>
    </cfRule>
  </conditionalFormatting>
  <conditionalFormatting sqref="E205">
    <cfRule type="expression" priority="516" dxfId="2">
      <formula>ISBLANK($E205)</formula>
    </cfRule>
  </conditionalFormatting>
  <conditionalFormatting sqref="O205">
    <cfRule type="expression" priority="515" dxfId="420">
      <formula>"$G$G&gt;400"</formula>
    </cfRule>
  </conditionalFormatting>
  <conditionalFormatting sqref="O208">
    <cfRule type="expression" priority="510" dxfId="420">
      <formula>"$G$G&gt;400"</formula>
    </cfRule>
  </conditionalFormatting>
  <conditionalFormatting sqref="F209:F212">
    <cfRule type="expression" priority="509" dxfId="2">
      <formula>ISBLANK($E209)</formula>
    </cfRule>
  </conditionalFormatting>
  <conditionalFormatting sqref="O209:O212">
    <cfRule type="expression" priority="508" dxfId="420">
      <formula>"$G$G&gt;400"</formula>
    </cfRule>
  </conditionalFormatting>
  <conditionalFormatting sqref="W174:W212">
    <cfRule type="expression" priority="502" dxfId="2">
      <formula>AND(AND($W174&lt;TODAY(),$W174&lt;&gt;""),$X174="")</formula>
    </cfRule>
  </conditionalFormatting>
  <conditionalFormatting sqref="W213">
    <cfRule type="expression" priority="501" dxfId="2">
      <formula>AND(AND($W213&lt;TODAY(),$W213&lt;&gt;""),$X213="")</formula>
    </cfRule>
    <cfRule type="expression" priority="500" dxfId="2">
      <formula>AND(AND($W213&lt;TODAY(),$W213&lt;&gt;""),$X213="")</formula>
    </cfRule>
  </conditionalFormatting>
  <conditionalFormatting sqref="O213">
    <cfRule type="expression" priority="499" dxfId="420">
      <formula>"$G$G&gt;400"</formula>
    </cfRule>
  </conditionalFormatting>
  <conditionalFormatting sqref="W214">
    <cfRule type="expression" priority="498" dxfId="2">
      <formula>AND(AND($W214&lt;TODAY(),$W214&lt;&gt;""),$X214="")</formula>
    </cfRule>
    <cfRule type="expression" priority="497" dxfId="2">
      <formula>AND(AND($W214&lt;TODAY(),$W214&lt;&gt;""),$X214="")</formula>
    </cfRule>
  </conditionalFormatting>
  <conditionalFormatting sqref="O214">
    <cfRule type="expression" priority="496" dxfId="420">
      <formula>"$G$G&gt;400"</formula>
    </cfRule>
  </conditionalFormatting>
  <conditionalFormatting sqref="F215">
    <cfRule type="expression" priority="495" dxfId="2">
      <formula>ISBLANK($F215)</formula>
    </cfRule>
  </conditionalFormatting>
  <conditionalFormatting sqref="E215">
    <cfRule type="expression" priority="494" dxfId="2">
      <formula>ISBLANK($E215)</formula>
    </cfRule>
  </conditionalFormatting>
  <conditionalFormatting sqref="W215">
    <cfRule type="expression" priority="493" dxfId="2">
      <formula>AND(AND($W215&lt;TODAY(),$W215&lt;&gt;""),$X215="")</formula>
    </cfRule>
    <cfRule type="expression" priority="492" dxfId="2">
      <formula>AND(AND($W215&lt;TODAY(),$W215&lt;&gt;""),$X215="")</formula>
    </cfRule>
  </conditionalFormatting>
  <conditionalFormatting sqref="O215">
    <cfRule type="expression" priority="491" dxfId="420">
      <formula>"$G$G&gt;400"</formula>
    </cfRule>
  </conditionalFormatting>
  <conditionalFormatting sqref="F216">
    <cfRule type="expression" priority="490" dxfId="2">
      <formula>ISBLANK($F216)</formula>
    </cfRule>
  </conditionalFormatting>
  <conditionalFormatting sqref="E216">
    <cfRule type="expression" priority="489" dxfId="2">
      <formula>ISBLANK($E216)</formula>
    </cfRule>
  </conditionalFormatting>
  <conditionalFormatting sqref="W216">
    <cfRule type="expression" priority="488" dxfId="2">
      <formula>AND(AND($W216&lt;TODAY(),$W216&lt;&gt;""),$X216="")</formula>
    </cfRule>
    <cfRule type="expression" priority="487" dxfId="2">
      <formula>AND(AND($W216&lt;TODAY(),$W216&lt;&gt;""),$X216="")</formula>
    </cfRule>
  </conditionalFormatting>
  <conditionalFormatting sqref="O216">
    <cfRule type="expression" priority="486" dxfId="420">
      <formula>"$G$G&gt;400"</formula>
    </cfRule>
  </conditionalFormatting>
  <conditionalFormatting sqref="W217:W224">
    <cfRule type="expression" priority="485" dxfId="2">
      <formula>AND(AND($W217&lt;TODAY(),$W217&lt;&gt;""),$X217="")</formula>
    </cfRule>
  </conditionalFormatting>
  <conditionalFormatting sqref="O217:O224">
    <cfRule type="expression" priority="484" dxfId="420">
      <formula>"$G$G&gt;400"</formula>
    </cfRule>
  </conditionalFormatting>
  <conditionalFormatting sqref="W225">
    <cfRule type="expression" priority="483" dxfId="2">
      <formula>AND(AND($W225&lt;TODAY(),$W225&lt;&gt;""),$X225="")</formula>
    </cfRule>
  </conditionalFormatting>
  <conditionalFormatting sqref="O225">
    <cfRule type="expression" priority="482" dxfId="420">
      <formula>"$G$G&gt;400"</formula>
    </cfRule>
  </conditionalFormatting>
  <conditionalFormatting sqref="F226">
    <cfRule type="expression" priority="481" dxfId="2">
      <formula>ISBLANK($F226)</formula>
    </cfRule>
  </conditionalFormatting>
  <conditionalFormatting sqref="E226">
    <cfRule type="expression" priority="480" dxfId="2">
      <formula>ISBLANK($E226)</formula>
    </cfRule>
  </conditionalFormatting>
  <conditionalFormatting sqref="O226">
    <cfRule type="expression" priority="479" dxfId="420">
      <formula>"$G$G&gt;400"</formula>
    </cfRule>
  </conditionalFormatting>
  <conditionalFormatting sqref="W226">
    <cfRule type="expression" priority="478" dxfId="2">
      <formula>AND(AND($W226&lt;TODAY(),$W226&lt;&gt;""),$X226="")</formula>
    </cfRule>
  </conditionalFormatting>
  <conditionalFormatting sqref="O233">
    <cfRule type="expression" priority="476" dxfId="420">
      <formula>"$G$G&gt;400"</formula>
    </cfRule>
  </conditionalFormatting>
  <conditionalFormatting sqref="O229">
    <cfRule type="expression" priority="474" dxfId="420">
      <formula>"$G$G&gt;400"</formula>
    </cfRule>
  </conditionalFormatting>
  <conditionalFormatting sqref="O228">
    <cfRule type="expression" priority="471" dxfId="420">
      <formula>"$G$G&gt;400"</formula>
    </cfRule>
  </conditionalFormatting>
  <conditionalFormatting sqref="O234">
    <cfRule type="expression" priority="470" dxfId="420">
      <formula>"$G$G&gt;400"</formula>
    </cfRule>
  </conditionalFormatting>
  <conditionalFormatting sqref="O231">
    <cfRule type="expression" priority="467" dxfId="420">
      <formula>"$G$G&gt;400"</formula>
    </cfRule>
  </conditionalFormatting>
  <conditionalFormatting sqref="O230">
    <cfRule type="expression" priority="464" dxfId="420">
      <formula>"$G$G&gt;400"</formula>
    </cfRule>
  </conditionalFormatting>
  <conditionalFormatting sqref="O227">
    <cfRule type="expression" priority="461" dxfId="420">
      <formula>"$G$G&gt;400"</formula>
    </cfRule>
  </conditionalFormatting>
  <conditionalFormatting sqref="O232">
    <cfRule type="expression" priority="459" dxfId="420">
      <formula>"$G$G&gt;400"</formula>
    </cfRule>
  </conditionalFormatting>
  <conditionalFormatting sqref="O235">
    <cfRule type="expression" priority="457" dxfId="420">
      <formula>"$G$G&gt;400"</formula>
    </cfRule>
  </conditionalFormatting>
  <conditionalFormatting sqref="O236">
    <cfRule type="expression" priority="454" dxfId="420">
      <formula>"$G$G&gt;400"</formula>
    </cfRule>
  </conditionalFormatting>
  <conditionalFormatting sqref="O237">
    <cfRule type="expression" priority="452" dxfId="420">
      <formula>"$G$G&gt;400"</formula>
    </cfRule>
  </conditionalFormatting>
  <conditionalFormatting sqref="O238">
    <cfRule type="expression" priority="451" dxfId="420">
      <formula>"$G$G&gt;400"</formula>
    </cfRule>
  </conditionalFormatting>
  <conditionalFormatting sqref="W236">
    <cfRule type="expression" priority="449" dxfId="2">
      <formula>AND(AND($W236&lt;TODAY(),$W236&lt;&gt;""),$X236="")</formula>
    </cfRule>
  </conditionalFormatting>
  <conditionalFormatting sqref="W237">
    <cfRule type="expression" priority="448" dxfId="2">
      <formula>AND(AND($W237&lt;TODAY(),$W237&lt;&gt;""),$X237="")</formula>
    </cfRule>
  </conditionalFormatting>
  <conditionalFormatting sqref="W238">
    <cfRule type="expression" priority="447" dxfId="2">
      <formula>AND(AND($W238&lt;TODAY(),$W238&lt;&gt;""),$X238="")</formula>
    </cfRule>
  </conditionalFormatting>
  <conditionalFormatting sqref="O240">
    <cfRule type="expression" priority="446" dxfId="420">
      <formula>"$G$G&gt;400"</formula>
    </cfRule>
  </conditionalFormatting>
  <conditionalFormatting sqref="O241">
    <cfRule type="expression" priority="444" dxfId="420">
      <formula>"$G$G&gt;400"</formula>
    </cfRule>
  </conditionalFormatting>
  <conditionalFormatting sqref="O239">
    <cfRule type="expression" priority="441" dxfId="420">
      <formula>"$G$G&gt;400"</formula>
    </cfRule>
    <cfRule type="expression" priority="440" dxfId="420">
      <formula>"$G$G&gt;400"</formula>
    </cfRule>
  </conditionalFormatting>
  <conditionalFormatting sqref="O242">
    <cfRule type="expression" priority="439" dxfId="420">
      <formula>"$G$G&gt;400"</formula>
    </cfRule>
  </conditionalFormatting>
  <conditionalFormatting sqref="W242">
    <cfRule type="expression" priority="438" dxfId="2">
      <formula>AND(AND($W242&lt;TODAY(),$W242&lt;&gt;""),$X242="")</formula>
    </cfRule>
  </conditionalFormatting>
  <conditionalFormatting sqref="W243">
    <cfRule type="expression" priority="435" dxfId="2">
      <formula>AND(AND($W243&lt;TODAY(),$W243&lt;&gt;""),$X243="")</formula>
    </cfRule>
  </conditionalFormatting>
  <conditionalFormatting sqref="O243">
    <cfRule type="expression" priority="434" dxfId="420">
      <formula>"$G$G&gt;400"</formula>
    </cfRule>
    <cfRule type="expression" priority="433" dxfId="420">
      <formula>"$G$G&gt;400"</formula>
    </cfRule>
  </conditionalFormatting>
  <conditionalFormatting sqref="O244">
    <cfRule type="expression" priority="432" dxfId="420">
      <formula>"$G$G&gt;400"</formula>
    </cfRule>
  </conditionalFormatting>
  <conditionalFormatting sqref="W244">
    <cfRule type="expression" priority="431" dxfId="2">
      <formula>AND(AND($W244&lt;TODAY(),$W244&lt;&gt;""),$X244="")</formula>
    </cfRule>
  </conditionalFormatting>
  <conditionalFormatting sqref="E239">
    <cfRule type="expression" priority="430" dxfId="2">
      <formula>ISBLANK($E239)</formula>
    </cfRule>
  </conditionalFormatting>
  <conditionalFormatting sqref="E243">
    <cfRule type="expression" priority="429" dxfId="2">
      <formula>ISBLANK($E243)</formula>
    </cfRule>
  </conditionalFormatting>
  <conditionalFormatting sqref="W245">
    <cfRule type="expression" priority="428" dxfId="2">
      <formula>AND(AND($W245&lt;TODAY(),$W245&lt;&gt;""),$X245="")</formula>
    </cfRule>
  </conditionalFormatting>
  <conditionalFormatting sqref="O245">
    <cfRule type="expression" priority="427" dxfId="420">
      <formula>"$G$G&gt;400"</formula>
    </cfRule>
  </conditionalFormatting>
  <conditionalFormatting sqref="W246">
    <cfRule type="expression" priority="426" dxfId="2">
      <formula>AND(AND($W246&lt;TODAY(),$W246&lt;&gt;""),$X246="")</formula>
    </cfRule>
  </conditionalFormatting>
  <conditionalFormatting sqref="W248">
    <cfRule type="expression" priority="425" dxfId="2">
      <formula>AND(AND($W248&lt;TODAY(),$W248&lt;&gt;""),$X248="")</formula>
    </cfRule>
  </conditionalFormatting>
  <conditionalFormatting sqref="O248">
    <cfRule type="expression" priority="424" dxfId="420">
      <formula>"$G$G&gt;400"</formula>
    </cfRule>
  </conditionalFormatting>
  <conditionalFormatting sqref="W249:W266">
    <cfRule type="expression" priority="423" dxfId="2">
      <formula>AND(AND($W249&lt;TODAY(),$W249&lt;&gt;""),$X249="")</formula>
    </cfRule>
  </conditionalFormatting>
  <conditionalFormatting sqref="F255">
    <cfRule type="expression" priority="417" dxfId="2">
      <formula>ISBLANK($F255)</formula>
    </cfRule>
  </conditionalFormatting>
  <conditionalFormatting sqref="E255">
    <cfRule type="expression" priority="416" dxfId="2">
      <formula>ISBLANK($E255)</formula>
    </cfRule>
  </conditionalFormatting>
  <conditionalFormatting sqref="E256">
    <cfRule type="expression" priority="415" dxfId="2">
      <formula>ISBLANK($E256)</formula>
    </cfRule>
  </conditionalFormatting>
  <conditionalFormatting sqref="W267">
    <cfRule type="expression" priority="414" dxfId="2">
      <formula>AND(AND($W267&lt;TODAY(),$W267&lt;&gt;""),$X267="")</formula>
    </cfRule>
  </conditionalFormatting>
  <conditionalFormatting sqref="O267">
    <cfRule type="expression" priority="413" dxfId="420">
      <formula>"$G$G&gt;400"</formula>
    </cfRule>
  </conditionalFormatting>
  <conditionalFormatting sqref="W268">
    <cfRule type="expression" priority="412" dxfId="2">
      <formula>AND(AND($W268&lt;TODAY(),$W268&lt;&gt;""),$X268="")</formula>
    </cfRule>
  </conditionalFormatting>
  <conditionalFormatting sqref="W269">
    <cfRule type="expression" priority="411" dxfId="2">
      <formula>AND(AND($W269&lt;TODAY(),$W269&lt;&gt;""),$X269="")</formula>
    </cfRule>
  </conditionalFormatting>
  <conditionalFormatting sqref="F270">
    <cfRule type="expression" priority="410" dxfId="2">
      <formula>ISBLANK($F270)</formula>
    </cfRule>
  </conditionalFormatting>
  <conditionalFormatting sqref="E270">
    <cfRule type="expression" priority="409" dxfId="2">
      <formula>ISBLANK($E270)</formula>
    </cfRule>
  </conditionalFormatting>
  <conditionalFormatting sqref="O270">
    <cfRule type="expression" priority="408" dxfId="420">
      <formula>"$G$G&gt;400"</formula>
    </cfRule>
  </conditionalFormatting>
  <conditionalFormatting sqref="W270">
    <cfRule type="expression" priority="407" dxfId="2">
      <formula>AND(AND($W270&lt;TODAY(),$W270&lt;&gt;""),$X270="")</formula>
    </cfRule>
  </conditionalFormatting>
  <conditionalFormatting sqref="O271">
    <cfRule type="expression" priority="406" dxfId="420">
      <formula>"$G$G&gt;400"</formula>
    </cfRule>
  </conditionalFormatting>
  <conditionalFormatting sqref="W271">
    <cfRule type="expression" priority="405" dxfId="2">
      <formula>AND(AND($W271&lt;TODAY(),$W271&lt;&gt;""),$X271="")</formula>
    </cfRule>
  </conditionalFormatting>
  <conditionalFormatting sqref="W272">
    <cfRule type="expression" priority="403" dxfId="2">
      <formula>AND(AND($W272&lt;TODAY(),$W272&lt;&gt;""),$X272="")</formula>
    </cfRule>
  </conditionalFormatting>
  <conditionalFormatting sqref="W273">
    <cfRule type="expression" priority="402" dxfId="2">
      <formula>AND(AND($W273&lt;TODAY(),$W273&lt;&gt;""),$X273="")</formula>
    </cfRule>
  </conditionalFormatting>
  <conditionalFormatting sqref="O273">
    <cfRule type="expression" priority="401" dxfId="420">
      <formula>"$G$G&gt;400"</formula>
    </cfRule>
  </conditionalFormatting>
  <conditionalFormatting sqref="W274">
    <cfRule type="expression" priority="400" dxfId="2">
      <formula>AND(AND($W274&lt;TODAY(),$W274&lt;&gt;""),$X274="")</formula>
    </cfRule>
  </conditionalFormatting>
  <conditionalFormatting sqref="O274:O275">
    <cfRule type="expression" priority="399" dxfId="420">
      <formula>"$G$G&gt;400"</formula>
    </cfRule>
    <cfRule type="expression" priority="398" dxfId="420">
      <formula>"$G$G&gt;400"</formula>
    </cfRule>
  </conditionalFormatting>
  <conditionalFormatting sqref="W275">
    <cfRule type="expression" priority="397" dxfId="2">
      <formula>AND(AND($W275&lt;TODAY(),$W275&lt;&gt;""),$X275="")</formula>
    </cfRule>
  </conditionalFormatting>
  <conditionalFormatting sqref="E274">
    <cfRule type="expression" priority="396" dxfId="2">
      <formula>ISBLANK($E274)</formula>
    </cfRule>
  </conditionalFormatting>
  <conditionalFormatting sqref="W276">
    <cfRule type="expression" priority="395" dxfId="2">
      <formula>AND(AND($W276&lt;TODAY(),$W276&lt;&gt;""),$X276="")</formula>
    </cfRule>
  </conditionalFormatting>
  <conditionalFormatting sqref="W277">
    <cfRule type="expression" priority="394" dxfId="2">
      <formula>AND(AND($W277&lt;TODAY(),$W277&lt;&gt;""),$X277="")</formula>
    </cfRule>
  </conditionalFormatting>
  <conditionalFormatting sqref="O278">
    <cfRule type="expression" priority="393" dxfId="420">
      <formula>"$G$G&gt;400"</formula>
    </cfRule>
  </conditionalFormatting>
  <conditionalFormatting sqref="W278">
    <cfRule type="expression" priority="392" dxfId="2">
      <formula>AND(AND($W278&lt;TODAY(),$W278&lt;&gt;""),$X278="")</formula>
    </cfRule>
  </conditionalFormatting>
  <conditionalFormatting sqref="E279">
    <cfRule type="expression" priority="387" dxfId="2">
      <formula>ISBLANK($F279)</formula>
    </cfRule>
  </conditionalFormatting>
  <conditionalFormatting sqref="J279">
    <cfRule type="expression" priority="385" dxfId="2">
      <formula>ISBLANK($F279)</formula>
    </cfRule>
  </conditionalFormatting>
  <conditionalFormatting sqref="F279">
    <cfRule type="expression" priority="382" dxfId="2">
      <formula>ISBLANK($F279)</formula>
    </cfRule>
  </conditionalFormatting>
  <conditionalFormatting sqref="J280">
    <cfRule type="expression" priority="381" dxfId="2">
      <formula>ISBLANK($F280)</formula>
    </cfRule>
  </conditionalFormatting>
  <conditionalFormatting sqref="E280">
    <cfRule type="expression" priority="379" dxfId="2">
      <formula>ISBLANK($F280)</formula>
    </cfRule>
  </conditionalFormatting>
  <conditionalFormatting sqref="F280">
    <cfRule type="expression" priority="378" dxfId="2">
      <formula>ISBLANK($F280)</formula>
    </cfRule>
  </conditionalFormatting>
  <conditionalFormatting sqref="J281">
    <cfRule type="expression" priority="377" dxfId="2">
      <formula>ISBLANK($F281)</formula>
    </cfRule>
  </conditionalFormatting>
  <conditionalFormatting sqref="E281">
    <cfRule type="expression" priority="375" dxfId="2">
      <formula>ISBLANK($F281)</formula>
    </cfRule>
  </conditionalFormatting>
  <conditionalFormatting sqref="F281">
    <cfRule type="expression" priority="374" dxfId="2">
      <formula>ISBLANK($F281)</formula>
    </cfRule>
  </conditionalFormatting>
  <conditionalFormatting sqref="W279:W281">
    <cfRule type="expression" priority="373" dxfId="2">
      <formula>AND(AND($W279&lt;TODAY(),$W279&lt;&gt;""),$X279="")</formula>
    </cfRule>
  </conditionalFormatting>
  <conditionalFormatting sqref="O279:O281">
    <cfRule type="expression" priority="372" dxfId="420">
      <formula>"$G$G&gt;400"</formula>
    </cfRule>
  </conditionalFormatting>
  <conditionalFormatting sqref="W282">
    <cfRule type="expression" priority="366" dxfId="2">
      <formula>AND(AND($W282&lt;TODAY(),$W282&lt;&gt;""),$X282="")</formula>
    </cfRule>
  </conditionalFormatting>
  <conditionalFormatting sqref="W283">
    <cfRule type="expression" priority="365" dxfId="2">
      <formula>AND(AND($W283&lt;TODAY(),$W283&lt;&gt;""),$X283="")</formula>
    </cfRule>
  </conditionalFormatting>
  <conditionalFormatting sqref="W284">
    <cfRule type="expression" priority="364" dxfId="2">
      <formula>AND(AND($W284&lt;TODAY(),$W284&lt;&gt;""),$X284="")</formula>
    </cfRule>
  </conditionalFormatting>
  <conditionalFormatting sqref="O285:O296">
    <cfRule type="expression" priority="363" dxfId="420">
      <formula>"$G$G&gt;400"</formula>
    </cfRule>
  </conditionalFormatting>
  <conditionalFormatting sqref="W285:W296">
    <cfRule type="expression" priority="362" dxfId="2">
      <formula>AND(AND($W285&lt;TODAY(),$W285&lt;&gt;""),$X285="")</formula>
    </cfRule>
  </conditionalFormatting>
  <conditionalFormatting sqref="W297">
    <cfRule type="expression" priority="361" dxfId="2">
      <formula>AND(AND($W297&lt;TODAY(),$W297&lt;&gt;""),$X297="")</formula>
    </cfRule>
  </conditionalFormatting>
  <conditionalFormatting sqref="O297">
    <cfRule type="expression" priority="360" dxfId="420">
      <formula>"$G$G&gt;400"</formula>
    </cfRule>
  </conditionalFormatting>
  <conditionalFormatting sqref="O298">
    <cfRule type="expression" priority="359" dxfId="420">
      <formula>"$G$G&gt;400"</formula>
    </cfRule>
  </conditionalFormatting>
  <conditionalFormatting sqref="W298">
    <cfRule type="expression" priority="358" dxfId="2">
      <formula>AND(AND($W298&lt;TODAY(),$W298&lt;&gt;""),$X298="")</formula>
    </cfRule>
  </conditionalFormatting>
  <conditionalFormatting sqref="F299">
    <cfRule type="expression" priority="357" dxfId="2">
      <formula>ISBLANK($F299)</formula>
    </cfRule>
  </conditionalFormatting>
  <conditionalFormatting sqref="W299">
    <cfRule type="expression" priority="356" dxfId="2">
      <formula>AND(AND($W299&lt;TODAY(),$W299&lt;&gt;""),$X299="")</formula>
    </cfRule>
  </conditionalFormatting>
  <conditionalFormatting sqref="E299">
    <cfRule type="expression" priority="353" dxfId="2">
      <formula>ISBLANK($E299)</formula>
    </cfRule>
  </conditionalFormatting>
  <conditionalFormatting sqref="W300">
    <cfRule type="expression" priority="351" dxfId="2">
      <formula>AND(AND($W300&lt;TODAY(),$W300&lt;&gt;""),$X300="")</formula>
    </cfRule>
  </conditionalFormatting>
  <conditionalFormatting sqref="W301">
    <cfRule type="expression" priority="350" dxfId="2">
      <formula>AND(AND($W301&lt;TODAY(),$W301&lt;&gt;""),$X301="")</formula>
    </cfRule>
  </conditionalFormatting>
  <conditionalFormatting sqref="O301">
    <cfRule type="expression" priority="349" dxfId="420">
      <formula>"$G$G&gt;400"</formula>
    </cfRule>
  </conditionalFormatting>
  <conditionalFormatting sqref="W302">
    <cfRule type="expression" priority="348" dxfId="2">
      <formula>AND(AND($W302&lt;TODAY(),$W302&lt;&gt;""),$X302="")</formula>
    </cfRule>
  </conditionalFormatting>
  <conditionalFormatting sqref="W303:W313">
    <cfRule type="expression" priority="347" dxfId="2">
      <formula>AND(AND($W303&lt;TODAY(),$W303&lt;&gt;""),$X303="")</formula>
    </cfRule>
  </conditionalFormatting>
  <conditionalFormatting sqref="O314">
    <cfRule type="expression" priority="338" dxfId="420">
      <formula>"$G$G&gt;400"</formula>
    </cfRule>
  </conditionalFormatting>
  <conditionalFormatting sqref="O315">
    <cfRule type="expression" priority="336" dxfId="420">
      <formula>"$G$G&gt;400"</formula>
    </cfRule>
  </conditionalFormatting>
  <conditionalFormatting sqref="W315">
    <cfRule type="expression" priority="335" dxfId="2">
      <formula>AND(AND($W315&lt;TODAY(),$W315&lt;&gt;""),$X315="")</formula>
    </cfRule>
  </conditionalFormatting>
  <conditionalFormatting sqref="O299">
    <cfRule type="expression" priority="334" dxfId="420">
      <formula>"$G$G&gt;400"</formula>
    </cfRule>
    <cfRule type="expression" priority="333" dxfId="420">
      <formula>"$G$G&gt;400"</formula>
    </cfRule>
  </conditionalFormatting>
  <conditionalFormatting sqref="W316">
    <cfRule type="expression" priority="332" dxfId="2">
      <formula>AND(AND($W316&lt;TODAY(),$W316&lt;&gt;""),$X316="")</formula>
    </cfRule>
  </conditionalFormatting>
  <conditionalFormatting sqref="O316">
    <cfRule type="expression" priority="331" dxfId="420">
      <formula>"$G$G&gt;400"</formula>
    </cfRule>
  </conditionalFormatting>
  <conditionalFormatting sqref="W318">
    <cfRule type="expression" priority="330" dxfId="2">
      <formula>AND(AND($W318&lt;TODAY(),$W318&lt;&gt;""),$X318="")</formula>
    </cfRule>
  </conditionalFormatting>
  <conditionalFormatting sqref="O318">
    <cfRule type="expression" priority="329" dxfId="420">
      <formula>"$G$G&gt;400"</formula>
    </cfRule>
    <cfRule type="expression" priority="328" dxfId="420">
      <formula>"$G$G&gt;400"</formula>
    </cfRule>
  </conditionalFormatting>
  <conditionalFormatting sqref="F319">
    <cfRule type="expression" priority="327" dxfId="2">
      <formula>ISBLANK($F319)</formula>
    </cfRule>
  </conditionalFormatting>
  <conditionalFormatting sqref="E319">
    <cfRule type="expression" priority="326" dxfId="2">
      <formula>ISBLANK($E319)</formula>
    </cfRule>
  </conditionalFormatting>
  <conditionalFormatting sqref="O319">
    <cfRule type="expression" priority="325" dxfId="420">
      <formula>"$G$G&gt;400"</formula>
    </cfRule>
  </conditionalFormatting>
  <conditionalFormatting sqref="W319">
    <cfRule type="expression" priority="324" dxfId="2">
      <formula>AND(AND($W319&lt;TODAY(),$W319&lt;&gt;""),$X319="")</formula>
    </cfRule>
  </conditionalFormatting>
  <conditionalFormatting sqref="W320">
    <cfRule type="expression" priority="323" dxfId="2">
      <formula>AND(AND($W320&lt;TODAY(),$W320&lt;&gt;""),$X320="")</formula>
    </cfRule>
  </conditionalFormatting>
  <conditionalFormatting sqref="F320">
    <cfRule type="expression" priority="322" dxfId="2">
      <formula>ISBLANK($F320)</formula>
    </cfRule>
  </conditionalFormatting>
  <conditionalFormatting sqref="E320">
    <cfRule type="expression" priority="321" dxfId="2">
      <formula>ISBLANK($E320)</formula>
    </cfRule>
  </conditionalFormatting>
  <conditionalFormatting sqref="O320">
    <cfRule type="expression" priority="320" dxfId="420">
      <formula>"$G$G&gt;400"</formula>
    </cfRule>
  </conditionalFormatting>
  <conditionalFormatting sqref="E321">
    <cfRule type="expression" priority="319" dxfId="2">
      <formula>ISBLANK($E321)</formula>
    </cfRule>
  </conditionalFormatting>
  <conditionalFormatting sqref="W321">
    <cfRule type="expression" priority="318" dxfId="2">
      <formula>AND(AND($W321&lt;TODAY(),$W321&lt;&gt;""),$X321="")</formula>
    </cfRule>
  </conditionalFormatting>
  <conditionalFormatting sqref="O321">
    <cfRule type="expression" priority="317" dxfId="420">
      <formula>"$G$G&gt;400"</formula>
    </cfRule>
  </conditionalFormatting>
  <conditionalFormatting sqref="W322">
    <cfRule type="expression" priority="315" dxfId="2">
      <formula>AND(AND($W322&lt;TODAY(),$W322&lt;&gt;""),$X322="")</formula>
    </cfRule>
  </conditionalFormatting>
  <conditionalFormatting sqref="W323">
    <cfRule type="expression" priority="313" dxfId="2">
      <formula>AND(AND($W323&lt;TODAY(),$W323&lt;&gt;""),$X323="")</formula>
    </cfRule>
  </conditionalFormatting>
  <conditionalFormatting sqref="O323">
    <cfRule type="expression" priority="312" dxfId="420">
      <formula>"$G$G&gt;400"</formula>
    </cfRule>
    <cfRule type="expression" priority="311" dxfId="420">
      <formula>"$G$G&gt;400"</formula>
    </cfRule>
  </conditionalFormatting>
  <conditionalFormatting sqref="W324">
    <cfRule type="expression" priority="310" dxfId="2">
      <formula>AND(AND($W324&lt;TODAY(),$W324&lt;&gt;""),$X324="")</formula>
    </cfRule>
  </conditionalFormatting>
  <conditionalFormatting sqref="W325">
    <cfRule type="expression" priority="309" dxfId="2">
      <formula>AND(AND($W325&lt;TODAY(),$W325&lt;&gt;""),$X325="")</formula>
    </cfRule>
  </conditionalFormatting>
  <conditionalFormatting sqref="O325">
    <cfRule type="expression" priority="308" dxfId="420">
      <formula>"$G$G&gt;400"</formula>
    </cfRule>
  </conditionalFormatting>
  <conditionalFormatting sqref="O326">
    <cfRule type="expression" priority="307" dxfId="420">
      <formula>"$G$G&gt;400"</formula>
    </cfRule>
  </conditionalFormatting>
  <conditionalFormatting sqref="W326">
    <cfRule type="expression" priority="306" dxfId="2">
      <formula>AND(AND($W326&lt;TODAY(),$W326&lt;&gt;""),$X326="")</formula>
    </cfRule>
  </conditionalFormatting>
  <conditionalFormatting sqref="W327">
    <cfRule type="expression" priority="305" dxfId="2">
      <formula>AND(AND($W327&lt;TODAY(),$W327&lt;&gt;""),$X327="")</formula>
    </cfRule>
  </conditionalFormatting>
  <conditionalFormatting sqref="O327">
    <cfRule type="expression" priority="304" dxfId="420">
      <formula>"$G$G&gt;400"</formula>
    </cfRule>
  </conditionalFormatting>
  <conditionalFormatting sqref="M328 O328">
    <cfRule type="expression" priority="303" dxfId="420">
      <formula>"$G$G&gt;400"</formula>
    </cfRule>
  </conditionalFormatting>
  <conditionalFormatting sqref="W317">
    <cfRule type="expression" priority="301" dxfId="2">
      <formula>AND(AND($W317&lt;TODAY(),$W317&lt;&gt;""),$X317="")</formula>
    </cfRule>
  </conditionalFormatting>
  <conditionalFormatting sqref="W329">
    <cfRule type="expression" priority="300" dxfId="2">
      <formula>AND(AND($W329&lt;TODAY(),$W329&lt;&gt;""),$X329="")</formula>
    </cfRule>
  </conditionalFormatting>
  <conditionalFormatting sqref="O329">
    <cfRule type="expression" priority="299" dxfId="420">
      <formula>"$G$G&gt;400"</formula>
    </cfRule>
    <cfRule type="expression" priority="298" dxfId="420">
      <formula>"$G$G&gt;400"</formula>
    </cfRule>
  </conditionalFormatting>
  <conditionalFormatting sqref="O330">
    <cfRule type="expression" priority="297" dxfId="420">
      <formula>"$G$G&gt;400"</formula>
    </cfRule>
  </conditionalFormatting>
  <conditionalFormatting sqref="W330">
    <cfRule type="expression" priority="296" dxfId="2">
      <formula>AND(AND($W330&lt;TODAY(),$W330&lt;&gt;""),$X330="")</formula>
    </cfRule>
  </conditionalFormatting>
  <conditionalFormatting sqref="W331">
    <cfRule type="expression" priority="295" dxfId="2">
      <formula>AND(AND($W331&lt;TODAY(),$W331&lt;&gt;""),$X331="")</formula>
    </cfRule>
  </conditionalFormatting>
  <conditionalFormatting sqref="O331">
    <cfRule type="expression" priority="294" dxfId="420">
      <formula>"$G$G&gt;400"</formula>
    </cfRule>
  </conditionalFormatting>
  <conditionalFormatting sqref="W332">
    <cfRule type="expression" priority="293" dxfId="2">
      <formula>AND(AND($W332&lt;TODAY(),$W332&lt;&gt;""),$X332="")</formula>
    </cfRule>
  </conditionalFormatting>
  <conditionalFormatting sqref="O332">
    <cfRule type="expression" priority="292" dxfId="420">
      <formula>"$G$G&gt;400"</formula>
    </cfRule>
  </conditionalFormatting>
  <conditionalFormatting sqref="W333">
    <cfRule type="expression" priority="291" dxfId="2">
      <formula>AND(AND($W333&lt;TODAY(),$W333&lt;&gt;""),$X333="")</formula>
    </cfRule>
  </conditionalFormatting>
  <conditionalFormatting sqref="O333">
    <cfRule type="expression" priority="290" dxfId="420">
      <formula>"$G$G&gt;400"</formula>
    </cfRule>
  </conditionalFormatting>
  <conditionalFormatting sqref="W334">
    <cfRule type="expression" priority="289" dxfId="2">
      <formula>AND(AND($W334&lt;TODAY(),$W334&lt;&gt;""),$X334="")</formula>
    </cfRule>
  </conditionalFormatting>
  <conditionalFormatting sqref="O334">
    <cfRule type="expression" priority="288" dxfId="420">
      <formula>"$G$G&gt;400"</formula>
    </cfRule>
    <cfRule type="expression" priority="287" dxfId="420">
      <formula>"$G$G&gt;400"</formula>
    </cfRule>
  </conditionalFormatting>
  <conditionalFormatting sqref="M335 O335">
    <cfRule type="expression" priority="286" dxfId="420">
      <formula>"$G$G&gt;400"</formula>
    </cfRule>
  </conditionalFormatting>
  <conditionalFormatting sqref="W335">
    <cfRule type="expression" priority="284" dxfId="2">
      <formula>AND(AND($W335&lt;TODAY(),$W335&lt;&gt;""),$X335="")</formula>
    </cfRule>
  </conditionalFormatting>
  <conditionalFormatting sqref="W328">
    <cfRule type="expression" priority="283" dxfId="2">
      <formula>AND(AND($W328&lt;TODAY(),$W328&lt;&gt;""),$X328="")</formula>
    </cfRule>
  </conditionalFormatting>
  <conditionalFormatting sqref="O336">
    <cfRule type="expression" priority="282" dxfId="420">
      <formula>"$G$G&gt;400"</formula>
    </cfRule>
  </conditionalFormatting>
  <conditionalFormatting sqref="W336">
    <cfRule type="expression" priority="281" dxfId="2">
      <formula>AND(AND($W336&lt;TODAY(),$W336&lt;&gt;""),$X336="")</formula>
    </cfRule>
  </conditionalFormatting>
  <conditionalFormatting sqref="F337">
    <cfRule type="expression" priority="280" dxfId="2">
      <formula>ISBLANK($F337)</formula>
    </cfRule>
  </conditionalFormatting>
  <conditionalFormatting sqref="E337">
    <cfRule type="expression" priority="279" dxfId="2">
      <formula>ISBLANK($E337)</formula>
    </cfRule>
  </conditionalFormatting>
  <conditionalFormatting sqref="W337">
    <cfRule type="expression" priority="277" dxfId="2">
      <formula>AND(AND($W337&lt;TODAY(),$W337&lt;&gt;""),$X337="")</formula>
    </cfRule>
  </conditionalFormatting>
  <conditionalFormatting sqref="W338">
    <cfRule type="expression" priority="276" dxfId="2">
      <formula>AND(AND($W338&lt;TODAY(),$W338&lt;&gt;""),$X338="")</formula>
    </cfRule>
  </conditionalFormatting>
  <conditionalFormatting sqref="F339">
    <cfRule type="expression" priority="275" dxfId="2">
      <formula>ISBLANK($F339)</formula>
    </cfRule>
  </conditionalFormatting>
  <conditionalFormatting sqref="E339">
    <cfRule type="expression" priority="274" dxfId="2">
      <formula>ISBLANK($E339)</formula>
    </cfRule>
  </conditionalFormatting>
  <conditionalFormatting sqref="W339">
    <cfRule type="expression" priority="272" dxfId="2">
      <formula>AND(AND($W339&lt;TODAY(),$W339&lt;&gt;""),$X339="")</formula>
    </cfRule>
  </conditionalFormatting>
  <conditionalFormatting sqref="M340 O340">
    <cfRule type="expression" priority="271" dxfId="420">
      <formula>"$G$G&gt;400"</formula>
    </cfRule>
  </conditionalFormatting>
  <conditionalFormatting sqref="W340">
    <cfRule type="expression" priority="270" dxfId="2">
      <formula>AND(AND($W340&lt;TODAY(),$W340&lt;&gt;""),$X340="")</formula>
    </cfRule>
  </conditionalFormatting>
  <conditionalFormatting sqref="F341">
    <cfRule type="expression" priority="269" dxfId="2">
      <formula>ISBLANK($F341)</formula>
    </cfRule>
  </conditionalFormatting>
  <conditionalFormatting sqref="O341">
    <cfRule type="expression" priority="268" dxfId="420">
      <formula>"$G$G&gt;400"</formula>
    </cfRule>
  </conditionalFormatting>
  <conditionalFormatting sqref="W341">
    <cfRule type="expression" priority="267" dxfId="2">
      <formula>AND(AND($W341&lt;TODAY(),$W341&lt;&gt;""),$X341="")</formula>
    </cfRule>
  </conditionalFormatting>
  <conditionalFormatting sqref="M342">
    <cfRule type="expression" priority="265" dxfId="420">
      <formula>"$G$G&gt;400"</formula>
    </cfRule>
  </conditionalFormatting>
  <conditionalFormatting sqref="O342">
    <cfRule type="expression" priority="264" dxfId="420">
      <formula>"$G$G&gt;400"</formula>
    </cfRule>
  </conditionalFormatting>
  <conditionalFormatting sqref="W342">
    <cfRule type="expression" priority="263" dxfId="2">
      <formula>AND(AND($W342&lt;TODAY(),$W342&lt;&gt;""),$X342="")</formula>
    </cfRule>
  </conditionalFormatting>
  <conditionalFormatting sqref="O343">
    <cfRule type="expression" priority="262" dxfId="420">
      <formula>"$G$G&gt;400"</formula>
    </cfRule>
  </conditionalFormatting>
  <conditionalFormatting sqref="W343">
    <cfRule type="expression" priority="261" dxfId="2">
      <formula>AND(AND($W343&lt;TODAY(),$W343&lt;&gt;""),$X343="")</formula>
    </cfRule>
  </conditionalFormatting>
  <conditionalFormatting sqref="O337">
    <cfRule type="expression" priority="260" dxfId="420">
      <formula>"$G$G&gt;400"</formula>
    </cfRule>
  </conditionalFormatting>
  <conditionalFormatting sqref="O322">
    <cfRule type="expression" priority="259" dxfId="420">
      <formula>"$G$G&gt;400"</formula>
    </cfRule>
  </conditionalFormatting>
  <conditionalFormatting sqref="O300">
    <cfRule type="expression" priority="258" dxfId="420">
      <formula>"$G$G&gt;400"</formula>
    </cfRule>
  </conditionalFormatting>
  <conditionalFormatting sqref="W344">
    <cfRule type="expression" priority="256" dxfId="2">
      <formula>AND(AND($W344&lt;TODAY(),$W344&lt;&gt;""),$X344="")</formula>
    </cfRule>
  </conditionalFormatting>
  <conditionalFormatting sqref="O344">
    <cfRule type="expression" priority="255" dxfId="420">
      <formula>"$G$G&gt;400"</formula>
    </cfRule>
  </conditionalFormatting>
  <conditionalFormatting sqref="O339">
    <cfRule type="expression" priority="254" dxfId="420">
      <formula>"$G$G&gt;400"</formula>
    </cfRule>
  </conditionalFormatting>
  <conditionalFormatting sqref="W355">
    <cfRule type="expression" priority="253" dxfId="2">
      <formula>AND(AND($W355&lt;TODAY(),$W355&lt;&gt;""),$X355="")</formula>
    </cfRule>
    <cfRule type="expression" priority="248" dxfId="2">
      <formula>AND(AND($W355&lt;TODAY(),$W355&lt;&gt;""),$X355="")</formula>
    </cfRule>
    <cfRule type="expression" priority="242" dxfId="2">
      <formula>AND(AND($W355&lt;TODAY(),$W355&lt;&gt;""),$X355="")</formula>
    </cfRule>
    <cfRule type="expression" priority="235" dxfId="2">
      <formula>AND(AND($W355&lt;TODAY(),$W355&lt;&gt;""),$X355="")</formula>
    </cfRule>
  </conditionalFormatting>
  <conditionalFormatting sqref="F345">
    <cfRule type="expression" priority="252" dxfId="2">
      <formula>ISBLANK($F345)</formula>
    </cfRule>
  </conditionalFormatting>
  <conditionalFormatting sqref="W345:W348 W351:W352 W354:W356">
    <cfRule type="expression" priority="251" dxfId="2">
      <formula>AND(AND($W345&lt;TODAY(),$W345&lt;&gt;""),$X345="")</formula>
    </cfRule>
  </conditionalFormatting>
  <conditionalFormatting sqref="W354">
    <cfRule type="expression" priority="250" dxfId="2">
      <formula>AND(AND($W354&lt;TODAY(),$W354&lt;&gt;""),$X354="")</formula>
    </cfRule>
  </conditionalFormatting>
  <conditionalFormatting sqref="W356">
    <cfRule type="expression" priority="249" dxfId="2">
      <formula>AND(AND($W356&lt;TODAY(),$W356&lt;&gt;""),$X356="")</formula>
    </cfRule>
    <cfRule type="expression" priority="243" dxfId="2">
      <formula>AND(AND($W356&lt;TODAY(),$W356&lt;&gt;""),$X356="")</formula>
    </cfRule>
    <cfRule type="expression" priority="240" dxfId="2">
      <formula>AND(AND($W356&lt;TODAY(),$W356&lt;&gt;""),$X356="")</formula>
    </cfRule>
    <cfRule type="expression" priority="236" dxfId="2">
      <formula>AND(AND($W356&lt;TODAY(),$W356&lt;&gt;""),$X356="")</formula>
    </cfRule>
    <cfRule type="expression" priority="233" dxfId="2">
      <formula>AND(AND($W356&lt;TODAY(),$W356&lt;&gt;""),$X356="")</formula>
    </cfRule>
    <cfRule type="expression" priority="231" dxfId="2">
      <formula>AND(AND($W356&lt;TODAY(),$W356&lt;&gt;""),$X356="")</formula>
    </cfRule>
    <cfRule type="expression" priority="228" dxfId="2">
      <formula>AND(AND($W356&lt;TODAY(),$W356&lt;&gt;""),$X356="")</formula>
    </cfRule>
    <cfRule type="expression" priority="226" dxfId="2">
      <formula>AND(AND($W356&lt;TODAY(),$W356&lt;&gt;""),$X356="")</formula>
    </cfRule>
    <cfRule type="expression" priority="224" dxfId="2">
      <formula>AND(AND($W356&lt;TODAY(),$W356&lt;&gt;""),$X356="")</formula>
    </cfRule>
    <cfRule type="expression" priority="220" dxfId="2">
      <formula>AND(AND($W356&lt;TODAY(),$W356&lt;&gt;""),$X356="")</formula>
    </cfRule>
  </conditionalFormatting>
  <conditionalFormatting sqref="O349">
    <cfRule type="expression" priority="247" dxfId="420">
      <formula>"$G$G&gt;400"</formula>
    </cfRule>
  </conditionalFormatting>
  <conditionalFormatting sqref="W349">
    <cfRule type="expression" priority="246" dxfId="2">
      <formula>AND(AND($W349&lt;TODAY(),$W349&lt;&gt;""),$X349="")</formula>
    </cfRule>
  </conditionalFormatting>
  <conditionalFormatting sqref="W350">
    <cfRule type="expression" priority="245" dxfId="2">
      <formula>AND(AND($W350&lt;TODAY(),$W350&lt;&gt;""),$X350="")</formula>
    </cfRule>
  </conditionalFormatting>
  <conditionalFormatting sqref="O350">
    <cfRule type="expression" priority="244" dxfId="420">
      <formula>"$G$G&gt;400"</formula>
    </cfRule>
  </conditionalFormatting>
  <conditionalFormatting sqref="W353">
    <cfRule type="expression" priority="239" dxfId="2">
      <formula>AND(AND($W353&lt;TODAY(),$W353&lt;&gt;""),$X353="")</formula>
    </cfRule>
  </conditionalFormatting>
  <conditionalFormatting sqref="O353">
    <cfRule type="expression" priority="238" dxfId="420">
      <formula>"$G$G&gt;400"</formula>
    </cfRule>
    <cfRule type="expression" priority="237" dxfId="420">
      <formula>"$G$G&gt;400"</formula>
    </cfRule>
  </conditionalFormatting>
  <conditionalFormatting sqref="W358:W359">
    <cfRule type="expression" priority="213" dxfId="2">
      <formula>AND(AND($W358&lt;TODAY(),$W358&lt;&gt;""),$X358="")</formula>
    </cfRule>
    <cfRule type="expression" priority="211" dxfId="2">
      <formula>AND(AND($W358&lt;TODAY(),$W358&lt;&gt;""),$X358="")</formula>
    </cfRule>
  </conditionalFormatting>
  <conditionalFormatting sqref="O358:O359">
    <cfRule type="expression" priority="212" dxfId="420">
      <formula>"$G$G&gt;400"</formula>
    </cfRule>
  </conditionalFormatting>
  <conditionalFormatting sqref="W358">
    <cfRule type="expression" priority="210" dxfId="2">
      <formula>AND(AND($W358&lt;TODAY(),$W358&lt;&gt;""),$X358="")</formula>
    </cfRule>
    <cfRule type="expression" priority="209" dxfId="2">
      <formula>AND(AND($W358&lt;TODAY(),$W358&lt;&gt;""),$X358="")</formula>
    </cfRule>
    <cfRule type="expression" priority="207" dxfId="2">
      <formula>AND(AND($W358&lt;TODAY(),$W358&lt;&gt;""),$X358="")</formula>
    </cfRule>
    <cfRule type="expression" priority="206" dxfId="2">
      <formula>AND(AND($W358&lt;TODAY(),$W358&lt;&gt;""),$X358="")</formula>
    </cfRule>
    <cfRule type="expression" priority="204" dxfId="2">
      <formula>AND(AND($W358&lt;TODAY(),$W358&lt;&gt;""),$X358="")</formula>
    </cfRule>
    <cfRule type="expression" priority="202" dxfId="2">
      <formula>AND(AND($W358&lt;TODAY(),$W358&lt;&gt;""),$X358="")</formula>
    </cfRule>
    <cfRule type="expression" priority="200" dxfId="2">
      <formula>AND(AND($W358&lt;TODAY(),$W358&lt;&gt;""),$X358="")</formula>
    </cfRule>
    <cfRule type="expression" priority="198" dxfId="2">
      <formula>AND(AND($W358&lt;TODAY(),$W358&lt;&gt;""),$X358="")</formula>
    </cfRule>
    <cfRule type="expression" priority="196" dxfId="2">
      <formula>AND(AND($W358&lt;TODAY(),$W358&lt;&gt;""),$X358="")</formula>
    </cfRule>
    <cfRule type="expression" priority="193" dxfId="2">
      <formula>AND(AND($W358&lt;TODAY(),$W358&lt;&gt;""),$X358="")</formula>
    </cfRule>
  </conditionalFormatting>
  <conditionalFormatting sqref="W359">
    <cfRule type="expression" priority="208" dxfId="2">
      <formula>AND(AND($W359&lt;TODAY(),$W359&lt;&gt;""),$X359="")</formula>
    </cfRule>
    <cfRule type="expression" priority="205" dxfId="2">
      <formula>AND(AND($W359&lt;TODAY(),$W359&lt;&gt;""),$X359="")</formula>
    </cfRule>
    <cfRule type="expression" priority="203" dxfId="2">
      <formula>AND(AND($W359&lt;TODAY(),$W359&lt;&gt;""),$X359="")</formula>
    </cfRule>
    <cfRule type="expression" priority="201" dxfId="2">
      <formula>AND(AND($W359&lt;TODAY(),$W359&lt;&gt;""),$X359="")</formula>
    </cfRule>
    <cfRule type="expression" priority="199" dxfId="2">
      <formula>AND(AND($W359&lt;TODAY(),$W359&lt;&gt;""),$X359="")</formula>
    </cfRule>
    <cfRule type="expression" priority="197" dxfId="2">
      <formula>AND(AND($W359&lt;TODAY(),$W359&lt;&gt;""),$X359="")</formula>
    </cfRule>
    <cfRule type="expression" priority="195" dxfId="2">
      <formula>AND(AND($W359&lt;TODAY(),$W359&lt;&gt;""),$X359="")</formula>
    </cfRule>
    <cfRule type="expression" priority="194" dxfId="2">
      <formula>AND(AND($W359&lt;TODAY(),$W359&lt;&gt;""),$X359="")</formula>
    </cfRule>
    <cfRule type="expression" priority="192" dxfId="2">
      <formula>AND(AND($W359&lt;TODAY(),$W359&lt;&gt;""),$X359="")</formula>
    </cfRule>
    <cfRule type="expression" priority="191" dxfId="2">
      <formula>AND(AND($W359&lt;TODAY(),$W359&lt;&gt;""),$X359="")</formula>
    </cfRule>
  </conditionalFormatting>
  <conditionalFormatting sqref="W357">
    <cfRule type="expression" priority="190" dxfId="2">
      <formula>AND(AND($W357&lt;TODAY(),$W357&lt;&gt;""),$X357="")</formula>
    </cfRule>
    <cfRule type="expression" priority="189" dxfId="2">
      <formula>AND(AND($W357&lt;TODAY(),$W357&lt;&gt;""),$X357="")</formula>
    </cfRule>
    <cfRule type="expression" priority="188" dxfId="2">
      <formula>AND(AND($W357&lt;TODAY(),$W357&lt;&gt;""),$X357="")</formula>
    </cfRule>
    <cfRule type="expression" priority="187" dxfId="2">
      <formula>AND(AND($W357&lt;TODAY(),$W357&lt;&gt;""),$X357="")</formula>
    </cfRule>
    <cfRule type="expression" priority="186" dxfId="2">
      <formula>AND(AND($W357&lt;TODAY(),$W357&lt;&gt;""),$X357="")</formula>
    </cfRule>
    <cfRule type="expression" priority="185" dxfId="2">
      <formula>AND(AND($W357&lt;TODAY(),$W357&lt;&gt;""),$X357="")</formula>
    </cfRule>
    <cfRule type="expression" priority="184" dxfId="2">
      <formula>AND(AND($W357&lt;TODAY(),$W357&lt;&gt;""),$X357="")</formula>
    </cfRule>
    <cfRule type="expression" priority="183" dxfId="2">
      <formula>AND(AND($W357&lt;TODAY(),$W357&lt;&gt;""),$X357="")</formula>
    </cfRule>
    <cfRule type="expression" priority="182" dxfId="2">
      <formula>AND(AND($W357&lt;TODAY(),$W357&lt;&gt;""),$X357="")</formula>
    </cfRule>
    <cfRule type="expression" priority="181" dxfId="2">
      <formula>AND(AND($W357&lt;TODAY(),$W357&lt;&gt;""),$X357="")</formula>
    </cfRule>
    <cfRule type="expression" priority="180" dxfId="2">
      <formula>AND(AND($W357&lt;TODAY(),$W357&lt;&gt;""),$X357="")</formula>
    </cfRule>
    <cfRule type="expression" priority="179" dxfId="2">
      <formula>AND(AND($W357&lt;TODAY(),$W357&lt;&gt;""),$X357="")</formula>
    </cfRule>
  </conditionalFormatting>
  <conditionalFormatting sqref="O360">
    <cfRule type="expression" priority="178" dxfId="420">
      <formula>"$G$G&gt;400"</formula>
    </cfRule>
  </conditionalFormatting>
  <conditionalFormatting sqref="W360">
    <cfRule type="expression" priority="177" dxfId="2">
      <formula>AND(AND($W360&lt;TODAY(),$W360&lt;&gt;""),$X360="")</formula>
    </cfRule>
  </conditionalFormatting>
  <conditionalFormatting sqref="W361:W362">
    <cfRule type="expression" priority="176" dxfId="2">
      <formula>AND(AND($W361&lt;TODAY(),$W361&lt;&gt;""),$X361="")</formula>
    </cfRule>
    <cfRule type="expression" priority="175" dxfId="2">
      <formula>AND(AND($W361&lt;TODAY(),$W361&lt;&gt;""),$X361="")</formula>
    </cfRule>
    <cfRule type="expression" priority="174" dxfId="2">
      <formula>AND(AND($W361&lt;TODAY(),$W361&lt;&gt;""),$X361="")</formula>
    </cfRule>
    <cfRule type="expression" priority="173" dxfId="2">
      <formula>AND(AND($W361&lt;TODAY(),$W361&lt;&gt;""),$X361="")</formula>
    </cfRule>
    <cfRule type="expression" priority="172" dxfId="2">
      <formula>AND(AND($W361&lt;TODAY(),$W361&lt;&gt;""),$X361="")</formula>
    </cfRule>
    <cfRule type="expression" priority="171" dxfId="2">
      <formula>AND(AND($W361&lt;TODAY(),$W361&lt;&gt;""),$X361="")</formula>
    </cfRule>
    <cfRule type="expression" priority="170" dxfId="2">
      <formula>AND(AND($W361&lt;TODAY(),$W361&lt;&gt;""),$X361="")</formula>
    </cfRule>
    <cfRule type="expression" priority="169" dxfId="2">
      <formula>AND(AND($W361&lt;TODAY(),$W361&lt;&gt;""),$X361="")</formula>
    </cfRule>
    <cfRule type="expression" priority="168" dxfId="2">
      <formula>AND(AND($W361&lt;TODAY(),$W361&lt;&gt;""),$X361="")</formula>
    </cfRule>
    <cfRule type="expression" priority="167" dxfId="2">
      <formula>AND(AND($W361&lt;TODAY(),$W361&lt;&gt;""),$X361="")</formula>
    </cfRule>
    <cfRule type="expression" priority="166" dxfId="2">
      <formula>AND(AND($W361&lt;TODAY(),$W361&lt;&gt;""),$X361="")</formula>
    </cfRule>
    <cfRule type="expression" priority="165" dxfId="2">
      <formula>AND(AND($W361&lt;TODAY(),$W361&lt;&gt;""),$X361="")</formula>
    </cfRule>
  </conditionalFormatting>
  <conditionalFormatting sqref="O363">
    <cfRule type="expression" priority="164" dxfId="420">
      <formula>"$G$G&gt;400"</formula>
    </cfRule>
  </conditionalFormatting>
  <conditionalFormatting sqref="W363">
    <cfRule type="expression" priority="163" dxfId="2">
      <formula>AND(AND($W363&lt;TODAY(),$W363&lt;&gt;""),$X363="")</formula>
    </cfRule>
  </conditionalFormatting>
  <conditionalFormatting sqref="W364">
    <cfRule type="expression" priority="162" dxfId="2">
      <formula>AND(AND($W364&lt;TODAY(),$W364&lt;&gt;""),$X364="")</formula>
    </cfRule>
  </conditionalFormatting>
  <conditionalFormatting sqref="O365">
    <cfRule type="expression" priority="161" dxfId="420">
      <formula>"$G$G&gt;400"</formula>
    </cfRule>
  </conditionalFormatting>
  <conditionalFormatting sqref="W365">
    <cfRule type="expression" priority="160" dxfId="2">
      <formula>AND(AND($W365&lt;TODAY(),$W365&lt;&gt;""),$X365="")</formula>
    </cfRule>
  </conditionalFormatting>
  <conditionalFormatting sqref="W366">
    <cfRule type="expression" priority="159" dxfId="2">
      <formula>AND(AND($W366&lt;TODAY(),$W366&lt;&gt;""),$X366="")</formula>
    </cfRule>
  </conditionalFormatting>
  <conditionalFormatting sqref="O366">
    <cfRule type="expression" priority="158" dxfId="420">
      <formula>"$G$G&gt;400"</formula>
    </cfRule>
  </conditionalFormatting>
  <conditionalFormatting sqref="W367">
    <cfRule type="expression" priority="157" dxfId="2">
      <formula>AND(AND($W367&lt;TODAY(),$W367&lt;&gt;""),$X367="")</formula>
    </cfRule>
  </conditionalFormatting>
  <conditionalFormatting sqref="O367">
    <cfRule type="expression" priority="156" dxfId="420">
      <formula>"$G$G&gt;400"</formula>
    </cfRule>
  </conditionalFormatting>
  <conditionalFormatting sqref="W368">
    <cfRule type="expression" priority="155" dxfId="2">
      <formula>AND(AND($W368&lt;TODAY(),$W368&lt;&gt;""),$X368="")</formula>
    </cfRule>
  </conditionalFormatting>
  <conditionalFormatting sqref="O368">
    <cfRule type="expression" priority="154" dxfId="420">
      <formula>"$G$G&gt;400"</formula>
    </cfRule>
    <cfRule type="expression" priority="153" dxfId="420">
      <formula>"$G$G&gt;400"</formula>
    </cfRule>
  </conditionalFormatting>
  <conditionalFormatting sqref="O369">
    <cfRule type="expression" priority="152" dxfId="420">
      <formula>"$G$G&gt;400"</formula>
    </cfRule>
  </conditionalFormatting>
  <conditionalFormatting sqref="W369">
    <cfRule type="expression" priority="151" dxfId="2">
      <formula>AND(AND($W369&lt;TODAY(),$W369&lt;&gt;""),$X369="")</formula>
    </cfRule>
  </conditionalFormatting>
  <conditionalFormatting sqref="O370">
    <cfRule type="expression" priority="150" dxfId="420">
      <formula>"$G$G&gt;400"</formula>
    </cfRule>
  </conditionalFormatting>
  <conditionalFormatting sqref="W370">
    <cfRule type="expression" priority="149" dxfId="2">
      <formula>AND(AND($W370&lt;TODAY(),$W370&lt;&gt;""),$X370="")</formula>
    </cfRule>
  </conditionalFormatting>
  <conditionalFormatting sqref="W371">
    <cfRule type="expression" priority="148" dxfId="2">
      <formula>AND(AND($W371&lt;TODAY(),$W371&lt;&gt;""),$X371="")</formula>
    </cfRule>
  </conditionalFormatting>
  <conditionalFormatting sqref="O371">
    <cfRule type="expression" priority="147" dxfId="420">
      <formula>"$G$G&gt;400"</formula>
    </cfRule>
  </conditionalFormatting>
  <conditionalFormatting sqref="W372">
    <cfRule type="expression" priority="146" dxfId="2">
      <formula>AND(AND($W372&lt;TODAY(),$W372&lt;&gt;""),$X372="")</formula>
    </cfRule>
  </conditionalFormatting>
  <conditionalFormatting sqref="O372">
    <cfRule type="expression" priority="145" dxfId="420">
      <formula>"$G$G&gt;400"</formula>
    </cfRule>
    <cfRule type="expression" priority="144" dxfId="420">
      <formula>"$G$G&gt;400"</formula>
    </cfRule>
  </conditionalFormatting>
  <conditionalFormatting sqref="O373">
    <cfRule type="expression" priority="143" dxfId="420">
      <formula>"$G$G&gt;400"</formula>
    </cfRule>
  </conditionalFormatting>
  <conditionalFormatting sqref="W373">
    <cfRule type="expression" priority="142" dxfId="2">
      <formula>AND(AND($W373&lt;TODAY(),$W373&lt;&gt;""),$X373="")</formula>
    </cfRule>
  </conditionalFormatting>
  <conditionalFormatting sqref="W374">
    <cfRule type="expression" priority="141" dxfId="2">
      <formula>AND(AND($W374&lt;TODAY(),$W374&lt;&gt;""),$X374="")</formula>
    </cfRule>
  </conditionalFormatting>
  <conditionalFormatting sqref="O374">
    <cfRule type="expression" priority="140" dxfId="420">
      <formula>"$G$G&gt;400"</formula>
    </cfRule>
  </conditionalFormatting>
  <conditionalFormatting sqref="O375">
    <cfRule type="expression" priority="139" dxfId="420">
      <formula>"$G$G&gt;400"</formula>
    </cfRule>
  </conditionalFormatting>
  <conditionalFormatting sqref="W375">
    <cfRule type="expression" priority="138" dxfId="2">
      <formula>AND(AND($W375&lt;TODAY(),$W375&lt;&gt;""),$X375="")</formula>
    </cfRule>
  </conditionalFormatting>
  <conditionalFormatting sqref="W376">
    <cfRule type="expression" priority="137" dxfId="2">
      <formula>AND(AND($W376&lt;TODAY(),$W376&lt;&gt;""),$X376="")</formula>
    </cfRule>
  </conditionalFormatting>
  <conditionalFormatting sqref="O313">
    <cfRule type="expression" priority="136" dxfId="420">
      <formula>"$G$G&gt;400"</formula>
    </cfRule>
  </conditionalFormatting>
  <conditionalFormatting sqref="O302:O312">
    <cfRule type="expression" priority="135" dxfId="420">
      <formula>"$G$G&gt;400"</formula>
    </cfRule>
  </conditionalFormatting>
  <conditionalFormatting sqref="W247">
    <cfRule type="expression" priority="134" dxfId="2">
      <formula>AND(AND($W247&lt;TODAY(),$W247&lt;&gt;""),$X247="")</formula>
    </cfRule>
  </conditionalFormatting>
  <conditionalFormatting sqref="AC1:AC1048576">
    <cfRule type="iconSet" priority="133">
      <iconSet iconSet="3Symbols2">
        <cfvo type="percent" val="0"/>
        <cfvo type="percent" val="33"/>
        <cfvo type="percent" val="67"/>
      </iconSet>
    </cfRule>
  </conditionalFormatting>
  <conditionalFormatting sqref="W377">
    <cfRule type="expression" priority="132" dxfId="2">
      <formula>AND(AND($W377&lt;TODAY(),$W377&lt;&gt;""),$X377="")</formula>
    </cfRule>
  </conditionalFormatting>
  <conditionalFormatting sqref="O377">
    <cfRule type="expression" priority="131" dxfId="420">
      <formula>"$G$G&gt;400"</formula>
    </cfRule>
  </conditionalFormatting>
  <conditionalFormatting sqref="W378">
    <cfRule type="expression" priority="130" dxfId="2">
      <formula>AND(AND($W378&lt;TODAY(),$W378&lt;&gt;""),$X378="")</formula>
    </cfRule>
  </conditionalFormatting>
  <conditionalFormatting sqref="O378">
    <cfRule type="expression" priority="129" dxfId="420">
      <formula>"$G$G&gt;400"</formula>
    </cfRule>
    <cfRule type="expression" priority="128" dxfId="420">
      <formula>"$G$G&gt;400"</formula>
    </cfRule>
  </conditionalFormatting>
  <conditionalFormatting sqref="O379">
    <cfRule type="expression" priority="127" dxfId="420">
      <formula>"$G$G&gt;400"</formula>
    </cfRule>
  </conditionalFormatting>
  <conditionalFormatting sqref="W379">
    <cfRule type="expression" priority="126" dxfId="2">
      <formula>AND(AND($W379&lt;TODAY(),$W379&lt;&gt;""),$X379="")</formula>
    </cfRule>
  </conditionalFormatting>
  <conditionalFormatting sqref="F380">
    <cfRule type="expression" priority="125" dxfId="2">
      <formula>ISBLANK($F380)</formula>
    </cfRule>
  </conditionalFormatting>
  <conditionalFormatting sqref="E380">
    <cfRule type="expression" priority="124" dxfId="2">
      <formula>ISBLANK($E380)</formula>
    </cfRule>
  </conditionalFormatting>
  <conditionalFormatting sqref="W380">
    <cfRule type="expression" priority="123" dxfId="2">
      <formula>AND(AND($W380&lt;TODAY(),$W380&lt;&gt;""),$X380="")</formula>
    </cfRule>
  </conditionalFormatting>
  <conditionalFormatting sqref="O380">
    <cfRule type="expression" priority="122" dxfId="420">
      <formula>"$G$G&gt;400"</formula>
    </cfRule>
    <cfRule type="expression" priority="121" dxfId="420">
      <formula>"$G$G&gt;400"</formula>
    </cfRule>
  </conditionalFormatting>
  <conditionalFormatting sqref="W381">
    <cfRule type="expression" priority="119" dxfId="2">
      <formula>AND(AND($W381&lt;TODAY(),$W381&lt;&gt;""),$X381="")</formula>
    </cfRule>
  </conditionalFormatting>
  <conditionalFormatting sqref="W382">
    <cfRule type="expression" priority="118" dxfId="2">
      <formula>AND(AND($W382&lt;TODAY(),$W382&lt;&gt;""),$X382="")</formula>
    </cfRule>
  </conditionalFormatting>
  <conditionalFormatting sqref="O383">
    <cfRule type="expression" priority="117" dxfId="420">
      <formula>"$G$G&gt;400"</formula>
    </cfRule>
  </conditionalFormatting>
  <conditionalFormatting sqref="O384">
    <cfRule type="expression" priority="116" dxfId="420">
      <formula>"$G$G&gt;400"</formula>
    </cfRule>
  </conditionalFormatting>
  <conditionalFormatting sqref="O386">
    <cfRule type="expression" priority="115" dxfId="420">
      <formula>"$G$G&gt;400"</formula>
    </cfRule>
  </conditionalFormatting>
  <conditionalFormatting sqref="O387">
    <cfRule type="expression" priority="114" dxfId="420">
      <formula>"$G$G&gt;400"</formula>
    </cfRule>
  </conditionalFormatting>
  <conditionalFormatting sqref="W386">
    <cfRule type="expression" priority="111" dxfId="2">
      <formula>AND(AND($W386&lt;TODAY(),$W386&lt;&gt;""),$X386="")</formula>
    </cfRule>
  </conditionalFormatting>
  <conditionalFormatting sqref="W387">
    <cfRule type="expression" priority="110" dxfId="2">
      <formula>AND(AND($W387&lt;TODAY(),$W387&lt;&gt;""),$X387="")</formula>
    </cfRule>
  </conditionalFormatting>
  <conditionalFormatting sqref="W384">
    <cfRule type="expression" priority="109" dxfId="2">
      <formula>AND(AND($W384&lt;TODAY(),$W384&lt;&gt;""),$X384="")</formula>
    </cfRule>
  </conditionalFormatting>
  <conditionalFormatting sqref="W383">
    <cfRule type="expression" priority="108" dxfId="2">
      <formula>AND(AND($W383&lt;TODAY(),$W383&lt;&gt;""),$X383="")</formula>
    </cfRule>
  </conditionalFormatting>
  <conditionalFormatting sqref="F391">
    <cfRule type="expression" priority="107" dxfId="2">
      <formula>ISBLANK($F391)</formula>
    </cfRule>
  </conditionalFormatting>
  <conditionalFormatting sqref="W388">
    <cfRule type="expression" priority="106" dxfId="2">
      <formula>AND(AND($W388&lt;TODAY(),$W388&lt;&gt;""),$X388="")</formula>
    </cfRule>
  </conditionalFormatting>
  <conditionalFormatting sqref="O388">
    <cfRule type="expression" priority="105" dxfId="420">
      <formula>"$G$G&gt;400"</formula>
    </cfRule>
  </conditionalFormatting>
  <conditionalFormatting sqref="F389">
    <cfRule type="expression" priority="102" dxfId="2">
      <formula>ISBLANK($F389)</formula>
    </cfRule>
  </conditionalFormatting>
  <conditionalFormatting sqref="W389">
    <cfRule type="expression" priority="101" dxfId="2">
      <formula>AND(AND($W389&lt;TODAY(),$W389&lt;&gt;""),$X389="")</formula>
    </cfRule>
  </conditionalFormatting>
  <conditionalFormatting sqref="O389">
    <cfRule type="expression" priority="100" dxfId="420">
      <formula>"$G$G&gt;400"</formula>
    </cfRule>
  </conditionalFormatting>
  <conditionalFormatting sqref="F390">
    <cfRule type="expression" priority="97" dxfId="2">
      <formula>ISBLANK($F390)</formula>
    </cfRule>
  </conditionalFormatting>
  <conditionalFormatting sqref="W390">
    <cfRule type="expression" priority="96" dxfId="2">
      <formula>AND(AND($W390&lt;TODAY(),$W390&lt;&gt;""),$X390="")</formula>
    </cfRule>
  </conditionalFormatting>
  <conditionalFormatting sqref="O390">
    <cfRule type="expression" priority="95" dxfId="420">
      <formula>"$G$G&gt;400"</formula>
    </cfRule>
  </conditionalFormatting>
  <conditionalFormatting sqref="W391">
    <cfRule type="expression" priority="94" dxfId="2">
      <formula>AND(AND($W391&lt;TODAY(),$W391&lt;&gt;""),$X391="")</formula>
    </cfRule>
  </conditionalFormatting>
  <conditionalFormatting sqref="O391">
    <cfRule type="expression" priority="93" dxfId="420">
      <formula>"$G$G&gt;400"</formula>
    </cfRule>
  </conditionalFormatting>
  <conditionalFormatting sqref="W392">
    <cfRule type="expression" priority="92" dxfId="2">
      <formula>AND(AND($W392&lt;TODAY(),$W392&lt;&gt;""),$X392="")</formula>
    </cfRule>
  </conditionalFormatting>
  <conditionalFormatting sqref="O392">
    <cfRule type="expression" priority="91" dxfId="420">
      <formula>"$G$G&gt;400"</formula>
    </cfRule>
    <cfRule type="expression" priority="90" dxfId="420">
      <formula>"$G$G&gt;400"</formula>
    </cfRule>
  </conditionalFormatting>
  <conditionalFormatting sqref="W393">
    <cfRule type="expression" priority="89" dxfId="2">
      <formula>AND(AND($W393&lt;TODAY(),$W393&lt;&gt;""),$X393="")</formula>
    </cfRule>
  </conditionalFormatting>
  <conditionalFormatting sqref="O394">
    <cfRule type="expression" priority="88" dxfId="420">
      <formula>"$G$G&gt;400"</formula>
    </cfRule>
  </conditionalFormatting>
  <conditionalFormatting sqref="W394">
    <cfRule type="expression" priority="87" dxfId="2">
      <formula>AND(AND($W394&lt;TODAY(),$W394&lt;&gt;""),$X394="")</formula>
    </cfRule>
  </conditionalFormatting>
  <conditionalFormatting sqref="F396">
    <cfRule type="expression" priority="86" dxfId="2">
      <formula>ISBLANK($F396)</formula>
    </cfRule>
  </conditionalFormatting>
  <conditionalFormatting sqref="O396">
    <cfRule type="expression" priority="85" dxfId="420">
      <formula>"$G$G&gt;400"</formula>
    </cfRule>
  </conditionalFormatting>
  <conditionalFormatting sqref="W396">
    <cfRule type="expression" priority="84" dxfId="2">
      <formula>AND(AND($W396&lt;TODAY(),$W396&lt;&gt;""),$X396="")</formula>
    </cfRule>
  </conditionalFormatting>
  <conditionalFormatting sqref="O397:O399">
    <cfRule type="expression" priority="83" dxfId="420">
      <formula>"$G$G&gt;400"</formula>
    </cfRule>
  </conditionalFormatting>
  <conditionalFormatting sqref="W397:W399">
    <cfRule type="expression" priority="80" dxfId="2">
      <formula>AND(AND($W397&lt;TODAY(),$W397&lt;&gt;""),$X397="")</formula>
    </cfRule>
  </conditionalFormatting>
  <conditionalFormatting sqref="O400">
    <cfRule type="expression" priority="79" dxfId="420">
      <formula>"$G$G&gt;400"</formula>
    </cfRule>
  </conditionalFormatting>
  <conditionalFormatting sqref="W400">
    <cfRule type="expression" priority="78" dxfId="2">
      <formula>AND(AND($W400&lt;TODAY(),$W400&lt;&gt;""),$X400="")</formula>
    </cfRule>
  </conditionalFormatting>
  <conditionalFormatting sqref="F401">
    <cfRule type="expression" priority="77" dxfId="2">
      <formula>ISBLANK($F401)</formula>
    </cfRule>
  </conditionalFormatting>
  <conditionalFormatting sqref="E401">
    <cfRule type="expression" priority="76" dxfId="2">
      <formula>ISBLANK($E401)</formula>
    </cfRule>
  </conditionalFormatting>
  <conditionalFormatting sqref="O401">
    <cfRule type="expression" priority="75" dxfId="420">
      <formula>"$G$G&gt;400"</formula>
    </cfRule>
  </conditionalFormatting>
  <conditionalFormatting sqref="W401">
    <cfRule type="expression" priority="74" dxfId="2">
      <formula>AND(AND($W401&lt;TODAY(),$W401&lt;&gt;""),$X401="")</formula>
    </cfRule>
  </conditionalFormatting>
  <conditionalFormatting sqref="W385">
    <cfRule type="expression" priority="73" dxfId="2">
      <formula>AND(AND($W385&lt;TODAY(),$W385&lt;&gt;""),$X385="")</formula>
    </cfRule>
  </conditionalFormatting>
  <conditionalFormatting sqref="W395">
    <cfRule type="expression" priority="72" dxfId="2">
      <formula>AND(AND($W395&lt;TODAY(),$W395&lt;&gt;""),$X395="")</formula>
    </cfRule>
  </conditionalFormatting>
  <conditionalFormatting sqref="O404 O407">
    <cfRule type="expression" priority="71" dxfId="420">
      <formula>"$G$G&gt;400"</formula>
    </cfRule>
  </conditionalFormatting>
  <conditionalFormatting sqref="W402:W405">
    <cfRule type="expression" priority="70" dxfId="2">
      <formula>AND(AND($W402&lt;TODAY(),$W402&lt;&gt;""),$X402="")</formula>
    </cfRule>
  </conditionalFormatting>
  <conditionalFormatting sqref="F403">
    <cfRule type="expression" priority="69" dxfId="2">
      <formula>ISBLANK($F403)</formula>
    </cfRule>
    <cfRule type="expression" priority="59" dxfId="2">
      <formula>ISBLANK($F403)</formula>
    </cfRule>
    <cfRule type="expression" priority="51" dxfId="2">
      <formula>ISBLANK($F403)</formula>
    </cfRule>
  </conditionalFormatting>
  <conditionalFormatting sqref="E403">
    <cfRule type="expression" priority="68" dxfId="2">
      <formula>ISBLANK($E403)</formula>
    </cfRule>
    <cfRule type="expression" priority="58" dxfId="2">
      <formula>ISBLANK($E403)</formula>
    </cfRule>
    <cfRule type="expression" priority="50" dxfId="2">
      <formula>ISBLANK($E403)</formula>
    </cfRule>
  </conditionalFormatting>
  <conditionalFormatting sqref="O403">
    <cfRule type="expression" priority="67" dxfId="420">
      <formula>"$G$G&gt;400"</formula>
    </cfRule>
    <cfRule type="expression" priority="57" dxfId="420">
      <formula>"$G$G&gt;400"</formula>
    </cfRule>
    <cfRule type="expression" priority="49" dxfId="420">
      <formula>"$G$G&gt;400"</formula>
    </cfRule>
  </conditionalFormatting>
  <conditionalFormatting sqref="O405">
    <cfRule type="expression" priority="66" dxfId="420">
      <formula>"$G$G&gt;400"</formula>
    </cfRule>
    <cfRule type="expression" priority="56" dxfId="420">
      <formula>"$G$G&gt;400"</formula>
    </cfRule>
    <cfRule type="expression" priority="46" dxfId="420">
      <formula>"$G$G&gt;400"</formula>
    </cfRule>
  </conditionalFormatting>
  <conditionalFormatting sqref="F402">
    <cfRule type="expression" priority="65" dxfId="2">
      <formula>ISBLANK($F402)</formula>
    </cfRule>
  </conditionalFormatting>
  <conditionalFormatting sqref="E402">
    <cfRule type="expression" priority="64" dxfId="2">
      <formula>ISBLANK($E402)</formula>
    </cfRule>
  </conditionalFormatting>
  <conditionalFormatting sqref="F404">
    <cfRule type="expression" priority="62" dxfId="2">
      <formula>ISBLANK($F404)</formula>
    </cfRule>
    <cfRule type="expression" priority="55" dxfId="2">
      <formula>ISBLANK($F404)</formula>
    </cfRule>
    <cfRule type="expression" priority="45" dxfId="2">
      <formula>ISBLANK($F404)</formula>
    </cfRule>
  </conditionalFormatting>
  <conditionalFormatting sqref="E404">
    <cfRule type="expression" priority="61" dxfId="2">
      <formula>ISBLANK($E404)</formula>
    </cfRule>
    <cfRule type="expression" priority="54" dxfId="2">
      <formula>ISBLANK($E404)</formula>
    </cfRule>
    <cfRule type="expression" priority="44" dxfId="2">
      <formula>ISBLANK($E404)</formula>
    </cfRule>
  </conditionalFormatting>
  <conditionalFormatting sqref="O404">
    <cfRule type="expression" priority="60" dxfId="420">
      <formula>"$G$G&gt;400"</formula>
    </cfRule>
    <cfRule type="expression" priority="53" dxfId="420">
      <formula>"$G$G&gt;400"</formula>
    </cfRule>
    <cfRule type="expression" priority="43" dxfId="420">
      <formula>"$G$G&gt;400"</formula>
    </cfRule>
  </conditionalFormatting>
  <conditionalFormatting sqref="O407">
    <cfRule type="expression" priority="52" dxfId="420">
      <formula>"$G$G&gt;400"</formula>
    </cfRule>
  </conditionalFormatting>
  <conditionalFormatting sqref="F405">
    <cfRule type="expression" priority="48" dxfId="2">
      <formula>ISBLANK($F405)</formula>
    </cfRule>
  </conditionalFormatting>
  <conditionalFormatting sqref="E405">
    <cfRule type="expression" priority="47" dxfId="2">
      <formula>ISBLANK($E405)</formula>
    </cfRule>
  </conditionalFormatting>
  <conditionalFormatting sqref="O410">
    <cfRule type="expression" priority="32" dxfId="420">
      <formula>"$G$G&gt;400"</formula>
    </cfRule>
    <cfRule type="expression" priority="31" dxfId="420">
      <formula>"$G$G&gt;400"</formula>
    </cfRule>
  </conditionalFormatting>
  <conditionalFormatting sqref="O411">
    <cfRule type="expression" priority="28" dxfId="420">
      <formula>"$G$G&gt;400"</formula>
    </cfRule>
    <cfRule type="expression" priority="27" dxfId="420">
      <formula>"$G$G&gt;400"</formula>
    </cfRule>
  </conditionalFormatting>
  <conditionalFormatting sqref="O409">
    <cfRule type="expression" priority="25" dxfId="420">
      <formula>"$G$G&gt;400"</formula>
    </cfRule>
    <cfRule type="expression" priority="24" dxfId="420">
      <formula>"$G$G&gt;400"</formula>
    </cfRule>
  </conditionalFormatting>
  <conditionalFormatting sqref="O408">
    <cfRule type="expression" priority="23" dxfId="420">
      <formula>"$G$G&gt;400"</formula>
    </cfRule>
    <cfRule type="expression" priority="22" dxfId="420">
      <formula>"$G$G&gt;400"</formula>
    </cfRule>
  </conditionalFormatting>
  <conditionalFormatting sqref="O412">
    <cfRule type="expression" priority="20" dxfId="420">
      <formula>"$G$G&gt;400"</formula>
    </cfRule>
  </conditionalFormatting>
  <conditionalFormatting sqref="O413">
    <cfRule type="expression" priority="18" dxfId="420">
      <formula>"$G$G&gt;400"</formula>
    </cfRule>
  </conditionalFormatting>
  <conditionalFormatting sqref="O415">
    <cfRule type="expression" priority="12" dxfId="420">
      <formula>"$G$G&gt;400"</formula>
    </cfRule>
  </conditionalFormatting>
  <conditionalFormatting sqref="O402">
    <cfRule type="expression" priority="10" dxfId="420">
      <formula>"$G$G&gt;400"</formula>
    </cfRule>
  </conditionalFormatting>
  <conditionalFormatting sqref="W406:W411 W413:W416">
    <cfRule type="expression" priority="9" dxfId="2">
      <formula>AND(AND($W406&lt;TODAY(),$W406&lt;&gt;""),$X406="")</formula>
    </cfRule>
  </conditionalFormatting>
  <conditionalFormatting sqref="W412">
    <cfRule type="expression" priority="8" dxfId="2">
      <formula>AND(AND($W412&lt;TODAY(),$W412&lt;&gt;""),$X412="")</formula>
    </cfRule>
  </conditionalFormatting>
  <conditionalFormatting sqref="O414">
    <cfRule type="expression" priority="7" dxfId="420">
      <formula>"$G$G&gt;400"</formula>
    </cfRule>
  </conditionalFormatting>
  <conditionalFormatting sqref="W418">
    <cfRule type="expression" priority="1" dxfId="2">
      <formula>AND(AND($W418&lt;TODAY(),$W418&lt;&gt;""),$X418="")</formula>
    </cfRule>
  </conditionalFormatting>
  <conditionalFormatting sqref="W417">
    <cfRule type="expression" priority="5" dxfId="2">
      <formula>AND(AND($W417&lt;TODAY(),$W417&lt;&gt;""),$X417="")</formula>
    </cfRule>
  </conditionalFormatting>
  <conditionalFormatting sqref="O417">
    <cfRule type="expression" priority="4" dxfId="420">
      <formula>"$G$G&gt;400"</formula>
    </cfRule>
  </conditionalFormatting>
  <conditionalFormatting sqref="O418">
    <cfRule type="expression" priority="3" dxfId="420">
      <formula>"$G$G&gt;400"</formula>
    </cfRule>
    <cfRule type="expression" priority="2" dxfId="420">
      <formula>"$G$G&gt;400"</formula>
    </cfRule>
  </conditionalFormatting>
  <dataValidations count="1">
    <dataValidation sqref="L2:L1048576" showDropDown="0" showInputMessage="1" showErrorMessage="1" allowBlank="1" type="list">
      <formula1>Spesenart</formula1>
    </dataValidation>
  </dataValidations>
  <pageMargins left="0.7" right="0.7" top="0.787401575" bottom="0.787401575" header="0.3" footer="0.3"/>
  <pageSetup orientation="landscape" paperSize="9" scale="10" verticalDpi="1200"/>
  <legacyDrawing xmlns:r="http://schemas.openxmlformats.org/officeDocument/2006/relationships" r:id="anysvml"/>
</worksheet>
</file>

<file path=xl/worksheets/sheet17.xml><?xml version="1.0" encoding="utf-8"?>
<worksheet xmlns="http://schemas.openxmlformats.org/spreadsheetml/2006/main">
  <sheetPr codeName="Tabelle27">
    <outlinePr summaryBelow="1" summaryRight="1"/>
    <pageSetUpPr/>
  </sheetPr>
  <dimension ref="A1:P22"/>
  <sheetViews>
    <sheetView workbookViewId="0">
      <selection activeCell="G1" sqref="G1"/>
    </sheetView>
  </sheetViews>
  <sheetFormatPr baseColWidth="10" defaultRowHeight="15"/>
  <cols>
    <col width="7.85546875" customWidth="1" min="1" max="2"/>
    <col width="11.85546875" bestFit="1" customWidth="1" min="6" max="6"/>
    <col width="12.140625" bestFit="1" customWidth="1" min="7" max="7"/>
    <col width="11.85546875" bestFit="1" customWidth="1" min="8" max="8"/>
  </cols>
  <sheetData>
    <row r="1">
      <c r="A1" s="2" t="inlineStr">
        <is>
          <t>Monat</t>
        </is>
      </c>
      <c r="B1" s="2" t="inlineStr">
        <is>
          <t>Jahr</t>
        </is>
      </c>
      <c r="C1" s="2" t="inlineStr">
        <is>
          <t>Start</t>
        </is>
      </c>
      <c r="D1" s="2" t="inlineStr">
        <is>
          <t>Ende</t>
        </is>
      </c>
      <c r="E1" s="2" t="inlineStr">
        <is>
          <t>Tage</t>
        </is>
      </c>
      <c r="F1" s="2" t="inlineStr">
        <is>
          <t>Einnahmen Journal</t>
        </is>
      </c>
      <c r="G1" s="2" t="inlineStr">
        <is>
          <t>Ausgaben Journal</t>
        </is>
      </c>
      <c r="H1" s="2" t="inlineStr">
        <is>
          <t>Saldo</t>
        </is>
      </c>
      <c r="I1" s="2" t="inlineStr">
        <is>
          <t>KiBeG</t>
        </is>
      </c>
    </row>
    <row r="2">
      <c r="A2" s="265" t="n">
        <v>1</v>
      </c>
      <c r="B2" s="265" t="n">
        <v>2020</v>
      </c>
      <c r="C2" s="1">
        <f>DATEVALUE("1."&amp;A2&amp;"."&amp;B2)</f>
        <v/>
      </c>
      <c r="D2" s="1">
        <f>EOMONTH(C2,0)</f>
        <v/>
      </c>
      <c r="E2">
        <f>D2-C2+1</f>
        <v/>
      </c>
      <c r="F2" s="214">
        <f>SUMIFS(Journal_ab_2019!$Q:$Q,Journal_ab_2019!$C:$C,"=Einnahmen",Journal_ab_2019!$G:$G,"&gt;="&amp;$C2,Journal_ab_2019!$G:$G,"&lt;="&amp;$D2)</f>
        <v/>
      </c>
      <c r="G2" s="214">
        <f>SUMIFS(Journal_ab_2019!$Q:$Q,Journal_ab_2019!$C:$C,"=Ausgaben",Journal_ab_2019!$G:$G,"&gt;="&amp;$C2,Journal_ab_2019!$G:$G,"&lt;="&amp;$D2)</f>
        <v/>
      </c>
      <c r="H2" s="229">
        <f>F2-G2</f>
        <v/>
      </c>
      <c r="J2" t="inlineStr">
        <is>
          <t>kein Bezug, daher keine Zuverdienstgrenze</t>
        </is>
      </c>
      <c r="M2" s="1" t="n"/>
    </row>
    <row r="3">
      <c r="A3" s="265" t="n">
        <v>2</v>
      </c>
      <c r="B3" s="265" t="n">
        <v>2020</v>
      </c>
      <c r="C3" s="1">
        <f>DATEVALUE("1."&amp;A3&amp;"."&amp;B3)</f>
        <v/>
      </c>
      <c r="D3" s="1">
        <f>EOMONTH(C3,0)</f>
        <v/>
      </c>
      <c r="E3">
        <f>D3-C3+1</f>
        <v/>
      </c>
      <c r="F3" s="214">
        <f>SUMIFS(Journal_ab_2019!$Q:$Q,Journal_ab_2019!$C:$C,"=Einnahmen",Journal_ab_2019!$G:$G,"&gt;="&amp;$C3,Journal_ab_2019!$G:$G,"&lt;="&amp;$D3)</f>
        <v/>
      </c>
      <c r="G3" s="214">
        <f>SUMIFS(Journal_ab_2019!$Q:$Q,Journal_ab_2019!$C:$C,"=Ausgaben",Journal_ab_2019!$G:$G,"&gt;="&amp;$C3,Journal_ab_2019!$G:$G,"&lt;="&amp;$D3)</f>
        <v/>
      </c>
      <c r="H3" s="229">
        <f>F3-G3</f>
        <v/>
      </c>
      <c r="J3" t="inlineStr">
        <is>
          <t>kein Bezug, daher keine Zuverdienstgrenze</t>
        </is>
      </c>
    </row>
    <row r="4">
      <c r="A4" s="265" t="n">
        <v>3</v>
      </c>
      <c r="B4" s="265" t="n">
        <v>2020</v>
      </c>
      <c r="C4" s="1">
        <f>DATEVALUE("1."&amp;A4&amp;"."&amp;B4)</f>
        <v/>
      </c>
      <c r="D4" s="1">
        <f>EOMONTH(C4,0)</f>
        <v/>
      </c>
      <c r="E4">
        <f>D4-C4+1</f>
        <v/>
      </c>
      <c r="F4" s="214">
        <f>SUMIFS(Journal_ab_2019!$Q:$Q,Journal_ab_2019!$C:$C,"=Einnahmen",Journal_ab_2019!$G:$G,"&gt;="&amp;$C4,Journal_ab_2019!$G:$G,"&lt;="&amp;$D4)</f>
        <v/>
      </c>
      <c r="G4" s="214">
        <f>SUMIFS(Journal_ab_2019!$Q:$Q,Journal_ab_2019!$C:$C,"=Ausgaben",Journal_ab_2019!$G:$G,"&gt;="&amp;$C4,Journal_ab_2019!$G:$G,"&lt;="&amp;$D4)</f>
        <v/>
      </c>
      <c r="H4" s="229">
        <f>F4-G4</f>
        <v/>
      </c>
      <c r="J4" t="inlineStr">
        <is>
          <t>kein Bezug, daher keine Zuverdienstgrenze</t>
        </is>
      </c>
    </row>
    <row r="5">
      <c r="A5" s="265" t="n">
        <v>4</v>
      </c>
      <c r="B5" s="265" t="n">
        <v>2020</v>
      </c>
      <c r="C5" s="1">
        <f>DATEVALUE("1."&amp;A5&amp;"."&amp;B5)</f>
        <v/>
      </c>
      <c r="D5" s="1">
        <f>EOMONTH(C5,0)</f>
        <v/>
      </c>
      <c r="E5">
        <f>D5-C5+1</f>
        <v/>
      </c>
      <c r="F5" s="214">
        <f>SUMIFS(Journal_ab_2019!$Q:$Q,Journal_ab_2019!$C:$C,"=Einnahmen",Journal_ab_2019!$G:$G,"&gt;="&amp;$C5,Journal_ab_2019!$G:$G,"&lt;="&amp;$D5)</f>
        <v/>
      </c>
      <c r="G5" s="214">
        <f>SUMIFS(Journal_ab_2019!$Q:$Q,Journal_ab_2019!$C:$C,"=Ausgaben",Journal_ab_2019!$G:$G,"&gt;="&amp;$C5,Journal_ab_2019!$G:$G,"&lt;="&amp;$D5)</f>
        <v/>
      </c>
      <c r="H5" s="229">
        <f>F5-G5</f>
        <v/>
      </c>
      <c r="J5" t="inlineStr">
        <is>
          <t>kein Bezug, daher keine Zuverdienstgrenze</t>
        </is>
      </c>
    </row>
    <row r="6">
      <c r="A6" s="265" t="n">
        <v>5</v>
      </c>
      <c r="B6" s="265" t="n">
        <v>2020</v>
      </c>
      <c r="C6" s="1">
        <f>DATEVALUE("1."&amp;A6&amp;"."&amp;B6)</f>
        <v/>
      </c>
      <c r="D6" s="1">
        <f>EOMONTH(C6,0)</f>
        <v/>
      </c>
      <c r="E6">
        <f>D6-C6+1</f>
        <v/>
      </c>
      <c r="F6" s="214">
        <f>SUMIFS(Journal_ab_2019!$Q:$Q,Journal_ab_2019!$C:$C,"=Einnahmen",Journal_ab_2019!$G:$G,"&gt;="&amp;$C6,Journal_ab_2019!$G:$G,"&lt;="&amp;$D6)</f>
        <v/>
      </c>
      <c r="G6" s="214">
        <f>SUMIFS(Journal_ab_2019!$Q:$Q,Journal_ab_2019!$C:$C,"=Ausgaben",Journal_ab_2019!$G:$G,"&gt;="&amp;$C6,Journal_ab_2019!$G:$G,"&lt;="&amp;$D6)</f>
        <v/>
      </c>
      <c r="H6" s="229">
        <f>F6-G6</f>
        <v/>
      </c>
      <c r="J6" t="inlineStr">
        <is>
          <t>kein Bezug, daher keine Zuverdienstgrenze</t>
        </is>
      </c>
    </row>
    <row r="7">
      <c r="A7" s="265" t="n">
        <v>6</v>
      </c>
      <c r="B7" s="265" t="n">
        <v>2020</v>
      </c>
      <c r="C7" s="1">
        <f>DATEVALUE("1."&amp;A7&amp;"."&amp;B7)</f>
        <v/>
      </c>
      <c r="D7" s="1">
        <f>EOMONTH(C7,0)</f>
        <v/>
      </c>
      <c r="E7">
        <f>D7-C7+1</f>
        <v/>
      </c>
      <c r="F7" s="214">
        <f>SUMIFS(Journal_ab_2019!$Q:$Q,Journal_ab_2019!$C:$C,"=Einnahmen",Journal_ab_2019!$G:$G,"&gt;="&amp;$C7,Journal_ab_2019!$G:$G,"&lt;="&amp;$D7)</f>
        <v/>
      </c>
      <c r="G7" s="214">
        <f>SUMIFS(Journal_ab_2019!$Q:$Q,Journal_ab_2019!$C:$C,"=Ausgaben",Journal_ab_2019!$G:$G,"&gt;="&amp;$C7,Journal_ab_2019!$G:$G,"&lt;="&amp;$D7)</f>
        <v/>
      </c>
      <c r="H7" s="229">
        <f>F7-G7</f>
        <v/>
      </c>
      <c r="J7" t="inlineStr">
        <is>
          <t>kein Bezug, daher keine Zuverdienstgrenze</t>
        </is>
      </c>
      <c r="K7" s="229" t="n"/>
    </row>
    <row r="8">
      <c r="A8" s="265" t="n">
        <v>7</v>
      </c>
      <c r="B8" s="265" t="n">
        <v>2020</v>
      </c>
      <c r="C8" s="1">
        <f>DATEVALUE("1."&amp;A8&amp;"."&amp;B8)</f>
        <v/>
      </c>
      <c r="D8" s="1">
        <f>EOMONTH(C8,0)</f>
        <v/>
      </c>
      <c r="E8">
        <f>D8-C8+1</f>
        <v/>
      </c>
      <c r="F8" s="214">
        <f>SUMIFS(Journal_ab_2019!$Q:$Q,Journal_ab_2019!$C:$C,"=Einnahmen",Journal_ab_2019!$G:$G,"&gt;="&amp;$C8,Journal_ab_2019!$G:$G,"&lt;="&amp;$D8)</f>
        <v/>
      </c>
      <c r="G8" s="214">
        <f>SUMIFS(Journal_ab_2019!$Q:$Q,Journal_ab_2019!$C:$C,"=Ausgaben",Journal_ab_2019!$G:$G,"&gt;="&amp;$C8,Journal_ab_2019!$G:$G,"&lt;="&amp;$D8)</f>
        <v/>
      </c>
      <c r="H8" s="229">
        <f>F8-G8</f>
        <v/>
      </c>
      <c r="I8" s="214" t="n">
        <v>1337.84</v>
      </c>
      <c r="J8" t="inlineStr">
        <is>
          <t>Rumpfmonat, daher keine Zuverdienstgrenze; ausbezahlt 7.8.</t>
        </is>
      </c>
      <c r="P8" s="229" t="n"/>
    </row>
    <row r="9">
      <c r="A9" s="265" t="n">
        <v>8</v>
      </c>
      <c r="B9" s="265" t="n">
        <v>2020</v>
      </c>
      <c r="C9" s="1">
        <f>DATEVALUE("1."&amp;A9&amp;"."&amp;B9)</f>
        <v/>
      </c>
      <c r="D9" s="1">
        <f>EOMONTH(C9,0)</f>
        <v/>
      </c>
      <c r="E9">
        <f>D9-C9+1</f>
        <v/>
      </c>
      <c r="F9" s="214">
        <f>SUMIFS(Journal_ab_2019!$Q:$Q,Journal_ab_2019!$C:$C,"=Einnahmen",Journal_ab_2019!$G:$G,"&gt;="&amp;$C9,Journal_ab_2019!$G:$G,"&lt;="&amp;$D9)</f>
        <v/>
      </c>
      <c r="G9" s="214">
        <f>SUMIFS(Journal_ab_2019!$Q:$Q,Journal_ab_2019!$C:$C,"=Ausgaben",Journal_ab_2019!$G:$G,"&gt;="&amp;$C9,Journal_ab_2019!$G:$G,"&lt;="&amp;$D9)</f>
        <v/>
      </c>
      <c r="H9" s="229">
        <f>F9-G9</f>
        <v/>
      </c>
      <c r="I9" s="214" t="n">
        <v>1481.18</v>
      </c>
      <c r="J9" t="inlineStr">
        <is>
          <t>Zuverdienstgrenze nicht überschritten; ausbezahlt 9.9.</t>
        </is>
      </c>
    </row>
    <row r="10">
      <c r="A10" s="265" t="n">
        <v>9</v>
      </c>
      <c r="B10" s="265" t="n">
        <v>2020</v>
      </c>
      <c r="C10" s="1">
        <f>DATEVALUE("1."&amp;A10&amp;"."&amp;B10)</f>
        <v/>
      </c>
      <c r="D10" s="1">
        <f>EOMONTH(C10,0)</f>
        <v/>
      </c>
      <c r="E10">
        <f>D10-C10+1</f>
        <v/>
      </c>
      <c r="F10" s="214">
        <f>SUMIFS(Journal_ab_2019!$Q:$Q,Journal_ab_2019!$C:$C,"=Einnahmen",Journal_ab_2019!$G:$G,"&gt;="&amp;$C10,Journal_ab_2019!$G:$G,"&lt;="&amp;$D10)</f>
        <v/>
      </c>
      <c r="G10" s="214">
        <f>SUMIFS(Journal_ab_2019!$Q:$Q,Journal_ab_2019!$C:$C,"=Ausgaben",Journal_ab_2019!$G:$G,"&gt;="&amp;$C10,Journal_ab_2019!$G:$G,"&lt;="&amp;$D10)</f>
        <v/>
      </c>
      <c r="H10" s="229">
        <f>F10-G10</f>
        <v/>
      </c>
      <c r="J10" t="inlineStr">
        <is>
          <t>verzichtet, kein Bezug, daher keine Zuverdienstgrenze</t>
        </is>
      </c>
      <c r="K10" s="229" t="n"/>
    </row>
    <row r="11">
      <c r="A11" s="265" t="n">
        <v>10</v>
      </c>
      <c r="B11" s="265" t="n">
        <v>2020</v>
      </c>
      <c r="C11" s="1">
        <f>DATEVALUE("1."&amp;A11&amp;"."&amp;B11)</f>
        <v/>
      </c>
      <c r="D11" s="1">
        <f>EOMONTH(C11,0)</f>
        <v/>
      </c>
      <c r="E11">
        <f>D11-C11+1</f>
        <v/>
      </c>
      <c r="F11" s="214">
        <f>SUMIFS(Journal_ab_2019!$Q:$Q,Journal_ab_2019!$C:$C,"=Einnahmen",Journal_ab_2019!$G:$G,"&gt;="&amp;$C11,Journal_ab_2019!$G:$G,"&lt;="&amp;$D11)</f>
        <v/>
      </c>
      <c r="G11" s="214">
        <f>SUMIFS(Journal_ab_2019!$Q:$Q,Journal_ab_2019!$C:$C,"=Ausgaben",Journal_ab_2019!$G:$G,"&gt;="&amp;$C11,Journal_ab_2019!$G:$G,"&lt;="&amp;$D11)</f>
        <v/>
      </c>
      <c r="H11" s="229">
        <f>F11-G11</f>
        <v/>
      </c>
      <c r="J11" t="inlineStr">
        <is>
          <t>kein Bezug (da Mindestblockgröße unterschritten), daher keine Zuverdienstgrenze</t>
        </is>
      </c>
    </row>
    <row r="12">
      <c r="A12" s="265" t="n">
        <v>11</v>
      </c>
      <c r="B12" s="265" t="n">
        <v>2020</v>
      </c>
      <c r="C12" s="1">
        <f>DATEVALUE("1."&amp;A12&amp;"."&amp;B12)</f>
        <v/>
      </c>
      <c r="D12" s="1">
        <f>EOMONTH(C12,0)</f>
        <v/>
      </c>
      <c r="E12">
        <f>D12-C12+1</f>
        <v/>
      </c>
      <c r="F12" s="214">
        <f>SUMIFS(Journal_ab_2019!$Q:$Q,Journal_ab_2019!$C:$C,"=Einnahmen",Journal_ab_2019!$G:$G,"&gt;="&amp;$C12,Journal_ab_2019!$G:$G,"&lt;="&amp;$D12)</f>
        <v/>
      </c>
      <c r="G12" s="214">
        <f>SUMIFS(Journal_ab_2019!$Q:$Q,Journal_ab_2019!$C:$C,"=Ausgaben",Journal_ab_2019!$G:$G,"&gt;="&amp;$C12,Journal_ab_2019!$G:$G,"&lt;="&amp;$D12)</f>
        <v/>
      </c>
      <c r="H12" s="229">
        <f>F12-G12</f>
        <v/>
      </c>
      <c r="J12" t="inlineStr">
        <is>
          <t>kein Bezug (da Mindestblockgröße unterschritten), daher keine Zuverdienstgrenze</t>
        </is>
      </c>
    </row>
    <row r="13">
      <c r="A13" s="265" t="n">
        <v>12</v>
      </c>
      <c r="B13" s="265" t="n">
        <v>2020</v>
      </c>
      <c r="C13" s="1">
        <f>DATEVALUE("1."&amp;A13&amp;"."&amp;B13)</f>
        <v/>
      </c>
      <c r="D13" s="1">
        <f>EOMONTH(C13,0)</f>
        <v/>
      </c>
      <c r="E13">
        <f>D13-C13+1</f>
        <v/>
      </c>
      <c r="F13" s="214">
        <f>SUMIFS(Journal_ab_2019!$Q:$Q,Journal_ab_2019!$C:$C,"=Einnahmen",Journal_ab_2019!$G:$G,"&gt;="&amp;$C13,Journal_ab_2019!$G:$G,"&lt;="&amp;$D13)</f>
        <v/>
      </c>
      <c r="G13" s="214">
        <f>SUMIFS(Journal_ab_2019!$Q:$Q,Journal_ab_2019!$C:$C,"=Ausgaben",Journal_ab_2019!$G:$G,"&gt;="&amp;$C13,Journal_ab_2019!$G:$G,"&lt;="&amp;$D13)</f>
        <v/>
      </c>
      <c r="H13" s="229">
        <f>F13-G13</f>
        <v/>
      </c>
      <c r="J13" t="inlineStr">
        <is>
          <t>kein Bezug (da 426 Tage ab Geburt überschritten), daher keine Zuverdienstgrenze</t>
        </is>
      </c>
    </row>
    <row r="14">
      <c r="A14" t="inlineStr">
        <is>
          <t>Gesamt</t>
        </is>
      </c>
      <c r="F14" s="229">
        <f>SUM(F2:F13)</f>
        <v/>
      </c>
      <c r="G14" s="229">
        <f>SUM(G2:G13)</f>
        <v/>
      </c>
      <c r="H14" s="229">
        <f>SUM(H2:H13)</f>
        <v/>
      </c>
    </row>
    <row r="21">
      <c r="J21" s="1" t="n"/>
      <c r="K21" s="1" t="n"/>
    </row>
    <row r="22">
      <c r="J22" s="1" t="n"/>
      <c r="K22" s="1" t="n"/>
    </row>
  </sheetData>
  <pageMargins left="0.7" right="0.7" top="0.787401575" bottom="0.787401575" header="0.3" footer="0.3"/>
  <pageSetup orientation="portrait" paperSize="9"/>
</worksheet>
</file>

<file path=xl/worksheets/sheet18.xml><?xml version="1.0" encoding="utf-8"?>
<worksheet xmlns="http://schemas.openxmlformats.org/spreadsheetml/2006/main">
  <sheetPr codeName="Tabelle28">
    <outlinePr summaryBelow="1" summaryRight="1"/>
    <pageSetUpPr/>
  </sheetPr>
  <dimension ref="A1:O633"/>
  <sheetViews>
    <sheetView topLeftCell="B580" workbookViewId="0">
      <selection activeCell="L607" sqref="L607"/>
    </sheetView>
  </sheetViews>
  <sheetFormatPr baseColWidth="10" defaultRowHeight="15"/>
  <cols>
    <col hidden="1" width="10.85546875" customWidth="1" min="1" max="1"/>
    <col width="12.140625" bestFit="1" customWidth="1" min="2" max="2"/>
    <col width="11.85546875" bestFit="1" customWidth="1" min="3" max="3"/>
    <col hidden="1" width="11.42578125" customWidth="1" min="4" max="4"/>
    <col hidden="1" width="13.85546875" customWidth="1" style="9" min="5" max="5"/>
    <col width="13.85546875" customWidth="1" min="6" max="6"/>
    <col width="11.85546875" customWidth="1" min="7" max="8"/>
    <col width="8.140625" customWidth="1" min="9" max="9"/>
    <col hidden="1" width="11.42578125" customWidth="1" min="10" max="10"/>
    <col hidden="1" width="10.85546875" customWidth="1" min="11" max="11"/>
    <col width="13.42578125" customWidth="1" min="12" max="12"/>
    <col width="11.85546875" bestFit="1" customWidth="1" min="13" max="13"/>
    <col width="11.42578125" customWidth="1" style="159" min="14" max="14"/>
  </cols>
  <sheetData>
    <row r="1">
      <c r="A1" s="2" t="inlineStr">
        <is>
          <t>Startdatum</t>
        </is>
      </c>
      <c r="B1" s="2" t="inlineStr">
        <is>
          <t>Monat 2019</t>
        </is>
      </c>
      <c r="C1" s="2" t="inlineStr">
        <is>
          <t>Umsatz</t>
        </is>
      </c>
      <c r="E1" s="8" t="inlineStr">
        <is>
          <t>Startdatum</t>
        </is>
      </c>
      <c r="F1" s="2">
        <f>"Monat " &amp;YEAR(E2)</f>
        <v/>
      </c>
      <c r="G1" s="2" t="inlineStr">
        <is>
          <t>Umsatz</t>
        </is>
      </c>
      <c r="H1" s="124" t="inlineStr">
        <is>
          <t>Änderung ggü. 2019</t>
        </is>
      </c>
      <c r="I1" s="124" t="n"/>
      <c r="J1" s="2" t="n"/>
      <c r="K1" s="2" t="inlineStr">
        <is>
          <t>Startdatum</t>
        </is>
      </c>
      <c r="L1" s="2">
        <f>"Monat " &amp;YEAR(K2)</f>
        <v/>
      </c>
      <c r="M1" s="2" t="inlineStr">
        <is>
          <t>Umsatz</t>
        </is>
      </c>
      <c r="N1" s="124" t="inlineStr">
        <is>
          <t>Änderung ggü. 2019</t>
        </is>
      </c>
    </row>
    <row r="2">
      <c r="A2" s="1" t="n">
        <v>43466</v>
      </c>
      <c r="B2">
        <f>MONTH(A2)</f>
        <v/>
      </c>
      <c r="C2" s="214">
        <f>SUMIFS(Rechnung_Ausgang!$H:$H,Rechnung_Ausgang!$D:$D, "&gt;="&amp;'2021-Covid-Foerder-EntschHilf'!A2,Rechnung_Ausgang!$D:$D, "&lt;"&amp;'2021-Covid-Foerder-EntschHilf'!A3)</f>
        <v/>
      </c>
      <c r="E2" s="137" t="n">
        <v>43831</v>
      </c>
      <c r="F2" s="125">
        <f>MONTH(E2)</f>
        <v/>
      </c>
      <c r="G2" s="228">
        <f>SUMIFS(Rechnung_Ausgang!$H:$H,Rechnung_Ausgang!$D:$D, "&gt;="&amp;'2021-Covid-Foerder-EntschHilf'!E2,Rechnung_Ausgang!$D:$D, "&lt;"&amp;'2021-Covid-Foerder-EntschHilf'!E3)</f>
        <v/>
      </c>
      <c r="H2" s="214" t="n"/>
      <c r="I2" s="214" t="n"/>
      <c r="K2">
        <f>DAY(E2)&amp;"."&amp;MONTH(E2)&amp;"."&amp;YEAR(E2)+1</f>
        <v/>
      </c>
      <c r="L2">
        <f>MONTH(K2)</f>
        <v/>
      </c>
      <c r="M2" s="214">
        <f>SUMIFS(Rechnung_Ausgang!$H:$H,Rechnung_Ausgang!$D:$D, "&gt;="&amp;'2021-Covid-Foerder-EntschHilf'!K2,Rechnung_Ausgang!$D:$D, "&lt;"&amp;'2021-Covid-Foerder-EntschHilf'!K3)</f>
        <v/>
      </c>
      <c r="N2" s="159">
        <f>IF(C2&gt;0,M2/C2-100%,0)</f>
        <v/>
      </c>
    </row>
    <row r="3">
      <c r="A3" s="1" t="n">
        <v>43497</v>
      </c>
      <c r="B3">
        <f>MONTH(A3)</f>
        <v/>
      </c>
      <c r="C3" s="214">
        <f>SUMIFS(Rechnung_Ausgang!$H:$H,Rechnung_Ausgang!$D:$D, "&gt;="&amp;'2021-Covid-Foerder-EntschHilf'!A3,Rechnung_Ausgang!$D:$D, "&lt;"&amp;'2021-Covid-Foerder-EntschHilf'!A4)</f>
        <v/>
      </c>
      <c r="E3" s="137" t="n">
        <v>43862</v>
      </c>
      <c r="F3" s="125">
        <f>MONTH(E3)</f>
        <v/>
      </c>
      <c r="G3" s="228">
        <f>SUMIFS(Rechnung_Ausgang!$H:$H,Rechnung_Ausgang!$D:$D, "&gt;="&amp;'2021-Covid-Foerder-EntschHilf'!E3,Rechnung_Ausgang!$D:$D, "&lt;"&amp;'2021-Covid-Foerder-EntschHilf'!E4)</f>
        <v/>
      </c>
      <c r="H3" s="214" t="n"/>
      <c r="I3" s="214" t="n"/>
      <c r="K3">
        <f>DAY(E3)&amp;"."&amp;MONTH(E3)&amp;"."&amp;YEAR(E3)+1</f>
        <v/>
      </c>
      <c r="L3">
        <f>MONTH(K3)</f>
        <v/>
      </c>
      <c r="M3" s="214">
        <f>SUMIFS(Rechnung_Ausgang!$H:$H,Rechnung_Ausgang!$D:$D, "&gt;="&amp;'2021-Covid-Foerder-EntschHilf'!K3,Rechnung_Ausgang!$D:$D, "&lt;"&amp;'2021-Covid-Foerder-EntschHilf'!K4)</f>
        <v/>
      </c>
      <c r="N3" s="159">
        <f>IF(C3&gt;0,M3/C3-100%,0)</f>
        <v/>
      </c>
    </row>
    <row r="4">
      <c r="A4" s="1" t="n">
        <v>43525</v>
      </c>
      <c r="B4">
        <f>MONTH(A4)</f>
        <v/>
      </c>
      <c r="C4" s="214">
        <f>SUMIFS(Rechnung_Ausgang!$H:$H,Rechnung_Ausgang!$D:$D, "&gt;="&amp;'2021-Covid-Foerder-EntschHilf'!A4,Rechnung_Ausgang!$D:$D, "&lt;"&amp;'2021-Covid-Foerder-EntschHilf'!A5)</f>
        <v/>
      </c>
      <c r="E4" s="137" t="n">
        <v>43891</v>
      </c>
      <c r="F4" s="125">
        <f>MONTH(E4)</f>
        <v/>
      </c>
      <c r="G4" s="228">
        <f>SUMIFS(Rechnung_Ausgang!$H:$H,Rechnung_Ausgang!$D:$D, "&gt;="&amp;'2021-Covid-Foerder-EntschHilf'!E4,Rechnung_Ausgang!$D:$D, "&lt;"&amp;'2021-Covid-Foerder-EntschHilf'!E5)</f>
        <v/>
      </c>
      <c r="H4" s="214" t="n"/>
      <c r="I4" s="214" t="n"/>
      <c r="K4">
        <f>DAY(E4)&amp;"."&amp;MONTH(E4)&amp;"."&amp;YEAR(E4)+1</f>
        <v/>
      </c>
      <c r="L4">
        <f>MONTH(K4)</f>
        <v/>
      </c>
      <c r="M4" s="214">
        <f>SUMIFS(Rechnung_Ausgang!$H:$H,Rechnung_Ausgang!$D:$D, "&gt;="&amp;'2021-Covid-Foerder-EntschHilf'!K4,Rechnung_Ausgang!$D:$D, "&lt;"&amp;'2021-Covid-Foerder-EntschHilf'!K5)</f>
        <v/>
      </c>
      <c r="N4" s="159">
        <f>IF(C4&gt;0,M4/C4-100%,0)</f>
        <v/>
      </c>
    </row>
    <row r="5">
      <c r="A5" s="1" t="n">
        <v>43556</v>
      </c>
      <c r="B5">
        <f>MONTH(A5)</f>
        <v/>
      </c>
      <c r="C5" s="214">
        <f>SUMIFS(Rechnung_Ausgang!$H:$H,Rechnung_Ausgang!$D:$D, "&gt;="&amp;'2021-Covid-Foerder-EntschHilf'!A5,Rechnung_Ausgang!$D:$D, "&lt;"&amp;'2021-Covid-Foerder-EntschHilf'!A6)</f>
        <v/>
      </c>
      <c r="E5" s="137" t="n">
        <v>43922</v>
      </c>
      <c r="F5" s="125">
        <f>MONTH(E5)</f>
        <v/>
      </c>
      <c r="G5" s="228">
        <f>SUMIFS(Rechnung_Ausgang!$H:$H,Rechnung_Ausgang!$D:$D, "&gt;="&amp;'2021-Covid-Foerder-EntschHilf'!E5,Rechnung_Ausgang!$D:$D, "&lt;"&amp;'2021-Covid-Foerder-EntschHilf'!E6)</f>
        <v/>
      </c>
      <c r="H5" s="214" t="n"/>
      <c r="I5" s="214" t="n"/>
      <c r="K5">
        <f>DAY(E5)&amp;"."&amp;MONTH(E5)&amp;"."&amp;YEAR(E5)+1</f>
        <v/>
      </c>
      <c r="L5">
        <f>MONTH(K5)</f>
        <v/>
      </c>
      <c r="M5" s="214">
        <f>SUMIFS(Rechnung_Ausgang!$H:$H,Rechnung_Ausgang!$D:$D, "&gt;="&amp;'2021-Covid-Foerder-EntschHilf'!K5,Rechnung_Ausgang!$D:$D, "&lt;"&amp;'2021-Covid-Foerder-EntschHilf'!K6)</f>
        <v/>
      </c>
      <c r="N5" s="159">
        <f>IF(C5&gt;0,M5/C5-100%,0)</f>
        <v/>
      </c>
      <c r="O5" t="inlineStr">
        <is>
          <t>Prognose (Worst Case)</t>
        </is>
      </c>
    </row>
    <row r="6">
      <c r="A6" s="1" t="n">
        <v>43586</v>
      </c>
      <c r="B6">
        <f>MONTH(A6)</f>
        <v/>
      </c>
      <c r="C6" s="214">
        <f>SUMIFS(Rechnung_Ausgang!$H:$H,Rechnung_Ausgang!$D:$D, "&gt;="&amp;'2021-Covid-Foerder-EntschHilf'!A6,Rechnung_Ausgang!$D:$D, "&lt;"&amp;'2021-Covid-Foerder-EntschHilf'!A7)</f>
        <v/>
      </c>
      <c r="E6" s="137" t="n">
        <v>43952</v>
      </c>
      <c r="F6" s="125">
        <f>MONTH(E6)</f>
        <v/>
      </c>
      <c r="G6" s="228">
        <f>SUMIFS(Rechnung_Ausgang!$H:$H,Rechnung_Ausgang!$D:$D, "&gt;="&amp;'2021-Covid-Foerder-EntschHilf'!E6,Rechnung_Ausgang!$D:$D, "&lt;"&amp;'2021-Covid-Foerder-EntschHilf'!E7)</f>
        <v/>
      </c>
      <c r="H6" s="214" t="n"/>
      <c r="I6" s="214" t="n"/>
      <c r="K6">
        <f>DAY(E6)&amp;"."&amp;MONTH(E6)&amp;"."&amp;YEAR(E6)+1</f>
        <v/>
      </c>
      <c r="L6">
        <f>MONTH(K6)</f>
        <v/>
      </c>
      <c r="M6" t="n">
        <v>0</v>
      </c>
      <c r="N6" s="123">
        <f>IF(C6&gt;0,M6/C6-100%,0)</f>
        <v/>
      </c>
      <c r="O6" t="inlineStr">
        <is>
          <t>Prognose (Worst Case)</t>
        </is>
      </c>
    </row>
    <row r="7">
      <c r="A7" s="1" t="n">
        <v>43617</v>
      </c>
      <c r="B7">
        <f>MONTH(A7)</f>
        <v/>
      </c>
      <c r="C7" s="214">
        <f>SUMIFS(Rechnung_Ausgang!$H:$H,Rechnung_Ausgang!$D:$D, "&gt;="&amp;'2021-Covid-Foerder-EntschHilf'!A7,Rechnung_Ausgang!$D:$D, "&lt;"&amp;'2021-Covid-Foerder-EntschHilf'!A8)</f>
        <v/>
      </c>
      <c r="E7" s="137" t="n">
        <v>43983</v>
      </c>
      <c r="F7" s="125">
        <f>MONTH(E7)</f>
        <v/>
      </c>
      <c r="G7" s="228">
        <f>SUMIFS(Rechnung_Ausgang!$H:$H,Rechnung_Ausgang!$D:$D, "&gt;="&amp;'2021-Covid-Foerder-EntschHilf'!E7,Rechnung_Ausgang!$D:$D, "&lt;"&amp;'2021-Covid-Foerder-EntschHilf'!E8)</f>
        <v/>
      </c>
      <c r="H7" s="214" t="n"/>
      <c r="I7" s="214" t="n"/>
      <c r="K7">
        <f>DAY(E7)&amp;"."&amp;MONTH(E7)&amp;"."&amp;YEAR(E7)+1</f>
        <v/>
      </c>
      <c r="L7">
        <f>MONTH(K7)</f>
        <v/>
      </c>
      <c r="M7" t="n">
        <v>0</v>
      </c>
      <c r="N7" s="123">
        <f>IF(C7&gt;0,M7/C7-100%,0)</f>
        <v/>
      </c>
      <c r="O7" t="inlineStr">
        <is>
          <t>Prognose (Worst Case)</t>
        </is>
      </c>
    </row>
    <row r="8">
      <c r="A8" s="1" t="n">
        <v>43647</v>
      </c>
      <c r="B8">
        <f>MONTH(A8)</f>
        <v/>
      </c>
      <c r="C8" s="214">
        <f>SUMIFS(Rechnung_Ausgang!$H:$H,Rechnung_Ausgang!$D:$D, "&gt;="&amp;'2021-Covid-Foerder-EntschHilf'!A8,Rechnung_Ausgang!$D:$D, "&lt;"&amp;'2021-Covid-Foerder-EntschHilf'!A9)</f>
        <v/>
      </c>
      <c r="E8" s="137" t="n">
        <v>44013</v>
      </c>
      <c r="F8" s="125">
        <f>MONTH(E8)</f>
        <v/>
      </c>
      <c r="G8" s="228">
        <f>SUMIFS(Rechnung_Ausgang!$H:$H,Rechnung_Ausgang!$D:$D, "&gt;="&amp;'2021-Covid-Foerder-EntschHilf'!E8,Rechnung_Ausgang!$D:$D, "&lt;"&amp;'2021-Covid-Foerder-EntschHilf'!E9)</f>
        <v/>
      </c>
      <c r="H8" s="214" t="n"/>
      <c r="I8" s="214" t="n"/>
      <c r="K8" s="125">
        <f>DAY(E8)&amp;"."&amp;MONTH(E8)&amp;"."&amp;YEAR(E8)+1</f>
        <v/>
      </c>
      <c r="L8" s="125">
        <f>MONTH(K8)</f>
        <v/>
      </c>
      <c r="M8" s="228" t="n">
        <v>3600</v>
      </c>
      <c r="N8" s="127" t="n"/>
    </row>
    <row r="9">
      <c r="A9" s="1" t="n">
        <v>43678</v>
      </c>
      <c r="B9">
        <f>MONTH(A9)</f>
        <v/>
      </c>
      <c r="C9" s="214">
        <f>SUMIFS(Rechnung_Ausgang!$H:$H,Rechnung_Ausgang!$D:$D, "&gt;="&amp;'2021-Covid-Foerder-EntschHilf'!A9,Rechnung_Ausgang!$D:$D, "&lt;"&amp;'2021-Covid-Foerder-EntschHilf'!A10)</f>
        <v/>
      </c>
      <c r="E9" s="137" t="n">
        <v>44044</v>
      </c>
      <c r="F9" s="125">
        <f>MONTH(E9)</f>
        <v/>
      </c>
      <c r="G9" s="228">
        <f>SUMIFS(Rechnung_Ausgang!$H:$H,Rechnung_Ausgang!$D:$D, "&gt;="&amp;'2021-Covid-Foerder-EntschHilf'!E9,Rechnung_Ausgang!$D:$D, "&lt;"&amp;'2021-Covid-Foerder-EntschHilf'!E10)</f>
        <v/>
      </c>
      <c r="H9" s="214" t="n"/>
      <c r="I9" s="214" t="n"/>
      <c r="K9" s="125">
        <f>DAY(E9)&amp;"."&amp;MONTH(E9)&amp;"."&amp;YEAR(E9)+1</f>
        <v/>
      </c>
      <c r="L9" s="125">
        <f>MONTH(K9)</f>
        <v/>
      </c>
      <c r="M9" s="125" t="n">
        <v>0</v>
      </c>
      <c r="N9" s="127" t="n"/>
    </row>
    <row r="10">
      <c r="A10" s="1" t="n">
        <v>43709</v>
      </c>
      <c r="B10">
        <f>MONTH(A10)</f>
        <v/>
      </c>
      <c r="C10" s="214">
        <f>SUMIFS(Rechnung_Ausgang!$H:$H,Rechnung_Ausgang!$D:$D, "&gt;="&amp;'2021-Covid-Foerder-EntschHilf'!A10,Rechnung_Ausgang!$D:$D, "&lt;"&amp;'2021-Covid-Foerder-EntschHilf'!A11)</f>
        <v/>
      </c>
      <c r="E10" s="9" t="n">
        <v>44090</v>
      </c>
      <c r="F10">
        <f>MONTH(E10)</f>
        <v/>
      </c>
      <c r="G10" s="214">
        <f>SUMIFS(Rechnung_Ausgang!$H:$H,Rechnung_Ausgang!$D:$D, "&gt;="&amp;'2021-Covid-Foerder-EntschHilf'!E10,Rechnung_Ausgang!$D:$D, "&lt;"&amp;'2021-Covid-Foerder-EntschHilf'!E11)</f>
        <v/>
      </c>
      <c r="H10" s="159">
        <f>IF(C10&gt;0,G10/C10-100%,0)</f>
        <v/>
      </c>
      <c r="I10" s="159" t="inlineStr">
        <is>
          <t>ab 16.9.</t>
        </is>
      </c>
      <c r="K10" s="125">
        <f>DAY(E10)&amp;"."&amp;MONTH(E10)&amp;"."&amp;YEAR(E10)+1</f>
        <v/>
      </c>
      <c r="L10" s="125">
        <f>MONTH(K10)</f>
        <v/>
      </c>
      <c r="M10" s="125" t="n">
        <v>0</v>
      </c>
      <c r="N10" s="127" t="n"/>
    </row>
    <row r="11">
      <c r="A11" s="1" t="n">
        <v>43739</v>
      </c>
      <c r="B11">
        <f>MONTH(A11)</f>
        <v/>
      </c>
      <c r="C11" s="214">
        <f>SUMIFS(Rechnung_Ausgang!$H:$H,Rechnung_Ausgang!$D:$D, "&gt;="&amp;'2021-Covid-Foerder-EntschHilf'!A11,Rechnung_Ausgang!$D:$D, "&lt;"&amp;'2021-Covid-Foerder-EntschHilf'!A12)</f>
        <v/>
      </c>
      <c r="E11" s="9" t="n">
        <v>44105</v>
      </c>
      <c r="F11">
        <f>MONTH(E11)</f>
        <v/>
      </c>
      <c r="G11" s="214">
        <f>SUMIFS(Rechnung_Ausgang!$H:$H,Rechnung_Ausgang!$D:$D, "&gt;="&amp;'2021-Covid-Foerder-EntschHilf'!E11,Rechnung_Ausgang!$D:$D, "&lt;"&amp;'2021-Covid-Foerder-EntschHilf'!E12)</f>
        <v/>
      </c>
      <c r="H11" s="123">
        <f>IF(C11&gt;0,G11/C11-100%,0)</f>
        <v/>
      </c>
      <c r="I11" s="159" t="n"/>
      <c r="K11" s="125">
        <f>DAY(E11)&amp;"."&amp;MONTH(E11)&amp;"."&amp;YEAR(E11)+1</f>
        <v/>
      </c>
      <c r="L11" s="125">
        <f>MONTH(K11)</f>
        <v/>
      </c>
      <c r="M11" s="228" t="n">
        <v>3600</v>
      </c>
      <c r="N11" s="127" t="n"/>
    </row>
    <row r="12">
      <c r="A12" s="1" t="n">
        <v>43770</v>
      </c>
      <c r="B12">
        <f>MONTH(A12)</f>
        <v/>
      </c>
      <c r="C12" s="214">
        <f>SUMIFS(Rechnung_Ausgang!$H:$H,Rechnung_Ausgang!$D:$D, "&gt;="&amp;'2021-Covid-Foerder-EntschHilf'!A12,Rechnung_Ausgang!$D:$D, "&lt;"&amp;'2021-Covid-Foerder-EntschHilf'!A13)</f>
        <v/>
      </c>
      <c r="E12" s="9" t="n">
        <v>44136</v>
      </c>
      <c r="F12">
        <f>MONTH(E12)</f>
        <v/>
      </c>
      <c r="G12" s="214">
        <f>SUMIFS(Rechnung_Ausgang!$H:$H,Rechnung_Ausgang!$D:$D, "&gt;="&amp;'2021-Covid-Foerder-EntschHilf'!E12,Rechnung_Ausgang!$D:$D, "&lt;"&amp;'2021-Covid-Foerder-EntschHilf'!E13)</f>
        <v/>
      </c>
      <c r="H12" s="159">
        <f>IF(C12&gt;0,G12/C12-100%,0)</f>
        <v/>
      </c>
      <c r="I12" s="159" t="n"/>
      <c r="K12" s="125">
        <f>DAY(E12)&amp;"."&amp;MONTH(E12)&amp;"."&amp;YEAR(E12)+1</f>
        <v/>
      </c>
      <c r="L12" s="125">
        <f>MONTH(K12)</f>
        <v/>
      </c>
      <c r="M12" s="125" t="n">
        <v>0</v>
      </c>
      <c r="N12" s="127" t="n"/>
    </row>
    <row r="13">
      <c r="A13" s="1" t="n">
        <v>43800</v>
      </c>
      <c r="B13">
        <f>MONTH(A13)</f>
        <v/>
      </c>
      <c r="C13" s="214">
        <f>SUMIFS(Rechnung_Ausgang!$H:$H,Rechnung_Ausgang!$D:$D, "&gt;="&amp;'2021-Covid-Foerder-EntschHilf'!A13,Rechnung_Ausgang!$D:$D, "&lt;"&amp;'2021-Covid-Foerder-EntschHilf'!A14)</f>
        <v/>
      </c>
      <c r="E13" s="9" t="n">
        <v>44166</v>
      </c>
      <c r="F13">
        <f>MONTH(E13)</f>
        <v/>
      </c>
      <c r="G13" s="214">
        <f>SUMIFS(Rechnung_Ausgang!$H:$H,Rechnung_Ausgang!$D:$D, "&gt;="&amp;'2021-Covid-Foerder-EntschHilf'!E13,Rechnung_Ausgang!$D:$D, "&lt;"&amp;'2021-Covid-Foerder-EntschHilf'!E14)</f>
        <v/>
      </c>
      <c r="H13" s="159">
        <f>IF(C13&gt;0,G13/C13-100%,0)</f>
        <v/>
      </c>
      <c r="I13" s="159" t="n"/>
      <c r="K13" s="125">
        <f>DAY(E13)&amp;"."&amp;MONTH(E13)&amp;"."&amp;YEAR(E13)+1</f>
        <v/>
      </c>
      <c r="L13" s="125">
        <f>MONTH(K13)</f>
        <v/>
      </c>
      <c r="M13" s="125" t="n">
        <v>0</v>
      </c>
      <c r="N13" s="127" t="n"/>
    </row>
    <row r="14" hidden="1">
      <c r="A14" s="1" t="n">
        <v>43831</v>
      </c>
      <c r="B14">
        <f>MONTH(A14)</f>
        <v/>
      </c>
      <c r="E14" s="9" t="n">
        <v>44197</v>
      </c>
      <c r="F14">
        <f>MONTH(E14)</f>
        <v/>
      </c>
      <c r="K14" s="125">
        <f>DAY(E14)&amp;"."&amp;MONTH(E14)&amp;"."&amp;YEAR(E14)+1</f>
        <v/>
      </c>
      <c r="L14" s="125" t="n"/>
      <c r="M14" s="125" t="n"/>
      <c r="N14" s="127">
        <f>(M14/G14-100%)</f>
        <v/>
      </c>
    </row>
    <row r="15" customFormat="1" s="119">
      <c r="B15" s="122">
        <f>"Summe "&amp;YEAR(A13)</f>
        <v/>
      </c>
      <c r="C15" s="266">
        <f>SUM(C2:C13)</f>
        <v/>
      </c>
      <c r="E15" s="138" t="n"/>
      <c r="F15" s="122">
        <f>"Summe "&amp;YEAR(E13)</f>
        <v/>
      </c>
      <c r="G15" s="266">
        <f>SUM(G2:G13)</f>
        <v/>
      </c>
      <c r="H15" s="266" t="n"/>
      <c r="I15" s="266" t="n"/>
      <c r="L15" s="122">
        <f>"Summe "&amp;YEAR(K13)</f>
        <v/>
      </c>
      <c r="M15" s="266">
        <f>SUM(M2:M13)</f>
        <v/>
      </c>
      <c r="N15" s="121" t="n"/>
    </row>
    <row r="484">
      <c r="D484" t="inlineStr">
        <is>
          <t>Telefon/Internet</t>
        </is>
      </c>
    </row>
    <row r="498">
      <c r="D498" t="inlineStr">
        <is>
          <t>Telefon/Internet</t>
        </is>
      </c>
    </row>
    <row r="515">
      <c r="D515" t="inlineStr">
        <is>
          <t>Telefon/Internet</t>
        </is>
      </c>
    </row>
    <row r="528">
      <c r="D528" t="inlineStr">
        <is>
          <t>Telefon/Internet</t>
        </is>
      </c>
    </row>
    <row r="543">
      <c r="D543" t="inlineStr">
        <is>
          <t>Telefon/Internet</t>
        </is>
      </c>
    </row>
    <row r="553">
      <c r="D553" t="inlineStr">
        <is>
          <t>Telefon/Internet</t>
        </is>
      </c>
    </row>
    <row r="568">
      <c r="D568" t="inlineStr">
        <is>
          <t>Telefon/Internet</t>
        </is>
      </c>
    </row>
    <row r="587">
      <c r="D587" t="inlineStr">
        <is>
          <t>Telefon/Internet</t>
        </is>
      </c>
    </row>
    <row r="603">
      <c r="D603" t="inlineStr">
        <is>
          <t>Telefon/Internet</t>
        </is>
      </c>
    </row>
    <row r="613">
      <c r="D613" t="inlineStr">
        <is>
          <t>Telefon/Internet</t>
        </is>
      </c>
    </row>
    <row r="628">
      <c r="E628" s="9" t="inlineStr">
        <is>
          <t>IEE2021009286377</t>
        </is>
      </c>
      <c r="G628" s="1" t="n">
        <v>44496</v>
      </c>
      <c r="H628" t="inlineStr">
        <is>
          <t>Adobe Systems Software Ireland Ltd., 4-6 Riverwalk, Citywest Business Park, Dublin 24, Ireland, VAT ID IE6364992H</t>
        </is>
      </c>
      <c r="L628" t="n">
        <v>20.28</v>
      </c>
      <c r="N628" s="159" t="n">
        <v>0</v>
      </c>
    </row>
    <row r="629">
      <c r="E629" s="9" t="n">
        <v>4005917408</v>
      </c>
      <c r="G629" s="1" t="n">
        <v>44502</v>
      </c>
      <c r="L629" t="n">
        <v>10.4</v>
      </c>
    </row>
    <row r="630">
      <c r="E630" s="9" t="inlineStr">
        <is>
          <t>21/9801/VS00475</t>
        </is>
      </c>
      <c r="G630" s="1" t="n">
        <v>44502</v>
      </c>
    </row>
    <row r="631">
      <c r="D631" t="inlineStr">
        <is>
          <t>Telefon/Internet</t>
        </is>
      </c>
      <c r="E631" s="9" t="n">
        <v>6231435320</v>
      </c>
      <c r="G631" s="1" t="n">
        <v>44502</v>
      </c>
    </row>
    <row r="632">
      <c r="E632" s="131" t="inlineStr">
        <is>
          <t>4293000000022460</t>
        </is>
      </c>
      <c r="G632" s="1" t="n">
        <v>44502</v>
      </c>
      <c r="L632" t="n">
        <v>3.62</v>
      </c>
    </row>
    <row r="633">
      <c r="E633" s="131" t="inlineStr">
        <is>
          <t>4293000000022463</t>
        </is>
      </c>
      <c r="G633" s="1" t="n">
        <v>44503</v>
      </c>
      <c r="L633" t="n">
        <v>3.62</v>
      </c>
    </row>
  </sheetData>
  <pageMargins left="0.7" right="0.7" top="0.787401575" bottom="0.787401575" header="0.3" footer="0.3"/>
  <pageSetup orientation="portrait" paperSize="9"/>
</worksheet>
</file>

<file path=xl/worksheets/sheet19.xml><?xml version="1.0" encoding="utf-8"?>
<worksheet xmlns="http://schemas.openxmlformats.org/spreadsheetml/2006/main">
  <sheetPr codeName="Tabelle31">
    <outlinePr summaryBelow="1" summaryRight="1"/>
    <pageSetUpPr/>
  </sheetPr>
  <dimension ref="A1:XEK221"/>
  <sheetViews>
    <sheetView zoomScaleNormal="100" workbookViewId="0">
      <selection activeCell="C8" sqref="C8"/>
    </sheetView>
  </sheetViews>
  <sheetFormatPr baseColWidth="10" defaultColWidth="11.42578125" defaultRowHeight="15"/>
  <cols>
    <col width="11.42578125" customWidth="1" style="1" min="2" max="2"/>
    <col width="35.7109375" customWidth="1" min="3" max="3"/>
    <col width="11.42578125" customWidth="1" style="214" min="6" max="6"/>
    <col width="13.85546875" customWidth="1" min="14" max="14"/>
    <col width="11.85546875" bestFit="1" customWidth="1" min="19" max="19"/>
  </cols>
  <sheetData>
    <row r="1">
      <c r="A1" s="63" t="inlineStr">
        <is>
          <t>lfd. Nr.</t>
        </is>
      </c>
      <c r="B1" s="96" t="inlineStr">
        <is>
          <t>Datum</t>
        </is>
      </c>
      <c r="C1" s="63" t="inlineStr">
        <is>
          <t>Text</t>
        </is>
      </c>
      <c r="D1" s="63" t="inlineStr">
        <is>
          <t>Kategorie</t>
        </is>
      </c>
      <c r="E1" s="63" t="inlineStr">
        <is>
          <t>Spesenart</t>
        </is>
      </c>
      <c r="F1" s="235" t="inlineStr">
        <is>
          <t>Bruttobetrag</t>
        </is>
      </c>
      <c r="G1" s="63" t="inlineStr">
        <is>
          <t>Steuersatz</t>
        </is>
      </c>
      <c r="H1" s="87" t="n"/>
      <c r="I1" s="87" t="inlineStr">
        <is>
          <t>Jahr</t>
        </is>
      </c>
      <c r="J1" s="87" t="inlineStr">
        <is>
          <t>LFD NR</t>
        </is>
      </c>
      <c r="K1" s="87" t="inlineStr">
        <is>
          <t>E/A</t>
        </is>
      </c>
      <c r="L1" s="87" t="inlineStr">
        <is>
          <t>Spesenart</t>
        </is>
      </c>
      <c r="M1" s="87" t="inlineStr">
        <is>
          <t>RNR</t>
        </is>
      </c>
      <c r="N1" s="87" t="inlineStr">
        <is>
          <t>ZahlDat</t>
        </is>
      </c>
      <c r="O1" s="87" t="inlineStr">
        <is>
          <t>Bez</t>
        </is>
      </c>
      <c r="P1" s="87" t="n"/>
      <c r="Q1" s="87" t="n"/>
      <c r="R1" s="87" t="inlineStr">
        <is>
          <t>Weiterverk</t>
        </is>
      </c>
      <c r="S1" s="87" t="inlineStr">
        <is>
          <t>Netto EP</t>
        </is>
      </c>
      <c r="T1" s="87" t="inlineStr">
        <is>
          <t>T</t>
        </is>
      </c>
      <c r="U1" s="87" t="inlineStr">
        <is>
          <t>U</t>
        </is>
      </c>
      <c r="V1" s="87" t="inlineStr">
        <is>
          <t>V</t>
        </is>
      </c>
      <c r="W1" s="87" t="inlineStr">
        <is>
          <t>W</t>
        </is>
      </c>
      <c r="X1" s="87" t="inlineStr">
        <is>
          <t>Netto antlg</t>
        </is>
      </c>
      <c r="Y1" s="87" t="inlineStr">
        <is>
          <t>Brutto 100</t>
        </is>
      </c>
      <c r="Z1" s="87" t="inlineStr">
        <is>
          <t>Brutto antlg</t>
        </is>
      </c>
      <c r="AA1" s="87" t="inlineStr">
        <is>
          <t>AA</t>
        </is>
      </c>
      <c r="AB1" s="87" t="inlineStr">
        <is>
          <t>AB</t>
        </is>
      </c>
      <c r="AC1" s="87" t="inlineStr">
        <is>
          <t>AC</t>
        </is>
      </c>
      <c r="AD1" s="87" t="inlineStr">
        <is>
          <t>AD</t>
        </is>
      </c>
      <c r="AE1" s="87" t="inlineStr">
        <is>
          <t>AE</t>
        </is>
      </c>
      <c r="AF1" s="87" t="inlineStr">
        <is>
          <t>AF</t>
        </is>
      </c>
      <c r="AG1" s="87" t="inlineStr">
        <is>
          <t>AG</t>
        </is>
      </c>
      <c r="AH1" s="87" t="n"/>
      <c r="AI1" s="87" t="n"/>
      <c r="AJ1" s="87" t="n"/>
      <c r="AK1" s="87" t="n"/>
      <c r="AL1" s="87" t="n"/>
      <c r="AM1" s="87" t="n"/>
      <c r="AN1" s="87" t="n"/>
      <c r="AO1" s="87" t="n"/>
      <c r="AP1" s="87" t="n"/>
      <c r="AQ1" s="87" t="n"/>
      <c r="AR1" s="87" t="n"/>
      <c r="AS1" s="87" t="n"/>
      <c r="AT1" s="87" t="n"/>
      <c r="AU1" s="87" t="n"/>
      <c r="AV1" s="87" t="n"/>
      <c r="AW1" s="87" t="n"/>
      <c r="AX1" s="87" t="n"/>
      <c r="AY1" s="87" t="n"/>
      <c r="AZ1" s="87" t="n"/>
      <c r="BA1" s="87" t="n"/>
      <c r="BB1" s="87" t="n"/>
      <c r="BC1" s="87" t="n"/>
      <c r="BD1" s="87" t="n"/>
      <c r="BE1" s="87" t="n"/>
      <c r="BF1" s="87" t="n"/>
      <c r="BG1" s="87" t="n"/>
      <c r="BH1" s="87" t="n"/>
      <c r="BI1" s="87" t="n"/>
      <c r="BJ1" s="87" t="n"/>
      <c r="BK1" s="87" t="n"/>
      <c r="BL1" s="87" t="n"/>
      <c r="BM1" s="87" t="n"/>
      <c r="BN1" s="87" t="n"/>
      <c r="BO1" s="87" t="n"/>
      <c r="BP1" s="87" t="n"/>
      <c r="BQ1" s="87" t="n"/>
      <c r="BR1" s="87" t="n"/>
      <c r="BS1" s="87" t="n"/>
      <c r="BT1" s="87" t="n"/>
      <c r="BU1" s="87" t="n"/>
      <c r="BV1" s="87" t="n"/>
      <c r="BW1" s="87" t="n"/>
      <c r="BX1" s="87" t="n"/>
      <c r="BY1" s="87" t="n"/>
      <c r="BZ1" s="87" t="n"/>
      <c r="CA1" s="87" t="n"/>
      <c r="CB1" s="87" t="n"/>
      <c r="CC1" s="87" t="n"/>
      <c r="CD1" s="87" t="n"/>
      <c r="CE1" s="87" t="n"/>
      <c r="CF1" s="87" t="n"/>
      <c r="CG1" s="87" t="n"/>
      <c r="CH1" s="87" t="n"/>
      <c r="CI1" s="87" t="n"/>
      <c r="CJ1" s="87" t="n"/>
      <c r="CK1" s="87" t="n"/>
      <c r="CL1" s="87" t="n"/>
      <c r="CM1" s="87" t="n"/>
      <c r="CN1" s="87" t="n"/>
      <c r="CO1" s="87" t="n"/>
      <c r="CP1" s="87" t="n"/>
      <c r="CQ1" s="87" t="n"/>
      <c r="CR1" s="87" t="n"/>
      <c r="CS1" s="87" t="n"/>
      <c r="CT1" s="87" t="n"/>
      <c r="CU1" s="87" t="n"/>
      <c r="CV1" s="87" t="n"/>
      <c r="CW1" s="87" t="n"/>
      <c r="CX1" s="87" t="n"/>
      <c r="CY1" s="87" t="n"/>
      <c r="CZ1" s="87" t="n"/>
      <c r="DA1" s="87" t="n"/>
      <c r="DB1" s="87" t="n"/>
      <c r="DC1" s="87" t="n"/>
      <c r="DD1" s="87" t="n"/>
      <c r="DE1" s="87" t="n"/>
      <c r="DF1" s="87" t="n"/>
      <c r="DG1" s="87" t="n"/>
      <c r="DH1" s="87" t="n"/>
      <c r="DI1" s="87" t="n"/>
      <c r="DJ1" s="87" t="n"/>
      <c r="DK1" s="87" t="n"/>
      <c r="DL1" s="87" t="n"/>
      <c r="DM1" s="87" t="n"/>
      <c r="DN1" s="87" t="n"/>
      <c r="DO1" s="87" t="n"/>
      <c r="DP1" s="87" t="n"/>
      <c r="DQ1" s="87" t="n"/>
      <c r="DR1" s="87" t="n"/>
      <c r="DS1" s="87" t="n"/>
      <c r="DT1" s="87" t="n"/>
      <c r="DU1" s="87" t="n"/>
      <c r="DV1" s="87" t="n"/>
      <c r="DW1" s="87" t="n"/>
      <c r="DX1" s="87" t="n"/>
      <c r="DY1" s="87" t="n"/>
      <c r="DZ1" s="87" t="n"/>
      <c r="EA1" s="87" t="n"/>
      <c r="EB1" s="87" t="n"/>
      <c r="EC1" s="87" t="n"/>
      <c r="ED1" s="87" t="n"/>
      <c r="EE1" s="87" t="n"/>
      <c r="EF1" s="87" t="n"/>
      <c r="EG1" s="87" t="n"/>
      <c r="EH1" s="87" t="n"/>
      <c r="EI1" s="87" t="n"/>
      <c r="EJ1" s="87" t="n"/>
      <c r="EK1" s="87" t="n"/>
      <c r="EL1" s="87" t="n"/>
      <c r="EM1" s="87" t="n"/>
      <c r="EN1" s="87" t="n"/>
      <c r="EO1" s="87" t="n"/>
      <c r="EP1" s="87" t="n"/>
      <c r="EQ1" s="87" t="n"/>
      <c r="ER1" s="87" t="n"/>
      <c r="ES1" s="87" t="n"/>
      <c r="ET1" s="87" t="n"/>
      <c r="EU1" s="87" t="n"/>
      <c r="EV1" s="87" t="n"/>
      <c r="EW1" s="87" t="n"/>
      <c r="EX1" s="87" t="n"/>
      <c r="EY1" s="87" t="n"/>
      <c r="EZ1" s="87" t="n"/>
      <c r="FA1" s="87" t="n"/>
      <c r="FB1" s="87" t="n"/>
      <c r="FC1" s="87" t="n"/>
      <c r="FD1" s="87" t="n"/>
      <c r="FE1" s="87" t="n"/>
      <c r="FF1" s="87" t="n"/>
      <c r="FG1" s="87" t="n"/>
      <c r="FH1" s="87" t="n"/>
      <c r="FI1" s="87" t="n"/>
      <c r="FJ1" s="87" t="n"/>
      <c r="FK1" s="87" t="n"/>
      <c r="FL1" s="87" t="n"/>
      <c r="FM1" s="87" t="n"/>
      <c r="FN1" s="87" t="n"/>
      <c r="FO1" s="87" t="n"/>
      <c r="FP1" s="87" t="n"/>
      <c r="FQ1" s="87" t="n"/>
      <c r="FR1" s="87" t="n"/>
      <c r="FS1" s="87" t="n"/>
      <c r="FT1" s="87" t="n"/>
      <c r="FU1" s="87" t="n"/>
      <c r="FV1" s="87" t="n"/>
      <c r="FW1" s="87" t="n"/>
      <c r="FX1" s="87" t="n"/>
      <c r="FY1" s="87" t="n"/>
      <c r="FZ1" s="87" t="n"/>
      <c r="GA1" s="87" t="n"/>
      <c r="GB1" s="87" t="n"/>
      <c r="GC1" s="87" t="n"/>
      <c r="GD1" s="87" t="n"/>
      <c r="GE1" s="87" t="n"/>
      <c r="GF1" s="87" t="n"/>
      <c r="GG1" s="87" t="n"/>
      <c r="GH1" s="87" t="n"/>
      <c r="GI1" s="87" t="n"/>
      <c r="GJ1" s="87" t="n"/>
      <c r="GK1" s="87" t="n"/>
      <c r="GL1" s="87" t="n"/>
      <c r="GM1" s="87" t="n"/>
      <c r="GN1" s="87" t="n"/>
      <c r="GO1" s="87" t="n"/>
      <c r="GP1" s="87" t="n"/>
      <c r="GQ1" s="87" t="n"/>
      <c r="GR1" s="87" t="n"/>
      <c r="GS1" s="87" t="n"/>
      <c r="GT1" s="87" t="n"/>
      <c r="GU1" s="87" t="n"/>
      <c r="GV1" s="87" t="n"/>
      <c r="GW1" s="87" t="n"/>
      <c r="GX1" s="87" t="n"/>
      <c r="GY1" s="87" t="n"/>
      <c r="GZ1" s="87" t="n"/>
      <c r="HA1" s="87" t="n"/>
      <c r="HB1" s="87" t="n"/>
      <c r="HC1" s="87" t="n"/>
      <c r="HD1" s="87" t="n"/>
      <c r="HE1" s="87" t="n"/>
      <c r="HF1" s="87" t="n"/>
      <c r="HG1" s="87" t="n"/>
      <c r="HH1" s="87" t="n"/>
      <c r="HI1" s="87" t="n"/>
      <c r="HJ1" s="87" t="n"/>
      <c r="HK1" s="87" t="n"/>
      <c r="HL1" s="87" t="n"/>
      <c r="HM1" s="87" t="n"/>
      <c r="HN1" s="87" t="n"/>
      <c r="HO1" s="87" t="n"/>
      <c r="HP1" s="87" t="n"/>
      <c r="HQ1" s="87" t="n"/>
      <c r="HR1" s="87" t="n"/>
      <c r="HS1" s="87" t="n"/>
      <c r="HT1" s="87" t="n"/>
      <c r="HU1" s="87" t="n"/>
      <c r="HV1" s="87" t="n"/>
      <c r="HW1" s="87" t="n"/>
      <c r="HX1" s="87" t="n"/>
      <c r="HY1" s="87" t="n"/>
      <c r="HZ1" s="87" t="n"/>
      <c r="IA1" s="87" t="n"/>
      <c r="IB1" s="87" t="n"/>
      <c r="IC1" s="87" t="n"/>
      <c r="ID1" s="87" t="n"/>
      <c r="IE1" s="87" t="n"/>
      <c r="IF1" s="87" t="n"/>
      <c r="IG1" s="87" t="n"/>
      <c r="IH1" s="87" t="n"/>
      <c r="II1" s="87" t="n"/>
      <c r="IJ1" s="87" t="n"/>
      <c r="IK1" s="87" t="n"/>
      <c r="IL1" s="87" t="n"/>
      <c r="IM1" s="87" t="n"/>
      <c r="IN1" s="87" t="n"/>
      <c r="IO1" s="87" t="n"/>
      <c r="IP1" s="87" t="n"/>
      <c r="IQ1" s="87" t="n"/>
      <c r="IR1" s="87" t="n"/>
      <c r="IS1" s="87" t="n"/>
      <c r="IT1" s="87" t="n"/>
      <c r="IU1" s="87" t="n"/>
      <c r="IV1" s="87" t="n"/>
      <c r="IW1" s="87" t="n"/>
      <c r="IX1" s="87" t="n"/>
      <c r="IY1" s="87" t="n"/>
      <c r="IZ1" s="87" t="n"/>
      <c r="JA1" s="87" t="n"/>
      <c r="JB1" s="87" t="n"/>
      <c r="JC1" s="87" t="n"/>
      <c r="JD1" s="87" t="n"/>
      <c r="JE1" s="87" t="n"/>
      <c r="JF1" s="87" t="n"/>
      <c r="JG1" s="87" t="n"/>
      <c r="JH1" s="87" t="n"/>
      <c r="JI1" s="87" t="n"/>
      <c r="JJ1" s="87" t="n"/>
      <c r="JK1" s="87" t="n"/>
      <c r="JL1" s="87" t="n"/>
      <c r="JM1" s="87" t="n"/>
      <c r="JN1" s="87" t="n"/>
      <c r="JO1" s="87" t="n"/>
      <c r="JP1" s="87" t="n"/>
      <c r="JQ1" s="87" t="n"/>
      <c r="JR1" s="87" t="n"/>
      <c r="JS1" s="87" t="n"/>
      <c r="JT1" s="87" t="n"/>
      <c r="JU1" s="87" t="n"/>
      <c r="JV1" s="87" t="n"/>
      <c r="JW1" s="87" t="n"/>
      <c r="JX1" s="87" t="n"/>
      <c r="JY1" s="87" t="n"/>
      <c r="JZ1" s="87" t="n"/>
      <c r="KA1" s="87" t="n"/>
      <c r="KB1" s="87" t="n"/>
      <c r="KC1" s="87" t="n"/>
      <c r="KD1" s="87" t="n"/>
      <c r="KE1" s="87" t="n"/>
      <c r="KF1" s="87" t="n"/>
      <c r="KG1" s="87" t="n"/>
      <c r="KH1" s="87" t="n"/>
      <c r="KI1" s="87" t="n"/>
      <c r="KJ1" s="87" t="n"/>
      <c r="KK1" s="87" t="n"/>
      <c r="KL1" s="87" t="n"/>
      <c r="KM1" s="87" t="n"/>
      <c r="KN1" s="87" t="n"/>
      <c r="KO1" s="87" t="n"/>
      <c r="KP1" s="87" t="n"/>
      <c r="KQ1" s="87" t="n"/>
      <c r="KR1" s="87" t="n"/>
      <c r="KS1" s="87" t="n"/>
      <c r="KT1" s="87" t="n"/>
      <c r="KU1" s="87" t="n"/>
      <c r="KV1" s="87" t="n"/>
      <c r="KW1" s="87" t="n"/>
      <c r="KX1" s="87" t="n"/>
      <c r="KY1" s="87" t="n"/>
      <c r="KZ1" s="87" t="n"/>
      <c r="LA1" s="87" t="n"/>
      <c r="LB1" s="87" t="n"/>
      <c r="LC1" s="87" t="n"/>
      <c r="LD1" s="87" t="n"/>
      <c r="LE1" s="87" t="n"/>
      <c r="LF1" s="87" t="n"/>
      <c r="LG1" s="87" t="n"/>
      <c r="LH1" s="87" t="n"/>
      <c r="LI1" s="87" t="n"/>
      <c r="LJ1" s="87" t="n"/>
      <c r="LK1" s="87" t="n"/>
      <c r="LL1" s="87" t="n"/>
      <c r="LM1" s="87" t="n"/>
      <c r="LN1" s="87" t="n"/>
      <c r="LO1" s="87" t="n"/>
      <c r="LP1" s="87" t="n"/>
      <c r="LQ1" s="87" t="n"/>
      <c r="LR1" s="87" t="n"/>
      <c r="LS1" s="87" t="n"/>
      <c r="LT1" s="87" t="n"/>
      <c r="LU1" s="87" t="n"/>
      <c r="LV1" s="87" t="n"/>
      <c r="LW1" s="87" t="n"/>
      <c r="LX1" s="87" t="n"/>
      <c r="LY1" s="87" t="n"/>
      <c r="LZ1" s="87" t="n"/>
      <c r="MA1" s="87" t="n"/>
      <c r="MB1" s="87" t="n"/>
      <c r="MC1" s="87" t="n"/>
      <c r="MD1" s="87" t="n"/>
      <c r="ME1" s="87" t="n"/>
      <c r="MF1" s="87" t="n"/>
      <c r="MG1" s="87" t="n"/>
      <c r="MH1" s="87" t="n"/>
      <c r="MI1" s="87" t="n"/>
      <c r="MJ1" s="87" t="n"/>
      <c r="MK1" s="87" t="n"/>
      <c r="ML1" s="87" t="n"/>
      <c r="MM1" s="87" t="n"/>
      <c r="MN1" s="87" t="n"/>
      <c r="MO1" s="87" t="n"/>
      <c r="MP1" s="87" t="n"/>
      <c r="MQ1" s="87" t="n"/>
      <c r="MR1" s="87" t="n"/>
      <c r="MS1" s="87" t="n"/>
      <c r="MT1" s="87" t="n"/>
      <c r="MU1" s="87" t="n"/>
      <c r="MV1" s="87" t="n"/>
      <c r="MW1" s="87" t="n"/>
      <c r="MX1" s="87" t="n"/>
      <c r="MY1" s="87" t="n"/>
      <c r="MZ1" s="87" t="n"/>
      <c r="NA1" s="87" t="n"/>
      <c r="NB1" s="87" t="n"/>
      <c r="NC1" s="87" t="n"/>
      <c r="ND1" s="87" t="n"/>
      <c r="NE1" s="87" t="n"/>
      <c r="NF1" s="87" t="n"/>
      <c r="NG1" s="87" t="n"/>
      <c r="NH1" s="87" t="n"/>
      <c r="NI1" s="87" t="n"/>
      <c r="NJ1" s="87" t="n"/>
      <c r="NK1" s="87" t="n"/>
      <c r="NL1" s="87" t="n"/>
      <c r="NM1" s="87" t="n"/>
      <c r="NN1" s="87" t="n"/>
      <c r="NO1" s="87" t="n"/>
      <c r="NP1" s="87" t="n"/>
      <c r="NQ1" s="87" t="n"/>
      <c r="NR1" s="87" t="n"/>
      <c r="NS1" s="87" t="n"/>
      <c r="NT1" s="87" t="n"/>
      <c r="NU1" s="87" t="n"/>
      <c r="NV1" s="87" t="n"/>
      <c r="NW1" s="87" t="n"/>
      <c r="NX1" s="87" t="n"/>
      <c r="NY1" s="87" t="n"/>
      <c r="NZ1" s="87" t="n"/>
      <c r="OA1" s="87" t="n"/>
      <c r="OB1" s="87" t="n"/>
      <c r="OC1" s="87" t="n"/>
      <c r="OD1" s="87" t="n"/>
      <c r="OE1" s="87" t="n"/>
      <c r="OF1" s="87" t="n"/>
      <c r="OG1" s="87" t="n"/>
      <c r="OH1" s="87" t="n"/>
      <c r="OI1" s="87" t="n"/>
      <c r="OJ1" s="87" t="n"/>
      <c r="OK1" s="87" t="n"/>
      <c r="OL1" s="87" t="n"/>
      <c r="OM1" s="87" t="n"/>
      <c r="ON1" s="87" t="n"/>
      <c r="OO1" s="87" t="n"/>
      <c r="OP1" s="87" t="n"/>
      <c r="OQ1" s="87" t="n"/>
      <c r="OR1" s="87" t="n"/>
      <c r="OS1" s="87" t="n"/>
      <c r="OT1" s="87" t="n"/>
      <c r="OU1" s="87" t="n"/>
      <c r="OV1" s="87" t="n"/>
      <c r="OW1" s="87" t="n"/>
      <c r="OX1" s="87" t="n"/>
      <c r="OY1" s="87" t="n"/>
      <c r="OZ1" s="87" t="n"/>
      <c r="PA1" s="87" t="n"/>
      <c r="PB1" s="87" t="n"/>
      <c r="PC1" s="87" t="n"/>
      <c r="PD1" s="87" t="n"/>
      <c r="PE1" s="87" t="n"/>
      <c r="PF1" s="87" t="n"/>
      <c r="PG1" s="87" t="n"/>
      <c r="PH1" s="87" t="n"/>
      <c r="PI1" s="87" t="n"/>
      <c r="PJ1" s="87" t="n"/>
      <c r="PK1" s="87" t="n"/>
      <c r="PL1" s="87" t="n"/>
      <c r="PM1" s="87" t="n"/>
      <c r="PN1" s="87" t="n"/>
      <c r="PO1" s="87" t="n"/>
      <c r="PP1" s="87" t="n"/>
      <c r="PQ1" s="87" t="n"/>
      <c r="PR1" s="87" t="n"/>
      <c r="PS1" s="87" t="n"/>
      <c r="PT1" s="87" t="n"/>
      <c r="PU1" s="87" t="n"/>
      <c r="PV1" s="87" t="n"/>
      <c r="PW1" s="87" t="n"/>
      <c r="PX1" s="87" t="n"/>
      <c r="PY1" s="87" t="n"/>
      <c r="PZ1" s="87" t="n"/>
      <c r="QA1" s="87" t="n"/>
      <c r="QB1" s="87" t="n"/>
      <c r="QC1" s="87" t="n"/>
      <c r="QD1" s="87" t="n"/>
      <c r="QE1" s="87" t="n"/>
      <c r="QF1" s="87" t="n"/>
      <c r="QG1" s="87" t="n"/>
      <c r="QH1" s="87" t="n"/>
      <c r="QI1" s="87" t="n"/>
      <c r="QJ1" s="87" t="n"/>
      <c r="QK1" s="87" t="n"/>
      <c r="QL1" s="87" t="n"/>
      <c r="QM1" s="87" t="n"/>
      <c r="QN1" s="87" t="n"/>
      <c r="QO1" s="87" t="n"/>
      <c r="QP1" s="87" t="n"/>
      <c r="QQ1" s="87" t="n"/>
      <c r="QR1" s="87" t="n"/>
      <c r="QS1" s="87" t="n"/>
      <c r="QT1" s="87" t="n"/>
      <c r="QU1" s="87" t="n"/>
      <c r="QV1" s="87" t="n"/>
      <c r="QW1" s="87" t="n"/>
      <c r="QX1" s="87" t="n"/>
      <c r="QY1" s="87" t="n"/>
      <c r="QZ1" s="87" t="n"/>
      <c r="RA1" s="87" t="n"/>
      <c r="RB1" s="87" t="n"/>
      <c r="RC1" s="87" t="n"/>
      <c r="RD1" s="87" t="n"/>
      <c r="RE1" s="87" t="n"/>
      <c r="RF1" s="87" t="n"/>
      <c r="RG1" s="87" t="n"/>
      <c r="RH1" s="87" t="n"/>
      <c r="RI1" s="87" t="n"/>
      <c r="RJ1" s="87" t="n"/>
      <c r="RK1" s="87" t="n"/>
      <c r="RL1" s="87" t="n"/>
      <c r="RM1" s="87" t="n"/>
      <c r="RN1" s="87" t="n"/>
      <c r="RO1" s="87" t="n"/>
      <c r="RP1" s="87" t="n"/>
      <c r="RQ1" s="87" t="n"/>
      <c r="RR1" s="87" t="n"/>
      <c r="RS1" s="87" t="n"/>
      <c r="RT1" s="87" t="n"/>
      <c r="RU1" s="87" t="n"/>
      <c r="RV1" s="87" t="n"/>
      <c r="RW1" s="87" t="n"/>
      <c r="RX1" s="87" t="n"/>
      <c r="RY1" s="87" t="n"/>
      <c r="RZ1" s="87" t="n"/>
      <c r="SA1" s="87" t="n"/>
      <c r="SB1" s="87" t="n"/>
      <c r="SC1" s="87" t="n"/>
      <c r="SD1" s="87" t="n"/>
      <c r="SE1" s="87" t="n"/>
      <c r="SF1" s="87" t="n"/>
      <c r="SG1" s="87" t="n"/>
      <c r="SH1" s="87" t="n"/>
      <c r="SI1" s="87" t="n"/>
      <c r="SJ1" s="87" t="n"/>
      <c r="SK1" s="87" t="n"/>
      <c r="SL1" s="87" t="n"/>
      <c r="SM1" s="87" t="n"/>
      <c r="SN1" s="87" t="n"/>
      <c r="SO1" s="87" t="n"/>
      <c r="SP1" s="87" t="n"/>
      <c r="SQ1" s="87" t="n"/>
      <c r="SR1" s="87" t="n"/>
      <c r="SS1" s="87" t="n"/>
      <c r="ST1" s="87" t="n"/>
      <c r="SU1" s="87" t="n"/>
      <c r="SV1" s="87" t="n"/>
      <c r="SW1" s="87" t="n"/>
      <c r="SX1" s="87" t="n"/>
      <c r="SY1" s="87" t="n"/>
      <c r="SZ1" s="87" t="n"/>
      <c r="TA1" s="87" t="n"/>
      <c r="TB1" s="87" t="n"/>
      <c r="TC1" s="87" t="n"/>
      <c r="TD1" s="87" t="n"/>
      <c r="TE1" s="87" t="n"/>
      <c r="TF1" s="87" t="n"/>
      <c r="TG1" s="87" t="n"/>
      <c r="TH1" s="87" t="n"/>
      <c r="TI1" s="87" t="n"/>
      <c r="TJ1" s="87" t="n"/>
      <c r="TK1" s="87" t="n"/>
      <c r="TL1" s="87" t="n"/>
      <c r="TM1" s="87" t="n"/>
      <c r="TN1" s="87" t="n"/>
      <c r="TO1" s="87" t="n"/>
      <c r="TP1" s="87" t="n"/>
      <c r="TQ1" s="87" t="n"/>
      <c r="TR1" s="87" t="n"/>
      <c r="TS1" s="87" t="n"/>
      <c r="TT1" s="87" t="n"/>
      <c r="TU1" s="87" t="n"/>
      <c r="TV1" s="87" t="n"/>
      <c r="TW1" s="87" t="n"/>
      <c r="TX1" s="87" t="n"/>
      <c r="TY1" s="87" t="n"/>
      <c r="TZ1" s="87" t="n"/>
      <c r="UA1" s="87" t="n"/>
      <c r="UB1" s="87" t="n"/>
      <c r="UC1" s="87" t="n"/>
      <c r="UD1" s="87" t="n"/>
      <c r="UE1" s="87" t="n"/>
      <c r="UF1" s="87" t="n"/>
      <c r="UG1" s="87" t="n"/>
      <c r="UH1" s="87" t="n"/>
      <c r="UI1" s="87" t="n"/>
      <c r="UJ1" s="87" t="n"/>
      <c r="UK1" s="87" t="n"/>
      <c r="UL1" s="87" t="n"/>
      <c r="UM1" s="87" t="n"/>
      <c r="UN1" s="87" t="n"/>
      <c r="UO1" s="87" t="n"/>
      <c r="UP1" s="87" t="n"/>
      <c r="UQ1" s="87" t="n"/>
      <c r="UR1" s="87" t="n"/>
      <c r="US1" s="87" t="n"/>
      <c r="UT1" s="87" t="n"/>
      <c r="UU1" s="87" t="n"/>
      <c r="UV1" s="87" t="n"/>
      <c r="UW1" s="87" t="n"/>
      <c r="UX1" s="87" t="n"/>
      <c r="UY1" s="87" t="n"/>
      <c r="UZ1" s="87" t="n"/>
      <c r="VA1" s="87" t="n"/>
      <c r="VB1" s="87" t="n"/>
      <c r="VC1" s="87" t="n"/>
      <c r="VD1" s="87" t="n"/>
      <c r="VE1" s="87" t="n"/>
      <c r="VF1" s="87" t="n"/>
      <c r="VG1" s="87" t="n"/>
      <c r="VH1" s="87" t="n"/>
      <c r="VI1" s="87" t="n"/>
      <c r="VJ1" s="87" t="n"/>
      <c r="VK1" s="87" t="n"/>
      <c r="VL1" s="87" t="n"/>
      <c r="VM1" s="87" t="n"/>
      <c r="VN1" s="87" t="n"/>
      <c r="VO1" s="87" t="n"/>
      <c r="VP1" s="87" t="n"/>
      <c r="VQ1" s="87" t="n"/>
      <c r="VR1" s="87" t="n"/>
      <c r="VS1" s="87" t="n"/>
      <c r="VT1" s="87" t="n"/>
      <c r="VU1" s="87" t="n"/>
      <c r="VV1" s="87" t="n"/>
      <c r="VW1" s="87" t="n"/>
      <c r="VX1" s="87" t="n"/>
      <c r="VY1" s="87" t="n"/>
      <c r="VZ1" s="87" t="n"/>
      <c r="WA1" s="87" t="n"/>
      <c r="WB1" s="87" t="n"/>
      <c r="WC1" s="87" t="n"/>
      <c r="WD1" s="87" t="n"/>
      <c r="WE1" s="87" t="n"/>
      <c r="WF1" s="87" t="n"/>
      <c r="WG1" s="87" t="n"/>
      <c r="WH1" s="87" t="n"/>
      <c r="WI1" s="87" t="n"/>
      <c r="WJ1" s="87" t="n"/>
      <c r="WK1" s="87" t="n"/>
      <c r="WL1" s="87" t="n"/>
      <c r="WM1" s="87" t="n"/>
      <c r="WN1" s="87" t="n"/>
      <c r="WO1" s="87" t="n"/>
      <c r="WP1" s="87" t="n"/>
      <c r="WQ1" s="87" t="n"/>
      <c r="WR1" s="87" t="n"/>
      <c r="WS1" s="87" t="n"/>
      <c r="WT1" s="87" t="n"/>
      <c r="WU1" s="87" t="n"/>
      <c r="WV1" s="87" t="n"/>
      <c r="WW1" s="87" t="n"/>
      <c r="WX1" s="87" t="n"/>
      <c r="WY1" s="87" t="n"/>
      <c r="WZ1" s="87" t="n"/>
      <c r="XA1" s="87" t="n"/>
      <c r="XB1" s="87" t="n"/>
      <c r="XC1" s="87" t="n"/>
      <c r="XD1" s="87" t="n"/>
      <c r="XE1" s="87" t="n"/>
      <c r="XF1" s="87" t="n"/>
      <c r="XG1" s="87" t="n"/>
      <c r="XH1" s="87" t="n"/>
      <c r="XI1" s="87" t="n"/>
      <c r="XJ1" s="87" t="n"/>
      <c r="XK1" s="87" t="n"/>
      <c r="XL1" s="87" t="n"/>
      <c r="XM1" s="87" t="n"/>
      <c r="XN1" s="87" t="n"/>
      <c r="XO1" s="87" t="n"/>
      <c r="XP1" s="87" t="n"/>
      <c r="XQ1" s="87" t="n"/>
      <c r="XR1" s="87" t="n"/>
      <c r="XS1" s="87" t="n"/>
      <c r="XT1" s="87" t="n"/>
      <c r="XU1" s="87" t="n"/>
      <c r="XV1" s="87" t="n"/>
      <c r="XW1" s="87" t="n"/>
      <c r="XX1" s="87" t="n"/>
      <c r="XY1" s="87" t="n"/>
      <c r="XZ1" s="87" t="n"/>
      <c r="YA1" s="87" t="n"/>
      <c r="YB1" s="87" t="n"/>
      <c r="YC1" s="87" t="n"/>
      <c r="YD1" s="87" t="n"/>
      <c r="YE1" s="87" t="n"/>
      <c r="YF1" s="87" t="n"/>
      <c r="YG1" s="87" t="n"/>
      <c r="YH1" s="87" t="n"/>
      <c r="YI1" s="87" t="n"/>
      <c r="YJ1" s="87" t="n"/>
      <c r="YK1" s="87" t="n"/>
      <c r="YL1" s="87" t="n"/>
      <c r="YM1" s="87" t="n"/>
      <c r="YN1" s="87" t="n"/>
      <c r="YO1" s="87" t="n"/>
      <c r="YP1" s="87" t="n"/>
      <c r="YQ1" s="87" t="n"/>
      <c r="YR1" s="87" t="n"/>
      <c r="YS1" s="87" t="n"/>
      <c r="YT1" s="87" t="n"/>
      <c r="YU1" s="87" t="n"/>
      <c r="YV1" s="87" t="n"/>
      <c r="YW1" s="87" t="n"/>
      <c r="YX1" s="87" t="n"/>
      <c r="YY1" s="87" t="n"/>
      <c r="YZ1" s="87" t="n"/>
      <c r="ZA1" s="87" t="n"/>
      <c r="ZB1" s="87" t="n"/>
      <c r="ZC1" s="87" t="n"/>
      <c r="ZD1" s="87" t="n"/>
      <c r="ZE1" s="87" t="n"/>
      <c r="ZF1" s="87" t="n"/>
      <c r="ZG1" s="87" t="n"/>
      <c r="ZH1" s="87" t="n"/>
      <c r="ZI1" s="87" t="n"/>
      <c r="ZJ1" s="87" t="n"/>
      <c r="ZK1" s="87" t="n"/>
      <c r="ZL1" s="87" t="n"/>
      <c r="ZM1" s="87" t="n"/>
      <c r="ZN1" s="87" t="n"/>
      <c r="ZO1" s="87" t="n"/>
      <c r="ZP1" s="87" t="n"/>
      <c r="ZQ1" s="87" t="n"/>
      <c r="ZR1" s="87" t="n"/>
      <c r="ZS1" s="87" t="n"/>
      <c r="ZT1" s="87" t="n"/>
      <c r="ZU1" s="87" t="n"/>
      <c r="ZV1" s="87" t="n"/>
      <c r="ZW1" s="87" t="n"/>
      <c r="ZX1" s="87" t="n"/>
      <c r="ZY1" s="87" t="n"/>
      <c r="ZZ1" s="87" t="n"/>
      <c r="AAA1" s="87" t="n"/>
      <c r="AAB1" s="87" t="n"/>
      <c r="AAC1" s="87" t="n"/>
      <c r="AAD1" s="87" t="n"/>
      <c r="AAE1" s="87" t="n"/>
      <c r="AAF1" s="87" t="n"/>
      <c r="AAG1" s="87" t="n"/>
      <c r="AAH1" s="87" t="n"/>
      <c r="AAI1" s="87" t="n"/>
      <c r="AAJ1" s="87" t="n"/>
      <c r="AAK1" s="87" t="n"/>
      <c r="AAL1" s="87" t="n"/>
      <c r="AAM1" s="87" t="n"/>
      <c r="AAN1" s="87" t="n"/>
      <c r="AAO1" s="87" t="n"/>
      <c r="AAP1" s="87" t="n"/>
      <c r="AAQ1" s="87" t="n"/>
      <c r="AAR1" s="87" t="n"/>
      <c r="AAS1" s="87" t="n"/>
      <c r="AAT1" s="87" t="n"/>
      <c r="AAU1" s="87" t="n"/>
      <c r="AAV1" s="87" t="n"/>
      <c r="AAW1" s="87" t="n"/>
      <c r="AAX1" s="87" t="n"/>
      <c r="AAY1" s="87" t="n"/>
      <c r="AAZ1" s="87" t="n"/>
      <c r="ABA1" s="87" t="n"/>
      <c r="ABB1" s="87" t="n"/>
      <c r="ABC1" s="87" t="n"/>
      <c r="ABD1" s="87" t="n"/>
      <c r="ABE1" s="87" t="n"/>
      <c r="ABF1" s="87" t="n"/>
      <c r="ABG1" s="87" t="n"/>
      <c r="ABH1" s="87" t="n"/>
      <c r="ABI1" s="87" t="n"/>
      <c r="ABJ1" s="87" t="n"/>
      <c r="ABK1" s="87" t="n"/>
      <c r="ABL1" s="87" t="n"/>
      <c r="ABM1" s="87" t="n"/>
      <c r="ABN1" s="87" t="n"/>
      <c r="ABO1" s="87" t="n"/>
      <c r="ABP1" s="87" t="n"/>
      <c r="ABQ1" s="87" t="n"/>
      <c r="ABR1" s="87" t="n"/>
      <c r="ABS1" s="87" t="n"/>
      <c r="ABT1" s="87" t="n"/>
      <c r="ABU1" s="87" t="n"/>
      <c r="ABV1" s="87" t="n"/>
      <c r="ABW1" s="87" t="n"/>
      <c r="ABX1" s="87" t="n"/>
      <c r="ABY1" s="87" t="n"/>
      <c r="ABZ1" s="87" t="n"/>
      <c r="ACA1" s="87" t="n"/>
      <c r="ACB1" s="87" t="n"/>
      <c r="ACC1" s="87" t="n"/>
      <c r="ACD1" s="87" t="n"/>
      <c r="ACE1" s="87" t="n"/>
      <c r="ACF1" s="87" t="n"/>
      <c r="ACG1" s="87" t="n"/>
      <c r="ACH1" s="87" t="n"/>
      <c r="ACI1" s="87" t="n"/>
      <c r="ACJ1" s="87" t="n"/>
      <c r="ACK1" s="87" t="n"/>
      <c r="ACL1" s="87" t="n"/>
      <c r="ACM1" s="87" t="n"/>
      <c r="ACN1" s="87" t="n"/>
      <c r="ACO1" s="87" t="n"/>
      <c r="ACP1" s="87" t="n"/>
      <c r="ACQ1" s="87" t="n"/>
      <c r="ACR1" s="87" t="n"/>
      <c r="ACS1" s="87" t="n"/>
      <c r="ACT1" s="87" t="n"/>
      <c r="ACU1" s="87" t="n"/>
      <c r="ACV1" s="87" t="n"/>
      <c r="ACW1" s="87" t="n"/>
      <c r="ACX1" s="87" t="n"/>
      <c r="ACY1" s="87" t="n"/>
      <c r="ACZ1" s="87" t="n"/>
      <c r="ADA1" s="87" t="n"/>
      <c r="ADB1" s="87" t="n"/>
      <c r="ADC1" s="87" t="n"/>
      <c r="ADD1" s="87" t="n"/>
      <c r="ADE1" s="87" t="n"/>
      <c r="ADF1" s="87" t="n"/>
      <c r="ADG1" s="87" t="n"/>
      <c r="ADH1" s="87" t="n"/>
      <c r="ADI1" s="87" t="n"/>
      <c r="ADJ1" s="87" t="n"/>
      <c r="ADK1" s="87" t="n"/>
      <c r="ADL1" s="87" t="n"/>
      <c r="ADM1" s="87" t="n"/>
      <c r="ADN1" s="87" t="n"/>
      <c r="ADO1" s="87" t="n"/>
      <c r="ADP1" s="87" t="n"/>
      <c r="ADQ1" s="87" t="n"/>
      <c r="ADR1" s="87" t="n"/>
      <c r="ADS1" s="87" t="n"/>
      <c r="ADT1" s="87" t="n"/>
      <c r="ADU1" s="87" t="n"/>
      <c r="ADV1" s="87" t="n"/>
      <c r="ADW1" s="87" t="n"/>
      <c r="ADX1" s="87" t="n"/>
      <c r="ADY1" s="87" t="n"/>
      <c r="ADZ1" s="87" t="n"/>
      <c r="AEA1" s="87" t="n"/>
      <c r="AEB1" s="87" t="n"/>
      <c r="AEC1" s="87" t="n"/>
      <c r="AED1" s="87" t="n"/>
      <c r="AEE1" s="87" t="n"/>
      <c r="AEF1" s="87" t="n"/>
      <c r="AEG1" s="87" t="n"/>
      <c r="AEH1" s="87" t="n"/>
      <c r="AEI1" s="87" t="n"/>
      <c r="AEJ1" s="87" t="n"/>
      <c r="AEK1" s="87" t="n"/>
      <c r="AEL1" s="87" t="n"/>
      <c r="AEM1" s="87" t="n"/>
      <c r="AEN1" s="87" t="n"/>
      <c r="AEO1" s="87" t="n"/>
      <c r="AEP1" s="87" t="n"/>
      <c r="AEQ1" s="87" t="n"/>
      <c r="AER1" s="87" t="n"/>
      <c r="AES1" s="87" t="n"/>
      <c r="AET1" s="87" t="n"/>
      <c r="AEU1" s="87" t="n"/>
      <c r="AEV1" s="87" t="n"/>
      <c r="AEW1" s="87" t="n"/>
      <c r="AEX1" s="87" t="n"/>
      <c r="AEY1" s="87" t="n"/>
      <c r="AEZ1" s="87" t="n"/>
      <c r="AFA1" s="87" t="n"/>
      <c r="AFB1" s="87" t="n"/>
      <c r="AFC1" s="87" t="n"/>
      <c r="AFD1" s="87" t="n"/>
      <c r="AFE1" s="87" t="n"/>
      <c r="AFF1" s="87" t="n"/>
      <c r="AFG1" s="87" t="n"/>
      <c r="AFH1" s="87" t="n"/>
      <c r="AFI1" s="87" t="n"/>
      <c r="AFJ1" s="87" t="n"/>
      <c r="AFK1" s="87" t="n"/>
      <c r="AFL1" s="87" t="n"/>
      <c r="AFM1" s="87" t="n"/>
      <c r="AFN1" s="87" t="n"/>
      <c r="AFO1" s="87" t="n"/>
      <c r="AFP1" s="87" t="n"/>
      <c r="AFQ1" s="87" t="n"/>
      <c r="AFR1" s="87" t="n"/>
      <c r="AFS1" s="87" t="n"/>
      <c r="AFT1" s="87" t="n"/>
      <c r="AFU1" s="87" t="n"/>
      <c r="AFV1" s="87" t="n"/>
      <c r="AFW1" s="87" t="n"/>
      <c r="AFX1" s="87" t="n"/>
      <c r="AFY1" s="87" t="n"/>
      <c r="AFZ1" s="87" t="n"/>
      <c r="AGA1" s="87" t="n"/>
      <c r="AGB1" s="87" t="n"/>
      <c r="AGC1" s="87" t="n"/>
      <c r="AGD1" s="87" t="n"/>
      <c r="AGE1" s="87" t="n"/>
      <c r="AGF1" s="87" t="n"/>
      <c r="AGG1" s="87" t="n"/>
      <c r="AGH1" s="87" t="n"/>
      <c r="AGI1" s="87" t="n"/>
      <c r="AGJ1" s="87" t="n"/>
      <c r="AGK1" s="87" t="n"/>
      <c r="AGL1" s="87" t="n"/>
      <c r="AGM1" s="87" t="n"/>
      <c r="AGN1" s="87" t="n"/>
      <c r="AGO1" s="87" t="n"/>
      <c r="AGP1" s="87" t="n"/>
      <c r="AGQ1" s="87" t="n"/>
      <c r="AGR1" s="87" t="n"/>
      <c r="AGS1" s="87" t="n"/>
      <c r="AGT1" s="87" t="n"/>
      <c r="AGU1" s="87" t="n"/>
      <c r="AGV1" s="87" t="n"/>
      <c r="AGW1" s="87" t="n"/>
      <c r="AGX1" s="87" t="n"/>
      <c r="AGY1" s="87" t="n"/>
      <c r="AGZ1" s="87" t="n"/>
      <c r="AHA1" s="87" t="n"/>
      <c r="AHB1" s="87" t="n"/>
      <c r="AHC1" s="87" t="n"/>
      <c r="AHD1" s="87" t="n"/>
      <c r="AHE1" s="87" t="n"/>
      <c r="AHF1" s="87" t="n"/>
      <c r="AHG1" s="87" t="n"/>
      <c r="AHH1" s="87" t="n"/>
      <c r="AHI1" s="87" t="n"/>
      <c r="AHJ1" s="87" t="n"/>
      <c r="AHK1" s="87" t="n"/>
      <c r="AHL1" s="87" t="n"/>
      <c r="AHM1" s="87" t="n"/>
      <c r="AHN1" s="87" t="n"/>
      <c r="AHO1" s="87" t="n"/>
      <c r="AHP1" s="87" t="n"/>
      <c r="AHQ1" s="87" t="n"/>
      <c r="AHR1" s="87" t="n"/>
      <c r="AHS1" s="87" t="n"/>
      <c r="AHT1" s="87" t="n"/>
      <c r="AHU1" s="87" t="n"/>
      <c r="AHV1" s="87" t="n"/>
      <c r="AHW1" s="87" t="n"/>
      <c r="AHX1" s="87" t="n"/>
      <c r="AHY1" s="87" t="n"/>
      <c r="AHZ1" s="87" t="n"/>
      <c r="AIA1" s="87" t="n"/>
      <c r="AIB1" s="87" t="n"/>
      <c r="AIC1" s="87" t="n"/>
      <c r="AID1" s="87" t="n"/>
      <c r="AIE1" s="87" t="n"/>
      <c r="AIF1" s="87" t="n"/>
      <c r="AIG1" s="87" t="n"/>
      <c r="AIH1" s="87" t="n"/>
      <c r="AII1" s="87" t="n"/>
      <c r="AIJ1" s="87" t="n"/>
      <c r="AIK1" s="87" t="n"/>
      <c r="AIL1" s="87" t="n"/>
      <c r="AIM1" s="87" t="n"/>
      <c r="AIN1" s="87" t="n"/>
      <c r="AIO1" s="87" t="n"/>
      <c r="AIP1" s="87" t="n"/>
      <c r="AIQ1" s="87" t="n"/>
      <c r="AIR1" s="87" t="n"/>
      <c r="AIS1" s="87" t="n"/>
      <c r="AIT1" s="87" t="n"/>
      <c r="AIU1" s="87" t="n"/>
      <c r="AIV1" s="87" t="n"/>
      <c r="AIW1" s="87" t="n"/>
      <c r="AIX1" s="87" t="n"/>
      <c r="AIY1" s="87" t="n"/>
      <c r="AIZ1" s="87" t="n"/>
      <c r="AJA1" s="87" t="n"/>
      <c r="AJB1" s="87" t="n"/>
      <c r="AJC1" s="87" t="n"/>
      <c r="AJD1" s="87" t="n"/>
      <c r="AJE1" s="87" t="n"/>
      <c r="AJF1" s="87" t="n"/>
      <c r="AJG1" s="87" t="n"/>
      <c r="AJH1" s="87" t="n"/>
      <c r="AJI1" s="87" t="n"/>
      <c r="AJJ1" s="87" t="n"/>
      <c r="AJK1" s="87" t="n"/>
      <c r="AJL1" s="87" t="n"/>
      <c r="AJM1" s="87" t="n"/>
      <c r="AJN1" s="87" t="n"/>
      <c r="AJO1" s="87" t="n"/>
      <c r="AJP1" s="87" t="n"/>
      <c r="AJQ1" s="87" t="n"/>
      <c r="AJR1" s="87" t="n"/>
      <c r="AJS1" s="87" t="n"/>
      <c r="AJT1" s="87" t="n"/>
      <c r="AJU1" s="87" t="n"/>
      <c r="AJV1" s="87" t="n"/>
      <c r="AJW1" s="87" t="n"/>
      <c r="AJX1" s="87" t="n"/>
      <c r="AJY1" s="87" t="n"/>
      <c r="AJZ1" s="87" t="n"/>
      <c r="AKA1" s="87" t="n"/>
      <c r="AKB1" s="87" t="n"/>
      <c r="AKC1" s="87" t="n"/>
      <c r="AKD1" s="87" t="n"/>
      <c r="AKE1" s="87" t="n"/>
      <c r="AKF1" s="87" t="n"/>
      <c r="AKG1" s="87" t="n"/>
      <c r="AKH1" s="87" t="n"/>
      <c r="AKI1" s="87" t="n"/>
      <c r="AKJ1" s="87" t="n"/>
      <c r="AKK1" s="87" t="n"/>
      <c r="AKL1" s="87" t="n"/>
      <c r="AKM1" s="87" t="n"/>
      <c r="AKN1" s="87" t="n"/>
      <c r="AKO1" s="87" t="n"/>
      <c r="AKP1" s="87" t="n"/>
      <c r="AKQ1" s="87" t="n"/>
      <c r="AKR1" s="87" t="n"/>
      <c r="AKS1" s="87" t="n"/>
      <c r="AKT1" s="87" t="n"/>
      <c r="AKU1" s="87" t="n"/>
      <c r="AKV1" s="87" t="n"/>
      <c r="AKW1" s="87" t="n"/>
      <c r="AKX1" s="87" t="n"/>
      <c r="AKY1" s="87" t="n"/>
      <c r="AKZ1" s="87" t="n"/>
      <c r="ALA1" s="87" t="n"/>
      <c r="ALB1" s="87" t="n"/>
      <c r="ALC1" s="87" t="n"/>
      <c r="ALD1" s="87" t="n"/>
      <c r="ALE1" s="87" t="n"/>
      <c r="ALF1" s="87" t="n"/>
      <c r="ALG1" s="87" t="n"/>
      <c r="ALH1" s="87" t="n"/>
      <c r="ALI1" s="87" t="n"/>
      <c r="ALJ1" s="87" t="n"/>
      <c r="ALK1" s="87" t="n"/>
      <c r="ALL1" s="87" t="n"/>
      <c r="ALM1" s="87" t="n"/>
      <c r="ALN1" s="87" t="n"/>
      <c r="ALO1" s="87" t="n"/>
      <c r="ALP1" s="87" t="n"/>
      <c r="ALQ1" s="87" t="n"/>
      <c r="ALR1" s="87" t="n"/>
      <c r="ALS1" s="87" t="n"/>
      <c r="ALT1" s="87" t="n"/>
      <c r="ALU1" s="87" t="n"/>
      <c r="ALV1" s="87" t="n"/>
      <c r="ALW1" s="87" t="n"/>
      <c r="ALX1" s="87" t="n"/>
      <c r="ALY1" s="87" t="n"/>
      <c r="ALZ1" s="87" t="n"/>
      <c r="AMA1" s="87" t="n"/>
      <c r="AMB1" s="87" t="n"/>
      <c r="AMC1" s="87" t="n"/>
      <c r="AMD1" s="87" t="n"/>
      <c r="AME1" s="87" t="n"/>
      <c r="AMF1" s="87" t="n"/>
      <c r="AMG1" s="87" t="n"/>
      <c r="AMH1" s="87" t="n"/>
      <c r="AMI1" s="87" t="n"/>
      <c r="AMJ1" s="87" t="n"/>
      <c r="AMK1" s="87" t="n"/>
      <c r="AML1" s="87" t="n"/>
      <c r="AMM1" s="87" t="n"/>
      <c r="AMN1" s="87" t="n"/>
      <c r="AMO1" s="87" t="n"/>
      <c r="AMP1" s="87" t="n"/>
      <c r="AMQ1" s="87" t="n"/>
      <c r="AMR1" s="87" t="n"/>
      <c r="AMS1" s="87" t="n"/>
      <c r="AMT1" s="87" t="n"/>
      <c r="AMU1" s="87" t="n"/>
      <c r="AMV1" s="87" t="n"/>
      <c r="AMW1" s="87" t="n"/>
      <c r="AMX1" s="87" t="n"/>
      <c r="AMY1" s="87" t="n"/>
      <c r="AMZ1" s="87" t="n"/>
      <c r="ANA1" s="87" t="n"/>
      <c r="ANB1" s="87" t="n"/>
      <c r="ANC1" s="87" t="n"/>
      <c r="AND1" s="87" t="n"/>
      <c r="ANE1" s="87" t="n"/>
      <c r="ANF1" s="87" t="n"/>
      <c r="ANG1" s="87" t="n"/>
      <c r="ANH1" s="87" t="n"/>
      <c r="ANI1" s="87" t="n"/>
      <c r="ANJ1" s="87" t="n"/>
      <c r="ANK1" s="87" t="n"/>
      <c r="ANL1" s="87" t="n"/>
      <c r="ANM1" s="87" t="n"/>
      <c r="ANN1" s="87" t="n"/>
      <c r="ANO1" s="87" t="n"/>
      <c r="ANP1" s="87" t="n"/>
      <c r="ANQ1" s="87" t="n"/>
      <c r="ANR1" s="87" t="n"/>
      <c r="ANS1" s="87" t="n"/>
      <c r="ANT1" s="87" t="n"/>
      <c r="ANU1" s="87" t="n"/>
      <c r="ANV1" s="87" t="n"/>
      <c r="ANW1" s="87" t="n"/>
      <c r="ANX1" s="87" t="n"/>
      <c r="ANY1" s="87" t="n"/>
      <c r="ANZ1" s="87" t="n"/>
      <c r="AOA1" s="87" t="n"/>
      <c r="AOB1" s="87" t="n"/>
      <c r="AOC1" s="87" t="n"/>
      <c r="AOD1" s="87" t="n"/>
      <c r="AOE1" s="87" t="n"/>
      <c r="AOF1" s="87" t="n"/>
      <c r="AOG1" s="87" t="n"/>
      <c r="AOH1" s="87" t="n"/>
      <c r="AOI1" s="87" t="n"/>
      <c r="AOJ1" s="87" t="n"/>
      <c r="AOK1" s="87" t="n"/>
      <c r="AOL1" s="87" t="n"/>
      <c r="AOM1" s="87" t="n"/>
      <c r="AON1" s="87" t="n"/>
      <c r="AOO1" s="87" t="n"/>
      <c r="AOP1" s="87" t="n"/>
      <c r="AOQ1" s="87" t="n"/>
      <c r="AOR1" s="87" t="n"/>
      <c r="AOS1" s="87" t="n"/>
      <c r="AOT1" s="87" t="n"/>
      <c r="AOU1" s="87" t="n"/>
      <c r="AOV1" s="87" t="n"/>
      <c r="AOW1" s="87" t="n"/>
      <c r="AOX1" s="87" t="n"/>
      <c r="AOY1" s="87" t="n"/>
      <c r="AOZ1" s="87" t="n"/>
      <c r="APA1" s="87" t="n"/>
      <c r="APB1" s="87" t="n"/>
      <c r="APC1" s="87" t="n"/>
      <c r="APD1" s="87" t="n"/>
      <c r="APE1" s="87" t="n"/>
      <c r="APF1" s="87" t="n"/>
      <c r="APG1" s="87" t="n"/>
      <c r="APH1" s="87" t="n"/>
      <c r="API1" s="87" t="n"/>
      <c r="APJ1" s="87" t="n"/>
      <c r="APK1" s="87" t="n"/>
      <c r="APL1" s="87" t="n"/>
      <c r="APM1" s="87" t="n"/>
      <c r="APN1" s="87" t="n"/>
      <c r="APO1" s="87" t="n"/>
      <c r="APP1" s="87" t="n"/>
      <c r="APQ1" s="87" t="n"/>
      <c r="APR1" s="87" t="n"/>
      <c r="APS1" s="87" t="n"/>
      <c r="APT1" s="87" t="n"/>
      <c r="APU1" s="87" t="n"/>
      <c r="APV1" s="87" t="n"/>
      <c r="APW1" s="87" t="n"/>
      <c r="APX1" s="87" t="n"/>
      <c r="APY1" s="87" t="n"/>
      <c r="APZ1" s="87" t="n"/>
      <c r="AQA1" s="87" t="n"/>
      <c r="AQB1" s="87" t="n"/>
      <c r="AQC1" s="87" t="n"/>
      <c r="AQD1" s="87" t="n"/>
      <c r="AQE1" s="87" t="n"/>
      <c r="AQF1" s="87" t="n"/>
      <c r="AQG1" s="87" t="n"/>
      <c r="AQH1" s="87" t="n"/>
      <c r="AQI1" s="87" t="n"/>
      <c r="AQJ1" s="87" t="n"/>
      <c r="AQK1" s="87" t="n"/>
      <c r="AQL1" s="87" t="n"/>
      <c r="AQM1" s="87" t="n"/>
      <c r="AQN1" s="87" t="n"/>
      <c r="AQO1" s="87" t="n"/>
      <c r="AQP1" s="87" t="n"/>
      <c r="AQQ1" s="87" t="n"/>
      <c r="AQR1" s="87" t="n"/>
      <c r="AQS1" s="87" t="n"/>
      <c r="AQT1" s="87" t="n"/>
      <c r="AQU1" s="87" t="n"/>
      <c r="AQV1" s="87" t="n"/>
      <c r="AQW1" s="87" t="n"/>
      <c r="AQX1" s="87" t="n"/>
      <c r="AQY1" s="87" t="n"/>
      <c r="AQZ1" s="87" t="n"/>
      <c r="ARA1" s="87" t="n"/>
      <c r="ARB1" s="87" t="n"/>
      <c r="ARC1" s="87" t="n"/>
      <c r="ARD1" s="87" t="n"/>
      <c r="ARE1" s="87" t="n"/>
      <c r="ARF1" s="87" t="n"/>
      <c r="ARG1" s="87" t="n"/>
      <c r="ARH1" s="87" t="n"/>
      <c r="ARI1" s="87" t="n"/>
      <c r="ARJ1" s="87" t="n"/>
      <c r="ARK1" s="87" t="n"/>
      <c r="ARL1" s="87" t="n"/>
      <c r="ARM1" s="87" t="n"/>
      <c r="ARN1" s="87" t="n"/>
      <c r="ARO1" s="87" t="n"/>
      <c r="ARP1" s="87" t="n"/>
      <c r="ARQ1" s="87" t="n"/>
      <c r="ARR1" s="87" t="n"/>
      <c r="ARS1" s="87" t="n"/>
      <c r="ART1" s="87" t="n"/>
      <c r="ARU1" s="87" t="n"/>
      <c r="ARV1" s="87" t="n"/>
      <c r="ARW1" s="87" t="n"/>
      <c r="ARX1" s="87" t="n"/>
      <c r="ARY1" s="87" t="n"/>
      <c r="ARZ1" s="87" t="n"/>
      <c r="ASA1" s="87" t="n"/>
      <c r="ASB1" s="87" t="n"/>
      <c r="ASC1" s="87" t="n"/>
      <c r="ASD1" s="87" t="n"/>
      <c r="ASE1" s="87" t="n"/>
      <c r="ASF1" s="87" t="n"/>
      <c r="ASG1" s="87" t="n"/>
      <c r="ASH1" s="87" t="n"/>
      <c r="ASI1" s="87" t="n"/>
      <c r="ASJ1" s="87" t="n"/>
      <c r="ASK1" s="87" t="n"/>
      <c r="ASL1" s="87" t="n"/>
      <c r="ASM1" s="87" t="n"/>
      <c r="ASN1" s="87" t="n"/>
      <c r="ASO1" s="87" t="n"/>
      <c r="ASP1" s="87" t="n"/>
      <c r="ASQ1" s="87" t="n"/>
      <c r="ASR1" s="87" t="n"/>
      <c r="ASS1" s="87" t="n"/>
      <c r="AST1" s="87" t="n"/>
      <c r="ASU1" s="87" t="n"/>
      <c r="ASV1" s="87" t="n"/>
      <c r="ASW1" s="87" t="n"/>
      <c r="ASX1" s="87" t="n"/>
      <c r="ASY1" s="87" t="n"/>
      <c r="ASZ1" s="87" t="n"/>
      <c r="ATA1" s="87" t="n"/>
      <c r="ATB1" s="87" t="n"/>
      <c r="ATC1" s="87" t="n"/>
      <c r="ATD1" s="87" t="n"/>
      <c r="ATE1" s="87" t="n"/>
      <c r="ATF1" s="87" t="n"/>
      <c r="ATG1" s="87" t="n"/>
      <c r="ATH1" s="87" t="n"/>
      <c r="ATI1" s="87" t="n"/>
      <c r="ATJ1" s="87" t="n"/>
      <c r="ATK1" s="87" t="n"/>
      <c r="ATL1" s="87" t="n"/>
      <c r="ATM1" s="87" t="n"/>
      <c r="ATN1" s="87" t="n"/>
      <c r="ATO1" s="87" t="n"/>
      <c r="ATP1" s="87" t="n"/>
      <c r="ATQ1" s="87" t="n"/>
      <c r="ATR1" s="87" t="n"/>
      <c r="ATS1" s="87" t="n"/>
      <c r="ATT1" s="87" t="n"/>
      <c r="ATU1" s="87" t="n"/>
      <c r="ATV1" s="87" t="n"/>
      <c r="ATW1" s="87" t="n"/>
      <c r="ATX1" s="87" t="n"/>
      <c r="ATY1" s="87" t="n"/>
      <c r="ATZ1" s="87" t="n"/>
      <c r="AUA1" s="87" t="n"/>
      <c r="AUB1" s="87" t="n"/>
      <c r="AUC1" s="87" t="n"/>
      <c r="AUD1" s="87" t="n"/>
      <c r="AUE1" s="87" t="n"/>
      <c r="AUF1" s="87" t="n"/>
      <c r="AUG1" s="87" t="n"/>
      <c r="AUH1" s="87" t="n"/>
      <c r="AUI1" s="87" t="n"/>
      <c r="AUJ1" s="87" t="n"/>
      <c r="AUK1" s="87" t="n"/>
      <c r="AUL1" s="87" t="n"/>
      <c r="AUM1" s="87" t="n"/>
      <c r="AUN1" s="87" t="n"/>
      <c r="AUO1" s="87" t="n"/>
      <c r="AUP1" s="87" t="n"/>
      <c r="AUQ1" s="87" t="n"/>
      <c r="AUR1" s="87" t="n"/>
      <c r="AUS1" s="87" t="n"/>
      <c r="AUT1" s="87" t="n"/>
      <c r="AUU1" s="87" t="n"/>
      <c r="AUV1" s="87" t="n"/>
      <c r="AUW1" s="87" t="n"/>
      <c r="AUX1" s="87" t="n"/>
      <c r="AUY1" s="87" t="n"/>
      <c r="AUZ1" s="87" t="n"/>
      <c r="AVA1" s="87" t="n"/>
      <c r="AVB1" s="87" t="n"/>
      <c r="AVC1" s="87" t="n"/>
      <c r="AVD1" s="87" t="n"/>
      <c r="AVE1" s="87" t="n"/>
      <c r="AVF1" s="87" t="n"/>
      <c r="AVG1" s="87" t="n"/>
      <c r="AVH1" s="87" t="n"/>
      <c r="AVI1" s="87" t="n"/>
      <c r="AVJ1" s="87" t="n"/>
      <c r="AVK1" s="87" t="n"/>
      <c r="AVL1" s="87" t="n"/>
      <c r="AVM1" s="87" t="n"/>
      <c r="AVN1" s="87" t="n"/>
      <c r="AVO1" s="87" t="n"/>
      <c r="AVP1" s="87" t="n"/>
      <c r="AVQ1" s="87" t="n"/>
      <c r="AVR1" s="87" t="n"/>
      <c r="AVS1" s="87" t="n"/>
      <c r="AVT1" s="87" t="n"/>
      <c r="AVU1" s="87" t="n"/>
      <c r="AVV1" s="87" t="n"/>
      <c r="AVW1" s="87" t="n"/>
      <c r="AVX1" s="87" t="n"/>
      <c r="AVY1" s="87" t="n"/>
      <c r="AVZ1" s="87" t="n"/>
      <c r="AWA1" s="87" t="n"/>
      <c r="AWB1" s="87" t="n"/>
      <c r="AWC1" s="87" t="n"/>
      <c r="AWD1" s="87" t="n"/>
      <c r="AWE1" s="87" t="n"/>
      <c r="AWF1" s="87" t="n"/>
      <c r="AWG1" s="87" t="n"/>
      <c r="AWH1" s="87" t="n"/>
      <c r="AWI1" s="87" t="n"/>
      <c r="AWJ1" s="87" t="n"/>
      <c r="AWK1" s="87" t="n"/>
      <c r="AWL1" s="87" t="n"/>
      <c r="AWM1" s="87" t="n"/>
      <c r="AWN1" s="87" t="n"/>
      <c r="AWO1" s="87" t="n"/>
      <c r="AWP1" s="87" t="n"/>
      <c r="AWQ1" s="87" t="n"/>
      <c r="AWR1" s="87" t="n"/>
      <c r="AWS1" s="87" t="n"/>
      <c r="AWT1" s="87" t="n"/>
      <c r="AWU1" s="87" t="n"/>
      <c r="AWV1" s="87" t="n"/>
      <c r="AWW1" s="87" t="n"/>
      <c r="AWX1" s="87" t="n"/>
      <c r="AWY1" s="87" t="n"/>
      <c r="AWZ1" s="87" t="n"/>
      <c r="AXA1" s="87" t="n"/>
      <c r="AXB1" s="87" t="n"/>
      <c r="AXC1" s="87" t="n"/>
      <c r="AXD1" s="87" t="n"/>
      <c r="AXE1" s="87" t="n"/>
      <c r="AXF1" s="87" t="n"/>
      <c r="AXG1" s="87" t="n"/>
      <c r="AXH1" s="87" t="n"/>
      <c r="AXI1" s="87" t="n"/>
      <c r="AXJ1" s="87" t="n"/>
      <c r="AXK1" s="87" t="n"/>
      <c r="AXL1" s="87" t="n"/>
      <c r="AXM1" s="87" t="n"/>
      <c r="AXN1" s="87" t="n"/>
      <c r="AXO1" s="87" t="n"/>
      <c r="AXP1" s="87" t="n"/>
      <c r="AXQ1" s="87" t="n"/>
      <c r="AXR1" s="87" t="n"/>
      <c r="AXS1" s="87" t="n"/>
      <c r="AXT1" s="87" t="n"/>
      <c r="AXU1" s="87" t="n"/>
      <c r="AXV1" s="87" t="n"/>
      <c r="AXW1" s="87" t="n"/>
      <c r="AXX1" s="87" t="n"/>
      <c r="AXY1" s="87" t="n"/>
      <c r="AXZ1" s="87" t="n"/>
      <c r="AYA1" s="87" t="n"/>
      <c r="AYB1" s="87" t="n"/>
      <c r="AYC1" s="87" t="n"/>
      <c r="AYD1" s="87" t="n"/>
      <c r="AYE1" s="87" t="n"/>
      <c r="AYF1" s="87" t="n"/>
      <c r="AYG1" s="87" t="n"/>
      <c r="AYH1" s="87" t="n"/>
      <c r="AYI1" s="87" t="n"/>
      <c r="AYJ1" s="87" t="n"/>
      <c r="AYK1" s="87" t="n"/>
      <c r="AYL1" s="87" t="n"/>
      <c r="AYM1" s="87" t="n"/>
      <c r="AYN1" s="87" t="n"/>
      <c r="AYO1" s="87" t="n"/>
      <c r="AYP1" s="87" t="n"/>
      <c r="AYQ1" s="87" t="n"/>
      <c r="AYR1" s="87" t="n"/>
      <c r="AYS1" s="87" t="n"/>
      <c r="AYT1" s="87" t="n"/>
      <c r="AYU1" s="87" t="n"/>
      <c r="AYV1" s="87" t="n"/>
      <c r="AYW1" s="87" t="n"/>
      <c r="AYX1" s="87" t="n"/>
      <c r="AYY1" s="87" t="n"/>
      <c r="AYZ1" s="87" t="n"/>
      <c r="AZA1" s="87" t="n"/>
      <c r="AZB1" s="87" t="n"/>
      <c r="AZC1" s="87" t="n"/>
      <c r="AZD1" s="87" t="n"/>
      <c r="AZE1" s="87" t="n"/>
      <c r="AZF1" s="87" t="n"/>
      <c r="AZG1" s="87" t="n"/>
      <c r="AZH1" s="87" t="n"/>
      <c r="AZI1" s="87" t="n"/>
      <c r="AZJ1" s="87" t="n"/>
      <c r="AZK1" s="87" t="n"/>
      <c r="AZL1" s="87" t="n"/>
      <c r="AZM1" s="87" t="n"/>
      <c r="AZN1" s="87" t="n"/>
      <c r="AZO1" s="87" t="n"/>
      <c r="AZP1" s="87" t="n"/>
      <c r="AZQ1" s="87" t="n"/>
      <c r="AZR1" s="87" t="n"/>
      <c r="AZS1" s="87" t="n"/>
      <c r="AZT1" s="87" t="n"/>
      <c r="AZU1" s="87" t="n"/>
      <c r="AZV1" s="87" t="n"/>
      <c r="AZW1" s="87" t="n"/>
      <c r="AZX1" s="87" t="n"/>
      <c r="AZY1" s="87" t="n"/>
      <c r="AZZ1" s="87" t="n"/>
      <c r="BAA1" s="87" t="n"/>
      <c r="BAB1" s="87" t="n"/>
      <c r="BAC1" s="87" t="n"/>
      <c r="BAD1" s="87" t="n"/>
      <c r="BAE1" s="87" t="n"/>
      <c r="BAF1" s="87" t="n"/>
      <c r="BAG1" s="87" t="n"/>
      <c r="BAH1" s="87" t="n"/>
      <c r="BAI1" s="87" t="n"/>
      <c r="BAJ1" s="87" t="n"/>
      <c r="BAK1" s="87" t="n"/>
      <c r="BAL1" s="87" t="n"/>
      <c r="BAM1" s="87" t="n"/>
      <c r="BAN1" s="87" t="n"/>
      <c r="BAO1" s="87" t="n"/>
      <c r="BAP1" s="87" t="n"/>
      <c r="BAQ1" s="87" t="n"/>
      <c r="BAR1" s="87" t="n"/>
      <c r="BAS1" s="87" t="n"/>
      <c r="BAT1" s="87" t="n"/>
      <c r="BAU1" s="87" t="n"/>
      <c r="BAV1" s="87" t="n"/>
      <c r="BAW1" s="87" t="n"/>
      <c r="BAX1" s="87" t="n"/>
      <c r="BAY1" s="87" t="n"/>
      <c r="BAZ1" s="87" t="n"/>
      <c r="BBA1" s="87" t="n"/>
      <c r="BBB1" s="87" t="n"/>
      <c r="BBC1" s="87" t="n"/>
      <c r="BBD1" s="87" t="n"/>
      <c r="BBE1" s="87" t="n"/>
      <c r="BBF1" s="87" t="n"/>
      <c r="BBG1" s="87" t="n"/>
      <c r="BBH1" s="87" t="n"/>
      <c r="BBI1" s="87" t="n"/>
      <c r="BBJ1" s="87" t="n"/>
      <c r="BBK1" s="87" t="n"/>
      <c r="BBL1" s="87" t="n"/>
      <c r="BBM1" s="87" t="n"/>
      <c r="BBN1" s="87" t="n"/>
      <c r="BBO1" s="87" t="n"/>
      <c r="BBP1" s="87" t="n"/>
      <c r="BBQ1" s="87" t="n"/>
      <c r="BBR1" s="87" t="n"/>
      <c r="BBS1" s="87" t="n"/>
      <c r="BBT1" s="87" t="n"/>
      <c r="BBU1" s="87" t="n"/>
      <c r="BBV1" s="87" t="n"/>
      <c r="BBW1" s="87" t="n"/>
      <c r="BBX1" s="87" t="n"/>
      <c r="BBY1" s="87" t="n"/>
      <c r="BBZ1" s="87" t="n"/>
      <c r="BCA1" s="87" t="n"/>
      <c r="BCB1" s="87" t="n"/>
      <c r="BCC1" s="87" t="n"/>
      <c r="BCD1" s="87" t="n"/>
      <c r="BCE1" s="87" t="n"/>
      <c r="BCF1" s="87" t="n"/>
      <c r="BCG1" s="87" t="n"/>
      <c r="BCH1" s="87" t="n"/>
      <c r="BCI1" s="87" t="n"/>
      <c r="BCJ1" s="87" t="n"/>
      <c r="BCK1" s="87" t="n"/>
      <c r="BCL1" s="87" t="n"/>
      <c r="BCM1" s="87" t="n"/>
      <c r="BCN1" s="87" t="n"/>
      <c r="BCO1" s="87" t="n"/>
      <c r="BCP1" s="87" t="n"/>
      <c r="BCQ1" s="87" t="n"/>
      <c r="BCR1" s="87" t="n"/>
      <c r="BCS1" s="87" t="n"/>
      <c r="BCT1" s="87" t="n"/>
      <c r="BCU1" s="87" t="n"/>
      <c r="BCV1" s="87" t="n"/>
      <c r="BCW1" s="87" t="n"/>
      <c r="BCX1" s="87" t="n"/>
      <c r="BCY1" s="87" t="n"/>
      <c r="BCZ1" s="87" t="n"/>
      <c r="BDA1" s="87" t="n"/>
      <c r="BDB1" s="87" t="n"/>
      <c r="BDC1" s="87" t="n"/>
      <c r="BDD1" s="87" t="n"/>
      <c r="BDE1" s="87" t="n"/>
      <c r="BDF1" s="87" t="n"/>
      <c r="BDG1" s="87" t="n"/>
      <c r="BDH1" s="87" t="n"/>
      <c r="BDI1" s="87" t="n"/>
      <c r="BDJ1" s="87" t="n"/>
      <c r="BDK1" s="87" t="n"/>
      <c r="BDL1" s="87" t="n"/>
      <c r="BDM1" s="87" t="n"/>
      <c r="BDN1" s="87" t="n"/>
      <c r="BDO1" s="87" t="n"/>
      <c r="BDP1" s="87" t="n"/>
      <c r="BDQ1" s="87" t="n"/>
      <c r="BDR1" s="87" t="n"/>
      <c r="BDS1" s="87" t="n"/>
      <c r="BDT1" s="87" t="n"/>
      <c r="BDU1" s="87" t="n"/>
      <c r="BDV1" s="87" t="n"/>
      <c r="BDW1" s="87" t="n"/>
      <c r="BDX1" s="87" t="n"/>
      <c r="BDY1" s="87" t="n"/>
      <c r="BDZ1" s="87" t="n"/>
      <c r="BEA1" s="87" t="n"/>
      <c r="BEB1" s="87" t="n"/>
      <c r="BEC1" s="87" t="n"/>
      <c r="BED1" s="87" t="n"/>
      <c r="BEE1" s="87" t="n"/>
      <c r="BEF1" s="87" t="n"/>
      <c r="BEG1" s="87" t="n"/>
      <c r="BEH1" s="87" t="n"/>
      <c r="BEI1" s="87" t="n"/>
      <c r="BEJ1" s="87" t="n"/>
      <c r="BEK1" s="87" t="n"/>
      <c r="BEL1" s="87" t="n"/>
      <c r="BEM1" s="87" t="n"/>
      <c r="BEN1" s="87" t="n"/>
      <c r="BEO1" s="87" t="n"/>
      <c r="BEP1" s="87" t="n"/>
      <c r="BEQ1" s="87" t="n"/>
      <c r="BER1" s="87" t="n"/>
      <c r="BES1" s="87" t="n"/>
      <c r="BET1" s="87" t="n"/>
      <c r="BEU1" s="87" t="n"/>
      <c r="BEV1" s="87" t="n"/>
      <c r="BEW1" s="87" t="n"/>
      <c r="BEX1" s="87" t="n"/>
      <c r="BEY1" s="87" t="n"/>
      <c r="BEZ1" s="87" t="n"/>
      <c r="BFA1" s="87" t="n"/>
      <c r="BFB1" s="87" t="n"/>
      <c r="BFC1" s="87" t="n"/>
      <c r="BFD1" s="87" t="n"/>
      <c r="BFE1" s="87" t="n"/>
      <c r="BFF1" s="87" t="n"/>
      <c r="BFG1" s="87" t="n"/>
      <c r="BFH1" s="87" t="n"/>
      <c r="BFI1" s="87" t="n"/>
      <c r="BFJ1" s="87" t="n"/>
      <c r="BFK1" s="87" t="n"/>
      <c r="BFL1" s="87" t="n"/>
      <c r="BFM1" s="87" t="n"/>
      <c r="BFN1" s="87" t="n"/>
      <c r="BFO1" s="87" t="n"/>
      <c r="BFP1" s="87" t="n"/>
      <c r="BFQ1" s="87" t="n"/>
      <c r="BFR1" s="87" t="n"/>
      <c r="BFS1" s="87" t="n"/>
      <c r="BFT1" s="87" t="n"/>
      <c r="BFU1" s="87" t="n"/>
      <c r="BFV1" s="87" t="n"/>
      <c r="BFW1" s="87" t="n"/>
      <c r="BFX1" s="87" t="n"/>
      <c r="BFY1" s="87" t="n"/>
      <c r="BFZ1" s="87" t="n"/>
      <c r="BGA1" s="87" t="n"/>
      <c r="BGB1" s="87" t="n"/>
      <c r="BGC1" s="87" t="n"/>
      <c r="BGD1" s="87" t="n"/>
      <c r="BGE1" s="87" t="n"/>
      <c r="BGF1" s="87" t="n"/>
      <c r="BGG1" s="87" t="n"/>
      <c r="BGH1" s="87" t="n"/>
      <c r="BGI1" s="87" t="n"/>
      <c r="BGJ1" s="87" t="n"/>
      <c r="BGK1" s="87" t="n"/>
      <c r="BGL1" s="87" t="n"/>
      <c r="BGM1" s="87" t="n"/>
      <c r="BGN1" s="87" t="n"/>
      <c r="BGO1" s="87" t="n"/>
      <c r="BGP1" s="87" t="n"/>
      <c r="BGQ1" s="87" t="n"/>
      <c r="BGR1" s="87" t="n"/>
      <c r="BGS1" s="87" t="n"/>
      <c r="BGT1" s="87" t="n"/>
      <c r="BGU1" s="87" t="n"/>
      <c r="BGV1" s="87" t="n"/>
      <c r="BGW1" s="87" t="n"/>
      <c r="BGX1" s="87" t="n"/>
      <c r="BGY1" s="87" t="n"/>
      <c r="BGZ1" s="87" t="n"/>
      <c r="BHA1" s="87" t="n"/>
      <c r="BHB1" s="87" t="n"/>
      <c r="BHC1" s="87" t="n"/>
      <c r="BHD1" s="87" t="n"/>
      <c r="BHE1" s="87" t="n"/>
      <c r="BHF1" s="87" t="n"/>
      <c r="BHG1" s="87" t="n"/>
      <c r="BHH1" s="87" t="n"/>
      <c r="BHI1" s="87" t="n"/>
      <c r="BHJ1" s="87" t="n"/>
      <c r="BHK1" s="87" t="n"/>
      <c r="BHL1" s="87" t="n"/>
      <c r="BHM1" s="87" t="n"/>
      <c r="BHN1" s="87" t="n"/>
      <c r="BHO1" s="87" t="n"/>
      <c r="BHP1" s="87" t="n"/>
      <c r="BHQ1" s="87" t="n"/>
      <c r="BHR1" s="87" t="n"/>
      <c r="BHS1" s="87" t="n"/>
      <c r="BHT1" s="87" t="n"/>
      <c r="BHU1" s="87" t="n"/>
      <c r="BHV1" s="87" t="n"/>
      <c r="BHW1" s="87" t="n"/>
      <c r="BHX1" s="87" t="n"/>
      <c r="BHY1" s="87" t="n"/>
      <c r="BHZ1" s="87" t="n"/>
      <c r="BIA1" s="87" t="n"/>
      <c r="BIB1" s="87" t="n"/>
      <c r="BIC1" s="87" t="n"/>
      <c r="BID1" s="87" t="n"/>
      <c r="BIE1" s="87" t="n"/>
      <c r="BIF1" s="87" t="n"/>
      <c r="BIG1" s="87" t="n"/>
      <c r="BIH1" s="87" t="n"/>
      <c r="BII1" s="87" t="n"/>
      <c r="BIJ1" s="87" t="n"/>
      <c r="BIK1" s="87" t="n"/>
      <c r="BIL1" s="87" t="n"/>
      <c r="BIM1" s="87" t="n"/>
      <c r="BIN1" s="87" t="n"/>
      <c r="BIO1" s="87" t="n"/>
      <c r="BIP1" s="87" t="n"/>
      <c r="BIQ1" s="87" t="n"/>
      <c r="BIR1" s="87" t="n"/>
      <c r="BIS1" s="87" t="n"/>
      <c r="BIT1" s="87" t="n"/>
      <c r="BIU1" s="87" t="n"/>
      <c r="BIV1" s="87" t="n"/>
      <c r="BIW1" s="87" t="n"/>
      <c r="BIX1" s="87" t="n"/>
      <c r="BIY1" s="87" t="n"/>
      <c r="BIZ1" s="87" t="n"/>
      <c r="BJA1" s="87" t="n"/>
      <c r="BJB1" s="87" t="n"/>
      <c r="BJC1" s="87" t="n"/>
      <c r="BJD1" s="87" t="n"/>
      <c r="BJE1" s="87" t="n"/>
      <c r="BJF1" s="87" t="n"/>
      <c r="BJG1" s="87" t="n"/>
      <c r="BJH1" s="87" t="n"/>
      <c r="BJI1" s="87" t="n"/>
      <c r="BJJ1" s="87" t="n"/>
      <c r="BJK1" s="87" t="n"/>
      <c r="BJL1" s="87" t="n"/>
      <c r="BJM1" s="87" t="n"/>
      <c r="BJN1" s="87" t="n"/>
      <c r="BJO1" s="87" t="n"/>
      <c r="BJP1" s="87" t="n"/>
      <c r="BJQ1" s="87" t="n"/>
      <c r="BJR1" s="87" t="n"/>
      <c r="BJS1" s="87" t="n"/>
      <c r="BJT1" s="87" t="n"/>
      <c r="BJU1" s="87" t="n"/>
      <c r="BJV1" s="87" t="n"/>
      <c r="BJW1" s="87" t="n"/>
      <c r="BJX1" s="87" t="n"/>
      <c r="BJY1" s="87" t="n"/>
      <c r="BJZ1" s="87" t="n"/>
      <c r="BKA1" s="87" t="n"/>
      <c r="BKB1" s="87" t="n"/>
      <c r="BKC1" s="87" t="n"/>
      <c r="BKD1" s="87" t="n"/>
      <c r="BKE1" s="87" t="n"/>
      <c r="BKF1" s="87" t="n"/>
      <c r="BKG1" s="87" t="n"/>
      <c r="BKH1" s="87" t="n"/>
      <c r="BKI1" s="87" t="n"/>
      <c r="BKJ1" s="87" t="n"/>
      <c r="BKK1" s="87" t="n"/>
      <c r="BKL1" s="87" t="n"/>
      <c r="BKM1" s="87" t="n"/>
      <c r="BKN1" s="87" t="n"/>
      <c r="BKO1" s="87" t="n"/>
      <c r="BKP1" s="87" t="n"/>
      <c r="BKQ1" s="87" t="n"/>
      <c r="BKR1" s="87" t="n"/>
      <c r="BKS1" s="87" t="n"/>
      <c r="BKT1" s="87" t="n"/>
      <c r="BKU1" s="87" t="n"/>
      <c r="BKV1" s="87" t="n"/>
      <c r="BKW1" s="87" t="n"/>
      <c r="BKX1" s="87" t="n"/>
      <c r="BKY1" s="87" t="n"/>
      <c r="BKZ1" s="87" t="n"/>
      <c r="BLA1" s="87" t="n"/>
      <c r="BLB1" s="87" t="n"/>
      <c r="BLC1" s="87" t="n"/>
      <c r="BLD1" s="87" t="n"/>
      <c r="BLE1" s="87" t="n"/>
      <c r="BLF1" s="87" t="n"/>
      <c r="BLG1" s="87" t="n"/>
      <c r="BLH1" s="87" t="n"/>
      <c r="BLI1" s="87" t="n"/>
      <c r="BLJ1" s="87" t="n"/>
      <c r="BLK1" s="87" t="n"/>
      <c r="BLL1" s="87" t="n"/>
      <c r="BLM1" s="87" t="n"/>
      <c r="BLN1" s="87" t="n"/>
      <c r="BLO1" s="87" t="n"/>
      <c r="BLP1" s="87" t="n"/>
      <c r="BLQ1" s="87" t="n"/>
      <c r="BLR1" s="87" t="n"/>
      <c r="BLS1" s="87" t="n"/>
      <c r="BLT1" s="87" t="n"/>
      <c r="BLU1" s="87" t="n"/>
      <c r="BLV1" s="87" t="n"/>
      <c r="BLW1" s="87" t="n"/>
      <c r="BLX1" s="87" t="n"/>
      <c r="BLY1" s="87" t="n"/>
      <c r="BLZ1" s="87" t="n"/>
      <c r="BMA1" s="87" t="n"/>
      <c r="BMB1" s="87" t="n"/>
      <c r="BMC1" s="87" t="n"/>
      <c r="BMD1" s="87" t="n"/>
      <c r="BME1" s="87" t="n"/>
      <c r="BMF1" s="87" t="n"/>
      <c r="BMG1" s="87" t="n"/>
      <c r="BMH1" s="87" t="n"/>
      <c r="BMI1" s="87" t="n"/>
      <c r="BMJ1" s="87" t="n"/>
      <c r="BMK1" s="87" t="n"/>
      <c r="BML1" s="87" t="n"/>
      <c r="BMM1" s="87" t="n"/>
      <c r="BMN1" s="87" t="n"/>
      <c r="BMO1" s="87" t="n"/>
      <c r="BMP1" s="87" t="n"/>
      <c r="BMQ1" s="87" t="n"/>
      <c r="BMR1" s="87" t="n"/>
      <c r="BMS1" s="87" t="n"/>
      <c r="BMT1" s="87" t="n"/>
      <c r="BMU1" s="87" t="n"/>
      <c r="BMV1" s="87" t="n"/>
      <c r="BMW1" s="87" t="n"/>
      <c r="BMX1" s="87" t="n"/>
      <c r="BMY1" s="87" t="n"/>
      <c r="BMZ1" s="87" t="n"/>
      <c r="BNA1" s="87" t="n"/>
      <c r="BNB1" s="87" t="n"/>
      <c r="BNC1" s="87" t="n"/>
      <c r="BND1" s="87" t="n"/>
      <c r="BNE1" s="87" t="n"/>
      <c r="BNF1" s="87" t="n"/>
      <c r="BNG1" s="87" t="n"/>
      <c r="BNH1" s="87" t="n"/>
      <c r="BNI1" s="87" t="n"/>
      <c r="BNJ1" s="87" t="n"/>
      <c r="BNK1" s="87" t="n"/>
      <c r="BNL1" s="87" t="n"/>
      <c r="BNM1" s="87" t="n"/>
      <c r="BNN1" s="87" t="n"/>
      <c r="BNO1" s="87" t="n"/>
      <c r="BNP1" s="87" t="n"/>
      <c r="BNQ1" s="87" t="n"/>
      <c r="BNR1" s="87" t="n"/>
      <c r="BNS1" s="87" t="n"/>
      <c r="BNT1" s="87" t="n"/>
      <c r="BNU1" s="87" t="n"/>
      <c r="BNV1" s="87" t="n"/>
      <c r="BNW1" s="87" t="n"/>
      <c r="BNX1" s="87" t="n"/>
      <c r="BNY1" s="87" t="n"/>
      <c r="BNZ1" s="87" t="n"/>
      <c r="BOA1" s="87" t="n"/>
      <c r="BOB1" s="87" t="n"/>
      <c r="BOC1" s="87" t="n"/>
      <c r="BOD1" s="87" t="n"/>
      <c r="BOE1" s="87" t="n"/>
      <c r="BOF1" s="87" t="n"/>
      <c r="BOG1" s="87" t="n"/>
      <c r="BOH1" s="87" t="n"/>
      <c r="BOI1" s="87" t="n"/>
      <c r="BOJ1" s="87" t="n"/>
      <c r="BOK1" s="87" t="n"/>
      <c r="BOL1" s="87" t="n"/>
      <c r="BOM1" s="87" t="n"/>
      <c r="BON1" s="87" t="n"/>
      <c r="BOO1" s="87" t="n"/>
      <c r="BOP1" s="87" t="n"/>
      <c r="BOQ1" s="87" t="n"/>
      <c r="BOR1" s="87" t="n"/>
      <c r="BOS1" s="87" t="n"/>
      <c r="BOT1" s="87" t="n"/>
      <c r="BOU1" s="87" t="n"/>
      <c r="BOV1" s="87" t="n"/>
      <c r="BOW1" s="87" t="n"/>
      <c r="BOX1" s="87" t="n"/>
      <c r="BOY1" s="87" t="n"/>
      <c r="BOZ1" s="87" t="n"/>
      <c r="BPA1" s="87" t="n"/>
      <c r="BPB1" s="87" t="n"/>
      <c r="BPC1" s="87" t="n"/>
      <c r="BPD1" s="87" t="n"/>
      <c r="BPE1" s="87" t="n"/>
      <c r="BPF1" s="87" t="n"/>
      <c r="BPG1" s="87" t="n"/>
      <c r="BPH1" s="87" t="n"/>
      <c r="BPI1" s="87" t="n"/>
      <c r="BPJ1" s="87" t="n"/>
      <c r="BPK1" s="87" t="n"/>
      <c r="BPL1" s="87" t="n"/>
      <c r="BPM1" s="87" t="n"/>
      <c r="BPN1" s="87" t="n"/>
      <c r="BPO1" s="87" t="n"/>
      <c r="BPP1" s="87" t="n"/>
      <c r="BPQ1" s="87" t="n"/>
      <c r="BPR1" s="87" t="n"/>
      <c r="BPS1" s="87" t="n"/>
      <c r="BPT1" s="87" t="n"/>
      <c r="BPU1" s="87" t="n"/>
      <c r="BPV1" s="87" t="n"/>
      <c r="BPW1" s="87" t="n"/>
      <c r="BPX1" s="87" t="n"/>
      <c r="BPY1" s="87" t="n"/>
      <c r="BPZ1" s="87" t="n"/>
      <c r="BQA1" s="87" t="n"/>
      <c r="BQB1" s="87" t="n"/>
      <c r="BQC1" s="87" t="n"/>
      <c r="BQD1" s="87" t="n"/>
      <c r="BQE1" s="87" t="n"/>
      <c r="BQF1" s="87" t="n"/>
      <c r="BQG1" s="87" t="n"/>
      <c r="BQH1" s="87" t="n"/>
      <c r="BQI1" s="87" t="n"/>
      <c r="BQJ1" s="87" t="n"/>
      <c r="BQK1" s="87" t="n"/>
      <c r="BQL1" s="87" t="n"/>
      <c r="BQM1" s="87" t="n"/>
      <c r="BQN1" s="87" t="n"/>
      <c r="BQO1" s="87" t="n"/>
      <c r="BQP1" s="87" t="n"/>
      <c r="BQQ1" s="87" t="n"/>
      <c r="BQR1" s="87" t="n"/>
      <c r="BQS1" s="87" t="n"/>
      <c r="BQT1" s="87" t="n"/>
      <c r="BQU1" s="87" t="n"/>
      <c r="BQV1" s="87" t="n"/>
      <c r="BQW1" s="87" t="n"/>
      <c r="BQX1" s="87" t="n"/>
      <c r="BQY1" s="87" t="n"/>
      <c r="BQZ1" s="87" t="n"/>
      <c r="BRA1" s="87" t="n"/>
      <c r="BRB1" s="87" t="n"/>
      <c r="BRC1" s="87" t="n"/>
      <c r="BRD1" s="87" t="n"/>
      <c r="BRE1" s="87" t="n"/>
      <c r="BRF1" s="87" t="n"/>
      <c r="BRG1" s="87" t="n"/>
      <c r="BRH1" s="87" t="n"/>
      <c r="BRI1" s="87" t="n"/>
      <c r="BRJ1" s="87" t="n"/>
      <c r="BRK1" s="87" t="n"/>
      <c r="BRL1" s="87" t="n"/>
      <c r="BRM1" s="87" t="n"/>
      <c r="BRN1" s="87" t="n"/>
      <c r="BRO1" s="87" t="n"/>
      <c r="BRP1" s="87" t="n"/>
      <c r="BRQ1" s="87" t="n"/>
      <c r="BRR1" s="87" t="n"/>
      <c r="BRS1" s="87" t="n"/>
      <c r="BRT1" s="87" t="n"/>
      <c r="BRU1" s="87" t="n"/>
      <c r="BRV1" s="87" t="n"/>
      <c r="BRW1" s="87" t="n"/>
      <c r="BRX1" s="87" t="n"/>
      <c r="BRY1" s="87" t="n"/>
      <c r="BRZ1" s="87" t="n"/>
      <c r="BSA1" s="87" t="n"/>
      <c r="BSB1" s="87" t="n"/>
      <c r="BSC1" s="87" t="n"/>
      <c r="BSD1" s="87" t="n"/>
      <c r="BSE1" s="87" t="n"/>
      <c r="BSF1" s="87" t="n"/>
      <c r="BSG1" s="87" t="n"/>
      <c r="BSH1" s="87" t="n"/>
      <c r="BSI1" s="87" t="n"/>
      <c r="BSJ1" s="87" t="n"/>
      <c r="BSK1" s="87" t="n"/>
      <c r="BSL1" s="87" t="n"/>
      <c r="BSM1" s="87" t="n"/>
      <c r="BSN1" s="87" t="n"/>
      <c r="BSO1" s="87" t="n"/>
      <c r="BSP1" s="87" t="n"/>
      <c r="BSQ1" s="87" t="n"/>
      <c r="BSR1" s="87" t="n"/>
      <c r="BSS1" s="87" t="n"/>
      <c r="BST1" s="87" t="n"/>
      <c r="BSU1" s="87" t="n"/>
      <c r="BSV1" s="87" t="n"/>
      <c r="BSW1" s="87" t="n"/>
      <c r="BSX1" s="87" t="n"/>
      <c r="BSY1" s="87" t="n"/>
      <c r="BSZ1" s="87" t="n"/>
      <c r="BTA1" s="87" t="n"/>
      <c r="BTB1" s="87" t="n"/>
      <c r="BTC1" s="87" t="n"/>
      <c r="BTD1" s="87" t="n"/>
      <c r="BTE1" s="87" t="n"/>
      <c r="BTF1" s="87" t="n"/>
      <c r="BTG1" s="87" t="n"/>
      <c r="BTH1" s="87" t="n"/>
      <c r="BTI1" s="87" t="n"/>
      <c r="BTJ1" s="87" t="n"/>
      <c r="BTK1" s="87" t="n"/>
      <c r="BTL1" s="87" t="n"/>
      <c r="BTM1" s="87" t="n"/>
      <c r="BTN1" s="87" t="n"/>
      <c r="BTO1" s="87" t="n"/>
      <c r="BTP1" s="87" t="n"/>
      <c r="BTQ1" s="87" t="n"/>
      <c r="BTR1" s="87" t="n"/>
      <c r="BTS1" s="87" t="n"/>
      <c r="BTT1" s="87" t="n"/>
      <c r="BTU1" s="87" t="n"/>
      <c r="BTV1" s="87" t="n"/>
      <c r="BTW1" s="87" t="n"/>
      <c r="BTX1" s="87" t="n"/>
      <c r="BTY1" s="87" t="n"/>
      <c r="BTZ1" s="87" t="n"/>
      <c r="BUA1" s="87" t="n"/>
      <c r="BUB1" s="87" t="n"/>
      <c r="BUC1" s="87" t="n"/>
      <c r="BUD1" s="87" t="n"/>
      <c r="BUE1" s="87" t="n"/>
      <c r="BUF1" s="87" t="n"/>
      <c r="BUG1" s="87" t="n"/>
      <c r="BUH1" s="87" t="n"/>
      <c r="BUI1" s="87" t="n"/>
      <c r="BUJ1" s="87" t="n"/>
      <c r="BUK1" s="87" t="n"/>
      <c r="BUL1" s="87" t="n"/>
      <c r="BUM1" s="87" t="n"/>
      <c r="BUN1" s="87" t="n"/>
      <c r="BUO1" s="87" t="n"/>
      <c r="BUP1" s="87" t="n"/>
      <c r="BUQ1" s="87" t="n"/>
      <c r="BUR1" s="87" t="n"/>
      <c r="BUS1" s="87" t="n"/>
      <c r="BUT1" s="87" t="n"/>
      <c r="BUU1" s="87" t="n"/>
      <c r="BUV1" s="87" t="n"/>
      <c r="BUW1" s="87" t="n"/>
      <c r="BUX1" s="87" t="n"/>
      <c r="BUY1" s="87" t="n"/>
      <c r="BUZ1" s="87" t="n"/>
      <c r="BVA1" s="87" t="n"/>
      <c r="BVB1" s="87" t="n"/>
      <c r="BVC1" s="87" t="n"/>
      <c r="BVD1" s="87" t="n"/>
      <c r="BVE1" s="87" t="n"/>
      <c r="BVF1" s="87" t="n"/>
      <c r="BVG1" s="87" t="n"/>
      <c r="BVH1" s="87" t="n"/>
      <c r="BVI1" s="87" t="n"/>
      <c r="BVJ1" s="87" t="n"/>
      <c r="BVK1" s="87" t="n"/>
      <c r="BVL1" s="87" t="n"/>
      <c r="BVM1" s="87" t="n"/>
      <c r="BVN1" s="87" t="n"/>
      <c r="BVO1" s="87" t="n"/>
      <c r="BVP1" s="87" t="n"/>
      <c r="BVQ1" s="87" t="n"/>
      <c r="BVR1" s="87" t="n"/>
      <c r="BVS1" s="87" t="n"/>
      <c r="BVT1" s="87" t="n"/>
      <c r="BVU1" s="87" t="n"/>
      <c r="BVV1" s="87" t="n"/>
      <c r="BVW1" s="87" t="n"/>
      <c r="BVX1" s="87" t="n"/>
      <c r="BVY1" s="87" t="n"/>
      <c r="BVZ1" s="87" t="n"/>
      <c r="BWA1" s="87" t="n"/>
      <c r="BWB1" s="87" t="n"/>
      <c r="BWC1" s="87" t="n"/>
      <c r="BWD1" s="87" t="n"/>
      <c r="BWE1" s="87" t="n"/>
      <c r="BWF1" s="87" t="n"/>
      <c r="BWG1" s="87" t="n"/>
      <c r="BWH1" s="87" t="n"/>
      <c r="BWI1" s="87" t="n"/>
      <c r="BWJ1" s="87" t="n"/>
      <c r="BWK1" s="87" t="n"/>
      <c r="BWL1" s="87" t="n"/>
      <c r="BWM1" s="87" t="n"/>
      <c r="BWN1" s="87" t="n"/>
      <c r="BWO1" s="87" t="n"/>
      <c r="BWP1" s="87" t="n"/>
      <c r="BWQ1" s="87" t="n"/>
      <c r="BWR1" s="87" t="n"/>
      <c r="BWS1" s="87" t="n"/>
      <c r="BWT1" s="87" t="n"/>
      <c r="BWU1" s="87" t="n"/>
      <c r="BWV1" s="87" t="n"/>
      <c r="BWW1" s="87" t="n"/>
      <c r="BWX1" s="87" t="n"/>
      <c r="BWY1" s="87" t="n"/>
      <c r="BWZ1" s="87" t="n"/>
      <c r="BXA1" s="87" t="n"/>
      <c r="BXB1" s="87" t="n"/>
      <c r="BXC1" s="87" t="n"/>
      <c r="BXD1" s="87" t="n"/>
      <c r="BXE1" s="87" t="n"/>
      <c r="BXF1" s="87" t="n"/>
      <c r="BXG1" s="87" t="n"/>
      <c r="BXH1" s="87" t="n"/>
      <c r="BXI1" s="87" t="n"/>
      <c r="BXJ1" s="87" t="n"/>
      <c r="BXK1" s="87" t="n"/>
      <c r="BXL1" s="87" t="n"/>
      <c r="BXM1" s="87" t="n"/>
      <c r="BXN1" s="87" t="n"/>
      <c r="BXO1" s="87" t="n"/>
      <c r="BXP1" s="87" t="n"/>
      <c r="BXQ1" s="87" t="n"/>
      <c r="BXR1" s="87" t="n"/>
      <c r="BXS1" s="87" t="n"/>
      <c r="BXT1" s="87" t="n"/>
      <c r="BXU1" s="87" t="n"/>
      <c r="BXV1" s="87" t="n"/>
      <c r="BXW1" s="87" t="n"/>
      <c r="BXX1" s="87" t="n"/>
      <c r="BXY1" s="87" t="n"/>
      <c r="BXZ1" s="87" t="n"/>
      <c r="BYA1" s="87" t="n"/>
      <c r="BYB1" s="87" t="n"/>
      <c r="BYC1" s="87" t="n"/>
      <c r="BYD1" s="87" t="n"/>
      <c r="BYE1" s="87" t="n"/>
      <c r="BYF1" s="87" t="n"/>
      <c r="BYG1" s="87" t="n"/>
      <c r="BYH1" s="87" t="n"/>
      <c r="BYI1" s="87" t="n"/>
      <c r="BYJ1" s="87" t="n"/>
      <c r="BYK1" s="87" t="n"/>
      <c r="BYL1" s="87" t="n"/>
      <c r="BYM1" s="87" t="n"/>
      <c r="BYN1" s="87" t="n"/>
      <c r="BYO1" s="87" t="n"/>
      <c r="BYP1" s="87" t="n"/>
      <c r="BYQ1" s="87" t="n"/>
      <c r="BYR1" s="87" t="n"/>
      <c r="BYS1" s="87" t="n"/>
      <c r="BYT1" s="87" t="n"/>
      <c r="BYU1" s="87" t="n"/>
      <c r="BYV1" s="87" t="n"/>
      <c r="BYW1" s="87" t="n"/>
      <c r="BYX1" s="87" t="n"/>
      <c r="BYY1" s="87" t="n"/>
      <c r="BYZ1" s="87" t="n"/>
      <c r="BZA1" s="87" t="n"/>
      <c r="BZB1" s="87" t="n"/>
      <c r="BZC1" s="87" t="n"/>
      <c r="BZD1" s="87" t="n"/>
      <c r="BZE1" s="87" t="n"/>
      <c r="BZF1" s="87" t="n"/>
      <c r="BZG1" s="87" t="n"/>
      <c r="BZH1" s="87" t="n"/>
      <c r="BZI1" s="87" t="n"/>
      <c r="BZJ1" s="87" t="n"/>
      <c r="BZK1" s="87" t="n"/>
      <c r="BZL1" s="87" t="n"/>
      <c r="BZM1" s="87" t="n"/>
      <c r="BZN1" s="87" t="n"/>
      <c r="BZO1" s="87" t="n"/>
      <c r="BZP1" s="87" t="n"/>
      <c r="BZQ1" s="87" t="n"/>
      <c r="BZR1" s="87" t="n"/>
      <c r="BZS1" s="87" t="n"/>
      <c r="BZT1" s="87" t="n"/>
      <c r="BZU1" s="87" t="n"/>
      <c r="BZV1" s="87" t="n"/>
      <c r="BZW1" s="87" t="n"/>
      <c r="BZX1" s="87" t="n"/>
      <c r="BZY1" s="87" t="n"/>
      <c r="BZZ1" s="87" t="n"/>
      <c r="CAA1" s="87" t="n"/>
      <c r="CAB1" s="87" t="n"/>
      <c r="CAC1" s="87" t="n"/>
      <c r="CAD1" s="87" t="n"/>
      <c r="CAE1" s="87" t="n"/>
      <c r="CAF1" s="87" t="n"/>
      <c r="CAG1" s="87" t="n"/>
      <c r="CAH1" s="87" t="n"/>
      <c r="CAI1" s="87" t="n"/>
      <c r="CAJ1" s="87" t="n"/>
      <c r="CAK1" s="87" t="n"/>
      <c r="CAL1" s="87" t="n"/>
      <c r="CAM1" s="87" t="n"/>
      <c r="CAN1" s="87" t="n"/>
      <c r="CAO1" s="87" t="n"/>
      <c r="CAP1" s="87" t="n"/>
      <c r="CAQ1" s="87" t="n"/>
      <c r="CAR1" s="87" t="n"/>
      <c r="CAS1" s="87" t="n"/>
      <c r="CAT1" s="87" t="n"/>
      <c r="CAU1" s="87" t="n"/>
      <c r="CAV1" s="87" t="n"/>
      <c r="CAW1" s="87" t="n"/>
      <c r="CAX1" s="87" t="n"/>
      <c r="CAY1" s="87" t="n"/>
      <c r="CAZ1" s="87" t="n"/>
      <c r="CBA1" s="87" t="n"/>
      <c r="CBB1" s="87" t="n"/>
      <c r="CBC1" s="87" t="n"/>
      <c r="CBD1" s="87" t="n"/>
      <c r="CBE1" s="87" t="n"/>
      <c r="CBF1" s="87" t="n"/>
      <c r="CBG1" s="87" t="n"/>
      <c r="CBH1" s="87" t="n"/>
      <c r="CBI1" s="87" t="n"/>
      <c r="CBJ1" s="87" t="n"/>
      <c r="CBK1" s="87" t="n"/>
      <c r="CBL1" s="87" t="n"/>
      <c r="CBM1" s="87" t="n"/>
      <c r="CBN1" s="87" t="n"/>
      <c r="CBO1" s="87" t="n"/>
      <c r="CBP1" s="87" t="n"/>
      <c r="CBQ1" s="87" t="n"/>
      <c r="CBR1" s="87" t="n"/>
      <c r="CBS1" s="87" t="n"/>
      <c r="CBT1" s="87" t="n"/>
      <c r="CBU1" s="87" t="n"/>
      <c r="CBV1" s="87" t="n"/>
      <c r="CBW1" s="87" t="n"/>
      <c r="CBX1" s="87" t="n"/>
      <c r="CBY1" s="87" t="n"/>
      <c r="CBZ1" s="87" t="n"/>
      <c r="CCA1" s="87" t="n"/>
      <c r="CCB1" s="87" t="n"/>
      <c r="CCC1" s="87" t="n"/>
      <c r="CCD1" s="87" t="n"/>
      <c r="CCE1" s="87" t="n"/>
      <c r="CCF1" s="87" t="n"/>
      <c r="CCG1" s="87" t="n"/>
      <c r="CCH1" s="87" t="n"/>
      <c r="CCI1" s="87" t="n"/>
      <c r="CCJ1" s="87" t="n"/>
      <c r="CCK1" s="87" t="n"/>
      <c r="CCL1" s="87" t="n"/>
      <c r="CCM1" s="87" t="n"/>
      <c r="CCN1" s="87" t="n"/>
      <c r="CCO1" s="87" t="n"/>
      <c r="CCP1" s="87" t="n"/>
      <c r="CCQ1" s="87" t="n"/>
      <c r="CCR1" s="87" t="n"/>
      <c r="CCS1" s="87" t="n"/>
      <c r="CCT1" s="87" t="n"/>
      <c r="CCU1" s="87" t="n"/>
      <c r="CCV1" s="87" t="n"/>
      <c r="CCW1" s="87" t="n"/>
      <c r="CCX1" s="87" t="n"/>
      <c r="CCY1" s="87" t="n"/>
      <c r="CCZ1" s="87" t="n"/>
      <c r="CDA1" s="87" t="n"/>
      <c r="CDB1" s="87" t="n"/>
      <c r="CDC1" s="87" t="n"/>
      <c r="CDD1" s="87" t="n"/>
      <c r="CDE1" s="87" t="n"/>
      <c r="CDF1" s="87" t="n"/>
      <c r="CDG1" s="87" t="n"/>
      <c r="CDH1" s="87" t="n"/>
      <c r="CDI1" s="87" t="n"/>
      <c r="CDJ1" s="87" t="n"/>
      <c r="CDK1" s="87" t="n"/>
      <c r="CDL1" s="87" t="n"/>
      <c r="CDM1" s="87" t="n"/>
      <c r="CDN1" s="87" t="n"/>
      <c r="CDO1" s="87" t="n"/>
      <c r="CDP1" s="87" t="n"/>
      <c r="CDQ1" s="87" t="n"/>
      <c r="CDR1" s="87" t="n"/>
      <c r="CDS1" s="87" t="n"/>
      <c r="CDT1" s="87" t="n"/>
      <c r="CDU1" s="87" t="n"/>
      <c r="CDV1" s="87" t="n"/>
      <c r="CDW1" s="87" t="n"/>
      <c r="CDX1" s="87" t="n"/>
      <c r="CDY1" s="87" t="n"/>
      <c r="CDZ1" s="87" t="n"/>
      <c r="CEA1" s="87" t="n"/>
      <c r="CEB1" s="87" t="n"/>
      <c r="CEC1" s="87" t="n"/>
      <c r="CED1" s="87" t="n"/>
      <c r="CEE1" s="87" t="n"/>
      <c r="CEF1" s="87" t="n"/>
      <c r="CEG1" s="87" t="n"/>
      <c r="CEH1" s="87" t="n"/>
      <c r="CEI1" s="87" t="n"/>
      <c r="CEJ1" s="87" t="n"/>
      <c r="CEK1" s="87" t="n"/>
      <c r="CEL1" s="87" t="n"/>
      <c r="CEM1" s="87" t="n"/>
      <c r="CEN1" s="87" t="n"/>
      <c r="CEO1" s="87" t="n"/>
      <c r="CEP1" s="87" t="n"/>
      <c r="CEQ1" s="87" t="n"/>
      <c r="CER1" s="87" t="n"/>
      <c r="CES1" s="87" t="n"/>
      <c r="CET1" s="87" t="n"/>
      <c r="CEU1" s="87" t="n"/>
      <c r="CEV1" s="87" t="n"/>
      <c r="CEW1" s="87" t="n"/>
      <c r="CEX1" s="87" t="n"/>
      <c r="CEY1" s="87" t="n"/>
      <c r="CEZ1" s="87" t="n"/>
      <c r="CFA1" s="87" t="n"/>
      <c r="CFB1" s="87" t="n"/>
      <c r="CFC1" s="87" t="n"/>
      <c r="CFD1" s="87" t="n"/>
      <c r="CFE1" s="87" t="n"/>
      <c r="CFF1" s="87" t="n"/>
      <c r="CFG1" s="87" t="n"/>
      <c r="CFH1" s="87" t="n"/>
      <c r="CFI1" s="87" t="n"/>
      <c r="CFJ1" s="87" t="n"/>
      <c r="CFK1" s="87" t="n"/>
      <c r="CFL1" s="87" t="n"/>
      <c r="CFM1" s="87" t="n"/>
      <c r="CFN1" s="87" t="n"/>
      <c r="CFO1" s="87" t="n"/>
      <c r="CFP1" s="87" t="n"/>
      <c r="CFQ1" s="87" t="n"/>
      <c r="CFR1" s="87" t="n"/>
      <c r="CFS1" s="87" t="n"/>
      <c r="CFT1" s="87" t="n"/>
      <c r="CFU1" s="87" t="n"/>
      <c r="CFV1" s="87" t="n"/>
      <c r="CFW1" s="87" t="n"/>
      <c r="CFX1" s="87" t="n"/>
      <c r="CFY1" s="87" t="n"/>
      <c r="CFZ1" s="87" t="n"/>
      <c r="CGA1" s="87" t="n"/>
      <c r="CGB1" s="87" t="n"/>
      <c r="CGC1" s="87" t="n"/>
      <c r="CGD1" s="87" t="n"/>
      <c r="CGE1" s="87" t="n"/>
      <c r="CGF1" s="87" t="n"/>
      <c r="CGG1" s="87" t="n"/>
      <c r="CGH1" s="87" t="n"/>
      <c r="CGI1" s="87" t="n"/>
      <c r="CGJ1" s="87" t="n"/>
      <c r="CGK1" s="87" t="n"/>
      <c r="CGL1" s="87" t="n"/>
      <c r="CGM1" s="87" t="n"/>
      <c r="CGN1" s="87" t="n"/>
      <c r="CGO1" s="87" t="n"/>
      <c r="CGP1" s="87" t="n"/>
      <c r="CGQ1" s="87" t="n"/>
      <c r="CGR1" s="87" t="n"/>
      <c r="CGS1" s="87" t="n"/>
      <c r="CGT1" s="87" t="n"/>
      <c r="CGU1" s="87" t="n"/>
      <c r="CGV1" s="87" t="n"/>
      <c r="CGW1" s="87" t="n"/>
      <c r="CGX1" s="87" t="n"/>
      <c r="CGY1" s="87" t="n"/>
      <c r="CGZ1" s="87" t="n"/>
      <c r="CHA1" s="87" t="n"/>
      <c r="CHB1" s="87" t="n"/>
      <c r="CHC1" s="87" t="n"/>
      <c r="CHD1" s="87" t="n"/>
      <c r="CHE1" s="87" t="n"/>
      <c r="CHF1" s="87" t="n"/>
      <c r="CHG1" s="87" t="n"/>
      <c r="CHH1" s="87" t="n"/>
      <c r="CHI1" s="87" t="n"/>
      <c r="CHJ1" s="87" t="n"/>
      <c r="CHK1" s="87" t="n"/>
      <c r="CHL1" s="87" t="n"/>
      <c r="CHM1" s="87" t="n"/>
      <c r="CHN1" s="87" t="n"/>
      <c r="CHO1" s="87" t="n"/>
      <c r="CHP1" s="87" t="n"/>
      <c r="CHQ1" s="87" t="n"/>
      <c r="CHR1" s="87" t="n"/>
      <c r="CHS1" s="87" t="n"/>
      <c r="CHT1" s="87" t="n"/>
      <c r="CHU1" s="87" t="n"/>
      <c r="CHV1" s="87" t="n"/>
      <c r="CHW1" s="87" t="n"/>
      <c r="CHX1" s="87" t="n"/>
      <c r="CHY1" s="87" t="n"/>
      <c r="CHZ1" s="87" t="n"/>
      <c r="CIA1" s="87" t="n"/>
      <c r="CIB1" s="87" t="n"/>
      <c r="CIC1" s="87" t="n"/>
      <c r="CID1" s="87" t="n"/>
      <c r="CIE1" s="87" t="n"/>
      <c r="CIF1" s="87" t="n"/>
      <c r="CIG1" s="87" t="n"/>
      <c r="CIH1" s="87" t="n"/>
      <c r="CII1" s="87" t="n"/>
      <c r="CIJ1" s="87" t="n"/>
      <c r="CIK1" s="87" t="n"/>
      <c r="CIL1" s="87" t="n"/>
      <c r="CIM1" s="87" t="n"/>
      <c r="CIN1" s="87" t="n"/>
      <c r="CIO1" s="87" t="n"/>
      <c r="CIP1" s="87" t="n"/>
      <c r="CIQ1" s="87" t="n"/>
      <c r="CIR1" s="87" t="n"/>
      <c r="CIS1" s="87" t="n"/>
      <c r="CIT1" s="87" t="n"/>
      <c r="CIU1" s="87" t="n"/>
      <c r="CIV1" s="87" t="n"/>
      <c r="CIW1" s="87" t="n"/>
      <c r="CIX1" s="87" t="n"/>
      <c r="CIY1" s="87" t="n"/>
      <c r="CIZ1" s="87" t="n"/>
      <c r="CJA1" s="87" t="n"/>
      <c r="CJB1" s="87" t="n"/>
      <c r="CJC1" s="87" t="n"/>
      <c r="CJD1" s="87" t="n"/>
      <c r="CJE1" s="87" t="n"/>
      <c r="CJF1" s="87" t="n"/>
      <c r="CJG1" s="87" t="n"/>
      <c r="CJH1" s="87" t="n"/>
      <c r="CJI1" s="87" t="n"/>
      <c r="CJJ1" s="87" t="n"/>
      <c r="CJK1" s="87" t="n"/>
      <c r="CJL1" s="87" t="n"/>
      <c r="CJM1" s="87" t="n"/>
      <c r="CJN1" s="87" t="n"/>
      <c r="CJO1" s="87" t="n"/>
      <c r="CJP1" s="87" t="n"/>
      <c r="CJQ1" s="87" t="n"/>
      <c r="CJR1" s="87" t="n"/>
      <c r="CJS1" s="87" t="n"/>
      <c r="CJT1" s="87" t="n"/>
      <c r="CJU1" s="87" t="n"/>
      <c r="CJV1" s="87" t="n"/>
      <c r="CJW1" s="87" t="n"/>
      <c r="CJX1" s="87" t="n"/>
      <c r="CJY1" s="87" t="n"/>
      <c r="CJZ1" s="87" t="n"/>
      <c r="CKA1" s="87" t="n"/>
      <c r="CKB1" s="87" t="n"/>
      <c r="CKC1" s="87" t="n"/>
      <c r="CKD1" s="87" t="n"/>
      <c r="CKE1" s="87" t="n"/>
      <c r="CKF1" s="87" t="n"/>
      <c r="CKG1" s="87" t="n"/>
      <c r="CKH1" s="87" t="n"/>
      <c r="CKI1" s="87" t="n"/>
      <c r="CKJ1" s="87" t="n"/>
      <c r="CKK1" s="87" t="n"/>
      <c r="CKL1" s="87" t="n"/>
      <c r="CKM1" s="87" t="n"/>
      <c r="CKN1" s="87" t="n"/>
      <c r="CKO1" s="87" t="n"/>
      <c r="CKP1" s="87" t="n"/>
      <c r="CKQ1" s="87" t="n"/>
      <c r="CKR1" s="87" t="n"/>
      <c r="CKS1" s="87" t="n"/>
      <c r="CKT1" s="87" t="n"/>
      <c r="CKU1" s="87" t="n"/>
      <c r="CKV1" s="87" t="n"/>
      <c r="CKW1" s="87" t="n"/>
      <c r="CKX1" s="87" t="n"/>
      <c r="CKY1" s="87" t="n"/>
      <c r="CKZ1" s="87" t="n"/>
      <c r="CLA1" s="87" t="n"/>
      <c r="CLB1" s="87" t="n"/>
      <c r="CLC1" s="87" t="n"/>
      <c r="CLD1" s="87" t="n"/>
      <c r="CLE1" s="87" t="n"/>
      <c r="CLF1" s="87" t="n"/>
      <c r="CLG1" s="87" t="n"/>
      <c r="CLH1" s="87" t="n"/>
      <c r="CLI1" s="87" t="n"/>
      <c r="CLJ1" s="87" t="n"/>
      <c r="CLK1" s="87" t="n"/>
      <c r="CLL1" s="87" t="n"/>
      <c r="CLM1" s="87" t="n"/>
      <c r="CLN1" s="87" t="n"/>
      <c r="CLO1" s="87" t="n"/>
      <c r="CLP1" s="87" t="n"/>
      <c r="CLQ1" s="87" t="n"/>
      <c r="CLR1" s="87" t="n"/>
      <c r="CLS1" s="87" t="n"/>
      <c r="CLT1" s="87" t="n"/>
      <c r="CLU1" s="87" t="n"/>
      <c r="CLV1" s="87" t="n"/>
      <c r="CLW1" s="87" t="n"/>
      <c r="CLX1" s="87" t="n"/>
      <c r="CLY1" s="87" t="n"/>
      <c r="CLZ1" s="87" t="n"/>
      <c r="CMA1" s="87" t="n"/>
      <c r="CMB1" s="87" t="n"/>
      <c r="CMC1" s="87" t="n"/>
      <c r="CMD1" s="87" t="n"/>
      <c r="CME1" s="87" t="n"/>
      <c r="CMF1" s="87" t="n"/>
      <c r="CMG1" s="87" t="n"/>
      <c r="CMH1" s="87" t="n"/>
      <c r="CMI1" s="87" t="n"/>
      <c r="CMJ1" s="87" t="n"/>
      <c r="CMK1" s="87" t="n"/>
      <c r="CML1" s="87" t="n"/>
      <c r="CMM1" s="87" t="n"/>
      <c r="CMN1" s="87" t="n"/>
      <c r="CMO1" s="87" t="n"/>
      <c r="CMP1" s="87" t="n"/>
      <c r="CMQ1" s="87" t="n"/>
      <c r="CMR1" s="87" t="n"/>
      <c r="CMS1" s="87" t="n"/>
      <c r="CMT1" s="87" t="n"/>
      <c r="CMU1" s="87" t="n"/>
      <c r="CMV1" s="87" t="n"/>
      <c r="CMW1" s="87" t="n"/>
      <c r="CMX1" s="87" t="n"/>
      <c r="CMY1" s="87" t="n"/>
      <c r="CMZ1" s="87" t="n"/>
      <c r="CNA1" s="87" t="n"/>
      <c r="CNB1" s="87" t="n"/>
      <c r="CNC1" s="87" t="n"/>
      <c r="CND1" s="87" t="n"/>
      <c r="CNE1" s="87" t="n"/>
      <c r="CNF1" s="87" t="n"/>
      <c r="CNG1" s="87" t="n"/>
      <c r="CNH1" s="87" t="n"/>
      <c r="CNI1" s="87" t="n"/>
      <c r="CNJ1" s="87" t="n"/>
      <c r="CNK1" s="87" t="n"/>
      <c r="CNL1" s="87" t="n"/>
      <c r="CNM1" s="87" t="n"/>
      <c r="CNN1" s="87" t="n"/>
      <c r="CNO1" s="87" t="n"/>
      <c r="CNP1" s="87" t="n"/>
      <c r="CNQ1" s="87" t="n"/>
      <c r="CNR1" s="87" t="n"/>
      <c r="CNS1" s="87" t="n"/>
      <c r="CNT1" s="87" t="n"/>
      <c r="CNU1" s="87" t="n"/>
      <c r="CNV1" s="87" t="n"/>
      <c r="CNW1" s="87" t="n"/>
      <c r="CNX1" s="87" t="n"/>
      <c r="CNY1" s="87" t="n"/>
      <c r="CNZ1" s="87" t="n"/>
      <c r="COA1" s="87" t="n"/>
      <c r="COB1" s="87" t="n"/>
      <c r="COC1" s="87" t="n"/>
      <c r="COD1" s="87" t="n"/>
      <c r="COE1" s="87" t="n"/>
      <c r="COF1" s="87" t="n"/>
      <c r="COG1" s="87" t="n"/>
      <c r="COH1" s="87" t="n"/>
      <c r="COI1" s="87" t="n"/>
      <c r="COJ1" s="87" t="n"/>
      <c r="COK1" s="87" t="n"/>
      <c r="COL1" s="87" t="n"/>
      <c r="COM1" s="87" t="n"/>
      <c r="CON1" s="87" t="n"/>
      <c r="COO1" s="87" t="n"/>
      <c r="COP1" s="87" t="n"/>
      <c r="COQ1" s="87" t="n"/>
      <c r="COR1" s="87" t="n"/>
      <c r="COS1" s="87" t="n"/>
      <c r="COT1" s="87" t="n"/>
      <c r="COU1" s="87" t="n"/>
      <c r="COV1" s="87" t="n"/>
      <c r="COW1" s="87" t="n"/>
      <c r="COX1" s="87" t="n"/>
      <c r="COY1" s="87" t="n"/>
      <c r="COZ1" s="87" t="n"/>
      <c r="CPA1" s="87" t="n"/>
      <c r="CPB1" s="87" t="n"/>
      <c r="CPC1" s="87" t="n"/>
      <c r="CPD1" s="87" t="n"/>
      <c r="CPE1" s="87" t="n"/>
      <c r="CPF1" s="87" t="n"/>
      <c r="CPG1" s="87" t="n"/>
      <c r="CPH1" s="87" t="n"/>
      <c r="CPI1" s="87" t="n"/>
      <c r="CPJ1" s="87" t="n"/>
      <c r="CPK1" s="87" t="n"/>
      <c r="CPL1" s="87" t="n"/>
      <c r="CPM1" s="87" t="n"/>
      <c r="CPN1" s="87" t="n"/>
      <c r="CPO1" s="87" t="n"/>
      <c r="CPP1" s="87" t="n"/>
      <c r="CPQ1" s="87" t="n"/>
      <c r="CPR1" s="87" t="n"/>
      <c r="CPS1" s="87" t="n"/>
      <c r="CPT1" s="87" t="n"/>
      <c r="CPU1" s="87" t="n"/>
      <c r="CPV1" s="87" t="n"/>
      <c r="CPW1" s="87" t="n"/>
      <c r="CPX1" s="87" t="n"/>
      <c r="CPY1" s="87" t="n"/>
      <c r="CPZ1" s="87" t="n"/>
      <c r="CQA1" s="87" t="n"/>
      <c r="CQB1" s="87" t="n"/>
      <c r="CQC1" s="87" t="n"/>
      <c r="CQD1" s="87" t="n"/>
      <c r="CQE1" s="87" t="n"/>
      <c r="CQF1" s="87" t="n"/>
      <c r="CQG1" s="87" t="n"/>
      <c r="CQH1" s="87" t="n"/>
      <c r="CQI1" s="87" t="n"/>
      <c r="CQJ1" s="87" t="n"/>
      <c r="CQK1" s="87" t="n"/>
      <c r="CQL1" s="87" t="n"/>
      <c r="CQM1" s="87" t="n"/>
      <c r="CQN1" s="87" t="n"/>
      <c r="CQO1" s="87" t="n"/>
      <c r="CQP1" s="87" t="n"/>
      <c r="CQQ1" s="87" t="n"/>
      <c r="CQR1" s="87" t="n"/>
      <c r="CQS1" s="87" t="n"/>
      <c r="CQT1" s="87" t="n"/>
      <c r="CQU1" s="87" t="n"/>
      <c r="CQV1" s="87" t="n"/>
      <c r="CQW1" s="87" t="n"/>
      <c r="CQX1" s="87" t="n"/>
      <c r="CQY1" s="87" t="n"/>
      <c r="CQZ1" s="87" t="n"/>
      <c r="CRA1" s="87" t="n"/>
      <c r="CRB1" s="87" t="n"/>
      <c r="CRC1" s="87" t="n"/>
      <c r="CRD1" s="87" t="n"/>
      <c r="CRE1" s="87" t="n"/>
      <c r="CRF1" s="87" t="n"/>
      <c r="CRG1" s="87" t="n"/>
      <c r="CRH1" s="87" t="n"/>
      <c r="CRI1" s="87" t="n"/>
      <c r="CRJ1" s="87" t="n"/>
      <c r="CRK1" s="87" t="n"/>
      <c r="CRL1" s="87" t="n"/>
      <c r="CRM1" s="87" t="n"/>
      <c r="CRN1" s="87" t="n"/>
      <c r="CRO1" s="87" t="n"/>
      <c r="CRP1" s="87" t="n"/>
      <c r="CRQ1" s="87" t="n"/>
      <c r="CRR1" s="87" t="n"/>
      <c r="CRS1" s="87" t="n"/>
      <c r="CRT1" s="87" t="n"/>
      <c r="CRU1" s="87" t="n"/>
      <c r="CRV1" s="87" t="n"/>
      <c r="CRW1" s="87" t="n"/>
      <c r="CRX1" s="87" t="n"/>
      <c r="CRY1" s="87" t="n"/>
      <c r="CRZ1" s="87" t="n"/>
      <c r="CSA1" s="87" t="n"/>
      <c r="CSB1" s="87" t="n"/>
      <c r="CSC1" s="87" t="n"/>
      <c r="CSD1" s="87" t="n"/>
      <c r="CSE1" s="87" t="n"/>
      <c r="CSF1" s="87" t="n"/>
      <c r="CSG1" s="87" t="n"/>
      <c r="CSH1" s="87" t="n"/>
      <c r="CSI1" s="87" t="n"/>
      <c r="CSJ1" s="87" t="n"/>
      <c r="CSK1" s="87" t="n"/>
      <c r="CSL1" s="87" t="n"/>
      <c r="CSM1" s="87" t="n"/>
      <c r="CSN1" s="87" t="n"/>
      <c r="CSO1" s="87" t="n"/>
      <c r="CSP1" s="87" t="n"/>
      <c r="CSQ1" s="87" t="n"/>
      <c r="CSR1" s="87" t="n"/>
      <c r="CSS1" s="87" t="n"/>
      <c r="CST1" s="87" t="n"/>
      <c r="CSU1" s="87" t="n"/>
      <c r="CSV1" s="87" t="n"/>
      <c r="CSW1" s="87" t="n"/>
      <c r="CSX1" s="87" t="n"/>
      <c r="CSY1" s="87" t="n"/>
      <c r="CSZ1" s="87" t="n"/>
      <c r="CTA1" s="87" t="n"/>
      <c r="CTB1" s="87" t="n"/>
      <c r="CTC1" s="87" t="n"/>
      <c r="CTD1" s="87" t="n"/>
      <c r="CTE1" s="87" t="n"/>
      <c r="CTF1" s="87" t="n"/>
      <c r="CTG1" s="87" t="n"/>
      <c r="CTH1" s="87" t="n"/>
      <c r="CTI1" s="87" t="n"/>
      <c r="CTJ1" s="87" t="n"/>
      <c r="CTK1" s="87" t="n"/>
      <c r="CTL1" s="87" t="n"/>
      <c r="CTM1" s="87" t="n"/>
      <c r="CTN1" s="87" t="n"/>
      <c r="CTO1" s="87" t="n"/>
      <c r="CTP1" s="87" t="n"/>
      <c r="CTQ1" s="87" t="n"/>
      <c r="CTR1" s="87" t="n"/>
      <c r="CTS1" s="87" t="n"/>
      <c r="CTT1" s="87" t="n"/>
      <c r="CTU1" s="87" t="n"/>
      <c r="CTV1" s="87" t="n"/>
      <c r="CTW1" s="87" t="n"/>
      <c r="CTX1" s="87" t="n"/>
      <c r="CTY1" s="87" t="n"/>
      <c r="CTZ1" s="87" t="n"/>
      <c r="CUA1" s="87" t="n"/>
      <c r="CUB1" s="87" t="n"/>
      <c r="CUC1" s="87" t="n"/>
      <c r="CUD1" s="87" t="n"/>
      <c r="CUE1" s="87" t="n"/>
      <c r="CUF1" s="87" t="n"/>
      <c r="CUG1" s="87" t="n"/>
      <c r="CUH1" s="87" t="n"/>
      <c r="CUI1" s="87" t="n"/>
      <c r="CUJ1" s="87" t="n"/>
      <c r="CUK1" s="87" t="n"/>
      <c r="CUL1" s="87" t="n"/>
      <c r="CUM1" s="87" t="n"/>
      <c r="CUN1" s="87" t="n"/>
      <c r="CUO1" s="87" t="n"/>
      <c r="CUP1" s="87" t="n"/>
      <c r="CUQ1" s="87" t="n"/>
      <c r="CUR1" s="87" t="n"/>
      <c r="CUS1" s="87" t="n"/>
      <c r="CUT1" s="87" t="n"/>
      <c r="CUU1" s="87" t="n"/>
      <c r="CUV1" s="87" t="n"/>
      <c r="CUW1" s="87" t="n"/>
      <c r="CUX1" s="87" t="n"/>
      <c r="CUY1" s="87" t="n"/>
      <c r="CUZ1" s="87" t="n"/>
      <c r="CVA1" s="87" t="n"/>
      <c r="CVB1" s="87" t="n"/>
      <c r="CVC1" s="87" t="n"/>
      <c r="CVD1" s="87" t="n"/>
      <c r="CVE1" s="87" t="n"/>
      <c r="CVF1" s="87" t="n"/>
      <c r="CVG1" s="87" t="n"/>
      <c r="CVH1" s="87" t="n"/>
      <c r="CVI1" s="87" t="n"/>
      <c r="CVJ1" s="87" t="n"/>
      <c r="CVK1" s="87" t="n"/>
      <c r="CVL1" s="87" t="n"/>
      <c r="CVM1" s="87" t="n"/>
      <c r="CVN1" s="87" t="n"/>
      <c r="CVO1" s="87" t="n"/>
      <c r="CVP1" s="87" t="n"/>
      <c r="CVQ1" s="87" t="n"/>
      <c r="CVR1" s="87" t="n"/>
      <c r="CVS1" s="87" t="n"/>
      <c r="CVT1" s="87" t="n"/>
      <c r="CVU1" s="87" t="n"/>
      <c r="CVV1" s="87" t="n"/>
      <c r="CVW1" s="87" t="n"/>
      <c r="CVX1" s="87" t="n"/>
      <c r="CVY1" s="87" t="n"/>
      <c r="CVZ1" s="87" t="n"/>
      <c r="CWA1" s="87" t="n"/>
      <c r="CWB1" s="87" t="n"/>
      <c r="CWC1" s="87" t="n"/>
      <c r="CWD1" s="87" t="n"/>
      <c r="CWE1" s="87" t="n"/>
      <c r="CWF1" s="87" t="n"/>
      <c r="CWG1" s="87" t="n"/>
      <c r="CWH1" s="87" t="n"/>
      <c r="CWI1" s="87" t="n"/>
      <c r="CWJ1" s="87" t="n"/>
      <c r="CWK1" s="87" t="n"/>
      <c r="CWL1" s="87" t="n"/>
      <c r="CWM1" s="87" t="n"/>
      <c r="CWN1" s="87" t="n"/>
      <c r="CWO1" s="87" t="n"/>
      <c r="CWP1" s="87" t="n"/>
      <c r="CWQ1" s="87" t="n"/>
      <c r="CWR1" s="87" t="n"/>
      <c r="CWS1" s="87" t="n"/>
      <c r="CWT1" s="87" t="n"/>
      <c r="CWU1" s="87" t="n"/>
      <c r="CWV1" s="87" t="n"/>
      <c r="CWW1" s="87" t="n"/>
      <c r="CWX1" s="87" t="n"/>
      <c r="CWY1" s="87" t="n"/>
      <c r="CWZ1" s="87" t="n"/>
      <c r="CXA1" s="87" t="n"/>
      <c r="CXB1" s="87" t="n"/>
      <c r="CXC1" s="87" t="n"/>
      <c r="CXD1" s="87" t="n"/>
      <c r="CXE1" s="87" t="n"/>
      <c r="CXF1" s="87" t="n"/>
      <c r="CXG1" s="87" t="n"/>
      <c r="CXH1" s="87" t="n"/>
      <c r="CXI1" s="87" t="n"/>
      <c r="CXJ1" s="87" t="n"/>
      <c r="CXK1" s="87" t="n"/>
      <c r="CXL1" s="87" t="n"/>
      <c r="CXM1" s="87" t="n"/>
      <c r="CXN1" s="87" t="n"/>
      <c r="CXO1" s="87" t="n"/>
      <c r="CXP1" s="87" t="n"/>
      <c r="CXQ1" s="87" t="n"/>
      <c r="CXR1" s="87" t="n"/>
      <c r="CXS1" s="87" t="n"/>
      <c r="CXT1" s="87" t="n"/>
      <c r="CXU1" s="87" t="n"/>
      <c r="CXV1" s="87" t="n"/>
      <c r="CXW1" s="87" t="n"/>
      <c r="CXX1" s="87" t="n"/>
      <c r="CXY1" s="87" t="n"/>
      <c r="CXZ1" s="87" t="n"/>
      <c r="CYA1" s="87" t="n"/>
      <c r="CYB1" s="87" t="n"/>
      <c r="CYC1" s="87" t="n"/>
      <c r="CYD1" s="87" t="n"/>
      <c r="CYE1" s="87" t="n"/>
      <c r="CYF1" s="87" t="n"/>
      <c r="CYG1" s="87" t="n"/>
      <c r="CYH1" s="87" t="n"/>
      <c r="CYI1" s="87" t="n"/>
      <c r="CYJ1" s="87" t="n"/>
      <c r="CYK1" s="87" t="n"/>
      <c r="CYL1" s="87" t="n"/>
      <c r="CYM1" s="87" t="n"/>
      <c r="CYN1" s="87" t="n"/>
      <c r="CYO1" s="87" t="n"/>
      <c r="CYP1" s="87" t="n"/>
      <c r="CYQ1" s="87" t="n"/>
      <c r="CYR1" s="87" t="n"/>
      <c r="CYS1" s="87" t="n"/>
      <c r="CYT1" s="87" t="n"/>
      <c r="CYU1" s="87" t="n"/>
      <c r="CYV1" s="87" t="n"/>
      <c r="CYW1" s="87" t="n"/>
      <c r="CYX1" s="87" t="n"/>
      <c r="CYY1" s="87" t="n"/>
      <c r="CYZ1" s="87" t="n"/>
      <c r="CZA1" s="87" t="n"/>
      <c r="CZB1" s="87" t="n"/>
      <c r="CZC1" s="87" t="n"/>
      <c r="CZD1" s="87" t="n"/>
      <c r="CZE1" s="87" t="n"/>
      <c r="CZF1" s="87" t="n"/>
      <c r="CZG1" s="87" t="n"/>
      <c r="CZH1" s="87" t="n"/>
      <c r="CZI1" s="87" t="n"/>
      <c r="CZJ1" s="87" t="n"/>
      <c r="CZK1" s="87" t="n"/>
      <c r="CZL1" s="87" t="n"/>
      <c r="CZM1" s="87" t="n"/>
      <c r="CZN1" s="87" t="n"/>
      <c r="CZO1" s="87" t="n"/>
      <c r="CZP1" s="87" t="n"/>
      <c r="CZQ1" s="87" t="n"/>
      <c r="CZR1" s="87" t="n"/>
      <c r="CZS1" s="87" t="n"/>
      <c r="CZT1" s="87" t="n"/>
      <c r="CZU1" s="87" t="n"/>
      <c r="CZV1" s="87" t="n"/>
      <c r="CZW1" s="87" t="n"/>
      <c r="CZX1" s="87" t="n"/>
      <c r="CZY1" s="87" t="n"/>
      <c r="CZZ1" s="87" t="n"/>
      <c r="DAA1" s="87" t="n"/>
      <c r="DAB1" s="87" t="n"/>
      <c r="DAC1" s="87" t="n"/>
      <c r="DAD1" s="87" t="n"/>
      <c r="DAE1" s="87" t="n"/>
      <c r="DAF1" s="87" t="n"/>
      <c r="DAG1" s="87" t="n"/>
      <c r="DAH1" s="87" t="n"/>
      <c r="DAI1" s="87" t="n"/>
      <c r="DAJ1" s="87" t="n"/>
      <c r="DAK1" s="87" t="n"/>
      <c r="DAL1" s="87" t="n"/>
      <c r="DAM1" s="87" t="n"/>
      <c r="DAN1" s="87" t="n"/>
      <c r="DAO1" s="87" t="n"/>
      <c r="DAP1" s="87" t="n"/>
      <c r="DAQ1" s="87" t="n"/>
      <c r="DAR1" s="87" t="n"/>
      <c r="DAS1" s="87" t="n"/>
      <c r="DAT1" s="87" t="n"/>
      <c r="DAU1" s="87" t="n"/>
      <c r="DAV1" s="87" t="n"/>
      <c r="DAW1" s="87" t="n"/>
      <c r="DAX1" s="87" t="n"/>
      <c r="DAY1" s="87" t="n"/>
      <c r="DAZ1" s="87" t="n"/>
      <c r="DBA1" s="87" t="n"/>
      <c r="DBB1" s="87" t="n"/>
      <c r="DBC1" s="87" t="n"/>
      <c r="DBD1" s="87" t="n"/>
      <c r="DBE1" s="87" t="n"/>
      <c r="DBF1" s="87" t="n"/>
      <c r="DBG1" s="87" t="n"/>
      <c r="DBH1" s="87" t="n"/>
      <c r="DBI1" s="87" t="n"/>
      <c r="DBJ1" s="87" t="n"/>
      <c r="DBK1" s="87" t="n"/>
      <c r="DBL1" s="87" t="n"/>
      <c r="DBM1" s="87" t="n"/>
      <c r="DBN1" s="87" t="n"/>
      <c r="DBO1" s="87" t="n"/>
      <c r="DBP1" s="87" t="n"/>
      <c r="DBQ1" s="87" t="n"/>
      <c r="DBR1" s="87" t="n"/>
      <c r="DBS1" s="87" t="n"/>
      <c r="DBT1" s="87" t="n"/>
      <c r="DBU1" s="87" t="n"/>
      <c r="DBV1" s="87" t="n"/>
      <c r="DBW1" s="87" t="n"/>
      <c r="DBX1" s="87" t="n"/>
      <c r="DBY1" s="87" t="n"/>
      <c r="DBZ1" s="87" t="n"/>
      <c r="DCA1" s="87" t="n"/>
      <c r="DCB1" s="87" t="n"/>
      <c r="DCC1" s="87" t="n"/>
      <c r="DCD1" s="87" t="n"/>
      <c r="DCE1" s="87" t="n"/>
      <c r="DCF1" s="87" t="n"/>
      <c r="DCG1" s="87" t="n"/>
      <c r="DCH1" s="87" t="n"/>
      <c r="DCI1" s="87" t="n"/>
      <c r="DCJ1" s="87" t="n"/>
      <c r="DCK1" s="87" t="n"/>
      <c r="DCL1" s="87" t="n"/>
      <c r="DCM1" s="87" t="n"/>
      <c r="DCN1" s="87" t="n"/>
      <c r="DCO1" s="87" t="n"/>
      <c r="DCP1" s="87" t="n"/>
      <c r="DCQ1" s="87" t="n"/>
      <c r="DCR1" s="87" t="n"/>
      <c r="DCS1" s="87" t="n"/>
      <c r="DCT1" s="87" t="n"/>
      <c r="DCU1" s="87" t="n"/>
      <c r="DCV1" s="87" t="n"/>
      <c r="DCW1" s="87" t="n"/>
      <c r="DCX1" s="87" t="n"/>
      <c r="DCY1" s="87" t="n"/>
      <c r="DCZ1" s="87" t="n"/>
      <c r="DDA1" s="87" t="n"/>
      <c r="DDB1" s="87" t="n"/>
      <c r="DDC1" s="87" t="n"/>
      <c r="DDD1" s="87" t="n"/>
      <c r="DDE1" s="87" t="n"/>
      <c r="DDF1" s="87" t="n"/>
      <c r="DDG1" s="87" t="n"/>
      <c r="DDH1" s="87" t="n"/>
      <c r="DDI1" s="87" t="n"/>
      <c r="DDJ1" s="87" t="n"/>
      <c r="DDK1" s="87" t="n"/>
      <c r="DDL1" s="87" t="n"/>
      <c r="DDM1" s="87" t="n"/>
      <c r="DDN1" s="87" t="n"/>
      <c r="DDO1" s="87" t="n"/>
      <c r="DDP1" s="87" t="n"/>
      <c r="DDQ1" s="87" t="n"/>
      <c r="DDR1" s="87" t="n"/>
      <c r="DDS1" s="87" t="n"/>
      <c r="DDT1" s="87" t="n"/>
      <c r="DDU1" s="87" t="n"/>
      <c r="DDV1" s="87" t="n"/>
      <c r="DDW1" s="87" t="n"/>
      <c r="DDX1" s="87" t="n"/>
      <c r="DDY1" s="87" t="n"/>
      <c r="DDZ1" s="87" t="n"/>
      <c r="DEA1" s="87" t="n"/>
      <c r="DEB1" s="87" t="n"/>
      <c r="DEC1" s="87" t="n"/>
      <c r="DED1" s="87" t="n"/>
      <c r="DEE1" s="87" t="n"/>
      <c r="DEF1" s="87" t="n"/>
      <c r="DEG1" s="87" t="n"/>
      <c r="DEH1" s="87" t="n"/>
      <c r="DEI1" s="87" t="n"/>
      <c r="DEJ1" s="87" t="n"/>
      <c r="DEK1" s="87" t="n"/>
      <c r="DEL1" s="87" t="n"/>
      <c r="DEM1" s="87" t="n"/>
      <c r="DEN1" s="87" t="n"/>
      <c r="DEO1" s="87" t="n"/>
      <c r="DEP1" s="87" t="n"/>
      <c r="DEQ1" s="87" t="n"/>
      <c r="DER1" s="87" t="n"/>
      <c r="DES1" s="87" t="n"/>
      <c r="DET1" s="87" t="n"/>
      <c r="DEU1" s="87" t="n"/>
      <c r="DEV1" s="87" t="n"/>
      <c r="DEW1" s="87" t="n"/>
      <c r="DEX1" s="87" t="n"/>
      <c r="DEY1" s="87" t="n"/>
      <c r="DEZ1" s="87" t="n"/>
      <c r="DFA1" s="87" t="n"/>
      <c r="DFB1" s="87" t="n"/>
      <c r="DFC1" s="87" t="n"/>
      <c r="DFD1" s="87" t="n"/>
      <c r="DFE1" s="87" t="n"/>
      <c r="DFF1" s="87" t="n"/>
      <c r="DFG1" s="87" t="n"/>
      <c r="DFH1" s="87" t="n"/>
      <c r="DFI1" s="87" t="n"/>
      <c r="DFJ1" s="87" t="n"/>
      <c r="DFK1" s="87" t="n"/>
      <c r="DFL1" s="87" t="n"/>
      <c r="DFM1" s="87" t="n"/>
      <c r="DFN1" s="87" t="n"/>
      <c r="DFO1" s="87" t="n"/>
      <c r="DFP1" s="87" t="n"/>
      <c r="DFQ1" s="87" t="n"/>
      <c r="DFR1" s="87" t="n"/>
      <c r="DFS1" s="87" t="n"/>
      <c r="DFT1" s="87" t="n"/>
      <c r="DFU1" s="87" t="n"/>
      <c r="DFV1" s="87" t="n"/>
      <c r="DFW1" s="87" t="n"/>
      <c r="DFX1" s="87" t="n"/>
      <c r="DFY1" s="87" t="n"/>
      <c r="DFZ1" s="87" t="n"/>
      <c r="DGA1" s="87" t="n"/>
      <c r="DGB1" s="87" t="n"/>
      <c r="DGC1" s="87" t="n"/>
      <c r="DGD1" s="87" t="n"/>
      <c r="DGE1" s="87" t="n"/>
      <c r="DGF1" s="87" t="n"/>
      <c r="DGG1" s="87" t="n"/>
      <c r="DGH1" s="87" t="n"/>
      <c r="DGI1" s="87" t="n"/>
      <c r="DGJ1" s="87" t="n"/>
      <c r="DGK1" s="87" t="n"/>
      <c r="DGL1" s="87" t="n"/>
      <c r="DGM1" s="87" t="n"/>
      <c r="DGN1" s="87" t="n"/>
      <c r="DGO1" s="87" t="n"/>
      <c r="DGP1" s="87" t="n"/>
      <c r="DGQ1" s="87" t="n"/>
      <c r="DGR1" s="87" t="n"/>
      <c r="DGS1" s="87" t="n"/>
      <c r="DGT1" s="87" t="n"/>
      <c r="DGU1" s="87" t="n"/>
      <c r="DGV1" s="87" t="n"/>
      <c r="DGW1" s="87" t="n"/>
      <c r="DGX1" s="87" t="n"/>
      <c r="DGY1" s="87" t="n"/>
      <c r="DGZ1" s="87" t="n"/>
      <c r="DHA1" s="87" t="n"/>
      <c r="DHB1" s="87" t="n"/>
      <c r="DHC1" s="87" t="n"/>
      <c r="DHD1" s="87" t="n"/>
      <c r="DHE1" s="87" t="n"/>
      <c r="DHF1" s="87" t="n"/>
      <c r="DHG1" s="87" t="n"/>
      <c r="DHH1" s="87" t="n"/>
      <c r="DHI1" s="87" t="n"/>
      <c r="DHJ1" s="87" t="n"/>
      <c r="DHK1" s="87" t="n"/>
      <c r="DHL1" s="87" t="n"/>
      <c r="DHM1" s="87" t="n"/>
      <c r="DHN1" s="87" t="n"/>
      <c r="DHO1" s="87" t="n"/>
      <c r="DHP1" s="87" t="n"/>
      <c r="DHQ1" s="87" t="n"/>
      <c r="DHR1" s="87" t="n"/>
      <c r="DHS1" s="87" t="n"/>
      <c r="DHT1" s="87" t="n"/>
      <c r="DHU1" s="87" t="n"/>
      <c r="DHV1" s="87" t="n"/>
      <c r="DHW1" s="87" t="n"/>
      <c r="DHX1" s="87" t="n"/>
      <c r="DHY1" s="87" t="n"/>
      <c r="DHZ1" s="87" t="n"/>
      <c r="DIA1" s="87" t="n"/>
      <c r="DIB1" s="87" t="n"/>
      <c r="DIC1" s="87" t="n"/>
      <c r="DID1" s="87" t="n"/>
      <c r="DIE1" s="87" t="n"/>
      <c r="DIF1" s="87" t="n"/>
      <c r="DIG1" s="87" t="n"/>
      <c r="DIH1" s="87" t="n"/>
      <c r="DII1" s="87" t="n"/>
      <c r="DIJ1" s="87" t="n"/>
      <c r="DIK1" s="87" t="n"/>
      <c r="DIL1" s="87" t="n"/>
      <c r="DIM1" s="87" t="n"/>
      <c r="DIN1" s="87" t="n"/>
      <c r="DIO1" s="87" t="n"/>
      <c r="DIP1" s="87" t="n"/>
      <c r="DIQ1" s="87" t="n"/>
      <c r="DIR1" s="87" t="n"/>
      <c r="DIS1" s="87" t="n"/>
      <c r="DIT1" s="87" t="n"/>
      <c r="DIU1" s="87" t="n"/>
      <c r="DIV1" s="87" t="n"/>
      <c r="DIW1" s="87" t="n"/>
      <c r="DIX1" s="87" t="n"/>
      <c r="DIY1" s="87" t="n"/>
      <c r="DIZ1" s="87" t="n"/>
      <c r="DJA1" s="87" t="n"/>
      <c r="DJB1" s="87" t="n"/>
      <c r="DJC1" s="87" t="n"/>
      <c r="DJD1" s="87" t="n"/>
      <c r="DJE1" s="87" t="n"/>
      <c r="DJF1" s="87" t="n"/>
      <c r="DJG1" s="87" t="n"/>
      <c r="DJH1" s="87" t="n"/>
      <c r="DJI1" s="87" t="n"/>
      <c r="DJJ1" s="87" t="n"/>
      <c r="DJK1" s="87" t="n"/>
      <c r="DJL1" s="87" t="n"/>
      <c r="DJM1" s="87" t="n"/>
      <c r="DJN1" s="87" t="n"/>
      <c r="DJO1" s="87" t="n"/>
      <c r="DJP1" s="87" t="n"/>
      <c r="DJQ1" s="87" t="n"/>
      <c r="DJR1" s="87" t="n"/>
      <c r="DJS1" s="87" t="n"/>
      <c r="DJT1" s="87" t="n"/>
      <c r="DJU1" s="87" t="n"/>
      <c r="DJV1" s="87" t="n"/>
      <c r="DJW1" s="87" t="n"/>
      <c r="DJX1" s="87" t="n"/>
      <c r="DJY1" s="87" t="n"/>
      <c r="DJZ1" s="87" t="n"/>
      <c r="DKA1" s="87" t="n"/>
      <c r="DKB1" s="87" t="n"/>
      <c r="DKC1" s="87" t="n"/>
      <c r="DKD1" s="87" t="n"/>
      <c r="DKE1" s="87" t="n"/>
      <c r="DKF1" s="87" t="n"/>
      <c r="DKG1" s="87" t="n"/>
      <c r="DKH1" s="87" t="n"/>
      <c r="DKI1" s="87" t="n"/>
      <c r="DKJ1" s="87" t="n"/>
      <c r="DKK1" s="87" t="n"/>
      <c r="DKL1" s="87" t="n"/>
      <c r="DKM1" s="87" t="n"/>
      <c r="DKN1" s="87" t="n"/>
      <c r="DKO1" s="87" t="n"/>
      <c r="DKP1" s="87" t="n"/>
      <c r="DKQ1" s="87" t="n"/>
      <c r="DKR1" s="87" t="n"/>
      <c r="DKS1" s="87" t="n"/>
      <c r="DKT1" s="87" t="n"/>
      <c r="DKU1" s="87" t="n"/>
      <c r="DKV1" s="87" t="n"/>
      <c r="DKW1" s="87" t="n"/>
      <c r="DKX1" s="87" t="n"/>
      <c r="DKY1" s="87" t="n"/>
      <c r="DKZ1" s="87" t="n"/>
      <c r="DLA1" s="87" t="n"/>
      <c r="DLB1" s="87" t="n"/>
      <c r="DLC1" s="87" t="n"/>
      <c r="DLD1" s="87" t="n"/>
      <c r="DLE1" s="87" t="n"/>
      <c r="DLF1" s="87" t="n"/>
      <c r="DLG1" s="87" t="n"/>
      <c r="DLH1" s="87" t="n"/>
      <c r="DLI1" s="87" t="n"/>
      <c r="DLJ1" s="87" t="n"/>
      <c r="DLK1" s="87" t="n"/>
      <c r="DLL1" s="87" t="n"/>
      <c r="DLM1" s="87" t="n"/>
      <c r="DLN1" s="87" t="n"/>
      <c r="DLO1" s="87" t="n"/>
      <c r="DLP1" s="87" t="n"/>
      <c r="DLQ1" s="87" t="n"/>
      <c r="DLR1" s="87" t="n"/>
      <c r="DLS1" s="87" t="n"/>
      <c r="DLT1" s="87" t="n"/>
      <c r="DLU1" s="87" t="n"/>
      <c r="DLV1" s="87" t="n"/>
      <c r="DLW1" s="87" t="n"/>
      <c r="DLX1" s="87" t="n"/>
      <c r="DLY1" s="87" t="n"/>
      <c r="DLZ1" s="87" t="n"/>
      <c r="DMA1" s="87" t="n"/>
      <c r="DMB1" s="87" t="n"/>
      <c r="DMC1" s="87" t="n"/>
      <c r="DMD1" s="87" t="n"/>
      <c r="DME1" s="87" t="n"/>
      <c r="DMF1" s="87" t="n"/>
      <c r="DMG1" s="87" t="n"/>
      <c r="DMH1" s="87" t="n"/>
      <c r="DMI1" s="87" t="n"/>
      <c r="DMJ1" s="87" t="n"/>
      <c r="DMK1" s="87" t="n"/>
      <c r="DML1" s="87" t="n"/>
      <c r="DMM1" s="87" t="n"/>
      <c r="DMN1" s="87" t="n"/>
      <c r="DMO1" s="87" t="n"/>
      <c r="DMP1" s="87" t="n"/>
      <c r="DMQ1" s="87" t="n"/>
      <c r="DMR1" s="87" t="n"/>
      <c r="DMS1" s="87" t="n"/>
      <c r="DMT1" s="87" t="n"/>
      <c r="DMU1" s="87" t="n"/>
      <c r="DMV1" s="87" t="n"/>
      <c r="DMW1" s="87" t="n"/>
      <c r="DMX1" s="87" t="n"/>
      <c r="DMY1" s="87" t="n"/>
      <c r="DMZ1" s="87" t="n"/>
      <c r="DNA1" s="87" t="n"/>
      <c r="DNB1" s="87" t="n"/>
      <c r="DNC1" s="87" t="n"/>
      <c r="DND1" s="87" t="n"/>
      <c r="DNE1" s="87" t="n"/>
      <c r="DNF1" s="87" t="n"/>
      <c r="DNG1" s="87" t="n"/>
      <c r="DNH1" s="87" t="n"/>
      <c r="DNI1" s="87" t="n"/>
      <c r="DNJ1" s="87" t="n"/>
      <c r="DNK1" s="87" t="n"/>
      <c r="DNL1" s="87" t="n"/>
      <c r="DNM1" s="87" t="n"/>
      <c r="DNN1" s="87" t="n"/>
      <c r="DNO1" s="87" t="n"/>
      <c r="DNP1" s="87" t="n"/>
      <c r="DNQ1" s="87" t="n"/>
      <c r="DNR1" s="87" t="n"/>
      <c r="DNS1" s="87" t="n"/>
      <c r="DNT1" s="87" t="n"/>
      <c r="DNU1" s="87" t="n"/>
      <c r="DNV1" s="87" t="n"/>
      <c r="DNW1" s="87" t="n"/>
      <c r="DNX1" s="87" t="n"/>
      <c r="DNY1" s="87" t="n"/>
      <c r="DNZ1" s="87" t="n"/>
      <c r="DOA1" s="87" t="n"/>
      <c r="DOB1" s="87" t="n"/>
      <c r="DOC1" s="87" t="n"/>
      <c r="DOD1" s="87" t="n"/>
      <c r="DOE1" s="87" t="n"/>
      <c r="DOF1" s="87" t="n"/>
      <c r="DOG1" s="87" t="n"/>
      <c r="DOH1" s="87" t="n"/>
      <c r="DOI1" s="87" t="n"/>
      <c r="DOJ1" s="87" t="n"/>
      <c r="DOK1" s="87" t="n"/>
      <c r="DOL1" s="87" t="n"/>
      <c r="DOM1" s="87" t="n"/>
      <c r="DON1" s="87" t="n"/>
      <c r="DOO1" s="87" t="n"/>
      <c r="DOP1" s="87" t="n"/>
      <c r="DOQ1" s="87" t="n"/>
      <c r="DOR1" s="87" t="n"/>
      <c r="DOS1" s="87" t="n"/>
      <c r="DOT1" s="87" t="n"/>
      <c r="DOU1" s="87" t="n"/>
      <c r="DOV1" s="87" t="n"/>
      <c r="DOW1" s="87" t="n"/>
      <c r="DOX1" s="87" t="n"/>
      <c r="DOY1" s="87" t="n"/>
      <c r="DOZ1" s="87" t="n"/>
      <c r="DPA1" s="87" t="n"/>
      <c r="DPB1" s="87" t="n"/>
      <c r="DPC1" s="87" t="n"/>
      <c r="DPD1" s="87" t="n"/>
      <c r="DPE1" s="87" t="n"/>
      <c r="DPF1" s="87" t="n"/>
      <c r="DPG1" s="87" t="n"/>
      <c r="DPH1" s="87" t="n"/>
      <c r="DPI1" s="87" t="n"/>
      <c r="DPJ1" s="87" t="n"/>
      <c r="DPK1" s="87" t="n"/>
      <c r="DPL1" s="87" t="n"/>
      <c r="DPM1" s="87" t="n"/>
      <c r="DPN1" s="87" t="n"/>
      <c r="DPO1" s="87" t="n"/>
      <c r="DPP1" s="87" t="n"/>
      <c r="DPQ1" s="87" t="n"/>
      <c r="DPR1" s="87" t="n"/>
      <c r="DPS1" s="87" t="n"/>
      <c r="DPT1" s="87" t="n"/>
      <c r="DPU1" s="87" t="n"/>
      <c r="DPV1" s="87" t="n"/>
      <c r="DPW1" s="87" t="n"/>
      <c r="DPX1" s="87" t="n"/>
      <c r="DPY1" s="87" t="n"/>
      <c r="DPZ1" s="87" t="n"/>
      <c r="DQA1" s="87" t="n"/>
      <c r="DQB1" s="87" t="n"/>
      <c r="DQC1" s="87" t="n"/>
      <c r="DQD1" s="87" t="n"/>
      <c r="DQE1" s="87" t="n"/>
      <c r="DQF1" s="87" t="n"/>
      <c r="DQG1" s="87" t="n"/>
      <c r="DQH1" s="87" t="n"/>
      <c r="DQI1" s="87" t="n"/>
      <c r="DQJ1" s="87" t="n"/>
      <c r="DQK1" s="87" t="n"/>
      <c r="DQL1" s="87" t="n"/>
      <c r="DQM1" s="87" t="n"/>
      <c r="DQN1" s="87" t="n"/>
      <c r="DQO1" s="87" t="n"/>
      <c r="DQP1" s="87" t="n"/>
      <c r="DQQ1" s="87" t="n"/>
      <c r="DQR1" s="87" t="n"/>
      <c r="DQS1" s="87" t="n"/>
      <c r="DQT1" s="87" t="n"/>
      <c r="DQU1" s="87" t="n"/>
      <c r="DQV1" s="87" t="n"/>
      <c r="DQW1" s="87" t="n"/>
      <c r="DQX1" s="87" t="n"/>
      <c r="DQY1" s="87" t="n"/>
      <c r="DQZ1" s="87" t="n"/>
      <c r="DRA1" s="87" t="n"/>
      <c r="DRB1" s="87" t="n"/>
      <c r="DRC1" s="87" t="n"/>
      <c r="DRD1" s="87" t="n"/>
      <c r="DRE1" s="87" t="n"/>
      <c r="DRF1" s="87" t="n"/>
      <c r="DRG1" s="87" t="n"/>
      <c r="DRH1" s="87" t="n"/>
      <c r="DRI1" s="87" t="n"/>
      <c r="DRJ1" s="87" t="n"/>
      <c r="DRK1" s="87" t="n"/>
      <c r="DRL1" s="87" t="n"/>
      <c r="DRM1" s="87" t="n"/>
      <c r="DRN1" s="87" t="n"/>
      <c r="DRO1" s="87" t="n"/>
      <c r="DRP1" s="87" t="n"/>
      <c r="DRQ1" s="87" t="n"/>
      <c r="DRR1" s="87" t="n"/>
      <c r="DRS1" s="87" t="n"/>
      <c r="DRT1" s="87" t="n"/>
      <c r="DRU1" s="87" t="n"/>
      <c r="DRV1" s="87" t="n"/>
      <c r="DRW1" s="87" t="n"/>
      <c r="DRX1" s="87" t="n"/>
      <c r="DRY1" s="87" t="n"/>
      <c r="DRZ1" s="87" t="n"/>
      <c r="DSA1" s="87" t="n"/>
      <c r="DSB1" s="87" t="n"/>
      <c r="DSC1" s="87" t="n"/>
      <c r="DSD1" s="87" t="n"/>
      <c r="DSE1" s="87" t="n"/>
      <c r="DSF1" s="87" t="n"/>
      <c r="DSG1" s="87" t="n"/>
      <c r="DSH1" s="87" t="n"/>
      <c r="DSI1" s="87" t="n"/>
      <c r="DSJ1" s="87" t="n"/>
      <c r="DSK1" s="87" t="n"/>
      <c r="DSL1" s="87" t="n"/>
      <c r="DSM1" s="87" t="n"/>
      <c r="DSN1" s="87" t="n"/>
      <c r="DSO1" s="87" t="n"/>
      <c r="DSP1" s="87" t="n"/>
      <c r="DSQ1" s="87" t="n"/>
      <c r="DSR1" s="87" t="n"/>
      <c r="DSS1" s="87" t="n"/>
      <c r="DST1" s="87" t="n"/>
      <c r="DSU1" s="87" t="n"/>
      <c r="DSV1" s="87" t="n"/>
      <c r="DSW1" s="87" t="n"/>
      <c r="DSX1" s="87" t="n"/>
      <c r="DSY1" s="87" t="n"/>
      <c r="DSZ1" s="87" t="n"/>
      <c r="DTA1" s="87" t="n"/>
      <c r="DTB1" s="87" t="n"/>
      <c r="DTC1" s="87" t="n"/>
      <c r="DTD1" s="87" t="n"/>
      <c r="DTE1" s="87" t="n"/>
      <c r="DTF1" s="87" t="n"/>
      <c r="DTG1" s="87" t="n"/>
      <c r="DTH1" s="87" t="n"/>
      <c r="DTI1" s="87" t="n"/>
      <c r="DTJ1" s="87" t="n"/>
      <c r="DTK1" s="87" t="n"/>
      <c r="DTL1" s="87" t="n"/>
      <c r="DTM1" s="87" t="n"/>
      <c r="DTN1" s="87" t="n"/>
      <c r="DTO1" s="87" t="n"/>
      <c r="DTP1" s="87" t="n"/>
      <c r="DTQ1" s="87" t="n"/>
      <c r="DTR1" s="87" t="n"/>
      <c r="DTS1" s="87" t="n"/>
      <c r="DTT1" s="87" t="n"/>
      <c r="DTU1" s="87" t="n"/>
      <c r="DTV1" s="87" t="n"/>
      <c r="DTW1" s="87" t="n"/>
      <c r="DTX1" s="87" t="n"/>
      <c r="DTY1" s="87" t="n"/>
      <c r="DTZ1" s="87" t="n"/>
      <c r="DUA1" s="87" t="n"/>
      <c r="DUB1" s="87" t="n"/>
      <c r="DUC1" s="87" t="n"/>
      <c r="DUD1" s="87" t="n"/>
      <c r="DUE1" s="87" t="n"/>
      <c r="DUF1" s="87" t="n"/>
      <c r="DUG1" s="87" t="n"/>
      <c r="DUH1" s="87" t="n"/>
      <c r="DUI1" s="87" t="n"/>
      <c r="DUJ1" s="87" t="n"/>
      <c r="DUK1" s="87" t="n"/>
      <c r="DUL1" s="87" t="n"/>
      <c r="DUM1" s="87" t="n"/>
      <c r="DUN1" s="87" t="n"/>
      <c r="DUO1" s="87" t="n"/>
      <c r="DUP1" s="87" t="n"/>
      <c r="DUQ1" s="87" t="n"/>
      <c r="DUR1" s="87" t="n"/>
      <c r="DUS1" s="87" t="n"/>
      <c r="DUT1" s="87" t="n"/>
      <c r="DUU1" s="87" t="n"/>
      <c r="DUV1" s="87" t="n"/>
      <c r="DUW1" s="87" t="n"/>
      <c r="DUX1" s="87" t="n"/>
      <c r="DUY1" s="87" t="n"/>
      <c r="DUZ1" s="87" t="n"/>
      <c r="DVA1" s="87" t="n"/>
      <c r="DVB1" s="87" t="n"/>
      <c r="DVC1" s="87" t="n"/>
      <c r="DVD1" s="87" t="n"/>
      <c r="DVE1" s="87" t="n"/>
      <c r="DVF1" s="87" t="n"/>
      <c r="DVG1" s="87" t="n"/>
      <c r="DVH1" s="87" t="n"/>
      <c r="DVI1" s="87" t="n"/>
      <c r="DVJ1" s="87" t="n"/>
      <c r="DVK1" s="87" t="n"/>
      <c r="DVL1" s="87" t="n"/>
      <c r="DVM1" s="87" t="n"/>
      <c r="DVN1" s="87" t="n"/>
      <c r="DVO1" s="87" t="n"/>
      <c r="DVP1" s="87" t="n"/>
      <c r="DVQ1" s="87" t="n"/>
      <c r="DVR1" s="87" t="n"/>
      <c r="DVS1" s="87" t="n"/>
      <c r="DVT1" s="87" t="n"/>
      <c r="DVU1" s="87" t="n"/>
      <c r="DVV1" s="87" t="n"/>
      <c r="DVW1" s="87" t="n"/>
      <c r="DVX1" s="87" t="n"/>
      <c r="DVY1" s="87" t="n"/>
      <c r="DVZ1" s="87" t="n"/>
      <c r="DWA1" s="87" t="n"/>
      <c r="DWB1" s="87" t="n"/>
      <c r="DWC1" s="87" t="n"/>
      <c r="DWD1" s="87" t="n"/>
      <c r="DWE1" s="87" t="n"/>
      <c r="DWF1" s="87" t="n"/>
      <c r="DWG1" s="87" t="n"/>
      <c r="DWH1" s="87" t="n"/>
      <c r="DWI1" s="87" t="n"/>
      <c r="DWJ1" s="87" t="n"/>
      <c r="DWK1" s="87" t="n"/>
      <c r="DWL1" s="87" t="n"/>
      <c r="DWM1" s="87" t="n"/>
      <c r="DWN1" s="87" t="n"/>
      <c r="DWO1" s="87" t="n"/>
      <c r="DWP1" s="87" t="n"/>
      <c r="DWQ1" s="87" t="n"/>
      <c r="DWR1" s="87" t="n"/>
      <c r="DWS1" s="87" t="n"/>
      <c r="DWT1" s="87" t="n"/>
      <c r="DWU1" s="87" t="n"/>
      <c r="DWV1" s="87" t="n"/>
      <c r="DWW1" s="87" t="n"/>
      <c r="DWX1" s="87" t="n"/>
      <c r="DWY1" s="87" t="n"/>
      <c r="DWZ1" s="87" t="n"/>
      <c r="DXA1" s="87" t="n"/>
      <c r="DXB1" s="87" t="n"/>
      <c r="DXC1" s="87" t="n"/>
      <c r="DXD1" s="87" t="n"/>
      <c r="DXE1" s="87" t="n"/>
      <c r="DXF1" s="87" t="n"/>
      <c r="DXG1" s="87" t="n"/>
      <c r="DXH1" s="87" t="n"/>
      <c r="DXI1" s="87" t="n"/>
      <c r="DXJ1" s="87" t="n"/>
      <c r="DXK1" s="87" t="n"/>
      <c r="DXL1" s="87" t="n"/>
      <c r="DXM1" s="87" t="n"/>
      <c r="DXN1" s="87" t="n"/>
      <c r="DXO1" s="87" t="n"/>
      <c r="DXP1" s="87" t="n"/>
      <c r="DXQ1" s="87" t="n"/>
      <c r="DXR1" s="87" t="n"/>
      <c r="DXS1" s="87" t="n"/>
      <c r="DXT1" s="87" t="n"/>
      <c r="DXU1" s="87" t="n"/>
      <c r="DXV1" s="87" t="n"/>
      <c r="DXW1" s="87" t="n"/>
      <c r="DXX1" s="87" t="n"/>
      <c r="DXY1" s="87" t="n"/>
      <c r="DXZ1" s="87" t="n"/>
      <c r="DYA1" s="87" t="n"/>
      <c r="DYB1" s="87" t="n"/>
      <c r="DYC1" s="87" t="n"/>
      <c r="DYD1" s="87" t="n"/>
      <c r="DYE1" s="87" t="n"/>
      <c r="DYF1" s="87" t="n"/>
      <c r="DYG1" s="87" t="n"/>
      <c r="DYH1" s="87" t="n"/>
      <c r="DYI1" s="87" t="n"/>
      <c r="DYJ1" s="87" t="n"/>
      <c r="DYK1" s="87" t="n"/>
      <c r="DYL1" s="87" t="n"/>
      <c r="DYM1" s="87" t="n"/>
      <c r="DYN1" s="87" t="n"/>
      <c r="DYO1" s="87" t="n"/>
      <c r="DYP1" s="87" t="n"/>
      <c r="DYQ1" s="87" t="n"/>
      <c r="DYR1" s="87" t="n"/>
      <c r="DYS1" s="87" t="n"/>
      <c r="DYT1" s="87" t="n"/>
      <c r="DYU1" s="87" t="n"/>
      <c r="DYV1" s="87" t="n"/>
      <c r="DYW1" s="87" t="n"/>
      <c r="DYX1" s="87" t="n"/>
      <c r="DYY1" s="87" t="n"/>
      <c r="DYZ1" s="87" t="n"/>
      <c r="DZA1" s="87" t="n"/>
      <c r="DZB1" s="87" t="n"/>
      <c r="DZC1" s="87" t="n"/>
      <c r="DZD1" s="87" t="n"/>
      <c r="DZE1" s="87" t="n"/>
      <c r="DZF1" s="87" t="n"/>
      <c r="DZG1" s="87" t="n"/>
      <c r="DZH1" s="87" t="n"/>
      <c r="DZI1" s="87" t="n"/>
      <c r="DZJ1" s="87" t="n"/>
      <c r="DZK1" s="87" t="n"/>
      <c r="DZL1" s="87" t="n"/>
      <c r="DZM1" s="87" t="n"/>
      <c r="DZN1" s="87" t="n"/>
      <c r="DZO1" s="87" t="n"/>
      <c r="DZP1" s="87" t="n"/>
      <c r="DZQ1" s="87" t="n"/>
      <c r="DZR1" s="87" t="n"/>
      <c r="DZS1" s="87" t="n"/>
      <c r="DZT1" s="87" t="n"/>
      <c r="DZU1" s="87" t="n"/>
      <c r="DZV1" s="87" t="n"/>
      <c r="DZW1" s="87" t="n"/>
      <c r="DZX1" s="87" t="n"/>
      <c r="DZY1" s="87" t="n"/>
      <c r="DZZ1" s="87" t="n"/>
      <c r="EAA1" s="87" t="n"/>
      <c r="EAB1" s="87" t="n"/>
      <c r="EAC1" s="87" t="n"/>
      <c r="EAD1" s="87" t="n"/>
      <c r="EAE1" s="87" t="n"/>
      <c r="EAF1" s="87" t="n"/>
      <c r="EAG1" s="87" t="n"/>
      <c r="EAH1" s="87" t="n"/>
      <c r="EAI1" s="87" t="n"/>
      <c r="EAJ1" s="87" t="n"/>
      <c r="EAK1" s="87" t="n"/>
      <c r="EAL1" s="87" t="n"/>
      <c r="EAM1" s="87" t="n"/>
      <c r="EAN1" s="87" t="n"/>
      <c r="EAO1" s="87" t="n"/>
      <c r="EAP1" s="87" t="n"/>
      <c r="EAQ1" s="87" t="n"/>
      <c r="EAR1" s="87" t="n"/>
      <c r="EAS1" s="87" t="n"/>
      <c r="EAT1" s="87" t="n"/>
      <c r="EAU1" s="87" t="n"/>
      <c r="EAV1" s="87" t="n"/>
      <c r="EAW1" s="87" t="n"/>
      <c r="EAX1" s="87" t="n"/>
      <c r="EAY1" s="87" t="n"/>
      <c r="EAZ1" s="87" t="n"/>
      <c r="EBA1" s="87" t="n"/>
      <c r="EBB1" s="87" t="n"/>
      <c r="EBC1" s="87" t="n"/>
      <c r="EBD1" s="87" t="n"/>
      <c r="EBE1" s="87" t="n"/>
      <c r="EBF1" s="87" t="n"/>
      <c r="EBG1" s="87" t="n"/>
      <c r="EBH1" s="87" t="n"/>
      <c r="EBI1" s="87" t="n"/>
      <c r="EBJ1" s="87" t="n"/>
      <c r="EBK1" s="87" t="n"/>
      <c r="EBL1" s="87" t="n"/>
      <c r="EBM1" s="87" t="n"/>
      <c r="EBN1" s="87" t="n"/>
      <c r="EBO1" s="87" t="n"/>
      <c r="EBP1" s="87" t="n"/>
      <c r="EBQ1" s="87" t="n"/>
      <c r="EBR1" s="87" t="n"/>
      <c r="EBS1" s="87" t="n"/>
      <c r="EBT1" s="87" t="n"/>
      <c r="EBU1" s="87" t="n"/>
      <c r="EBV1" s="87" t="n"/>
      <c r="EBW1" s="87" t="n"/>
      <c r="EBX1" s="87" t="n"/>
      <c r="EBY1" s="87" t="n"/>
      <c r="EBZ1" s="87" t="n"/>
      <c r="ECA1" s="87" t="n"/>
      <c r="ECB1" s="87" t="n"/>
      <c r="ECC1" s="87" t="n"/>
      <c r="ECD1" s="87" t="n"/>
      <c r="ECE1" s="87" t="n"/>
      <c r="ECF1" s="87" t="n"/>
      <c r="ECG1" s="87" t="n"/>
      <c r="ECH1" s="87" t="n"/>
      <c r="ECI1" s="87" t="n"/>
      <c r="ECJ1" s="87" t="n"/>
      <c r="ECK1" s="87" t="n"/>
      <c r="ECL1" s="87" t="n"/>
      <c r="ECM1" s="87" t="n"/>
      <c r="ECN1" s="87" t="n"/>
      <c r="ECO1" s="87" t="n"/>
      <c r="ECP1" s="87" t="n"/>
      <c r="ECQ1" s="87" t="n"/>
      <c r="ECR1" s="87" t="n"/>
      <c r="ECS1" s="87" t="n"/>
      <c r="ECT1" s="87" t="n"/>
      <c r="ECU1" s="87" t="n"/>
      <c r="ECV1" s="87" t="n"/>
      <c r="ECW1" s="87" t="n"/>
      <c r="ECX1" s="87" t="n"/>
      <c r="ECY1" s="87" t="n"/>
      <c r="ECZ1" s="87" t="n"/>
      <c r="EDA1" s="87" t="n"/>
      <c r="EDB1" s="87" t="n"/>
      <c r="EDC1" s="87" t="n"/>
      <c r="EDD1" s="87" t="n"/>
      <c r="EDE1" s="87" t="n"/>
      <c r="EDF1" s="87" t="n"/>
      <c r="EDG1" s="87" t="n"/>
      <c r="EDH1" s="87" t="n"/>
      <c r="EDI1" s="87" t="n"/>
      <c r="EDJ1" s="87" t="n"/>
      <c r="EDK1" s="87" t="n"/>
      <c r="EDL1" s="87" t="n"/>
      <c r="EDM1" s="87" t="n"/>
      <c r="EDN1" s="87" t="n"/>
      <c r="EDO1" s="87" t="n"/>
      <c r="EDP1" s="87" t="n"/>
      <c r="EDQ1" s="87" t="n"/>
      <c r="EDR1" s="87" t="n"/>
      <c r="EDS1" s="87" t="n"/>
      <c r="EDT1" s="87" t="n"/>
      <c r="EDU1" s="87" t="n"/>
      <c r="EDV1" s="87" t="n"/>
      <c r="EDW1" s="87" t="n"/>
      <c r="EDX1" s="87" t="n"/>
      <c r="EDY1" s="87" t="n"/>
      <c r="EDZ1" s="87" t="n"/>
      <c r="EEA1" s="87" t="n"/>
      <c r="EEB1" s="87" t="n"/>
      <c r="EEC1" s="87" t="n"/>
      <c r="EED1" s="87" t="n"/>
      <c r="EEE1" s="87" t="n"/>
      <c r="EEF1" s="87" t="n"/>
      <c r="EEG1" s="87" t="n"/>
      <c r="EEH1" s="87" t="n"/>
      <c r="EEI1" s="87" t="n"/>
      <c r="EEJ1" s="87" t="n"/>
      <c r="EEK1" s="87" t="n"/>
      <c r="EEL1" s="87" t="n"/>
      <c r="EEM1" s="87" t="n"/>
      <c r="EEN1" s="87" t="n"/>
      <c r="EEO1" s="87" t="n"/>
      <c r="EEP1" s="87" t="n"/>
      <c r="EEQ1" s="87" t="n"/>
      <c r="EER1" s="87" t="n"/>
      <c r="EES1" s="87" t="n"/>
      <c r="EET1" s="87" t="n"/>
      <c r="EEU1" s="87" t="n"/>
      <c r="EEV1" s="87" t="n"/>
      <c r="EEW1" s="87" t="n"/>
      <c r="EEX1" s="87" t="n"/>
      <c r="EEY1" s="87" t="n"/>
      <c r="EEZ1" s="87" t="n"/>
      <c r="EFA1" s="87" t="n"/>
      <c r="EFB1" s="87" t="n"/>
      <c r="EFC1" s="87" t="n"/>
      <c r="EFD1" s="87" t="n"/>
      <c r="EFE1" s="87" t="n"/>
      <c r="EFF1" s="87" t="n"/>
      <c r="EFG1" s="87" t="n"/>
      <c r="EFH1" s="87" t="n"/>
      <c r="EFI1" s="87" t="n"/>
      <c r="EFJ1" s="87" t="n"/>
      <c r="EFK1" s="87" t="n"/>
      <c r="EFL1" s="87" t="n"/>
      <c r="EFM1" s="87" t="n"/>
      <c r="EFN1" s="87" t="n"/>
      <c r="EFO1" s="87" t="n"/>
      <c r="EFP1" s="87" t="n"/>
      <c r="EFQ1" s="87" t="n"/>
      <c r="EFR1" s="87" t="n"/>
      <c r="EFS1" s="87" t="n"/>
      <c r="EFT1" s="87" t="n"/>
      <c r="EFU1" s="87" t="n"/>
      <c r="EFV1" s="87" t="n"/>
      <c r="EFW1" s="87" t="n"/>
      <c r="EFX1" s="87" t="n"/>
      <c r="EFY1" s="87" t="n"/>
      <c r="EFZ1" s="87" t="n"/>
      <c r="EGA1" s="87" t="n"/>
      <c r="EGB1" s="87" t="n"/>
      <c r="EGC1" s="87" t="n"/>
      <c r="EGD1" s="87" t="n"/>
      <c r="EGE1" s="87" t="n"/>
      <c r="EGF1" s="87" t="n"/>
      <c r="EGG1" s="87" t="n"/>
      <c r="EGH1" s="87" t="n"/>
      <c r="EGI1" s="87" t="n"/>
      <c r="EGJ1" s="87" t="n"/>
      <c r="EGK1" s="87" t="n"/>
      <c r="EGL1" s="87" t="n"/>
      <c r="EGM1" s="87" t="n"/>
      <c r="EGN1" s="87" t="n"/>
      <c r="EGO1" s="87" t="n"/>
      <c r="EGP1" s="87" t="n"/>
      <c r="EGQ1" s="87" t="n"/>
      <c r="EGR1" s="87" t="n"/>
      <c r="EGS1" s="87" t="n"/>
      <c r="EGT1" s="87" t="n"/>
      <c r="EGU1" s="87" t="n"/>
      <c r="EGV1" s="87" t="n"/>
      <c r="EGW1" s="87" t="n"/>
      <c r="EGX1" s="87" t="n"/>
      <c r="EGY1" s="87" t="n"/>
      <c r="EGZ1" s="87" t="n"/>
      <c r="EHA1" s="87" t="n"/>
      <c r="EHB1" s="87" t="n"/>
      <c r="EHC1" s="87" t="n"/>
      <c r="EHD1" s="87" t="n"/>
      <c r="EHE1" s="87" t="n"/>
      <c r="EHF1" s="87" t="n"/>
      <c r="EHG1" s="87" t="n"/>
      <c r="EHH1" s="87" t="n"/>
      <c r="EHI1" s="87" t="n"/>
      <c r="EHJ1" s="87" t="n"/>
      <c r="EHK1" s="87" t="n"/>
      <c r="EHL1" s="87" t="n"/>
      <c r="EHM1" s="87" t="n"/>
      <c r="EHN1" s="87" t="n"/>
      <c r="EHO1" s="87" t="n"/>
      <c r="EHP1" s="87" t="n"/>
      <c r="EHQ1" s="87" t="n"/>
      <c r="EHR1" s="87" t="n"/>
      <c r="EHS1" s="87" t="n"/>
      <c r="EHT1" s="87" t="n"/>
      <c r="EHU1" s="87" t="n"/>
      <c r="EHV1" s="87" t="n"/>
      <c r="EHW1" s="87" t="n"/>
      <c r="EHX1" s="87" t="n"/>
      <c r="EHY1" s="87" t="n"/>
      <c r="EHZ1" s="87" t="n"/>
      <c r="EIA1" s="87" t="n"/>
      <c r="EIB1" s="87" t="n"/>
      <c r="EIC1" s="87" t="n"/>
      <c r="EID1" s="87" t="n"/>
      <c r="EIE1" s="87" t="n"/>
      <c r="EIF1" s="87" t="n"/>
      <c r="EIG1" s="87" t="n"/>
      <c r="EIH1" s="87" t="n"/>
      <c r="EII1" s="87" t="n"/>
      <c r="EIJ1" s="87" t="n"/>
      <c r="EIK1" s="87" t="n"/>
      <c r="EIL1" s="87" t="n"/>
      <c r="EIM1" s="87" t="n"/>
      <c r="EIN1" s="87" t="n"/>
      <c r="EIO1" s="87" t="n"/>
      <c r="EIP1" s="87" t="n"/>
      <c r="EIQ1" s="87" t="n"/>
      <c r="EIR1" s="87" t="n"/>
      <c r="EIS1" s="87" t="n"/>
      <c r="EIT1" s="87" t="n"/>
      <c r="EIU1" s="87" t="n"/>
      <c r="EIV1" s="87" t="n"/>
      <c r="EIW1" s="87" t="n"/>
      <c r="EIX1" s="87" t="n"/>
      <c r="EIY1" s="87" t="n"/>
      <c r="EIZ1" s="87" t="n"/>
      <c r="EJA1" s="87" t="n"/>
      <c r="EJB1" s="87" t="n"/>
      <c r="EJC1" s="87" t="n"/>
      <c r="EJD1" s="87" t="n"/>
      <c r="EJE1" s="87" t="n"/>
      <c r="EJF1" s="87" t="n"/>
      <c r="EJG1" s="87" t="n"/>
      <c r="EJH1" s="87" t="n"/>
      <c r="EJI1" s="87" t="n"/>
      <c r="EJJ1" s="87" t="n"/>
      <c r="EJK1" s="87" t="n"/>
      <c r="EJL1" s="87" t="n"/>
      <c r="EJM1" s="87" t="n"/>
      <c r="EJN1" s="87" t="n"/>
      <c r="EJO1" s="87" t="n"/>
      <c r="EJP1" s="87" t="n"/>
      <c r="EJQ1" s="87" t="n"/>
      <c r="EJR1" s="87" t="n"/>
      <c r="EJS1" s="87" t="n"/>
      <c r="EJT1" s="87" t="n"/>
      <c r="EJU1" s="87" t="n"/>
      <c r="EJV1" s="87" t="n"/>
      <c r="EJW1" s="87" t="n"/>
      <c r="EJX1" s="87" t="n"/>
      <c r="EJY1" s="87" t="n"/>
      <c r="EJZ1" s="87" t="n"/>
      <c r="EKA1" s="87" t="n"/>
      <c r="EKB1" s="87" t="n"/>
      <c r="EKC1" s="87" t="n"/>
      <c r="EKD1" s="87" t="n"/>
      <c r="EKE1" s="87" t="n"/>
      <c r="EKF1" s="87" t="n"/>
      <c r="EKG1" s="87" t="n"/>
      <c r="EKH1" s="87" t="n"/>
      <c r="EKI1" s="87" t="n"/>
      <c r="EKJ1" s="87" t="n"/>
      <c r="EKK1" s="87" t="n"/>
      <c r="EKL1" s="87" t="n"/>
      <c r="EKM1" s="87" t="n"/>
      <c r="EKN1" s="87" t="n"/>
      <c r="EKO1" s="87" t="n"/>
      <c r="EKP1" s="87" t="n"/>
      <c r="EKQ1" s="87" t="n"/>
      <c r="EKR1" s="87" t="n"/>
      <c r="EKS1" s="87" t="n"/>
      <c r="EKT1" s="87" t="n"/>
      <c r="EKU1" s="87" t="n"/>
      <c r="EKV1" s="87" t="n"/>
      <c r="EKW1" s="87" t="n"/>
      <c r="EKX1" s="87" t="n"/>
      <c r="EKY1" s="87" t="n"/>
      <c r="EKZ1" s="87" t="n"/>
      <c r="ELA1" s="87" t="n"/>
      <c r="ELB1" s="87" t="n"/>
      <c r="ELC1" s="87" t="n"/>
      <c r="ELD1" s="87" t="n"/>
      <c r="ELE1" s="87" t="n"/>
      <c r="ELF1" s="87" t="n"/>
      <c r="ELG1" s="87" t="n"/>
      <c r="ELH1" s="87" t="n"/>
      <c r="ELI1" s="87" t="n"/>
      <c r="ELJ1" s="87" t="n"/>
      <c r="ELK1" s="87" t="n"/>
      <c r="ELL1" s="87" t="n"/>
      <c r="ELM1" s="87" t="n"/>
      <c r="ELN1" s="87" t="n"/>
      <c r="ELO1" s="87" t="n"/>
      <c r="ELP1" s="87" t="n"/>
      <c r="ELQ1" s="87" t="n"/>
      <c r="ELR1" s="87" t="n"/>
      <c r="ELS1" s="87" t="n"/>
      <c r="ELT1" s="87" t="n"/>
      <c r="ELU1" s="87" t="n"/>
      <c r="ELV1" s="87" t="n"/>
      <c r="ELW1" s="87" t="n"/>
      <c r="ELX1" s="87" t="n"/>
      <c r="ELY1" s="87" t="n"/>
      <c r="ELZ1" s="87" t="n"/>
      <c r="EMA1" s="87" t="n"/>
      <c r="EMB1" s="87" t="n"/>
      <c r="EMC1" s="87" t="n"/>
      <c r="EMD1" s="87" t="n"/>
      <c r="EME1" s="87" t="n"/>
      <c r="EMF1" s="87" t="n"/>
      <c r="EMG1" s="87" t="n"/>
      <c r="EMH1" s="87" t="n"/>
      <c r="EMI1" s="87" t="n"/>
      <c r="EMJ1" s="87" t="n"/>
      <c r="EMK1" s="87" t="n"/>
      <c r="EML1" s="87" t="n"/>
      <c r="EMM1" s="87" t="n"/>
      <c r="EMN1" s="87" t="n"/>
      <c r="EMO1" s="87" t="n"/>
      <c r="EMP1" s="87" t="n"/>
      <c r="EMQ1" s="87" t="n"/>
      <c r="EMR1" s="87" t="n"/>
      <c r="EMS1" s="87" t="n"/>
      <c r="EMT1" s="87" t="n"/>
      <c r="EMU1" s="87" t="n"/>
      <c r="EMV1" s="87" t="n"/>
      <c r="EMW1" s="87" t="n"/>
      <c r="EMX1" s="87" t="n"/>
      <c r="EMY1" s="87" t="n"/>
      <c r="EMZ1" s="87" t="n"/>
      <c r="ENA1" s="87" t="n"/>
      <c r="ENB1" s="87" t="n"/>
      <c r="ENC1" s="87" t="n"/>
      <c r="END1" s="87" t="n"/>
      <c r="ENE1" s="87" t="n"/>
      <c r="ENF1" s="87" t="n"/>
      <c r="ENG1" s="87" t="n"/>
      <c r="ENH1" s="87" t="n"/>
      <c r="ENI1" s="87" t="n"/>
      <c r="ENJ1" s="87" t="n"/>
      <c r="ENK1" s="87" t="n"/>
      <c r="ENL1" s="87" t="n"/>
      <c r="ENM1" s="87" t="n"/>
      <c r="ENN1" s="87" t="n"/>
      <c r="ENO1" s="87" t="n"/>
      <c r="ENP1" s="87" t="n"/>
      <c r="ENQ1" s="87" t="n"/>
      <c r="ENR1" s="87" t="n"/>
      <c r="ENS1" s="87" t="n"/>
      <c r="ENT1" s="87" t="n"/>
      <c r="ENU1" s="87" t="n"/>
      <c r="ENV1" s="87" t="n"/>
      <c r="ENW1" s="87" t="n"/>
      <c r="ENX1" s="87" t="n"/>
      <c r="ENY1" s="87" t="n"/>
      <c r="ENZ1" s="87" t="n"/>
      <c r="EOA1" s="87" t="n"/>
      <c r="EOB1" s="87" t="n"/>
      <c r="EOC1" s="87" t="n"/>
      <c r="EOD1" s="87" t="n"/>
      <c r="EOE1" s="87" t="n"/>
      <c r="EOF1" s="87" t="n"/>
      <c r="EOG1" s="87" t="n"/>
      <c r="EOH1" s="87" t="n"/>
      <c r="EOI1" s="87" t="n"/>
      <c r="EOJ1" s="87" t="n"/>
      <c r="EOK1" s="87" t="n"/>
      <c r="EOL1" s="87" t="n"/>
      <c r="EOM1" s="87" t="n"/>
      <c r="EON1" s="87" t="n"/>
      <c r="EOO1" s="87" t="n"/>
      <c r="EOP1" s="87" t="n"/>
      <c r="EOQ1" s="87" t="n"/>
      <c r="EOR1" s="87" t="n"/>
      <c r="EOS1" s="87" t="n"/>
      <c r="EOT1" s="87" t="n"/>
      <c r="EOU1" s="87" t="n"/>
      <c r="EOV1" s="87" t="n"/>
      <c r="EOW1" s="87" t="n"/>
      <c r="EOX1" s="87" t="n"/>
      <c r="EOY1" s="87" t="n"/>
      <c r="EOZ1" s="87" t="n"/>
      <c r="EPA1" s="87" t="n"/>
      <c r="EPB1" s="87" t="n"/>
      <c r="EPC1" s="87" t="n"/>
      <c r="EPD1" s="87" t="n"/>
      <c r="EPE1" s="87" t="n"/>
      <c r="EPF1" s="87" t="n"/>
      <c r="EPG1" s="87" t="n"/>
      <c r="EPH1" s="87" t="n"/>
      <c r="EPI1" s="87" t="n"/>
      <c r="EPJ1" s="87" t="n"/>
      <c r="EPK1" s="87" t="n"/>
      <c r="EPL1" s="87" t="n"/>
      <c r="EPM1" s="87" t="n"/>
      <c r="EPN1" s="87" t="n"/>
      <c r="EPO1" s="87" t="n"/>
      <c r="EPP1" s="87" t="n"/>
      <c r="EPQ1" s="87" t="n"/>
      <c r="EPR1" s="87" t="n"/>
      <c r="EPS1" s="87" t="n"/>
      <c r="EPT1" s="87" t="n"/>
      <c r="EPU1" s="87" t="n"/>
      <c r="EPV1" s="87" t="n"/>
      <c r="EPW1" s="87" t="n"/>
      <c r="EPX1" s="87" t="n"/>
      <c r="EPY1" s="87" t="n"/>
      <c r="EPZ1" s="87" t="n"/>
      <c r="EQA1" s="87" t="n"/>
      <c r="EQB1" s="87" t="n"/>
      <c r="EQC1" s="87" t="n"/>
      <c r="EQD1" s="87" t="n"/>
      <c r="EQE1" s="87" t="n"/>
      <c r="EQF1" s="87" t="n"/>
      <c r="EQG1" s="87" t="n"/>
      <c r="EQH1" s="87" t="n"/>
      <c r="EQI1" s="87" t="n"/>
      <c r="EQJ1" s="87" t="n"/>
      <c r="EQK1" s="87" t="n"/>
      <c r="EQL1" s="87" t="n"/>
      <c r="EQM1" s="87" t="n"/>
      <c r="EQN1" s="87" t="n"/>
      <c r="EQO1" s="87" t="n"/>
      <c r="EQP1" s="87" t="n"/>
      <c r="EQQ1" s="87" t="n"/>
      <c r="EQR1" s="87" t="n"/>
      <c r="EQS1" s="87" t="n"/>
      <c r="EQT1" s="87" t="n"/>
      <c r="EQU1" s="87" t="n"/>
      <c r="EQV1" s="87" t="n"/>
      <c r="EQW1" s="87" t="n"/>
      <c r="EQX1" s="87" t="n"/>
      <c r="EQY1" s="87" t="n"/>
      <c r="EQZ1" s="87" t="n"/>
      <c r="ERA1" s="87" t="n"/>
      <c r="ERB1" s="87" t="n"/>
      <c r="ERC1" s="87" t="n"/>
      <c r="ERD1" s="87" t="n"/>
      <c r="ERE1" s="87" t="n"/>
      <c r="ERF1" s="87" t="n"/>
      <c r="ERG1" s="87" t="n"/>
      <c r="ERH1" s="87" t="n"/>
      <c r="ERI1" s="87" t="n"/>
      <c r="ERJ1" s="87" t="n"/>
      <c r="ERK1" s="87" t="n"/>
      <c r="ERL1" s="87" t="n"/>
      <c r="ERM1" s="87" t="n"/>
      <c r="ERN1" s="87" t="n"/>
      <c r="ERO1" s="87" t="n"/>
      <c r="ERP1" s="87" t="n"/>
      <c r="ERQ1" s="87" t="n"/>
      <c r="ERR1" s="87" t="n"/>
      <c r="ERS1" s="87" t="n"/>
      <c r="ERT1" s="87" t="n"/>
      <c r="ERU1" s="87" t="n"/>
      <c r="ERV1" s="87" t="n"/>
      <c r="ERW1" s="87" t="n"/>
      <c r="ERX1" s="87" t="n"/>
      <c r="ERY1" s="87" t="n"/>
      <c r="ERZ1" s="87" t="n"/>
      <c r="ESA1" s="87" t="n"/>
      <c r="ESB1" s="87" t="n"/>
      <c r="ESC1" s="87" t="n"/>
      <c r="ESD1" s="87" t="n"/>
      <c r="ESE1" s="87" t="n"/>
      <c r="ESF1" s="87" t="n"/>
      <c r="ESG1" s="87" t="n"/>
      <c r="ESH1" s="87" t="n"/>
      <c r="ESI1" s="87" t="n"/>
      <c r="ESJ1" s="87" t="n"/>
      <c r="ESK1" s="87" t="n"/>
      <c r="ESL1" s="87" t="n"/>
      <c r="ESM1" s="87" t="n"/>
      <c r="ESN1" s="87" t="n"/>
      <c r="ESO1" s="87" t="n"/>
      <c r="ESP1" s="87" t="n"/>
      <c r="ESQ1" s="87" t="n"/>
      <c r="ESR1" s="87" t="n"/>
      <c r="ESS1" s="87" t="n"/>
      <c r="EST1" s="87" t="n"/>
      <c r="ESU1" s="87" t="n"/>
      <c r="ESV1" s="87" t="n"/>
      <c r="ESW1" s="87" t="n"/>
      <c r="ESX1" s="87" t="n"/>
      <c r="ESY1" s="87" t="n"/>
      <c r="ESZ1" s="87" t="n"/>
      <c r="ETA1" s="87" t="n"/>
      <c r="ETB1" s="87" t="n"/>
      <c r="ETC1" s="87" t="n"/>
      <c r="ETD1" s="87" t="n"/>
      <c r="ETE1" s="87" t="n"/>
      <c r="ETF1" s="87" t="n"/>
      <c r="ETG1" s="87" t="n"/>
      <c r="ETH1" s="87" t="n"/>
      <c r="ETI1" s="87" t="n"/>
      <c r="ETJ1" s="87" t="n"/>
      <c r="ETK1" s="87" t="n"/>
      <c r="ETL1" s="87" t="n"/>
      <c r="ETM1" s="87" t="n"/>
      <c r="ETN1" s="87" t="n"/>
      <c r="ETO1" s="87" t="n"/>
      <c r="ETP1" s="87" t="n"/>
      <c r="ETQ1" s="87" t="n"/>
      <c r="ETR1" s="87" t="n"/>
      <c r="ETS1" s="87" t="n"/>
      <c r="ETT1" s="87" t="n"/>
      <c r="ETU1" s="87" t="n"/>
      <c r="ETV1" s="87" t="n"/>
      <c r="ETW1" s="87" t="n"/>
      <c r="ETX1" s="87" t="n"/>
      <c r="ETY1" s="87" t="n"/>
      <c r="ETZ1" s="87" t="n"/>
      <c r="EUA1" s="87" t="n"/>
      <c r="EUB1" s="87" t="n"/>
      <c r="EUC1" s="87" t="n"/>
      <c r="EUD1" s="87" t="n"/>
      <c r="EUE1" s="87" t="n"/>
      <c r="EUF1" s="87" t="n"/>
      <c r="EUG1" s="87" t="n"/>
      <c r="EUH1" s="87" t="n"/>
      <c r="EUI1" s="87" t="n"/>
      <c r="EUJ1" s="87" t="n"/>
      <c r="EUK1" s="87" t="n"/>
      <c r="EUL1" s="87" t="n"/>
      <c r="EUM1" s="87" t="n"/>
      <c r="EUN1" s="87" t="n"/>
      <c r="EUO1" s="87" t="n"/>
      <c r="EUP1" s="87" t="n"/>
      <c r="EUQ1" s="87" t="n"/>
      <c r="EUR1" s="87" t="n"/>
      <c r="EUS1" s="87" t="n"/>
      <c r="EUT1" s="87" t="n"/>
      <c r="EUU1" s="87" t="n"/>
      <c r="EUV1" s="87" t="n"/>
      <c r="EUW1" s="87" t="n"/>
      <c r="EUX1" s="87" t="n"/>
      <c r="EUY1" s="87" t="n"/>
      <c r="EUZ1" s="87" t="n"/>
      <c r="EVA1" s="87" t="n"/>
      <c r="EVB1" s="87" t="n"/>
      <c r="EVC1" s="87" t="n"/>
      <c r="EVD1" s="87" t="n"/>
      <c r="EVE1" s="87" t="n"/>
      <c r="EVF1" s="87" t="n"/>
      <c r="EVG1" s="87" t="n"/>
      <c r="EVH1" s="87" t="n"/>
      <c r="EVI1" s="87" t="n"/>
      <c r="EVJ1" s="87" t="n"/>
      <c r="EVK1" s="87" t="n"/>
      <c r="EVL1" s="87" t="n"/>
      <c r="EVM1" s="87" t="n"/>
      <c r="EVN1" s="87" t="n"/>
      <c r="EVO1" s="87" t="n"/>
      <c r="EVP1" s="87" t="n"/>
      <c r="EVQ1" s="87" t="n"/>
      <c r="EVR1" s="87" t="n"/>
      <c r="EVS1" s="87" t="n"/>
      <c r="EVT1" s="87" t="n"/>
      <c r="EVU1" s="87" t="n"/>
      <c r="EVV1" s="87" t="n"/>
      <c r="EVW1" s="87" t="n"/>
      <c r="EVX1" s="87" t="n"/>
      <c r="EVY1" s="87" t="n"/>
      <c r="EVZ1" s="87" t="n"/>
      <c r="EWA1" s="87" t="n"/>
      <c r="EWB1" s="87" t="n"/>
      <c r="EWC1" s="87" t="n"/>
      <c r="EWD1" s="87" t="n"/>
      <c r="EWE1" s="87" t="n"/>
      <c r="EWF1" s="87" t="n"/>
      <c r="EWG1" s="87" t="n"/>
      <c r="EWH1" s="87" t="n"/>
      <c r="EWI1" s="87" t="n"/>
      <c r="EWJ1" s="87" t="n"/>
      <c r="EWK1" s="87" t="n"/>
      <c r="EWL1" s="87" t="n"/>
      <c r="EWM1" s="87" t="n"/>
      <c r="EWN1" s="87" t="n"/>
      <c r="EWO1" s="87" t="n"/>
      <c r="EWP1" s="87" t="n"/>
      <c r="EWQ1" s="87" t="n"/>
      <c r="EWR1" s="87" t="n"/>
      <c r="EWS1" s="87" t="n"/>
      <c r="EWT1" s="87" t="n"/>
      <c r="EWU1" s="87" t="n"/>
      <c r="EWV1" s="87" t="n"/>
      <c r="EWW1" s="87" t="n"/>
      <c r="EWX1" s="87" t="n"/>
      <c r="EWY1" s="87" t="n"/>
      <c r="EWZ1" s="87" t="n"/>
      <c r="EXA1" s="87" t="n"/>
      <c r="EXB1" s="87" t="n"/>
      <c r="EXC1" s="87" t="n"/>
      <c r="EXD1" s="87" t="n"/>
      <c r="EXE1" s="87" t="n"/>
      <c r="EXF1" s="87" t="n"/>
      <c r="EXG1" s="87" t="n"/>
      <c r="EXH1" s="87" t="n"/>
      <c r="EXI1" s="87" t="n"/>
      <c r="EXJ1" s="87" t="n"/>
      <c r="EXK1" s="87" t="n"/>
      <c r="EXL1" s="87" t="n"/>
      <c r="EXM1" s="87" t="n"/>
      <c r="EXN1" s="87" t="n"/>
      <c r="EXO1" s="87" t="n"/>
      <c r="EXP1" s="87" t="n"/>
      <c r="EXQ1" s="87" t="n"/>
      <c r="EXR1" s="87" t="n"/>
      <c r="EXS1" s="87" t="n"/>
      <c r="EXT1" s="87" t="n"/>
      <c r="EXU1" s="87" t="n"/>
      <c r="EXV1" s="87" t="n"/>
      <c r="EXW1" s="87" t="n"/>
      <c r="EXX1" s="87" t="n"/>
      <c r="EXY1" s="87" t="n"/>
      <c r="EXZ1" s="87" t="n"/>
      <c r="EYA1" s="87" t="n"/>
      <c r="EYB1" s="87" t="n"/>
      <c r="EYC1" s="87" t="n"/>
      <c r="EYD1" s="87" t="n"/>
      <c r="EYE1" s="87" t="n"/>
      <c r="EYF1" s="87" t="n"/>
      <c r="EYG1" s="87" t="n"/>
      <c r="EYH1" s="87" t="n"/>
      <c r="EYI1" s="87" t="n"/>
      <c r="EYJ1" s="87" t="n"/>
      <c r="EYK1" s="87" t="n"/>
      <c r="EYL1" s="87" t="n"/>
      <c r="EYM1" s="87" t="n"/>
      <c r="EYN1" s="87" t="n"/>
      <c r="EYO1" s="87" t="n"/>
      <c r="EYP1" s="87" t="n"/>
      <c r="EYQ1" s="87" t="n"/>
      <c r="EYR1" s="87" t="n"/>
      <c r="EYS1" s="87" t="n"/>
      <c r="EYT1" s="87" t="n"/>
      <c r="EYU1" s="87" t="n"/>
      <c r="EYV1" s="87" t="n"/>
      <c r="EYW1" s="87" t="n"/>
      <c r="EYX1" s="87" t="n"/>
      <c r="EYY1" s="87" t="n"/>
      <c r="EYZ1" s="87" t="n"/>
      <c r="EZA1" s="87" t="n"/>
      <c r="EZB1" s="87" t="n"/>
      <c r="EZC1" s="87" t="n"/>
      <c r="EZD1" s="87" t="n"/>
      <c r="EZE1" s="87" t="n"/>
      <c r="EZF1" s="87" t="n"/>
      <c r="EZG1" s="87" t="n"/>
      <c r="EZH1" s="87" t="n"/>
      <c r="EZI1" s="87" t="n"/>
      <c r="EZJ1" s="87" t="n"/>
      <c r="EZK1" s="87" t="n"/>
      <c r="EZL1" s="87" t="n"/>
      <c r="EZM1" s="87" t="n"/>
      <c r="EZN1" s="87" t="n"/>
      <c r="EZO1" s="87" t="n"/>
      <c r="EZP1" s="87" t="n"/>
      <c r="EZQ1" s="87" t="n"/>
      <c r="EZR1" s="87" t="n"/>
      <c r="EZS1" s="87" t="n"/>
      <c r="EZT1" s="87" t="n"/>
      <c r="EZU1" s="87" t="n"/>
      <c r="EZV1" s="87" t="n"/>
      <c r="EZW1" s="87" t="n"/>
      <c r="EZX1" s="87" t="n"/>
      <c r="EZY1" s="87" t="n"/>
      <c r="EZZ1" s="87" t="n"/>
      <c r="FAA1" s="87" t="n"/>
      <c r="FAB1" s="87" t="n"/>
      <c r="FAC1" s="87" t="n"/>
      <c r="FAD1" s="87" t="n"/>
      <c r="FAE1" s="87" t="n"/>
      <c r="FAF1" s="87" t="n"/>
      <c r="FAG1" s="87" t="n"/>
      <c r="FAH1" s="87" t="n"/>
      <c r="FAI1" s="87" t="n"/>
      <c r="FAJ1" s="87" t="n"/>
      <c r="FAK1" s="87" t="n"/>
      <c r="FAL1" s="87" t="n"/>
      <c r="FAM1" s="87" t="n"/>
      <c r="FAN1" s="87" t="n"/>
      <c r="FAO1" s="87" t="n"/>
      <c r="FAP1" s="87" t="n"/>
      <c r="FAQ1" s="87" t="n"/>
      <c r="FAR1" s="87" t="n"/>
      <c r="FAS1" s="87" t="n"/>
      <c r="FAT1" s="87" t="n"/>
      <c r="FAU1" s="87" t="n"/>
      <c r="FAV1" s="87" t="n"/>
      <c r="FAW1" s="87" t="n"/>
      <c r="FAX1" s="87" t="n"/>
      <c r="FAY1" s="87" t="n"/>
      <c r="FAZ1" s="87" t="n"/>
      <c r="FBA1" s="87" t="n"/>
      <c r="FBB1" s="87" t="n"/>
      <c r="FBC1" s="87" t="n"/>
      <c r="FBD1" s="87" t="n"/>
      <c r="FBE1" s="87" t="n"/>
      <c r="FBF1" s="87" t="n"/>
      <c r="FBG1" s="87" t="n"/>
      <c r="FBH1" s="87" t="n"/>
      <c r="FBI1" s="87" t="n"/>
      <c r="FBJ1" s="87" t="n"/>
      <c r="FBK1" s="87" t="n"/>
      <c r="FBL1" s="87" t="n"/>
      <c r="FBM1" s="87" t="n"/>
      <c r="FBN1" s="87" t="n"/>
      <c r="FBO1" s="87" t="n"/>
      <c r="FBP1" s="87" t="n"/>
      <c r="FBQ1" s="87" t="n"/>
      <c r="FBR1" s="87" t="n"/>
      <c r="FBS1" s="87" t="n"/>
      <c r="FBT1" s="87" t="n"/>
      <c r="FBU1" s="87" t="n"/>
      <c r="FBV1" s="87" t="n"/>
      <c r="FBW1" s="87" t="n"/>
      <c r="FBX1" s="87" t="n"/>
      <c r="FBY1" s="87" t="n"/>
      <c r="FBZ1" s="87" t="n"/>
      <c r="FCA1" s="87" t="n"/>
      <c r="FCB1" s="87" t="n"/>
      <c r="FCC1" s="87" t="n"/>
      <c r="FCD1" s="87" t="n"/>
      <c r="FCE1" s="87" t="n"/>
      <c r="FCF1" s="87" t="n"/>
      <c r="FCG1" s="87" t="n"/>
      <c r="FCH1" s="87" t="n"/>
      <c r="FCI1" s="87" t="n"/>
      <c r="FCJ1" s="87" t="n"/>
      <c r="FCK1" s="87" t="n"/>
      <c r="FCL1" s="87" t="n"/>
      <c r="FCM1" s="87" t="n"/>
      <c r="FCN1" s="87" t="n"/>
      <c r="FCO1" s="87" t="n"/>
      <c r="FCP1" s="87" t="n"/>
      <c r="FCQ1" s="87" t="n"/>
      <c r="FCR1" s="87" t="n"/>
      <c r="FCS1" s="87" t="n"/>
      <c r="FCT1" s="87" t="n"/>
      <c r="FCU1" s="87" t="n"/>
      <c r="FCV1" s="87" t="n"/>
      <c r="FCW1" s="87" t="n"/>
      <c r="FCX1" s="87" t="n"/>
      <c r="FCY1" s="87" t="n"/>
      <c r="FCZ1" s="87" t="n"/>
      <c r="FDA1" s="87" t="n"/>
      <c r="FDB1" s="87" t="n"/>
      <c r="FDC1" s="87" t="n"/>
      <c r="FDD1" s="87" t="n"/>
      <c r="FDE1" s="87" t="n"/>
      <c r="FDF1" s="87" t="n"/>
      <c r="FDG1" s="87" t="n"/>
      <c r="FDH1" s="87" t="n"/>
      <c r="FDI1" s="87" t="n"/>
      <c r="FDJ1" s="87" t="n"/>
      <c r="FDK1" s="87" t="n"/>
      <c r="FDL1" s="87" t="n"/>
      <c r="FDM1" s="87" t="n"/>
      <c r="FDN1" s="87" t="n"/>
      <c r="FDO1" s="87" t="n"/>
      <c r="FDP1" s="87" t="n"/>
      <c r="FDQ1" s="87" t="n"/>
      <c r="FDR1" s="87" t="n"/>
      <c r="FDS1" s="87" t="n"/>
      <c r="FDT1" s="87" t="n"/>
      <c r="FDU1" s="87" t="n"/>
      <c r="FDV1" s="87" t="n"/>
      <c r="FDW1" s="87" t="n"/>
      <c r="FDX1" s="87" t="n"/>
      <c r="FDY1" s="87" t="n"/>
      <c r="FDZ1" s="87" t="n"/>
      <c r="FEA1" s="87" t="n"/>
      <c r="FEB1" s="87" t="n"/>
      <c r="FEC1" s="87" t="n"/>
      <c r="FED1" s="87" t="n"/>
      <c r="FEE1" s="87" t="n"/>
      <c r="FEF1" s="87" t="n"/>
      <c r="FEG1" s="87" t="n"/>
      <c r="FEH1" s="87" t="n"/>
      <c r="FEI1" s="87" t="n"/>
      <c r="FEJ1" s="87" t="n"/>
      <c r="FEK1" s="87" t="n"/>
      <c r="FEL1" s="87" t="n"/>
      <c r="FEM1" s="87" t="n"/>
      <c r="FEN1" s="87" t="n"/>
      <c r="FEO1" s="87" t="n"/>
      <c r="FEP1" s="87" t="n"/>
      <c r="FEQ1" s="87" t="n"/>
      <c r="FER1" s="87" t="n"/>
      <c r="FES1" s="87" t="n"/>
      <c r="FET1" s="87" t="n"/>
      <c r="FEU1" s="87" t="n"/>
      <c r="FEV1" s="87" t="n"/>
      <c r="FEW1" s="87" t="n"/>
      <c r="FEX1" s="87" t="n"/>
      <c r="FEY1" s="87" t="n"/>
      <c r="FEZ1" s="87" t="n"/>
      <c r="FFA1" s="87" t="n"/>
      <c r="FFB1" s="87" t="n"/>
      <c r="FFC1" s="87" t="n"/>
      <c r="FFD1" s="87" t="n"/>
      <c r="FFE1" s="87" t="n"/>
      <c r="FFF1" s="87" t="n"/>
      <c r="FFG1" s="87" t="n"/>
      <c r="FFH1" s="87" t="n"/>
      <c r="FFI1" s="87" t="n"/>
      <c r="FFJ1" s="87" t="n"/>
      <c r="FFK1" s="87" t="n"/>
      <c r="FFL1" s="87" t="n"/>
      <c r="FFM1" s="87" t="n"/>
      <c r="FFN1" s="87" t="n"/>
      <c r="FFO1" s="87" t="n"/>
      <c r="FFP1" s="87" t="n"/>
      <c r="FFQ1" s="87" t="n"/>
      <c r="FFR1" s="87" t="n"/>
      <c r="FFS1" s="87" t="n"/>
      <c r="FFT1" s="87" t="n"/>
      <c r="FFU1" s="87" t="n"/>
      <c r="FFV1" s="87" t="n"/>
      <c r="FFW1" s="87" t="n"/>
      <c r="FFX1" s="87" t="n"/>
      <c r="FFY1" s="87" t="n"/>
      <c r="FFZ1" s="87" t="n"/>
      <c r="FGA1" s="87" t="n"/>
      <c r="FGB1" s="87" t="n"/>
      <c r="FGC1" s="87" t="n"/>
      <c r="FGD1" s="87" t="n"/>
      <c r="FGE1" s="87" t="n"/>
      <c r="FGF1" s="87" t="n"/>
      <c r="FGG1" s="87" t="n"/>
      <c r="FGH1" s="87" t="n"/>
      <c r="FGI1" s="87" t="n"/>
      <c r="FGJ1" s="87" t="n"/>
      <c r="FGK1" s="87" t="n"/>
      <c r="FGL1" s="87" t="n"/>
      <c r="FGM1" s="87" t="n"/>
      <c r="FGN1" s="87" t="n"/>
      <c r="FGO1" s="87" t="n"/>
      <c r="FGP1" s="87" t="n"/>
      <c r="FGQ1" s="87" t="n"/>
      <c r="FGR1" s="87" t="n"/>
      <c r="FGS1" s="87" t="n"/>
      <c r="FGT1" s="87" t="n"/>
      <c r="FGU1" s="87" t="n"/>
      <c r="FGV1" s="87" t="n"/>
      <c r="FGW1" s="87" t="n"/>
      <c r="FGX1" s="87" t="n"/>
      <c r="FGY1" s="87" t="n"/>
      <c r="FGZ1" s="87" t="n"/>
      <c r="FHA1" s="87" t="n"/>
      <c r="FHB1" s="87" t="n"/>
      <c r="FHC1" s="87" t="n"/>
      <c r="FHD1" s="87" t="n"/>
      <c r="FHE1" s="87" t="n"/>
      <c r="FHF1" s="87" t="n"/>
      <c r="FHG1" s="87" t="n"/>
      <c r="FHH1" s="87" t="n"/>
      <c r="FHI1" s="87" t="n"/>
      <c r="FHJ1" s="87" t="n"/>
      <c r="FHK1" s="87" t="n"/>
      <c r="FHL1" s="87" t="n"/>
      <c r="FHM1" s="87" t="n"/>
      <c r="FHN1" s="87" t="n"/>
      <c r="FHO1" s="87" t="n"/>
      <c r="FHP1" s="87" t="n"/>
      <c r="FHQ1" s="87" t="n"/>
      <c r="FHR1" s="87" t="n"/>
      <c r="FHS1" s="87" t="n"/>
      <c r="FHT1" s="87" t="n"/>
      <c r="FHU1" s="87" t="n"/>
      <c r="FHV1" s="87" t="n"/>
      <c r="FHW1" s="87" t="n"/>
      <c r="FHX1" s="87" t="n"/>
      <c r="FHY1" s="87" t="n"/>
      <c r="FHZ1" s="87" t="n"/>
      <c r="FIA1" s="87" t="n"/>
      <c r="FIB1" s="87" t="n"/>
      <c r="FIC1" s="87" t="n"/>
      <c r="FID1" s="87" t="n"/>
      <c r="FIE1" s="87" t="n"/>
      <c r="FIF1" s="87" t="n"/>
      <c r="FIG1" s="87" t="n"/>
      <c r="FIH1" s="87" t="n"/>
      <c r="FII1" s="87" t="n"/>
      <c r="FIJ1" s="87" t="n"/>
      <c r="FIK1" s="87" t="n"/>
      <c r="FIL1" s="87" t="n"/>
      <c r="FIM1" s="87" t="n"/>
      <c r="FIN1" s="87" t="n"/>
      <c r="FIO1" s="87" t="n"/>
      <c r="FIP1" s="87" t="n"/>
      <c r="FIQ1" s="87" t="n"/>
      <c r="FIR1" s="87" t="n"/>
      <c r="FIS1" s="87" t="n"/>
      <c r="FIT1" s="87" t="n"/>
      <c r="FIU1" s="87" t="n"/>
      <c r="FIV1" s="87" t="n"/>
      <c r="FIW1" s="87" t="n"/>
      <c r="FIX1" s="87" t="n"/>
      <c r="FIY1" s="87" t="n"/>
      <c r="FIZ1" s="87" t="n"/>
      <c r="FJA1" s="87" t="n"/>
      <c r="FJB1" s="87" t="n"/>
      <c r="FJC1" s="87" t="n"/>
      <c r="FJD1" s="87" t="n"/>
      <c r="FJE1" s="87" t="n"/>
      <c r="FJF1" s="87" t="n"/>
      <c r="FJG1" s="87" t="n"/>
      <c r="FJH1" s="87" t="n"/>
      <c r="FJI1" s="87" t="n"/>
      <c r="FJJ1" s="87" t="n"/>
      <c r="FJK1" s="87" t="n"/>
      <c r="FJL1" s="87" t="n"/>
      <c r="FJM1" s="87" t="n"/>
      <c r="FJN1" s="87" t="n"/>
      <c r="FJO1" s="87" t="n"/>
      <c r="FJP1" s="87" t="n"/>
      <c r="FJQ1" s="87" t="n"/>
      <c r="FJR1" s="87" t="n"/>
      <c r="FJS1" s="87" t="n"/>
      <c r="FJT1" s="87" t="n"/>
      <c r="FJU1" s="87" t="n"/>
      <c r="FJV1" s="87" t="n"/>
      <c r="FJW1" s="87" t="n"/>
      <c r="FJX1" s="87" t="n"/>
      <c r="FJY1" s="87" t="n"/>
      <c r="FJZ1" s="87" t="n"/>
      <c r="FKA1" s="87" t="n"/>
      <c r="FKB1" s="87" t="n"/>
      <c r="FKC1" s="87" t="n"/>
      <c r="FKD1" s="87" t="n"/>
      <c r="FKE1" s="87" t="n"/>
      <c r="FKF1" s="87" t="n"/>
      <c r="FKG1" s="87" t="n"/>
      <c r="FKH1" s="87" t="n"/>
      <c r="FKI1" s="87" t="n"/>
      <c r="FKJ1" s="87" t="n"/>
      <c r="FKK1" s="87" t="n"/>
      <c r="FKL1" s="87" t="n"/>
      <c r="FKM1" s="87" t="n"/>
      <c r="FKN1" s="87" t="n"/>
      <c r="FKO1" s="87" t="n"/>
      <c r="FKP1" s="87" t="n"/>
      <c r="FKQ1" s="87" t="n"/>
      <c r="FKR1" s="87" t="n"/>
      <c r="FKS1" s="87" t="n"/>
      <c r="FKT1" s="87" t="n"/>
      <c r="FKU1" s="87" t="n"/>
      <c r="FKV1" s="87" t="n"/>
      <c r="FKW1" s="87" t="n"/>
      <c r="FKX1" s="87" t="n"/>
      <c r="FKY1" s="87" t="n"/>
      <c r="FKZ1" s="87" t="n"/>
      <c r="FLA1" s="87" t="n"/>
      <c r="FLB1" s="87" t="n"/>
      <c r="FLC1" s="87" t="n"/>
      <c r="FLD1" s="87" t="n"/>
      <c r="FLE1" s="87" t="n"/>
      <c r="FLF1" s="87" t="n"/>
      <c r="FLG1" s="87" t="n"/>
      <c r="FLH1" s="87" t="n"/>
      <c r="FLI1" s="87" t="n"/>
      <c r="FLJ1" s="87" t="n"/>
      <c r="FLK1" s="87" t="n"/>
      <c r="FLL1" s="87" t="n"/>
      <c r="FLM1" s="87" t="n"/>
      <c r="FLN1" s="87" t="n"/>
      <c r="FLO1" s="87" t="n"/>
      <c r="FLP1" s="87" t="n"/>
      <c r="FLQ1" s="87" t="n"/>
      <c r="FLR1" s="87" t="n"/>
      <c r="FLS1" s="87" t="n"/>
      <c r="FLT1" s="87" t="n"/>
      <c r="FLU1" s="87" t="n"/>
      <c r="FLV1" s="87" t="n"/>
      <c r="FLW1" s="87" t="n"/>
      <c r="FLX1" s="87" t="n"/>
      <c r="FLY1" s="87" t="n"/>
      <c r="FLZ1" s="87" t="n"/>
      <c r="FMA1" s="87" t="n"/>
      <c r="FMB1" s="87" t="n"/>
      <c r="FMC1" s="87" t="n"/>
      <c r="FMD1" s="87" t="n"/>
      <c r="FME1" s="87" t="n"/>
      <c r="FMF1" s="87" t="n"/>
      <c r="FMG1" s="87" t="n"/>
      <c r="FMH1" s="87" t="n"/>
      <c r="FMI1" s="87" t="n"/>
      <c r="FMJ1" s="87" t="n"/>
      <c r="FMK1" s="87" t="n"/>
      <c r="FML1" s="87" t="n"/>
      <c r="FMM1" s="87" t="n"/>
      <c r="FMN1" s="87" t="n"/>
      <c r="FMO1" s="87" t="n"/>
      <c r="FMP1" s="87" t="n"/>
      <c r="FMQ1" s="87" t="n"/>
      <c r="FMR1" s="87" t="n"/>
      <c r="FMS1" s="87" t="n"/>
      <c r="FMT1" s="87" t="n"/>
      <c r="FMU1" s="87" t="n"/>
      <c r="FMV1" s="87" t="n"/>
      <c r="FMW1" s="87" t="n"/>
      <c r="FMX1" s="87" t="n"/>
      <c r="FMY1" s="87" t="n"/>
      <c r="FMZ1" s="87" t="n"/>
      <c r="FNA1" s="87" t="n"/>
      <c r="FNB1" s="87" t="n"/>
      <c r="FNC1" s="87" t="n"/>
      <c r="FND1" s="87" t="n"/>
      <c r="FNE1" s="87" t="n"/>
      <c r="FNF1" s="87" t="n"/>
      <c r="FNG1" s="87" t="n"/>
      <c r="FNH1" s="87" t="n"/>
      <c r="FNI1" s="87" t="n"/>
      <c r="FNJ1" s="87" t="n"/>
      <c r="FNK1" s="87" t="n"/>
      <c r="FNL1" s="87" t="n"/>
      <c r="FNM1" s="87" t="n"/>
      <c r="FNN1" s="87" t="n"/>
      <c r="FNO1" s="87" t="n"/>
      <c r="FNP1" s="87" t="n"/>
      <c r="FNQ1" s="87" t="n"/>
      <c r="FNR1" s="87" t="n"/>
      <c r="FNS1" s="87" t="n"/>
      <c r="FNT1" s="87" t="n"/>
      <c r="FNU1" s="87" t="n"/>
      <c r="FNV1" s="87" t="n"/>
      <c r="FNW1" s="87" t="n"/>
      <c r="FNX1" s="87" t="n"/>
      <c r="FNY1" s="87" t="n"/>
      <c r="FNZ1" s="87" t="n"/>
      <c r="FOA1" s="87" t="n"/>
      <c r="FOB1" s="87" t="n"/>
      <c r="FOC1" s="87" t="n"/>
      <c r="FOD1" s="87" t="n"/>
      <c r="FOE1" s="87" t="n"/>
      <c r="FOF1" s="87" t="n"/>
      <c r="FOG1" s="87" t="n"/>
      <c r="FOH1" s="87" t="n"/>
      <c r="FOI1" s="87" t="n"/>
      <c r="FOJ1" s="87" t="n"/>
      <c r="FOK1" s="87" t="n"/>
      <c r="FOL1" s="87" t="n"/>
      <c r="FOM1" s="87" t="n"/>
      <c r="FON1" s="87" t="n"/>
      <c r="FOO1" s="87" t="n"/>
      <c r="FOP1" s="87" t="n"/>
      <c r="FOQ1" s="87" t="n"/>
      <c r="FOR1" s="87" t="n"/>
      <c r="FOS1" s="87" t="n"/>
      <c r="FOT1" s="87" t="n"/>
      <c r="FOU1" s="87" t="n"/>
      <c r="FOV1" s="87" t="n"/>
      <c r="FOW1" s="87" t="n"/>
      <c r="FOX1" s="87" t="n"/>
      <c r="FOY1" s="87" t="n"/>
      <c r="FOZ1" s="87" t="n"/>
      <c r="FPA1" s="87" t="n"/>
      <c r="FPB1" s="87" t="n"/>
      <c r="FPC1" s="87" t="n"/>
      <c r="FPD1" s="87" t="n"/>
      <c r="FPE1" s="87" t="n"/>
      <c r="FPF1" s="87" t="n"/>
      <c r="FPG1" s="87" t="n"/>
      <c r="FPH1" s="87" t="n"/>
      <c r="FPI1" s="87" t="n"/>
      <c r="FPJ1" s="87" t="n"/>
      <c r="FPK1" s="87" t="n"/>
      <c r="FPL1" s="87" t="n"/>
      <c r="FPM1" s="87" t="n"/>
      <c r="FPN1" s="87" t="n"/>
      <c r="FPO1" s="87" t="n"/>
      <c r="FPP1" s="87" t="n"/>
      <c r="FPQ1" s="87" t="n"/>
      <c r="FPR1" s="87" t="n"/>
      <c r="FPS1" s="87" t="n"/>
      <c r="FPT1" s="87" t="n"/>
      <c r="FPU1" s="87" t="n"/>
      <c r="FPV1" s="87" t="n"/>
      <c r="FPW1" s="87" t="n"/>
      <c r="FPX1" s="87" t="n"/>
      <c r="FPY1" s="87" t="n"/>
      <c r="FPZ1" s="87" t="n"/>
      <c r="FQA1" s="87" t="n"/>
      <c r="FQB1" s="87" t="n"/>
      <c r="FQC1" s="87" t="n"/>
      <c r="FQD1" s="87" t="n"/>
      <c r="FQE1" s="87" t="n"/>
      <c r="FQF1" s="87" t="n"/>
      <c r="FQG1" s="87" t="n"/>
      <c r="FQH1" s="87" t="n"/>
      <c r="FQI1" s="87" t="n"/>
      <c r="FQJ1" s="87" t="n"/>
      <c r="FQK1" s="87" t="n"/>
      <c r="FQL1" s="87" t="n"/>
      <c r="FQM1" s="87" t="n"/>
      <c r="FQN1" s="87" t="n"/>
      <c r="FQO1" s="87" t="n"/>
      <c r="FQP1" s="87" t="n"/>
      <c r="FQQ1" s="87" t="n"/>
      <c r="FQR1" s="87" t="n"/>
      <c r="FQS1" s="87" t="n"/>
      <c r="FQT1" s="87" t="n"/>
      <c r="FQU1" s="87" t="n"/>
      <c r="FQV1" s="87" t="n"/>
      <c r="FQW1" s="87" t="n"/>
      <c r="FQX1" s="87" t="n"/>
      <c r="FQY1" s="87" t="n"/>
      <c r="FQZ1" s="87" t="n"/>
      <c r="FRA1" s="87" t="n"/>
      <c r="FRB1" s="87" t="n"/>
      <c r="FRC1" s="87" t="n"/>
      <c r="FRD1" s="87" t="n"/>
      <c r="FRE1" s="87" t="n"/>
      <c r="FRF1" s="87" t="n"/>
      <c r="FRG1" s="87" t="n"/>
      <c r="FRH1" s="87" t="n"/>
      <c r="FRI1" s="87" t="n"/>
      <c r="FRJ1" s="87" t="n"/>
      <c r="FRK1" s="87" t="n"/>
      <c r="FRL1" s="87" t="n"/>
      <c r="FRM1" s="87" t="n"/>
      <c r="FRN1" s="87" t="n"/>
      <c r="FRO1" s="87" t="n"/>
      <c r="FRP1" s="87" t="n"/>
      <c r="FRQ1" s="87" t="n"/>
      <c r="FRR1" s="87" t="n"/>
      <c r="FRS1" s="87" t="n"/>
      <c r="FRT1" s="87" t="n"/>
      <c r="FRU1" s="87" t="n"/>
      <c r="FRV1" s="87" t="n"/>
      <c r="FRW1" s="87" t="n"/>
      <c r="FRX1" s="87" t="n"/>
      <c r="FRY1" s="87" t="n"/>
      <c r="FRZ1" s="87" t="n"/>
      <c r="FSA1" s="87" t="n"/>
      <c r="FSB1" s="87" t="n"/>
      <c r="FSC1" s="87" t="n"/>
      <c r="FSD1" s="87" t="n"/>
      <c r="FSE1" s="87" t="n"/>
      <c r="FSF1" s="87" t="n"/>
      <c r="FSG1" s="87" t="n"/>
      <c r="FSH1" s="87" t="n"/>
      <c r="FSI1" s="87" t="n"/>
      <c r="FSJ1" s="87" t="n"/>
      <c r="FSK1" s="87" t="n"/>
      <c r="FSL1" s="87" t="n"/>
      <c r="FSM1" s="87" t="n"/>
      <c r="FSN1" s="87" t="n"/>
      <c r="FSO1" s="87" t="n"/>
      <c r="FSP1" s="87" t="n"/>
      <c r="FSQ1" s="87" t="n"/>
      <c r="FSR1" s="87" t="n"/>
      <c r="FSS1" s="87" t="n"/>
      <c r="FST1" s="87" t="n"/>
      <c r="FSU1" s="87" t="n"/>
      <c r="FSV1" s="87" t="n"/>
      <c r="FSW1" s="87" t="n"/>
      <c r="FSX1" s="87" t="n"/>
      <c r="FSY1" s="87" t="n"/>
      <c r="FSZ1" s="87" t="n"/>
      <c r="FTA1" s="87" t="n"/>
      <c r="FTB1" s="87" t="n"/>
      <c r="FTC1" s="87" t="n"/>
      <c r="FTD1" s="87" t="n"/>
      <c r="FTE1" s="87" t="n"/>
      <c r="FTF1" s="87" t="n"/>
      <c r="FTG1" s="87" t="n"/>
      <c r="FTH1" s="87" t="n"/>
      <c r="FTI1" s="87" t="n"/>
      <c r="FTJ1" s="87" t="n"/>
      <c r="FTK1" s="87" t="n"/>
      <c r="FTL1" s="87" t="n"/>
      <c r="FTM1" s="87" t="n"/>
      <c r="FTN1" s="87" t="n"/>
      <c r="FTO1" s="87" t="n"/>
      <c r="FTP1" s="87" t="n"/>
      <c r="FTQ1" s="87" t="n"/>
      <c r="FTR1" s="87" t="n"/>
      <c r="FTS1" s="87" t="n"/>
      <c r="FTT1" s="87" t="n"/>
      <c r="FTU1" s="87" t="n"/>
      <c r="FTV1" s="87" t="n"/>
      <c r="FTW1" s="87" t="n"/>
      <c r="FTX1" s="87" t="n"/>
      <c r="FTY1" s="87" t="n"/>
      <c r="FTZ1" s="87" t="n"/>
      <c r="FUA1" s="87" t="n"/>
      <c r="FUB1" s="87" t="n"/>
      <c r="FUC1" s="87" t="n"/>
      <c r="FUD1" s="87" t="n"/>
      <c r="FUE1" s="87" t="n"/>
      <c r="FUF1" s="87" t="n"/>
      <c r="FUG1" s="87" t="n"/>
      <c r="FUH1" s="87" t="n"/>
      <c r="FUI1" s="87" t="n"/>
      <c r="FUJ1" s="87" t="n"/>
      <c r="FUK1" s="87" t="n"/>
      <c r="FUL1" s="87" t="n"/>
      <c r="FUM1" s="87" t="n"/>
      <c r="FUN1" s="87" t="n"/>
      <c r="FUO1" s="87" t="n"/>
      <c r="FUP1" s="87" t="n"/>
      <c r="FUQ1" s="87" t="n"/>
      <c r="FUR1" s="87" t="n"/>
      <c r="FUS1" s="87" t="n"/>
      <c r="FUT1" s="87" t="n"/>
      <c r="FUU1" s="87" t="n"/>
      <c r="FUV1" s="87" t="n"/>
      <c r="FUW1" s="87" t="n"/>
      <c r="FUX1" s="87" t="n"/>
      <c r="FUY1" s="87" t="n"/>
      <c r="FUZ1" s="87" t="n"/>
      <c r="FVA1" s="87" t="n"/>
      <c r="FVB1" s="87" t="n"/>
      <c r="FVC1" s="87" t="n"/>
      <c r="FVD1" s="87" t="n"/>
      <c r="FVE1" s="87" t="n"/>
      <c r="FVF1" s="87" t="n"/>
      <c r="FVG1" s="87" t="n"/>
      <c r="FVH1" s="87" t="n"/>
      <c r="FVI1" s="87" t="n"/>
      <c r="FVJ1" s="87" t="n"/>
      <c r="FVK1" s="87" t="n"/>
      <c r="FVL1" s="87" t="n"/>
      <c r="FVM1" s="87" t="n"/>
      <c r="FVN1" s="87" t="n"/>
      <c r="FVO1" s="87" t="n"/>
      <c r="FVP1" s="87" t="n"/>
      <c r="FVQ1" s="87" t="n"/>
      <c r="FVR1" s="87" t="n"/>
      <c r="FVS1" s="87" t="n"/>
      <c r="FVT1" s="87" t="n"/>
      <c r="FVU1" s="87" t="n"/>
      <c r="FVV1" s="87" t="n"/>
      <c r="FVW1" s="87" t="n"/>
      <c r="FVX1" s="87" t="n"/>
      <c r="FVY1" s="87" t="n"/>
      <c r="FVZ1" s="87" t="n"/>
      <c r="FWA1" s="87" t="n"/>
      <c r="FWB1" s="87" t="n"/>
      <c r="FWC1" s="87" t="n"/>
      <c r="FWD1" s="87" t="n"/>
      <c r="FWE1" s="87" t="n"/>
      <c r="FWF1" s="87" t="n"/>
      <c r="FWG1" s="87" t="n"/>
      <c r="FWH1" s="87" t="n"/>
      <c r="FWI1" s="87" t="n"/>
      <c r="FWJ1" s="87" t="n"/>
      <c r="FWK1" s="87" t="n"/>
      <c r="FWL1" s="87" t="n"/>
      <c r="FWM1" s="87" t="n"/>
      <c r="FWN1" s="87" t="n"/>
      <c r="FWO1" s="87" t="n"/>
      <c r="FWP1" s="87" t="n"/>
      <c r="FWQ1" s="87" t="n"/>
      <c r="FWR1" s="87" t="n"/>
      <c r="FWS1" s="87" t="n"/>
      <c r="FWT1" s="87" t="n"/>
      <c r="FWU1" s="87" t="n"/>
      <c r="FWV1" s="87" t="n"/>
      <c r="FWW1" s="87" t="n"/>
      <c r="FWX1" s="87" t="n"/>
      <c r="FWY1" s="87" t="n"/>
      <c r="FWZ1" s="87" t="n"/>
      <c r="FXA1" s="87" t="n"/>
      <c r="FXB1" s="87" t="n"/>
      <c r="FXC1" s="87" t="n"/>
      <c r="FXD1" s="87" t="n"/>
      <c r="FXE1" s="87" t="n"/>
      <c r="FXF1" s="87" t="n"/>
      <c r="FXG1" s="87" t="n"/>
      <c r="FXH1" s="87" t="n"/>
      <c r="FXI1" s="87" t="n"/>
      <c r="FXJ1" s="87" t="n"/>
      <c r="FXK1" s="87" t="n"/>
      <c r="FXL1" s="87" t="n"/>
      <c r="FXM1" s="87" t="n"/>
      <c r="FXN1" s="87" t="n"/>
      <c r="FXO1" s="87" t="n"/>
      <c r="FXP1" s="87" t="n"/>
      <c r="FXQ1" s="87" t="n"/>
      <c r="FXR1" s="87" t="n"/>
      <c r="FXS1" s="87" t="n"/>
      <c r="FXT1" s="87" t="n"/>
      <c r="FXU1" s="87" t="n"/>
      <c r="FXV1" s="87" t="n"/>
      <c r="FXW1" s="87" t="n"/>
      <c r="FXX1" s="87" t="n"/>
      <c r="FXY1" s="87" t="n"/>
      <c r="FXZ1" s="87" t="n"/>
      <c r="FYA1" s="87" t="n"/>
      <c r="FYB1" s="87" t="n"/>
      <c r="FYC1" s="87" t="n"/>
      <c r="FYD1" s="87" t="n"/>
      <c r="FYE1" s="87" t="n"/>
      <c r="FYF1" s="87" t="n"/>
      <c r="FYG1" s="87" t="n"/>
      <c r="FYH1" s="87" t="n"/>
      <c r="FYI1" s="87" t="n"/>
      <c r="FYJ1" s="87" t="n"/>
      <c r="FYK1" s="87" t="n"/>
      <c r="FYL1" s="87" t="n"/>
      <c r="FYM1" s="87" t="n"/>
      <c r="FYN1" s="87" t="n"/>
      <c r="FYO1" s="87" t="n"/>
      <c r="FYP1" s="87" t="n"/>
      <c r="FYQ1" s="87" t="n"/>
      <c r="FYR1" s="87" t="n"/>
      <c r="FYS1" s="87" t="n"/>
      <c r="FYT1" s="87" t="n"/>
      <c r="FYU1" s="87" t="n"/>
      <c r="FYV1" s="87" t="n"/>
      <c r="FYW1" s="87" t="n"/>
      <c r="FYX1" s="87" t="n"/>
      <c r="FYY1" s="87" t="n"/>
      <c r="FYZ1" s="87" t="n"/>
      <c r="FZA1" s="87" t="n"/>
      <c r="FZB1" s="87" t="n"/>
      <c r="FZC1" s="87" t="n"/>
      <c r="FZD1" s="87" t="n"/>
      <c r="FZE1" s="87" t="n"/>
      <c r="FZF1" s="87" t="n"/>
      <c r="FZG1" s="87" t="n"/>
      <c r="FZH1" s="87" t="n"/>
      <c r="FZI1" s="87" t="n"/>
      <c r="FZJ1" s="87" t="n"/>
      <c r="FZK1" s="87" t="n"/>
      <c r="FZL1" s="87" t="n"/>
      <c r="FZM1" s="87" t="n"/>
      <c r="FZN1" s="87" t="n"/>
      <c r="FZO1" s="87" t="n"/>
      <c r="FZP1" s="87" t="n"/>
      <c r="FZQ1" s="87" t="n"/>
      <c r="FZR1" s="87" t="n"/>
      <c r="FZS1" s="87" t="n"/>
      <c r="FZT1" s="87" t="n"/>
      <c r="FZU1" s="87" t="n"/>
      <c r="FZV1" s="87" t="n"/>
      <c r="FZW1" s="87" t="n"/>
      <c r="FZX1" s="87" t="n"/>
      <c r="FZY1" s="87" t="n"/>
      <c r="FZZ1" s="87" t="n"/>
      <c r="GAA1" s="87" t="n"/>
      <c r="GAB1" s="87" t="n"/>
      <c r="GAC1" s="87" t="n"/>
      <c r="GAD1" s="87" t="n"/>
      <c r="GAE1" s="87" t="n"/>
      <c r="GAF1" s="87" t="n"/>
      <c r="GAG1" s="87" t="n"/>
      <c r="GAH1" s="87" t="n"/>
      <c r="GAI1" s="87" t="n"/>
      <c r="GAJ1" s="87" t="n"/>
      <c r="GAK1" s="87" t="n"/>
      <c r="GAL1" s="87" t="n"/>
      <c r="GAM1" s="87" t="n"/>
      <c r="GAN1" s="87" t="n"/>
      <c r="GAO1" s="87" t="n"/>
      <c r="GAP1" s="87" t="n"/>
      <c r="GAQ1" s="87" t="n"/>
      <c r="GAR1" s="87" t="n"/>
      <c r="GAS1" s="87" t="n"/>
      <c r="GAT1" s="87" t="n"/>
      <c r="GAU1" s="87" t="n"/>
      <c r="GAV1" s="87" t="n"/>
      <c r="GAW1" s="87" t="n"/>
      <c r="GAX1" s="87" t="n"/>
      <c r="GAY1" s="87" t="n"/>
      <c r="GAZ1" s="87" t="n"/>
      <c r="GBA1" s="87" t="n"/>
      <c r="GBB1" s="87" t="n"/>
      <c r="GBC1" s="87" t="n"/>
      <c r="GBD1" s="87" t="n"/>
      <c r="GBE1" s="87" t="n"/>
      <c r="GBF1" s="87" t="n"/>
      <c r="GBG1" s="87" t="n"/>
      <c r="GBH1" s="87" t="n"/>
      <c r="GBI1" s="87" t="n"/>
      <c r="GBJ1" s="87" t="n"/>
      <c r="GBK1" s="87" t="n"/>
      <c r="GBL1" s="87" t="n"/>
      <c r="GBM1" s="87" t="n"/>
      <c r="GBN1" s="87" t="n"/>
      <c r="GBO1" s="87" t="n"/>
      <c r="GBP1" s="87" t="n"/>
      <c r="GBQ1" s="87" t="n"/>
      <c r="GBR1" s="87" t="n"/>
      <c r="GBS1" s="87" t="n"/>
      <c r="GBT1" s="87" t="n"/>
      <c r="GBU1" s="87" t="n"/>
      <c r="GBV1" s="87" t="n"/>
      <c r="GBW1" s="87" t="n"/>
      <c r="GBX1" s="87" t="n"/>
      <c r="GBY1" s="87" t="n"/>
      <c r="GBZ1" s="87" t="n"/>
      <c r="GCA1" s="87" t="n"/>
      <c r="GCB1" s="87" t="n"/>
      <c r="GCC1" s="87" t="n"/>
      <c r="GCD1" s="87" t="n"/>
      <c r="GCE1" s="87" t="n"/>
      <c r="GCF1" s="87" t="n"/>
      <c r="GCG1" s="87" t="n"/>
      <c r="GCH1" s="87" t="n"/>
      <c r="GCI1" s="87" t="n"/>
      <c r="GCJ1" s="87" t="n"/>
      <c r="GCK1" s="87" t="n"/>
      <c r="GCL1" s="87" t="n"/>
      <c r="GCM1" s="87" t="n"/>
      <c r="GCN1" s="87" t="n"/>
      <c r="GCO1" s="87" t="n"/>
      <c r="GCP1" s="87" t="n"/>
      <c r="GCQ1" s="87" t="n"/>
      <c r="GCR1" s="87" t="n"/>
      <c r="GCS1" s="87" t="n"/>
      <c r="GCT1" s="87" t="n"/>
      <c r="GCU1" s="87" t="n"/>
      <c r="GCV1" s="87" t="n"/>
      <c r="GCW1" s="87" t="n"/>
      <c r="GCX1" s="87" t="n"/>
      <c r="GCY1" s="87" t="n"/>
      <c r="GCZ1" s="87" t="n"/>
      <c r="GDA1" s="87" t="n"/>
      <c r="GDB1" s="87" t="n"/>
      <c r="GDC1" s="87" t="n"/>
      <c r="GDD1" s="87" t="n"/>
      <c r="GDE1" s="87" t="n"/>
      <c r="GDF1" s="87" t="n"/>
      <c r="GDG1" s="87" t="n"/>
      <c r="GDH1" s="87" t="n"/>
      <c r="GDI1" s="87" t="n"/>
      <c r="GDJ1" s="87" t="n"/>
      <c r="GDK1" s="87" t="n"/>
      <c r="GDL1" s="87" t="n"/>
      <c r="GDM1" s="87" t="n"/>
      <c r="GDN1" s="87" t="n"/>
      <c r="GDO1" s="87" t="n"/>
      <c r="GDP1" s="87" t="n"/>
      <c r="GDQ1" s="87" t="n"/>
      <c r="GDR1" s="87" t="n"/>
      <c r="GDS1" s="87" t="n"/>
      <c r="GDT1" s="87" t="n"/>
      <c r="GDU1" s="87" t="n"/>
      <c r="GDV1" s="87" t="n"/>
      <c r="GDW1" s="87" t="n"/>
      <c r="GDX1" s="87" t="n"/>
      <c r="GDY1" s="87" t="n"/>
      <c r="GDZ1" s="87" t="n"/>
      <c r="GEA1" s="87" t="n"/>
      <c r="GEB1" s="87" t="n"/>
      <c r="GEC1" s="87" t="n"/>
      <c r="GED1" s="87" t="n"/>
      <c r="GEE1" s="87" t="n"/>
      <c r="GEF1" s="87" t="n"/>
      <c r="GEG1" s="87" t="n"/>
      <c r="GEH1" s="87" t="n"/>
      <c r="GEI1" s="87" t="n"/>
      <c r="GEJ1" s="87" t="n"/>
      <c r="GEK1" s="87" t="n"/>
      <c r="GEL1" s="87" t="n"/>
      <c r="GEM1" s="87" t="n"/>
      <c r="GEN1" s="87" t="n"/>
      <c r="GEO1" s="87" t="n"/>
      <c r="GEP1" s="87" t="n"/>
      <c r="GEQ1" s="87" t="n"/>
      <c r="GER1" s="87" t="n"/>
      <c r="GES1" s="87" t="n"/>
      <c r="GET1" s="87" t="n"/>
      <c r="GEU1" s="87" t="n"/>
      <c r="GEV1" s="87" t="n"/>
      <c r="GEW1" s="87" t="n"/>
      <c r="GEX1" s="87" t="n"/>
      <c r="GEY1" s="87" t="n"/>
      <c r="GEZ1" s="87" t="n"/>
      <c r="GFA1" s="87" t="n"/>
      <c r="GFB1" s="87" t="n"/>
      <c r="GFC1" s="87" t="n"/>
      <c r="GFD1" s="87" t="n"/>
      <c r="GFE1" s="87" t="n"/>
      <c r="GFF1" s="87" t="n"/>
      <c r="GFG1" s="87" t="n"/>
      <c r="GFH1" s="87" t="n"/>
      <c r="GFI1" s="87" t="n"/>
      <c r="GFJ1" s="87" t="n"/>
      <c r="GFK1" s="87" t="n"/>
      <c r="GFL1" s="87" t="n"/>
      <c r="GFM1" s="87" t="n"/>
      <c r="GFN1" s="87" t="n"/>
      <c r="GFO1" s="87" t="n"/>
      <c r="GFP1" s="87" t="n"/>
      <c r="GFQ1" s="87" t="n"/>
      <c r="GFR1" s="87" t="n"/>
      <c r="GFS1" s="87" t="n"/>
      <c r="GFT1" s="87" t="n"/>
      <c r="GFU1" s="87" t="n"/>
      <c r="GFV1" s="87" t="n"/>
      <c r="GFW1" s="87" t="n"/>
      <c r="GFX1" s="87" t="n"/>
      <c r="GFY1" s="87" t="n"/>
      <c r="GFZ1" s="87" t="n"/>
      <c r="GGA1" s="87" t="n"/>
      <c r="GGB1" s="87" t="n"/>
      <c r="GGC1" s="87" t="n"/>
      <c r="GGD1" s="87" t="n"/>
      <c r="GGE1" s="87" t="n"/>
      <c r="GGF1" s="87" t="n"/>
      <c r="GGG1" s="87" t="n"/>
      <c r="GGH1" s="87" t="n"/>
      <c r="GGI1" s="87" t="n"/>
      <c r="GGJ1" s="87" t="n"/>
      <c r="GGK1" s="87" t="n"/>
      <c r="GGL1" s="87" t="n"/>
      <c r="GGM1" s="87" t="n"/>
      <c r="GGN1" s="87" t="n"/>
      <c r="GGO1" s="87" t="n"/>
      <c r="GGP1" s="87" t="n"/>
      <c r="GGQ1" s="87" t="n"/>
      <c r="GGR1" s="87" t="n"/>
      <c r="GGS1" s="87" t="n"/>
      <c r="GGT1" s="87" t="n"/>
      <c r="GGU1" s="87" t="n"/>
      <c r="GGV1" s="87" t="n"/>
      <c r="GGW1" s="87" t="n"/>
      <c r="GGX1" s="87" t="n"/>
      <c r="GGY1" s="87" t="n"/>
      <c r="GGZ1" s="87" t="n"/>
      <c r="GHA1" s="87" t="n"/>
      <c r="GHB1" s="87" t="n"/>
      <c r="GHC1" s="87" t="n"/>
      <c r="GHD1" s="87" t="n"/>
      <c r="GHE1" s="87" t="n"/>
      <c r="GHF1" s="87" t="n"/>
      <c r="GHG1" s="87" t="n"/>
      <c r="GHH1" s="87" t="n"/>
      <c r="GHI1" s="87" t="n"/>
      <c r="GHJ1" s="87" t="n"/>
      <c r="GHK1" s="87" t="n"/>
      <c r="GHL1" s="87" t="n"/>
      <c r="GHM1" s="87" t="n"/>
      <c r="GHN1" s="87" t="n"/>
      <c r="GHO1" s="87" t="n"/>
      <c r="GHP1" s="87" t="n"/>
      <c r="GHQ1" s="87" t="n"/>
      <c r="GHR1" s="87" t="n"/>
      <c r="GHS1" s="87" t="n"/>
      <c r="GHT1" s="87" t="n"/>
      <c r="GHU1" s="87" t="n"/>
      <c r="GHV1" s="87" t="n"/>
      <c r="GHW1" s="87" t="n"/>
      <c r="GHX1" s="87" t="n"/>
      <c r="GHY1" s="87" t="n"/>
      <c r="GHZ1" s="87" t="n"/>
      <c r="GIA1" s="87" t="n"/>
      <c r="GIB1" s="87" t="n"/>
      <c r="GIC1" s="87" t="n"/>
      <c r="GID1" s="87" t="n"/>
      <c r="GIE1" s="87" t="n"/>
      <c r="GIF1" s="87" t="n"/>
      <c r="GIG1" s="87" t="n"/>
      <c r="GIH1" s="87" t="n"/>
      <c r="GII1" s="87" t="n"/>
      <c r="GIJ1" s="87" t="n"/>
      <c r="GIK1" s="87" t="n"/>
      <c r="GIL1" s="87" t="n"/>
      <c r="GIM1" s="87" t="n"/>
      <c r="GIN1" s="87" t="n"/>
      <c r="GIO1" s="87" t="n"/>
      <c r="GIP1" s="87" t="n"/>
      <c r="GIQ1" s="87" t="n"/>
      <c r="GIR1" s="87" t="n"/>
      <c r="GIS1" s="87" t="n"/>
      <c r="GIT1" s="87" t="n"/>
      <c r="GIU1" s="87" t="n"/>
      <c r="GIV1" s="87" t="n"/>
      <c r="GIW1" s="87" t="n"/>
      <c r="GIX1" s="87" t="n"/>
      <c r="GIY1" s="87" t="n"/>
      <c r="GIZ1" s="87" t="n"/>
      <c r="GJA1" s="87" t="n"/>
      <c r="GJB1" s="87" t="n"/>
      <c r="GJC1" s="87" t="n"/>
      <c r="GJD1" s="87" t="n"/>
      <c r="GJE1" s="87" t="n"/>
      <c r="GJF1" s="87" t="n"/>
      <c r="GJG1" s="87" t="n"/>
      <c r="GJH1" s="87" t="n"/>
      <c r="GJI1" s="87" t="n"/>
      <c r="GJJ1" s="87" t="n"/>
      <c r="GJK1" s="87" t="n"/>
      <c r="GJL1" s="87" t="n"/>
      <c r="GJM1" s="87" t="n"/>
      <c r="GJN1" s="87" t="n"/>
      <c r="GJO1" s="87" t="n"/>
      <c r="GJP1" s="87" t="n"/>
      <c r="GJQ1" s="87" t="n"/>
      <c r="GJR1" s="87" t="n"/>
      <c r="GJS1" s="87" t="n"/>
      <c r="GJT1" s="87" t="n"/>
      <c r="GJU1" s="87" t="n"/>
      <c r="GJV1" s="87" t="n"/>
      <c r="GJW1" s="87" t="n"/>
      <c r="GJX1" s="87" t="n"/>
      <c r="GJY1" s="87" t="n"/>
      <c r="GJZ1" s="87" t="n"/>
      <c r="GKA1" s="87" t="n"/>
      <c r="GKB1" s="87" t="n"/>
      <c r="GKC1" s="87" t="n"/>
      <c r="GKD1" s="87" t="n"/>
      <c r="GKE1" s="87" t="n"/>
      <c r="GKF1" s="87" t="n"/>
      <c r="GKG1" s="87" t="n"/>
      <c r="GKH1" s="87" t="n"/>
      <c r="GKI1" s="87" t="n"/>
      <c r="GKJ1" s="87" t="n"/>
      <c r="GKK1" s="87" t="n"/>
      <c r="GKL1" s="87" t="n"/>
      <c r="GKM1" s="87" t="n"/>
      <c r="GKN1" s="87" t="n"/>
      <c r="GKO1" s="87" t="n"/>
      <c r="GKP1" s="87" t="n"/>
      <c r="GKQ1" s="87" t="n"/>
      <c r="GKR1" s="87" t="n"/>
      <c r="GKS1" s="87" t="n"/>
      <c r="GKT1" s="87" t="n"/>
      <c r="GKU1" s="87" t="n"/>
      <c r="GKV1" s="87" t="n"/>
      <c r="GKW1" s="87" t="n"/>
      <c r="GKX1" s="87" t="n"/>
      <c r="GKY1" s="87" t="n"/>
      <c r="GKZ1" s="87" t="n"/>
      <c r="GLA1" s="87" t="n"/>
      <c r="GLB1" s="87" t="n"/>
      <c r="GLC1" s="87" t="n"/>
      <c r="GLD1" s="87" t="n"/>
      <c r="GLE1" s="87" t="n"/>
      <c r="GLF1" s="87" t="n"/>
      <c r="GLG1" s="87" t="n"/>
      <c r="GLH1" s="87" t="n"/>
      <c r="GLI1" s="87" t="n"/>
      <c r="GLJ1" s="87" t="n"/>
      <c r="GLK1" s="87" t="n"/>
      <c r="GLL1" s="87" t="n"/>
      <c r="GLM1" s="87" t="n"/>
      <c r="GLN1" s="87" t="n"/>
      <c r="GLO1" s="87" t="n"/>
      <c r="GLP1" s="87" t="n"/>
      <c r="GLQ1" s="87" t="n"/>
      <c r="GLR1" s="87" t="n"/>
      <c r="GLS1" s="87" t="n"/>
      <c r="GLT1" s="87" t="n"/>
      <c r="GLU1" s="87" t="n"/>
      <c r="GLV1" s="87" t="n"/>
      <c r="GLW1" s="87" t="n"/>
      <c r="GLX1" s="87" t="n"/>
      <c r="GLY1" s="87" t="n"/>
      <c r="GLZ1" s="87" t="n"/>
      <c r="GMA1" s="87" t="n"/>
      <c r="GMB1" s="87" t="n"/>
      <c r="GMC1" s="87" t="n"/>
      <c r="GMD1" s="87" t="n"/>
      <c r="GME1" s="87" t="n"/>
      <c r="GMF1" s="87" t="n"/>
      <c r="GMG1" s="87" t="n"/>
      <c r="GMH1" s="87" t="n"/>
      <c r="GMI1" s="87" t="n"/>
      <c r="GMJ1" s="87" t="n"/>
      <c r="GMK1" s="87" t="n"/>
      <c r="GML1" s="87" t="n"/>
      <c r="GMM1" s="87" t="n"/>
      <c r="GMN1" s="87" t="n"/>
      <c r="GMO1" s="87" t="n"/>
      <c r="GMP1" s="87" t="n"/>
      <c r="GMQ1" s="87" t="n"/>
      <c r="GMR1" s="87" t="n"/>
      <c r="GMS1" s="87" t="n"/>
      <c r="GMT1" s="87" t="n"/>
      <c r="GMU1" s="87" t="n"/>
      <c r="GMV1" s="87" t="n"/>
      <c r="GMW1" s="87" t="n"/>
      <c r="GMX1" s="87" t="n"/>
      <c r="GMY1" s="87" t="n"/>
      <c r="GMZ1" s="87" t="n"/>
      <c r="GNA1" s="87" t="n"/>
      <c r="GNB1" s="87" t="n"/>
      <c r="GNC1" s="87" t="n"/>
      <c r="GND1" s="87" t="n"/>
      <c r="GNE1" s="87" t="n"/>
      <c r="GNF1" s="87" t="n"/>
      <c r="GNG1" s="87" t="n"/>
      <c r="GNH1" s="87" t="n"/>
      <c r="GNI1" s="87" t="n"/>
      <c r="GNJ1" s="87" t="n"/>
      <c r="GNK1" s="87" t="n"/>
      <c r="GNL1" s="87" t="n"/>
      <c r="GNM1" s="87" t="n"/>
      <c r="GNN1" s="87" t="n"/>
      <c r="GNO1" s="87" t="n"/>
      <c r="GNP1" s="87" t="n"/>
      <c r="GNQ1" s="87" t="n"/>
      <c r="GNR1" s="87" t="n"/>
      <c r="GNS1" s="87" t="n"/>
      <c r="GNT1" s="87" t="n"/>
      <c r="GNU1" s="87" t="n"/>
      <c r="GNV1" s="87" t="n"/>
      <c r="GNW1" s="87" t="n"/>
      <c r="GNX1" s="87" t="n"/>
      <c r="GNY1" s="87" t="n"/>
      <c r="GNZ1" s="87" t="n"/>
      <c r="GOA1" s="87" t="n"/>
      <c r="GOB1" s="87" t="n"/>
      <c r="GOC1" s="87" t="n"/>
      <c r="GOD1" s="87" t="n"/>
      <c r="GOE1" s="87" t="n"/>
      <c r="GOF1" s="87" t="n"/>
      <c r="GOG1" s="87" t="n"/>
      <c r="GOH1" s="87" t="n"/>
      <c r="GOI1" s="87" t="n"/>
      <c r="GOJ1" s="87" t="n"/>
      <c r="GOK1" s="87" t="n"/>
      <c r="GOL1" s="87" t="n"/>
      <c r="GOM1" s="87" t="n"/>
      <c r="GON1" s="87" t="n"/>
      <c r="GOO1" s="87" t="n"/>
      <c r="GOP1" s="87" t="n"/>
      <c r="GOQ1" s="87" t="n"/>
      <c r="GOR1" s="87" t="n"/>
      <c r="GOS1" s="87" t="n"/>
      <c r="GOT1" s="87" t="n"/>
      <c r="GOU1" s="87" t="n"/>
      <c r="GOV1" s="87" t="n"/>
      <c r="GOW1" s="87" t="n"/>
      <c r="GOX1" s="87" t="n"/>
      <c r="GOY1" s="87" t="n"/>
      <c r="GOZ1" s="87" t="n"/>
      <c r="GPA1" s="87" t="n"/>
      <c r="GPB1" s="87" t="n"/>
      <c r="GPC1" s="87" t="n"/>
      <c r="GPD1" s="87" t="n"/>
      <c r="GPE1" s="87" t="n"/>
      <c r="GPF1" s="87" t="n"/>
      <c r="GPG1" s="87" t="n"/>
      <c r="GPH1" s="87" t="n"/>
      <c r="GPI1" s="87" t="n"/>
      <c r="GPJ1" s="87" t="n"/>
      <c r="GPK1" s="87" t="n"/>
      <c r="GPL1" s="87" t="n"/>
      <c r="GPM1" s="87" t="n"/>
      <c r="GPN1" s="87" t="n"/>
      <c r="GPO1" s="87" t="n"/>
      <c r="GPP1" s="87" t="n"/>
      <c r="GPQ1" s="87" t="n"/>
      <c r="GPR1" s="87" t="n"/>
      <c r="GPS1" s="87" t="n"/>
      <c r="GPT1" s="87" t="n"/>
      <c r="GPU1" s="87" t="n"/>
      <c r="GPV1" s="87" t="n"/>
      <c r="GPW1" s="87" t="n"/>
      <c r="GPX1" s="87" t="n"/>
      <c r="GPY1" s="87" t="n"/>
      <c r="GPZ1" s="87" t="n"/>
      <c r="GQA1" s="87" t="n"/>
      <c r="GQB1" s="87" t="n"/>
      <c r="GQC1" s="87" t="n"/>
      <c r="GQD1" s="87" t="n"/>
      <c r="GQE1" s="87" t="n"/>
      <c r="GQF1" s="87" t="n"/>
      <c r="GQG1" s="87" t="n"/>
      <c r="GQH1" s="87" t="n"/>
      <c r="GQI1" s="87" t="n"/>
      <c r="GQJ1" s="87" t="n"/>
      <c r="GQK1" s="87" t="n"/>
      <c r="GQL1" s="87" t="n"/>
      <c r="GQM1" s="87" t="n"/>
      <c r="GQN1" s="87" t="n"/>
      <c r="GQO1" s="87" t="n"/>
      <c r="GQP1" s="87" t="n"/>
      <c r="GQQ1" s="87" t="n"/>
      <c r="GQR1" s="87" t="n"/>
      <c r="GQS1" s="87" t="n"/>
      <c r="GQT1" s="87" t="n"/>
      <c r="GQU1" s="87" t="n"/>
      <c r="GQV1" s="87" t="n"/>
      <c r="GQW1" s="87" t="n"/>
      <c r="GQX1" s="87" t="n"/>
      <c r="GQY1" s="87" t="n"/>
      <c r="GQZ1" s="87" t="n"/>
      <c r="GRA1" s="87" t="n"/>
      <c r="GRB1" s="87" t="n"/>
      <c r="GRC1" s="87" t="n"/>
      <c r="GRD1" s="87" t="n"/>
      <c r="GRE1" s="87" t="n"/>
      <c r="GRF1" s="87" t="n"/>
      <c r="GRG1" s="87" t="n"/>
      <c r="GRH1" s="87" t="n"/>
      <c r="GRI1" s="87" t="n"/>
      <c r="GRJ1" s="87" t="n"/>
      <c r="GRK1" s="87" t="n"/>
      <c r="GRL1" s="87" t="n"/>
      <c r="GRM1" s="87" t="n"/>
      <c r="GRN1" s="87" t="n"/>
      <c r="GRO1" s="87" t="n"/>
      <c r="GRP1" s="87" t="n"/>
      <c r="GRQ1" s="87" t="n"/>
      <c r="GRR1" s="87" t="n"/>
      <c r="GRS1" s="87" t="n"/>
      <c r="GRT1" s="87" t="n"/>
      <c r="GRU1" s="87" t="n"/>
      <c r="GRV1" s="87" t="n"/>
      <c r="GRW1" s="87" t="n"/>
      <c r="GRX1" s="87" t="n"/>
      <c r="GRY1" s="87" t="n"/>
      <c r="GRZ1" s="87" t="n"/>
      <c r="GSA1" s="87" t="n"/>
      <c r="GSB1" s="87" t="n"/>
      <c r="GSC1" s="87" t="n"/>
      <c r="GSD1" s="87" t="n"/>
      <c r="GSE1" s="87" t="n"/>
      <c r="GSF1" s="87" t="n"/>
      <c r="GSG1" s="87" t="n"/>
      <c r="GSH1" s="87" t="n"/>
      <c r="GSI1" s="87" t="n"/>
      <c r="GSJ1" s="87" t="n"/>
      <c r="GSK1" s="87" t="n"/>
      <c r="GSL1" s="87" t="n"/>
      <c r="GSM1" s="87" t="n"/>
      <c r="GSN1" s="87" t="n"/>
      <c r="GSO1" s="87" t="n"/>
      <c r="GSP1" s="87" t="n"/>
      <c r="GSQ1" s="87" t="n"/>
      <c r="GSR1" s="87" t="n"/>
      <c r="GSS1" s="87" t="n"/>
      <c r="GST1" s="87" t="n"/>
      <c r="GSU1" s="87" t="n"/>
      <c r="GSV1" s="87" t="n"/>
      <c r="GSW1" s="87" t="n"/>
      <c r="GSX1" s="87" t="n"/>
      <c r="GSY1" s="87" t="n"/>
      <c r="GSZ1" s="87" t="n"/>
      <c r="GTA1" s="87" t="n"/>
      <c r="GTB1" s="87" t="n"/>
      <c r="GTC1" s="87" t="n"/>
      <c r="GTD1" s="87" t="n"/>
      <c r="GTE1" s="87" t="n"/>
      <c r="GTF1" s="87" t="n"/>
      <c r="GTG1" s="87" t="n"/>
      <c r="GTH1" s="87" t="n"/>
      <c r="GTI1" s="87" t="n"/>
      <c r="GTJ1" s="87" t="n"/>
      <c r="GTK1" s="87" t="n"/>
      <c r="GTL1" s="87" t="n"/>
      <c r="GTM1" s="87" t="n"/>
      <c r="GTN1" s="87" t="n"/>
      <c r="GTO1" s="87" t="n"/>
      <c r="GTP1" s="87" t="n"/>
      <c r="GTQ1" s="87" t="n"/>
      <c r="GTR1" s="87" t="n"/>
      <c r="GTS1" s="87" t="n"/>
      <c r="GTT1" s="87" t="n"/>
      <c r="GTU1" s="87" t="n"/>
      <c r="GTV1" s="87" t="n"/>
      <c r="GTW1" s="87" t="n"/>
      <c r="GTX1" s="87" t="n"/>
      <c r="GTY1" s="87" t="n"/>
      <c r="GTZ1" s="87" t="n"/>
      <c r="GUA1" s="87" t="n"/>
      <c r="GUB1" s="87" t="n"/>
      <c r="GUC1" s="87" t="n"/>
      <c r="GUD1" s="87" t="n"/>
      <c r="GUE1" s="87" t="n"/>
      <c r="GUF1" s="87" t="n"/>
      <c r="GUG1" s="87" t="n"/>
      <c r="GUH1" s="87" t="n"/>
      <c r="GUI1" s="87" t="n"/>
      <c r="GUJ1" s="87" t="n"/>
      <c r="GUK1" s="87" t="n"/>
      <c r="GUL1" s="87" t="n"/>
      <c r="GUM1" s="87" t="n"/>
      <c r="GUN1" s="87" t="n"/>
      <c r="GUO1" s="87" t="n"/>
      <c r="GUP1" s="87" t="n"/>
      <c r="GUQ1" s="87" t="n"/>
      <c r="GUR1" s="87" t="n"/>
      <c r="GUS1" s="87" t="n"/>
      <c r="GUT1" s="87" t="n"/>
      <c r="GUU1" s="87" t="n"/>
      <c r="GUV1" s="87" t="n"/>
      <c r="GUW1" s="87" t="n"/>
      <c r="GUX1" s="87" t="n"/>
      <c r="GUY1" s="87" t="n"/>
      <c r="GUZ1" s="87" t="n"/>
      <c r="GVA1" s="87" t="n"/>
      <c r="GVB1" s="87" t="n"/>
      <c r="GVC1" s="87" t="n"/>
      <c r="GVD1" s="87" t="n"/>
      <c r="GVE1" s="87" t="n"/>
      <c r="GVF1" s="87" t="n"/>
      <c r="GVG1" s="87" t="n"/>
      <c r="GVH1" s="87" t="n"/>
      <c r="GVI1" s="87" t="n"/>
      <c r="GVJ1" s="87" t="n"/>
      <c r="GVK1" s="87" t="n"/>
      <c r="GVL1" s="87" t="n"/>
      <c r="GVM1" s="87" t="n"/>
      <c r="GVN1" s="87" t="n"/>
      <c r="GVO1" s="87" t="n"/>
      <c r="GVP1" s="87" t="n"/>
      <c r="GVQ1" s="87" t="n"/>
      <c r="GVR1" s="87" t="n"/>
      <c r="GVS1" s="87" t="n"/>
      <c r="GVT1" s="87" t="n"/>
      <c r="GVU1" s="87" t="n"/>
      <c r="GVV1" s="87" t="n"/>
      <c r="GVW1" s="87" t="n"/>
      <c r="GVX1" s="87" t="n"/>
      <c r="GVY1" s="87" t="n"/>
      <c r="GVZ1" s="87" t="n"/>
      <c r="GWA1" s="87" t="n"/>
      <c r="GWB1" s="87" t="n"/>
      <c r="GWC1" s="87" t="n"/>
      <c r="GWD1" s="87" t="n"/>
      <c r="GWE1" s="87" t="n"/>
      <c r="GWF1" s="87" t="n"/>
      <c r="GWG1" s="87" t="n"/>
      <c r="GWH1" s="87" t="n"/>
      <c r="GWI1" s="87" t="n"/>
      <c r="GWJ1" s="87" t="n"/>
      <c r="GWK1" s="87" t="n"/>
      <c r="GWL1" s="87" t="n"/>
      <c r="GWM1" s="87" t="n"/>
      <c r="GWN1" s="87" t="n"/>
      <c r="GWO1" s="87" t="n"/>
      <c r="GWP1" s="87" t="n"/>
      <c r="GWQ1" s="87" t="n"/>
      <c r="GWR1" s="87" t="n"/>
      <c r="GWS1" s="87" t="n"/>
      <c r="GWT1" s="87" t="n"/>
      <c r="GWU1" s="87" t="n"/>
      <c r="GWV1" s="87" t="n"/>
      <c r="GWW1" s="87" t="n"/>
      <c r="GWX1" s="87" t="n"/>
      <c r="GWY1" s="87" t="n"/>
      <c r="GWZ1" s="87" t="n"/>
      <c r="GXA1" s="87" t="n"/>
      <c r="GXB1" s="87" t="n"/>
      <c r="GXC1" s="87" t="n"/>
      <c r="GXD1" s="87" t="n"/>
      <c r="GXE1" s="87" t="n"/>
      <c r="GXF1" s="87" t="n"/>
      <c r="GXG1" s="87" t="n"/>
      <c r="GXH1" s="87" t="n"/>
      <c r="GXI1" s="87" t="n"/>
      <c r="GXJ1" s="87" t="n"/>
      <c r="GXK1" s="87" t="n"/>
      <c r="GXL1" s="87" t="n"/>
      <c r="GXM1" s="87" t="n"/>
      <c r="GXN1" s="87" t="n"/>
      <c r="GXO1" s="87" t="n"/>
      <c r="GXP1" s="87" t="n"/>
      <c r="GXQ1" s="87" t="n"/>
      <c r="GXR1" s="87" t="n"/>
      <c r="GXS1" s="87" t="n"/>
      <c r="GXT1" s="87" t="n"/>
      <c r="GXU1" s="87" t="n"/>
      <c r="GXV1" s="87" t="n"/>
      <c r="GXW1" s="87" t="n"/>
      <c r="GXX1" s="87" t="n"/>
      <c r="GXY1" s="87" t="n"/>
      <c r="GXZ1" s="87" t="n"/>
      <c r="GYA1" s="87" t="n"/>
      <c r="GYB1" s="87" t="n"/>
      <c r="GYC1" s="87" t="n"/>
      <c r="GYD1" s="87" t="n"/>
      <c r="GYE1" s="87" t="n"/>
      <c r="GYF1" s="87" t="n"/>
      <c r="GYG1" s="87" t="n"/>
      <c r="GYH1" s="87" t="n"/>
      <c r="GYI1" s="87" t="n"/>
      <c r="GYJ1" s="87" t="n"/>
      <c r="GYK1" s="87" t="n"/>
      <c r="GYL1" s="87" t="n"/>
      <c r="GYM1" s="87" t="n"/>
      <c r="GYN1" s="87" t="n"/>
      <c r="GYO1" s="87" t="n"/>
      <c r="GYP1" s="87" t="n"/>
      <c r="GYQ1" s="87" t="n"/>
      <c r="GYR1" s="87" t="n"/>
      <c r="GYS1" s="87" t="n"/>
      <c r="GYT1" s="87" t="n"/>
      <c r="GYU1" s="87" t="n"/>
      <c r="GYV1" s="87" t="n"/>
      <c r="GYW1" s="87" t="n"/>
      <c r="GYX1" s="87" t="n"/>
      <c r="GYY1" s="87" t="n"/>
      <c r="GYZ1" s="87" t="n"/>
      <c r="GZA1" s="87" t="n"/>
      <c r="GZB1" s="87" t="n"/>
      <c r="GZC1" s="87" t="n"/>
      <c r="GZD1" s="87" t="n"/>
      <c r="GZE1" s="87" t="n"/>
      <c r="GZF1" s="87" t="n"/>
      <c r="GZG1" s="87" t="n"/>
      <c r="GZH1" s="87" t="n"/>
      <c r="GZI1" s="87" t="n"/>
      <c r="GZJ1" s="87" t="n"/>
      <c r="GZK1" s="87" t="n"/>
      <c r="GZL1" s="87" t="n"/>
      <c r="GZM1" s="87" t="n"/>
      <c r="GZN1" s="87" t="n"/>
      <c r="GZO1" s="87" t="n"/>
      <c r="GZP1" s="87" t="n"/>
      <c r="GZQ1" s="87" t="n"/>
      <c r="GZR1" s="87" t="n"/>
      <c r="GZS1" s="87" t="n"/>
      <c r="GZT1" s="87" t="n"/>
      <c r="GZU1" s="87" t="n"/>
      <c r="GZV1" s="87" t="n"/>
      <c r="GZW1" s="87" t="n"/>
      <c r="GZX1" s="87" t="n"/>
      <c r="GZY1" s="87" t="n"/>
      <c r="GZZ1" s="87" t="n"/>
      <c r="HAA1" s="87" t="n"/>
      <c r="HAB1" s="87" t="n"/>
      <c r="HAC1" s="87" t="n"/>
      <c r="HAD1" s="87" t="n"/>
      <c r="HAE1" s="87" t="n"/>
      <c r="HAF1" s="87" t="n"/>
      <c r="HAG1" s="87" t="n"/>
      <c r="HAH1" s="87" t="n"/>
      <c r="HAI1" s="87" t="n"/>
      <c r="HAJ1" s="87" t="n"/>
      <c r="HAK1" s="87" t="n"/>
      <c r="HAL1" s="87" t="n"/>
      <c r="HAM1" s="87" t="n"/>
      <c r="HAN1" s="87" t="n"/>
      <c r="HAO1" s="87" t="n"/>
      <c r="HAP1" s="87" t="n"/>
      <c r="HAQ1" s="87" t="n"/>
      <c r="HAR1" s="87" t="n"/>
      <c r="HAS1" s="87" t="n"/>
      <c r="HAT1" s="87" t="n"/>
      <c r="HAU1" s="87" t="n"/>
      <c r="HAV1" s="87" t="n"/>
      <c r="HAW1" s="87" t="n"/>
      <c r="HAX1" s="87" t="n"/>
      <c r="HAY1" s="87" t="n"/>
      <c r="HAZ1" s="87" t="n"/>
      <c r="HBA1" s="87" t="n"/>
      <c r="HBB1" s="87" t="n"/>
      <c r="HBC1" s="87" t="n"/>
      <c r="HBD1" s="87" t="n"/>
      <c r="HBE1" s="87" t="n"/>
      <c r="HBF1" s="87" t="n"/>
      <c r="HBG1" s="87" t="n"/>
      <c r="HBH1" s="87" t="n"/>
      <c r="HBI1" s="87" t="n"/>
      <c r="HBJ1" s="87" t="n"/>
      <c r="HBK1" s="87" t="n"/>
      <c r="HBL1" s="87" t="n"/>
      <c r="HBM1" s="87" t="n"/>
      <c r="HBN1" s="87" t="n"/>
      <c r="HBO1" s="87" t="n"/>
      <c r="HBP1" s="87" t="n"/>
      <c r="HBQ1" s="87" t="n"/>
      <c r="HBR1" s="87" t="n"/>
      <c r="HBS1" s="87" t="n"/>
      <c r="HBT1" s="87" t="n"/>
      <c r="HBU1" s="87" t="n"/>
      <c r="HBV1" s="87" t="n"/>
      <c r="HBW1" s="87" t="n"/>
      <c r="HBX1" s="87" t="n"/>
      <c r="HBY1" s="87" t="n"/>
      <c r="HBZ1" s="87" t="n"/>
      <c r="HCA1" s="87" t="n"/>
      <c r="HCB1" s="87" t="n"/>
      <c r="HCC1" s="87" t="n"/>
      <c r="HCD1" s="87" t="n"/>
      <c r="HCE1" s="87" t="n"/>
      <c r="HCF1" s="87" t="n"/>
      <c r="HCG1" s="87" t="n"/>
      <c r="HCH1" s="87" t="n"/>
      <c r="HCI1" s="87" t="n"/>
      <c r="HCJ1" s="87" t="n"/>
      <c r="HCK1" s="87" t="n"/>
      <c r="HCL1" s="87" t="n"/>
      <c r="HCM1" s="87" t="n"/>
      <c r="HCN1" s="87" t="n"/>
      <c r="HCO1" s="87" t="n"/>
      <c r="HCP1" s="87" t="n"/>
      <c r="HCQ1" s="87" t="n"/>
      <c r="HCR1" s="87" t="n"/>
      <c r="HCS1" s="87" t="n"/>
      <c r="HCT1" s="87" t="n"/>
      <c r="HCU1" s="87" t="n"/>
      <c r="HCV1" s="87" t="n"/>
      <c r="HCW1" s="87" t="n"/>
      <c r="HCX1" s="87" t="n"/>
      <c r="HCY1" s="87" t="n"/>
      <c r="HCZ1" s="87" t="n"/>
      <c r="HDA1" s="87" t="n"/>
      <c r="HDB1" s="87" t="n"/>
      <c r="HDC1" s="87" t="n"/>
      <c r="HDD1" s="87" t="n"/>
      <c r="HDE1" s="87" t="n"/>
      <c r="HDF1" s="87" t="n"/>
      <c r="HDG1" s="87" t="n"/>
      <c r="HDH1" s="87" t="n"/>
      <c r="HDI1" s="87" t="n"/>
      <c r="HDJ1" s="87" t="n"/>
      <c r="HDK1" s="87" t="n"/>
      <c r="HDL1" s="87" t="n"/>
      <c r="HDM1" s="87" t="n"/>
      <c r="HDN1" s="87" t="n"/>
      <c r="HDO1" s="87" t="n"/>
      <c r="HDP1" s="87" t="n"/>
      <c r="HDQ1" s="87" t="n"/>
      <c r="HDR1" s="87" t="n"/>
      <c r="HDS1" s="87" t="n"/>
      <c r="HDT1" s="87" t="n"/>
      <c r="HDU1" s="87" t="n"/>
      <c r="HDV1" s="87" t="n"/>
      <c r="HDW1" s="87" t="n"/>
      <c r="HDX1" s="87" t="n"/>
      <c r="HDY1" s="87" t="n"/>
      <c r="HDZ1" s="87" t="n"/>
      <c r="HEA1" s="87" t="n"/>
      <c r="HEB1" s="87" t="n"/>
      <c r="HEC1" s="87" t="n"/>
      <c r="HED1" s="87" t="n"/>
      <c r="HEE1" s="87" t="n"/>
      <c r="HEF1" s="87" t="n"/>
      <c r="HEG1" s="87" t="n"/>
      <c r="HEH1" s="87" t="n"/>
      <c r="HEI1" s="87" t="n"/>
      <c r="HEJ1" s="87" t="n"/>
      <c r="HEK1" s="87" t="n"/>
      <c r="HEL1" s="87" t="n"/>
      <c r="HEM1" s="87" t="n"/>
      <c r="HEN1" s="87" t="n"/>
      <c r="HEO1" s="87" t="n"/>
      <c r="HEP1" s="87" t="n"/>
      <c r="HEQ1" s="87" t="n"/>
      <c r="HER1" s="87" t="n"/>
      <c r="HES1" s="87" t="n"/>
      <c r="HET1" s="87" t="n"/>
      <c r="HEU1" s="87" t="n"/>
      <c r="HEV1" s="87" t="n"/>
      <c r="HEW1" s="87" t="n"/>
      <c r="HEX1" s="87" t="n"/>
      <c r="HEY1" s="87" t="n"/>
      <c r="HEZ1" s="87" t="n"/>
      <c r="HFA1" s="87" t="n"/>
      <c r="HFB1" s="87" t="n"/>
      <c r="HFC1" s="87" t="n"/>
      <c r="HFD1" s="87" t="n"/>
      <c r="HFE1" s="87" t="n"/>
      <c r="HFF1" s="87" t="n"/>
      <c r="HFG1" s="87" t="n"/>
      <c r="HFH1" s="87" t="n"/>
      <c r="HFI1" s="87" t="n"/>
      <c r="HFJ1" s="87" t="n"/>
      <c r="HFK1" s="87" t="n"/>
      <c r="HFL1" s="87" t="n"/>
      <c r="HFM1" s="87" t="n"/>
      <c r="HFN1" s="87" t="n"/>
      <c r="HFO1" s="87" t="n"/>
      <c r="HFP1" s="87" t="n"/>
      <c r="HFQ1" s="87" t="n"/>
      <c r="HFR1" s="87" t="n"/>
      <c r="HFS1" s="87" t="n"/>
      <c r="HFT1" s="87" t="n"/>
      <c r="HFU1" s="87" t="n"/>
      <c r="HFV1" s="87" t="n"/>
      <c r="HFW1" s="87" t="n"/>
      <c r="HFX1" s="87" t="n"/>
      <c r="HFY1" s="87" t="n"/>
      <c r="HFZ1" s="87" t="n"/>
      <c r="HGA1" s="87" t="n"/>
      <c r="HGB1" s="87" t="n"/>
      <c r="HGC1" s="87" t="n"/>
      <c r="HGD1" s="87" t="n"/>
      <c r="HGE1" s="87" t="n"/>
      <c r="HGF1" s="87" t="n"/>
      <c r="HGG1" s="87" t="n"/>
      <c r="HGH1" s="87" t="n"/>
      <c r="HGI1" s="87" t="n"/>
      <c r="HGJ1" s="87" t="n"/>
      <c r="HGK1" s="87" t="n"/>
      <c r="HGL1" s="87" t="n"/>
      <c r="HGM1" s="87" t="n"/>
      <c r="HGN1" s="87" t="n"/>
      <c r="HGO1" s="87" t="n"/>
      <c r="HGP1" s="87" t="n"/>
      <c r="HGQ1" s="87" t="n"/>
      <c r="HGR1" s="87" t="n"/>
      <c r="HGS1" s="87" t="n"/>
      <c r="HGT1" s="87" t="n"/>
      <c r="HGU1" s="87" t="n"/>
      <c r="HGV1" s="87" t="n"/>
      <c r="HGW1" s="87" t="n"/>
      <c r="HGX1" s="87" t="n"/>
      <c r="HGY1" s="87" t="n"/>
      <c r="HGZ1" s="87" t="n"/>
      <c r="HHA1" s="87" t="n"/>
      <c r="HHB1" s="87" t="n"/>
      <c r="HHC1" s="87" t="n"/>
      <c r="HHD1" s="87" t="n"/>
      <c r="HHE1" s="87" t="n"/>
      <c r="HHF1" s="87" t="n"/>
      <c r="HHG1" s="87" t="n"/>
      <c r="HHH1" s="87" t="n"/>
      <c r="HHI1" s="87" t="n"/>
      <c r="HHJ1" s="87" t="n"/>
      <c r="HHK1" s="87" t="n"/>
      <c r="HHL1" s="87" t="n"/>
      <c r="HHM1" s="87" t="n"/>
      <c r="HHN1" s="87" t="n"/>
      <c r="HHO1" s="87" t="n"/>
      <c r="HHP1" s="87" t="n"/>
      <c r="HHQ1" s="87" t="n"/>
      <c r="HHR1" s="87" t="n"/>
      <c r="HHS1" s="87" t="n"/>
      <c r="HHT1" s="87" t="n"/>
      <c r="HHU1" s="87" t="n"/>
      <c r="HHV1" s="87" t="n"/>
      <c r="HHW1" s="87" t="n"/>
      <c r="HHX1" s="87" t="n"/>
      <c r="HHY1" s="87" t="n"/>
      <c r="HHZ1" s="87" t="n"/>
      <c r="HIA1" s="87" t="n"/>
      <c r="HIB1" s="87" t="n"/>
      <c r="HIC1" s="87" t="n"/>
      <c r="HID1" s="87" t="n"/>
      <c r="HIE1" s="87" t="n"/>
      <c r="HIF1" s="87" t="n"/>
      <c r="HIG1" s="87" t="n"/>
      <c r="HIH1" s="87" t="n"/>
      <c r="HII1" s="87" t="n"/>
      <c r="HIJ1" s="87" t="n"/>
      <c r="HIK1" s="87" t="n"/>
      <c r="HIL1" s="87" t="n"/>
      <c r="HIM1" s="87" t="n"/>
      <c r="HIN1" s="87" t="n"/>
      <c r="HIO1" s="87" t="n"/>
      <c r="HIP1" s="87" t="n"/>
      <c r="HIQ1" s="87" t="n"/>
      <c r="HIR1" s="87" t="n"/>
      <c r="HIS1" s="87" t="n"/>
      <c r="HIT1" s="87" t="n"/>
      <c r="HIU1" s="87" t="n"/>
      <c r="HIV1" s="87" t="n"/>
      <c r="HIW1" s="87" t="n"/>
      <c r="HIX1" s="87" t="n"/>
      <c r="HIY1" s="87" t="n"/>
      <c r="HIZ1" s="87" t="n"/>
      <c r="HJA1" s="87" t="n"/>
      <c r="HJB1" s="87" t="n"/>
      <c r="HJC1" s="87" t="n"/>
      <c r="HJD1" s="87" t="n"/>
      <c r="HJE1" s="87" t="n"/>
      <c r="HJF1" s="87" t="n"/>
      <c r="HJG1" s="87" t="n"/>
      <c r="HJH1" s="87" t="n"/>
      <c r="HJI1" s="87" t="n"/>
      <c r="HJJ1" s="87" t="n"/>
      <c r="HJK1" s="87" t="n"/>
      <c r="HJL1" s="87" t="n"/>
      <c r="HJM1" s="87" t="n"/>
      <c r="HJN1" s="87" t="n"/>
      <c r="HJO1" s="87" t="n"/>
      <c r="HJP1" s="87" t="n"/>
      <c r="HJQ1" s="87" t="n"/>
      <c r="HJR1" s="87" t="n"/>
      <c r="HJS1" s="87" t="n"/>
      <c r="HJT1" s="87" t="n"/>
      <c r="HJU1" s="87" t="n"/>
      <c r="HJV1" s="87" t="n"/>
      <c r="HJW1" s="87" t="n"/>
      <c r="HJX1" s="87" t="n"/>
      <c r="HJY1" s="87" t="n"/>
      <c r="HJZ1" s="87" t="n"/>
      <c r="HKA1" s="87" t="n"/>
      <c r="HKB1" s="87" t="n"/>
      <c r="HKC1" s="87" t="n"/>
      <c r="HKD1" s="87" t="n"/>
      <c r="HKE1" s="87" t="n"/>
      <c r="HKF1" s="87" t="n"/>
      <c r="HKG1" s="87" t="n"/>
      <c r="HKH1" s="87" t="n"/>
      <c r="HKI1" s="87" t="n"/>
      <c r="HKJ1" s="87" t="n"/>
      <c r="HKK1" s="87" t="n"/>
      <c r="HKL1" s="87" t="n"/>
      <c r="HKM1" s="87" t="n"/>
      <c r="HKN1" s="87" t="n"/>
      <c r="HKO1" s="87" t="n"/>
      <c r="HKP1" s="87" t="n"/>
      <c r="HKQ1" s="87" t="n"/>
      <c r="HKR1" s="87" t="n"/>
      <c r="HKS1" s="87" t="n"/>
      <c r="HKT1" s="87" t="n"/>
      <c r="HKU1" s="87" t="n"/>
      <c r="HKV1" s="87" t="n"/>
      <c r="HKW1" s="87" t="n"/>
      <c r="HKX1" s="87" t="n"/>
      <c r="HKY1" s="87" t="n"/>
      <c r="HKZ1" s="87" t="n"/>
      <c r="HLA1" s="87" t="n"/>
      <c r="HLB1" s="87" t="n"/>
      <c r="HLC1" s="87" t="n"/>
      <c r="HLD1" s="87" t="n"/>
      <c r="HLE1" s="87" t="n"/>
      <c r="HLF1" s="87" t="n"/>
      <c r="HLG1" s="87" t="n"/>
      <c r="HLH1" s="87" t="n"/>
      <c r="HLI1" s="87" t="n"/>
      <c r="HLJ1" s="87" t="n"/>
      <c r="HLK1" s="87" t="n"/>
      <c r="HLL1" s="87" t="n"/>
      <c r="HLM1" s="87" t="n"/>
      <c r="HLN1" s="87" t="n"/>
      <c r="HLO1" s="87" t="n"/>
      <c r="HLP1" s="87" t="n"/>
      <c r="HLQ1" s="87" t="n"/>
      <c r="HLR1" s="87" t="n"/>
      <c r="HLS1" s="87" t="n"/>
      <c r="HLT1" s="87" t="n"/>
      <c r="HLU1" s="87" t="n"/>
      <c r="HLV1" s="87" t="n"/>
      <c r="HLW1" s="87" t="n"/>
      <c r="HLX1" s="87" t="n"/>
      <c r="HLY1" s="87" t="n"/>
      <c r="HLZ1" s="87" t="n"/>
      <c r="HMA1" s="87" t="n"/>
      <c r="HMB1" s="87" t="n"/>
      <c r="HMC1" s="87" t="n"/>
      <c r="HMD1" s="87" t="n"/>
      <c r="HME1" s="87" t="n"/>
      <c r="HMF1" s="87" t="n"/>
      <c r="HMG1" s="87" t="n"/>
      <c r="HMH1" s="87" t="n"/>
      <c r="HMI1" s="87" t="n"/>
      <c r="HMJ1" s="87" t="n"/>
      <c r="HMK1" s="87" t="n"/>
      <c r="HML1" s="87" t="n"/>
      <c r="HMM1" s="87" t="n"/>
      <c r="HMN1" s="87" t="n"/>
      <c r="HMO1" s="87" t="n"/>
      <c r="HMP1" s="87" t="n"/>
      <c r="HMQ1" s="87" t="n"/>
      <c r="HMR1" s="87" t="n"/>
      <c r="HMS1" s="87" t="n"/>
      <c r="HMT1" s="87" t="n"/>
      <c r="HMU1" s="87" t="n"/>
      <c r="HMV1" s="87" t="n"/>
      <c r="HMW1" s="87" t="n"/>
      <c r="HMX1" s="87" t="n"/>
      <c r="HMY1" s="87" t="n"/>
      <c r="HMZ1" s="87" t="n"/>
      <c r="HNA1" s="87" t="n"/>
      <c r="HNB1" s="87" t="n"/>
      <c r="HNC1" s="87" t="n"/>
      <c r="HND1" s="87" t="n"/>
      <c r="HNE1" s="87" t="n"/>
      <c r="HNF1" s="87" t="n"/>
      <c r="HNG1" s="87" t="n"/>
      <c r="HNH1" s="87" t="n"/>
      <c r="HNI1" s="87" t="n"/>
      <c r="HNJ1" s="87" t="n"/>
      <c r="HNK1" s="87" t="n"/>
      <c r="HNL1" s="87" t="n"/>
      <c r="HNM1" s="87" t="n"/>
      <c r="HNN1" s="87" t="n"/>
      <c r="HNO1" s="87" t="n"/>
      <c r="HNP1" s="87" t="n"/>
      <c r="HNQ1" s="87" t="n"/>
      <c r="HNR1" s="87" t="n"/>
      <c r="HNS1" s="87" t="n"/>
      <c r="HNT1" s="87" t="n"/>
      <c r="HNU1" s="87" t="n"/>
      <c r="HNV1" s="87" t="n"/>
      <c r="HNW1" s="87" t="n"/>
      <c r="HNX1" s="87" t="n"/>
      <c r="HNY1" s="87" t="n"/>
      <c r="HNZ1" s="87" t="n"/>
      <c r="HOA1" s="87" t="n"/>
      <c r="HOB1" s="87" t="n"/>
      <c r="HOC1" s="87" t="n"/>
      <c r="HOD1" s="87" t="n"/>
      <c r="HOE1" s="87" t="n"/>
      <c r="HOF1" s="87" t="n"/>
      <c r="HOG1" s="87" t="n"/>
      <c r="HOH1" s="87" t="n"/>
      <c r="HOI1" s="87" t="n"/>
      <c r="HOJ1" s="87" t="n"/>
      <c r="HOK1" s="87" t="n"/>
      <c r="HOL1" s="87" t="n"/>
      <c r="HOM1" s="87" t="n"/>
      <c r="HON1" s="87" t="n"/>
      <c r="HOO1" s="87" t="n"/>
      <c r="HOP1" s="87" t="n"/>
      <c r="HOQ1" s="87" t="n"/>
      <c r="HOR1" s="87" t="n"/>
      <c r="HOS1" s="87" t="n"/>
      <c r="HOT1" s="87" t="n"/>
      <c r="HOU1" s="87" t="n"/>
      <c r="HOV1" s="87" t="n"/>
      <c r="HOW1" s="87" t="n"/>
      <c r="HOX1" s="87" t="n"/>
      <c r="HOY1" s="87" t="n"/>
      <c r="HOZ1" s="87" t="n"/>
      <c r="HPA1" s="87" t="n"/>
      <c r="HPB1" s="87" t="n"/>
      <c r="HPC1" s="87" t="n"/>
      <c r="HPD1" s="87" t="n"/>
      <c r="HPE1" s="87" t="n"/>
      <c r="HPF1" s="87" t="n"/>
      <c r="HPG1" s="87" t="n"/>
      <c r="HPH1" s="87" t="n"/>
      <c r="HPI1" s="87" t="n"/>
      <c r="HPJ1" s="87" t="n"/>
      <c r="HPK1" s="87" t="n"/>
      <c r="HPL1" s="87" t="n"/>
      <c r="HPM1" s="87" t="n"/>
      <c r="HPN1" s="87" t="n"/>
      <c r="HPO1" s="87" t="n"/>
      <c r="HPP1" s="87" t="n"/>
      <c r="HPQ1" s="87" t="n"/>
      <c r="HPR1" s="87" t="n"/>
      <c r="HPS1" s="87" t="n"/>
      <c r="HPT1" s="87" t="n"/>
      <c r="HPU1" s="87" t="n"/>
      <c r="HPV1" s="87" t="n"/>
      <c r="HPW1" s="87" t="n"/>
      <c r="HPX1" s="87" t="n"/>
      <c r="HPY1" s="87" t="n"/>
      <c r="HPZ1" s="87" t="n"/>
      <c r="HQA1" s="87" t="n"/>
      <c r="HQB1" s="87" t="n"/>
      <c r="HQC1" s="87" t="n"/>
      <c r="HQD1" s="87" t="n"/>
      <c r="HQE1" s="87" t="n"/>
      <c r="HQF1" s="87" t="n"/>
      <c r="HQG1" s="87" t="n"/>
      <c r="HQH1" s="87" t="n"/>
      <c r="HQI1" s="87" t="n"/>
      <c r="HQJ1" s="87" t="n"/>
      <c r="HQK1" s="87" t="n"/>
      <c r="HQL1" s="87" t="n"/>
      <c r="HQM1" s="87" t="n"/>
      <c r="HQN1" s="87" t="n"/>
      <c r="HQO1" s="87" t="n"/>
      <c r="HQP1" s="87" t="n"/>
      <c r="HQQ1" s="87" t="n"/>
      <c r="HQR1" s="87" t="n"/>
      <c r="HQS1" s="87" t="n"/>
      <c r="HQT1" s="87" t="n"/>
      <c r="HQU1" s="87" t="n"/>
      <c r="HQV1" s="87" t="n"/>
      <c r="HQW1" s="87" t="n"/>
      <c r="HQX1" s="87" t="n"/>
      <c r="HQY1" s="87" t="n"/>
      <c r="HQZ1" s="87" t="n"/>
      <c r="HRA1" s="87" t="n"/>
      <c r="HRB1" s="87" t="n"/>
      <c r="HRC1" s="87" t="n"/>
      <c r="HRD1" s="87" t="n"/>
      <c r="HRE1" s="87" t="n"/>
      <c r="HRF1" s="87" t="n"/>
      <c r="HRG1" s="87" t="n"/>
      <c r="HRH1" s="87" t="n"/>
      <c r="HRI1" s="87" t="n"/>
      <c r="HRJ1" s="87" t="n"/>
      <c r="HRK1" s="87" t="n"/>
      <c r="HRL1" s="87" t="n"/>
      <c r="HRM1" s="87" t="n"/>
      <c r="HRN1" s="87" t="n"/>
      <c r="HRO1" s="87" t="n"/>
      <c r="HRP1" s="87" t="n"/>
      <c r="HRQ1" s="87" t="n"/>
      <c r="HRR1" s="87" t="n"/>
      <c r="HRS1" s="87" t="n"/>
      <c r="HRT1" s="87" t="n"/>
      <c r="HRU1" s="87" t="n"/>
      <c r="HRV1" s="87" t="n"/>
      <c r="HRW1" s="87" t="n"/>
      <c r="HRX1" s="87" t="n"/>
      <c r="HRY1" s="87" t="n"/>
      <c r="HRZ1" s="87" t="n"/>
      <c r="HSA1" s="87" t="n"/>
      <c r="HSB1" s="87" t="n"/>
      <c r="HSC1" s="87" t="n"/>
      <c r="HSD1" s="87" t="n"/>
      <c r="HSE1" s="87" t="n"/>
      <c r="HSF1" s="87" t="n"/>
      <c r="HSG1" s="87" t="n"/>
      <c r="HSH1" s="87" t="n"/>
      <c r="HSI1" s="87" t="n"/>
      <c r="HSJ1" s="87" t="n"/>
      <c r="HSK1" s="87" t="n"/>
      <c r="HSL1" s="87" t="n"/>
      <c r="HSM1" s="87" t="n"/>
      <c r="HSN1" s="87" t="n"/>
      <c r="HSO1" s="87" t="n"/>
      <c r="HSP1" s="87" t="n"/>
      <c r="HSQ1" s="87" t="n"/>
      <c r="HSR1" s="87" t="n"/>
      <c r="HSS1" s="87" t="n"/>
      <c r="HST1" s="87" t="n"/>
      <c r="HSU1" s="87" t="n"/>
      <c r="HSV1" s="87" t="n"/>
      <c r="HSW1" s="87" t="n"/>
      <c r="HSX1" s="87" t="n"/>
      <c r="HSY1" s="87" t="n"/>
      <c r="HSZ1" s="87" t="n"/>
      <c r="HTA1" s="87" t="n"/>
      <c r="HTB1" s="87" t="n"/>
      <c r="HTC1" s="87" t="n"/>
      <c r="HTD1" s="87" t="n"/>
      <c r="HTE1" s="87" t="n"/>
      <c r="HTF1" s="87" t="n"/>
      <c r="HTG1" s="87" t="n"/>
      <c r="HTH1" s="87" t="n"/>
      <c r="HTI1" s="87" t="n"/>
      <c r="HTJ1" s="87" t="n"/>
      <c r="HTK1" s="87" t="n"/>
      <c r="HTL1" s="87" t="n"/>
      <c r="HTM1" s="87" t="n"/>
      <c r="HTN1" s="87" t="n"/>
      <c r="HTO1" s="87" t="n"/>
      <c r="HTP1" s="87" t="n"/>
      <c r="HTQ1" s="87" t="n"/>
      <c r="HTR1" s="87" t="n"/>
      <c r="HTS1" s="87" t="n"/>
      <c r="HTT1" s="87" t="n"/>
      <c r="HTU1" s="87" t="n"/>
      <c r="HTV1" s="87" t="n"/>
      <c r="HTW1" s="87" t="n"/>
      <c r="HTX1" s="87" t="n"/>
      <c r="HTY1" s="87" t="n"/>
      <c r="HTZ1" s="87" t="n"/>
      <c r="HUA1" s="87" t="n"/>
      <c r="HUB1" s="87" t="n"/>
      <c r="HUC1" s="87" t="n"/>
      <c r="HUD1" s="87" t="n"/>
      <c r="HUE1" s="87" t="n"/>
      <c r="HUF1" s="87" t="n"/>
      <c r="HUG1" s="87" t="n"/>
      <c r="HUH1" s="87" t="n"/>
      <c r="HUI1" s="87" t="n"/>
      <c r="HUJ1" s="87" t="n"/>
      <c r="HUK1" s="87" t="n"/>
      <c r="HUL1" s="87" t="n"/>
      <c r="HUM1" s="87" t="n"/>
      <c r="HUN1" s="87" t="n"/>
      <c r="HUO1" s="87" t="n"/>
      <c r="HUP1" s="87" t="n"/>
      <c r="HUQ1" s="87" t="n"/>
      <c r="HUR1" s="87" t="n"/>
      <c r="HUS1" s="87" t="n"/>
      <c r="HUT1" s="87" t="n"/>
      <c r="HUU1" s="87" t="n"/>
      <c r="HUV1" s="87" t="n"/>
      <c r="HUW1" s="87" t="n"/>
      <c r="HUX1" s="87" t="n"/>
      <c r="HUY1" s="87" t="n"/>
      <c r="HUZ1" s="87" t="n"/>
      <c r="HVA1" s="87" t="n"/>
      <c r="HVB1" s="87" t="n"/>
      <c r="HVC1" s="87" t="n"/>
      <c r="HVD1" s="87" t="n"/>
      <c r="HVE1" s="87" t="n"/>
      <c r="HVF1" s="87" t="n"/>
      <c r="HVG1" s="87" t="n"/>
      <c r="HVH1" s="87" t="n"/>
      <c r="HVI1" s="87" t="n"/>
      <c r="HVJ1" s="87" t="n"/>
      <c r="HVK1" s="87" t="n"/>
      <c r="HVL1" s="87" t="n"/>
      <c r="HVM1" s="87" t="n"/>
      <c r="HVN1" s="87" t="n"/>
      <c r="HVO1" s="87" t="n"/>
      <c r="HVP1" s="87" t="n"/>
      <c r="HVQ1" s="87" t="n"/>
      <c r="HVR1" s="87" t="n"/>
      <c r="HVS1" s="87" t="n"/>
      <c r="HVT1" s="87" t="n"/>
      <c r="HVU1" s="87" t="n"/>
      <c r="HVV1" s="87" t="n"/>
      <c r="HVW1" s="87" t="n"/>
      <c r="HVX1" s="87" t="n"/>
      <c r="HVY1" s="87" t="n"/>
      <c r="HVZ1" s="87" t="n"/>
      <c r="HWA1" s="87" t="n"/>
      <c r="HWB1" s="87" t="n"/>
      <c r="HWC1" s="87" t="n"/>
      <c r="HWD1" s="87" t="n"/>
      <c r="HWE1" s="87" t="n"/>
      <c r="HWF1" s="87" t="n"/>
      <c r="HWG1" s="87" t="n"/>
      <c r="HWH1" s="87" t="n"/>
      <c r="HWI1" s="87" t="n"/>
      <c r="HWJ1" s="87" t="n"/>
      <c r="HWK1" s="87" t="n"/>
      <c r="HWL1" s="87" t="n"/>
      <c r="HWM1" s="87" t="n"/>
      <c r="HWN1" s="87" t="n"/>
      <c r="HWO1" s="87" t="n"/>
      <c r="HWP1" s="87" t="n"/>
      <c r="HWQ1" s="87" t="n"/>
      <c r="HWR1" s="87" t="n"/>
      <c r="HWS1" s="87" t="n"/>
      <c r="HWT1" s="87" t="n"/>
      <c r="HWU1" s="87" t="n"/>
      <c r="HWV1" s="87" t="n"/>
      <c r="HWW1" s="87" t="n"/>
      <c r="HWX1" s="87" t="n"/>
      <c r="HWY1" s="87" t="n"/>
      <c r="HWZ1" s="87" t="n"/>
      <c r="HXA1" s="87" t="n"/>
      <c r="HXB1" s="87" t="n"/>
      <c r="HXC1" s="87" t="n"/>
      <c r="HXD1" s="87" t="n"/>
      <c r="HXE1" s="87" t="n"/>
      <c r="HXF1" s="87" t="n"/>
      <c r="HXG1" s="87" t="n"/>
      <c r="HXH1" s="87" t="n"/>
      <c r="HXI1" s="87" t="n"/>
      <c r="HXJ1" s="87" t="n"/>
      <c r="HXK1" s="87" t="n"/>
      <c r="HXL1" s="87" t="n"/>
      <c r="HXM1" s="87" t="n"/>
      <c r="HXN1" s="87" t="n"/>
      <c r="HXO1" s="87" t="n"/>
      <c r="HXP1" s="87" t="n"/>
      <c r="HXQ1" s="87" t="n"/>
      <c r="HXR1" s="87" t="n"/>
      <c r="HXS1" s="87" t="n"/>
      <c r="HXT1" s="87" t="n"/>
      <c r="HXU1" s="87" t="n"/>
      <c r="HXV1" s="87" t="n"/>
      <c r="HXW1" s="87" t="n"/>
      <c r="HXX1" s="87" t="n"/>
      <c r="HXY1" s="87" t="n"/>
      <c r="HXZ1" s="87" t="n"/>
      <c r="HYA1" s="87" t="n"/>
      <c r="HYB1" s="87" t="n"/>
      <c r="HYC1" s="87" t="n"/>
      <c r="HYD1" s="87" t="n"/>
      <c r="HYE1" s="87" t="n"/>
      <c r="HYF1" s="87" t="n"/>
      <c r="HYG1" s="87" t="n"/>
      <c r="HYH1" s="87" t="n"/>
      <c r="HYI1" s="87" t="n"/>
      <c r="HYJ1" s="87" t="n"/>
      <c r="HYK1" s="87" t="n"/>
      <c r="HYL1" s="87" t="n"/>
      <c r="HYM1" s="87" t="n"/>
      <c r="HYN1" s="87" t="n"/>
      <c r="HYO1" s="87" t="n"/>
      <c r="HYP1" s="87" t="n"/>
      <c r="HYQ1" s="87" t="n"/>
      <c r="HYR1" s="87" t="n"/>
      <c r="HYS1" s="87" t="n"/>
      <c r="HYT1" s="87" t="n"/>
      <c r="HYU1" s="87" t="n"/>
      <c r="HYV1" s="87" t="n"/>
      <c r="HYW1" s="87" t="n"/>
      <c r="HYX1" s="87" t="n"/>
      <c r="HYY1" s="87" t="n"/>
      <c r="HYZ1" s="87" t="n"/>
      <c r="HZA1" s="87" t="n"/>
      <c r="HZB1" s="87" t="n"/>
      <c r="HZC1" s="87" t="n"/>
      <c r="HZD1" s="87" t="n"/>
      <c r="HZE1" s="87" t="n"/>
      <c r="HZF1" s="87" t="n"/>
      <c r="HZG1" s="87" t="n"/>
      <c r="HZH1" s="87" t="n"/>
      <c r="HZI1" s="87" t="n"/>
      <c r="HZJ1" s="87" t="n"/>
      <c r="HZK1" s="87" t="n"/>
      <c r="HZL1" s="87" t="n"/>
      <c r="HZM1" s="87" t="n"/>
      <c r="HZN1" s="87" t="n"/>
      <c r="HZO1" s="87" t="n"/>
      <c r="HZP1" s="87" t="n"/>
      <c r="HZQ1" s="87" t="n"/>
      <c r="HZR1" s="87" t="n"/>
      <c r="HZS1" s="87" t="n"/>
      <c r="HZT1" s="87" t="n"/>
      <c r="HZU1" s="87" t="n"/>
      <c r="HZV1" s="87" t="n"/>
      <c r="HZW1" s="87" t="n"/>
      <c r="HZX1" s="87" t="n"/>
      <c r="HZY1" s="87" t="n"/>
      <c r="HZZ1" s="87" t="n"/>
      <c r="IAA1" s="87" t="n"/>
      <c r="IAB1" s="87" t="n"/>
      <c r="IAC1" s="87" t="n"/>
      <c r="IAD1" s="87" t="n"/>
      <c r="IAE1" s="87" t="n"/>
      <c r="IAF1" s="87" t="n"/>
      <c r="IAG1" s="87" t="n"/>
      <c r="IAH1" s="87" t="n"/>
      <c r="IAI1" s="87" t="n"/>
      <c r="IAJ1" s="87" t="n"/>
      <c r="IAK1" s="87" t="n"/>
      <c r="IAL1" s="87" t="n"/>
      <c r="IAM1" s="87" t="n"/>
      <c r="IAN1" s="87" t="n"/>
      <c r="IAO1" s="87" t="n"/>
      <c r="IAP1" s="87" t="n"/>
      <c r="IAQ1" s="87" t="n"/>
      <c r="IAR1" s="87" t="n"/>
      <c r="IAS1" s="87" t="n"/>
      <c r="IAT1" s="87" t="n"/>
      <c r="IAU1" s="87" t="n"/>
      <c r="IAV1" s="87" t="n"/>
      <c r="IAW1" s="87" t="n"/>
      <c r="IAX1" s="87" t="n"/>
      <c r="IAY1" s="87" t="n"/>
      <c r="IAZ1" s="87" t="n"/>
      <c r="IBA1" s="87" t="n"/>
      <c r="IBB1" s="87" t="n"/>
      <c r="IBC1" s="87" t="n"/>
      <c r="IBD1" s="87" t="n"/>
      <c r="IBE1" s="87" t="n"/>
      <c r="IBF1" s="87" t="n"/>
      <c r="IBG1" s="87" t="n"/>
      <c r="IBH1" s="87" t="n"/>
      <c r="IBI1" s="87" t="n"/>
      <c r="IBJ1" s="87" t="n"/>
      <c r="IBK1" s="87" t="n"/>
      <c r="IBL1" s="87" t="n"/>
      <c r="IBM1" s="87" t="n"/>
      <c r="IBN1" s="87" t="n"/>
      <c r="IBO1" s="87" t="n"/>
      <c r="IBP1" s="87" t="n"/>
      <c r="IBQ1" s="87" t="n"/>
      <c r="IBR1" s="87" t="n"/>
      <c r="IBS1" s="87" t="n"/>
      <c r="IBT1" s="87" t="n"/>
      <c r="IBU1" s="87" t="n"/>
      <c r="IBV1" s="87" t="n"/>
      <c r="IBW1" s="87" t="n"/>
      <c r="IBX1" s="87" t="n"/>
      <c r="IBY1" s="87" t="n"/>
      <c r="IBZ1" s="87" t="n"/>
      <c r="ICA1" s="87" t="n"/>
      <c r="ICB1" s="87" t="n"/>
      <c r="ICC1" s="87" t="n"/>
      <c r="ICD1" s="87" t="n"/>
      <c r="ICE1" s="87" t="n"/>
      <c r="ICF1" s="87" t="n"/>
      <c r="ICG1" s="87" t="n"/>
      <c r="ICH1" s="87" t="n"/>
      <c r="ICI1" s="87" t="n"/>
      <c r="ICJ1" s="87" t="n"/>
      <c r="ICK1" s="87" t="n"/>
      <c r="ICL1" s="87" t="n"/>
      <c r="ICM1" s="87" t="n"/>
      <c r="ICN1" s="87" t="n"/>
      <c r="ICO1" s="87" t="n"/>
      <c r="ICP1" s="87" t="n"/>
      <c r="ICQ1" s="87" t="n"/>
      <c r="ICR1" s="87" t="n"/>
      <c r="ICS1" s="87" t="n"/>
      <c r="ICT1" s="87" t="n"/>
      <c r="ICU1" s="87" t="n"/>
      <c r="ICV1" s="87" t="n"/>
      <c r="ICW1" s="87" t="n"/>
      <c r="ICX1" s="87" t="n"/>
      <c r="ICY1" s="87" t="n"/>
      <c r="ICZ1" s="87" t="n"/>
      <c r="IDA1" s="87" t="n"/>
      <c r="IDB1" s="87" t="n"/>
      <c r="IDC1" s="87" t="n"/>
      <c r="IDD1" s="87" t="n"/>
      <c r="IDE1" s="87" t="n"/>
      <c r="IDF1" s="87" t="n"/>
      <c r="IDG1" s="87" t="n"/>
      <c r="IDH1" s="87" t="n"/>
      <c r="IDI1" s="87" t="n"/>
      <c r="IDJ1" s="87" t="n"/>
      <c r="IDK1" s="87" t="n"/>
      <c r="IDL1" s="87" t="n"/>
      <c r="IDM1" s="87" t="n"/>
      <c r="IDN1" s="87" t="n"/>
      <c r="IDO1" s="87" t="n"/>
      <c r="IDP1" s="87" t="n"/>
      <c r="IDQ1" s="87" t="n"/>
      <c r="IDR1" s="87" t="n"/>
      <c r="IDS1" s="87" t="n"/>
      <c r="IDT1" s="87" t="n"/>
      <c r="IDU1" s="87" t="n"/>
      <c r="IDV1" s="87" t="n"/>
      <c r="IDW1" s="87" t="n"/>
      <c r="IDX1" s="87" t="n"/>
      <c r="IDY1" s="87" t="n"/>
      <c r="IDZ1" s="87" t="n"/>
      <c r="IEA1" s="87" t="n"/>
      <c r="IEB1" s="87" t="n"/>
      <c r="IEC1" s="87" t="n"/>
      <c r="IED1" s="87" t="n"/>
      <c r="IEE1" s="87" t="n"/>
      <c r="IEF1" s="87" t="n"/>
      <c r="IEG1" s="87" t="n"/>
      <c r="IEH1" s="87" t="n"/>
      <c r="IEI1" s="87" t="n"/>
      <c r="IEJ1" s="87" t="n"/>
      <c r="IEK1" s="87" t="n"/>
      <c r="IEL1" s="87" t="n"/>
      <c r="IEM1" s="87" t="n"/>
      <c r="IEN1" s="87" t="n"/>
      <c r="IEO1" s="87" t="n"/>
      <c r="IEP1" s="87" t="n"/>
      <c r="IEQ1" s="87" t="n"/>
      <c r="IER1" s="87" t="n"/>
      <c r="IES1" s="87" t="n"/>
      <c r="IET1" s="87" t="n"/>
      <c r="IEU1" s="87" t="n"/>
      <c r="IEV1" s="87" t="n"/>
      <c r="IEW1" s="87" t="n"/>
      <c r="IEX1" s="87" t="n"/>
      <c r="IEY1" s="87" t="n"/>
      <c r="IEZ1" s="87" t="n"/>
      <c r="IFA1" s="87" t="n"/>
      <c r="IFB1" s="87" t="n"/>
      <c r="IFC1" s="87" t="n"/>
      <c r="IFD1" s="87" t="n"/>
      <c r="IFE1" s="87" t="n"/>
      <c r="IFF1" s="87" t="n"/>
      <c r="IFG1" s="87" t="n"/>
      <c r="IFH1" s="87" t="n"/>
      <c r="IFI1" s="87" t="n"/>
      <c r="IFJ1" s="87" t="n"/>
      <c r="IFK1" s="87" t="n"/>
      <c r="IFL1" s="87" t="n"/>
      <c r="IFM1" s="87" t="n"/>
      <c r="IFN1" s="87" t="n"/>
      <c r="IFO1" s="87" t="n"/>
      <c r="IFP1" s="87" t="n"/>
      <c r="IFQ1" s="87" t="n"/>
      <c r="IFR1" s="87" t="n"/>
      <c r="IFS1" s="87" t="n"/>
      <c r="IFT1" s="87" t="n"/>
      <c r="IFU1" s="87" t="n"/>
      <c r="IFV1" s="87" t="n"/>
      <c r="IFW1" s="87" t="n"/>
      <c r="IFX1" s="87" t="n"/>
      <c r="IFY1" s="87" t="n"/>
      <c r="IFZ1" s="87" t="n"/>
      <c r="IGA1" s="87" t="n"/>
      <c r="IGB1" s="87" t="n"/>
      <c r="IGC1" s="87" t="n"/>
      <c r="IGD1" s="87" t="n"/>
      <c r="IGE1" s="87" t="n"/>
      <c r="IGF1" s="87" t="n"/>
      <c r="IGG1" s="87" t="n"/>
      <c r="IGH1" s="87" t="n"/>
      <c r="IGI1" s="87" t="n"/>
      <c r="IGJ1" s="87" t="n"/>
      <c r="IGK1" s="87" t="n"/>
      <c r="IGL1" s="87" t="n"/>
      <c r="IGM1" s="87" t="n"/>
      <c r="IGN1" s="87" t="n"/>
      <c r="IGO1" s="87" t="n"/>
      <c r="IGP1" s="87" t="n"/>
      <c r="IGQ1" s="87" t="n"/>
      <c r="IGR1" s="87" t="n"/>
      <c r="IGS1" s="87" t="n"/>
      <c r="IGT1" s="87" t="n"/>
      <c r="IGU1" s="87" t="n"/>
      <c r="IGV1" s="87" t="n"/>
      <c r="IGW1" s="87" t="n"/>
      <c r="IGX1" s="87" t="n"/>
      <c r="IGY1" s="87" t="n"/>
      <c r="IGZ1" s="87" t="n"/>
      <c r="IHA1" s="87" t="n"/>
      <c r="IHB1" s="87" t="n"/>
      <c r="IHC1" s="87" t="n"/>
      <c r="IHD1" s="87" t="n"/>
      <c r="IHE1" s="87" t="n"/>
      <c r="IHF1" s="87" t="n"/>
      <c r="IHG1" s="87" t="n"/>
      <c r="IHH1" s="87" t="n"/>
      <c r="IHI1" s="87" t="n"/>
      <c r="IHJ1" s="87" t="n"/>
      <c r="IHK1" s="87" t="n"/>
      <c r="IHL1" s="87" t="n"/>
      <c r="IHM1" s="87" t="n"/>
      <c r="IHN1" s="87" t="n"/>
      <c r="IHO1" s="87" t="n"/>
      <c r="IHP1" s="87" t="n"/>
      <c r="IHQ1" s="87" t="n"/>
      <c r="IHR1" s="87" t="n"/>
      <c r="IHS1" s="87" t="n"/>
      <c r="IHT1" s="87" t="n"/>
      <c r="IHU1" s="87" t="n"/>
      <c r="IHV1" s="87" t="n"/>
      <c r="IHW1" s="87" t="n"/>
      <c r="IHX1" s="87" t="n"/>
      <c r="IHY1" s="87" t="n"/>
      <c r="IHZ1" s="87" t="n"/>
      <c r="IIA1" s="87" t="n"/>
      <c r="IIB1" s="87" t="n"/>
      <c r="IIC1" s="87" t="n"/>
      <c r="IID1" s="87" t="n"/>
      <c r="IIE1" s="87" t="n"/>
      <c r="IIF1" s="87" t="n"/>
      <c r="IIG1" s="87" t="n"/>
      <c r="IIH1" s="87" t="n"/>
      <c r="III1" s="87" t="n"/>
      <c r="IIJ1" s="87" t="n"/>
      <c r="IIK1" s="87" t="n"/>
      <c r="IIL1" s="87" t="n"/>
      <c r="IIM1" s="87" t="n"/>
      <c r="IIN1" s="87" t="n"/>
      <c r="IIO1" s="87" t="n"/>
      <c r="IIP1" s="87" t="n"/>
      <c r="IIQ1" s="87" t="n"/>
      <c r="IIR1" s="87" t="n"/>
      <c r="IIS1" s="87" t="n"/>
      <c r="IIT1" s="87" t="n"/>
      <c r="IIU1" s="87" t="n"/>
      <c r="IIV1" s="87" t="n"/>
      <c r="IIW1" s="87" t="n"/>
      <c r="IIX1" s="87" t="n"/>
      <c r="IIY1" s="87" t="n"/>
      <c r="IIZ1" s="87" t="n"/>
      <c r="IJA1" s="87" t="n"/>
      <c r="IJB1" s="87" t="n"/>
      <c r="IJC1" s="87" t="n"/>
      <c r="IJD1" s="87" t="n"/>
      <c r="IJE1" s="87" t="n"/>
      <c r="IJF1" s="87" t="n"/>
      <c r="IJG1" s="87" t="n"/>
      <c r="IJH1" s="87" t="n"/>
      <c r="IJI1" s="87" t="n"/>
      <c r="IJJ1" s="87" t="n"/>
      <c r="IJK1" s="87" t="n"/>
      <c r="IJL1" s="87" t="n"/>
      <c r="IJM1" s="87" t="n"/>
      <c r="IJN1" s="87" t="n"/>
      <c r="IJO1" s="87" t="n"/>
      <c r="IJP1" s="87" t="n"/>
      <c r="IJQ1" s="87" t="n"/>
      <c r="IJR1" s="87" t="n"/>
      <c r="IJS1" s="87" t="n"/>
      <c r="IJT1" s="87" t="n"/>
      <c r="IJU1" s="87" t="n"/>
      <c r="IJV1" s="87" t="n"/>
      <c r="IJW1" s="87" t="n"/>
      <c r="IJX1" s="87" t="n"/>
      <c r="IJY1" s="87" t="n"/>
      <c r="IJZ1" s="87" t="n"/>
      <c r="IKA1" s="87" t="n"/>
      <c r="IKB1" s="87" t="n"/>
      <c r="IKC1" s="87" t="n"/>
      <c r="IKD1" s="87" t="n"/>
      <c r="IKE1" s="87" t="n"/>
      <c r="IKF1" s="87" t="n"/>
      <c r="IKG1" s="87" t="n"/>
      <c r="IKH1" s="87" t="n"/>
      <c r="IKI1" s="87" t="n"/>
      <c r="IKJ1" s="87" t="n"/>
      <c r="IKK1" s="87" t="n"/>
      <c r="IKL1" s="87" t="n"/>
      <c r="IKM1" s="87" t="n"/>
      <c r="IKN1" s="87" t="n"/>
      <c r="IKO1" s="87" t="n"/>
      <c r="IKP1" s="87" t="n"/>
      <c r="IKQ1" s="87" t="n"/>
      <c r="IKR1" s="87" t="n"/>
      <c r="IKS1" s="87" t="n"/>
      <c r="IKT1" s="87" t="n"/>
      <c r="IKU1" s="87" t="n"/>
      <c r="IKV1" s="87" t="n"/>
      <c r="IKW1" s="87" t="n"/>
      <c r="IKX1" s="87" t="n"/>
      <c r="IKY1" s="87" t="n"/>
      <c r="IKZ1" s="87" t="n"/>
      <c r="ILA1" s="87" t="n"/>
      <c r="ILB1" s="87" t="n"/>
      <c r="ILC1" s="87" t="n"/>
      <c r="ILD1" s="87" t="n"/>
      <c r="ILE1" s="87" t="n"/>
      <c r="ILF1" s="87" t="n"/>
      <c r="ILG1" s="87" t="n"/>
      <c r="ILH1" s="87" t="n"/>
      <c r="ILI1" s="87" t="n"/>
      <c r="ILJ1" s="87" t="n"/>
      <c r="ILK1" s="87" t="n"/>
      <c r="ILL1" s="87" t="n"/>
      <c r="ILM1" s="87" t="n"/>
      <c r="ILN1" s="87" t="n"/>
      <c r="ILO1" s="87" t="n"/>
      <c r="ILP1" s="87" t="n"/>
      <c r="ILQ1" s="87" t="n"/>
      <c r="ILR1" s="87" t="n"/>
      <c r="ILS1" s="87" t="n"/>
      <c r="ILT1" s="87" t="n"/>
      <c r="ILU1" s="87" t="n"/>
      <c r="ILV1" s="87" t="n"/>
      <c r="ILW1" s="87" t="n"/>
      <c r="ILX1" s="87" t="n"/>
      <c r="ILY1" s="87" t="n"/>
      <c r="ILZ1" s="87" t="n"/>
      <c r="IMA1" s="87" t="n"/>
      <c r="IMB1" s="87" t="n"/>
      <c r="IMC1" s="87" t="n"/>
      <c r="IMD1" s="87" t="n"/>
      <c r="IME1" s="87" t="n"/>
      <c r="IMF1" s="87" t="n"/>
      <c r="IMG1" s="87" t="n"/>
      <c r="IMH1" s="87" t="n"/>
      <c r="IMI1" s="87" t="n"/>
      <c r="IMJ1" s="87" t="n"/>
      <c r="IMK1" s="87" t="n"/>
      <c r="IML1" s="87" t="n"/>
      <c r="IMM1" s="87" t="n"/>
      <c r="IMN1" s="87" t="n"/>
      <c r="IMO1" s="87" t="n"/>
      <c r="IMP1" s="87" t="n"/>
      <c r="IMQ1" s="87" t="n"/>
      <c r="IMR1" s="87" t="n"/>
      <c r="IMS1" s="87" t="n"/>
      <c r="IMT1" s="87" t="n"/>
      <c r="IMU1" s="87" t="n"/>
      <c r="IMV1" s="87" t="n"/>
      <c r="IMW1" s="87" t="n"/>
      <c r="IMX1" s="87" t="n"/>
      <c r="IMY1" s="87" t="n"/>
      <c r="IMZ1" s="87" t="n"/>
      <c r="INA1" s="87" t="n"/>
      <c r="INB1" s="87" t="n"/>
      <c r="INC1" s="87" t="n"/>
      <c r="IND1" s="87" t="n"/>
      <c r="INE1" s="87" t="n"/>
      <c r="INF1" s="87" t="n"/>
      <c r="ING1" s="87" t="n"/>
      <c r="INH1" s="87" t="n"/>
      <c r="INI1" s="87" t="n"/>
      <c r="INJ1" s="87" t="n"/>
      <c r="INK1" s="87" t="n"/>
      <c r="INL1" s="87" t="n"/>
      <c r="INM1" s="87" t="n"/>
      <c r="INN1" s="87" t="n"/>
      <c r="INO1" s="87" t="n"/>
      <c r="INP1" s="87" t="n"/>
      <c r="INQ1" s="87" t="n"/>
      <c r="INR1" s="87" t="n"/>
      <c r="INS1" s="87" t="n"/>
      <c r="INT1" s="87" t="n"/>
      <c r="INU1" s="87" t="n"/>
      <c r="INV1" s="87" t="n"/>
      <c r="INW1" s="87" t="n"/>
      <c r="INX1" s="87" t="n"/>
      <c r="INY1" s="87" t="n"/>
      <c r="INZ1" s="87" t="n"/>
      <c r="IOA1" s="87" t="n"/>
      <c r="IOB1" s="87" t="n"/>
      <c r="IOC1" s="87" t="n"/>
      <c r="IOD1" s="87" t="n"/>
      <c r="IOE1" s="87" t="n"/>
      <c r="IOF1" s="87" t="n"/>
      <c r="IOG1" s="87" t="n"/>
      <c r="IOH1" s="87" t="n"/>
      <c r="IOI1" s="87" t="n"/>
      <c r="IOJ1" s="87" t="n"/>
      <c r="IOK1" s="87" t="n"/>
      <c r="IOL1" s="87" t="n"/>
      <c r="IOM1" s="87" t="n"/>
      <c r="ION1" s="87" t="n"/>
      <c r="IOO1" s="87" t="n"/>
      <c r="IOP1" s="87" t="n"/>
      <c r="IOQ1" s="87" t="n"/>
      <c r="IOR1" s="87" t="n"/>
      <c r="IOS1" s="87" t="n"/>
      <c r="IOT1" s="87" t="n"/>
      <c r="IOU1" s="87" t="n"/>
      <c r="IOV1" s="87" t="n"/>
      <c r="IOW1" s="87" t="n"/>
      <c r="IOX1" s="87" t="n"/>
      <c r="IOY1" s="87" t="n"/>
      <c r="IOZ1" s="87" t="n"/>
      <c r="IPA1" s="87" t="n"/>
      <c r="IPB1" s="87" t="n"/>
      <c r="IPC1" s="87" t="n"/>
      <c r="IPD1" s="87" t="n"/>
      <c r="IPE1" s="87" t="n"/>
      <c r="IPF1" s="87" t="n"/>
      <c r="IPG1" s="87" t="n"/>
      <c r="IPH1" s="87" t="n"/>
      <c r="IPI1" s="87" t="n"/>
      <c r="IPJ1" s="87" t="n"/>
      <c r="IPK1" s="87" t="n"/>
      <c r="IPL1" s="87" t="n"/>
      <c r="IPM1" s="87" t="n"/>
      <c r="IPN1" s="87" t="n"/>
      <c r="IPO1" s="87" t="n"/>
      <c r="IPP1" s="87" t="n"/>
      <c r="IPQ1" s="87" t="n"/>
      <c r="IPR1" s="87" t="n"/>
      <c r="IPS1" s="87" t="n"/>
      <c r="IPT1" s="87" t="n"/>
      <c r="IPU1" s="87" t="n"/>
      <c r="IPV1" s="87" t="n"/>
      <c r="IPW1" s="87" t="n"/>
      <c r="IPX1" s="87" t="n"/>
      <c r="IPY1" s="87" t="n"/>
      <c r="IPZ1" s="87" t="n"/>
      <c r="IQA1" s="87" t="n"/>
      <c r="IQB1" s="87" t="n"/>
      <c r="IQC1" s="87" t="n"/>
      <c r="IQD1" s="87" t="n"/>
      <c r="IQE1" s="87" t="n"/>
      <c r="IQF1" s="87" t="n"/>
      <c r="IQG1" s="87" t="n"/>
      <c r="IQH1" s="87" t="n"/>
      <c r="IQI1" s="87" t="n"/>
      <c r="IQJ1" s="87" t="n"/>
      <c r="IQK1" s="87" t="n"/>
      <c r="IQL1" s="87" t="n"/>
      <c r="IQM1" s="87" t="n"/>
      <c r="IQN1" s="87" t="n"/>
      <c r="IQO1" s="87" t="n"/>
      <c r="IQP1" s="87" t="n"/>
      <c r="IQQ1" s="87" t="n"/>
      <c r="IQR1" s="87" t="n"/>
      <c r="IQS1" s="87" t="n"/>
      <c r="IQT1" s="87" t="n"/>
      <c r="IQU1" s="87" t="n"/>
      <c r="IQV1" s="87" t="n"/>
      <c r="IQW1" s="87" t="n"/>
      <c r="IQX1" s="87" t="n"/>
      <c r="IQY1" s="87" t="n"/>
      <c r="IQZ1" s="87" t="n"/>
      <c r="IRA1" s="87" t="n"/>
      <c r="IRB1" s="87" t="n"/>
      <c r="IRC1" s="87" t="n"/>
      <c r="IRD1" s="87" t="n"/>
      <c r="IRE1" s="87" t="n"/>
      <c r="IRF1" s="87" t="n"/>
      <c r="IRG1" s="87" t="n"/>
      <c r="IRH1" s="87" t="n"/>
      <c r="IRI1" s="87" t="n"/>
      <c r="IRJ1" s="87" t="n"/>
      <c r="IRK1" s="87" t="n"/>
      <c r="IRL1" s="87" t="n"/>
      <c r="IRM1" s="87" t="n"/>
      <c r="IRN1" s="87" t="n"/>
      <c r="IRO1" s="87" t="n"/>
      <c r="IRP1" s="87" t="n"/>
      <c r="IRQ1" s="87" t="n"/>
      <c r="IRR1" s="87" t="n"/>
      <c r="IRS1" s="87" t="n"/>
      <c r="IRT1" s="87" t="n"/>
      <c r="IRU1" s="87" t="n"/>
      <c r="IRV1" s="87" t="n"/>
      <c r="IRW1" s="87" t="n"/>
      <c r="IRX1" s="87" t="n"/>
      <c r="IRY1" s="87" t="n"/>
      <c r="IRZ1" s="87" t="n"/>
      <c r="ISA1" s="87" t="n"/>
      <c r="ISB1" s="87" t="n"/>
      <c r="ISC1" s="87" t="n"/>
      <c r="ISD1" s="87" t="n"/>
      <c r="ISE1" s="87" t="n"/>
      <c r="ISF1" s="87" t="n"/>
      <c r="ISG1" s="87" t="n"/>
      <c r="ISH1" s="87" t="n"/>
      <c r="ISI1" s="87" t="n"/>
      <c r="ISJ1" s="87" t="n"/>
      <c r="ISK1" s="87" t="n"/>
      <c r="ISL1" s="87" t="n"/>
      <c r="ISM1" s="87" t="n"/>
      <c r="ISN1" s="87" t="n"/>
      <c r="ISO1" s="87" t="n"/>
      <c r="ISP1" s="87" t="n"/>
      <c r="ISQ1" s="87" t="n"/>
      <c r="ISR1" s="87" t="n"/>
      <c r="ISS1" s="87" t="n"/>
      <c r="IST1" s="87" t="n"/>
      <c r="ISU1" s="87" t="n"/>
      <c r="ISV1" s="87" t="n"/>
      <c r="ISW1" s="87" t="n"/>
      <c r="ISX1" s="87" t="n"/>
      <c r="ISY1" s="87" t="n"/>
      <c r="ISZ1" s="87" t="n"/>
      <c r="ITA1" s="87" t="n"/>
      <c r="ITB1" s="87" t="n"/>
      <c r="ITC1" s="87" t="n"/>
      <c r="ITD1" s="87" t="n"/>
      <c r="ITE1" s="87" t="n"/>
      <c r="ITF1" s="87" t="n"/>
      <c r="ITG1" s="87" t="n"/>
      <c r="ITH1" s="87" t="n"/>
      <c r="ITI1" s="87" t="n"/>
      <c r="ITJ1" s="87" t="n"/>
      <c r="ITK1" s="87" t="n"/>
      <c r="ITL1" s="87" t="n"/>
      <c r="ITM1" s="87" t="n"/>
      <c r="ITN1" s="87" t="n"/>
      <c r="ITO1" s="87" t="n"/>
      <c r="ITP1" s="87" t="n"/>
      <c r="ITQ1" s="87" t="n"/>
      <c r="ITR1" s="87" t="n"/>
      <c r="ITS1" s="87" t="n"/>
      <c r="ITT1" s="87" t="n"/>
      <c r="ITU1" s="87" t="n"/>
      <c r="ITV1" s="87" t="n"/>
      <c r="ITW1" s="87" t="n"/>
      <c r="ITX1" s="87" t="n"/>
      <c r="ITY1" s="87" t="n"/>
      <c r="ITZ1" s="87" t="n"/>
      <c r="IUA1" s="87" t="n"/>
      <c r="IUB1" s="87" t="n"/>
      <c r="IUC1" s="87" t="n"/>
      <c r="IUD1" s="87" t="n"/>
      <c r="IUE1" s="87" t="n"/>
      <c r="IUF1" s="87" t="n"/>
      <c r="IUG1" s="87" t="n"/>
      <c r="IUH1" s="87" t="n"/>
      <c r="IUI1" s="87" t="n"/>
      <c r="IUJ1" s="87" t="n"/>
      <c r="IUK1" s="87" t="n"/>
      <c r="IUL1" s="87" t="n"/>
      <c r="IUM1" s="87" t="n"/>
      <c r="IUN1" s="87" t="n"/>
      <c r="IUO1" s="87" t="n"/>
      <c r="IUP1" s="87" t="n"/>
      <c r="IUQ1" s="87" t="n"/>
      <c r="IUR1" s="87" t="n"/>
      <c r="IUS1" s="87" t="n"/>
      <c r="IUT1" s="87" t="n"/>
      <c r="IUU1" s="87" t="n"/>
      <c r="IUV1" s="87" t="n"/>
      <c r="IUW1" s="87" t="n"/>
      <c r="IUX1" s="87" t="n"/>
      <c r="IUY1" s="87" t="n"/>
      <c r="IUZ1" s="87" t="n"/>
      <c r="IVA1" s="87" t="n"/>
      <c r="IVB1" s="87" t="n"/>
      <c r="IVC1" s="87" t="n"/>
      <c r="IVD1" s="87" t="n"/>
      <c r="IVE1" s="87" t="n"/>
      <c r="IVF1" s="87" t="n"/>
      <c r="IVG1" s="87" t="n"/>
      <c r="IVH1" s="87" t="n"/>
      <c r="IVI1" s="87" t="n"/>
      <c r="IVJ1" s="87" t="n"/>
      <c r="IVK1" s="87" t="n"/>
      <c r="IVL1" s="87" t="n"/>
      <c r="IVM1" s="87" t="n"/>
      <c r="IVN1" s="87" t="n"/>
      <c r="IVO1" s="87" t="n"/>
      <c r="IVP1" s="87" t="n"/>
      <c r="IVQ1" s="87" t="n"/>
      <c r="IVR1" s="87" t="n"/>
      <c r="IVS1" s="87" t="n"/>
      <c r="IVT1" s="87" t="n"/>
      <c r="IVU1" s="87" t="n"/>
      <c r="IVV1" s="87" t="n"/>
      <c r="IVW1" s="87" t="n"/>
      <c r="IVX1" s="87" t="n"/>
      <c r="IVY1" s="87" t="n"/>
      <c r="IVZ1" s="87" t="n"/>
      <c r="IWA1" s="87" t="n"/>
      <c r="IWB1" s="87" t="n"/>
      <c r="IWC1" s="87" t="n"/>
      <c r="IWD1" s="87" t="n"/>
      <c r="IWE1" s="87" t="n"/>
      <c r="IWF1" s="87" t="n"/>
      <c r="IWG1" s="87" t="n"/>
      <c r="IWH1" s="87" t="n"/>
      <c r="IWI1" s="87" t="n"/>
      <c r="IWJ1" s="87" t="n"/>
      <c r="IWK1" s="87" t="n"/>
      <c r="IWL1" s="87" t="n"/>
      <c r="IWM1" s="87" t="n"/>
      <c r="IWN1" s="87" t="n"/>
      <c r="IWO1" s="87" t="n"/>
      <c r="IWP1" s="87" t="n"/>
      <c r="IWQ1" s="87" t="n"/>
      <c r="IWR1" s="87" t="n"/>
      <c r="IWS1" s="87" t="n"/>
      <c r="IWT1" s="87" t="n"/>
      <c r="IWU1" s="87" t="n"/>
      <c r="IWV1" s="87" t="n"/>
      <c r="IWW1" s="87" t="n"/>
      <c r="IWX1" s="87" t="n"/>
      <c r="IWY1" s="87" t="n"/>
      <c r="IWZ1" s="87" t="n"/>
      <c r="IXA1" s="87" t="n"/>
      <c r="IXB1" s="87" t="n"/>
      <c r="IXC1" s="87" t="n"/>
      <c r="IXD1" s="87" t="n"/>
      <c r="IXE1" s="87" t="n"/>
      <c r="IXF1" s="87" t="n"/>
      <c r="IXG1" s="87" t="n"/>
      <c r="IXH1" s="87" t="n"/>
      <c r="IXI1" s="87" t="n"/>
      <c r="IXJ1" s="87" t="n"/>
      <c r="IXK1" s="87" t="n"/>
      <c r="IXL1" s="87" t="n"/>
      <c r="IXM1" s="87" t="n"/>
      <c r="IXN1" s="87" t="n"/>
      <c r="IXO1" s="87" t="n"/>
      <c r="IXP1" s="87" t="n"/>
      <c r="IXQ1" s="87" t="n"/>
      <c r="IXR1" s="87" t="n"/>
      <c r="IXS1" s="87" t="n"/>
      <c r="IXT1" s="87" t="n"/>
      <c r="IXU1" s="87" t="n"/>
      <c r="IXV1" s="87" t="n"/>
      <c r="IXW1" s="87" t="n"/>
      <c r="IXX1" s="87" t="n"/>
      <c r="IXY1" s="87" t="n"/>
      <c r="IXZ1" s="87" t="n"/>
      <c r="IYA1" s="87" t="n"/>
      <c r="IYB1" s="87" t="n"/>
      <c r="IYC1" s="87" t="n"/>
      <c r="IYD1" s="87" t="n"/>
      <c r="IYE1" s="87" t="n"/>
      <c r="IYF1" s="87" t="n"/>
      <c r="IYG1" s="87" t="n"/>
      <c r="IYH1" s="87" t="n"/>
      <c r="IYI1" s="87" t="n"/>
      <c r="IYJ1" s="87" t="n"/>
      <c r="IYK1" s="87" t="n"/>
      <c r="IYL1" s="87" t="n"/>
      <c r="IYM1" s="87" t="n"/>
      <c r="IYN1" s="87" t="n"/>
      <c r="IYO1" s="87" t="n"/>
      <c r="IYP1" s="87" t="n"/>
      <c r="IYQ1" s="87" t="n"/>
      <c r="IYR1" s="87" t="n"/>
      <c r="IYS1" s="87" t="n"/>
      <c r="IYT1" s="87" t="n"/>
      <c r="IYU1" s="87" t="n"/>
      <c r="IYV1" s="87" t="n"/>
      <c r="IYW1" s="87" t="n"/>
      <c r="IYX1" s="87" t="n"/>
      <c r="IYY1" s="87" t="n"/>
      <c r="IYZ1" s="87" t="n"/>
      <c r="IZA1" s="87" t="n"/>
      <c r="IZB1" s="87" t="n"/>
      <c r="IZC1" s="87" t="n"/>
      <c r="IZD1" s="87" t="n"/>
      <c r="IZE1" s="87" t="n"/>
      <c r="IZF1" s="87" t="n"/>
      <c r="IZG1" s="87" t="n"/>
      <c r="IZH1" s="87" t="n"/>
      <c r="IZI1" s="87" t="n"/>
      <c r="IZJ1" s="87" t="n"/>
      <c r="IZK1" s="87" t="n"/>
      <c r="IZL1" s="87" t="n"/>
      <c r="IZM1" s="87" t="n"/>
      <c r="IZN1" s="87" t="n"/>
      <c r="IZO1" s="87" t="n"/>
      <c r="IZP1" s="87" t="n"/>
      <c r="IZQ1" s="87" t="n"/>
      <c r="IZR1" s="87" t="n"/>
      <c r="IZS1" s="87" t="n"/>
      <c r="IZT1" s="87" t="n"/>
      <c r="IZU1" s="87" t="n"/>
      <c r="IZV1" s="87" t="n"/>
      <c r="IZW1" s="87" t="n"/>
      <c r="IZX1" s="87" t="n"/>
      <c r="IZY1" s="87" t="n"/>
      <c r="IZZ1" s="87" t="n"/>
      <c r="JAA1" s="87" t="n"/>
      <c r="JAB1" s="87" t="n"/>
      <c r="JAC1" s="87" t="n"/>
      <c r="JAD1" s="87" t="n"/>
      <c r="JAE1" s="87" t="n"/>
      <c r="JAF1" s="87" t="n"/>
      <c r="JAG1" s="87" t="n"/>
      <c r="JAH1" s="87" t="n"/>
      <c r="JAI1" s="87" t="n"/>
      <c r="JAJ1" s="87" t="n"/>
      <c r="JAK1" s="87" t="n"/>
      <c r="JAL1" s="87" t="n"/>
      <c r="JAM1" s="87" t="n"/>
      <c r="JAN1" s="87" t="n"/>
      <c r="JAO1" s="87" t="n"/>
      <c r="JAP1" s="87" t="n"/>
      <c r="JAQ1" s="87" t="n"/>
      <c r="JAR1" s="87" t="n"/>
      <c r="JAS1" s="87" t="n"/>
      <c r="JAT1" s="87" t="n"/>
      <c r="JAU1" s="87" t="n"/>
      <c r="JAV1" s="87" t="n"/>
      <c r="JAW1" s="87" t="n"/>
      <c r="JAX1" s="87" t="n"/>
      <c r="JAY1" s="87" t="n"/>
      <c r="JAZ1" s="87" t="n"/>
      <c r="JBA1" s="87" t="n"/>
      <c r="JBB1" s="87" t="n"/>
      <c r="JBC1" s="87" t="n"/>
      <c r="JBD1" s="87" t="n"/>
      <c r="JBE1" s="87" t="n"/>
      <c r="JBF1" s="87" t="n"/>
      <c r="JBG1" s="87" t="n"/>
      <c r="JBH1" s="87" t="n"/>
      <c r="JBI1" s="87" t="n"/>
      <c r="JBJ1" s="87" t="n"/>
      <c r="JBK1" s="87" t="n"/>
      <c r="JBL1" s="87" t="n"/>
      <c r="JBM1" s="87" t="n"/>
      <c r="JBN1" s="87" t="n"/>
      <c r="JBO1" s="87" t="n"/>
      <c r="JBP1" s="87" t="n"/>
      <c r="JBQ1" s="87" t="n"/>
      <c r="JBR1" s="87" t="n"/>
      <c r="JBS1" s="87" t="n"/>
      <c r="JBT1" s="87" t="n"/>
      <c r="JBU1" s="87" t="n"/>
      <c r="JBV1" s="87" t="n"/>
      <c r="JBW1" s="87" t="n"/>
      <c r="JBX1" s="87" t="n"/>
      <c r="JBY1" s="87" t="n"/>
      <c r="JBZ1" s="87" t="n"/>
      <c r="JCA1" s="87" t="n"/>
      <c r="JCB1" s="87" t="n"/>
      <c r="JCC1" s="87" t="n"/>
      <c r="JCD1" s="87" t="n"/>
      <c r="JCE1" s="87" t="n"/>
      <c r="JCF1" s="87" t="n"/>
      <c r="JCG1" s="87" t="n"/>
      <c r="JCH1" s="87" t="n"/>
      <c r="JCI1" s="87" t="n"/>
      <c r="JCJ1" s="87" t="n"/>
      <c r="JCK1" s="87" t="n"/>
      <c r="JCL1" s="87" t="n"/>
      <c r="JCM1" s="87" t="n"/>
      <c r="JCN1" s="87" t="n"/>
      <c r="JCO1" s="87" t="n"/>
      <c r="JCP1" s="87" t="n"/>
      <c r="JCQ1" s="87" t="n"/>
      <c r="JCR1" s="87" t="n"/>
      <c r="JCS1" s="87" t="n"/>
      <c r="JCT1" s="87" t="n"/>
      <c r="JCU1" s="87" t="n"/>
      <c r="JCV1" s="87" t="n"/>
      <c r="JCW1" s="87" t="n"/>
      <c r="JCX1" s="87" t="n"/>
      <c r="JCY1" s="87" t="n"/>
      <c r="JCZ1" s="87" t="n"/>
      <c r="JDA1" s="87" t="n"/>
      <c r="JDB1" s="87" t="n"/>
      <c r="JDC1" s="87" t="n"/>
      <c r="JDD1" s="87" t="n"/>
      <c r="JDE1" s="87" t="n"/>
      <c r="JDF1" s="87" t="n"/>
      <c r="JDG1" s="87" t="n"/>
      <c r="JDH1" s="87" t="n"/>
      <c r="JDI1" s="87" t="n"/>
      <c r="JDJ1" s="87" t="n"/>
      <c r="JDK1" s="87" t="n"/>
      <c r="JDL1" s="87" t="n"/>
      <c r="JDM1" s="87" t="n"/>
      <c r="JDN1" s="87" t="n"/>
      <c r="JDO1" s="87" t="n"/>
      <c r="JDP1" s="87" t="n"/>
      <c r="JDQ1" s="87" t="n"/>
      <c r="JDR1" s="87" t="n"/>
      <c r="JDS1" s="87" t="n"/>
      <c r="JDT1" s="87" t="n"/>
      <c r="JDU1" s="87" t="n"/>
      <c r="JDV1" s="87" t="n"/>
      <c r="JDW1" s="87" t="n"/>
      <c r="JDX1" s="87" t="n"/>
      <c r="JDY1" s="87" t="n"/>
      <c r="JDZ1" s="87" t="n"/>
      <c r="JEA1" s="87" t="n"/>
      <c r="JEB1" s="87" t="n"/>
      <c r="JEC1" s="87" t="n"/>
      <c r="JED1" s="87" t="n"/>
      <c r="JEE1" s="87" t="n"/>
      <c r="JEF1" s="87" t="n"/>
      <c r="JEG1" s="87" t="n"/>
      <c r="JEH1" s="87" t="n"/>
      <c r="JEI1" s="87" t="n"/>
      <c r="JEJ1" s="87" t="n"/>
      <c r="JEK1" s="87" t="n"/>
      <c r="JEL1" s="87" t="n"/>
      <c r="JEM1" s="87" t="n"/>
      <c r="JEN1" s="87" t="n"/>
      <c r="JEO1" s="87" t="n"/>
      <c r="JEP1" s="87" t="n"/>
      <c r="JEQ1" s="87" t="n"/>
      <c r="JER1" s="87" t="n"/>
      <c r="JES1" s="87" t="n"/>
      <c r="JET1" s="87" t="n"/>
      <c r="JEU1" s="87" t="n"/>
      <c r="JEV1" s="87" t="n"/>
      <c r="JEW1" s="87" t="n"/>
      <c r="JEX1" s="87" t="n"/>
      <c r="JEY1" s="87" t="n"/>
      <c r="JEZ1" s="87" t="n"/>
      <c r="JFA1" s="87" t="n"/>
      <c r="JFB1" s="87" t="n"/>
      <c r="JFC1" s="87" t="n"/>
      <c r="JFD1" s="87" t="n"/>
      <c r="JFE1" s="87" t="n"/>
      <c r="JFF1" s="87" t="n"/>
      <c r="JFG1" s="87" t="n"/>
      <c r="JFH1" s="87" t="n"/>
      <c r="JFI1" s="87" t="n"/>
      <c r="JFJ1" s="87" t="n"/>
      <c r="JFK1" s="87" t="n"/>
      <c r="JFL1" s="87" t="n"/>
      <c r="JFM1" s="87" t="n"/>
      <c r="JFN1" s="87" t="n"/>
      <c r="JFO1" s="87" t="n"/>
      <c r="JFP1" s="87" t="n"/>
      <c r="JFQ1" s="87" t="n"/>
      <c r="JFR1" s="87" t="n"/>
      <c r="JFS1" s="87" t="n"/>
      <c r="JFT1" s="87" t="n"/>
      <c r="JFU1" s="87" t="n"/>
      <c r="JFV1" s="87" t="n"/>
      <c r="JFW1" s="87" t="n"/>
      <c r="JFX1" s="87" t="n"/>
      <c r="JFY1" s="87" t="n"/>
      <c r="JFZ1" s="87" t="n"/>
      <c r="JGA1" s="87" t="n"/>
      <c r="JGB1" s="87" t="n"/>
      <c r="JGC1" s="87" t="n"/>
      <c r="JGD1" s="87" t="n"/>
      <c r="JGE1" s="87" t="n"/>
      <c r="JGF1" s="87" t="n"/>
      <c r="JGG1" s="87" t="n"/>
      <c r="JGH1" s="87" t="n"/>
      <c r="JGI1" s="87" t="n"/>
      <c r="JGJ1" s="87" t="n"/>
      <c r="JGK1" s="87" t="n"/>
      <c r="JGL1" s="87" t="n"/>
      <c r="JGM1" s="87" t="n"/>
      <c r="JGN1" s="87" t="n"/>
      <c r="JGO1" s="87" t="n"/>
      <c r="JGP1" s="87" t="n"/>
      <c r="JGQ1" s="87" t="n"/>
      <c r="JGR1" s="87" t="n"/>
      <c r="JGS1" s="87" t="n"/>
      <c r="JGT1" s="87" t="n"/>
      <c r="JGU1" s="87" t="n"/>
      <c r="JGV1" s="87" t="n"/>
      <c r="JGW1" s="87" t="n"/>
      <c r="JGX1" s="87" t="n"/>
      <c r="JGY1" s="87" t="n"/>
      <c r="JGZ1" s="87" t="n"/>
      <c r="JHA1" s="87" t="n"/>
      <c r="JHB1" s="87" t="n"/>
      <c r="JHC1" s="87" t="n"/>
      <c r="JHD1" s="87" t="n"/>
      <c r="JHE1" s="87" t="n"/>
      <c r="JHF1" s="87" t="n"/>
      <c r="JHG1" s="87" t="n"/>
      <c r="JHH1" s="87" t="n"/>
      <c r="JHI1" s="87" t="n"/>
      <c r="JHJ1" s="87" t="n"/>
      <c r="JHK1" s="87" t="n"/>
      <c r="JHL1" s="87" t="n"/>
      <c r="JHM1" s="87" t="n"/>
      <c r="JHN1" s="87" t="n"/>
      <c r="JHO1" s="87" t="n"/>
      <c r="JHP1" s="87" t="n"/>
      <c r="JHQ1" s="87" t="n"/>
      <c r="JHR1" s="87" t="n"/>
      <c r="JHS1" s="87" t="n"/>
      <c r="JHT1" s="87" t="n"/>
      <c r="JHU1" s="87" t="n"/>
      <c r="JHV1" s="87" t="n"/>
      <c r="JHW1" s="87" t="n"/>
      <c r="JHX1" s="87" t="n"/>
      <c r="JHY1" s="87" t="n"/>
      <c r="JHZ1" s="87" t="n"/>
      <c r="JIA1" s="87" t="n"/>
      <c r="JIB1" s="87" t="n"/>
      <c r="JIC1" s="87" t="n"/>
      <c r="JID1" s="87" t="n"/>
      <c r="JIE1" s="87" t="n"/>
      <c r="JIF1" s="87" t="n"/>
      <c r="JIG1" s="87" t="n"/>
      <c r="JIH1" s="87" t="n"/>
      <c r="JII1" s="87" t="n"/>
      <c r="JIJ1" s="87" t="n"/>
      <c r="JIK1" s="87" t="n"/>
      <c r="JIL1" s="87" t="n"/>
      <c r="JIM1" s="87" t="n"/>
      <c r="JIN1" s="87" t="n"/>
      <c r="JIO1" s="87" t="n"/>
      <c r="JIP1" s="87" t="n"/>
      <c r="JIQ1" s="87" t="n"/>
      <c r="JIR1" s="87" t="n"/>
      <c r="JIS1" s="87" t="n"/>
      <c r="JIT1" s="87" t="n"/>
      <c r="JIU1" s="87" t="n"/>
      <c r="JIV1" s="87" t="n"/>
      <c r="JIW1" s="87" t="n"/>
      <c r="JIX1" s="87" t="n"/>
      <c r="JIY1" s="87" t="n"/>
      <c r="JIZ1" s="87" t="n"/>
      <c r="JJA1" s="87" t="n"/>
      <c r="JJB1" s="87" t="n"/>
      <c r="JJC1" s="87" t="n"/>
      <c r="JJD1" s="87" t="n"/>
      <c r="JJE1" s="87" t="n"/>
      <c r="JJF1" s="87" t="n"/>
      <c r="JJG1" s="87" t="n"/>
      <c r="JJH1" s="87" t="n"/>
      <c r="JJI1" s="87" t="n"/>
      <c r="JJJ1" s="87" t="n"/>
      <c r="JJK1" s="87" t="n"/>
      <c r="JJL1" s="87" t="n"/>
      <c r="JJM1" s="87" t="n"/>
      <c r="JJN1" s="87" t="n"/>
      <c r="JJO1" s="87" t="n"/>
      <c r="JJP1" s="87" t="n"/>
      <c r="JJQ1" s="87" t="n"/>
      <c r="JJR1" s="87" t="n"/>
      <c r="JJS1" s="87" t="n"/>
      <c r="JJT1" s="87" t="n"/>
      <c r="JJU1" s="87" t="n"/>
      <c r="JJV1" s="87" t="n"/>
      <c r="JJW1" s="87" t="n"/>
      <c r="JJX1" s="87" t="n"/>
      <c r="JJY1" s="87" t="n"/>
      <c r="JJZ1" s="87" t="n"/>
      <c r="JKA1" s="87" t="n"/>
      <c r="JKB1" s="87" t="n"/>
      <c r="JKC1" s="87" t="n"/>
      <c r="JKD1" s="87" t="n"/>
      <c r="JKE1" s="87" t="n"/>
      <c r="JKF1" s="87" t="n"/>
      <c r="JKG1" s="87" t="n"/>
      <c r="JKH1" s="87" t="n"/>
      <c r="JKI1" s="87" t="n"/>
      <c r="JKJ1" s="87" t="n"/>
      <c r="JKK1" s="87" t="n"/>
      <c r="JKL1" s="87" t="n"/>
      <c r="JKM1" s="87" t="n"/>
      <c r="JKN1" s="87" t="n"/>
      <c r="JKO1" s="87" t="n"/>
      <c r="JKP1" s="87" t="n"/>
      <c r="JKQ1" s="87" t="n"/>
      <c r="JKR1" s="87" t="n"/>
      <c r="JKS1" s="87" t="n"/>
      <c r="JKT1" s="87" t="n"/>
      <c r="JKU1" s="87" t="n"/>
      <c r="JKV1" s="87" t="n"/>
      <c r="JKW1" s="87" t="n"/>
      <c r="JKX1" s="87" t="n"/>
      <c r="JKY1" s="87" t="n"/>
      <c r="JKZ1" s="87" t="n"/>
      <c r="JLA1" s="87" t="n"/>
      <c r="JLB1" s="87" t="n"/>
      <c r="JLC1" s="87" t="n"/>
      <c r="JLD1" s="87" t="n"/>
      <c r="JLE1" s="87" t="n"/>
      <c r="JLF1" s="87" t="n"/>
      <c r="JLG1" s="87" t="n"/>
      <c r="JLH1" s="87" t="n"/>
      <c r="JLI1" s="87" t="n"/>
      <c r="JLJ1" s="87" t="n"/>
      <c r="JLK1" s="87" t="n"/>
      <c r="JLL1" s="87" t="n"/>
      <c r="JLM1" s="87" t="n"/>
      <c r="JLN1" s="87" t="n"/>
      <c r="JLO1" s="87" t="n"/>
      <c r="JLP1" s="87" t="n"/>
      <c r="JLQ1" s="87" t="n"/>
      <c r="JLR1" s="87" t="n"/>
      <c r="JLS1" s="87" t="n"/>
      <c r="JLT1" s="87" t="n"/>
      <c r="JLU1" s="87" t="n"/>
      <c r="JLV1" s="87" t="n"/>
      <c r="JLW1" s="87" t="n"/>
      <c r="JLX1" s="87" t="n"/>
      <c r="JLY1" s="87" t="n"/>
      <c r="JLZ1" s="87" t="n"/>
      <c r="JMA1" s="87" t="n"/>
      <c r="JMB1" s="87" t="n"/>
      <c r="JMC1" s="87" t="n"/>
      <c r="JMD1" s="87" t="n"/>
      <c r="JME1" s="87" t="n"/>
      <c r="JMF1" s="87" t="n"/>
      <c r="JMG1" s="87" t="n"/>
      <c r="JMH1" s="87" t="n"/>
      <c r="JMI1" s="87" t="n"/>
      <c r="JMJ1" s="87" t="n"/>
      <c r="JMK1" s="87" t="n"/>
      <c r="JML1" s="87" t="n"/>
      <c r="JMM1" s="87" t="n"/>
      <c r="JMN1" s="87" t="n"/>
      <c r="JMO1" s="87" t="n"/>
      <c r="JMP1" s="87" t="n"/>
      <c r="JMQ1" s="87" t="n"/>
      <c r="JMR1" s="87" t="n"/>
      <c r="JMS1" s="87" t="n"/>
      <c r="JMT1" s="87" t="n"/>
      <c r="JMU1" s="87" t="n"/>
      <c r="JMV1" s="87" t="n"/>
      <c r="JMW1" s="87" t="n"/>
      <c r="JMX1" s="87" t="n"/>
      <c r="JMY1" s="87" t="n"/>
      <c r="JMZ1" s="87" t="n"/>
      <c r="JNA1" s="87" t="n"/>
      <c r="JNB1" s="87" t="n"/>
      <c r="JNC1" s="87" t="n"/>
      <c r="JND1" s="87" t="n"/>
      <c r="JNE1" s="87" t="n"/>
      <c r="JNF1" s="87" t="n"/>
      <c r="JNG1" s="87" t="n"/>
      <c r="JNH1" s="87" t="n"/>
      <c r="JNI1" s="87" t="n"/>
      <c r="JNJ1" s="87" t="n"/>
      <c r="JNK1" s="87" t="n"/>
      <c r="JNL1" s="87" t="n"/>
      <c r="JNM1" s="87" t="n"/>
      <c r="JNN1" s="87" t="n"/>
      <c r="JNO1" s="87" t="n"/>
      <c r="JNP1" s="87" t="n"/>
      <c r="JNQ1" s="87" t="n"/>
      <c r="JNR1" s="87" t="n"/>
      <c r="JNS1" s="87" t="n"/>
      <c r="JNT1" s="87" t="n"/>
      <c r="JNU1" s="87" t="n"/>
      <c r="JNV1" s="87" t="n"/>
      <c r="JNW1" s="87" t="n"/>
      <c r="JNX1" s="87" t="n"/>
      <c r="JNY1" s="87" t="n"/>
      <c r="JNZ1" s="87" t="n"/>
      <c r="JOA1" s="87" t="n"/>
      <c r="JOB1" s="87" t="n"/>
      <c r="JOC1" s="87" t="n"/>
      <c r="JOD1" s="87" t="n"/>
      <c r="JOE1" s="87" t="n"/>
      <c r="JOF1" s="87" t="n"/>
      <c r="JOG1" s="87" t="n"/>
      <c r="JOH1" s="87" t="n"/>
      <c r="JOI1" s="87" t="n"/>
      <c r="JOJ1" s="87" t="n"/>
      <c r="JOK1" s="87" t="n"/>
      <c r="JOL1" s="87" t="n"/>
      <c r="JOM1" s="87" t="n"/>
      <c r="JON1" s="87" t="n"/>
      <c r="JOO1" s="87" t="n"/>
      <c r="JOP1" s="87" t="n"/>
      <c r="JOQ1" s="87" t="n"/>
      <c r="JOR1" s="87" t="n"/>
      <c r="JOS1" s="87" t="n"/>
      <c r="JOT1" s="87" t="n"/>
      <c r="JOU1" s="87" t="n"/>
      <c r="JOV1" s="87" t="n"/>
      <c r="JOW1" s="87" t="n"/>
      <c r="JOX1" s="87" t="n"/>
      <c r="JOY1" s="87" t="n"/>
      <c r="JOZ1" s="87" t="n"/>
      <c r="JPA1" s="87" t="n"/>
      <c r="JPB1" s="87" t="n"/>
      <c r="JPC1" s="87" t="n"/>
      <c r="JPD1" s="87" t="n"/>
      <c r="JPE1" s="87" t="n"/>
      <c r="JPF1" s="87" t="n"/>
      <c r="JPG1" s="87" t="n"/>
      <c r="JPH1" s="87" t="n"/>
      <c r="JPI1" s="87" t="n"/>
      <c r="JPJ1" s="87" t="n"/>
      <c r="JPK1" s="87" t="n"/>
      <c r="JPL1" s="87" t="n"/>
      <c r="JPM1" s="87" t="n"/>
      <c r="JPN1" s="87" t="n"/>
      <c r="JPO1" s="87" t="n"/>
      <c r="JPP1" s="87" t="n"/>
      <c r="JPQ1" s="87" t="n"/>
      <c r="JPR1" s="87" t="n"/>
      <c r="JPS1" s="87" t="n"/>
      <c r="JPT1" s="87" t="n"/>
      <c r="JPU1" s="87" t="n"/>
      <c r="JPV1" s="87" t="n"/>
      <c r="JPW1" s="87" t="n"/>
      <c r="JPX1" s="87" t="n"/>
      <c r="JPY1" s="87" t="n"/>
      <c r="JPZ1" s="87" t="n"/>
      <c r="JQA1" s="87" t="n"/>
      <c r="JQB1" s="87" t="n"/>
      <c r="JQC1" s="87" t="n"/>
      <c r="JQD1" s="87" t="n"/>
      <c r="JQE1" s="87" t="n"/>
      <c r="JQF1" s="87" t="n"/>
      <c r="JQG1" s="87" t="n"/>
      <c r="JQH1" s="87" t="n"/>
      <c r="JQI1" s="87" t="n"/>
      <c r="JQJ1" s="87" t="n"/>
      <c r="JQK1" s="87" t="n"/>
      <c r="JQL1" s="87" t="n"/>
      <c r="JQM1" s="87" t="n"/>
      <c r="JQN1" s="87" t="n"/>
      <c r="JQO1" s="87" t="n"/>
      <c r="JQP1" s="87" t="n"/>
      <c r="JQQ1" s="87" t="n"/>
      <c r="JQR1" s="87" t="n"/>
      <c r="JQS1" s="87" t="n"/>
      <c r="JQT1" s="87" t="n"/>
      <c r="JQU1" s="87" t="n"/>
      <c r="JQV1" s="87" t="n"/>
      <c r="JQW1" s="87" t="n"/>
      <c r="JQX1" s="87" t="n"/>
      <c r="JQY1" s="87" t="n"/>
      <c r="JQZ1" s="87" t="n"/>
      <c r="JRA1" s="87" t="n"/>
      <c r="JRB1" s="87" t="n"/>
      <c r="JRC1" s="87" t="n"/>
      <c r="JRD1" s="87" t="n"/>
      <c r="JRE1" s="87" t="n"/>
      <c r="JRF1" s="87" t="n"/>
      <c r="JRG1" s="87" t="n"/>
      <c r="JRH1" s="87" t="n"/>
      <c r="JRI1" s="87" t="n"/>
      <c r="JRJ1" s="87" t="n"/>
      <c r="JRK1" s="87" t="n"/>
      <c r="JRL1" s="87" t="n"/>
      <c r="JRM1" s="87" t="n"/>
      <c r="JRN1" s="87" t="n"/>
      <c r="JRO1" s="87" t="n"/>
      <c r="JRP1" s="87" t="n"/>
      <c r="JRQ1" s="87" t="n"/>
      <c r="JRR1" s="87" t="n"/>
      <c r="JRS1" s="87" t="n"/>
      <c r="JRT1" s="87" t="n"/>
      <c r="JRU1" s="87" t="n"/>
      <c r="JRV1" s="87" t="n"/>
      <c r="JRW1" s="87" t="n"/>
      <c r="JRX1" s="87" t="n"/>
      <c r="JRY1" s="87" t="n"/>
      <c r="JRZ1" s="87" t="n"/>
      <c r="JSA1" s="87" t="n"/>
      <c r="JSB1" s="87" t="n"/>
      <c r="JSC1" s="87" t="n"/>
      <c r="JSD1" s="87" t="n"/>
      <c r="JSE1" s="87" t="n"/>
      <c r="JSF1" s="87" t="n"/>
      <c r="JSG1" s="87" t="n"/>
      <c r="JSH1" s="87" t="n"/>
      <c r="JSI1" s="87" t="n"/>
      <c r="JSJ1" s="87" t="n"/>
      <c r="JSK1" s="87" t="n"/>
      <c r="JSL1" s="87" t="n"/>
      <c r="JSM1" s="87" t="n"/>
      <c r="JSN1" s="87" t="n"/>
      <c r="JSO1" s="87" t="n"/>
      <c r="JSP1" s="87" t="n"/>
      <c r="JSQ1" s="87" t="n"/>
      <c r="JSR1" s="87" t="n"/>
      <c r="JSS1" s="87" t="n"/>
      <c r="JST1" s="87" t="n"/>
      <c r="JSU1" s="87" t="n"/>
      <c r="JSV1" s="87" t="n"/>
      <c r="JSW1" s="87" t="n"/>
      <c r="JSX1" s="87" t="n"/>
      <c r="JSY1" s="87" t="n"/>
      <c r="JSZ1" s="87" t="n"/>
      <c r="JTA1" s="87" t="n"/>
      <c r="JTB1" s="87" t="n"/>
      <c r="JTC1" s="87" t="n"/>
      <c r="JTD1" s="87" t="n"/>
      <c r="JTE1" s="87" t="n"/>
      <c r="JTF1" s="87" t="n"/>
      <c r="JTG1" s="87" t="n"/>
      <c r="JTH1" s="87" t="n"/>
      <c r="JTI1" s="87" t="n"/>
      <c r="JTJ1" s="87" t="n"/>
      <c r="JTK1" s="87" t="n"/>
      <c r="JTL1" s="87" t="n"/>
      <c r="JTM1" s="87" t="n"/>
      <c r="JTN1" s="87" t="n"/>
      <c r="JTO1" s="87" t="n"/>
      <c r="JTP1" s="87" t="n"/>
      <c r="JTQ1" s="87" t="n"/>
      <c r="JTR1" s="87" t="n"/>
      <c r="JTS1" s="87" t="n"/>
      <c r="JTT1" s="87" t="n"/>
      <c r="JTU1" s="87" t="n"/>
      <c r="JTV1" s="87" t="n"/>
      <c r="JTW1" s="87" t="n"/>
      <c r="JTX1" s="87" t="n"/>
      <c r="JTY1" s="87" t="n"/>
      <c r="JTZ1" s="87" t="n"/>
      <c r="JUA1" s="87" t="n"/>
      <c r="JUB1" s="87" t="n"/>
      <c r="JUC1" s="87" t="n"/>
      <c r="JUD1" s="87" t="n"/>
      <c r="JUE1" s="87" t="n"/>
      <c r="JUF1" s="87" t="n"/>
      <c r="JUG1" s="87" t="n"/>
      <c r="JUH1" s="87" t="n"/>
      <c r="JUI1" s="87" t="n"/>
      <c r="JUJ1" s="87" t="n"/>
      <c r="JUK1" s="87" t="n"/>
      <c r="JUL1" s="87" t="n"/>
      <c r="JUM1" s="87" t="n"/>
      <c r="JUN1" s="87" t="n"/>
      <c r="JUO1" s="87" t="n"/>
      <c r="JUP1" s="87" t="n"/>
      <c r="JUQ1" s="87" t="n"/>
      <c r="JUR1" s="87" t="n"/>
      <c r="JUS1" s="87" t="n"/>
      <c r="JUT1" s="87" t="n"/>
      <c r="JUU1" s="87" t="n"/>
      <c r="JUV1" s="87" t="n"/>
      <c r="JUW1" s="87" t="n"/>
      <c r="JUX1" s="87" t="n"/>
      <c r="JUY1" s="87" t="n"/>
      <c r="JUZ1" s="87" t="n"/>
      <c r="JVA1" s="87" t="n"/>
      <c r="JVB1" s="87" t="n"/>
      <c r="JVC1" s="87" t="n"/>
      <c r="JVD1" s="87" t="n"/>
      <c r="JVE1" s="87" t="n"/>
      <c r="JVF1" s="87" t="n"/>
      <c r="JVG1" s="87" t="n"/>
      <c r="JVH1" s="87" t="n"/>
      <c r="JVI1" s="87" t="n"/>
      <c r="JVJ1" s="87" t="n"/>
      <c r="JVK1" s="87" t="n"/>
      <c r="JVL1" s="87" t="n"/>
      <c r="JVM1" s="87" t="n"/>
      <c r="JVN1" s="87" t="n"/>
      <c r="JVO1" s="87" t="n"/>
      <c r="JVP1" s="87" t="n"/>
      <c r="JVQ1" s="87" t="n"/>
      <c r="JVR1" s="87" t="n"/>
      <c r="JVS1" s="87" t="n"/>
      <c r="JVT1" s="87" t="n"/>
      <c r="JVU1" s="87" t="n"/>
      <c r="JVV1" s="87" t="n"/>
      <c r="JVW1" s="87" t="n"/>
      <c r="JVX1" s="87" t="n"/>
      <c r="JVY1" s="87" t="n"/>
      <c r="JVZ1" s="87" t="n"/>
      <c r="JWA1" s="87" t="n"/>
      <c r="JWB1" s="87" t="n"/>
      <c r="JWC1" s="87" t="n"/>
      <c r="JWD1" s="87" t="n"/>
      <c r="JWE1" s="87" t="n"/>
      <c r="JWF1" s="87" t="n"/>
      <c r="JWG1" s="87" t="n"/>
      <c r="JWH1" s="87" t="n"/>
      <c r="JWI1" s="87" t="n"/>
      <c r="JWJ1" s="87" t="n"/>
      <c r="JWK1" s="87" t="n"/>
      <c r="JWL1" s="87" t="n"/>
      <c r="JWM1" s="87" t="n"/>
      <c r="JWN1" s="87" t="n"/>
      <c r="JWO1" s="87" t="n"/>
      <c r="JWP1" s="87" t="n"/>
      <c r="JWQ1" s="87" t="n"/>
      <c r="JWR1" s="87" t="n"/>
      <c r="JWS1" s="87" t="n"/>
      <c r="JWT1" s="87" t="n"/>
      <c r="JWU1" s="87" t="n"/>
      <c r="JWV1" s="87" t="n"/>
      <c r="JWW1" s="87" t="n"/>
      <c r="JWX1" s="87" t="n"/>
      <c r="JWY1" s="87" t="n"/>
      <c r="JWZ1" s="87" t="n"/>
      <c r="JXA1" s="87" t="n"/>
      <c r="JXB1" s="87" t="n"/>
      <c r="JXC1" s="87" t="n"/>
      <c r="JXD1" s="87" t="n"/>
      <c r="JXE1" s="87" t="n"/>
      <c r="JXF1" s="87" t="n"/>
      <c r="JXG1" s="87" t="n"/>
      <c r="JXH1" s="87" t="n"/>
      <c r="JXI1" s="87" t="n"/>
      <c r="JXJ1" s="87" t="n"/>
      <c r="JXK1" s="87" t="n"/>
      <c r="JXL1" s="87" t="n"/>
      <c r="JXM1" s="87" t="n"/>
      <c r="JXN1" s="87" t="n"/>
      <c r="JXO1" s="87" t="n"/>
      <c r="JXP1" s="87" t="n"/>
      <c r="JXQ1" s="87" t="n"/>
      <c r="JXR1" s="87" t="n"/>
      <c r="JXS1" s="87" t="n"/>
      <c r="JXT1" s="87" t="n"/>
      <c r="JXU1" s="87" t="n"/>
      <c r="JXV1" s="87" t="n"/>
      <c r="JXW1" s="87" t="n"/>
      <c r="JXX1" s="87" t="n"/>
      <c r="JXY1" s="87" t="n"/>
      <c r="JXZ1" s="87" t="n"/>
      <c r="JYA1" s="87" t="n"/>
      <c r="JYB1" s="87" t="n"/>
      <c r="JYC1" s="87" t="n"/>
      <c r="JYD1" s="87" t="n"/>
      <c r="JYE1" s="87" t="n"/>
      <c r="JYF1" s="87" t="n"/>
      <c r="JYG1" s="87" t="n"/>
      <c r="JYH1" s="87" t="n"/>
      <c r="JYI1" s="87" t="n"/>
      <c r="JYJ1" s="87" t="n"/>
      <c r="JYK1" s="87" t="n"/>
      <c r="JYL1" s="87" t="n"/>
      <c r="JYM1" s="87" t="n"/>
      <c r="JYN1" s="87" t="n"/>
      <c r="JYO1" s="87" t="n"/>
      <c r="JYP1" s="87" t="n"/>
      <c r="JYQ1" s="87" t="n"/>
      <c r="JYR1" s="87" t="n"/>
      <c r="JYS1" s="87" t="n"/>
      <c r="JYT1" s="87" t="n"/>
      <c r="JYU1" s="87" t="n"/>
      <c r="JYV1" s="87" t="n"/>
      <c r="JYW1" s="87" t="n"/>
      <c r="JYX1" s="87" t="n"/>
      <c r="JYY1" s="87" t="n"/>
      <c r="JYZ1" s="87" t="n"/>
      <c r="JZA1" s="87" t="n"/>
      <c r="JZB1" s="87" t="n"/>
      <c r="JZC1" s="87" t="n"/>
      <c r="JZD1" s="87" t="n"/>
      <c r="JZE1" s="87" t="n"/>
      <c r="JZF1" s="87" t="n"/>
      <c r="JZG1" s="87" t="n"/>
      <c r="JZH1" s="87" t="n"/>
      <c r="JZI1" s="87" t="n"/>
      <c r="JZJ1" s="87" t="n"/>
      <c r="JZK1" s="87" t="n"/>
      <c r="JZL1" s="87" t="n"/>
      <c r="JZM1" s="87" t="n"/>
      <c r="JZN1" s="87" t="n"/>
      <c r="JZO1" s="87" t="n"/>
      <c r="JZP1" s="87" t="n"/>
      <c r="JZQ1" s="87" t="n"/>
      <c r="JZR1" s="87" t="n"/>
      <c r="JZS1" s="87" t="n"/>
      <c r="JZT1" s="87" t="n"/>
      <c r="JZU1" s="87" t="n"/>
      <c r="JZV1" s="87" t="n"/>
      <c r="JZW1" s="87" t="n"/>
      <c r="JZX1" s="87" t="n"/>
      <c r="JZY1" s="87" t="n"/>
      <c r="JZZ1" s="87" t="n"/>
      <c r="KAA1" s="87" t="n"/>
      <c r="KAB1" s="87" t="n"/>
      <c r="KAC1" s="87" t="n"/>
      <c r="KAD1" s="87" t="n"/>
      <c r="KAE1" s="87" t="n"/>
      <c r="KAF1" s="87" t="n"/>
      <c r="KAG1" s="87" t="n"/>
      <c r="KAH1" s="87" t="n"/>
      <c r="KAI1" s="87" t="n"/>
      <c r="KAJ1" s="87" t="n"/>
      <c r="KAK1" s="87" t="n"/>
      <c r="KAL1" s="87" t="n"/>
      <c r="KAM1" s="87" t="n"/>
      <c r="KAN1" s="87" t="n"/>
      <c r="KAO1" s="87" t="n"/>
      <c r="KAP1" s="87" t="n"/>
      <c r="KAQ1" s="87" t="n"/>
      <c r="KAR1" s="87" t="n"/>
      <c r="KAS1" s="87" t="n"/>
      <c r="KAT1" s="87" t="n"/>
      <c r="KAU1" s="87" t="n"/>
      <c r="KAV1" s="87" t="n"/>
      <c r="KAW1" s="87" t="n"/>
      <c r="KAX1" s="87" t="n"/>
      <c r="KAY1" s="87" t="n"/>
      <c r="KAZ1" s="87" t="n"/>
      <c r="KBA1" s="87" t="n"/>
      <c r="KBB1" s="87" t="n"/>
      <c r="KBC1" s="87" t="n"/>
      <c r="KBD1" s="87" t="n"/>
      <c r="KBE1" s="87" t="n"/>
      <c r="KBF1" s="87" t="n"/>
      <c r="KBG1" s="87" t="n"/>
      <c r="KBH1" s="87" t="n"/>
      <c r="KBI1" s="87" t="n"/>
      <c r="KBJ1" s="87" t="n"/>
      <c r="KBK1" s="87" t="n"/>
      <c r="KBL1" s="87" t="n"/>
      <c r="KBM1" s="87" t="n"/>
      <c r="KBN1" s="87" t="n"/>
      <c r="KBO1" s="87" t="n"/>
      <c r="KBP1" s="87" t="n"/>
      <c r="KBQ1" s="87" t="n"/>
      <c r="KBR1" s="87" t="n"/>
      <c r="KBS1" s="87" t="n"/>
      <c r="KBT1" s="87" t="n"/>
      <c r="KBU1" s="87" t="n"/>
      <c r="KBV1" s="87" t="n"/>
      <c r="KBW1" s="87" t="n"/>
      <c r="KBX1" s="87" t="n"/>
      <c r="KBY1" s="87" t="n"/>
      <c r="KBZ1" s="87" t="n"/>
      <c r="KCA1" s="87" t="n"/>
      <c r="KCB1" s="87" t="n"/>
      <c r="KCC1" s="87" t="n"/>
      <c r="KCD1" s="87" t="n"/>
      <c r="KCE1" s="87" t="n"/>
      <c r="KCF1" s="87" t="n"/>
      <c r="KCG1" s="87" t="n"/>
      <c r="KCH1" s="87" t="n"/>
      <c r="KCI1" s="87" t="n"/>
      <c r="KCJ1" s="87" t="n"/>
      <c r="KCK1" s="87" t="n"/>
      <c r="KCL1" s="87" t="n"/>
      <c r="KCM1" s="87" t="n"/>
      <c r="KCN1" s="87" t="n"/>
      <c r="KCO1" s="87" t="n"/>
      <c r="KCP1" s="87" t="n"/>
      <c r="KCQ1" s="87" t="n"/>
      <c r="KCR1" s="87" t="n"/>
      <c r="KCS1" s="87" t="n"/>
      <c r="KCT1" s="87" t="n"/>
      <c r="KCU1" s="87" t="n"/>
      <c r="KCV1" s="87" t="n"/>
      <c r="KCW1" s="87" t="n"/>
      <c r="KCX1" s="87" t="n"/>
      <c r="KCY1" s="87" t="n"/>
      <c r="KCZ1" s="87" t="n"/>
      <c r="KDA1" s="87" t="n"/>
      <c r="KDB1" s="87" t="n"/>
      <c r="KDC1" s="87" t="n"/>
      <c r="KDD1" s="87" t="n"/>
      <c r="KDE1" s="87" t="n"/>
      <c r="KDF1" s="87" t="n"/>
      <c r="KDG1" s="87" t="n"/>
      <c r="KDH1" s="87" t="n"/>
      <c r="KDI1" s="87" t="n"/>
      <c r="KDJ1" s="87" t="n"/>
      <c r="KDK1" s="87" t="n"/>
      <c r="KDL1" s="87" t="n"/>
      <c r="KDM1" s="87" t="n"/>
      <c r="KDN1" s="87" t="n"/>
      <c r="KDO1" s="87" t="n"/>
      <c r="KDP1" s="87" t="n"/>
      <c r="KDQ1" s="87" t="n"/>
      <c r="KDR1" s="87" t="n"/>
      <c r="KDS1" s="87" t="n"/>
      <c r="KDT1" s="87" t="n"/>
      <c r="KDU1" s="87" t="n"/>
      <c r="KDV1" s="87" t="n"/>
      <c r="KDW1" s="87" t="n"/>
      <c r="KDX1" s="87" t="n"/>
      <c r="KDY1" s="87" t="n"/>
      <c r="KDZ1" s="87" t="n"/>
      <c r="KEA1" s="87" t="n"/>
      <c r="KEB1" s="87" t="n"/>
      <c r="KEC1" s="87" t="n"/>
      <c r="KED1" s="87" t="n"/>
      <c r="KEE1" s="87" t="n"/>
      <c r="KEF1" s="87" t="n"/>
      <c r="KEG1" s="87" t="n"/>
      <c r="KEH1" s="87" t="n"/>
      <c r="KEI1" s="87" t="n"/>
      <c r="KEJ1" s="87" t="n"/>
      <c r="KEK1" s="87" t="n"/>
      <c r="KEL1" s="87" t="n"/>
      <c r="KEM1" s="87" t="n"/>
      <c r="KEN1" s="87" t="n"/>
      <c r="KEO1" s="87" t="n"/>
      <c r="KEP1" s="87" t="n"/>
      <c r="KEQ1" s="87" t="n"/>
      <c r="KER1" s="87" t="n"/>
      <c r="KES1" s="87" t="n"/>
      <c r="KET1" s="87" t="n"/>
      <c r="KEU1" s="87" t="n"/>
      <c r="KEV1" s="87" t="n"/>
      <c r="KEW1" s="87" t="n"/>
      <c r="KEX1" s="87" t="n"/>
      <c r="KEY1" s="87" t="n"/>
      <c r="KEZ1" s="87" t="n"/>
      <c r="KFA1" s="87" t="n"/>
      <c r="KFB1" s="87" t="n"/>
      <c r="KFC1" s="87" t="n"/>
      <c r="KFD1" s="87" t="n"/>
      <c r="KFE1" s="87" t="n"/>
      <c r="KFF1" s="87" t="n"/>
      <c r="KFG1" s="87" t="n"/>
      <c r="KFH1" s="87" t="n"/>
      <c r="KFI1" s="87" t="n"/>
      <c r="KFJ1" s="87" t="n"/>
      <c r="KFK1" s="87" t="n"/>
      <c r="KFL1" s="87" t="n"/>
      <c r="KFM1" s="87" t="n"/>
      <c r="KFN1" s="87" t="n"/>
      <c r="KFO1" s="87" t="n"/>
      <c r="KFP1" s="87" t="n"/>
      <c r="KFQ1" s="87" t="n"/>
      <c r="KFR1" s="87" t="n"/>
      <c r="KFS1" s="87" t="n"/>
      <c r="KFT1" s="87" t="n"/>
      <c r="KFU1" s="87" t="n"/>
      <c r="KFV1" s="87" t="n"/>
      <c r="KFW1" s="87" t="n"/>
      <c r="KFX1" s="87" t="n"/>
      <c r="KFY1" s="87" t="n"/>
      <c r="KFZ1" s="87" t="n"/>
      <c r="KGA1" s="87" t="n"/>
      <c r="KGB1" s="87" t="n"/>
      <c r="KGC1" s="87" t="n"/>
      <c r="KGD1" s="87" t="n"/>
      <c r="KGE1" s="87" t="n"/>
      <c r="KGF1" s="87" t="n"/>
      <c r="KGG1" s="87" t="n"/>
      <c r="KGH1" s="87" t="n"/>
      <c r="KGI1" s="87" t="n"/>
      <c r="KGJ1" s="87" t="n"/>
      <c r="KGK1" s="87" t="n"/>
      <c r="KGL1" s="87" t="n"/>
      <c r="KGM1" s="87" t="n"/>
      <c r="KGN1" s="87" t="n"/>
      <c r="KGO1" s="87" t="n"/>
      <c r="KGP1" s="87" t="n"/>
      <c r="KGQ1" s="87" t="n"/>
      <c r="KGR1" s="87" t="n"/>
      <c r="KGS1" s="87" t="n"/>
      <c r="KGT1" s="87" t="n"/>
      <c r="KGU1" s="87" t="n"/>
      <c r="KGV1" s="87" t="n"/>
      <c r="KGW1" s="87" t="n"/>
      <c r="KGX1" s="87" t="n"/>
      <c r="KGY1" s="87" t="n"/>
      <c r="KGZ1" s="87" t="n"/>
      <c r="KHA1" s="87" t="n"/>
      <c r="KHB1" s="87" t="n"/>
      <c r="KHC1" s="87" t="n"/>
      <c r="KHD1" s="87" t="n"/>
      <c r="KHE1" s="87" t="n"/>
      <c r="KHF1" s="87" t="n"/>
      <c r="KHG1" s="87" t="n"/>
      <c r="KHH1" s="87" t="n"/>
      <c r="KHI1" s="87" t="n"/>
      <c r="KHJ1" s="87" t="n"/>
      <c r="KHK1" s="87" t="n"/>
      <c r="KHL1" s="87" t="n"/>
      <c r="KHM1" s="87" t="n"/>
      <c r="KHN1" s="87" t="n"/>
      <c r="KHO1" s="87" t="n"/>
      <c r="KHP1" s="87" t="n"/>
      <c r="KHQ1" s="87" t="n"/>
      <c r="KHR1" s="87" t="n"/>
      <c r="KHS1" s="87" t="n"/>
      <c r="KHT1" s="87" t="n"/>
      <c r="KHU1" s="87" t="n"/>
      <c r="KHV1" s="87" t="n"/>
      <c r="KHW1" s="87" t="n"/>
      <c r="KHX1" s="87" t="n"/>
      <c r="KHY1" s="87" t="n"/>
      <c r="KHZ1" s="87" t="n"/>
      <c r="KIA1" s="87" t="n"/>
      <c r="KIB1" s="87" t="n"/>
      <c r="KIC1" s="87" t="n"/>
      <c r="KID1" s="87" t="n"/>
      <c r="KIE1" s="87" t="n"/>
      <c r="KIF1" s="87" t="n"/>
      <c r="KIG1" s="87" t="n"/>
      <c r="KIH1" s="87" t="n"/>
      <c r="KII1" s="87" t="n"/>
      <c r="KIJ1" s="87" t="n"/>
      <c r="KIK1" s="87" t="n"/>
      <c r="KIL1" s="87" t="n"/>
      <c r="KIM1" s="87" t="n"/>
      <c r="KIN1" s="87" t="n"/>
      <c r="KIO1" s="87" t="n"/>
      <c r="KIP1" s="87" t="n"/>
      <c r="KIQ1" s="87" t="n"/>
      <c r="KIR1" s="87" t="n"/>
      <c r="KIS1" s="87" t="n"/>
      <c r="KIT1" s="87" t="n"/>
      <c r="KIU1" s="87" t="n"/>
      <c r="KIV1" s="87" t="n"/>
      <c r="KIW1" s="87" t="n"/>
      <c r="KIX1" s="87" t="n"/>
      <c r="KIY1" s="87" t="n"/>
      <c r="KIZ1" s="87" t="n"/>
      <c r="KJA1" s="87" t="n"/>
      <c r="KJB1" s="87" t="n"/>
      <c r="KJC1" s="87" t="n"/>
      <c r="KJD1" s="87" t="n"/>
      <c r="KJE1" s="87" t="n"/>
      <c r="KJF1" s="87" t="n"/>
      <c r="KJG1" s="87" t="n"/>
      <c r="KJH1" s="87" t="n"/>
      <c r="KJI1" s="87" t="n"/>
      <c r="KJJ1" s="87" t="n"/>
      <c r="KJK1" s="87" t="n"/>
      <c r="KJL1" s="87" t="n"/>
      <c r="KJM1" s="87" t="n"/>
      <c r="KJN1" s="87" t="n"/>
      <c r="KJO1" s="87" t="n"/>
      <c r="KJP1" s="87" t="n"/>
      <c r="KJQ1" s="87" t="n"/>
      <c r="KJR1" s="87" t="n"/>
      <c r="KJS1" s="87" t="n"/>
      <c r="KJT1" s="87" t="n"/>
      <c r="KJU1" s="87" t="n"/>
      <c r="KJV1" s="87" t="n"/>
      <c r="KJW1" s="87" t="n"/>
      <c r="KJX1" s="87" t="n"/>
      <c r="KJY1" s="87" t="n"/>
      <c r="KJZ1" s="87" t="n"/>
      <c r="KKA1" s="87" t="n"/>
      <c r="KKB1" s="87" t="n"/>
      <c r="KKC1" s="87" t="n"/>
      <c r="KKD1" s="87" t="n"/>
      <c r="KKE1" s="87" t="n"/>
      <c r="KKF1" s="87" t="n"/>
      <c r="KKG1" s="87" t="n"/>
      <c r="KKH1" s="87" t="n"/>
      <c r="KKI1" s="87" t="n"/>
      <c r="KKJ1" s="87" t="n"/>
      <c r="KKK1" s="87" t="n"/>
      <c r="KKL1" s="87" t="n"/>
      <c r="KKM1" s="87" t="n"/>
      <c r="KKN1" s="87" t="n"/>
      <c r="KKO1" s="87" t="n"/>
      <c r="KKP1" s="87" t="n"/>
      <c r="KKQ1" s="87" t="n"/>
      <c r="KKR1" s="87" t="n"/>
      <c r="KKS1" s="87" t="n"/>
      <c r="KKT1" s="87" t="n"/>
      <c r="KKU1" s="87" t="n"/>
      <c r="KKV1" s="87" t="n"/>
      <c r="KKW1" s="87" t="n"/>
      <c r="KKX1" s="87" t="n"/>
      <c r="KKY1" s="87" t="n"/>
      <c r="KKZ1" s="87" t="n"/>
      <c r="KLA1" s="87" t="n"/>
      <c r="KLB1" s="87" t="n"/>
      <c r="KLC1" s="87" t="n"/>
      <c r="KLD1" s="87" t="n"/>
      <c r="KLE1" s="87" t="n"/>
      <c r="KLF1" s="87" t="n"/>
      <c r="KLG1" s="87" t="n"/>
      <c r="KLH1" s="87" t="n"/>
      <c r="KLI1" s="87" t="n"/>
      <c r="KLJ1" s="87" t="n"/>
      <c r="KLK1" s="87" t="n"/>
      <c r="KLL1" s="87" t="n"/>
      <c r="KLM1" s="87" t="n"/>
      <c r="KLN1" s="87" t="n"/>
      <c r="KLO1" s="87" t="n"/>
      <c r="KLP1" s="87" t="n"/>
      <c r="KLQ1" s="87" t="n"/>
      <c r="KLR1" s="87" t="n"/>
      <c r="KLS1" s="87" t="n"/>
      <c r="KLT1" s="87" t="n"/>
      <c r="KLU1" s="87" t="n"/>
      <c r="KLV1" s="87" t="n"/>
      <c r="KLW1" s="87" t="n"/>
      <c r="KLX1" s="87" t="n"/>
      <c r="KLY1" s="87" t="n"/>
      <c r="KLZ1" s="87" t="n"/>
      <c r="KMA1" s="87" t="n"/>
      <c r="KMB1" s="87" t="n"/>
      <c r="KMC1" s="87" t="n"/>
      <c r="KMD1" s="87" t="n"/>
      <c r="KME1" s="87" t="n"/>
      <c r="KMF1" s="87" t="n"/>
      <c r="KMG1" s="87" t="n"/>
      <c r="KMH1" s="87" t="n"/>
      <c r="KMI1" s="87" t="n"/>
      <c r="KMJ1" s="87" t="n"/>
      <c r="KMK1" s="87" t="n"/>
      <c r="KML1" s="87" t="n"/>
      <c r="KMM1" s="87" t="n"/>
      <c r="KMN1" s="87" t="n"/>
      <c r="KMO1" s="87" t="n"/>
      <c r="KMP1" s="87" t="n"/>
      <c r="KMQ1" s="87" t="n"/>
      <c r="KMR1" s="87" t="n"/>
      <c r="KMS1" s="87" t="n"/>
      <c r="KMT1" s="87" t="n"/>
      <c r="KMU1" s="87" t="n"/>
      <c r="KMV1" s="87" t="n"/>
      <c r="KMW1" s="87" t="n"/>
      <c r="KMX1" s="87" t="n"/>
      <c r="KMY1" s="87" t="n"/>
      <c r="KMZ1" s="87" t="n"/>
      <c r="KNA1" s="87" t="n"/>
      <c r="KNB1" s="87" t="n"/>
      <c r="KNC1" s="87" t="n"/>
      <c r="KND1" s="87" t="n"/>
      <c r="KNE1" s="87" t="n"/>
      <c r="KNF1" s="87" t="n"/>
      <c r="KNG1" s="87" t="n"/>
      <c r="KNH1" s="87" t="n"/>
      <c r="KNI1" s="87" t="n"/>
      <c r="KNJ1" s="87" t="n"/>
      <c r="KNK1" s="87" t="n"/>
      <c r="KNL1" s="87" t="n"/>
      <c r="KNM1" s="87" t="n"/>
      <c r="KNN1" s="87" t="n"/>
      <c r="KNO1" s="87" t="n"/>
      <c r="KNP1" s="87" t="n"/>
      <c r="KNQ1" s="87" t="n"/>
      <c r="KNR1" s="87" t="n"/>
      <c r="KNS1" s="87" t="n"/>
      <c r="KNT1" s="87" t="n"/>
      <c r="KNU1" s="87" t="n"/>
      <c r="KNV1" s="87" t="n"/>
      <c r="KNW1" s="87" t="n"/>
      <c r="KNX1" s="87" t="n"/>
      <c r="KNY1" s="87" t="n"/>
      <c r="KNZ1" s="87" t="n"/>
      <c r="KOA1" s="87" t="n"/>
      <c r="KOB1" s="87" t="n"/>
      <c r="KOC1" s="87" t="n"/>
      <c r="KOD1" s="87" t="n"/>
      <c r="KOE1" s="87" t="n"/>
      <c r="KOF1" s="87" t="n"/>
      <c r="KOG1" s="87" t="n"/>
      <c r="KOH1" s="87" t="n"/>
      <c r="KOI1" s="87" t="n"/>
      <c r="KOJ1" s="87" t="n"/>
      <c r="KOK1" s="87" t="n"/>
      <c r="KOL1" s="87" t="n"/>
      <c r="KOM1" s="87" t="n"/>
      <c r="KON1" s="87" t="n"/>
      <c r="KOO1" s="87" t="n"/>
      <c r="KOP1" s="87" t="n"/>
      <c r="KOQ1" s="87" t="n"/>
      <c r="KOR1" s="87" t="n"/>
      <c r="KOS1" s="87" t="n"/>
      <c r="KOT1" s="87" t="n"/>
      <c r="KOU1" s="87" t="n"/>
      <c r="KOV1" s="87" t="n"/>
      <c r="KOW1" s="87" t="n"/>
      <c r="KOX1" s="87" t="n"/>
      <c r="KOY1" s="87" t="n"/>
      <c r="KOZ1" s="87" t="n"/>
      <c r="KPA1" s="87" t="n"/>
      <c r="KPB1" s="87" t="n"/>
      <c r="KPC1" s="87" t="n"/>
      <c r="KPD1" s="87" t="n"/>
      <c r="KPE1" s="87" t="n"/>
      <c r="KPF1" s="87" t="n"/>
      <c r="KPG1" s="87" t="n"/>
      <c r="KPH1" s="87" t="n"/>
      <c r="KPI1" s="87" t="n"/>
      <c r="KPJ1" s="87" t="n"/>
      <c r="KPK1" s="87" t="n"/>
      <c r="KPL1" s="87" t="n"/>
      <c r="KPM1" s="87" t="n"/>
      <c r="KPN1" s="87" t="n"/>
      <c r="KPO1" s="87" t="n"/>
      <c r="KPP1" s="87" t="n"/>
      <c r="KPQ1" s="87" t="n"/>
      <c r="KPR1" s="87" t="n"/>
      <c r="KPS1" s="87" t="n"/>
      <c r="KPT1" s="87" t="n"/>
      <c r="KPU1" s="87" t="n"/>
      <c r="KPV1" s="87" t="n"/>
      <c r="KPW1" s="87" t="n"/>
      <c r="KPX1" s="87" t="n"/>
      <c r="KPY1" s="87" t="n"/>
      <c r="KPZ1" s="87" t="n"/>
      <c r="KQA1" s="87" t="n"/>
      <c r="KQB1" s="87" t="n"/>
      <c r="KQC1" s="87" t="n"/>
      <c r="KQD1" s="87" t="n"/>
      <c r="KQE1" s="87" t="n"/>
      <c r="KQF1" s="87" t="n"/>
      <c r="KQG1" s="87" t="n"/>
      <c r="KQH1" s="87" t="n"/>
      <c r="KQI1" s="87" t="n"/>
      <c r="KQJ1" s="87" t="n"/>
      <c r="KQK1" s="87" t="n"/>
      <c r="KQL1" s="87" t="n"/>
      <c r="KQM1" s="87" t="n"/>
      <c r="KQN1" s="87" t="n"/>
      <c r="KQO1" s="87" t="n"/>
      <c r="KQP1" s="87" t="n"/>
      <c r="KQQ1" s="87" t="n"/>
      <c r="KQR1" s="87" t="n"/>
      <c r="KQS1" s="87" t="n"/>
      <c r="KQT1" s="87" t="n"/>
      <c r="KQU1" s="87" t="n"/>
      <c r="KQV1" s="87" t="n"/>
      <c r="KQW1" s="87" t="n"/>
      <c r="KQX1" s="87" t="n"/>
      <c r="KQY1" s="87" t="n"/>
      <c r="KQZ1" s="87" t="n"/>
      <c r="KRA1" s="87" t="n"/>
      <c r="KRB1" s="87" t="n"/>
      <c r="KRC1" s="87" t="n"/>
      <c r="KRD1" s="87" t="n"/>
      <c r="KRE1" s="87" t="n"/>
      <c r="KRF1" s="87" t="n"/>
      <c r="KRG1" s="87" t="n"/>
      <c r="KRH1" s="87" t="n"/>
      <c r="KRI1" s="87" t="n"/>
      <c r="KRJ1" s="87" t="n"/>
      <c r="KRK1" s="87" t="n"/>
      <c r="KRL1" s="87" t="n"/>
      <c r="KRM1" s="87" t="n"/>
      <c r="KRN1" s="87" t="n"/>
      <c r="KRO1" s="87" t="n"/>
      <c r="KRP1" s="87" t="n"/>
      <c r="KRQ1" s="87" t="n"/>
      <c r="KRR1" s="87" t="n"/>
      <c r="KRS1" s="87" t="n"/>
      <c r="KRT1" s="87" t="n"/>
      <c r="KRU1" s="87" t="n"/>
      <c r="KRV1" s="87" t="n"/>
      <c r="KRW1" s="87" t="n"/>
      <c r="KRX1" s="87" t="n"/>
      <c r="KRY1" s="87" t="n"/>
      <c r="KRZ1" s="87" t="n"/>
      <c r="KSA1" s="87" t="n"/>
      <c r="KSB1" s="87" t="n"/>
      <c r="KSC1" s="87" t="n"/>
      <c r="KSD1" s="87" t="n"/>
      <c r="KSE1" s="87" t="n"/>
      <c r="KSF1" s="87" t="n"/>
      <c r="KSG1" s="87" t="n"/>
      <c r="KSH1" s="87" t="n"/>
      <c r="KSI1" s="87" t="n"/>
      <c r="KSJ1" s="87" t="n"/>
      <c r="KSK1" s="87" t="n"/>
      <c r="KSL1" s="87" t="n"/>
      <c r="KSM1" s="87" t="n"/>
      <c r="KSN1" s="87" t="n"/>
      <c r="KSO1" s="87" t="n"/>
      <c r="KSP1" s="87" t="n"/>
      <c r="KSQ1" s="87" t="n"/>
      <c r="KSR1" s="87" t="n"/>
      <c r="KSS1" s="87" t="n"/>
      <c r="KST1" s="87" t="n"/>
      <c r="KSU1" s="87" t="n"/>
      <c r="KSV1" s="87" t="n"/>
      <c r="KSW1" s="87" t="n"/>
      <c r="KSX1" s="87" t="n"/>
      <c r="KSY1" s="87" t="n"/>
      <c r="KSZ1" s="87" t="n"/>
      <c r="KTA1" s="87" t="n"/>
      <c r="KTB1" s="87" t="n"/>
      <c r="KTC1" s="87" t="n"/>
      <c r="KTD1" s="87" t="n"/>
      <c r="KTE1" s="87" t="n"/>
      <c r="KTF1" s="87" t="n"/>
      <c r="KTG1" s="87" t="n"/>
      <c r="KTH1" s="87" t="n"/>
      <c r="KTI1" s="87" t="n"/>
      <c r="KTJ1" s="87" t="n"/>
      <c r="KTK1" s="87" t="n"/>
      <c r="KTL1" s="87" t="n"/>
      <c r="KTM1" s="87" t="n"/>
      <c r="KTN1" s="87" t="n"/>
      <c r="KTO1" s="87" t="n"/>
      <c r="KTP1" s="87" t="n"/>
      <c r="KTQ1" s="87" t="n"/>
      <c r="KTR1" s="87" t="n"/>
      <c r="KTS1" s="87" t="n"/>
      <c r="KTT1" s="87" t="n"/>
      <c r="KTU1" s="87" t="n"/>
      <c r="KTV1" s="87" t="n"/>
      <c r="KTW1" s="87" t="n"/>
      <c r="KTX1" s="87" t="n"/>
      <c r="KTY1" s="87" t="n"/>
      <c r="KTZ1" s="87" t="n"/>
      <c r="KUA1" s="87" t="n"/>
      <c r="KUB1" s="87" t="n"/>
      <c r="KUC1" s="87" t="n"/>
      <c r="KUD1" s="87" t="n"/>
      <c r="KUE1" s="87" t="n"/>
      <c r="KUF1" s="87" t="n"/>
      <c r="KUG1" s="87" t="n"/>
      <c r="KUH1" s="87" t="n"/>
      <c r="KUI1" s="87" t="n"/>
      <c r="KUJ1" s="87" t="n"/>
      <c r="KUK1" s="87" t="n"/>
      <c r="KUL1" s="87" t="n"/>
      <c r="KUM1" s="87" t="n"/>
      <c r="KUN1" s="87" t="n"/>
      <c r="KUO1" s="87" t="n"/>
      <c r="KUP1" s="87" t="n"/>
      <c r="KUQ1" s="87" t="n"/>
      <c r="KUR1" s="87" t="n"/>
      <c r="KUS1" s="87" t="n"/>
      <c r="KUT1" s="87" t="n"/>
      <c r="KUU1" s="87" t="n"/>
      <c r="KUV1" s="87" t="n"/>
      <c r="KUW1" s="87" t="n"/>
      <c r="KUX1" s="87" t="n"/>
      <c r="KUY1" s="87" t="n"/>
      <c r="KUZ1" s="87" t="n"/>
      <c r="KVA1" s="87" t="n"/>
      <c r="KVB1" s="87" t="n"/>
      <c r="KVC1" s="87" t="n"/>
      <c r="KVD1" s="87" t="n"/>
      <c r="KVE1" s="87" t="n"/>
      <c r="KVF1" s="87" t="n"/>
      <c r="KVG1" s="87" t="n"/>
      <c r="KVH1" s="87" t="n"/>
      <c r="KVI1" s="87" t="n"/>
      <c r="KVJ1" s="87" t="n"/>
      <c r="KVK1" s="87" t="n"/>
      <c r="KVL1" s="87" t="n"/>
      <c r="KVM1" s="87" t="n"/>
      <c r="KVN1" s="87" t="n"/>
      <c r="KVO1" s="87" t="n"/>
      <c r="KVP1" s="87" t="n"/>
      <c r="KVQ1" s="87" t="n"/>
      <c r="KVR1" s="87" t="n"/>
      <c r="KVS1" s="87" t="n"/>
      <c r="KVT1" s="87" t="n"/>
      <c r="KVU1" s="87" t="n"/>
      <c r="KVV1" s="87" t="n"/>
      <c r="KVW1" s="87" t="n"/>
      <c r="KVX1" s="87" t="n"/>
      <c r="KVY1" s="87" t="n"/>
      <c r="KVZ1" s="87" t="n"/>
      <c r="KWA1" s="87" t="n"/>
      <c r="KWB1" s="87" t="n"/>
      <c r="KWC1" s="87" t="n"/>
      <c r="KWD1" s="87" t="n"/>
      <c r="KWE1" s="87" t="n"/>
      <c r="KWF1" s="87" t="n"/>
      <c r="KWG1" s="87" t="n"/>
      <c r="KWH1" s="87" t="n"/>
      <c r="KWI1" s="87" t="n"/>
      <c r="KWJ1" s="87" t="n"/>
      <c r="KWK1" s="87" t="n"/>
      <c r="KWL1" s="87" t="n"/>
      <c r="KWM1" s="87" t="n"/>
      <c r="KWN1" s="87" t="n"/>
      <c r="KWO1" s="87" t="n"/>
      <c r="KWP1" s="87" t="n"/>
      <c r="KWQ1" s="87" t="n"/>
      <c r="KWR1" s="87" t="n"/>
      <c r="KWS1" s="87" t="n"/>
      <c r="KWT1" s="87" t="n"/>
      <c r="KWU1" s="87" t="n"/>
      <c r="KWV1" s="87" t="n"/>
      <c r="KWW1" s="87" t="n"/>
      <c r="KWX1" s="87" t="n"/>
      <c r="KWY1" s="87" t="n"/>
      <c r="KWZ1" s="87" t="n"/>
      <c r="KXA1" s="87" t="n"/>
      <c r="KXB1" s="87" t="n"/>
      <c r="KXC1" s="87" t="n"/>
      <c r="KXD1" s="87" t="n"/>
      <c r="KXE1" s="87" t="n"/>
      <c r="KXF1" s="87" t="n"/>
      <c r="KXG1" s="87" t="n"/>
      <c r="KXH1" s="87" t="n"/>
      <c r="KXI1" s="87" t="n"/>
      <c r="KXJ1" s="87" t="n"/>
      <c r="KXK1" s="87" t="n"/>
      <c r="KXL1" s="87" t="n"/>
      <c r="KXM1" s="87" t="n"/>
      <c r="KXN1" s="87" t="n"/>
      <c r="KXO1" s="87" t="n"/>
      <c r="KXP1" s="87" t="n"/>
      <c r="KXQ1" s="87" t="n"/>
      <c r="KXR1" s="87" t="n"/>
      <c r="KXS1" s="87" t="n"/>
      <c r="KXT1" s="87" t="n"/>
      <c r="KXU1" s="87" t="n"/>
      <c r="KXV1" s="87" t="n"/>
      <c r="KXW1" s="87" t="n"/>
      <c r="KXX1" s="87" t="n"/>
      <c r="KXY1" s="87" t="n"/>
      <c r="KXZ1" s="87" t="n"/>
      <c r="KYA1" s="87" t="n"/>
      <c r="KYB1" s="87" t="n"/>
      <c r="KYC1" s="87" t="n"/>
      <c r="KYD1" s="87" t="n"/>
      <c r="KYE1" s="87" t="n"/>
      <c r="KYF1" s="87" t="n"/>
      <c r="KYG1" s="87" t="n"/>
      <c r="KYH1" s="87" t="n"/>
      <c r="KYI1" s="87" t="n"/>
      <c r="KYJ1" s="87" t="n"/>
      <c r="KYK1" s="87" t="n"/>
      <c r="KYL1" s="87" t="n"/>
      <c r="KYM1" s="87" t="n"/>
      <c r="KYN1" s="87" t="n"/>
      <c r="KYO1" s="87" t="n"/>
      <c r="KYP1" s="87" t="n"/>
      <c r="KYQ1" s="87" t="n"/>
      <c r="KYR1" s="87" t="n"/>
      <c r="KYS1" s="87" t="n"/>
      <c r="KYT1" s="87" t="n"/>
      <c r="KYU1" s="87" t="n"/>
      <c r="KYV1" s="87" t="n"/>
      <c r="KYW1" s="87" t="n"/>
      <c r="KYX1" s="87" t="n"/>
      <c r="KYY1" s="87" t="n"/>
      <c r="KYZ1" s="87" t="n"/>
      <c r="KZA1" s="87" t="n"/>
      <c r="KZB1" s="87" t="n"/>
      <c r="KZC1" s="87" t="n"/>
      <c r="KZD1" s="87" t="n"/>
      <c r="KZE1" s="87" t="n"/>
      <c r="KZF1" s="87" t="n"/>
      <c r="KZG1" s="87" t="n"/>
      <c r="KZH1" s="87" t="n"/>
      <c r="KZI1" s="87" t="n"/>
      <c r="KZJ1" s="87" t="n"/>
      <c r="KZK1" s="87" t="n"/>
      <c r="KZL1" s="87" t="n"/>
      <c r="KZM1" s="87" t="n"/>
      <c r="KZN1" s="87" t="n"/>
      <c r="KZO1" s="87" t="n"/>
      <c r="KZP1" s="87" t="n"/>
      <c r="KZQ1" s="87" t="n"/>
      <c r="KZR1" s="87" t="n"/>
      <c r="KZS1" s="87" t="n"/>
      <c r="KZT1" s="87" t="n"/>
      <c r="KZU1" s="87" t="n"/>
      <c r="KZV1" s="87" t="n"/>
      <c r="KZW1" s="87" t="n"/>
      <c r="KZX1" s="87" t="n"/>
      <c r="KZY1" s="87" t="n"/>
      <c r="KZZ1" s="87" t="n"/>
      <c r="LAA1" s="87" t="n"/>
      <c r="LAB1" s="87" t="n"/>
      <c r="LAC1" s="87" t="n"/>
      <c r="LAD1" s="87" t="n"/>
      <c r="LAE1" s="87" t="n"/>
      <c r="LAF1" s="87" t="n"/>
      <c r="LAG1" s="87" t="n"/>
      <c r="LAH1" s="87" t="n"/>
      <c r="LAI1" s="87" t="n"/>
      <c r="LAJ1" s="87" t="n"/>
      <c r="LAK1" s="87" t="n"/>
      <c r="LAL1" s="87" t="n"/>
      <c r="LAM1" s="87" t="n"/>
      <c r="LAN1" s="87" t="n"/>
      <c r="LAO1" s="87" t="n"/>
      <c r="LAP1" s="87" t="n"/>
      <c r="LAQ1" s="87" t="n"/>
      <c r="LAR1" s="87" t="n"/>
      <c r="LAS1" s="87" t="n"/>
      <c r="LAT1" s="87" t="n"/>
      <c r="LAU1" s="87" t="n"/>
      <c r="LAV1" s="87" t="n"/>
      <c r="LAW1" s="87" t="n"/>
      <c r="LAX1" s="87" t="n"/>
      <c r="LAY1" s="87" t="n"/>
      <c r="LAZ1" s="87" t="n"/>
      <c r="LBA1" s="87" t="n"/>
      <c r="LBB1" s="87" t="n"/>
      <c r="LBC1" s="87" t="n"/>
      <c r="LBD1" s="87" t="n"/>
      <c r="LBE1" s="87" t="n"/>
      <c r="LBF1" s="87" t="n"/>
      <c r="LBG1" s="87" t="n"/>
      <c r="LBH1" s="87" t="n"/>
      <c r="LBI1" s="87" t="n"/>
      <c r="LBJ1" s="87" t="n"/>
      <c r="LBK1" s="87" t="n"/>
      <c r="LBL1" s="87" t="n"/>
      <c r="LBM1" s="87" t="n"/>
      <c r="LBN1" s="87" t="n"/>
      <c r="LBO1" s="87" t="n"/>
      <c r="LBP1" s="87" t="n"/>
      <c r="LBQ1" s="87" t="n"/>
      <c r="LBR1" s="87" t="n"/>
      <c r="LBS1" s="87" t="n"/>
      <c r="LBT1" s="87" t="n"/>
      <c r="LBU1" s="87" t="n"/>
      <c r="LBV1" s="87" t="n"/>
      <c r="LBW1" s="87" t="n"/>
      <c r="LBX1" s="87" t="n"/>
      <c r="LBY1" s="87" t="n"/>
      <c r="LBZ1" s="87" t="n"/>
      <c r="LCA1" s="87" t="n"/>
      <c r="LCB1" s="87" t="n"/>
      <c r="LCC1" s="87" t="n"/>
      <c r="LCD1" s="87" t="n"/>
      <c r="LCE1" s="87" t="n"/>
      <c r="LCF1" s="87" t="n"/>
      <c r="LCG1" s="87" t="n"/>
      <c r="LCH1" s="87" t="n"/>
      <c r="LCI1" s="87" t="n"/>
      <c r="LCJ1" s="87" t="n"/>
      <c r="LCK1" s="87" t="n"/>
      <c r="LCL1" s="87" t="n"/>
      <c r="LCM1" s="87" t="n"/>
      <c r="LCN1" s="87" t="n"/>
      <c r="LCO1" s="87" t="n"/>
      <c r="LCP1" s="87" t="n"/>
      <c r="LCQ1" s="87" t="n"/>
      <c r="LCR1" s="87" t="n"/>
      <c r="LCS1" s="87" t="n"/>
      <c r="LCT1" s="87" t="n"/>
      <c r="LCU1" s="87" t="n"/>
      <c r="LCV1" s="87" t="n"/>
      <c r="LCW1" s="87" t="n"/>
      <c r="LCX1" s="87" t="n"/>
      <c r="LCY1" s="87" t="n"/>
      <c r="LCZ1" s="87" t="n"/>
      <c r="LDA1" s="87" t="n"/>
      <c r="LDB1" s="87" t="n"/>
      <c r="LDC1" s="87" t="n"/>
      <c r="LDD1" s="87" t="n"/>
      <c r="LDE1" s="87" t="n"/>
      <c r="LDF1" s="87" t="n"/>
      <c r="LDG1" s="87" t="n"/>
      <c r="LDH1" s="87" t="n"/>
      <c r="LDI1" s="87" t="n"/>
      <c r="LDJ1" s="87" t="n"/>
      <c r="LDK1" s="87" t="n"/>
      <c r="LDL1" s="87" t="n"/>
      <c r="LDM1" s="87" t="n"/>
      <c r="LDN1" s="87" t="n"/>
      <c r="LDO1" s="87" t="n"/>
      <c r="LDP1" s="87" t="n"/>
      <c r="LDQ1" s="87" t="n"/>
      <c r="LDR1" s="87" t="n"/>
      <c r="LDS1" s="87" t="n"/>
      <c r="LDT1" s="87" t="n"/>
      <c r="LDU1" s="87" t="n"/>
      <c r="LDV1" s="87" t="n"/>
      <c r="LDW1" s="87" t="n"/>
      <c r="LDX1" s="87" t="n"/>
      <c r="LDY1" s="87" t="n"/>
      <c r="LDZ1" s="87" t="n"/>
      <c r="LEA1" s="87" t="n"/>
      <c r="LEB1" s="87" t="n"/>
      <c r="LEC1" s="87" t="n"/>
      <c r="LED1" s="87" t="n"/>
      <c r="LEE1" s="87" t="n"/>
      <c r="LEF1" s="87" t="n"/>
      <c r="LEG1" s="87" t="n"/>
      <c r="LEH1" s="87" t="n"/>
      <c r="LEI1" s="87" t="n"/>
      <c r="LEJ1" s="87" t="n"/>
      <c r="LEK1" s="87" t="n"/>
      <c r="LEL1" s="87" t="n"/>
      <c r="LEM1" s="87" t="n"/>
      <c r="LEN1" s="87" t="n"/>
      <c r="LEO1" s="87" t="n"/>
      <c r="LEP1" s="87" t="n"/>
      <c r="LEQ1" s="87" t="n"/>
      <c r="LER1" s="87" t="n"/>
      <c r="LES1" s="87" t="n"/>
      <c r="LET1" s="87" t="n"/>
      <c r="LEU1" s="87" t="n"/>
      <c r="LEV1" s="87" t="n"/>
      <c r="LEW1" s="87" t="n"/>
      <c r="LEX1" s="87" t="n"/>
      <c r="LEY1" s="87" t="n"/>
      <c r="LEZ1" s="87" t="n"/>
      <c r="LFA1" s="87" t="n"/>
      <c r="LFB1" s="87" t="n"/>
      <c r="LFC1" s="87" t="n"/>
      <c r="LFD1" s="87" t="n"/>
      <c r="LFE1" s="87" t="n"/>
      <c r="LFF1" s="87" t="n"/>
      <c r="LFG1" s="87" t="n"/>
      <c r="LFH1" s="87" t="n"/>
      <c r="LFI1" s="87" t="n"/>
      <c r="LFJ1" s="87" t="n"/>
      <c r="LFK1" s="87" t="n"/>
      <c r="LFL1" s="87" t="n"/>
      <c r="LFM1" s="87" t="n"/>
      <c r="LFN1" s="87" t="n"/>
      <c r="LFO1" s="87" t="n"/>
      <c r="LFP1" s="87" t="n"/>
      <c r="LFQ1" s="87" t="n"/>
      <c r="LFR1" s="87" t="n"/>
      <c r="LFS1" s="87" t="n"/>
      <c r="LFT1" s="87" t="n"/>
      <c r="LFU1" s="87" t="n"/>
      <c r="LFV1" s="87" t="n"/>
      <c r="LFW1" s="87" t="n"/>
      <c r="LFX1" s="87" t="n"/>
      <c r="LFY1" s="87" t="n"/>
      <c r="LFZ1" s="87" t="n"/>
      <c r="LGA1" s="87" t="n"/>
      <c r="LGB1" s="87" t="n"/>
      <c r="LGC1" s="87" t="n"/>
      <c r="LGD1" s="87" t="n"/>
      <c r="LGE1" s="87" t="n"/>
      <c r="LGF1" s="87" t="n"/>
      <c r="LGG1" s="87" t="n"/>
      <c r="LGH1" s="87" t="n"/>
      <c r="LGI1" s="87" t="n"/>
      <c r="LGJ1" s="87" t="n"/>
      <c r="LGK1" s="87" t="n"/>
      <c r="LGL1" s="87" t="n"/>
      <c r="LGM1" s="87" t="n"/>
      <c r="LGN1" s="87" t="n"/>
      <c r="LGO1" s="87" t="n"/>
      <c r="LGP1" s="87" t="n"/>
      <c r="LGQ1" s="87" t="n"/>
      <c r="LGR1" s="87" t="n"/>
      <c r="LGS1" s="87" t="n"/>
      <c r="LGT1" s="87" t="n"/>
      <c r="LGU1" s="87" t="n"/>
      <c r="LGV1" s="87" t="n"/>
      <c r="LGW1" s="87" t="n"/>
      <c r="LGX1" s="87" t="n"/>
      <c r="LGY1" s="87" t="n"/>
      <c r="LGZ1" s="87" t="n"/>
      <c r="LHA1" s="87" t="n"/>
      <c r="LHB1" s="87" t="n"/>
      <c r="LHC1" s="87" t="n"/>
      <c r="LHD1" s="87" t="n"/>
      <c r="LHE1" s="87" t="n"/>
      <c r="LHF1" s="87" t="n"/>
      <c r="LHG1" s="87" t="n"/>
      <c r="LHH1" s="87" t="n"/>
      <c r="LHI1" s="87" t="n"/>
      <c r="LHJ1" s="87" t="n"/>
      <c r="LHK1" s="87" t="n"/>
      <c r="LHL1" s="87" t="n"/>
      <c r="LHM1" s="87" t="n"/>
      <c r="LHN1" s="87" t="n"/>
      <c r="LHO1" s="87" t="n"/>
      <c r="LHP1" s="87" t="n"/>
      <c r="LHQ1" s="87" t="n"/>
      <c r="LHR1" s="87" t="n"/>
      <c r="LHS1" s="87" t="n"/>
      <c r="LHT1" s="87" t="n"/>
      <c r="LHU1" s="87" t="n"/>
      <c r="LHV1" s="87" t="n"/>
      <c r="LHW1" s="87" t="n"/>
      <c r="LHX1" s="87" t="n"/>
      <c r="LHY1" s="87" t="n"/>
      <c r="LHZ1" s="87" t="n"/>
      <c r="LIA1" s="87" t="n"/>
      <c r="LIB1" s="87" t="n"/>
      <c r="LIC1" s="87" t="n"/>
      <c r="LID1" s="87" t="n"/>
      <c r="LIE1" s="87" t="n"/>
      <c r="LIF1" s="87" t="n"/>
      <c r="LIG1" s="87" t="n"/>
      <c r="LIH1" s="87" t="n"/>
      <c r="LII1" s="87" t="n"/>
      <c r="LIJ1" s="87" t="n"/>
      <c r="LIK1" s="87" t="n"/>
      <c r="LIL1" s="87" t="n"/>
      <c r="LIM1" s="87" t="n"/>
      <c r="LIN1" s="87" t="n"/>
      <c r="LIO1" s="87" t="n"/>
      <c r="LIP1" s="87" t="n"/>
      <c r="LIQ1" s="87" t="n"/>
      <c r="LIR1" s="87" t="n"/>
      <c r="LIS1" s="87" t="n"/>
      <c r="LIT1" s="87" t="n"/>
      <c r="LIU1" s="87" t="n"/>
      <c r="LIV1" s="87" t="n"/>
      <c r="LIW1" s="87" t="n"/>
      <c r="LIX1" s="87" t="n"/>
      <c r="LIY1" s="87" t="n"/>
      <c r="LIZ1" s="87" t="n"/>
      <c r="LJA1" s="87" t="n"/>
      <c r="LJB1" s="87" t="n"/>
      <c r="LJC1" s="87" t="n"/>
      <c r="LJD1" s="87" t="n"/>
      <c r="LJE1" s="87" t="n"/>
      <c r="LJF1" s="87" t="n"/>
      <c r="LJG1" s="87" t="n"/>
      <c r="LJH1" s="87" t="n"/>
      <c r="LJI1" s="87" t="n"/>
      <c r="LJJ1" s="87" t="n"/>
      <c r="LJK1" s="87" t="n"/>
      <c r="LJL1" s="87" t="n"/>
      <c r="LJM1" s="87" t="n"/>
      <c r="LJN1" s="87" t="n"/>
      <c r="LJO1" s="87" t="n"/>
      <c r="LJP1" s="87" t="n"/>
      <c r="LJQ1" s="87" t="n"/>
      <c r="LJR1" s="87" t="n"/>
      <c r="LJS1" s="87" t="n"/>
      <c r="LJT1" s="87" t="n"/>
      <c r="LJU1" s="87" t="n"/>
      <c r="LJV1" s="87" t="n"/>
      <c r="LJW1" s="87" t="n"/>
      <c r="LJX1" s="87" t="n"/>
      <c r="LJY1" s="87" t="n"/>
      <c r="LJZ1" s="87" t="n"/>
      <c r="LKA1" s="87" t="n"/>
      <c r="LKB1" s="87" t="n"/>
      <c r="LKC1" s="87" t="n"/>
      <c r="LKD1" s="87" t="n"/>
      <c r="LKE1" s="87" t="n"/>
      <c r="LKF1" s="87" t="n"/>
      <c r="LKG1" s="87" t="n"/>
      <c r="LKH1" s="87" t="n"/>
      <c r="LKI1" s="87" t="n"/>
      <c r="LKJ1" s="87" t="n"/>
      <c r="LKK1" s="87" t="n"/>
      <c r="LKL1" s="87" t="n"/>
      <c r="LKM1" s="87" t="n"/>
      <c r="LKN1" s="87" t="n"/>
      <c r="LKO1" s="87" t="n"/>
      <c r="LKP1" s="87" t="n"/>
      <c r="LKQ1" s="87" t="n"/>
      <c r="LKR1" s="87" t="n"/>
      <c r="LKS1" s="87" t="n"/>
      <c r="LKT1" s="87" t="n"/>
      <c r="LKU1" s="87" t="n"/>
      <c r="LKV1" s="87" t="n"/>
      <c r="LKW1" s="87" t="n"/>
      <c r="LKX1" s="87" t="n"/>
      <c r="LKY1" s="87" t="n"/>
      <c r="LKZ1" s="87" t="n"/>
      <c r="LLA1" s="87" t="n"/>
      <c r="LLB1" s="87" t="n"/>
      <c r="LLC1" s="87" t="n"/>
      <c r="LLD1" s="87" t="n"/>
      <c r="LLE1" s="87" t="n"/>
      <c r="LLF1" s="87" t="n"/>
      <c r="LLG1" s="87" t="n"/>
      <c r="LLH1" s="87" t="n"/>
      <c r="LLI1" s="87" t="n"/>
      <c r="LLJ1" s="87" t="n"/>
      <c r="LLK1" s="87" t="n"/>
      <c r="LLL1" s="87" t="n"/>
      <c r="LLM1" s="87" t="n"/>
      <c r="LLN1" s="87" t="n"/>
      <c r="LLO1" s="87" t="n"/>
      <c r="LLP1" s="87" t="n"/>
      <c r="LLQ1" s="87" t="n"/>
      <c r="LLR1" s="87" t="n"/>
      <c r="LLS1" s="87" t="n"/>
      <c r="LLT1" s="87" t="n"/>
      <c r="LLU1" s="87" t="n"/>
      <c r="LLV1" s="87" t="n"/>
      <c r="LLW1" s="87" t="n"/>
      <c r="LLX1" s="87" t="n"/>
      <c r="LLY1" s="87" t="n"/>
      <c r="LLZ1" s="87" t="n"/>
      <c r="LMA1" s="87" t="n"/>
      <c r="LMB1" s="87" t="n"/>
      <c r="LMC1" s="87" t="n"/>
      <c r="LMD1" s="87" t="n"/>
      <c r="LME1" s="87" t="n"/>
      <c r="LMF1" s="87" t="n"/>
      <c r="LMG1" s="87" t="n"/>
      <c r="LMH1" s="87" t="n"/>
      <c r="LMI1" s="87" t="n"/>
      <c r="LMJ1" s="87" t="n"/>
      <c r="LMK1" s="87" t="n"/>
      <c r="LML1" s="87" t="n"/>
      <c r="LMM1" s="87" t="n"/>
      <c r="LMN1" s="87" t="n"/>
      <c r="LMO1" s="87" t="n"/>
      <c r="LMP1" s="87" t="n"/>
      <c r="LMQ1" s="87" t="n"/>
      <c r="LMR1" s="87" t="n"/>
      <c r="LMS1" s="87" t="n"/>
      <c r="LMT1" s="87" t="n"/>
      <c r="LMU1" s="87" t="n"/>
      <c r="LMV1" s="87" t="n"/>
      <c r="LMW1" s="87" t="n"/>
      <c r="LMX1" s="87" t="n"/>
      <c r="LMY1" s="87" t="n"/>
      <c r="LMZ1" s="87" t="n"/>
      <c r="LNA1" s="87" t="n"/>
      <c r="LNB1" s="87" t="n"/>
      <c r="LNC1" s="87" t="n"/>
      <c r="LND1" s="87" t="n"/>
      <c r="LNE1" s="87" t="n"/>
      <c r="LNF1" s="87" t="n"/>
      <c r="LNG1" s="87" t="n"/>
      <c r="LNH1" s="87" t="n"/>
      <c r="LNI1" s="87" t="n"/>
      <c r="LNJ1" s="87" t="n"/>
      <c r="LNK1" s="87" t="n"/>
      <c r="LNL1" s="87" t="n"/>
      <c r="LNM1" s="87" t="n"/>
      <c r="LNN1" s="87" t="n"/>
      <c r="LNO1" s="87" t="n"/>
      <c r="LNP1" s="87" t="n"/>
      <c r="LNQ1" s="87" t="n"/>
      <c r="LNR1" s="87" t="n"/>
      <c r="LNS1" s="87" t="n"/>
      <c r="LNT1" s="87" t="n"/>
      <c r="LNU1" s="87" t="n"/>
      <c r="LNV1" s="87" t="n"/>
      <c r="LNW1" s="87" t="n"/>
      <c r="LNX1" s="87" t="n"/>
      <c r="LNY1" s="87" t="n"/>
      <c r="LNZ1" s="87" t="n"/>
      <c r="LOA1" s="87" t="n"/>
      <c r="LOB1" s="87" t="n"/>
      <c r="LOC1" s="87" t="n"/>
      <c r="LOD1" s="87" t="n"/>
      <c r="LOE1" s="87" t="n"/>
      <c r="LOF1" s="87" t="n"/>
      <c r="LOG1" s="87" t="n"/>
      <c r="LOH1" s="87" t="n"/>
      <c r="LOI1" s="87" t="n"/>
      <c r="LOJ1" s="87" t="n"/>
      <c r="LOK1" s="87" t="n"/>
      <c r="LOL1" s="87" t="n"/>
      <c r="LOM1" s="87" t="n"/>
      <c r="LON1" s="87" t="n"/>
      <c r="LOO1" s="87" t="n"/>
      <c r="LOP1" s="87" t="n"/>
      <c r="LOQ1" s="87" t="n"/>
      <c r="LOR1" s="87" t="n"/>
      <c r="LOS1" s="87" t="n"/>
      <c r="LOT1" s="87" t="n"/>
      <c r="LOU1" s="87" t="n"/>
      <c r="LOV1" s="87" t="n"/>
      <c r="LOW1" s="87" t="n"/>
      <c r="LOX1" s="87" t="n"/>
      <c r="LOY1" s="87" t="n"/>
      <c r="LOZ1" s="87" t="n"/>
      <c r="LPA1" s="87" t="n"/>
      <c r="LPB1" s="87" t="n"/>
      <c r="LPC1" s="87" t="n"/>
      <c r="LPD1" s="87" t="n"/>
      <c r="LPE1" s="87" t="n"/>
      <c r="LPF1" s="87" t="n"/>
      <c r="LPG1" s="87" t="n"/>
      <c r="LPH1" s="87" t="n"/>
      <c r="LPI1" s="87" t="n"/>
      <c r="LPJ1" s="87" t="n"/>
      <c r="LPK1" s="87" t="n"/>
      <c r="LPL1" s="87" t="n"/>
      <c r="LPM1" s="87" t="n"/>
      <c r="LPN1" s="87" t="n"/>
      <c r="LPO1" s="87" t="n"/>
      <c r="LPP1" s="87" t="n"/>
      <c r="LPQ1" s="87" t="n"/>
      <c r="LPR1" s="87" t="n"/>
      <c r="LPS1" s="87" t="n"/>
      <c r="LPT1" s="87" t="n"/>
      <c r="LPU1" s="87" t="n"/>
      <c r="LPV1" s="87" t="n"/>
      <c r="LPW1" s="87" t="n"/>
      <c r="LPX1" s="87" t="n"/>
      <c r="LPY1" s="87" t="n"/>
      <c r="LPZ1" s="87" t="n"/>
      <c r="LQA1" s="87" t="n"/>
      <c r="LQB1" s="87" t="n"/>
      <c r="LQC1" s="87" t="n"/>
      <c r="LQD1" s="87" t="n"/>
      <c r="LQE1" s="87" t="n"/>
      <c r="LQF1" s="87" t="n"/>
      <c r="LQG1" s="87" t="n"/>
      <c r="LQH1" s="87" t="n"/>
      <c r="LQI1" s="87" t="n"/>
      <c r="LQJ1" s="87" t="n"/>
      <c r="LQK1" s="87" t="n"/>
      <c r="LQL1" s="87" t="n"/>
      <c r="LQM1" s="87" t="n"/>
      <c r="LQN1" s="87" t="n"/>
      <c r="LQO1" s="87" t="n"/>
      <c r="LQP1" s="87" t="n"/>
      <c r="LQQ1" s="87" t="n"/>
      <c r="LQR1" s="87" t="n"/>
      <c r="LQS1" s="87" t="n"/>
      <c r="LQT1" s="87" t="n"/>
      <c r="LQU1" s="87" t="n"/>
      <c r="LQV1" s="87" t="n"/>
      <c r="LQW1" s="87" t="n"/>
      <c r="LQX1" s="87" t="n"/>
      <c r="LQY1" s="87" t="n"/>
      <c r="LQZ1" s="87" t="n"/>
      <c r="LRA1" s="87" t="n"/>
      <c r="LRB1" s="87" t="n"/>
      <c r="LRC1" s="87" t="n"/>
      <c r="LRD1" s="87" t="n"/>
      <c r="LRE1" s="87" t="n"/>
      <c r="LRF1" s="87" t="n"/>
      <c r="LRG1" s="87" t="n"/>
      <c r="LRH1" s="87" t="n"/>
      <c r="LRI1" s="87" t="n"/>
      <c r="LRJ1" s="87" t="n"/>
      <c r="LRK1" s="87" t="n"/>
      <c r="LRL1" s="87" t="n"/>
      <c r="LRM1" s="87" t="n"/>
      <c r="LRN1" s="87" t="n"/>
      <c r="LRO1" s="87" t="n"/>
      <c r="LRP1" s="87" t="n"/>
      <c r="LRQ1" s="87" t="n"/>
      <c r="LRR1" s="87" t="n"/>
      <c r="LRS1" s="87" t="n"/>
      <c r="LRT1" s="87" t="n"/>
      <c r="LRU1" s="87" t="n"/>
      <c r="LRV1" s="87" t="n"/>
      <c r="LRW1" s="87" t="n"/>
      <c r="LRX1" s="87" t="n"/>
      <c r="LRY1" s="87" t="n"/>
      <c r="LRZ1" s="87" t="n"/>
      <c r="LSA1" s="87" t="n"/>
      <c r="LSB1" s="87" t="n"/>
      <c r="LSC1" s="87" t="n"/>
      <c r="LSD1" s="87" t="n"/>
      <c r="LSE1" s="87" t="n"/>
      <c r="LSF1" s="87" t="n"/>
      <c r="LSG1" s="87" t="n"/>
      <c r="LSH1" s="87" t="n"/>
      <c r="LSI1" s="87" t="n"/>
      <c r="LSJ1" s="87" t="n"/>
      <c r="LSK1" s="87" t="n"/>
      <c r="LSL1" s="87" t="n"/>
      <c r="LSM1" s="87" t="n"/>
      <c r="LSN1" s="87" t="n"/>
      <c r="LSO1" s="87" t="n"/>
      <c r="LSP1" s="87" t="n"/>
      <c r="LSQ1" s="87" t="n"/>
      <c r="LSR1" s="87" t="n"/>
      <c r="LSS1" s="87" t="n"/>
      <c r="LST1" s="87" t="n"/>
      <c r="LSU1" s="87" t="n"/>
      <c r="LSV1" s="87" t="n"/>
      <c r="LSW1" s="87" t="n"/>
      <c r="LSX1" s="87" t="n"/>
      <c r="LSY1" s="87" t="n"/>
      <c r="LSZ1" s="87" t="n"/>
      <c r="LTA1" s="87" t="n"/>
      <c r="LTB1" s="87" t="n"/>
      <c r="LTC1" s="87" t="n"/>
      <c r="LTD1" s="87" t="n"/>
      <c r="LTE1" s="87" t="n"/>
      <c r="LTF1" s="87" t="n"/>
      <c r="LTG1" s="87" t="n"/>
      <c r="LTH1" s="87" t="n"/>
      <c r="LTI1" s="87" t="n"/>
      <c r="LTJ1" s="87" t="n"/>
      <c r="LTK1" s="87" t="n"/>
      <c r="LTL1" s="87" t="n"/>
      <c r="LTM1" s="87" t="n"/>
      <c r="LTN1" s="87" t="n"/>
      <c r="LTO1" s="87" t="n"/>
      <c r="LTP1" s="87" t="n"/>
      <c r="LTQ1" s="87" t="n"/>
      <c r="LTR1" s="87" t="n"/>
      <c r="LTS1" s="87" t="n"/>
      <c r="LTT1" s="87" t="n"/>
      <c r="LTU1" s="87" t="n"/>
      <c r="LTV1" s="87" t="n"/>
      <c r="LTW1" s="87" t="n"/>
      <c r="LTX1" s="87" t="n"/>
      <c r="LTY1" s="87" t="n"/>
      <c r="LTZ1" s="87" t="n"/>
      <c r="LUA1" s="87" t="n"/>
      <c r="LUB1" s="87" t="n"/>
      <c r="LUC1" s="87" t="n"/>
      <c r="LUD1" s="87" t="n"/>
      <c r="LUE1" s="87" t="n"/>
      <c r="LUF1" s="87" t="n"/>
      <c r="LUG1" s="87" t="n"/>
      <c r="LUH1" s="87" t="n"/>
      <c r="LUI1" s="87" t="n"/>
      <c r="LUJ1" s="87" t="n"/>
      <c r="LUK1" s="87" t="n"/>
      <c r="LUL1" s="87" t="n"/>
      <c r="LUM1" s="87" t="n"/>
      <c r="LUN1" s="87" t="n"/>
      <c r="LUO1" s="87" t="n"/>
      <c r="LUP1" s="87" t="n"/>
      <c r="LUQ1" s="87" t="n"/>
      <c r="LUR1" s="87" t="n"/>
      <c r="LUS1" s="87" t="n"/>
      <c r="LUT1" s="87" t="n"/>
      <c r="LUU1" s="87" t="n"/>
      <c r="LUV1" s="87" t="n"/>
      <c r="LUW1" s="87" t="n"/>
      <c r="LUX1" s="87" t="n"/>
      <c r="LUY1" s="87" t="n"/>
      <c r="LUZ1" s="87" t="n"/>
      <c r="LVA1" s="87" t="n"/>
      <c r="LVB1" s="87" t="n"/>
      <c r="LVC1" s="87" t="n"/>
      <c r="LVD1" s="87" t="n"/>
      <c r="LVE1" s="87" t="n"/>
      <c r="LVF1" s="87" t="n"/>
      <c r="LVG1" s="87" t="n"/>
      <c r="LVH1" s="87" t="n"/>
      <c r="LVI1" s="87" t="n"/>
      <c r="LVJ1" s="87" t="n"/>
      <c r="LVK1" s="87" t="n"/>
      <c r="LVL1" s="87" t="n"/>
      <c r="LVM1" s="87" t="n"/>
      <c r="LVN1" s="87" t="n"/>
      <c r="LVO1" s="87" t="n"/>
      <c r="LVP1" s="87" t="n"/>
      <c r="LVQ1" s="87" t="n"/>
      <c r="LVR1" s="87" t="n"/>
      <c r="LVS1" s="87" t="n"/>
      <c r="LVT1" s="87" t="n"/>
      <c r="LVU1" s="87" t="n"/>
      <c r="LVV1" s="87" t="n"/>
      <c r="LVW1" s="87" t="n"/>
      <c r="LVX1" s="87" t="n"/>
      <c r="LVY1" s="87" t="n"/>
      <c r="LVZ1" s="87" t="n"/>
      <c r="LWA1" s="87" t="n"/>
      <c r="LWB1" s="87" t="n"/>
      <c r="LWC1" s="87" t="n"/>
      <c r="LWD1" s="87" t="n"/>
      <c r="LWE1" s="87" t="n"/>
      <c r="LWF1" s="87" t="n"/>
      <c r="LWG1" s="87" t="n"/>
      <c r="LWH1" s="87" t="n"/>
      <c r="LWI1" s="87" t="n"/>
      <c r="LWJ1" s="87" t="n"/>
      <c r="LWK1" s="87" t="n"/>
      <c r="LWL1" s="87" t="n"/>
      <c r="LWM1" s="87" t="n"/>
      <c r="LWN1" s="87" t="n"/>
      <c r="LWO1" s="87" t="n"/>
      <c r="LWP1" s="87" t="n"/>
      <c r="LWQ1" s="87" t="n"/>
      <c r="LWR1" s="87" t="n"/>
      <c r="LWS1" s="87" t="n"/>
      <c r="LWT1" s="87" t="n"/>
      <c r="LWU1" s="87" t="n"/>
      <c r="LWV1" s="87" t="n"/>
      <c r="LWW1" s="87" t="n"/>
      <c r="LWX1" s="87" t="n"/>
      <c r="LWY1" s="87" t="n"/>
      <c r="LWZ1" s="87" t="n"/>
      <c r="LXA1" s="87" t="n"/>
      <c r="LXB1" s="87" t="n"/>
      <c r="LXC1" s="87" t="n"/>
      <c r="LXD1" s="87" t="n"/>
      <c r="LXE1" s="87" t="n"/>
      <c r="LXF1" s="87" t="n"/>
      <c r="LXG1" s="87" t="n"/>
      <c r="LXH1" s="87" t="n"/>
      <c r="LXI1" s="87" t="n"/>
      <c r="LXJ1" s="87" t="n"/>
      <c r="LXK1" s="87" t="n"/>
      <c r="LXL1" s="87" t="n"/>
      <c r="LXM1" s="87" t="n"/>
      <c r="LXN1" s="87" t="n"/>
      <c r="LXO1" s="87" t="n"/>
      <c r="LXP1" s="87" t="n"/>
      <c r="LXQ1" s="87" t="n"/>
      <c r="LXR1" s="87" t="n"/>
      <c r="LXS1" s="87" t="n"/>
      <c r="LXT1" s="87" t="n"/>
      <c r="LXU1" s="87" t="n"/>
      <c r="LXV1" s="87" t="n"/>
      <c r="LXW1" s="87" t="n"/>
      <c r="LXX1" s="87" t="n"/>
      <c r="LXY1" s="87" t="n"/>
      <c r="LXZ1" s="87" t="n"/>
      <c r="LYA1" s="87" t="n"/>
      <c r="LYB1" s="87" t="n"/>
      <c r="LYC1" s="87" t="n"/>
      <c r="LYD1" s="87" t="n"/>
      <c r="LYE1" s="87" t="n"/>
      <c r="LYF1" s="87" t="n"/>
      <c r="LYG1" s="87" t="n"/>
      <c r="LYH1" s="87" t="n"/>
      <c r="LYI1" s="87" t="n"/>
      <c r="LYJ1" s="87" t="n"/>
      <c r="LYK1" s="87" t="n"/>
      <c r="LYL1" s="87" t="n"/>
      <c r="LYM1" s="87" t="n"/>
      <c r="LYN1" s="87" t="n"/>
      <c r="LYO1" s="87" t="n"/>
      <c r="LYP1" s="87" t="n"/>
      <c r="LYQ1" s="87" t="n"/>
      <c r="LYR1" s="87" t="n"/>
      <c r="LYS1" s="87" t="n"/>
      <c r="LYT1" s="87" t="n"/>
      <c r="LYU1" s="87" t="n"/>
      <c r="LYV1" s="87" t="n"/>
      <c r="LYW1" s="87" t="n"/>
      <c r="LYX1" s="87" t="n"/>
      <c r="LYY1" s="87" t="n"/>
      <c r="LYZ1" s="87" t="n"/>
      <c r="LZA1" s="87" t="n"/>
      <c r="LZB1" s="87" t="n"/>
      <c r="LZC1" s="87" t="n"/>
      <c r="LZD1" s="87" t="n"/>
      <c r="LZE1" s="87" t="n"/>
      <c r="LZF1" s="87" t="n"/>
      <c r="LZG1" s="87" t="n"/>
      <c r="LZH1" s="87" t="n"/>
      <c r="LZI1" s="87" t="n"/>
      <c r="LZJ1" s="87" t="n"/>
      <c r="LZK1" s="87" t="n"/>
      <c r="LZL1" s="87" t="n"/>
      <c r="LZM1" s="87" t="n"/>
      <c r="LZN1" s="87" t="n"/>
      <c r="LZO1" s="87" t="n"/>
      <c r="LZP1" s="87" t="n"/>
      <c r="LZQ1" s="87" t="n"/>
      <c r="LZR1" s="87" t="n"/>
      <c r="LZS1" s="87" t="n"/>
      <c r="LZT1" s="87" t="n"/>
      <c r="LZU1" s="87" t="n"/>
      <c r="LZV1" s="87" t="n"/>
      <c r="LZW1" s="87" t="n"/>
      <c r="LZX1" s="87" t="n"/>
      <c r="LZY1" s="87" t="n"/>
      <c r="LZZ1" s="87" t="n"/>
      <c r="MAA1" s="87" t="n"/>
      <c r="MAB1" s="87" t="n"/>
      <c r="MAC1" s="87" t="n"/>
      <c r="MAD1" s="87" t="n"/>
      <c r="MAE1" s="87" t="n"/>
      <c r="MAF1" s="87" t="n"/>
      <c r="MAG1" s="87" t="n"/>
      <c r="MAH1" s="87" t="n"/>
      <c r="MAI1" s="87" t="n"/>
      <c r="MAJ1" s="87" t="n"/>
      <c r="MAK1" s="87" t="n"/>
      <c r="MAL1" s="87" t="n"/>
      <c r="MAM1" s="87" t="n"/>
      <c r="MAN1" s="87" t="n"/>
      <c r="MAO1" s="87" t="n"/>
      <c r="MAP1" s="87" t="n"/>
      <c r="MAQ1" s="87" t="n"/>
      <c r="MAR1" s="87" t="n"/>
      <c r="MAS1" s="87" t="n"/>
      <c r="MAT1" s="87" t="n"/>
      <c r="MAU1" s="87" t="n"/>
      <c r="MAV1" s="87" t="n"/>
      <c r="MAW1" s="87" t="n"/>
      <c r="MAX1" s="87" t="n"/>
      <c r="MAY1" s="87" t="n"/>
      <c r="MAZ1" s="87" t="n"/>
      <c r="MBA1" s="87" t="n"/>
      <c r="MBB1" s="87" t="n"/>
      <c r="MBC1" s="87" t="n"/>
      <c r="MBD1" s="87" t="n"/>
      <c r="MBE1" s="87" t="n"/>
      <c r="MBF1" s="87" t="n"/>
      <c r="MBG1" s="87" t="n"/>
      <c r="MBH1" s="87" t="n"/>
      <c r="MBI1" s="87" t="n"/>
      <c r="MBJ1" s="87" t="n"/>
      <c r="MBK1" s="87" t="n"/>
      <c r="MBL1" s="87" t="n"/>
      <c r="MBM1" s="87" t="n"/>
      <c r="MBN1" s="87" t="n"/>
      <c r="MBO1" s="87" t="n"/>
      <c r="MBP1" s="87" t="n"/>
      <c r="MBQ1" s="87" t="n"/>
      <c r="MBR1" s="87" t="n"/>
      <c r="MBS1" s="87" t="n"/>
      <c r="MBT1" s="87" t="n"/>
      <c r="MBU1" s="87" t="n"/>
      <c r="MBV1" s="87" t="n"/>
      <c r="MBW1" s="87" t="n"/>
      <c r="MBX1" s="87" t="n"/>
      <c r="MBY1" s="87" t="n"/>
      <c r="MBZ1" s="87" t="n"/>
      <c r="MCA1" s="87" t="n"/>
      <c r="MCB1" s="87" t="n"/>
      <c r="MCC1" s="87" t="n"/>
      <c r="MCD1" s="87" t="n"/>
      <c r="MCE1" s="87" t="n"/>
      <c r="MCF1" s="87" t="n"/>
      <c r="MCG1" s="87" t="n"/>
      <c r="MCH1" s="87" t="n"/>
      <c r="MCI1" s="87" t="n"/>
      <c r="MCJ1" s="87" t="n"/>
      <c r="MCK1" s="87" t="n"/>
      <c r="MCL1" s="87" t="n"/>
      <c r="MCM1" s="87" t="n"/>
      <c r="MCN1" s="87" t="n"/>
      <c r="MCO1" s="87" t="n"/>
      <c r="MCP1" s="87" t="n"/>
      <c r="MCQ1" s="87" t="n"/>
      <c r="MCR1" s="87" t="n"/>
      <c r="MCS1" s="87" t="n"/>
      <c r="MCT1" s="87" t="n"/>
      <c r="MCU1" s="87" t="n"/>
      <c r="MCV1" s="87" t="n"/>
      <c r="MCW1" s="87" t="n"/>
      <c r="MCX1" s="87" t="n"/>
      <c r="MCY1" s="87" t="n"/>
      <c r="MCZ1" s="87" t="n"/>
      <c r="MDA1" s="87" t="n"/>
      <c r="MDB1" s="87" t="n"/>
      <c r="MDC1" s="87" t="n"/>
      <c r="MDD1" s="87" t="n"/>
      <c r="MDE1" s="87" t="n"/>
      <c r="MDF1" s="87" t="n"/>
      <c r="MDG1" s="87" t="n"/>
      <c r="MDH1" s="87" t="n"/>
      <c r="MDI1" s="87" t="n"/>
      <c r="MDJ1" s="87" t="n"/>
      <c r="MDK1" s="87" t="n"/>
      <c r="MDL1" s="87" t="n"/>
      <c r="MDM1" s="87" t="n"/>
      <c r="MDN1" s="87" t="n"/>
      <c r="MDO1" s="87" t="n"/>
      <c r="MDP1" s="87" t="n"/>
      <c r="MDQ1" s="87" t="n"/>
      <c r="MDR1" s="87" t="n"/>
      <c r="MDS1" s="87" t="n"/>
      <c r="MDT1" s="87" t="n"/>
      <c r="MDU1" s="87" t="n"/>
      <c r="MDV1" s="87" t="n"/>
      <c r="MDW1" s="87" t="n"/>
      <c r="MDX1" s="87" t="n"/>
      <c r="MDY1" s="87" t="n"/>
      <c r="MDZ1" s="87" t="n"/>
      <c r="MEA1" s="87" t="n"/>
      <c r="MEB1" s="87" t="n"/>
      <c r="MEC1" s="87" t="n"/>
      <c r="MED1" s="87" t="n"/>
      <c r="MEE1" s="87" t="n"/>
      <c r="MEF1" s="87" t="n"/>
      <c r="MEG1" s="87" t="n"/>
      <c r="MEH1" s="87" t="n"/>
      <c r="MEI1" s="87" t="n"/>
      <c r="MEJ1" s="87" t="n"/>
      <c r="MEK1" s="87" t="n"/>
      <c r="MEL1" s="87" t="n"/>
      <c r="MEM1" s="87" t="n"/>
      <c r="MEN1" s="87" t="n"/>
      <c r="MEO1" s="87" t="n"/>
      <c r="MEP1" s="87" t="n"/>
      <c r="MEQ1" s="87" t="n"/>
      <c r="MER1" s="87" t="n"/>
      <c r="MES1" s="87" t="n"/>
      <c r="MET1" s="87" t="n"/>
      <c r="MEU1" s="87" t="n"/>
      <c r="MEV1" s="87" t="n"/>
      <c r="MEW1" s="87" t="n"/>
      <c r="MEX1" s="87" t="n"/>
      <c r="MEY1" s="87" t="n"/>
      <c r="MEZ1" s="87" t="n"/>
      <c r="MFA1" s="87" t="n"/>
      <c r="MFB1" s="87" t="n"/>
      <c r="MFC1" s="87" t="n"/>
      <c r="MFD1" s="87" t="n"/>
      <c r="MFE1" s="87" t="n"/>
      <c r="MFF1" s="87" t="n"/>
      <c r="MFG1" s="87" t="n"/>
      <c r="MFH1" s="87" t="n"/>
      <c r="MFI1" s="87" t="n"/>
      <c r="MFJ1" s="87" t="n"/>
      <c r="MFK1" s="87" t="n"/>
      <c r="MFL1" s="87" t="n"/>
      <c r="MFM1" s="87" t="n"/>
      <c r="MFN1" s="87" t="n"/>
      <c r="MFO1" s="87" t="n"/>
      <c r="MFP1" s="87" t="n"/>
      <c r="MFQ1" s="87" t="n"/>
      <c r="MFR1" s="87" t="n"/>
      <c r="MFS1" s="87" t="n"/>
      <c r="MFT1" s="87" t="n"/>
      <c r="MFU1" s="87" t="n"/>
      <c r="MFV1" s="87" t="n"/>
      <c r="MFW1" s="87" t="n"/>
      <c r="MFX1" s="87" t="n"/>
      <c r="MFY1" s="87" t="n"/>
      <c r="MFZ1" s="87" t="n"/>
      <c r="MGA1" s="87" t="n"/>
      <c r="MGB1" s="87" t="n"/>
      <c r="MGC1" s="87" t="n"/>
      <c r="MGD1" s="87" t="n"/>
      <c r="MGE1" s="87" t="n"/>
      <c r="MGF1" s="87" t="n"/>
      <c r="MGG1" s="87" t="n"/>
      <c r="MGH1" s="87" t="n"/>
      <c r="MGI1" s="87" t="n"/>
      <c r="MGJ1" s="87" t="n"/>
      <c r="MGK1" s="87" t="n"/>
      <c r="MGL1" s="87" t="n"/>
      <c r="MGM1" s="87" t="n"/>
      <c r="MGN1" s="87" t="n"/>
      <c r="MGO1" s="87" t="n"/>
      <c r="MGP1" s="87" t="n"/>
      <c r="MGQ1" s="87" t="n"/>
      <c r="MGR1" s="87" t="n"/>
      <c r="MGS1" s="87" t="n"/>
      <c r="MGT1" s="87" t="n"/>
      <c r="MGU1" s="87" t="n"/>
      <c r="MGV1" s="87" t="n"/>
      <c r="MGW1" s="87" t="n"/>
      <c r="MGX1" s="87" t="n"/>
      <c r="MGY1" s="87" t="n"/>
      <c r="MGZ1" s="87" t="n"/>
      <c r="MHA1" s="87" t="n"/>
      <c r="MHB1" s="87" t="n"/>
      <c r="MHC1" s="87" t="n"/>
      <c r="MHD1" s="87" t="n"/>
      <c r="MHE1" s="87" t="n"/>
      <c r="MHF1" s="87" t="n"/>
      <c r="MHG1" s="87" t="n"/>
      <c r="MHH1" s="87" t="n"/>
      <c r="MHI1" s="87" t="n"/>
      <c r="MHJ1" s="87" t="n"/>
      <c r="MHK1" s="87" t="n"/>
      <c r="MHL1" s="87" t="n"/>
      <c r="MHM1" s="87" t="n"/>
      <c r="MHN1" s="87" t="n"/>
      <c r="MHO1" s="87" t="n"/>
      <c r="MHP1" s="87" t="n"/>
      <c r="MHQ1" s="87" t="n"/>
      <c r="MHR1" s="87" t="n"/>
      <c r="MHS1" s="87" t="n"/>
      <c r="MHT1" s="87" t="n"/>
      <c r="MHU1" s="87" t="n"/>
      <c r="MHV1" s="87" t="n"/>
      <c r="MHW1" s="87" t="n"/>
      <c r="MHX1" s="87" t="n"/>
      <c r="MHY1" s="87" t="n"/>
      <c r="MHZ1" s="87" t="n"/>
      <c r="MIA1" s="87" t="n"/>
      <c r="MIB1" s="87" t="n"/>
      <c r="MIC1" s="87" t="n"/>
      <c r="MID1" s="87" t="n"/>
      <c r="MIE1" s="87" t="n"/>
      <c r="MIF1" s="87" t="n"/>
      <c r="MIG1" s="87" t="n"/>
      <c r="MIH1" s="87" t="n"/>
      <c r="MII1" s="87" t="n"/>
      <c r="MIJ1" s="87" t="n"/>
      <c r="MIK1" s="87" t="n"/>
      <c r="MIL1" s="87" t="n"/>
      <c r="MIM1" s="87" t="n"/>
      <c r="MIN1" s="87" t="n"/>
      <c r="MIO1" s="87" t="n"/>
      <c r="MIP1" s="87" t="n"/>
      <c r="MIQ1" s="87" t="n"/>
      <c r="MIR1" s="87" t="n"/>
      <c r="MIS1" s="87" t="n"/>
      <c r="MIT1" s="87" t="n"/>
      <c r="MIU1" s="87" t="n"/>
      <c r="MIV1" s="87" t="n"/>
      <c r="MIW1" s="87" t="n"/>
      <c r="MIX1" s="87" t="n"/>
      <c r="MIY1" s="87" t="n"/>
      <c r="MIZ1" s="87" t="n"/>
      <c r="MJA1" s="87" t="n"/>
      <c r="MJB1" s="87" t="n"/>
      <c r="MJC1" s="87" t="n"/>
      <c r="MJD1" s="87" t="n"/>
      <c r="MJE1" s="87" t="n"/>
      <c r="MJF1" s="87" t="n"/>
      <c r="MJG1" s="87" t="n"/>
      <c r="MJH1" s="87" t="n"/>
      <c r="MJI1" s="87" t="n"/>
      <c r="MJJ1" s="87" t="n"/>
      <c r="MJK1" s="87" t="n"/>
      <c r="MJL1" s="87" t="n"/>
      <c r="MJM1" s="87" t="n"/>
      <c r="MJN1" s="87" t="n"/>
      <c r="MJO1" s="87" t="n"/>
      <c r="MJP1" s="87" t="n"/>
      <c r="MJQ1" s="87" t="n"/>
      <c r="MJR1" s="87" t="n"/>
      <c r="MJS1" s="87" t="n"/>
      <c r="MJT1" s="87" t="n"/>
      <c r="MJU1" s="87" t="n"/>
      <c r="MJV1" s="87" t="n"/>
      <c r="MJW1" s="87" t="n"/>
      <c r="MJX1" s="87" t="n"/>
      <c r="MJY1" s="87" t="n"/>
      <c r="MJZ1" s="87" t="n"/>
      <c r="MKA1" s="87" t="n"/>
      <c r="MKB1" s="87" t="n"/>
      <c r="MKC1" s="87" t="n"/>
      <c r="MKD1" s="87" t="n"/>
      <c r="MKE1" s="87" t="n"/>
      <c r="MKF1" s="87" t="n"/>
      <c r="MKG1" s="87" t="n"/>
      <c r="MKH1" s="87" t="n"/>
      <c r="MKI1" s="87" t="n"/>
      <c r="MKJ1" s="87" t="n"/>
      <c r="MKK1" s="87" t="n"/>
      <c r="MKL1" s="87" t="n"/>
      <c r="MKM1" s="87" t="n"/>
      <c r="MKN1" s="87" t="n"/>
      <c r="MKO1" s="87" t="n"/>
      <c r="MKP1" s="87" t="n"/>
      <c r="MKQ1" s="87" t="n"/>
      <c r="MKR1" s="87" t="n"/>
      <c r="MKS1" s="87" t="n"/>
      <c r="MKT1" s="87" t="n"/>
      <c r="MKU1" s="87" t="n"/>
      <c r="MKV1" s="87" t="n"/>
      <c r="MKW1" s="87" t="n"/>
      <c r="MKX1" s="87" t="n"/>
      <c r="MKY1" s="87" t="n"/>
      <c r="MKZ1" s="87" t="n"/>
      <c r="MLA1" s="87" t="n"/>
      <c r="MLB1" s="87" t="n"/>
      <c r="MLC1" s="87" t="n"/>
      <c r="MLD1" s="87" t="n"/>
      <c r="MLE1" s="87" t="n"/>
      <c r="MLF1" s="87" t="n"/>
      <c r="MLG1" s="87" t="n"/>
      <c r="MLH1" s="87" t="n"/>
      <c r="MLI1" s="87" t="n"/>
      <c r="MLJ1" s="87" t="n"/>
      <c r="MLK1" s="87" t="n"/>
      <c r="MLL1" s="87" t="n"/>
      <c r="MLM1" s="87" t="n"/>
      <c r="MLN1" s="87" t="n"/>
      <c r="MLO1" s="87" t="n"/>
      <c r="MLP1" s="87" t="n"/>
      <c r="MLQ1" s="87" t="n"/>
      <c r="MLR1" s="87" t="n"/>
      <c r="MLS1" s="87" t="n"/>
      <c r="MLT1" s="87" t="n"/>
      <c r="MLU1" s="87" t="n"/>
      <c r="MLV1" s="87" t="n"/>
      <c r="MLW1" s="87" t="n"/>
      <c r="MLX1" s="87" t="n"/>
      <c r="MLY1" s="87" t="n"/>
      <c r="MLZ1" s="87" t="n"/>
      <c r="MMA1" s="87" t="n"/>
      <c r="MMB1" s="87" t="n"/>
      <c r="MMC1" s="87" t="n"/>
      <c r="MMD1" s="87" t="n"/>
      <c r="MME1" s="87" t="n"/>
      <c r="MMF1" s="87" t="n"/>
      <c r="MMG1" s="87" t="n"/>
      <c r="MMH1" s="87" t="n"/>
      <c r="MMI1" s="87" t="n"/>
      <c r="MMJ1" s="87" t="n"/>
      <c r="MMK1" s="87" t="n"/>
      <c r="MML1" s="87" t="n"/>
      <c r="MMM1" s="87" t="n"/>
      <c r="MMN1" s="87" t="n"/>
      <c r="MMO1" s="87" t="n"/>
      <c r="MMP1" s="87" t="n"/>
      <c r="MMQ1" s="87" t="n"/>
      <c r="MMR1" s="87" t="n"/>
      <c r="MMS1" s="87" t="n"/>
      <c r="MMT1" s="87" t="n"/>
      <c r="MMU1" s="87" t="n"/>
      <c r="MMV1" s="87" t="n"/>
      <c r="MMW1" s="87" t="n"/>
      <c r="MMX1" s="87" t="n"/>
      <c r="MMY1" s="87" t="n"/>
      <c r="MMZ1" s="87" t="n"/>
      <c r="MNA1" s="87" t="n"/>
      <c r="MNB1" s="87" t="n"/>
      <c r="MNC1" s="87" t="n"/>
      <c r="MND1" s="87" t="n"/>
      <c r="MNE1" s="87" t="n"/>
      <c r="MNF1" s="87" t="n"/>
      <c r="MNG1" s="87" t="n"/>
      <c r="MNH1" s="87" t="n"/>
      <c r="MNI1" s="87" t="n"/>
      <c r="MNJ1" s="87" t="n"/>
      <c r="MNK1" s="87" t="n"/>
      <c r="MNL1" s="87" t="n"/>
      <c r="MNM1" s="87" t="n"/>
      <c r="MNN1" s="87" t="n"/>
      <c r="MNO1" s="87" t="n"/>
      <c r="MNP1" s="87" t="n"/>
      <c r="MNQ1" s="87" t="n"/>
      <c r="MNR1" s="87" t="n"/>
      <c r="MNS1" s="87" t="n"/>
      <c r="MNT1" s="87" t="n"/>
      <c r="MNU1" s="87" t="n"/>
      <c r="MNV1" s="87" t="n"/>
      <c r="MNW1" s="87" t="n"/>
      <c r="MNX1" s="87" t="n"/>
      <c r="MNY1" s="87" t="n"/>
      <c r="MNZ1" s="87" t="n"/>
      <c r="MOA1" s="87" t="n"/>
      <c r="MOB1" s="87" t="n"/>
      <c r="MOC1" s="87" t="n"/>
      <c r="MOD1" s="87" t="n"/>
      <c r="MOE1" s="87" t="n"/>
      <c r="MOF1" s="87" t="n"/>
      <c r="MOG1" s="87" t="n"/>
      <c r="MOH1" s="87" t="n"/>
      <c r="MOI1" s="87" t="n"/>
      <c r="MOJ1" s="87" t="n"/>
      <c r="MOK1" s="87" t="n"/>
      <c r="MOL1" s="87" t="n"/>
      <c r="MOM1" s="87" t="n"/>
      <c r="MON1" s="87" t="n"/>
      <c r="MOO1" s="87" t="n"/>
      <c r="MOP1" s="87" t="n"/>
      <c r="MOQ1" s="87" t="n"/>
      <c r="MOR1" s="87" t="n"/>
      <c r="MOS1" s="87" t="n"/>
      <c r="MOT1" s="87" t="n"/>
      <c r="MOU1" s="87" t="n"/>
      <c r="MOV1" s="87" t="n"/>
      <c r="MOW1" s="87" t="n"/>
      <c r="MOX1" s="87" t="n"/>
      <c r="MOY1" s="87" t="n"/>
      <c r="MOZ1" s="87" t="n"/>
      <c r="MPA1" s="87" t="n"/>
      <c r="MPB1" s="87" t="n"/>
      <c r="MPC1" s="87" t="n"/>
      <c r="MPD1" s="87" t="n"/>
      <c r="MPE1" s="87" t="n"/>
      <c r="MPF1" s="87" t="n"/>
      <c r="MPG1" s="87" t="n"/>
      <c r="MPH1" s="87" t="n"/>
      <c r="MPI1" s="87" t="n"/>
      <c r="MPJ1" s="87" t="n"/>
      <c r="MPK1" s="87" t="n"/>
      <c r="MPL1" s="87" t="n"/>
      <c r="MPM1" s="87" t="n"/>
      <c r="MPN1" s="87" t="n"/>
      <c r="MPO1" s="87" t="n"/>
      <c r="MPP1" s="87" t="n"/>
      <c r="MPQ1" s="87" t="n"/>
      <c r="MPR1" s="87" t="n"/>
      <c r="MPS1" s="87" t="n"/>
      <c r="MPT1" s="87" t="n"/>
      <c r="MPU1" s="87" t="n"/>
      <c r="MPV1" s="87" t="n"/>
      <c r="MPW1" s="87" t="n"/>
      <c r="MPX1" s="87" t="n"/>
      <c r="MPY1" s="87" t="n"/>
      <c r="MPZ1" s="87" t="n"/>
      <c r="MQA1" s="87" t="n"/>
      <c r="MQB1" s="87" t="n"/>
      <c r="MQC1" s="87" t="n"/>
      <c r="MQD1" s="87" t="n"/>
      <c r="MQE1" s="87" t="n"/>
      <c r="MQF1" s="87" t="n"/>
      <c r="MQG1" s="87" t="n"/>
      <c r="MQH1" s="87" t="n"/>
      <c r="MQI1" s="87" t="n"/>
      <c r="MQJ1" s="87" t="n"/>
      <c r="MQK1" s="87" t="n"/>
      <c r="MQL1" s="87" t="n"/>
      <c r="MQM1" s="87" t="n"/>
      <c r="MQN1" s="87" t="n"/>
      <c r="MQO1" s="87" t="n"/>
      <c r="MQP1" s="87" t="n"/>
      <c r="MQQ1" s="87" t="n"/>
      <c r="MQR1" s="87" t="n"/>
      <c r="MQS1" s="87" t="n"/>
      <c r="MQT1" s="87" t="n"/>
      <c r="MQU1" s="87" t="n"/>
      <c r="MQV1" s="87" t="n"/>
      <c r="MQW1" s="87" t="n"/>
      <c r="MQX1" s="87" t="n"/>
      <c r="MQY1" s="87" t="n"/>
      <c r="MQZ1" s="87" t="n"/>
      <c r="MRA1" s="87" t="n"/>
      <c r="MRB1" s="87" t="n"/>
      <c r="MRC1" s="87" t="n"/>
      <c r="MRD1" s="87" t="n"/>
      <c r="MRE1" s="87" t="n"/>
      <c r="MRF1" s="87" t="n"/>
      <c r="MRG1" s="87" t="n"/>
      <c r="MRH1" s="87" t="n"/>
      <c r="MRI1" s="87" t="n"/>
      <c r="MRJ1" s="87" t="n"/>
      <c r="MRK1" s="87" t="n"/>
      <c r="MRL1" s="87" t="n"/>
      <c r="MRM1" s="87" t="n"/>
      <c r="MRN1" s="87" t="n"/>
      <c r="MRO1" s="87" t="n"/>
      <c r="MRP1" s="87" t="n"/>
      <c r="MRQ1" s="87" t="n"/>
      <c r="MRR1" s="87" t="n"/>
      <c r="MRS1" s="87" t="n"/>
      <c r="MRT1" s="87" t="n"/>
      <c r="MRU1" s="87" t="n"/>
      <c r="MRV1" s="87" t="n"/>
      <c r="MRW1" s="87" t="n"/>
      <c r="MRX1" s="87" t="n"/>
      <c r="MRY1" s="87" t="n"/>
      <c r="MRZ1" s="87" t="n"/>
      <c r="MSA1" s="87" t="n"/>
      <c r="MSB1" s="87" t="n"/>
      <c r="MSC1" s="87" t="n"/>
      <c r="MSD1" s="87" t="n"/>
      <c r="MSE1" s="87" t="n"/>
      <c r="MSF1" s="87" t="n"/>
      <c r="MSG1" s="87" t="n"/>
      <c r="MSH1" s="87" t="n"/>
      <c r="MSI1" s="87" t="n"/>
      <c r="MSJ1" s="87" t="n"/>
      <c r="MSK1" s="87" t="n"/>
      <c r="MSL1" s="87" t="n"/>
      <c r="MSM1" s="87" t="n"/>
      <c r="MSN1" s="87" t="n"/>
      <c r="MSO1" s="87" t="n"/>
      <c r="MSP1" s="87" t="n"/>
      <c r="MSQ1" s="87" t="n"/>
      <c r="MSR1" s="87" t="n"/>
      <c r="MSS1" s="87" t="n"/>
      <c r="MST1" s="87" t="n"/>
      <c r="MSU1" s="87" t="n"/>
      <c r="MSV1" s="87" t="n"/>
      <c r="MSW1" s="87" t="n"/>
      <c r="MSX1" s="87" t="n"/>
      <c r="MSY1" s="87" t="n"/>
      <c r="MSZ1" s="87" t="n"/>
      <c r="MTA1" s="87" t="n"/>
      <c r="MTB1" s="87" t="n"/>
      <c r="MTC1" s="87" t="n"/>
      <c r="MTD1" s="87" t="n"/>
      <c r="MTE1" s="87" t="n"/>
      <c r="MTF1" s="87" t="n"/>
      <c r="MTG1" s="87" t="n"/>
      <c r="MTH1" s="87" t="n"/>
      <c r="MTI1" s="87" t="n"/>
      <c r="MTJ1" s="87" t="n"/>
      <c r="MTK1" s="87" t="n"/>
      <c r="MTL1" s="87" t="n"/>
      <c r="MTM1" s="87" t="n"/>
      <c r="MTN1" s="87" t="n"/>
      <c r="MTO1" s="87" t="n"/>
      <c r="MTP1" s="87" t="n"/>
      <c r="MTQ1" s="87" t="n"/>
      <c r="MTR1" s="87" t="n"/>
      <c r="MTS1" s="87" t="n"/>
      <c r="MTT1" s="87" t="n"/>
      <c r="MTU1" s="87" t="n"/>
      <c r="MTV1" s="87" t="n"/>
      <c r="MTW1" s="87" t="n"/>
      <c r="MTX1" s="87" t="n"/>
      <c r="MTY1" s="87" t="n"/>
      <c r="MTZ1" s="87" t="n"/>
      <c r="MUA1" s="87" t="n"/>
      <c r="MUB1" s="87" t="n"/>
      <c r="MUC1" s="87" t="n"/>
      <c r="MUD1" s="87" t="n"/>
      <c r="MUE1" s="87" t="n"/>
      <c r="MUF1" s="87" t="n"/>
      <c r="MUG1" s="87" t="n"/>
      <c r="MUH1" s="87" t="n"/>
      <c r="MUI1" s="87" t="n"/>
      <c r="MUJ1" s="87" t="n"/>
      <c r="MUK1" s="87" t="n"/>
      <c r="MUL1" s="87" t="n"/>
      <c r="MUM1" s="87" t="n"/>
      <c r="MUN1" s="87" t="n"/>
      <c r="MUO1" s="87" t="n"/>
      <c r="MUP1" s="87" t="n"/>
      <c r="MUQ1" s="87" t="n"/>
      <c r="MUR1" s="87" t="n"/>
      <c r="MUS1" s="87" t="n"/>
      <c r="MUT1" s="87" t="n"/>
      <c r="MUU1" s="87" t="n"/>
      <c r="MUV1" s="87" t="n"/>
      <c r="MUW1" s="87" t="n"/>
      <c r="MUX1" s="87" t="n"/>
      <c r="MUY1" s="87" t="n"/>
      <c r="MUZ1" s="87" t="n"/>
      <c r="MVA1" s="87" t="n"/>
      <c r="MVB1" s="87" t="n"/>
      <c r="MVC1" s="87" t="n"/>
      <c r="MVD1" s="87" t="n"/>
      <c r="MVE1" s="87" t="n"/>
      <c r="MVF1" s="87" t="n"/>
      <c r="MVG1" s="87" t="n"/>
      <c r="MVH1" s="87" t="n"/>
      <c r="MVI1" s="87" t="n"/>
      <c r="MVJ1" s="87" t="n"/>
      <c r="MVK1" s="87" t="n"/>
      <c r="MVL1" s="87" t="n"/>
      <c r="MVM1" s="87" t="n"/>
      <c r="MVN1" s="87" t="n"/>
      <c r="MVO1" s="87" t="n"/>
      <c r="MVP1" s="87" t="n"/>
      <c r="MVQ1" s="87" t="n"/>
      <c r="MVR1" s="87" t="n"/>
      <c r="MVS1" s="87" t="n"/>
      <c r="MVT1" s="87" t="n"/>
      <c r="MVU1" s="87" t="n"/>
      <c r="MVV1" s="87" t="n"/>
      <c r="MVW1" s="87" t="n"/>
      <c r="MVX1" s="87" t="n"/>
      <c r="MVY1" s="87" t="n"/>
      <c r="MVZ1" s="87" t="n"/>
      <c r="MWA1" s="87" t="n"/>
      <c r="MWB1" s="87" t="n"/>
      <c r="MWC1" s="87" t="n"/>
      <c r="MWD1" s="87" t="n"/>
      <c r="MWE1" s="87" t="n"/>
      <c r="MWF1" s="87" t="n"/>
      <c r="MWG1" s="87" t="n"/>
      <c r="MWH1" s="87" t="n"/>
      <c r="MWI1" s="87" t="n"/>
      <c r="MWJ1" s="87" t="n"/>
      <c r="MWK1" s="87" t="n"/>
      <c r="MWL1" s="87" t="n"/>
      <c r="MWM1" s="87" t="n"/>
      <c r="MWN1" s="87" t="n"/>
      <c r="MWO1" s="87" t="n"/>
      <c r="MWP1" s="87" t="n"/>
      <c r="MWQ1" s="87" t="n"/>
      <c r="MWR1" s="87" t="n"/>
      <c r="MWS1" s="87" t="n"/>
      <c r="MWT1" s="87" t="n"/>
      <c r="MWU1" s="87" t="n"/>
      <c r="MWV1" s="87" t="n"/>
      <c r="MWW1" s="87" t="n"/>
      <c r="MWX1" s="87" t="n"/>
      <c r="MWY1" s="87" t="n"/>
      <c r="MWZ1" s="87" t="n"/>
      <c r="MXA1" s="87" t="n"/>
      <c r="MXB1" s="87" t="n"/>
      <c r="MXC1" s="87" t="n"/>
      <c r="MXD1" s="87" t="n"/>
      <c r="MXE1" s="87" t="n"/>
      <c r="MXF1" s="87" t="n"/>
      <c r="MXG1" s="87" t="n"/>
      <c r="MXH1" s="87" t="n"/>
      <c r="MXI1" s="87" t="n"/>
      <c r="MXJ1" s="87" t="n"/>
      <c r="MXK1" s="87" t="n"/>
      <c r="MXL1" s="87" t="n"/>
      <c r="MXM1" s="87" t="n"/>
      <c r="MXN1" s="87" t="n"/>
      <c r="MXO1" s="87" t="n"/>
      <c r="MXP1" s="87" t="n"/>
      <c r="MXQ1" s="87" t="n"/>
      <c r="MXR1" s="87" t="n"/>
      <c r="MXS1" s="87" t="n"/>
      <c r="MXT1" s="87" t="n"/>
      <c r="MXU1" s="87" t="n"/>
      <c r="MXV1" s="87" t="n"/>
      <c r="MXW1" s="87" t="n"/>
      <c r="MXX1" s="87" t="n"/>
      <c r="MXY1" s="87" t="n"/>
      <c r="MXZ1" s="87" t="n"/>
      <c r="MYA1" s="87" t="n"/>
      <c r="MYB1" s="87" t="n"/>
      <c r="MYC1" s="87" t="n"/>
      <c r="MYD1" s="87" t="n"/>
      <c r="MYE1" s="87" t="n"/>
      <c r="MYF1" s="87" t="n"/>
      <c r="MYG1" s="87" t="n"/>
      <c r="MYH1" s="87" t="n"/>
      <c r="MYI1" s="87" t="n"/>
      <c r="MYJ1" s="87" t="n"/>
      <c r="MYK1" s="87" t="n"/>
      <c r="MYL1" s="87" t="n"/>
      <c r="MYM1" s="87" t="n"/>
      <c r="MYN1" s="87" t="n"/>
      <c r="MYO1" s="87" t="n"/>
      <c r="MYP1" s="87" t="n"/>
      <c r="MYQ1" s="87" t="n"/>
      <c r="MYR1" s="87" t="n"/>
      <c r="MYS1" s="87" t="n"/>
      <c r="MYT1" s="87" t="n"/>
      <c r="MYU1" s="87" t="n"/>
      <c r="MYV1" s="87" t="n"/>
      <c r="MYW1" s="87" t="n"/>
      <c r="MYX1" s="87" t="n"/>
      <c r="MYY1" s="87" t="n"/>
      <c r="MYZ1" s="87" t="n"/>
      <c r="MZA1" s="87" t="n"/>
      <c r="MZB1" s="87" t="n"/>
      <c r="MZC1" s="87" t="n"/>
      <c r="MZD1" s="87" t="n"/>
      <c r="MZE1" s="87" t="n"/>
      <c r="MZF1" s="87" t="n"/>
      <c r="MZG1" s="87" t="n"/>
      <c r="MZH1" s="87" t="n"/>
      <c r="MZI1" s="87" t="n"/>
      <c r="MZJ1" s="87" t="n"/>
      <c r="MZK1" s="87" t="n"/>
      <c r="MZL1" s="87" t="n"/>
      <c r="MZM1" s="87" t="n"/>
      <c r="MZN1" s="87" t="n"/>
      <c r="MZO1" s="87" t="n"/>
      <c r="MZP1" s="87" t="n"/>
      <c r="MZQ1" s="87" t="n"/>
      <c r="MZR1" s="87" t="n"/>
      <c r="MZS1" s="87" t="n"/>
      <c r="MZT1" s="87" t="n"/>
      <c r="MZU1" s="87" t="n"/>
      <c r="MZV1" s="87" t="n"/>
      <c r="MZW1" s="87" t="n"/>
      <c r="MZX1" s="87" t="n"/>
      <c r="MZY1" s="87" t="n"/>
      <c r="MZZ1" s="87" t="n"/>
      <c r="NAA1" s="87" t="n"/>
      <c r="NAB1" s="87" t="n"/>
      <c r="NAC1" s="87" t="n"/>
      <c r="NAD1" s="87" t="n"/>
      <c r="NAE1" s="87" t="n"/>
      <c r="NAF1" s="87" t="n"/>
      <c r="NAG1" s="87" t="n"/>
      <c r="NAH1" s="87" t="n"/>
      <c r="NAI1" s="87" t="n"/>
      <c r="NAJ1" s="87" t="n"/>
      <c r="NAK1" s="87" t="n"/>
      <c r="NAL1" s="87" t="n"/>
      <c r="NAM1" s="87" t="n"/>
      <c r="NAN1" s="87" t="n"/>
      <c r="NAO1" s="87" t="n"/>
      <c r="NAP1" s="87" t="n"/>
      <c r="NAQ1" s="87" t="n"/>
      <c r="NAR1" s="87" t="n"/>
      <c r="NAS1" s="87" t="n"/>
      <c r="NAT1" s="87" t="n"/>
      <c r="NAU1" s="87" t="n"/>
      <c r="NAV1" s="87" t="n"/>
      <c r="NAW1" s="87" t="n"/>
      <c r="NAX1" s="87" t="n"/>
      <c r="NAY1" s="87" t="n"/>
      <c r="NAZ1" s="87" t="n"/>
      <c r="NBA1" s="87" t="n"/>
      <c r="NBB1" s="87" t="n"/>
      <c r="NBC1" s="87" t="n"/>
      <c r="NBD1" s="87" t="n"/>
      <c r="NBE1" s="87" t="n"/>
      <c r="NBF1" s="87" t="n"/>
      <c r="NBG1" s="87" t="n"/>
      <c r="NBH1" s="87" t="n"/>
      <c r="NBI1" s="87" t="n"/>
      <c r="NBJ1" s="87" t="n"/>
      <c r="NBK1" s="87" t="n"/>
      <c r="NBL1" s="87" t="n"/>
      <c r="NBM1" s="87" t="n"/>
      <c r="NBN1" s="87" t="n"/>
      <c r="NBO1" s="87" t="n"/>
      <c r="NBP1" s="87" t="n"/>
      <c r="NBQ1" s="87" t="n"/>
      <c r="NBR1" s="87" t="n"/>
      <c r="NBS1" s="87" t="n"/>
      <c r="NBT1" s="87" t="n"/>
      <c r="NBU1" s="87" t="n"/>
      <c r="NBV1" s="87" t="n"/>
      <c r="NBW1" s="87" t="n"/>
      <c r="NBX1" s="87" t="n"/>
      <c r="NBY1" s="87" t="n"/>
      <c r="NBZ1" s="87" t="n"/>
      <c r="NCA1" s="87" t="n"/>
      <c r="NCB1" s="87" t="n"/>
      <c r="NCC1" s="87" t="n"/>
      <c r="NCD1" s="87" t="n"/>
      <c r="NCE1" s="87" t="n"/>
      <c r="NCF1" s="87" t="n"/>
      <c r="NCG1" s="87" t="n"/>
      <c r="NCH1" s="87" t="n"/>
      <c r="NCI1" s="87" t="n"/>
      <c r="NCJ1" s="87" t="n"/>
      <c r="NCK1" s="87" t="n"/>
      <c r="NCL1" s="87" t="n"/>
      <c r="NCM1" s="87" t="n"/>
      <c r="NCN1" s="87" t="n"/>
      <c r="NCO1" s="87" t="n"/>
      <c r="NCP1" s="87" t="n"/>
      <c r="NCQ1" s="87" t="n"/>
      <c r="NCR1" s="87" t="n"/>
      <c r="NCS1" s="87" t="n"/>
      <c r="NCT1" s="87" t="n"/>
      <c r="NCU1" s="87" t="n"/>
      <c r="NCV1" s="87" t="n"/>
      <c r="NCW1" s="87" t="n"/>
      <c r="NCX1" s="87" t="n"/>
      <c r="NCY1" s="87" t="n"/>
      <c r="NCZ1" s="87" t="n"/>
      <c r="NDA1" s="87" t="n"/>
      <c r="NDB1" s="87" t="n"/>
      <c r="NDC1" s="87" t="n"/>
      <c r="NDD1" s="87" t="n"/>
      <c r="NDE1" s="87" t="n"/>
      <c r="NDF1" s="87" t="n"/>
      <c r="NDG1" s="87" t="n"/>
      <c r="NDH1" s="87" t="n"/>
      <c r="NDI1" s="87" t="n"/>
      <c r="NDJ1" s="87" t="n"/>
      <c r="NDK1" s="87" t="n"/>
      <c r="NDL1" s="87" t="n"/>
      <c r="NDM1" s="87" t="n"/>
      <c r="NDN1" s="87" t="n"/>
      <c r="NDO1" s="87" t="n"/>
      <c r="NDP1" s="87" t="n"/>
      <c r="NDQ1" s="87" t="n"/>
      <c r="NDR1" s="87" t="n"/>
      <c r="NDS1" s="87" t="n"/>
      <c r="NDT1" s="87" t="n"/>
      <c r="NDU1" s="87" t="n"/>
      <c r="NDV1" s="87" t="n"/>
      <c r="NDW1" s="87" t="n"/>
      <c r="NDX1" s="87" t="n"/>
      <c r="NDY1" s="87" t="n"/>
      <c r="NDZ1" s="87" t="n"/>
      <c r="NEA1" s="87" t="n"/>
      <c r="NEB1" s="87" t="n"/>
      <c r="NEC1" s="87" t="n"/>
      <c r="NED1" s="87" t="n"/>
      <c r="NEE1" s="87" t="n"/>
      <c r="NEF1" s="87" t="n"/>
      <c r="NEG1" s="87" t="n"/>
      <c r="NEH1" s="87" t="n"/>
      <c r="NEI1" s="87" t="n"/>
      <c r="NEJ1" s="87" t="n"/>
      <c r="NEK1" s="87" t="n"/>
      <c r="NEL1" s="87" t="n"/>
      <c r="NEM1" s="87" t="n"/>
      <c r="NEN1" s="87" t="n"/>
      <c r="NEO1" s="87" t="n"/>
      <c r="NEP1" s="87" t="n"/>
      <c r="NEQ1" s="87" t="n"/>
      <c r="NER1" s="87" t="n"/>
      <c r="NES1" s="87" t="n"/>
      <c r="NET1" s="87" t="n"/>
      <c r="NEU1" s="87" t="n"/>
      <c r="NEV1" s="87" t="n"/>
      <c r="NEW1" s="87" t="n"/>
      <c r="NEX1" s="87" t="n"/>
      <c r="NEY1" s="87" t="n"/>
      <c r="NEZ1" s="87" t="n"/>
      <c r="NFA1" s="87" t="n"/>
      <c r="NFB1" s="87" t="n"/>
      <c r="NFC1" s="87" t="n"/>
      <c r="NFD1" s="87" t="n"/>
      <c r="NFE1" s="87" t="n"/>
      <c r="NFF1" s="87" t="n"/>
      <c r="NFG1" s="87" t="n"/>
      <c r="NFH1" s="87" t="n"/>
      <c r="NFI1" s="87" t="n"/>
      <c r="NFJ1" s="87" t="n"/>
      <c r="NFK1" s="87" t="n"/>
      <c r="NFL1" s="87" t="n"/>
      <c r="NFM1" s="87" t="n"/>
      <c r="NFN1" s="87" t="n"/>
      <c r="NFO1" s="87" t="n"/>
      <c r="NFP1" s="87" t="n"/>
      <c r="NFQ1" s="87" t="n"/>
      <c r="NFR1" s="87" t="n"/>
      <c r="NFS1" s="87" t="n"/>
      <c r="NFT1" s="87" t="n"/>
      <c r="NFU1" s="87" t="n"/>
      <c r="NFV1" s="87" t="n"/>
      <c r="NFW1" s="87" t="n"/>
      <c r="NFX1" s="87" t="n"/>
      <c r="NFY1" s="87" t="n"/>
      <c r="NFZ1" s="87" t="n"/>
      <c r="NGA1" s="87" t="n"/>
      <c r="NGB1" s="87" t="n"/>
      <c r="NGC1" s="87" t="n"/>
      <c r="NGD1" s="87" t="n"/>
      <c r="NGE1" s="87" t="n"/>
      <c r="NGF1" s="87" t="n"/>
      <c r="NGG1" s="87" t="n"/>
      <c r="NGH1" s="87" t="n"/>
      <c r="NGI1" s="87" t="n"/>
      <c r="NGJ1" s="87" t="n"/>
      <c r="NGK1" s="87" t="n"/>
      <c r="NGL1" s="87" t="n"/>
      <c r="NGM1" s="87" t="n"/>
      <c r="NGN1" s="87" t="n"/>
      <c r="NGO1" s="87" t="n"/>
      <c r="NGP1" s="87" t="n"/>
      <c r="NGQ1" s="87" t="n"/>
      <c r="NGR1" s="87" t="n"/>
      <c r="NGS1" s="87" t="n"/>
      <c r="NGT1" s="87" t="n"/>
      <c r="NGU1" s="87" t="n"/>
      <c r="NGV1" s="87" t="n"/>
      <c r="NGW1" s="87" t="n"/>
      <c r="NGX1" s="87" t="n"/>
      <c r="NGY1" s="87" t="n"/>
      <c r="NGZ1" s="87" t="n"/>
      <c r="NHA1" s="87" t="n"/>
      <c r="NHB1" s="87" t="n"/>
      <c r="NHC1" s="87" t="n"/>
      <c r="NHD1" s="87" t="n"/>
      <c r="NHE1" s="87" t="n"/>
      <c r="NHF1" s="87" t="n"/>
      <c r="NHG1" s="87" t="n"/>
      <c r="NHH1" s="87" t="n"/>
      <c r="NHI1" s="87" t="n"/>
      <c r="NHJ1" s="87" t="n"/>
      <c r="NHK1" s="87" t="n"/>
      <c r="NHL1" s="87" t="n"/>
      <c r="NHM1" s="87" t="n"/>
      <c r="NHN1" s="87" t="n"/>
      <c r="NHO1" s="87" t="n"/>
      <c r="NHP1" s="87" t="n"/>
      <c r="NHQ1" s="87" t="n"/>
      <c r="NHR1" s="87" t="n"/>
      <c r="NHS1" s="87" t="n"/>
      <c r="NHT1" s="87" t="n"/>
      <c r="NHU1" s="87" t="n"/>
      <c r="NHV1" s="87" t="n"/>
      <c r="NHW1" s="87" t="n"/>
      <c r="NHX1" s="87" t="n"/>
      <c r="NHY1" s="87" t="n"/>
      <c r="NHZ1" s="87" t="n"/>
      <c r="NIA1" s="87" t="n"/>
      <c r="NIB1" s="87" t="n"/>
      <c r="NIC1" s="87" t="n"/>
      <c r="NID1" s="87" t="n"/>
      <c r="NIE1" s="87" t="n"/>
      <c r="NIF1" s="87" t="n"/>
      <c r="NIG1" s="87" t="n"/>
      <c r="NIH1" s="87" t="n"/>
      <c r="NII1" s="87" t="n"/>
      <c r="NIJ1" s="87" t="n"/>
      <c r="NIK1" s="87" t="n"/>
      <c r="NIL1" s="87" t="n"/>
      <c r="NIM1" s="87" t="n"/>
      <c r="NIN1" s="87" t="n"/>
      <c r="NIO1" s="87" t="n"/>
      <c r="NIP1" s="87" t="n"/>
      <c r="NIQ1" s="87" t="n"/>
      <c r="NIR1" s="87" t="n"/>
      <c r="NIS1" s="87" t="n"/>
      <c r="NIT1" s="87" t="n"/>
      <c r="NIU1" s="87" t="n"/>
      <c r="NIV1" s="87" t="n"/>
      <c r="NIW1" s="87" t="n"/>
      <c r="NIX1" s="87" t="n"/>
      <c r="NIY1" s="87" t="n"/>
      <c r="NIZ1" s="87" t="n"/>
      <c r="NJA1" s="87" t="n"/>
      <c r="NJB1" s="87" t="n"/>
      <c r="NJC1" s="87" t="n"/>
      <c r="NJD1" s="87" t="n"/>
      <c r="NJE1" s="87" t="n"/>
      <c r="NJF1" s="87" t="n"/>
      <c r="NJG1" s="87" t="n"/>
      <c r="NJH1" s="87" t="n"/>
      <c r="NJI1" s="87" t="n"/>
      <c r="NJJ1" s="87" t="n"/>
      <c r="NJK1" s="87" t="n"/>
      <c r="NJL1" s="87" t="n"/>
      <c r="NJM1" s="87" t="n"/>
      <c r="NJN1" s="87" t="n"/>
      <c r="NJO1" s="87" t="n"/>
      <c r="NJP1" s="87" t="n"/>
      <c r="NJQ1" s="87" t="n"/>
      <c r="NJR1" s="87" t="n"/>
      <c r="NJS1" s="87" t="n"/>
      <c r="NJT1" s="87" t="n"/>
      <c r="NJU1" s="87" t="n"/>
      <c r="NJV1" s="87" t="n"/>
      <c r="NJW1" s="87" t="n"/>
      <c r="NJX1" s="87" t="n"/>
      <c r="NJY1" s="87" t="n"/>
      <c r="NJZ1" s="87" t="n"/>
      <c r="NKA1" s="87" t="n"/>
      <c r="NKB1" s="87" t="n"/>
      <c r="NKC1" s="87" t="n"/>
      <c r="NKD1" s="87" t="n"/>
      <c r="NKE1" s="87" t="n"/>
      <c r="NKF1" s="87" t="n"/>
      <c r="NKG1" s="87" t="n"/>
      <c r="NKH1" s="87" t="n"/>
      <c r="NKI1" s="87" t="n"/>
      <c r="NKJ1" s="87" t="n"/>
      <c r="NKK1" s="87" t="n"/>
      <c r="NKL1" s="87" t="n"/>
      <c r="NKM1" s="87" t="n"/>
      <c r="NKN1" s="87" t="n"/>
      <c r="NKO1" s="87" t="n"/>
      <c r="NKP1" s="87" t="n"/>
      <c r="NKQ1" s="87" t="n"/>
      <c r="NKR1" s="87" t="n"/>
      <c r="NKS1" s="87" t="n"/>
      <c r="NKT1" s="87" t="n"/>
      <c r="NKU1" s="87" t="n"/>
      <c r="NKV1" s="87" t="n"/>
      <c r="NKW1" s="87" t="n"/>
      <c r="NKX1" s="87" t="n"/>
      <c r="NKY1" s="87" t="n"/>
      <c r="NKZ1" s="87" t="n"/>
      <c r="NLA1" s="87" t="n"/>
      <c r="NLB1" s="87" t="n"/>
      <c r="NLC1" s="87" t="n"/>
      <c r="NLD1" s="87" t="n"/>
      <c r="NLE1" s="87" t="n"/>
      <c r="NLF1" s="87" t="n"/>
      <c r="NLG1" s="87" t="n"/>
      <c r="NLH1" s="87" t="n"/>
      <c r="NLI1" s="87" t="n"/>
      <c r="NLJ1" s="87" t="n"/>
      <c r="NLK1" s="87" t="n"/>
      <c r="NLL1" s="87" t="n"/>
      <c r="NLM1" s="87" t="n"/>
      <c r="NLN1" s="87" t="n"/>
      <c r="NLO1" s="87" t="n"/>
      <c r="NLP1" s="87" t="n"/>
      <c r="NLQ1" s="87" t="n"/>
      <c r="NLR1" s="87" t="n"/>
      <c r="NLS1" s="87" t="n"/>
      <c r="NLT1" s="87" t="n"/>
      <c r="NLU1" s="87" t="n"/>
      <c r="NLV1" s="87" t="n"/>
      <c r="NLW1" s="87" t="n"/>
      <c r="NLX1" s="87" t="n"/>
      <c r="NLY1" s="87" t="n"/>
      <c r="NLZ1" s="87" t="n"/>
      <c r="NMA1" s="87" t="n"/>
      <c r="NMB1" s="87" t="n"/>
      <c r="NMC1" s="87" t="n"/>
      <c r="NMD1" s="87" t="n"/>
      <c r="NME1" s="87" t="n"/>
      <c r="NMF1" s="87" t="n"/>
      <c r="NMG1" s="87" t="n"/>
      <c r="NMH1" s="87" t="n"/>
      <c r="NMI1" s="87" t="n"/>
      <c r="NMJ1" s="87" t="n"/>
      <c r="NMK1" s="87" t="n"/>
      <c r="NML1" s="87" t="n"/>
      <c r="NMM1" s="87" t="n"/>
      <c r="NMN1" s="87" t="n"/>
      <c r="NMO1" s="87" t="n"/>
      <c r="NMP1" s="87" t="n"/>
      <c r="NMQ1" s="87" t="n"/>
      <c r="NMR1" s="87" t="n"/>
      <c r="NMS1" s="87" t="n"/>
      <c r="NMT1" s="87" t="n"/>
      <c r="NMU1" s="87" t="n"/>
      <c r="NMV1" s="87" t="n"/>
      <c r="NMW1" s="87" t="n"/>
      <c r="NMX1" s="87" t="n"/>
      <c r="NMY1" s="87" t="n"/>
      <c r="NMZ1" s="87" t="n"/>
      <c r="NNA1" s="87" t="n"/>
      <c r="NNB1" s="87" t="n"/>
      <c r="NNC1" s="87" t="n"/>
      <c r="NND1" s="87" t="n"/>
      <c r="NNE1" s="87" t="n"/>
      <c r="NNF1" s="87" t="n"/>
      <c r="NNG1" s="87" t="n"/>
      <c r="NNH1" s="87" t="n"/>
      <c r="NNI1" s="87" t="n"/>
      <c r="NNJ1" s="87" t="n"/>
      <c r="NNK1" s="87" t="n"/>
      <c r="NNL1" s="87" t="n"/>
      <c r="NNM1" s="87" t="n"/>
      <c r="NNN1" s="87" t="n"/>
      <c r="NNO1" s="87" t="n"/>
      <c r="NNP1" s="87" t="n"/>
      <c r="NNQ1" s="87" t="n"/>
      <c r="NNR1" s="87" t="n"/>
      <c r="NNS1" s="87" t="n"/>
      <c r="NNT1" s="87" t="n"/>
      <c r="NNU1" s="87" t="n"/>
      <c r="NNV1" s="87" t="n"/>
      <c r="NNW1" s="87" t="n"/>
      <c r="NNX1" s="87" t="n"/>
      <c r="NNY1" s="87" t="n"/>
      <c r="NNZ1" s="87" t="n"/>
      <c r="NOA1" s="87" t="n"/>
      <c r="NOB1" s="87" t="n"/>
      <c r="NOC1" s="87" t="n"/>
      <c r="NOD1" s="87" t="n"/>
      <c r="NOE1" s="87" t="n"/>
      <c r="NOF1" s="87" t="n"/>
      <c r="NOG1" s="87" t="n"/>
      <c r="NOH1" s="87" t="n"/>
      <c r="NOI1" s="87" t="n"/>
      <c r="NOJ1" s="87" t="n"/>
      <c r="NOK1" s="87" t="n"/>
      <c r="NOL1" s="87" t="n"/>
      <c r="NOM1" s="87" t="n"/>
      <c r="NON1" s="87" t="n"/>
      <c r="NOO1" s="87" t="n"/>
      <c r="NOP1" s="87" t="n"/>
      <c r="NOQ1" s="87" t="n"/>
      <c r="NOR1" s="87" t="n"/>
      <c r="NOS1" s="87" t="n"/>
      <c r="NOT1" s="87" t="n"/>
      <c r="NOU1" s="87" t="n"/>
      <c r="NOV1" s="87" t="n"/>
      <c r="NOW1" s="87" t="n"/>
      <c r="NOX1" s="87" t="n"/>
      <c r="NOY1" s="87" t="n"/>
      <c r="NOZ1" s="87" t="n"/>
      <c r="NPA1" s="87" t="n"/>
      <c r="NPB1" s="87" t="n"/>
      <c r="NPC1" s="87" t="n"/>
      <c r="NPD1" s="87" t="n"/>
      <c r="NPE1" s="87" t="n"/>
      <c r="NPF1" s="87" t="n"/>
      <c r="NPG1" s="87" t="n"/>
      <c r="NPH1" s="87" t="n"/>
      <c r="NPI1" s="87" t="n"/>
      <c r="NPJ1" s="87" t="n"/>
      <c r="NPK1" s="87" t="n"/>
      <c r="NPL1" s="87" t="n"/>
      <c r="NPM1" s="87" t="n"/>
      <c r="NPN1" s="87" t="n"/>
      <c r="NPO1" s="87" t="n"/>
      <c r="NPP1" s="87" t="n"/>
      <c r="NPQ1" s="87" t="n"/>
      <c r="NPR1" s="87" t="n"/>
      <c r="NPS1" s="87" t="n"/>
      <c r="NPT1" s="87" t="n"/>
      <c r="NPU1" s="87" t="n"/>
      <c r="NPV1" s="87" t="n"/>
      <c r="NPW1" s="87" t="n"/>
      <c r="NPX1" s="87" t="n"/>
      <c r="NPY1" s="87" t="n"/>
      <c r="NPZ1" s="87" t="n"/>
      <c r="NQA1" s="87" t="n"/>
      <c r="NQB1" s="87" t="n"/>
      <c r="NQC1" s="87" t="n"/>
      <c r="NQD1" s="87" t="n"/>
      <c r="NQE1" s="87" t="n"/>
      <c r="NQF1" s="87" t="n"/>
      <c r="NQG1" s="87" t="n"/>
      <c r="NQH1" s="87" t="n"/>
      <c r="NQI1" s="87" t="n"/>
      <c r="NQJ1" s="87" t="n"/>
      <c r="NQK1" s="87" t="n"/>
      <c r="NQL1" s="87" t="n"/>
      <c r="NQM1" s="87" t="n"/>
      <c r="NQN1" s="87" t="n"/>
      <c r="NQO1" s="87" t="n"/>
      <c r="NQP1" s="87" t="n"/>
      <c r="NQQ1" s="87" t="n"/>
      <c r="NQR1" s="87" t="n"/>
      <c r="NQS1" s="87" t="n"/>
      <c r="NQT1" s="87" t="n"/>
      <c r="NQU1" s="87" t="n"/>
      <c r="NQV1" s="87" t="n"/>
      <c r="NQW1" s="87" t="n"/>
      <c r="NQX1" s="87" t="n"/>
      <c r="NQY1" s="87" t="n"/>
      <c r="NQZ1" s="87" t="n"/>
      <c r="NRA1" s="87" t="n"/>
      <c r="NRB1" s="87" t="n"/>
      <c r="NRC1" s="87" t="n"/>
      <c r="NRD1" s="87" t="n"/>
      <c r="NRE1" s="87" t="n"/>
      <c r="NRF1" s="87" t="n"/>
      <c r="NRG1" s="87" t="n"/>
      <c r="NRH1" s="87" t="n"/>
      <c r="NRI1" s="87" t="n"/>
      <c r="NRJ1" s="87" t="n"/>
      <c r="NRK1" s="87" t="n"/>
      <c r="NRL1" s="87" t="n"/>
      <c r="NRM1" s="87" t="n"/>
      <c r="NRN1" s="87" t="n"/>
      <c r="NRO1" s="87" t="n"/>
      <c r="NRP1" s="87" t="n"/>
      <c r="NRQ1" s="87" t="n"/>
      <c r="NRR1" s="87" t="n"/>
      <c r="NRS1" s="87" t="n"/>
      <c r="NRT1" s="87" t="n"/>
      <c r="NRU1" s="87" t="n"/>
      <c r="NRV1" s="87" t="n"/>
      <c r="NRW1" s="87" t="n"/>
      <c r="NRX1" s="87" t="n"/>
      <c r="NRY1" s="87" t="n"/>
      <c r="NRZ1" s="87" t="n"/>
      <c r="NSA1" s="87" t="n"/>
      <c r="NSB1" s="87" t="n"/>
      <c r="NSC1" s="87" t="n"/>
      <c r="NSD1" s="87" t="n"/>
      <c r="NSE1" s="87" t="n"/>
      <c r="NSF1" s="87" t="n"/>
      <c r="NSG1" s="87" t="n"/>
      <c r="NSH1" s="87" t="n"/>
      <c r="NSI1" s="87" t="n"/>
      <c r="NSJ1" s="87" t="n"/>
      <c r="NSK1" s="87" t="n"/>
      <c r="NSL1" s="87" t="n"/>
      <c r="NSM1" s="87" t="n"/>
      <c r="NSN1" s="87" t="n"/>
      <c r="NSO1" s="87" t="n"/>
      <c r="NSP1" s="87" t="n"/>
      <c r="NSQ1" s="87" t="n"/>
      <c r="NSR1" s="87" t="n"/>
      <c r="NSS1" s="87" t="n"/>
      <c r="NST1" s="87" t="n"/>
      <c r="NSU1" s="87" t="n"/>
      <c r="NSV1" s="87" t="n"/>
      <c r="NSW1" s="87" t="n"/>
      <c r="NSX1" s="87" t="n"/>
      <c r="NSY1" s="87" t="n"/>
      <c r="NSZ1" s="87" t="n"/>
      <c r="NTA1" s="87" t="n"/>
      <c r="NTB1" s="87" t="n"/>
      <c r="NTC1" s="87" t="n"/>
      <c r="NTD1" s="87" t="n"/>
      <c r="NTE1" s="87" t="n"/>
      <c r="NTF1" s="87" t="n"/>
      <c r="NTG1" s="87" t="n"/>
      <c r="NTH1" s="87" t="n"/>
      <c r="NTI1" s="87" t="n"/>
      <c r="NTJ1" s="87" t="n"/>
      <c r="NTK1" s="87" t="n"/>
      <c r="NTL1" s="87" t="n"/>
      <c r="NTM1" s="87" t="n"/>
      <c r="NTN1" s="87" t="n"/>
      <c r="NTO1" s="87" t="n"/>
      <c r="NTP1" s="87" t="n"/>
      <c r="NTQ1" s="87" t="n"/>
      <c r="NTR1" s="87" t="n"/>
      <c r="NTS1" s="87" t="n"/>
      <c r="NTT1" s="87" t="n"/>
      <c r="NTU1" s="87" t="n"/>
      <c r="NTV1" s="87" t="n"/>
      <c r="NTW1" s="87" t="n"/>
      <c r="NTX1" s="87" t="n"/>
      <c r="NTY1" s="87" t="n"/>
      <c r="NTZ1" s="87" t="n"/>
      <c r="NUA1" s="87" t="n"/>
      <c r="NUB1" s="87" t="n"/>
      <c r="NUC1" s="87" t="n"/>
      <c r="NUD1" s="87" t="n"/>
      <c r="NUE1" s="87" t="n"/>
      <c r="NUF1" s="87" t="n"/>
      <c r="NUG1" s="87" t="n"/>
      <c r="NUH1" s="87" t="n"/>
      <c r="NUI1" s="87" t="n"/>
      <c r="NUJ1" s="87" t="n"/>
      <c r="NUK1" s="87" t="n"/>
      <c r="NUL1" s="87" t="n"/>
      <c r="NUM1" s="87" t="n"/>
      <c r="NUN1" s="87" t="n"/>
      <c r="NUO1" s="87" t="n"/>
      <c r="NUP1" s="87" t="n"/>
      <c r="NUQ1" s="87" t="n"/>
      <c r="NUR1" s="87" t="n"/>
      <c r="NUS1" s="87" t="n"/>
      <c r="NUT1" s="87" t="n"/>
      <c r="NUU1" s="87" t="n"/>
      <c r="NUV1" s="87" t="n"/>
      <c r="NUW1" s="87" t="n"/>
      <c r="NUX1" s="87" t="n"/>
      <c r="NUY1" s="87" t="n"/>
      <c r="NUZ1" s="87" t="n"/>
      <c r="NVA1" s="87" t="n"/>
      <c r="NVB1" s="87" t="n"/>
      <c r="NVC1" s="87" t="n"/>
      <c r="NVD1" s="87" t="n"/>
      <c r="NVE1" s="87" t="n"/>
      <c r="NVF1" s="87" t="n"/>
      <c r="NVG1" s="87" t="n"/>
      <c r="NVH1" s="87" t="n"/>
      <c r="NVI1" s="87" t="n"/>
      <c r="NVJ1" s="87" t="n"/>
      <c r="NVK1" s="87" t="n"/>
      <c r="NVL1" s="87" t="n"/>
      <c r="NVM1" s="87" t="n"/>
      <c r="NVN1" s="87" t="n"/>
      <c r="NVO1" s="87" t="n"/>
      <c r="NVP1" s="87" t="n"/>
      <c r="NVQ1" s="87" t="n"/>
      <c r="NVR1" s="87" t="n"/>
      <c r="NVS1" s="87" t="n"/>
      <c r="NVT1" s="87" t="n"/>
      <c r="NVU1" s="87" t="n"/>
      <c r="NVV1" s="87" t="n"/>
      <c r="NVW1" s="87" t="n"/>
      <c r="NVX1" s="87" t="n"/>
      <c r="NVY1" s="87" t="n"/>
      <c r="NVZ1" s="87" t="n"/>
      <c r="NWA1" s="87" t="n"/>
      <c r="NWB1" s="87" t="n"/>
      <c r="NWC1" s="87" t="n"/>
      <c r="NWD1" s="87" t="n"/>
      <c r="NWE1" s="87" t="n"/>
      <c r="NWF1" s="87" t="n"/>
      <c r="NWG1" s="87" t="n"/>
      <c r="NWH1" s="87" t="n"/>
      <c r="NWI1" s="87" t="n"/>
      <c r="NWJ1" s="87" t="n"/>
      <c r="NWK1" s="87" t="n"/>
      <c r="NWL1" s="87" t="n"/>
      <c r="NWM1" s="87" t="n"/>
      <c r="NWN1" s="87" t="n"/>
      <c r="NWO1" s="87" t="n"/>
      <c r="NWP1" s="87" t="n"/>
      <c r="NWQ1" s="87" t="n"/>
      <c r="NWR1" s="87" t="n"/>
      <c r="NWS1" s="87" t="n"/>
      <c r="NWT1" s="87" t="n"/>
      <c r="NWU1" s="87" t="n"/>
      <c r="NWV1" s="87" t="n"/>
      <c r="NWW1" s="87" t="n"/>
      <c r="NWX1" s="87" t="n"/>
      <c r="NWY1" s="87" t="n"/>
      <c r="NWZ1" s="87" t="n"/>
      <c r="NXA1" s="87" t="n"/>
      <c r="NXB1" s="87" t="n"/>
      <c r="NXC1" s="87" t="n"/>
      <c r="NXD1" s="87" t="n"/>
      <c r="NXE1" s="87" t="n"/>
      <c r="NXF1" s="87" t="n"/>
      <c r="NXG1" s="87" t="n"/>
      <c r="NXH1" s="87" t="n"/>
      <c r="NXI1" s="87" t="n"/>
      <c r="NXJ1" s="87" t="n"/>
      <c r="NXK1" s="87" t="n"/>
      <c r="NXL1" s="87" t="n"/>
      <c r="NXM1" s="87" t="n"/>
      <c r="NXN1" s="87" t="n"/>
      <c r="NXO1" s="87" t="n"/>
      <c r="NXP1" s="87" t="n"/>
      <c r="NXQ1" s="87" t="n"/>
      <c r="NXR1" s="87" t="n"/>
      <c r="NXS1" s="87" t="n"/>
      <c r="NXT1" s="87" t="n"/>
      <c r="NXU1" s="87" t="n"/>
      <c r="NXV1" s="87" t="n"/>
      <c r="NXW1" s="87" t="n"/>
      <c r="NXX1" s="87" t="n"/>
      <c r="NXY1" s="87" t="n"/>
      <c r="NXZ1" s="87" t="n"/>
      <c r="NYA1" s="87" t="n"/>
      <c r="NYB1" s="87" t="n"/>
      <c r="NYC1" s="87" t="n"/>
      <c r="NYD1" s="87" t="n"/>
      <c r="NYE1" s="87" t="n"/>
      <c r="NYF1" s="87" t="n"/>
      <c r="NYG1" s="87" t="n"/>
      <c r="NYH1" s="87" t="n"/>
      <c r="NYI1" s="87" t="n"/>
      <c r="NYJ1" s="87" t="n"/>
      <c r="NYK1" s="87" t="n"/>
      <c r="NYL1" s="87" t="n"/>
      <c r="NYM1" s="87" t="n"/>
      <c r="NYN1" s="87" t="n"/>
      <c r="NYO1" s="87" t="n"/>
      <c r="NYP1" s="87" t="n"/>
      <c r="NYQ1" s="87" t="n"/>
      <c r="NYR1" s="87" t="n"/>
      <c r="NYS1" s="87" t="n"/>
      <c r="NYT1" s="87" t="n"/>
      <c r="NYU1" s="87" t="n"/>
      <c r="NYV1" s="87" t="n"/>
      <c r="NYW1" s="87" t="n"/>
      <c r="NYX1" s="87" t="n"/>
      <c r="NYY1" s="87" t="n"/>
      <c r="NYZ1" s="87" t="n"/>
      <c r="NZA1" s="87" t="n"/>
      <c r="NZB1" s="87" t="n"/>
      <c r="NZC1" s="87" t="n"/>
      <c r="NZD1" s="87" t="n"/>
      <c r="NZE1" s="87" t="n"/>
      <c r="NZF1" s="87" t="n"/>
      <c r="NZG1" s="87" t="n"/>
      <c r="NZH1" s="87" t="n"/>
      <c r="NZI1" s="87" t="n"/>
      <c r="NZJ1" s="87" t="n"/>
      <c r="NZK1" s="87" t="n"/>
      <c r="NZL1" s="87" t="n"/>
      <c r="NZM1" s="87" t="n"/>
      <c r="NZN1" s="87" t="n"/>
      <c r="NZO1" s="87" t="n"/>
      <c r="NZP1" s="87" t="n"/>
      <c r="NZQ1" s="87" t="n"/>
      <c r="NZR1" s="87" t="n"/>
      <c r="NZS1" s="87" t="n"/>
      <c r="NZT1" s="87" t="n"/>
      <c r="NZU1" s="87" t="n"/>
      <c r="NZV1" s="87" t="n"/>
      <c r="NZW1" s="87" t="n"/>
      <c r="NZX1" s="87" t="n"/>
      <c r="NZY1" s="87" t="n"/>
      <c r="NZZ1" s="87" t="n"/>
      <c r="OAA1" s="87" t="n"/>
      <c r="OAB1" s="87" t="n"/>
      <c r="OAC1" s="87" t="n"/>
      <c r="OAD1" s="87" t="n"/>
      <c r="OAE1" s="87" t="n"/>
      <c r="OAF1" s="87" t="n"/>
      <c r="OAG1" s="87" t="n"/>
      <c r="OAH1" s="87" t="n"/>
      <c r="OAI1" s="87" t="n"/>
      <c r="OAJ1" s="87" t="n"/>
      <c r="OAK1" s="87" t="n"/>
      <c r="OAL1" s="87" t="n"/>
      <c r="OAM1" s="87" t="n"/>
      <c r="OAN1" s="87" t="n"/>
      <c r="OAO1" s="87" t="n"/>
      <c r="OAP1" s="87" t="n"/>
      <c r="OAQ1" s="87" t="n"/>
      <c r="OAR1" s="87" t="n"/>
      <c r="OAS1" s="87" t="n"/>
      <c r="OAT1" s="87" t="n"/>
      <c r="OAU1" s="87" t="n"/>
      <c r="OAV1" s="87" t="n"/>
      <c r="OAW1" s="87" t="n"/>
      <c r="OAX1" s="87" t="n"/>
      <c r="OAY1" s="87" t="n"/>
      <c r="OAZ1" s="87" t="n"/>
      <c r="OBA1" s="87" t="n"/>
      <c r="OBB1" s="87" t="n"/>
      <c r="OBC1" s="87" t="n"/>
      <c r="OBD1" s="87" t="n"/>
      <c r="OBE1" s="87" t="n"/>
      <c r="OBF1" s="87" t="n"/>
      <c r="OBG1" s="87" t="n"/>
      <c r="OBH1" s="87" t="n"/>
      <c r="OBI1" s="87" t="n"/>
      <c r="OBJ1" s="87" t="n"/>
      <c r="OBK1" s="87" t="n"/>
      <c r="OBL1" s="87" t="n"/>
      <c r="OBM1" s="87" t="n"/>
      <c r="OBN1" s="87" t="n"/>
      <c r="OBO1" s="87" t="n"/>
      <c r="OBP1" s="87" t="n"/>
      <c r="OBQ1" s="87" t="n"/>
      <c r="OBR1" s="87" t="n"/>
      <c r="OBS1" s="87" t="n"/>
      <c r="OBT1" s="87" t="n"/>
      <c r="OBU1" s="87" t="n"/>
      <c r="OBV1" s="87" t="n"/>
      <c r="OBW1" s="87" t="n"/>
      <c r="OBX1" s="87" t="n"/>
      <c r="OBY1" s="87" t="n"/>
      <c r="OBZ1" s="87" t="n"/>
      <c r="OCA1" s="87" t="n"/>
      <c r="OCB1" s="87" t="n"/>
      <c r="OCC1" s="87" t="n"/>
      <c r="OCD1" s="87" t="n"/>
      <c r="OCE1" s="87" t="n"/>
      <c r="OCF1" s="87" t="n"/>
      <c r="OCG1" s="87" t="n"/>
      <c r="OCH1" s="87" t="n"/>
      <c r="OCI1" s="87" t="n"/>
      <c r="OCJ1" s="87" t="n"/>
      <c r="OCK1" s="87" t="n"/>
      <c r="OCL1" s="87" t="n"/>
      <c r="OCM1" s="87" t="n"/>
      <c r="OCN1" s="87" t="n"/>
      <c r="OCO1" s="87" t="n"/>
      <c r="OCP1" s="87" t="n"/>
      <c r="OCQ1" s="87" t="n"/>
      <c r="OCR1" s="87" t="n"/>
      <c r="OCS1" s="87" t="n"/>
      <c r="OCT1" s="87" t="n"/>
      <c r="OCU1" s="87" t="n"/>
      <c r="OCV1" s="87" t="n"/>
      <c r="OCW1" s="87" t="n"/>
      <c r="OCX1" s="87" t="n"/>
      <c r="OCY1" s="87" t="n"/>
      <c r="OCZ1" s="87" t="n"/>
      <c r="ODA1" s="87" t="n"/>
      <c r="ODB1" s="87" t="n"/>
      <c r="ODC1" s="87" t="n"/>
      <c r="ODD1" s="87" t="n"/>
      <c r="ODE1" s="87" t="n"/>
      <c r="ODF1" s="87" t="n"/>
      <c r="ODG1" s="87" t="n"/>
      <c r="ODH1" s="87" t="n"/>
      <c r="ODI1" s="87" t="n"/>
      <c r="ODJ1" s="87" t="n"/>
      <c r="ODK1" s="87" t="n"/>
      <c r="ODL1" s="87" t="n"/>
      <c r="ODM1" s="87" t="n"/>
      <c r="ODN1" s="87" t="n"/>
      <c r="ODO1" s="87" t="n"/>
      <c r="ODP1" s="87" t="n"/>
      <c r="ODQ1" s="87" t="n"/>
      <c r="ODR1" s="87" t="n"/>
      <c r="ODS1" s="87" t="n"/>
      <c r="ODT1" s="87" t="n"/>
      <c r="ODU1" s="87" t="n"/>
      <c r="ODV1" s="87" t="n"/>
      <c r="ODW1" s="87" t="n"/>
      <c r="ODX1" s="87" t="n"/>
      <c r="ODY1" s="87" t="n"/>
      <c r="ODZ1" s="87" t="n"/>
      <c r="OEA1" s="87" t="n"/>
      <c r="OEB1" s="87" t="n"/>
      <c r="OEC1" s="87" t="n"/>
      <c r="OED1" s="87" t="n"/>
      <c r="OEE1" s="87" t="n"/>
      <c r="OEF1" s="87" t="n"/>
      <c r="OEG1" s="87" t="n"/>
      <c r="OEH1" s="87" t="n"/>
      <c r="OEI1" s="87" t="n"/>
      <c r="OEJ1" s="87" t="n"/>
      <c r="OEK1" s="87" t="n"/>
      <c r="OEL1" s="87" t="n"/>
      <c r="OEM1" s="87" t="n"/>
      <c r="OEN1" s="87" t="n"/>
      <c r="OEO1" s="87" t="n"/>
      <c r="OEP1" s="87" t="n"/>
      <c r="OEQ1" s="87" t="n"/>
      <c r="OER1" s="87" t="n"/>
      <c r="OES1" s="87" t="n"/>
      <c r="OET1" s="87" t="n"/>
      <c r="OEU1" s="87" t="n"/>
      <c r="OEV1" s="87" t="n"/>
      <c r="OEW1" s="87" t="n"/>
      <c r="OEX1" s="87" t="n"/>
      <c r="OEY1" s="87" t="n"/>
      <c r="OEZ1" s="87" t="n"/>
      <c r="OFA1" s="87" t="n"/>
      <c r="OFB1" s="87" t="n"/>
      <c r="OFC1" s="87" t="n"/>
      <c r="OFD1" s="87" t="n"/>
      <c r="OFE1" s="87" t="n"/>
      <c r="OFF1" s="87" t="n"/>
      <c r="OFG1" s="87" t="n"/>
      <c r="OFH1" s="87" t="n"/>
      <c r="OFI1" s="87" t="n"/>
      <c r="OFJ1" s="87" t="n"/>
      <c r="OFK1" s="87" t="n"/>
      <c r="OFL1" s="87" t="n"/>
      <c r="OFM1" s="87" t="n"/>
      <c r="OFN1" s="87" t="n"/>
      <c r="OFO1" s="87" t="n"/>
      <c r="OFP1" s="87" t="n"/>
      <c r="OFQ1" s="87" t="n"/>
      <c r="OFR1" s="87" t="n"/>
      <c r="OFS1" s="87" t="n"/>
      <c r="OFT1" s="87" t="n"/>
      <c r="OFU1" s="87" t="n"/>
      <c r="OFV1" s="87" t="n"/>
      <c r="OFW1" s="87" t="n"/>
      <c r="OFX1" s="87" t="n"/>
      <c r="OFY1" s="87" t="n"/>
      <c r="OFZ1" s="87" t="n"/>
      <c r="OGA1" s="87" t="n"/>
      <c r="OGB1" s="87" t="n"/>
      <c r="OGC1" s="87" t="n"/>
      <c r="OGD1" s="87" t="n"/>
      <c r="OGE1" s="87" t="n"/>
      <c r="OGF1" s="87" t="n"/>
      <c r="OGG1" s="87" t="n"/>
      <c r="OGH1" s="87" t="n"/>
      <c r="OGI1" s="87" t="n"/>
      <c r="OGJ1" s="87" t="n"/>
      <c r="OGK1" s="87" t="n"/>
      <c r="OGL1" s="87" t="n"/>
      <c r="OGM1" s="87" t="n"/>
      <c r="OGN1" s="87" t="n"/>
      <c r="OGO1" s="87" t="n"/>
      <c r="OGP1" s="87" t="n"/>
      <c r="OGQ1" s="87" t="n"/>
      <c r="OGR1" s="87" t="n"/>
      <c r="OGS1" s="87" t="n"/>
      <c r="OGT1" s="87" t="n"/>
      <c r="OGU1" s="87" t="n"/>
      <c r="OGV1" s="87" t="n"/>
      <c r="OGW1" s="87" t="n"/>
      <c r="OGX1" s="87" t="n"/>
      <c r="OGY1" s="87" t="n"/>
      <c r="OGZ1" s="87" t="n"/>
      <c r="OHA1" s="87" t="n"/>
      <c r="OHB1" s="87" t="n"/>
      <c r="OHC1" s="87" t="n"/>
      <c r="OHD1" s="87" t="n"/>
      <c r="OHE1" s="87" t="n"/>
      <c r="OHF1" s="87" t="n"/>
      <c r="OHG1" s="87" t="n"/>
      <c r="OHH1" s="87" t="n"/>
      <c r="OHI1" s="87" t="n"/>
      <c r="OHJ1" s="87" t="n"/>
      <c r="OHK1" s="87" t="n"/>
      <c r="OHL1" s="87" t="n"/>
      <c r="OHM1" s="87" t="n"/>
      <c r="OHN1" s="87" t="n"/>
      <c r="OHO1" s="87" t="n"/>
      <c r="OHP1" s="87" t="n"/>
      <c r="OHQ1" s="87" t="n"/>
      <c r="OHR1" s="87" t="n"/>
      <c r="OHS1" s="87" t="n"/>
      <c r="OHT1" s="87" t="n"/>
      <c r="OHU1" s="87" t="n"/>
      <c r="OHV1" s="87" t="n"/>
      <c r="OHW1" s="87" t="n"/>
      <c r="OHX1" s="87" t="n"/>
      <c r="OHY1" s="87" t="n"/>
      <c r="OHZ1" s="87" t="n"/>
      <c r="OIA1" s="87" t="n"/>
      <c r="OIB1" s="87" t="n"/>
      <c r="OIC1" s="87" t="n"/>
      <c r="OID1" s="87" t="n"/>
      <c r="OIE1" s="87" t="n"/>
      <c r="OIF1" s="87" t="n"/>
      <c r="OIG1" s="87" t="n"/>
      <c r="OIH1" s="87" t="n"/>
      <c r="OII1" s="87" t="n"/>
      <c r="OIJ1" s="87" t="n"/>
      <c r="OIK1" s="87" t="n"/>
      <c r="OIL1" s="87" t="n"/>
      <c r="OIM1" s="87" t="n"/>
      <c r="OIN1" s="87" t="n"/>
      <c r="OIO1" s="87" t="n"/>
      <c r="OIP1" s="87" t="n"/>
      <c r="OIQ1" s="87" t="n"/>
      <c r="OIR1" s="87" t="n"/>
      <c r="OIS1" s="87" t="n"/>
      <c r="OIT1" s="87" t="n"/>
      <c r="OIU1" s="87" t="n"/>
      <c r="OIV1" s="87" t="n"/>
      <c r="OIW1" s="87" t="n"/>
      <c r="OIX1" s="87" t="n"/>
      <c r="OIY1" s="87" t="n"/>
      <c r="OIZ1" s="87" t="n"/>
      <c r="OJA1" s="87" t="n"/>
      <c r="OJB1" s="87" t="n"/>
      <c r="OJC1" s="87" t="n"/>
      <c r="OJD1" s="87" t="n"/>
      <c r="OJE1" s="87" t="n"/>
      <c r="OJF1" s="87" t="n"/>
      <c r="OJG1" s="87" t="n"/>
      <c r="OJH1" s="87" t="n"/>
      <c r="OJI1" s="87" t="n"/>
      <c r="OJJ1" s="87" t="n"/>
      <c r="OJK1" s="87" t="n"/>
      <c r="OJL1" s="87" t="n"/>
      <c r="OJM1" s="87" t="n"/>
      <c r="OJN1" s="87" t="n"/>
      <c r="OJO1" s="87" t="n"/>
      <c r="OJP1" s="87" t="n"/>
      <c r="OJQ1" s="87" t="n"/>
      <c r="OJR1" s="87" t="n"/>
      <c r="OJS1" s="87" t="n"/>
      <c r="OJT1" s="87" t="n"/>
      <c r="OJU1" s="87" t="n"/>
      <c r="OJV1" s="87" t="n"/>
      <c r="OJW1" s="87" t="n"/>
      <c r="OJX1" s="87" t="n"/>
      <c r="OJY1" s="87" t="n"/>
      <c r="OJZ1" s="87" t="n"/>
      <c r="OKA1" s="87" t="n"/>
      <c r="OKB1" s="87" t="n"/>
      <c r="OKC1" s="87" t="n"/>
      <c r="OKD1" s="87" t="n"/>
      <c r="OKE1" s="87" t="n"/>
      <c r="OKF1" s="87" t="n"/>
      <c r="OKG1" s="87" t="n"/>
      <c r="OKH1" s="87" t="n"/>
      <c r="OKI1" s="87" t="n"/>
      <c r="OKJ1" s="87" t="n"/>
      <c r="OKK1" s="87" t="n"/>
      <c r="OKL1" s="87" t="n"/>
      <c r="OKM1" s="87" t="n"/>
      <c r="OKN1" s="87" t="n"/>
      <c r="OKO1" s="87" t="n"/>
      <c r="OKP1" s="87" t="n"/>
      <c r="OKQ1" s="87" t="n"/>
      <c r="OKR1" s="87" t="n"/>
      <c r="OKS1" s="87" t="n"/>
      <c r="OKT1" s="87" t="n"/>
      <c r="OKU1" s="87" t="n"/>
      <c r="OKV1" s="87" t="n"/>
      <c r="OKW1" s="87" t="n"/>
      <c r="OKX1" s="87" t="n"/>
      <c r="OKY1" s="87" t="n"/>
      <c r="OKZ1" s="87" t="n"/>
      <c r="OLA1" s="87" t="n"/>
      <c r="OLB1" s="87" t="n"/>
      <c r="OLC1" s="87" t="n"/>
      <c r="OLD1" s="87" t="n"/>
      <c r="OLE1" s="87" t="n"/>
      <c r="OLF1" s="87" t="n"/>
      <c r="OLG1" s="87" t="n"/>
      <c r="OLH1" s="87" t="n"/>
      <c r="OLI1" s="87" t="n"/>
      <c r="OLJ1" s="87" t="n"/>
      <c r="OLK1" s="87" t="n"/>
      <c r="OLL1" s="87" t="n"/>
      <c r="OLM1" s="87" t="n"/>
      <c r="OLN1" s="87" t="n"/>
      <c r="OLO1" s="87" t="n"/>
      <c r="OLP1" s="87" t="n"/>
      <c r="OLQ1" s="87" t="n"/>
      <c r="OLR1" s="87" t="n"/>
      <c r="OLS1" s="87" t="n"/>
      <c r="OLT1" s="87" t="n"/>
      <c r="OLU1" s="87" t="n"/>
      <c r="OLV1" s="87" t="n"/>
      <c r="OLW1" s="87" t="n"/>
      <c r="OLX1" s="87" t="n"/>
      <c r="OLY1" s="87" t="n"/>
      <c r="OLZ1" s="87" t="n"/>
      <c r="OMA1" s="87" t="n"/>
      <c r="OMB1" s="87" t="n"/>
      <c r="OMC1" s="87" t="n"/>
      <c r="OMD1" s="87" t="n"/>
      <c r="OME1" s="87" t="n"/>
      <c r="OMF1" s="87" t="n"/>
      <c r="OMG1" s="87" t="n"/>
      <c r="OMH1" s="87" t="n"/>
      <c r="OMI1" s="87" t="n"/>
      <c r="OMJ1" s="87" t="n"/>
      <c r="OMK1" s="87" t="n"/>
      <c r="OML1" s="87" t="n"/>
      <c r="OMM1" s="87" t="n"/>
      <c r="OMN1" s="87" t="n"/>
      <c r="OMO1" s="87" t="n"/>
      <c r="OMP1" s="87" t="n"/>
      <c r="OMQ1" s="87" t="n"/>
      <c r="OMR1" s="87" t="n"/>
      <c r="OMS1" s="87" t="n"/>
      <c r="OMT1" s="87" t="n"/>
      <c r="OMU1" s="87" t="n"/>
      <c r="OMV1" s="87" t="n"/>
      <c r="OMW1" s="87" t="n"/>
      <c r="OMX1" s="87" t="n"/>
      <c r="OMY1" s="87" t="n"/>
      <c r="OMZ1" s="87" t="n"/>
      <c r="ONA1" s="87" t="n"/>
      <c r="ONB1" s="87" t="n"/>
      <c r="ONC1" s="87" t="n"/>
      <c r="OND1" s="87" t="n"/>
      <c r="ONE1" s="87" t="n"/>
      <c r="ONF1" s="87" t="n"/>
      <c r="ONG1" s="87" t="n"/>
      <c r="ONH1" s="87" t="n"/>
      <c r="ONI1" s="87" t="n"/>
      <c r="ONJ1" s="87" t="n"/>
      <c r="ONK1" s="87" t="n"/>
      <c r="ONL1" s="87" t="n"/>
      <c r="ONM1" s="87" t="n"/>
      <c r="ONN1" s="87" t="n"/>
      <c r="ONO1" s="87" t="n"/>
      <c r="ONP1" s="87" t="n"/>
      <c r="ONQ1" s="87" t="n"/>
      <c r="ONR1" s="87" t="n"/>
      <c r="ONS1" s="87" t="n"/>
      <c r="ONT1" s="87" t="n"/>
      <c r="ONU1" s="87" t="n"/>
      <c r="ONV1" s="87" t="n"/>
      <c r="ONW1" s="87" t="n"/>
      <c r="ONX1" s="87" t="n"/>
      <c r="ONY1" s="87" t="n"/>
      <c r="ONZ1" s="87" t="n"/>
      <c r="OOA1" s="87" t="n"/>
      <c r="OOB1" s="87" t="n"/>
      <c r="OOC1" s="87" t="n"/>
      <c r="OOD1" s="87" t="n"/>
      <c r="OOE1" s="87" t="n"/>
      <c r="OOF1" s="87" t="n"/>
      <c r="OOG1" s="87" t="n"/>
      <c r="OOH1" s="87" t="n"/>
      <c r="OOI1" s="87" t="n"/>
      <c r="OOJ1" s="87" t="n"/>
      <c r="OOK1" s="87" t="n"/>
      <c r="OOL1" s="87" t="n"/>
      <c r="OOM1" s="87" t="n"/>
      <c r="OON1" s="87" t="n"/>
      <c r="OOO1" s="87" t="n"/>
      <c r="OOP1" s="87" t="n"/>
      <c r="OOQ1" s="87" t="n"/>
      <c r="OOR1" s="87" t="n"/>
      <c r="OOS1" s="87" t="n"/>
      <c r="OOT1" s="87" t="n"/>
      <c r="OOU1" s="87" t="n"/>
      <c r="OOV1" s="87" t="n"/>
      <c r="OOW1" s="87" t="n"/>
      <c r="OOX1" s="87" t="n"/>
      <c r="OOY1" s="87" t="n"/>
      <c r="OOZ1" s="87" t="n"/>
      <c r="OPA1" s="87" t="n"/>
      <c r="OPB1" s="87" t="n"/>
      <c r="OPC1" s="87" t="n"/>
      <c r="OPD1" s="87" t="n"/>
      <c r="OPE1" s="87" t="n"/>
      <c r="OPF1" s="87" t="n"/>
      <c r="OPG1" s="87" t="n"/>
      <c r="OPH1" s="87" t="n"/>
      <c r="OPI1" s="87" t="n"/>
      <c r="OPJ1" s="87" t="n"/>
      <c r="OPK1" s="87" t="n"/>
      <c r="OPL1" s="87" t="n"/>
      <c r="OPM1" s="87" t="n"/>
      <c r="OPN1" s="87" t="n"/>
      <c r="OPO1" s="87" t="n"/>
      <c r="OPP1" s="87" t="n"/>
      <c r="OPQ1" s="87" t="n"/>
      <c r="OPR1" s="87" t="n"/>
      <c r="OPS1" s="87" t="n"/>
      <c r="OPT1" s="87" t="n"/>
      <c r="OPU1" s="87" t="n"/>
      <c r="OPV1" s="87" t="n"/>
      <c r="OPW1" s="87" t="n"/>
      <c r="OPX1" s="87" t="n"/>
      <c r="OPY1" s="87" t="n"/>
      <c r="OPZ1" s="87" t="n"/>
      <c r="OQA1" s="87" t="n"/>
      <c r="OQB1" s="87" t="n"/>
      <c r="OQC1" s="87" t="n"/>
      <c r="OQD1" s="87" t="n"/>
      <c r="OQE1" s="87" t="n"/>
      <c r="OQF1" s="87" t="n"/>
      <c r="OQG1" s="87" t="n"/>
      <c r="OQH1" s="87" t="n"/>
      <c r="OQI1" s="87" t="n"/>
      <c r="OQJ1" s="87" t="n"/>
      <c r="OQK1" s="87" t="n"/>
      <c r="OQL1" s="87" t="n"/>
      <c r="OQM1" s="87" t="n"/>
      <c r="OQN1" s="87" t="n"/>
      <c r="OQO1" s="87" t="n"/>
      <c r="OQP1" s="87" t="n"/>
      <c r="OQQ1" s="87" t="n"/>
      <c r="OQR1" s="87" t="n"/>
      <c r="OQS1" s="87" t="n"/>
      <c r="OQT1" s="87" t="n"/>
      <c r="OQU1" s="87" t="n"/>
      <c r="OQV1" s="87" t="n"/>
      <c r="OQW1" s="87" t="n"/>
      <c r="OQX1" s="87" t="n"/>
      <c r="OQY1" s="87" t="n"/>
      <c r="OQZ1" s="87" t="n"/>
      <c r="ORA1" s="87" t="n"/>
      <c r="ORB1" s="87" t="n"/>
      <c r="ORC1" s="87" t="n"/>
      <c r="ORD1" s="87" t="n"/>
      <c r="ORE1" s="87" t="n"/>
      <c r="ORF1" s="87" t="n"/>
      <c r="ORG1" s="87" t="n"/>
      <c r="ORH1" s="87" t="n"/>
      <c r="ORI1" s="87" t="n"/>
      <c r="ORJ1" s="87" t="n"/>
      <c r="ORK1" s="87" t="n"/>
      <c r="ORL1" s="87" t="n"/>
      <c r="ORM1" s="87" t="n"/>
      <c r="ORN1" s="87" t="n"/>
      <c r="ORO1" s="87" t="n"/>
      <c r="ORP1" s="87" t="n"/>
      <c r="ORQ1" s="87" t="n"/>
      <c r="ORR1" s="87" t="n"/>
      <c r="ORS1" s="87" t="n"/>
      <c r="ORT1" s="87" t="n"/>
      <c r="ORU1" s="87" t="n"/>
      <c r="ORV1" s="87" t="n"/>
      <c r="ORW1" s="87" t="n"/>
      <c r="ORX1" s="87" t="n"/>
      <c r="ORY1" s="87" t="n"/>
      <c r="ORZ1" s="87" t="n"/>
      <c r="OSA1" s="87" t="n"/>
      <c r="OSB1" s="87" t="n"/>
      <c r="OSC1" s="87" t="n"/>
      <c r="OSD1" s="87" t="n"/>
      <c r="OSE1" s="87" t="n"/>
      <c r="OSF1" s="87" t="n"/>
      <c r="OSG1" s="87" t="n"/>
      <c r="OSH1" s="87" t="n"/>
      <c r="OSI1" s="87" t="n"/>
      <c r="OSJ1" s="87" t="n"/>
      <c r="OSK1" s="87" t="n"/>
      <c r="OSL1" s="87" t="n"/>
      <c r="OSM1" s="87" t="n"/>
      <c r="OSN1" s="87" t="n"/>
      <c r="OSO1" s="87" t="n"/>
      <c r="OSP1" s="87" t="n"/>
      <c r="OSQ1" s="87" t="n"/>
      <c r="OSR1" s="87" t="n"/>
      <c r="OSS1" s="87" t="n"/>
      <c r="OST1" s="87" t="n"/>
      <c r="OSU1" s="87" t="n"/>
      <c r="OSV1" s="87" t="n"/>
      <c r="OSW1" s="87" t="n"/>
      <c r="OSX1" s="87" t="n"/>
      <c r="OSY1" s="87" t="n"/>
      <c r="OSZ1" s="87" t="n"/>
      <c r="OTA1" s="87" t="n"/>
      <c r="OTB1" s="87" t="n"/>
      <c r="OTC1" s="87" t="n"/>
      <c r="OTD1" s="87" t="n"/>
      <c r="OTE1" s="87" t="n"/>
      <c r="OTF1" s="87" t="n"/>
      <c r="OTG1" s="87" t="n"/>
      <c r="OTH1" s="87" t="n"/>
      <c r="OTI1" s="87" t="n"/>
      <c r="OTJ1" s="87" t="n"/>
      <c r="OTK1" s="87" t="n"/>
      <c r="OTL1" s="87" t="n"/>
      <c r="OTM1" s="87" t="n"/>
      <c r="OTN1" s="87" t="n"/>
      <c r="OTO1" s="87" t="n"/>
      <c r="OTP1" s="87" t="n"/>
      <c r="OTQ1" s="87" t="n"/>
      <c r="OTR1" s="87" t="n"/>
      <c r="OTS1" s="87" t="n"/>
      <c r="OTT1" s="87" t="n"/>
      <c r="OTU1" s="87" t="n"/>
      <c r="OTV1" s="87" t="n"/>
      <c r="OTW1" s="87" t="n"/>
      <c r="OTX1" s="87" t="n"/>
      <c r="OTY1" s="87" t="n"/>
      <c r="OTZ1" s="87" t="n"/>
      <c r="OUA1" s="87" t="n"/>
      <c r="OUB1" s="87" t="n"/>
      <c r="OUC1" s="87" t="n"/>
      <c r="OUD1" s="87" t="n"/>
      <c r="OUE1" s="87" t="n"/>
      <c r="OUF1" s="87" t="n"/>
      <c r="OUG1" s="87" t="n"/>
      <c r="OUH1" s="87" t="n"/>
      <c r="OUI1" s="87" t="n"/>
      <c r="OUJ1" s="87" t="n"/>
      <c r="OUK1" s="87" t="n"/>
      <c r="OUL1" s="87" t="n"/>
      <c r="OUM1" s="87" t="n"/>
      <c r="OUN1" s="87" t="n"/>
      <c r="OUO1" s="87" t="n"/>
      <c r="OUP1" s="87" t="n"/>
      <c r="OUQ1" s="87" t="n"/>
      <c r="OUR1" s="87" t="n"/>
      <c r="OUS1" s="87" t="n"/>
      <c r="OUT1" s="87" t="n"/>
      <c r="OUU1" s="87" t="n"/>
      <c r="OUV1" s="87" t="n"/>
      <c r="OUW1" s="87" t="n"/>
      <c r="OUX1" s="87" t="n"/>
      <c r="OUY1" s="87" t="n"/>
      <c r="OUZ1" s="87" t="n"/>
      <c r="OVA1" s="87" t="n"/>
      <c r="OVB1" s="87" t="n"/>
      <c r="OVC1" s="87" t="n"/>
      <c r="OVD1" s="87" t="n"/>
      <c r="OVE1" s="87" t="n"/>
      <c r="OVF1" s="87" t="n"/>
      <c r="OVG1" s="87" t="n"/>
      <c r="OVH1" s="87" t="n"/>
      <c r="OVI1" s="87" t="n"/>
      <c r="OVJ1" s="87" t="n"/>
      <c r="OVK1" s="87" t="n"/>
      <c r="OVL1" s="87" t="n"/>
      <c r="OVM1" s="87" t="n"/>
      <c r="OVN1" s="87" t="n"/>
      <c r="OVO1" s="87" t="n"/>
      <c r="OVP1" s="87" t="n"/>
      <c r="OVQ1" s="87" t="n"/>
      <c r="OVR1" s="87" t="n"/>
      <c r="OVS1" s="87" t="n"/>
      <c r="OVT1" s="87" t="n"/>
      <c r="OVU1" s="87" t="n"/>
      <c r="OVV1" s="87" t="n"/>
      <c r="OVW1" s="87" t="n"/>
      <c r="OVX1" s="87" t="n"/>
      <c r="OVY1" s="87" t="n"/>
      <c r="OVZ1" s="87" t="n"/>
      <c r="OWA1" s="87" t="n"/>
      <c r="OWB1" s="87" t="n"/>
      <c r="OWC1" s="87" t="n"/>
      <c r="OWD1" s="87" t="n"/>
      <c r="OWE1" s="87" t="n"/>
      <c r="OWF1" s="87" t="n"/>
      <c r="OWG1" s="87" t="n"/>
      <c r="OWH1" s="87" t="n"/>
      <c r="OWI1" s="87" t="n"/>
      <c r="OWJ1" s="87" t="n"/>
      <c r="OWK1" s="87" t="n"/>
      <c r="OWL1" s="87" t="n"/>
      <c r="OWM1" s="87" t="n"/>
      <c r="OWN1" s="87" t="n"/>
      <c r="OWO1" s="87" t="n"/>
      <c r="OWP1" s="87" t="n"/>
      <c r="OWQ1" s="87" t="n"/>
      <c r="OWR1" s="87" t="n"/>
      <c r="OWS1" s="87" t="n"/>
      <c r="OWT1" s="87" t="n"/>
      <c r="OWU1" s="87" t="n"/>
      <c r="OWV1" s="87" t="n"/>
      <c r="OWW1" s="87" t="n"/>
      <c r="OWX1" s="87" t="n"/>
      <c r="OWY1" s="87" t="n"/>
      <c r="OWZ1" s="87" t="n"/>
      <c r="OXA1" s="87" t="n"/>
      <c r="OXB1" s="87" t="n"/>
      <c r="OXC1" s="87" t="n"/>
      <c r="OXD1" s="87" t="n"/>
      <c r="OXE1" s="87" t="n"/>
      <c r="OXF1" s="87" t="n"/>
      <c r="OXG1" s="87" t="n"/>
      <c r="OXH1" s="87" t="n"/>
      <c r="OXI1" s="87" t="n"/>
      <c r="OXJ1" s="87" t="n"/>
      <c r="OXK1" s="87" t="n"/>
      <c r="OXL1" s="87" t="n"/>
      <c r="OXM1" s="87" t="n"/>
      <c r="OXN1" s="87" t="n"/>
      <c r="OXO1" s="87" t="n"/>
      <c r="OXP1" s="87" t="n"/>
      <c r="OXQ1" s="87" t="n"/>
      <c r="OXR1" s="87" t="n"/>
      <c r="OXS1" s="87" t="n"/>
      <c r="OXT1" s="87" t="n"/>
      <c r="OXU1" s="87" t="n"/>
      <c r="OXV1" s="87" t="n"/>
      <c r="OXW1" s="87" t="n"/>
      <c r="OXX1" s="87" t="n"/>
      <c r="OXY1" s="87" t="n"/>
      <c r="OXZ1" s="87" t="n"/>
      <c r="OYA1" s="87" t="n"/>
      <c r="OYB1" s="87" t="n"/>
      <c r="OYC1" s="87" t="n"/>
      <c r="OYD1" s="87" t="n"/>
      <c r="OYE1" s="87" t="n"/>
      <c r="OYF1" s="87" t="n"/>
      <c r="OYG1" s="87" t="n"/>
      <c r="OYH1" s="87" t="n"/>
      <c r="OYI1" s="87" t="n"/>
      <c r="OYJ1" s="87" t="n"/>
      <c r="OYK1" s="87" t="n"/>
      <c r="OYL1" s="87" t="n"/>
      <c r="OYM1" s="87" t="n"/>
      <c r="OYN1" s="87" t="n"/>
      <c r="OYO1" s="87" t="n"/>
      <c r="OYP1" s="87" t="n"/>
      <c r="OYQ1" s="87" t="n"/>
      <c r="OYR1" s="87" t="n"/>
      <c r="OYS1" s="87" t="n"/>
      <c r="OYT1" s="87" t="n"/>
      <c r="OYU1" s="87" t="n"/>
      <c r="OYV1" s="87" t="n"/>
      <c r="OYW1" s="87" t="n"/>
      <c r="OYX1" s="87" t="n"/>
      <c r="OYY1" s="87" t="n"/>
      <c r="OYZ1" s="87" t="n"/>
      <c r="OZA1" s="87" t="n"/>
      <c r="OZB1" s="87" t="n"/>
      <c r="OZC1" s="87" t="n"/>
      <c r="OZD1" s="87" t="n"/>
      <c r="OZE1" s="87" t="n"/>
      <c r="OZF1" s="87" t="n"/>
      <c r="OZG1" s="87" t="n"/>
      <c r="OZH1" s="87" t="n"/>
      <c r="OZI1" s="87" t="n"/>
      <c r="OZJ1" s="87" t="n"/>
      <c r="OZK1" s="87" t="n"/>
      <c r="OZL1" s="87" t="n"/>
      <c r="OZM1" s="87" t="n"/>
      <c r="OZN1" s="87" t="n"/>
      <c r="OZO1" s="87" t="n"/>
      <c r="OZP1" s="87" t="n"/>
      <c r="OZQ1" s="87" t="n"/>
      <c r="OZR1" s="87" t="n"/>
      <c r="OZS1" s="87" t="n"/>
      <c r="OZT1" s="87" t="n"/>
      <c r="OZU1" s="87" t="n"/>
      <c r="OZV1" s="87" t="n"/>
      <c r="OZW1" s="87" t="n"/>
      <c r="OZX1" s="87" t="n"/>
      <c r="OZY1" s="87" t="n"/>
      <c r="OZZ1" s="87" t="n"/>
      <c r="PAA1" s="87" t="n"/>
      <c r="PAB1" s="87" t="n"/>
      <c r="PAC1" s="87" t="n"/>
      <c r="PAD1" s="87" t="n"/>
      <c r="PAE1" s="87" t="n"/>
      <c r="PAF1" s="87" t="n"/>
      <c r="PAG1" s="87" t="n"/>
      <c r="PAH1" s="87" t="n"/>
      <c r="PAI1" s="87" t="n"/>
      <c r="PAJ1" s="87" t="n"/>
      <c r="PAK1" s="87" t="n"/>
      <c r="PAL1" s="87" t="n"/>
      <c r="PAM1" s="87" t="n"/>
      <c r="PAN1" s="87" t="n"/>
      <c r="PAO1" s="87" t="n"/>
      <c r="PAP1" s="87" t="n"/>
      <c r="PAQ1" s="87" t="n"/>
      <c r="PAR1" s="87" t="n"/>
      <c r="PAS1" s="87" t="n"/>
      <c r="PAT1" s="87" t="n"/>
      <c r="PAU1" s="87" t="n"/>
      <c r="PAV1" s="87" t="n"/>
      <c r="PAW1" s="87" t="n"/>
      <c r="PAX1" s="87" t="n"/>
      <c r="PAY1" s="87" t="n"/>
      <c r="PAZ1" s="87" t="n"/>
      <c r="PBA1" s="87" t="n"/>
      <c r="PBB1" s="87" t="n"/>
      <c r="PBC1" s="87" t="n"/>
      <c r="PBD1" s="87" t="n"/>
      <c r="PBE1" s="87" t="n"/>
      <c r="PBF1" s="87" t="n"/>
      <c r="PBG1" s="87" t="n"/>
      <c r="PBH1" s="87" t="n"/>
      <c r="PBI1" s="87" t="n"/>
      <c r="PBJ1" s="87" t="n"/>
      <c r="PBK1" s="87" t="n"/>
      <c r="PBL1" s="87" t="n"/>
      <c r="PBM1" s="87" t="n"/>
      <c r="PBN1" s="87" t="n"/>
      <c r="PBO1" s="87" t="n"/>
      <c r="PBP1" s="87" t="n"/>
      <c r="PBQ1" s="87" t="n"/>
      <c r="PBR1" s="87" t="n"/>
      <c r="PBS1" s="87" t="n"/>
      <c r="PBT1" s="87" t="n"/>
      <c r="PBU1" s="87" t="n"/>
      <c r="PBV1" s="87" t="n"/>
      <c r="PBW1" s="87" t="n"/>
      <c r="PBX1" s="87" t="n"/>
      <c r="PBY1" s="87" t="n"/>
      <c r="PBZ1" s="87" t="n"/>
      <c r="PCA1" s="87" t="n"/>
      <c r="PCB1" s="87" t="n"/>
      <c r="PCC1" s="87" t="n"/>
      <c r="PCD1" s="87" t="n"/>
      <c r="PCE1" s="87" t="n"/>
      <c r="PCF1" s="87" t="n"/>
      <c r="PCG1" s="87" t="n"/>
      <c r="PCH1" s="87" t="n"/>
      <c r="PCI1" s="87" t="n"/>
      <c r="PCJ1" s="87" t="n"/>
      <c r="PCK1" s="87" t="n"/>
      <c r="PCL1" s="87" t="n"/>
      <c r="PCM1" s="87" t="n"/>
      <c r="PCN1" s="87" t="n"/>
      <c r="PCO1" s="87" t="n"/>
      <c r="PCP1" s="87" t="n"/>
      <c r="PCQ1" s="87" t="n"/>
      <c r="PCR1" s="87" t="n"/>
      <c r="PCS1" s="87" t="n"/>
      <c r="PCT1" s="87" t="n"/>
      <c r="PCU1" s="87" t="n"/>
      <c r="PCV1" s="87" t="n"/>
      <c r="PCW1" s="87" t="n"/>
      <c r="PCX1" s="87" t="n"/>
      <c r="PCY1" s="87" t="n"/>
      <c r="PCZ1" s="87" t="n"/>
      <c r="PDA1" s="87" t="n"/>
      <c r="PDB1" s="87" t="n"/>
      <c r="PDC1" s="87" t="n"/>
      <c r="PDD1" s="87" t="n"/>
      <c r="PDE1" s="87" t="n"/>
      <c r="PDF1" s="87" t="n"/>
      <c r="PDG1" s="87" t="n"/>
      <c r="PDH1" s="87" t="n"/>
      <c r="PDI1" s="87" t="n"/>
      <c r="PDJ1" s="87" t="n"/>
      <c r="PDK1" s="87" t="n"/>
      <c r="PDL1" s="87" t="n"/>
      <c r="PDM1" s="87" t="n"/>
      <c r="PDN1" s="87" t="n"/>
      <c r="PDO1" s="87" t="n"/>
      <c r="PDP1" s="87" t="n"/>
      <c r="PDQ1" s="87" t="n"/>
      <c r="PDR1" s="87" t="n"/>
      <c r="PDS1" s="87" t="n"/>
      <c r="PDT1" s="87" t="n"/>
      <c r="PDU1" s="87" t="n"/>
      <c r="PDV1" s="87" t="n"/>
      <c r="PDW1" s="87" t="n"/>
      <c r="PDX1" s="87" t="n"/>
      <c r="PDY1" s="87" t="n"/>
      <c r="PDZ1" s="87" t="n"/>
      <c r="PEA1" s="87" t="n"/>
      <c r="PEB1" s="87" t="n"/>
      <c r="PEC1" s="87" t="n"/>
      <c r="PED1" s="87" t="n"/>
      <c r="PEE1" s="87" t="n"/>
      <c r="PEF1" s="87" t="n"/>
      <c r="PEG1" s="87" t="n"/>
      <c r="PEH1" s="87" t="n"/>
      <c r="PEI1" s="87" t="n"/>
      <c r="PEJ1" s="87" t="n"/>
      <c r="PEK1" s="87" t="n"/>
      <c r="PEL1" s="87" t="n"/>
      <c r="PEM1" s="87" t="n"/>
      <c r="PEN1" s="87" t="n"/>
      <c r="PEO1" s="87" t="n"/>
      <c r="PEP1" s="87" t="n"/>
      <c r="PEQ1" s="87" t="n"/>
      <c r="PER1" s="87" t="n"/>
      <c r="PES1" s="87" t="n"/>
      <c r="PET1" s="87" t="n"/>
      <c r="PEU1" s="87" t="n"/>
      <c r="PEV1" s="87" t="n"/>
      <c r="PEW1" s="87" t="n"/>
      <c r="PEX1" s="87" t="n"/>
      <c r="PEY1" s="87" t="n"/>
      <c r="PEZ1" s="87" t="n"/>
      <c r="PFA1" s="87" t="n"/>
      <c r="PFB1" s="87" t="n"/>
      <c r="PFC1" s="87" t="n"/>
      <c r="PFD1" s="87" t="n"/>
      <c r="PFE1" s="87" t="n"/>
      <c r="PFF1" s="87" t="n"/>
      <c r="PFG1" s="87" t="n"/>
      <c r="PFH1" s="87" t="n"/>
      <c r="PFI1" s="87" t="n"/>
      <c r="PFJ1" s="87" t="n"/>
      <c r="PFK1" s="87" t="n"/>
      <c r="PFL1" s="87" t="n"/>
      <c r="PFM1" s="87" t="n"/>
      <c r="PFN1" s="87" t="n"/>
      <c r="PFO1" s="87" t="n"/>
      <c r="PFP1" s="87" t="n"/>
      <c r="PFQ1" s="87" t="n"/>
      <c r="PFR1" s="87" t="n"/>
      <c r="PFS1" s="87" t="n"/>
      <c r="PFT1" s="87" t="n"/>
      <c r="PFU1" s="87" t="n"/>
      <c r="PFV1" s="87" t="n"/>
      <c r="PFW1" s="87" t="n"/>
      <c r="PFX1" s="87" t="n"/>
      <c r="PFY1" s="87" t="n"/>
      <c r="PFZ1" s="87" t="n"/>
      <c r="PGA1" s="87" t="n"/>
      <c r="PGB1" s="87" t="n"/>
      <c r="PGC1" s="87" t="n"/>
      <c r="PGD1" s="87" t="n"/>
      <c r="PGE1" s="87" t="n"/>
      <c r="PGF1" s="87" t="n"/>
      <c r="PGG1" s="87" t="n"/>
      <c r="PGH1" s="87" t="n"/>
      <c r="PGI1" s="87" t="n"/>
      <c r="PGJ1" s="87" t="n"/>
      <c r="PGK1" s="87" t="n"/>
      <c r="PGL1" s="87" t="n"/>
      <c r="PGM1" s="87" t="n"/>
      <c r="PGN1" s="87" t="n"/>
      <c r="PGO1" s="87" t="n"/>
      <c r="PGP1" s="87" t="n"/>
      <c r="PGQ1" s="87" t="n"/>
      <c r="PGR1" s="87" t="n"/>
      <c r="PGS1" s="87" t="n"/>
      <c r="PGT1" s="87" t="n"/>
      <c r="PGU1" s="87" t="n"/>
      <c r="PGV1" s="87" t="n"/>
      <c r="PGW1" s="87" t="n"/>
      <c r="PGX1" s="87" t="n"/>
      <c r="PGY1" s="87" t="n"/>
      <c r="PGZ1" s="87" t="n"/>
      <c r="PHA1" s="87" t="n"/>
      <c r="PHB1" s="87" t="n"/>
      <c r="PHC1" s="87" t="n"/>
      <c r="PHD1" s="87" t="n"/>
      <c r="PHE1" s="87" t="n"/>
      <c r="PHF1" s="87" t="n"/>
      <c r="PHG1" s="87" t="n"/>
      <c r="PHH1" s="87" t="n"/>
      <c r="PHI1" s="87" t="n"/>
      <c r="PHJ1" s="87" t="n"/>
      <c r="PHK1" s="87" t="n"/>
      <c r="PHL1" s="87" t="n"/>
      <c r="PHM1" s="87" t="n"/>
      <c r="PHN1" s="87" t="n"/>
      <c r="PHO1" s="87" t="n"/>
      <c r="PHP1" s="87" t="n"/>
      <c r="PHQ1" s="87" t="n"/>
      <c r="PHR1" s="87" t="n"/>
      <c r="PHS1" s="87" t="n"/>
      <c r="PHT1" s="87" t="n"/>
      <c r="PHU1" s="87" t="n"/>
      <c r="PHV1" s="87" t="n"/>
      <c r="PHW1" s="87" t="n"/>
      <c r="PHX1" s="87" t="n"/>
      <c r="PHY1" s="87" t="n"/>
      <c r="PHZ1" s="87" t="n"/>
      <c r="PIA1" s="87" t="n"/>
      <c r="PIB1" s="87" t="n"/>
      <c r="PIC1" s="87" t="n"/>
      <c r="PID1" s="87" t="n"/>
      <c r="PIE1" s="87" t="n"/>
      <c r="PIF1" s="87" t="n"/>
      <c r="PIG1" s="87" t="n"/>
      <c r="PIH1" s="87" t="n"/>
      <c r="PII1" s="87" t="n"/>
      <c r="PIJ1" s="87" t="n"/>
      <c r="PIK1" s="87" t="n"/>
      <c r="PIL1" s="87" t="n"/>
      <c r="PIM1" s="87" t="n"/>
      <c r="PIN1" s="87" t="n"/>
      <c r="PIO1" s="87" t="n"/>
      <c r="PIP1" s="87" t="n"/>
      <c r="PIQ1" s="87" t="n"/>
      <c r="PIR1" s="87" t="n"/>
      <c r="PIS1" s="87" t="n"/>
      <c r="PIT1" s="87" t="n"/>
      <c r="PIU1" s="87" t="n"/>
      <c r="PIV1" s="87" t="n"/>
      <c r="PIW1" s="87" t="n"/>
      <c r="PIX1" s="87" t="n"/>
      <c r="PIY1" s="87" t="n"/>
      <c r="PIZ1" s="87" t="n"/>
      <c r="PJA1" s="87" t="n"/>
      <c r="PJB1" s="87" t="n"/>
      <c r="PJC1" s="87" t="n"/>
      <c r="PJD1" s="87" t="n"/>
      <c r="PJE1" s="87" t="n"/>
      <c r="PJF1" s="87" t="n"/>
      <c r="PJG1" s="87" t="n"/>
      <c r="PJH1" s="87" t="n"/>
      <c r="PJI1" s="87" t="n"/>
      <c r="PJJ1" s="87" t="n"/>
      <c r="PJK1" s="87" t="n"/>
      <c r="PJL1" s="87" t="n"/>
      <c r="PJM1" s="87" t="n"/>
      <c r="PJN1" s="87" t="n"/>
      <c r="PJO1" s="87" t="n"/>
      <c r="PJP1" s="87" t="n"/>
      <c r="PJQ1" s="87" t="n"/>
      <c r="PJR1" s="87" t="n"/>
      <c r="PJS1" s="87" t="n"/>
      <c r="PJT1" s="87" t="n"/>
      <c r="PJU1" s="87" t="n"/>
      <c r="PJV1" s="87" t="n"/>
      <c r="PJW1" s="87" t="n"/>
      <c r="PJX1" s="87" t="n"/>
      <c r="PJY1" s="87" t="n"/>
      <c r="PJZ1" s="87" t="n"/>
      <c r="PKA1" s="87" t="n"/>
      <c r="PKB1" s="87" t="n"/>
      <c r="PKC1" s="87" t="n"/>
      <c r="PKD1" s="87" t="n"/>
      <c r="PKE1" s="87" t="n"/>
      <c r="PKF1" s="87" t="n"/>
      <c r="PKG1" s="87" t="n"/>
      <c r="PKH1" s="87" t="n"/>
      <c r="PKI1" s="87" t="n"/>
      <c r="PKJ1" s="87" t="n"/>
      <c r="PKK1" s="87" t="n"/>
      <c r="PKL1" s="87" t="n"/>
      <c r="PKM1" s="87" t="n"/>
      <c r="PKN1" s="87" t="n"/>
      <c r="PKO1" s="87" t="n"/>
      <c r="PKP1" s="87" t="n"/>
      <c r="PKQ1" s="87" t="n"/>
      <c r="PKR1" s="87" t="n"/>
      <c r="PKS1" s="87" t="n"/>
      <c r="PKT1" s="87" t="n"/>
      <c r="PKU1" s="87" t="n"/>
      <c r="PKV1" s="87" t="n"/>
      <c r="PKW1" s="87" t="n"/>
      <c r="PKX1" s="87" t="n"/>
      <c r="PKY1" s="87" t="n"/>
      <c r="PKZ1" s="87" t="n"/>
      <c r="PLA1" s="87" t="n"/>
      <c r="PLB1" s="87" t="n"/>
      <c r="PLC1" s="87" t="n"/>
      <c r="PLD1" s="87" t="n"/>
      <c r="PLE1" s="87" t="n"/>
      <c r="PLF1" s="87" t="n"/>
      <c r="PLG1" s="87" t="n"/>
      <c r="PLH1" s="87" t="n"/>
      <c r="PLI1" s="87" t="n"/>
      <c r="PLJ1" s="87" t="n"/>
      <c r="PLK1" s="87" t="n"/>
      <c r="PLL1" s="87" t="n"/>
      <c r="PLM1" s="87" t="n"/>
      <c r="PLN1" s="87" t="n"/>
      <c r="PLO1" s="87" t="n"/>
      <c r="PLP1" s="87" t="n"/>
      <c r="PLQ1" s="87" t="n"/>
      <c r="PLR1" s="87" t="n"/>
      <c r="PLS1" s="87" t="n"/>
      <c r="PLT1" s="87" t="n"/>
      <c r="PLU1" s="87" t="n"/>
      <c r="PLV1" s="87" t="n"/>
      <c r="PLW1" s="87" t="n"/>
      <c r="PLX1" s="87" t="n"/>
      <c r="PLY1" s="87" t="n"/>
      <c r="PLZ1" s="87" t="n"/>
      <c r="PMA1" s="87" t="n"/>
      <c r="PMB1" s="87" t="n"/>
      <c r="PMC1" s="87" t="n"/>
      <c r="PMD1" s="87" t="n"/>
      <c r="PME1" s="87" t="n"/>
      <c r="PMF1" s="87" t="n"/>
      <c r="PMG1" s="87" t="n"/>
      <c r="PMH1" s="87" t="n"/>
      <c r="PMI1" s="87" t="n"/>
      <c r="PMJ1" s="87" t="n"/>
      <c r="PMK1" s="87" t="n"/>
      <c r="PML1" s="87" t="n"/>
      <c r="PMM1" s="87" t="n"/>
      <c r="PMN1" s="87" t="n"/>
      <c r="PMO1" s="87" t="n"/>
      <c r="PMP1" s="87" t="n"/>
      <c r="PMQ1" s="87" t="n"/>
      <c r="PMR1" s="87" t="n"/>
      <c r="PMS1" s="87" t="n"/>
      <c r="PMT1" s="87" t="n"/>
      <c r="PMU1" s="87" t="n"/>
      <c r="PMV1" s="87" t="n"/>
      <c r="PMW1" s="87" t="n"/>
      <c r="PMX1" s="87" t="n"/>
      <c r="PMY1" s="87" t="n"/>
      <c r="PMZ1" s="87" t="n"/>
      <c r="PNA1" s="87" t="n"/>
      <c r="PNB1" s="87" t="n"/>
      <c r="PNC1" s="87" t="n"/>
      <c r="PND1" s="87" t="n"/>
      <c r="PNE1" s="87" t="n"/>
      <c r="PNF1" s="87" t="n"/>
      <c r="PNG1" s="87" t="n"/>
      <c r="PNH1" s="87" t="n"/>
      <c r="PNI1" s="87" t="n"/>
      <c r="PNJ1" s="87" t="n"/>
      <c r="PNK1" s="87" t="n"/>
      <c r="PNL1" s="87" t="n"/>
      <c r="PNM1" s="87" t="n"/>
      <c r="PNN1" s="87" t="n"/>
      <c r="PNO1" s="87" t="n"/>
      <c r="PNP1" s="87" t="n"/>
      <c r="PNQ1" s="87" t="n"/>
      <c r="PNR1" s="87" t="n"/>
      <c r="PNS1" s="87" t="n"/>
      <c r="PNT1" s="87" t="n"/>
      <c r="PNU1" s="87" t="n"/>
      <c r="PNV1" s="87" t="n"/>
      <c r="PNW1" s="87" t="n"/>
      <c r="PNX1" s="87" t="n"/>
      <c r="PNY1" s="87" t="n"/>
      <c r="PNZ1" s="87" t="n"/>
      <c r="POA1" s="87" t="n"/>
      <c r="POB1" s="87" t="n"/>
      <c r="POC1" s="87" t="n"/>
      <c r="POD1" s="87" t="n"/>
      <c r="POE1" s="87" t="n"/>
      <c r="POF1" s="87" t="n"/>
      <c r="POG1" s="87" t="n"/>
      <c r="POH1" s="87" t="n"/>
      <c r="POI1" s="87" t="n"/>
      <c r="POJ1" s="87" t="n"/>
      <c r="POK1" s="87" t="n"/>
      <c r="POL1" s="87" t="n"/>
      <c r="POM1" s="87" t="n"/>
      <c r="PON1" s="87" t="n"/>
      <c r="POO1" s="87" t="n"/>
      <c r="POP1" s="87" t="n"/>
      <c r="POQ1" s="87" t="n"/>
      <c r="POR1" s="87" t="n"/>
      <c r="POS1" s="87" t="n"/>
      <c r="POT1" s="87" t="n"/>
      <c r="POU1" s="87" t="n"/>
      <c r="POV1" s="87" t="n"/>
      <c r="POW1" s="87" t="n"/>
      <c r="POX1" s="87" t="n"/>
      <c r="POY1" s="87" t="n"/>
      <c r="POZ1" s="87" t="n"/>
      <c r="PPA1" s="87" t="n"/>
      <c r="PPB1" s="87" t="n"/>
      <c r="PPC1" s="87" t="n"/>
      <c r="PPD1" s="87" t="n"/>
      <c r="PPE1" s="87" t="n"/>
      <c r="PPF1" s="87" t="n"/>
      <c r="PPG1" s="87" t="n"/>
      <c r="PPH1" s="87" t="n"/>
      <c r="PPI1" s="87" t="n"/>
      <c r="PPJ1" s="87" t="n"/>
      <c r="PPK1" s="87" t="n"/>
      <c r="PPL1" s="87" t="n"/>
      <c r="PPM1" s="87" t="n"/>
      <c r="PPN1" s="87" t="n"/>
      <c r="PPO1" s="87" t="n"/>
      <c r="PPP1" s="87" t="n"/>
      <c r="PPQ1" s="87" t="n"/>
      <c r="PPR1" s="87" t="n"/>
      <c r="PPS1" s="87" t="n"/>
      <c r="PPT1" s="87" t="n"/>
      <c r="PPU1" s="87" t="n"/>
      <c r="PPV1" s="87" t="n"/>
      <c r="PPW1" s="87" t="n"/>
      <c r="PPX1" s="87" t="n"/>
      <c r="PPY1" s="87" t="n"/>
      <c r="PPZ1" s="87" t="n"/>
      <c r="PQA1" s="87" t="n"/>
      <c r="PQB1" s="87" t="n"/>
      <c r="PQC1" s="87" t="n"/>
      <c r="PQD1" s="87" t="n"/>
      <c r="PQE1" s="87" t="n"/>
      <c r="PQF1" s="87" t="n"/>
      <c r="PQG1" s="87" t="n"/>
      <c r="PQH1" s="87" t="n"/>
      <c r="PQI1" s="87" t="n"/>
      <c r="PQJ1" s="87" t="n"/>
      <c r="PQK1" s="87" t="n"/>
      <c r="PQL1" s="87" t="n"/>
      <c r="PQM1" s="87" t="n"/>
      <c r="PQN1" s="87" t="n"/>
      <c r="PQO1" s="87" t="n"/>
      <c r="PQP1" s="87" t="n"/>
      <c r="PQQ1" s="87" t="n"/>
      <c r="PQR1" s="87" t="n"/>
      <c r="PQS1" s="87" t="n"/>
      <c r="PQT1" s="87" t="n"/>
      <c r="PQU1" s="87" t="n"/>
      <c r="PQV1" s="87" t="n"/>
      <c r="PQW1" s="87" t="n"/>
      <c r="PQX1" s="87" t="n"/>
      <c r="PQY1" s="87" t="n"/>
      <c r="PQZ1" s="87" t="n"/>
      <c r="PRA1" s="87" t="n"/>
      <c r="PRB1" s="87" t="n"/>
      <c r="PRC1" s="87" t="n"/>
      <c r="PRD1" s="87" t="n"/>
      <c r="PRE1" s="87" t="n"/>
      <c r="PRF1" s="87" t="n"/>
      <c r="PRG1" s="87" t="n"/>
      <c r="PRH1" s="87" t="n"/>
      <c r="PRI1" s="87" t="n"/>
      <c r="PRJ1" s="87" t="n"/>
      <c r="PRK1" s="87" t="n"/>
      <c r="PRL1" s="87" t="n"/>
      <c r="PRM1" s="87" t="n"/>
      <c r="PRN1" s="87" t="n"/>
      <c r="PRO1" s="87" t="n"/>
      <c r="PRP1" s="87" t="n"/>
      <c r="PRQ1" s="87" t="n"/>
      <c r="PRR1" s="87" t="n"/>
      <c r="PRS1" s="87" t="n"/>
      <c r="PRT1" s="87" t="n"/>
      <c r="PRU1" s="87" t="n"/>
      <c r="PRV1" s="87" t="n"/>
      <c r="PRW1" s="87" t="n"/>
      <c r="PRX1" s="87" t="n"/>
      <c r="PRY1" s="87" t="n"/>
      <c r="PRZ1" s="87" t="n"/>
      <c r="PSA1" s="87" t="n"/>
      <c r="PSB1" s="87" t="n"/>
      <c r="PSC1" s="87" t="n"/>
      <c r="PSD1" s="87" t="n"/>
      <c r="PSE1" s="87" t="n"/>
      <c r="PSF1" s="87" t="n"/>
      <c r="PSG1" s="87" t="n"/>
      <c r="PSH1" s="87" t="n"/>
      <c r="PSI1" s="87" t="n"/>
      <c r="PSJ1" s="87" t="n"/>
      <c r="PSK1" s="87" t="n"/>
      <c r="PSL1" s="87" t="n"/>
      <c r="PSM1" s="87" t="n"/>
      <c r="PSN1" s="87" t="n"/>
      <c r="PSO1" s="87" t="n"/>
      <c r="PSP1" s="87" t="n"/>
      <c r="PSQ1" s="87" t="n"/>
      <c r="PSR1" s="87" t="n"/>
      <c r="PSS1" s="87" t="n"/>
      <c r="PST1" s="87" t="n"/>
      <c r="PSU1" s="87" t="n"/>
      <c r="PSV1" s="87" t="n"/>
      <c r="PSW1" s="87" t="n"/>
      <c r="PSX1" s="87" t="n"/>
      <c r="PSY1" s="87" t="n"/>
      <c r="PSZ1" s="87" t="n"/>
      <c r="PTA1" s="87" t="n"/>
      <c r="PTB1" s="87" t="n"/>
      <c r="PTC1" s="87" t="n"/>
      <c r="PTD1" s="87" t="n"/>
      <c r="PTE1" s="87" t="n"/>
      <c r="PTF1" s="87" t="n"/>
      <c r="PTG1" s="87" t="n"/>
      <c r="PTH1" s="87" t="n"/>
      <c r="PTI1" s="87" t="n"/>
      <c r="PTJ1" s="87" t="n"/>
      <c r="PTK1" s="87" t="n"/>
      <c r="PTL1" s="87" t="n"/>
      <c r="PTM1" s="87" t="n"/>
      <c r="PTN1" s="87" t="n"/>
      <c r="PTO1" s="87" t="n"/>
      <c r="PTP1" s="87" t="n"/>
      <c r="PTQ1" s="87" t="n"/>
      <c r="PTR1" s="87" t="n"/>
      <c r="PTS1" s="87" t="n"/>
      <c r="PTT1" s="87" t="n"/>
      <c r="PTU1" s="87" t="n"/>
      <c r="PTV1" s="87" t="n"/>
      <c r="PTW1" s="87" t="n"/>
      <c r="PTX1" s="87" t="n"/>
      <c r="PTY1" s="87" t="n"/>
      <c r="PTZ1" s="87" t="n"/>
      <c r="PUA1" s="87" t="n"/>
      <c r="PUB1" s="87" t="n"/>
      <c r="PUC1" s="87" t="n"/>
      <c r="PUD1" s="87" t="n"/>
      <c r="PUE1" s="87" t="n"/>
      <c r="PUF1" s="87" t="n"/>
      <c r="PUG1" s="87" t="n"/>
      <c r="PUH1" s="87" t="n"/>
      <c r="PUI1" s="87" t="n"/>
      <c r="PUJ1" s="87" t="n"/>
      <c r="PUK1" s="87" t="n"/>
      <c r="PUL1" s="87" t="n"/>
      <c r="PUM1" s="87" t="n"/>
      <c r="PUN1" s="87" t="n"/>
      <c r="PUO1" s="87" t="n"/>
      <c r="PUP1" s="87" t="n"/>
      <c r="PUQ1" s="87" t="n"/>
      <c r="PUR1" s="87" t="n"/>
      <c r="PUS1" s="87" t="n"/>
      <c r="PUT1" s="87" t="n"/>
      <c r="PUU1" s="87" t="n"/>
      <c r="PUV1" s="87" t="n"/>
      <c r="PUW1" s="87" t="n"/>
      <c r="PUX1" s="87" t="n"/>
      <c r="PUY1" s="87" t="n"/>
      <c r="PUZ1" s="87" t="n"/>
      <c r="PVA1" s="87" t="n"/>
      <c r="PVB1" s="87" t="n"/>
      <c r="PVC1" s="87" t="n"/>
      <c r="PVD1" s="87" t="n"/>
      <c r="PVE1" s="87" t="n"/>
      <c r="PVF1" s="87" t="n"/>
      <c r="PVG1" s="87" t="n"/>
      <c r="PVH1" s="87" t="n"/>
      <c r="PVI1" s="87" t="n"/>
      <c r="PVJ1" s="87" t="n"/>
      <c r="PVK1" s="87" t="n"/>
      <c r="PVL1" s="87" t="n"/>
      <c r="PVM1" s="87" t="n"/>
      <c r="PVN1" s="87" t="n"/>
      <c r="PVO1" s="87" t="n"/>
      <c r="PVP1" s="87" t="n"/>
      <c r="PVQ1" s="87" t="n"/>
      <c r="PVR1" s="87" t="n"/>
      <c r="PVS1" s="87" t="n"/>
      <c r="PVT1" s="87" t="n"/>
      <c r="PVU1" s="87" t="n"/>
      <c r="PVV1" s="87" t="n"/>
      <c r="PVW1" s="87" t="n"/>
      <c r="PVX1" s="87" t="n"/>
      <c r="PVY1" s="87" t="n"/>
      <c r="PVZ1" s="87" t="n"/>
      <c r="PWA1" s="87" t="n"/>
      <c r="PWB1" s="87" t="n"/>
      <c r="PWC1" s="87" t="n"/>
      <c r="PWD1" s="87" t="n"/>
      <c r="PWE1" s="87" t="n"/>
      <c r="PWF1" s="87" t="n"/>
      <c r="PWG1" s="87" t="n"/>
      <c r="PWH1" s="87" t="n"/>
      <c r="PWI1" s="87" t="n"/>
      <c r="PWJ1" s="87" t="n"/>
      <c r="PWK1" s="87" t="n"/>
      <c r="PWL1" s="87" t="n"/>
      <c r="PWM1" s="87" t="n"/>
      <c r="PWN1" s="87" t="n"/>
      <c r="PWO1" s="87" t="n"/>
      <c r="PWP1" s="87" t="n"/>
      <c r="PWQ1" s="87" t="n"/>
      <c r="PWR1" s="87" t="n"/>
      <c r="PWS1" s="87" t="n"/>
      <c r="PWT1" s="87" t="n"/>
      <c r="PWU1" s="87" t="n"/>
      <c r="PWV1" s="87" t="n"/>
      <c r="PWW1" s="87" t="n"/>
      <c r="PWX1" s="87" t="n"/>
      <c r="PWY1" s="87" t="n"/>
      <c r="PWZ1" s="87" t="n"/>
      <c r="PXA1" s="87" t="n"/>
      <c r="PXB1" s="87" t="n"/>
      <c r="PXC1" s="87" t="n"/>
      <c r="PXD1" s="87" t="n"/>
      <c r="PXE1" s="87" t="n"/>
      <c r="PXF1" s="87" t="n"/>
      <c r="PXG1" s="87" t="n"/>
      <c r="PXH1" s="87" t="n"/>
      <c r="PXI1" s="87" t="n"/>
      <c r="PXJ1" s="87" t="n"/>
      <c r="PXK1" s="87" t="n"/>
      <c r="PXL1" s="87" t="n"/>
      <c r="PXM1" s="87" t="n"/>
      <c r="PXN1" s="87" t="n"/>
      <c r="PXO1" s="87" t="n"/>
      <c r="PXP1" s="87" t="n"/>
      <c r="PXQ1" s="87" t="n"/>
      <c r="PXR1" s="87" t="n"/>
      <c r="PXS1" s="87" t="n"/>
      <c r="PXT1" s="87" t="n"/>
      <c r="PXU1" s="87" t="n"/>
      <c r="PXV1" s="87" t="n"/>
      <c r="PXW1" s="87" t="n"/>
      <c r="PXX1" s="87" t="n"/>
      <c r="PXY1" s="87" t="n"/>
      <c r="PXZ1" s="87" t="n"/>
      <c r="PYA1" s="87" t="n"/>
      <c r="PYB1" s="87" t="n"/>
      <c r="PYC1" s="87" t="n"/>
      <c r="PYD1" s="87" t="n"/>
      <c r="PYE1" s="87" t="n"/>
      <c r="PYF1" s="87" t="n"/>
      <c r="PYG1" s="87" t="n"/>
      <c r="PYH1" s="87" t="n"/>
      <c r="PYI1" s="87" t="n"/>
      <c r="PYJ1" s="87" t="n"/>
      <c r="PYK1" s="87" t="n"/>
      <c r="PYL1" s="87" t="n"/>
      <c r="PYM1" s="87" t="n"/>
      <c r="PYN1" s="87" t="n"/>
      <c r="PYO1" s="87" t="n"/>
      <c r="PYP1" s="87" t="n"/>
      <c r="PYQ1" s="87" t="n"/>
      <c r="PYR1" s="87" t="n"/>
      <c r="PYS1" s="87" t="n"/>
      <c r="PYT1" s="87" t="n"/>
      <c r="PYU1" s="87" t="n"/>
      <c r="PYV1" s="87" t="n"/>
      <c r="PYW1" s="87" t="n"/>
      <c r="PYX1" s="87" t="n"/>
      <c r="PYY1" s="87" t="n"/>
      <c r="PYZ1" s="87" t="n"/>
      <c r="PZA1" s="87" t="n"/>
      <c r="PZB1" s="87" t="n"/>
      <c r="PZC1" s="87" t="n"/>
      <c r="PZD1" s="87" t="n"/>
      <c r="PZE1" s="87" t="n"/>
      <c r="PZF1" s="87" t="n"/>
      <c r="PZG1" s="87" t="n"/>
      <c r="PZH1" s="87" t="n"/>
      <c r="PZI1" s="87" t="n"/>
      <c r="PZJ1" s="87" t="n"/>
      <c r="PZK1" s="87" t="n"/>
      <c r="PZL1" s="87" t="n"/>
      <c r="PZM1" s="87" t="n"/>
      <c r="PZN1" s="87" t="n"/>
      <c r="PZO1" s="87" t="n"/>
      <c r="PZP1" s="87" t="n"/>
      <c r="PZQ1" s="87" t="n"/>
      <c r="PZR1" s="87" t="n"/>
      <c r="PZS1" s="87" t="n"/>
      <c r="PZT1" s="87" t="n"/>
      <c r="PZU1" s="87" t="n"/>
      <c r="PZV1" s="87" t="n"/>
      <c r="PZW1" s="87" t="n"/>
      <c r="PZX1" s="87" t="n"/>
      <c r="PZY1" s="87" t="n"/>
      <c r="PZZ1" s="87" t="n"/>
      <c r="QAA1" s="87" t="n"/>
      <c r="QAB1" s="87" t="n"/>
      <c r="QAC1" s="87" t="n"/>
      <c r="QAD1" s="87" t="n"/>
      <c r="QAE1" s="87" t="n"/>
      <c r="QAF1" s="87" t="n"/>
      <c r="QAG1" s="87" t="n"/>
      <c r="QAH1" s="87" t="n"/>
      <c r="QAI1" s="87" t="n"/>
      <c r="QAJ1" s="87" t="n"/>
      <c r="QAK1" s="87" t="n"/>
      <c r="QAL1" s="87" t="n"/>
      <c r="QAM1" s="87" t="n"/>
      <c r="QAN1" s="87" t="n"/>
      <c r="QAO1" s="87" t="n"/>
      <c r="QAP1" s="87" t="n"/>
      <c r="QAQ1" s="87" t="n"/>
      <c r="QAR1" s="87" t="n"/>
      <c r="QAS1" s="87" t="n"/>
      <c r="QAT1" s="87" t="n"/>
      <c r="QAU1" s="87" t="n"/>
      <c r="QAV1" s="87" t="n"/>
      <c r="QAW1" s="87" t="n"/>
      <c r="QAX1" s="87" t="n"/>
      <c r="QAY1" s="87" t="n"/>
      <c r="QAZ1" s="87" t="n"/>
      <c r="QBA1" s="87" t="n"/>
      <c r="QBB1" s="87" t="n"/>
      <c r="QBC1" s="87" t="n"/>
      <c r="QBD1" s="87" t="n"/>
      <c r="QBE1" s="87" t="n"/>
      <c r="QBF1" s="87" t="n"/>
      <c r="QBG1" s="87" t="n"/>
      <c r="QBH1" s="87" t="n"/>
      <c r="QBI1" s="87" t="n"/>
      <c r="QBJ1" s="87" t="n"/>
      <c r="QBK1" s="87" t="n"/>
      <c r="QBL1" s="87" t="n"/>
      <c r="QBM1" s="87" t="n"/>
      <c r="QBN1" s="87" t="n"/>
      <c r="QBO1" s="87" t="n"/>
      <c r="QBP1" s="87" t="n"/>
      <c r="QBQ1" s="87" t="n"/>
      <c r="QBR1" s="87" t="n"/>
      <c r="QBS1" s="87" t="n"/>
      <c r="QBT1" s="87" t="n"/>
      <c r="QBU1" s="87" t="n"/>
      <c r="QBV1" s="87" t="n"/>
      <c r="QBW1" s="87" t="n"/>
      <c r="QBX1" s="87" t="n"/>
      <c r="QBY1" s="87" t="n"/>
      <c r="QBZ1" s="87" t="n"/>
      <c r="QCA1" s="87" t="n"/>
      <c r="QCB1" s="87" t="n"/>
      <c r="QCC1" s="87" t="n"/>
      <c r="QCD1" s="87" t="n"/>
      <c r="QCE1" s="87" t="n"/>
      <c r="QCF1" s="87" t="n"/>
      <c r="QCG1" s="87" t="n"/>
      <c r="QCH1" s="87" t="n"/>
      <c r="QCI1" s="87" t="n"/>
      <c r="QCJ1" s="87" t="n"/>
      <c r="QCK1" s="87" t="n"/>
      <c r="QCL1" s="87" t="n"/>
      <c r="QCM1" s="87" t="n"/>
      <c r="QCN1" s="87" t="n"/>
      <c r="QCO1" s="87" t="n"/>
      <c r="QCP1" s="87" t="n"/>
      <c r="QCQ1" s="87" t="n"/>
      <c r="QCR1" s="87" t="n"/>
      <c r="QCS1" s="87" t="n"/>
      <c r="QCT1" s="87" t="n"/>
      <c r="QCU1" s="87" t="n"/>
      <c r="QCV1" s="87" t="n"/>
      <c r="QCW1" s="87" t="n"/>
      <c r="QCX1" s="87" t="n"/>
      <c r="QCY1" s="87" t="n"/>
      <c r="QCZ1" s="87" t="n"/>
      <c r="QDA1" s="87" t="n"/>
      <c r="QDB1" s="87" t="n"/>
      <c r="QDC1" s="87" t="n"/>
      <c r="QDD1" s="87" t="n"/>
      <c r="QDE1" s="87" t="n"/>
      <c r="QDF1" s="87" t="n"/>
      <c r="QDG1" s="87" t="n"/>
      <c r="QDH1" s="87" t="n"/>
      <c r="QDI1" s="87" t="n"/>
      <c r="QDJ1" s="87" t="n"/>
      <c r="QDK1" s="87" t="n"/>
      <c r="QDL1" s="87" t="n"/>
      <c r="QDM1" s="87" t="n"/>
      <c r="QDN1" s="87" t="n"/>
      <c r="QDO1" s="87" t="n"/>
      <c r="QDP1" s="87" t="n"/>
      <c r="QDQ1" s="87" t="n"/>
      <c r="QDR1" s="87" t="n"/>
      <c r="QDS1" s="87" t="n"/>
      <c r="QDT1" s="87" t="n"/>
      <c r="QDU1" s="87" t="n"/>
      <c r="QDV1" s="87" t="n"/>
      <c r="QDW1" s="87" t="n"/>
      <c r="QDX1" s="87" t="n"/>
      <c r="QDY1" s="87" t="n"/>
      <c r="QDZ1" s="87" t="n"/>
      <c r="QEA1" s="87" t="n"/>
      <c r="QEB1" s="87" t="n"/>
      <c r="QEC1" s="87" t="n"/>
      <c r="QED1" s="87" t="n"/>
      <c r="QEE1" s="87" t="n"/>
      <c r="QEF1" s="87" t="n"/>
      <c r="QEG1" s="87" t="n"/>
      <c r="QEH1" s="87" t="n"/>
      <c r="QEI1" s="87" t="n"/>
      <c r="QEJ1" s="87" t="n"/>
      <c r="QEK1" s="87" t="n"/>
      <c r="QEL1" s="87" t="n"/>
      <c r="QEM1" s="87" t="n"/>
      <c r="QEN1" s="87" t="n"/>
      <c r="QEO1" s="87" t="n"/>
      <c r="QEP1" s="87" t="n"/>
      <c r="QEQ1" s="87" t="n"/>
      <c r="QER1" s="87" t="n"/>
      <c r="QES1" s="87" t="n"/>
      <c r="QET1" s="87" t="n"/>
      <c r="QEU1" s="87" t="n"/>
      <c r="QEV1" s="87" t="n"/>
      <c r="QEW1" s="87" t="n"/>
      <c r="QEX1" s="87" t="n"/>
      <c r="QEY1" s="87" t="n"/>
      <c r="QEZ1" s="87" t="n"/>
      <c r="QFA1" s="87" t="n"/>
      <c r="QFB1" s="87" t="n"/>
      <c r="QFC1" s="87" t="n"/>
      <c r="QFD1" s="87" t="n"/>
      <c r="QFE1" s="87" t="n"/>
      <c r="QFF1" s="87" t="n"/>
      <c r="QFG1" s="87" t="n"/>
      <c r="QFH1" s="87" t="n"/>
      <c r="QFI1" s="87" t="n"/>
      <c r="QFJ1" s="87" t="n"/>
      <c r="QFK1" s="87" t="n"/>
      <c r="QFL1" s="87" t="n"/>
      <c r="QFM1" s="87" t="n"/>
      <c r="QFN1" s="87" t="n"/>
      <c r="QFO1" s="87" t="n"/>
      <c r="QFP1" s="87" t="n"/>
      <c r="QFQ1" s="87" t="n"/>
      <c r="QFR1" s="87" t="n"/>
      <c r="QFS1" s="87" t="n"/>
      <c r="QFT1" s="87" t="n"/>
      <c r="QFU1" s="87" t="n"/>
      <c r="QFV1" s="87" t="n"/>
      <c r="QFW1" s="87" t="n"/>
      <c r="QFX1" s="87" t="n"/>
      <c r="QFY1" s="87" t="n"/>
      <c r="QFZ1" s="87" t="n"/>
      <c r="QGA1" s="87" t="n"/>
      <c r="QGB1" s="87" t="n"/>
      <c r="QGC1" s="87" t="n"/>
      <c r="QGD1" s="87" t="n"/>
      <c r="QGE1" s="87" t="n"/>
      <c r="QGF1" s="87" t="n"/>
      <c r="QGG1" s="87" t="n"/>
      <c r="QGH1" s="87" t="n"/>
      <c r="QGI1" s="87" t="n"/>
      <c r="QGJ1" s="87" t="n"/>
      <c r="QGK1" s="87" t="n"/>
      <c r="QGL1" s="87" t="n"/>
      <c r="QGM1" s="87" t="n"/>
      <c r="QGN1" s="87" t="n"/>
      <c r="QGO1" s="87" t="n"/>
      <c r="QGP1" s="87" t="n"/>
      <c r="QGQ1" s="87" t="n"/>
      <c r="QGR1" s="87" t="n"/>
      <c r="QGS1" s="87" t="n"/>
      <c r="QGT1" s="87" t="n"/>
      <c r="QGU1" s="87" t="n"/>
      <c r="QGV1" s="87" t="n"/>
      <c r="QGW1" s="87" t="n"/>
      <c r="QGX1" s="87" t="n"/>
      <c r="QGY1" s="87" t="n"/>
      <c r="QGZ1" s="87" t="n"/>
      <c r="QHA1" s="87" t="n"/>
      <c r="QHB1" s="87" t="n"/>
      <c r="QHC1" s="87" t="n"/>
      <c r="QHD1" s="87" t="n"/>
      <c r="QHE1" s="87" t="n"/>
      <c r="QHF1" s="87" t="n"/>
      <c r="QHG1" s="87" t="n"/>
      <c r="QHH1" s="87" t="n"/>
      <c r="QHI1" s="87" t="n"/>
      <c r="QHJ1" s="87" t="n"/>
      <c r="QHK1" s="87" t="n"/>
      <c r="QHL1" s="87" t="n"/>
      <c r="QHM1" s="87" t="n"/>
      <c r="QHN1" s="87" t="n"/>
      <c r="QHO1" s="87" t="n"/>
      <c r="QHP1" s="87" t="n"/>
      <c r="QHQ1" s="87" t="n"/>
      <c r="QHR1" s="87" t="n"/>
      <c r="QHS1" s="87" t="n"/>
      <c r="QHT1" s="87" t="n"/>
      <c r="QHU1" s="87" t="n"/>
      <c r="QHV1" s="87" t="n"/>
      <c r="QHW1" s="87" t="n"/>
      <c r="QHX1" s="87" t="n"/>
      <c r="QHY1" s="87" t="n"/>
      <c r="QHZ1" s="87" t="n"/>
      <c r="QIA1" s="87" t="n"/>
      <c r="QIB1" s="87" t="n"/>
      <c r="QIC1" s="87" t="n"/>
      <c r="QID1" s="87" t="n"/>
      <c r="QIE1" s="87" t="n"/>
      <c r="QIF1" s="87" t="n"/>
      <c r="QIG1" s="87" t="n"/>
      <c r="QIH1" s="87" t="n"/>
      <c r="QII1" s="87" t="n"/>
      <c r="QIJ1" s="87" t="n"/>
      <c r="QIK1" s="87" t="n"/>
      <c r="QIL1" s="87" t="n"/>
      <c r="QIM1" s="87" t="n"/>
      <c r="QIN1" s="87" t="n"/>
      <c r="QIO1" s="87" t="n"/>
      <c r="QIP1" s="87" t="n"/>
      <c r="QIQ1" s="87" t="n"/>
      <c r="QIR1" s="87" t="n"/>
      <c r="QIS1" s="87" t="n"/>
      <c r="QIT1" s="87" t="n"/>
      <c r="QIU1" s="87" t="n"/>
      <c r="QIV1" s="87" t="n"/>
      <c r="QIW1" s="87" t="n"/>
      <c r="QIX1" s="87" t="n"/>
      <c r="QIY1" s="87" t="n"/>
      <c r="QIZ1" s="87" t="n"/>
      <c r="QJA1" s="87" t="n"/>
      <c r="QJB1" s="87" t="n"/>
      <c r="QJC1" s="87" t="n"/>
      <c r="QJD1" s="87" t="n"/>
      <c r="QJE1" s="87" t="n"/>
      <c r="QJF1" s="87" t="n"/>
      <c r="QJG1" s="87" t="n"/>
      <c r="QJH1" s="87" t="n"/>
      <c r="QJI1" s="87" t="n"/>
      <c r="QJJ1" s="87" t="n"/>
      <c r="QJK1" s="87" t="n"/>
      <c r="QJL1" s="87" t="n"/>
      <c r="QJM1" s="87" t="n"/>
      <c r="QJN1" s="87" t="n"/>
      <c r="QJO1" s="87" t="n"/>
      <c r="QJP1" s="87" t="n"/>
      <c r="QJQ1" s="87" t="n"/>
      <c r="QJR1" s="87" t="n"/>
      <c r="QJS1" s="87" t="n"/>
      <c r="QJT1" s="87" t="n"/>
      <c r="QJU1" s="87" t="n"/>
      <c r="QJV1" s="87" t="n"/>
      <c r="QJW1" s="87" t="n"/>
      <c r="QJX1" s="87" t="n"/>
      <c r="QJY1" s="87" t="n"/>
      <c r="QJZ1" s="87" t="n"/>
      <c r="QKA1" s="87" t="n"/>
      <c r="QKB1" s="87" t="n"/>
      <c r="QKC1" s="87" t="n"/>
      <c r="QKD1" s="87" t="n"/>
      <c r="QKE1" s="87" t="n"/>
      <c r="QKF1" s="87" t="n"/>
      <c r="QKG1" s="87" t="n"/>
      <c r="QKH1" s="87" t="n"/>
      <c r="QKI1" s="87" t="n"/>
      <c r="QKJ1" s="87" t="n"/>
      <c r="QKK1" s="87" t="n"/>
      <c r="QKL1" s="87" t="n"/>
      <c r="QKM1" s="87" t="n"/>
      <c r="QKN1" s="87" t="n"/>
      <c r="QKO1" s="87" t="n"/>
      <c r="QKP1" s="87" t="n"/>
      <c r="QKQ1" s="87" t="n"/>
      <c r="QKR1" s="87" t="n"/>
      <c r="QKS1" s="87" t="n"/>
      <c r="QKT1" s="87" t="n"/>
      <c r="QKU1" s="87" t="n"/>
      <c r="QKV1" s="87" t="n"/>
      <c r="QKW1" s="87" t="n"/>
      <c r="QKX1" s="87" t="n"/>
      <c r="QKY1" s="87" t="n"/>
      <c r="QKZ1" s="87" t="n"/>
      <c r="QLA1" s="87" t="n"/>
      <c r="QLB1" s="87" t="n"/>
      <c r="QLC1" s="87" t="n"/>
      <c r="QLD1" s="87" t="n"/>
      <c r="QLE1" s="87" t="n"/>
      <c r="QLF1" s="87" t="n"/>
      <c r="QLG1" s="87" t="n"/>
      <c r="QLH1" s="87" t="n"/>
      <c r="QLI1" s="87" t="n"/>
      <c r="QLJ1" s="87" t="n"/>
      <c r="QLK1" s="87" t="n"/>
      <c r="QLL1" s="87" t="n"/>
      <c r="QLM1" s="87" t="n"/>
      <c r="QLN1" s="87" t="n"/>
      <c r="QLO1" s="87" t="n"/>
      <c r="QLP1" s="87" t="n"/>
      <c r="QLQ1" s="87" t="n"/>
      <c r="QLR1" s="87" t="n"/>
      <c r="QLS1" s="87" t="n"/>
      <c r="QLT1" s="87" t="n"/>
      <c r="QLU1" s="87" t="n"/>
      <c r="QLV1" s="87" t="n"/>
      <c r="QLW1" s="87" t="n"/>
      <c r="QLX1" s="87" t="n"/>
      <c r="QLY1" s="87" t="n"/>
      <c r="QLZ1" s="87" t="n"/>
      <c r="QMA1" s="87" t="n"/>
      <c r="QMB1" s="87" t="n"/>
      <c r="QMC1" s="87" t="n"/>
      <c r="QMD1" s="87" t="n"/>
      <c r="QME1" s="87" t="n"/>
      <c r="QMF1" s="87" t="n"/>
      <c r="QMG1" s="87" t="n"/>
      <c r="QMH1" s="87" t="n"/>
      <c r="QMI1" s="87" t="n"/>
      <c r="QMJ1" s="87" t="n"/>
      <c r="QMK1" s="87" t="n"/>
      <c r="QML1" s="87" t="n"/>
      <c r="QMM1" s="87" t="n"/>
      <c r="QMN1" s="87" t="n"/>
      <c r="QMO1" s="87" t="n"/>
      <c r="QMP1" s="87" t="n"/>
      <c r="QMQ1" s="87" t="n"/>
      <c r="QMR1" s="87" t="n"/>
      <c r="QMS1" s="87" t="n"/>
      <c r="QMT1" s="87" t="n"/>
      <c r="QMU1" s="87" t="n"/>
      <c r="QMV1" s="87" t="n"/>
      <c r="QMW1" s="87" t="n"/>
      <c r="QMX1" s="87" t="n"/>
      <c r="QMY1" s="87" t="n"/>
      <c r="QMZ1" s="87" t="n"/>
      <c r="QNA1" s="87" t="n"/>
      <c r="QNB1" s="87" t="n"/>
      <c r="QNC1" s="87" t="n"/>
      <c r="QND1" s="87" t="n"/>
      <c r="QNE1" s="87" t="n"/>
      <c r="QNF1" s="87" t="n"/>
      <c r="QNG1" s="87" t="n"/>
      <c r="QNH1" s="87" t="n"/>
      <c r="QNI1" s="87" t="n"/>
      <c r="QNJ1" s="87" t="n"/>
      <c r="QNK1" s="87" t="n"/>
      <c r="QNL1" s="87" t="n"/>
      <c r="QNM1" s="87" t="n"/>
      <c r="QNN1" s="87" t="n"/>
      <c r="QNO1" s="87" t="n"/>
      <c r="QNP1" s="87" t="n"/>
      <c r="QNQ1" s="87" t="n"/>
      <c r="QNR1" s="87" t="n"/>
      <c r="QNS1" s="87" t="n"/>
      <c r="QNT1" s="87" t="n"/>
      <c r="QNU1" s="87" t="n"/>
      <c r="QNV1" s="87" t="n"/>
      <c r="QNW1" s="87" t="n"/>
      <c r="QNX1" s="87" t="n"/>
      <c r="QNY1" s="87" t="n"/>
      <c r="QNZ1" s="87" t="n"/>
      <c r="QOA1" s="87" t="n"/>
      <c r="QOB1" s="87" t="n"/>
      <c r="QOC1" s="87" t="n"/>
      <c r="QOD1" s="87" t="n"/>
      <c r="QOE1" s="87" t="n"/>
      <c r="QOF1" s="87" t="n"/>
      <c r="QOG1" s="87" t="n"/>
      <c r="QOH1" s="87" t="n"/>
      <c r="QOI1" s="87" t="n"/>
      <c r="QOJ1" s="87" t="n"/>
      <c r="QOK1" s="87" t="n"/>
      <c r="QOL1" s="87" t="n"/>
      <c r="QOM1" s="87" t="n"/>
      <c r="QON1" s="87" t="n"/>
      <c r="QOO1" s="87" t="n"/>
      <c r="QOP1" s="87" t="n"/>
      <c r="QOQ1" s="87" t="n"/>
      <c r="QOR1" s="87" t="n"/>
      <c r="QOS1" s="87" t="n"/>
      <c r="QOT1" s="87" t="n"/>
      <c r="QOU1" s="87" t="n"/>
      <c r="QOV1" s="87" t="n"/>
      <c r="QOW1" s="87" t="n"/>
      <c r="QOX1" s="87" t="n"/>
      <c r="QOY1" s="87" t="n"/>
      <c r="QOZ1" s="87" t="n"/>
      <c r="QPA1" s="87" t="n"/>
      <c r="QPB1" s="87" t="n"/>
      <c r="QPC1" s="87" t="n"/>
      <c r="QPD1" s="87" t="n"/>
      <c r="QPE1" s="87" t="n"/>
      <c r="QPF1" s="87" t="n"/>
      <c r="QPG1" s="87" t="n"/>
      <c r="QPH1" s="87" t="n"/>
      <c r="QPI1" s="87" t="n"/>
      <c r="QPJ1" s="87" t="n"/>
      <c r="QPK1" s="87" t="n"/>
      <c r="QPL1" s="87" t="n"/>
      <c r="QPM1" s="87" t="n"/>
      <c r="QPN1" s="87" t="n"/>
      <c r="QPO1" s="87" t="n"/>
      <c r="QPP1" s="87" t="n"/>
      <c r="QPQ1" s="87" t="n"/>
      <c r="QPR1" s="87" t="n"/>
      <c r="QPS1" s="87" t="n"/>
      <c r="QPT1" s="87" t="n"/>
      <c r="QPU1" s="87" t="n"/>
      <c r="QPV1" s="87" t="n"/>
      <c r="QPW1" s="87" t="n"/>
      <c r="QPX1" s="87" t="n"/>
      <c r="QPY1" s="87" t="n"/>
      <c r="QPZ1" s="87" t="n"/>
      <c r="QQA1" s="87" t="n"/>
      <c r="QQB1" s="87" t="n"/>
      <c r="QQC1" s="87" t="n"/>
      <c r="QQD1" s="87" t="n"/>
      <c r="QQE1" s="87" t="n"/>
      <c r="QQF1" s="87" t="n"/>
      <c r="QQG1" s="87" t="n"/>
      <c r="QQH1" s="87" t="n"/>
      <c r="QQI1" s="87" t="n"/>
      <c r="QQJ1" s="87" t="n"/>
      <c r="QQK1" s="87" t="n"/>
      <c r="QQL1" s="87" t="n"/>
      <c r="QQM1" s="87" t="n"/>
      <c r="QQN1" s="87" t="n"/>
      <c r="QQO1" s="87" t="n"/>
      <c r="QQP1" s="87" t="n"/>
      <c r="QQQ1" s="87" t="n"/>
      <c r="QQR1" s="87" t="n"/>
      <c r="QQS1" s="87" t="n"/>
      <c r="QQT1" s="87" t="n"/>
      <c r="QQU1" s="87" t="n"/>
      <c r="QQV1" s="87" t="n"/>
      <c r="QQW1" s="87" t="n"/>
      <c r="QQX1" s="87" t="n"/>
      <c r="QQY1" s="87" t="n"/>
      <c r="QQZ1" s="87" t="n"/>
      <c r="QRA1" s="87" t="n"/>
      <c r="QRB1" s="87" t="n"/>
      <c r="QRC1" s="87" t="n"/>
      <c r="QRD1" s="87" t="n"/>
      <c r="QRE1" s="87" t="n"/>
      <c r="QRF1" s="87" t="n"/>
      <c r="QRG1" s="87" t="n"/>
      <c r="QRH1" s="87" t="n"/>
      <c r="QRI1" s="87" t="n"/>
      <c r="QRJ1" s="87" t="n"/>
      <c r="QRK1" s="87" t="n"/>
      <c r="QRL1" s="87" t="n"/>
      <c r="QRM1" s="87" t="n"/>
      <c r="QRN1" s="87" t="n"/>
      <c r="QRO1" s="87" t="n"/>
      <c r="QRP1" s="87" t="n"/>
      <c r="QRQ1" s="87" t="n"/>
      <c r="QRR1" s="87" t="n"/>
      <c r="QRS1" s="87" t="n"/>
      <c r="QRT1" s="87" t="n"/>
      <c r="QRU1" s="87" t="n"/>
      <c r="QRV1" s="87" t="n"/>
      <c r="QRW1" s="87" t="n"/>
      <c r="QRX1" s="87" t="n"/>
      <c r="QRY1" s="87" t="n"/>
      <c r="QRZ1" s="87" t="n"/>
      <c r="QSA1" s="87" t="n"/>
      <c r="QSB1" s="87" t="n"/>
      <c r="QSC1" s="87" t="n"/>
      <c r="QSD1" s="87" t="n"/>
      <c r="QSE1" s="87" t="n"/>
      <c r="QSF1" s="87" t="n"/>
      <c r="QSG1" s="87" t="n"/>
      <c r="QSH1" s="87" t="n"/>
      <c r="QSI1" s="87" t="n"/>
      <c r="QSJ1" s="87" t="n"/>
      <c r="QSK1" s="87" t="n"/>
      <c r="QSL1" s="87" t="n"/>
      <c r="QSM1" s="87" t="n"/>
      <c r="QSN1" s="87" t="n"/>
      <c r="QSO1" s="87" t="n"/>
      <c r="QSP1" s="87" t="n"/>
      <c r="QSQ1" s="87" t="n"/>
      <c r="QSR1" s="87" t="n"/>
      <c r="QSS1" s="87" t="n"/>
      <c r="QST1" s="87" t="n"/>
      <c r="QSU1" s="87" t="n"/>
      <c r="QSV1" s="87" t="n"/>
      <c r="QSW1" s="87" t="n"/>
      <c r="QSX1" s="87" t="n"/>
      <c r="QSY1" s="87" t="n"/>
      <c r="QSZ1" s="87" t="n"/>
      <c r="QTA1" s="87" t="n"/>
      <c r="QTB1" s="87" t="n"/>
      <c r="QTC1" s="87" t="n"/>
      <c r="QTD1" s="87" t="n"/>
      <c r="QTE1" s="87" t="n"/>
      <c r="QTF1" s="87" t="n"/>
      <c r="QTG1" s="87" t="n"/>
      <c r="QTH1" s="87" t="n"/>
      <c r="QTI1" s="87" t="n"/>
      <c r="QTJ1" s="87" t="n"/>
      <c r="QTK1" s="87" t="n"/>
      <c r="QTL1" s="87" t="n"/>
      <c r="QTM1" s="87" t="n"/>
      <c r="QTN1" s="87" t="n"/>
      <c r="QTO1" s="87" t="n"/>
      <c r="QTP1" s="87" t="n"/>
      <c r="QTQ1" s="87" t="n"/>
      <c r="QTR1" s="87" t="n"/>
      <c r="QTS1" s="87" t="n"/>
      <c r="QTT1" s="87" t="n"/>
      <c r="QTU1" s="87" t="n"/>
      <c r="QTV1" s="87" t="n"/>
      <c r="QTW1" s="87" t="n"/>
      <c r="QTX1" s="87" t="n"/>
      <c r="QTY1" s="87" t="n"/>
      <c r="QTZ1" s="87" t="n"/>
      <c r="QUA1" s="87" t="n"/>
      <c r="QUB1" s="87" t="n"/>
      <c r="QUC1" s="87" t="n"/>
      <c r="QUD1" s="87" t="n"/>
      <c r="QUE1" s="87" t="n"/>
      <c r="QUF1" s="87" t="n"/>
      <c r="QUG1" s="87" t="n"/>
      <c r="QUH1" s="87" t="n"/>
      <c r="QUI1" s="87" t="n"/>
      <c r="QUJ1" s="87" t="n"/>
      <c r="QUK1" s="87" t="n"/>
      <c r="QUL1" s="87" t="n"/>
      <c r="QUM1" s="87" t="n"/>
      <c r="QUN1" s="87" t="n"/>
      <c r="QUO1" s="87" t="n"/>
      <c r="QUP1" s="87" t="n"/>
      <c r="QUQ1" s="87" t="n"/>
      <c r="QUR1" s="87" t="n"/>
      <c r="QUS1" s="87" t="n"/>
      <c r="QUT1" s="87" t="n"/>
      <c r="QUU1" s="87" t="n"/>
      <c r="QUV1" s="87" t="n"/>
      <c r="QUW1" s="87" t="n"/>
      <c r="QUX1" s="87" t="n"/>
      <c r="QUY1" s="87" t="n"/>
      <c r="QUZ1" s="87" t="n"/>
      <c r="QVA1" s="87" t="n"/>
      <c r="QVB1" s="87" t="n"/>
      <c r="QVC1" s="87" t="n"/>
      <c r="QVD1" s="87" t="n"/>
      <c r="QVE1" s="87" t="n"/>
      <c r="QVF1" s="87" t="n"/>
      <c r="QVG1" s="87" t="n"/>
      <c r="QVH1" s="87" t="n"/>
      <c r="QVI1" s="87" t="n"/>
      <c r="QVJ1" s="87" t="n"/>
      <c r="QVK1" s="87" t="n"/>
      <c r="QVL1" s="87" t="n"/>
      <c r="QVM1" s="87" t="n"/>
      <c r="QVN1" s="87" t="n"/>
      <c r="QVO1" s="87" t="n"/>
      <c r="QVP1" s="87" t="n"/>
      <c r="QVQ1" s="87" t="n"/>
      <c r="QVR1" s="87" t="n"/>
      <c r="QVS1" s="87" t="n"/>
      <c r="QVT1" s="87" t="n"/>
      <c r="QVU1" s="87" t="n"/>
      <c r="QVV1" s="87" t="n"/>
      <c r="QVW1" s="87" t="n"/>
      <c r="QVX1" s="87" t="n"/>
      <c r="QVY1" s="87" t="n"/>
      <c r="QVZ1" s="87" t="n"/>
      <c r="QWA1" s="87" t="n"/>
      <c r="QWB1" s="87" t="n"/>
      <c r="QWC1" s="87" t="n"/>
      <c r="QWD1" s="87" t="n"/>
      <c r="QWE1" s="87" t="n"/>
      <c r="QWF1" s="87" t="n"/>
      <c r="QWG1" s="87" t="n"/>
      <c r="QWH1" s="87" t="n"/>
      <c r="QWI1" s="87" t="n"/>
      <c r="QWJ1" s="87" t="n"/>
      <c r="QWK1" s="87" t="n"/>
      <c r="QWL1" s="87" t="n"/>
      <c r="QWM1" s="87" t="n"/>
      <c r="QWN1" s="87" t="n"/>
      <c r="QWO1" s="87" t="n"/>
      <c r="QWP1" s="87" t="n"/>
      <c r="QWQ1" s="87" t="n"/>
      <c r="QWR1" s="87" t="n"/>
      <c r="QWS1" s="87" t="n"/>
      <c r="QWT1" s="87" t="n"/>
      <c r="QWU1" s="87" t="n"/>
      <c r="QWV1" s="87" t="n"/>
      <c r="QWW1" s="87" t="n"/>
      <c r="QWX1" s="87" t="n"/>
      <c r="QWY1" s="87" t="n"/>
      <c r="QWZ1" s="87" t="n"/>
      <c r="QXA1" s="87" t="n"/>
      <c r="QXB1" s="87" t="n"/>
      <c r="QXC1" s="87" t="n"/>
      <c r="QXD1" s="87" t="n"/>
      <c r="QXE1" s="87" t="n"/>
      <c r="QXF1" s="87" t="n"/>
      <c r="QXG1" s="87" t="n"/>
      <c r="QXH1" s="87" t="n"/>
      <c r="QXI1" s="87" t="n"/>
      <c r="QXJ1" s="87" t="n"/>
      <c r="QXK1" s="87" t="n"/>
      <c r="QXL1" s="87" t="n"/>
      <c r="QXM1" s="87" t="n"/>
      <c r="QXN1" s="87" t="n"/>
      <c r="QXO1" s="87" t="n"/>
      <c r="QXP1" s="87" t="n"/>
      <c r="QXQ1" s="87" t="n"/>
      <c r="QXR1" s="87" t="n"/>
      <c r="QXS1" s="87" t="n"/>
      <c r="QXT1" s="87" t="n"/>
      <c r="QXU1" s="87" t="n"/>
      <c r="QXV1" s="87" t="n"/>
      <c r="QXW1" s="87" t="n"/>
      <c r="QXX1" s="87" t="n"/>
      <c r="QXY1" s="87" t="n"/>
      <c r="QXZ1" s="87" t="n"/>
      <c r="QYA1" s="87" t="n"/>
      <c r="QYB1" s="87" t="n"/>
      <c r="QYC1" s="87" t="n"/>
      <c r="QYD1" s="87" t="n"/>
      <c r="QYE1" s="87" t="n"/>
      <c r="QYF1" s="87" t="n"/>
      <c r="QYG1" s="87" t="n"/>
      <c r="QYH1" s="87" t="n"/>
      <c r="QYI1" s="87" t="n"/>
      <c r="QYJ1" s="87" t="n"/>
      <c r="QYK1" s="87" t="n"/>
      <c r="QYL1" s="87" t="n"/>
      <c r="QYM1" s="87" t="n"/>
      <c r="QYN1" s="87" t="n"/>
      <c r="QYO1" s="87" t="n"/>
      <c r="QYP1" s="87" t="n"/>
      <c r="QYQ1" s="87" t="n"/>
      <c r="QYR1" s="87" t="n"/>
      <c r="QYS1" s="87" t="n"/>
      <c r="QYT1" s="87" t="n"/>
      <c r="QYU1" s="87" t="n"/>
      <c r="QYV1" s="87" t="n"/>
      <c r="QYW1" s="87" t="n"/>
      <c r="QYX1" s="87" t="n"/>
      <c r="QYY1" s="87" t="n"/>
      <c r="QYZ1" s="87" t="n"/>
      <c r="QZA1" s="87" t="n"/>
      <c r="QZB1" s="87" t="n"/>
      <c r="QZC1" s="87" t="n"/>
      <c r="QZD1" s="87" t="n"/>
      <c r="QZE1" s="87" t="n"/>
      <c r="QZF1" s="87" t="n"/>
      <c r="QZG1" s="87" t="n"/>
      <c r="QZH1" s="87" t="n"/>
      <c r="QZI1" s="87" t="n"/>
      <c r="QZJ1" s="87" t="n"/>
      <c r="QZK1" s="87" t="n"/>
      <c r="QZL1" s="87" t="n"/>
      <c r="QZM1" s="87" t="n"/>
      <c r="QZN1" s="87" t="n"/>
      <c r="QZO1" s="87" t="n"/>
      <c r="QZP1" s="87" t="n"/>
      <c r="QZQ1" s="87" t="n"/>
      <c r="QZR1" s="87" t="n"/>
      <c r="QZS1" s="87" t="n"/>
      <c r="QZT1" s="87" t="n"/>
      <c r="QZU1" s="87" t="n"/>
      <c r="QZV1" s="87" t="n"/>
      <c r="QZW1" s="87" t="n"/>
      <c r="QZX1" s="87" t="n"/>
      <c r="QZY1" s="87" t="n"/>
      <c r="QZZ1" s="87" t="n"/>
      <c r="RAA1" s="87" t="n"/>
      <c r="RAB1" s="87" t="n"/>
      <c r="RAC1" s="87" t="n"/>
      <c r="RAD1" s="87" t="n"/>
      <c r="RAE1" s="87" t="n"/>
      <c r="RAF1" s="87" t="n"/>
      <c r="RAG1" s="87" t="n"/>
      <c r="RAH1" s="87" t="n"/>
      <c r="RAI1" s="87" t="n"/>
      <c r="RAJ1" s="87" t="n"/>
      <c r="RAK1" s="87" t="n"/>
      <c r="RAL1" s="87" t="n"/>
      <c r="RAM1" s="87" t="n"/>
      <c r="RAN1" s="87" t="n"/>
      <c r="RAO1" s="87" t="n"/>
      <c r="RAP1" s="87" t="n"/>
      <c r="RAQ1" s="87" t="n"/>
      <c r="RAR1" s="87" t="n"/>
      <c r="RAS1" s="87" t="n"/>
      <c r="RAT1" s="87" t="n"/>
      <c r="RAU1" s="87" t="n"/>
      <c r="RAV1" s="87" t="n"/>
      <c r="RAW1" s="87" t="n"/>
      <c r="RAX1" s="87" t="n"/>
      <c r="RAY1" s="87" t="n"/>
      <c r="RAZ1" s="87" t="n"/>
      <c r="RBA1" s="87" t="n"/>
      <c r="RBB1" s="87" t="n"/>
      <c r="RBC1" s="87" t="n"/>
      <c r="RBD1" s="87" t="n"/>
      <c r="RBE1" s="87" t="n"/>
      <c r="RBF1" s="87" t="n"/>
      <c r="RBG1" s="87" t="n"/>
      <c r="RBH1" s="87" t="n"/>
      <c r="RBI1" s="87" t="n"/>
      <c r="RBJ1" s="87" t="n"/>
      <c r="RBK1" s="87" t="n"/>
      <c r="RBL1" s="87" t="n"/>
      <c r="RBM1" s="87" t="n"/>
      <c r="RBN1" s="87" t="n"/>
      <c r="RBO1" s="87" t="n"/>
      <c r="RBP1" s="87" t="n"/>
      <c r="RBQ1" s="87" t="n"/>
      <c r="RBR1" s="87" t="n"/>
      <c r="RBS1" s="87" t="n"/>
      <c r="RBT1" s="87" t="n"/>
      <c r="RBU1" s="87" t="n"/>
      <c r="RBV1" s="87" t="n"/>
      <c r="RBW1" s="87" t="n"/>
      <c r="RBX1" s="87" t="n"/>
      <c r="RBY1" s="87" t="n"/>
      <c r="RBZ1" s="87" t="n"/>
      <c r="RCA1" s="87" t="n"/>
      <c r="RCB1" s="87" t="n"/>
      <c r="RCC1" s="87" t="n"/>
      <c r="RCD1" s="87" t="n"/>
      <c r="RCE1" s="87" t="n"/>
      <c r="RCF1" s="87" t="n"/>
      <c r="RCG1" s="87" t="n"/>
      <c r="RCH1" s="87" t="n"/>
      <c r="RCI1" s="87" t="n"/>
      <c r="RCJ1" s="87" t="n"/>
      <c r="RCK1" s="87" t="n"/>
      <c r="RCL1" s="87" t="n"/>
      <c r="RCM1" s="87" t="n"/>
      <c r="RCN1" s="87" t="n"/>
      <c r="RCO1" s="87" t="n"/>
      <c r="RCP1" s="87" t="n"/>
      <c r="RCQ1" s="87" t="n"/>
      <c r="RCR1" s="87" t="n"/>
      <c r="RCS1" s="87" t="n"/>
      <c r="RCT1" s="87" t="n"/>
      <c r="RCU1" s="87" t="n"/>
      <c r="RCV1" s="87" t="n"/>
      <c r="RCW1" s="87" t="n"/>
      <c r="RCX1" s="87" t="n"/>
      <c r="RCY1" s="87" t="n"/>
      <c r="RCZ1" s="87" t="n"/>
      <c r="RDA1" s="87" t="n"/>
      <c r="RDB1" s="87" t="n"/>
      <c r="RDC1" s="87" t="n"/>
      <c r="RDD1" s="87" t="n"/>
      <c r="RDE1" s="87" t="n"/>
      <c r="RDF1" s="87" t="n"/>
      <c r="RDG1" s="87" t="n"/>
      <c r="RDH1" s="87" t="n"/>
      <c r="RDI1" s="87" t="n"/>
      <c r="RDJ1" s="87" t="n"/>
      <c r="RDK1" s="87" t="n"/>
      <c r="RDL1" s="87" t="n"/>
      <c r="RDM1" s="87" t="n"/>
      <c r="RDN1" s="87" t="n"/>
      <c r="RDO1" s="87" t="n"/>
      <c r="RDP1" s="87" t="n"/>
      <c r="RDQ1" s="87" t="n"/>
      <c r="RDR1" s="87" t="n"/>
      <c r="RDS1" s="87" t="n"/>
      <c r="RDT1" s="87" t="n"/>
      <c r="RDU1" s="87" t="n"/>
      <c r="RDV1" s="87" t="n"/>
      <c r="RDW1" s="87" t="n"/>
      <c r="RDX1" s="87" t="n"/>
      <c r="RDY1" s="87" t="n"/>
      <c r="RDZ1" s="87" t="n"/>
      <c r="REA1" s="87" t="n"/>
      <c r="REB1" s="87" t="n"/>
      <c r="REC1" s="87" t="n"/>
      <c r="RED1" s="87" t="n"/>
      <c r="REE1" s="87" t="n"/>
      <c r="REF1" s="87" t="n"/>
      <c r="REG1" s="87" t="n"/>
      <c r="REH1" s="87" t="n"/>
      <c r="REI1" s="87" t="n"/>
      <c r="REJ1" s="87" t="n"/>
      <c r="REK1" s="87" t="n"/>
      <c r="REL1" s="87" t="n"/>
      <c r="REM1" s="87" t="n"/>
      <c r="REN1" s="87" t="n"/>
      <c r="REO1" s="87" t="n"/>
      <c r="REP1" s="87" t="n"/>
      <c r="REQ1" s="87" t="n"/>
      <c r="RER1" s="87" t="n"/>
      <c r="RES1" s="87" t="n"/>
      <c r="RET1" s="87" t="n"/>
      <c r="REU1" s="87" t="n"/>
      <c r="REV1" s="87" t="n"/>
      <c r="REW1" s="87" t="n"/>
      <c r="REX1" s="87" t="n"/>
      <c r="REY1" s="87" t="n"/>
      <c r="REZ1" s="87" t="n"/>
      <c r="RFA1" s="87" t="n"/>
      <c r="RFB1" s="87" t="n"/>
      <c r="RFC1" s="87" t="n"/>
      <c r="RFD1" s="87" t="n"/>
      <c r="RFE1" s="87" t="n"/>
      <c r="RFF1" s="87" t="n"/>
      <c r="RFG1" s="87" t="n"/>
      <c r="RFH1" s="87" t="n"/>
      <c r="RFI1" s="87" t="n"/>
      <c r="RFJ1" s="87" t="n"/>
      <c r="RFK1" s="87" t="n"/>
      <c r="RFL1" s="87" t="n"/>
      <c r="RFM1" s="87" t="n"/>
      <c r="RFN1" s="87" t="n"/>
      <c r="RFO1" s="87" t="n"/>
      <c r="RFP1" s="87" t="n"/>
      <c r="RFQ1" s="87" t="n"/>
      <c r="RFR1" s="87" t="n"/>
      <c r="RFS1" s="87" t="n"/>
      <c r="RFT1" s="87" t="n"/>
      <c r="RFU1" s="87" t="n"/>
      <c r="RFV1" s="87" t="n"/>
      <c r="RFW1" s="87" t="n"/>
      <c r="RFX1" s="87" t="n"/>
      <c r="RFY1" s="87" t="n"/>
      <c r="RFZ1" s="87" t="n"/>
      <c r="RGA1" s="87" t="n"/>
      <c r="RGB1" s="87" t="n"/>
      <c r="RGC1" s="87" t="n"/>
      <c r="RGD1" s="87" t="n"/>
      <c r="RGE1" s="87" t="n"/>
      <c r="RGF1" s="87" t="n"/>
      <c r="RGG1" s="87" t="n"/>
      <c r="RGH1" s="87" t="n"/>
      <c r="RGI1" s="87" t="n"/>
      <c r="RGJ1" s="87" t="n"/>
      <c r="RGK1" s="87" t="n"/>
      <c r="RGL1" s="87" t="n"/>
      <c r="RGM1" s="87" t="n"/>
      <c r="RGN1" s="87" t="n"/>
      <c r="RGO1" s="87" t="n"/>
      <c r="RGP1" s="87" t="n"/>
      <c r="RGQ1" s="87" t="n"/>
      <c r="RGR1" s="87" t="n"/>
      <c r="RGS1" s="87" t="n"/>
      <c r="RGT1" s="87" t="n"/>
      <c r="RGU1" s="87" t="n"/>
      <c r="RGV1" s="87" t="n"/>
      <c r="RGW1" s="87" t="n"/>
      <c r="RGX1" s="87" t="n"/>
      <c r="RGY1" s="87" t="n"/>
      <c r="RGZ1" s="87" t="n"/>
      <c r="RHA1" s="87" t="n"/>
      <c r="RHB1" s="87" t="n"/>
      <c r="RHC1" s="87" t="n"/>
      <c r="RHD1" s="87" t="n"/>
      <c r="RHE1" s="87" t="n"/>
      <c r="RHF1" s="87" t="n"/>
      <c r="RHG1" s="87" t="n"/>
      <c r="RHH1" s="87" t="n"/>
      <c r="RHI1" s="87" t="n"/>
      <c r="RHJ1" s="87" t="n"/>
      <c r="RHK1" s="87" t="n"/>
      <c r="RHL1" s="87" t="n"/>
      <c r="RHM1" s="87" t="n"/>
      <c r="RHN1" s="87" t="n"/>
      <c r="RHO1" s="87" t="n"/>
      <c r="RHP1" s="87" t="n"/>
      <c r="RHQ1" s="87" t="n"/>
      <c r="RHR1" s="87" t="n"/>
      <c r="RHS1" s="87" t="n"/>
      <c r="RHT1" s="87" t="n"/>
      <c r="RHU1" s="87" t="n"/>
      <c r="RHV1" s="87" t="n"/>
      <c r="RHW1" s="87" t="n"/>
      <c r="RHX1" s="87" t="n"/>
      <c r="RHY1" s="87" t="n"/>
      <c r="RHZ1" s="87" t="n"/>
      <c r="RIA1" s="87" t="n"/>
      <c r="RIB1" s="87" t="n"/>
      <c r="RIC1" s="87" t="n"/>
      <c r="RID1" s="87" t="n"/>
      <c r="RIE1" s="87" t="n"/>
      <c r="RIF1" s="87" t="n"/>
      <c r="RIG1" s="87" t="n"/>
      <c r="RIH1" s="87" t="n"/>
      <c r="RII1" s="87" t="n"/>
      <c r="RIJ1" s="87" t="n"/>
      <c r="RIK1" s="87" t="n"/>
      <c r="RIL1" s="87" t="n"/>
      <c r="RIM1" s="87" t="n"/>
      <c r="RIN1" s="87" t="n"/>
      <c r="RIO1" s="87" t="n"/>
      <c r="RIP1" s="87" t="n"/>
      <c r="RIQ1" s="87" t="n"/>
      <c r="RIR1" s="87" t="n"/>
      <c r="RIS1" s="87" t="n"/>
      <c r="RIT1" s="87" t="n"/>
      <c r="RIU1" s="87" t="n"/>
      <c r="RIV1" s="87" t="n"/>
      <c r="RIW1" s="87" t="n"/>
      <c r="RIX1" s="87" t="n"/>
      <c r="RIY1" s="87" t="n"/>
      <c r="RIZ1" s="87" t="n"/>
      <c r="RJA1" s="87" t="n"/>
      <c r="RJB1" s="87" t="n"/>
      <c r="RJC1" s="87" t="n"/>
      <c r="RJD1" s="87" t="n"/>
      <c r="RJE1" s="87" t="n"/>
      <c r="RJF1" s="87" t="n"/>
      <c r="RJG1" s="87" t="n"/>
      <c r="RJH1" s="87" t="n"/>
      <c r="RJI1" s="87" t="n"/>
      <c r="RJJ1" s="87" t="n"/>
      <c r="RJK1" s="87" t="n"/>
      <c r="RJL1" s="87" t="n"/>
      <c r="RJM1" s="87" t="n"/>
      <c r="RJN1" s="87" t="n"/>
      <c r="RJO1" s="87" t="n"/>
      <c r="RJP1" s="87" t="n"/>
      <c r="RJQ1" s="87" t="n"/>
      <c r="RJR1" s="87" t="n"/>
      <c r="RJS1" s="87" t="n"/>
      <c r="RJT1" s="87" t="n"/>
      <c r="RJU1" s="87" t="n"/>
      <c r="RJV1" s="87" t="n"/>
      <c r="RJW1" s="87" t="n"/>
      <c r="RJX1" s="87" t="n"/>
      <c r="RJY1" s="87" t="n"/>
      <c r="RJZ1" s="87" t="n"/>
      <c r="RKA1" s="87" t="n"/>
      <c r="RKB1" s="87" t="n"/>
      <c r="RKC1" s="87" t="n"/>
      <c r="RKD1" s="87" t="n"/>
      <c r="RKE1" s="87" t="n"/>
      <c r="RKF1" s="87" t="n"/>
      <c r="RKG1" s="87" t="n"/>
      <c r="RKH1" s="87" t="n"/>
      <c r="RKI1" s="87" t="n"/>
      <c r="RKJ1" s="87" t="n"/>
      <c r="RKK1" s="87" t="n"/>
      <c r="RKL1" s="87" t="n"/>
      <c r="RKM1" s="87" t="n"/>
      <c r="RKN1" s="87" t="n"/>
      <c r="RKO1" s="87" t="n"/>
      <c r="RKP1" s="87" t="n"/>
      <c r="RKQ1" s="87" t="n"/>
      <c r="RKR1" s="87" t="n"/>
      <c r="RKS1" s="87" t="n"/>
      <c r="RKT1" s="87" t="n"/>
      <c r="RKU1" s="87" t="n"/>
      <c r="RKV1" s="87" t="n"/>
      <c r="RKW1" s="87" t="n"/>
      <c r="RKX1" s="87" t="n"/>
      <c r="RKY1" s="87" t="n"/>
      <c r="RKZ1" s="87" t="n"/>
      <c r="RLA1" s="87" t="n"/>
      <c r="RLB1" s="87" t="n"/>
      <c r="RLC1" s="87" t="n"/>
      <c r="RLD1" s="87" t="n"/>
      <c r="RLE1" s="87" t="n"/>
      <c r="RLF1" s="87" t="n"/>
      <c r="RLG1" s="87" t="n"/>
      <c r="RLH1" s="87" t="n"/>
      <c r="RLI1" s="87" t="n"/>
      <c r="RLJ1" s="87" t="n"/>
      <c r="RLK1" s="87" t="n"/>
      <c r="RLL1" s="87" t="n"/>
      <c r="RLM1" s="87" t="n"/>
      <c r="RLN1" s="87" t="n"/>
      <c r="RLO1" s="87" t="n"/>
      <c r="RLP1" s="87" t="n"/>
      <c r="RLQ1" s="87" t="n"/>
      <c r="RLR1" s="87" t="n"/>
      <c r="RLS1" s="87" t="n"/>
      <c r="RLT1" s="87" t="n"/>
      <c r="RLU1" s="87" t="n"/>
      <c r="RLV1" s="87" t="n"/>
      <c r="RLW1" s="87" t="n"/>
      <c r="RLX1" s="87" t="n"/>
      <c r="RLY1" s="87" t="n"/>
      <c r="RLZ1" s="87" t="n"/>
      <c r="RMA1" s="87" t="n"/>
      <c r="RMB1" s="87" t="n"/>
      <c r="RMC1" s="87" t="n"/>
      <c r="RMD1" s="87" t="n"/>
      <c r="RME1" s="87" t="n"/>
      <c r="RMF1" s="87" t="n"/>
      <c r="RMG1" s="87" t="n"/>
      <c r="RMH1" s="87" t="n"/>
      <c r="RMI1" s="87" t="n"/>
      <c r="RMJ1" s="87" t="n"/>
      <c r="RMK1" s="87" t="n"/>
      <c r="RML1" s="87" t="n"/>
      <c r="RMM1" s="87" t="n"/>
      <c r="RMN1" s="87" t="n"/>
      <c r="RMO1" s="87" t="n"/>
      <c r="RMP1" s="87" t="n"/>
      <c r="RMQ1" s="87" t="n"/>
      <c r="RMR1" s="87" t="n"/>
      <c r="RMS1" s="87" t="n"/>
      <c r="RMT1" s="87" t="n"/>
      <c r="RMU1" s="87" t="n"/>
      <c r="RMV1" s="87" t="n"/>
      <c r="RMW1" s="87" t="n"/>
      <c r="RMX1" s="87" t="n"/>
      <c r="RMY1" s="87" t="n"/>
      <c r="RMZ1" s="87" t="n"/>
      <c r="RNA1" s="87" t="n"/>
      <c r="RNB1" s="87" t="n"/>
      <c r="RNC1" s="87" t="n"/>
      <c r="RND1" s="87" t="n"/>
      <c r="RNE1" s="87" t="n"/>
      <c r="RNF1" s="87" t="n"/>
      <c r="RNG1" s="87" t="n"/>
      <c r="RNH1" s="87" t="n"/>
      <c r="RNI1" s="87" t="n"/>
      <c r="RNJ1" s="87" t="n"/>
      <c r="RNK1" s="87" t="n"/>
      <c r="RNL1" s="87" t="n"/>
      <c r="RNM1" s="87" t="n"/>
      <c r="RNN1" s="87" t="n"/>
      <c r="RNO1" s="87" t="n"/>
      <c r="RNP1" s="87" t="n"/>
      <c r="RNQ1" s="87" t="n"/>
      <c r="RNR1" s="87" t="n"/>
      <c r="RNS1" s="87" t="n"/>
      <c r="RNT1" s="87" t="n"/>
      <c r="RNU1" s="87" t="n"/>
      <c r="RNV1" s="87" t="n"/>
      <c r="RNW1" s="87" t="n"/>
      <c r="RNX1" s="87" t="n"/>
      <c r="RNY1" s="87" t="n"/>
      <c r="RNZ1" s="87" t="n"/>
      <c r="ROA1" s="87" t="n"/>
      <c r="ROB1" s="87" t="n"/>
      <c r="ROC1" s="87" t="n"/>
      <c r="ROD1" s="87" t="n"/>
      <c r="ROE1" s="87" t="n"/>
      <c r="ROF1" s="87" t="n"/>
      <c r="ROG1" s="87" t="n"/>
      <c r="ROH1" s="87" t="n"/>
      <c r="ROI1" s="87" t="n"/>
      <c r="ROJ1" s="87" t="n"/>
      <c r="ROK1" s="87" t="n"/>
      <c r="ROL1" s="87" t="n"/>
      <c r="ROM1" s="87" t="n"/>
      <c r="RON1" s="87" t="n"/>
      <c r="ROO1" s="87" t="n"/>
      <c r="ROP1" s="87" t="n"/>
      <c r="ROQ1" s="87" t="n"/>
      <c r="ROR1" s="87" t="n"/>
      <c r="ROS1" s="87" t="n"/>
      <c r="ROT1" s="87" t="n"/>
      <c r="ROU1" s="87" t="n"/>
      <c r="ROV1" s="87" t="n"/>
      <c r="ROW1" s="87" t="n"/>
      <c r="ROX1" s="87" t="n"/>
      <c r="ROY1" s="87" t="n"/>
      <c r="ROZ1" s="87" t="n"/>
      <c r="RPA1" s="87" t="n"/>
      <c r="RPB1" s="87" t="n"/>
      <c r="RPC1" s="87" t="n"/>
      <c r="RPD1" s="87" t="n"/>
      <c r="RPE1" s="87" t="n"/>
      <c r="RPF1" s="87" t="n"/>
      <c r="RPG1" s="87" t="n"/>
      <c r="RPH1" s="87" t="n"/>
      <c r="RPI1" s="87" t="n"/>
      <c r="RPJ1" s="87" t="n"/>
      <c r="RPK1" s="87" t="n"/>
      <c r="RPL1" s="87" t="n"/>
      <c r="RPM1" s="87" t="n"/>
      <c r="RPN1" s="87" t="n"/>
      <c r="RPO1" s="87" t="n"/>
      <c r="RPP1" s="87" t="n"/>
      <c r="RPQ1" s="87" t="n"/>
      <c r="RPR1" s="87" t="n"/>
      <c r="RPS1" s="87" t="n"/>
      <c r="RPT1" s="87" t="n"/>
      <c r="RPU1" s="87" t="n"/>
      <c r="RPV1" s="87" t="n"/>
      <c r="RPW1" s="87" t="n"/>
      <c r="RPX1" s="87" t="n"/>
      <c r="RPY1" s="87" t="n"/>
      <c r="RPZ1" s="87" t="n"/>
      <c r="RQA1" s="87" t="n"/>
      <c r="RQB1" s="87" t="n"/>
      <c r="RQC1" s="87" t="n"/>
      <c r="RQD1" s="87" t="n"/>
      <c r="RQE1" s="87" t="n"/>
      <c r="RQF1" s="87" t="n"/>
      <c r="RQG1" s="87" t="n"/>
      <c r="RQH1" s="87" t="n"/>
      <c r="RQI1" s="87" t="n"/>
      <c r="RQJ1" s="87" t="n"/>
      <c r="RQK1" s="87" t="n"/>
      <c r="RQL1" s="87" t="n"/>
      <c r="RQM1" s="87" t="n"/>
      <c r="RQN1" s="87" t="n"/>
      <c r="RQO1" s="87" t="n"/>
      <c r="RQP1" s="87" t="n"/>
      <c r="RQQ1" s="87" t="n"/>
      <c r="RQR1" s="87" t="n"/>
      <c r="RQS1" s="87" t="n"/>
      <c r="RQT1" s="87" t="n"/>
      <c r="RQU1" s="87" t="n"/>
      <c r="RQV1" s="87" t="n"/>
      <c r="RQW1" s="87" t="n"/>
      <c r="RQX1" s="87" t="n"/>
      <c r="RQY1" s="87" t="n"/>
      <c r="RQZ1" s="87" t="n"/>
      <c r="RRA1" s="87" t="n"/>
      <c r="RRB1" s="87" t="n"/>
      <c r="RRC1" s="87" t="n"/>
      <c r="RRD1" s="87" t="n"/>
      <c r="RRE1" s="87" t="n"/>
      <c r="RRF1" s="87" t="n"/>
      <c r="RRG1" s="87" t="n"/>
      <c r="RRH1" s="87" t="n"/>
      <c r="RRI1" s="87" t="n"/>
      <c r="RRJ1" s="87" t="n"/>
      <c r="RRK1" s="87" t="n"/>
      <c r="RRL1" s="87" t="n"/>
      <c r="RRM1" s="87" t="n"/>
      <c r="RRN1" s="87" t="n"/>
      <c r="RRO1" s="87" t="n"/>
      <c r="RRP1" s="87" t="n"/>
      <c r="RRQ1" s="87" t="n"/>
      <c r="RRR1" s="87" t="n"/>
      <c r="RRS1" s="87" t="n"/>
      <c r="RRT1" s="87" t="n"/>
      <c r="RRU1" s="87" t="n"/>
      <c r="RRV1" s="87" t="n"/>
      <c r="RRW1" s="87" t="n"/>
      <c r="RRX1" s="87" t="n"/>
      <c r="RRY1" s="87" t="n"/>
      <c r="RRZ1" s="87" t="n"/>
      <c r="RSA1" s="87" t="n"/>
      <c r="RSB1" s="87" t="n"/>
      <c r="RSC1" s="87" t="n"/>
      <c r="RSD1" s="87" t="n"/>
      <c r="RSE1" s="87" t="n"/>
      <c r="RSF1" s="87" t="n"/>
      <c r="RSG1" s="87" t="n"/>
      <c r="RSH1" s="87" t="n"/>
      <c r="RSI1" s="87" t="n"/>
      <c r="RSJ1" s="87" t="n"/>
      <c r="RSK1" s="87" t="n"/>
      <c r="RSL1" s="87" t="n"/>
      <c r="RSM1" s="87" t="n"/>
      <c r="RSN1" s="87" t="n"/>
      <c r="RSO1" s="87" t="n"/>
      <c r="RSP1" s="87" t="n"/>
      <c r="RSQ1" s="87" t="n"/>
      <c r="RSR1" s="87" t="n"/>
      <c r="RSS1" s="87" t="n"/>
      <c r="RST1" s="87" t="n"/>
      <c r="RSU1" s="87" t="n"/>
      <c r="RSV1" s="87" t="n"/>
      <c r="RSW1" s="87" t="n"/>
      <c r="RSX1" s="87" t="n"/>
      <c r="RSY1" s="87" t="n"/>
      <c r="RSZ1" s="87" t="n"/>
      <c r="RTA1" s="87" t="n"/>
      <c r="RTB1" s="87" t="n"/>
      <c r="RTC1" s="87" t="n"/>
      <c r="RTD1" s="87" t="n"/>
      <c r="RTE1" s="87" t="n"/>
      <c r="RTF1" s="87" t="n"/>
      <c r="RTG1" s="87" t="n"/>
      <c r="RTH1" s="87" t="n"/>
      <c r="RTI1" s="87" t="n"/>
      <c r="RTJ1" s="87" t="n"/>
      <c r="RTK1" s="87" t="n"/>
      <c r="RTL1" s="87" t="n"/>
      <c r="RTM1" s="87" t="n"/>
      <c r="RTN1" s="87" t="n"/>
      <c r="RTO1" s="87" t="n"/>
      <c r="RTP1" s="87" t="n"/>
      <c r="RTQ1" s="87" t="n"/>
      <c r="RTR1" s="87" t="n"/>
      <c r="RTS1" s="87" t="n"/>
      <c r="RTT1" s="87" t="n"/>
      <c r="RTU1" s="87" t="n"/>
      <c r="RTV1" s="87" t="n"/>
      <c r="RTW1" s="87" t="n"/>
      <c r="RTX1" s="87" t="n"/>
      <c r="RTY1" s="87" t="n"/>
      <c r="RTZ1" s="87" t="n"/>
      <c r="RUA1" s="87" t="n"/>
      <c r="RUB1" s="87" t="n"/>
      <c r="RUC1" s="87" t="n"/>
      <c r="RUD1" s="87" t="n"/>
      <c r="RUE1" s="87" t="n"/>
      <c r="RUF1" s="87" t="n"/>
      <c r="RUG1" s="87" t="n"/>
      <c r="RUH1" s="87" t="n"/>
      <c r="RUI1" s="87" t="n"/>
      <c r="RUJ1" s="87" t="n"/>
      <c r="RUK1" s="87" t="n"/>
      <c r="RUL1" s="87" t="n"/>
      <c r="RUM1" s="87" t="n"/>
      <c r="RUN1" s="87" t="n"/>
      <c r="RUO1" s="87" t="n"/>
      <c r="RUP1" s="87" t="n"/>
      <c r="RUQ1" s="87" t="n"/>
      <c r="RUR1" s="87" t="n"/>
      <c r="RUS1" s="87" t="n"/>
      <c r="RUT1" s="87" t="n"/>
      <c r="RUU1" s="87" t="n"/>
      <c r="RUV1" s="87" t="n"/>
      <c r="RUW1" s="87" t="n"/>
      <c r="RUX1" s="87" t="n"/>
      <c r="RUY1" s="87" t="n"/>
      <c r="RUZ1" s="87" t="n"/>
      <c r="RVA1" s="87" t="n"/>
      <c r="RVB1" s="87" t="n"/>
      <c r="RVC1" s="87" t="n"/>
      <c r="RVD1" s="87" t="n"/>
      <c r="RVE1" s="87" t="n"/>
      <c r="RVF1" s="87" t="n"/>
      <c r="RVG1" s="87" t="n"/>
      <c r="RVH1" s="87" t="n"/>
      <c r="RVI1" s="87" t="n"/>
      <c r="RVJ1" s="87" t="n"/>
      <c r="RVK1" s="87" t="n"/>
      <c r="RVL1" s="87" t="n"/>
      <c r="RVM1" s="87" t="n"/>
      <c r="RVN1" s="87" t="n"/>
      <c r="RVO1" s="87" t="n"/>
      <c r="RVP1" s="87" t="n"/>
      <c r="RVQ1" s="87" t="n"/>
      <c r="RVR1" s="87" t="n"/>
      <c r="RVS1" s="87" t="n"/>
      <c r="RVT1" s="87" t="n"/>
      <c r="RVU1" s="87" t="n"/>
      <c r="RVV1" s="87" t="n"/>
      <c r="RVW1" s="87" t="n"/>
      <c r="RVX1" s="87" t="n"/>
      <c r="RVY1" s="87" t="n"/>
      <c r="RVZ1" s="87" t="n"/>
      <c r="RWA1" s="87" t="n"/>
      <c r="RWB1" s="87" t="n"/>
      <c r="RWC1" s="87" t="n"/>
      <c r="RWD1" s="87" t="n"/>
      <c r="RWE1" s="87" t="n"/>
      <c r="RWF1" s="87" t="n"/>
      <c r="RWG1" s="87" t="n"/>
      <c r="RWH1" s="87" t="n"/>
      <c r="RWI1" s="87" t="n"/>
      <c r="RWJ1" s="87" t="n"/>
      <c r="RWK1" s="87" t="n"/>
      <c r="RWL1" s="87" t="n"/>
      <c r="RWM1" s="87" t="n"/>
      <c r="RWN1" s="87" t="n"/>
      <c r="RWO1" s="87" t="n"/>
      <c r="RWP1" s="87" t="n"/>
      <c r="RWQ1" s="87" t="n"/>
      <c r="RWR1" s="87" t="n"/>
      <c r="RWS1" s="87" t="n"/>
      <c r="RWT1" s="87" t="n"/>
      <c r="RWU1" s="87" t="n"/>
      <c r="RWV1" s="87" t="n"/>
      <c r="RWW1" s="87" t="n"/>
      <c r="RWX1" s="87" t="n"/>
      <c r="RWY1" s="87" t="n"/>
      <c r="RWZ1" s="87" t="n"/>
      <c r="RXA1" s="87" t="n"/>
      <c r="RXB1" s="87" t="n"/>
      <c r="RXC1" s="87" t="n"/>
      <c r="RXD1" s="87" t="n"/>
      <c r="RXE1" s="87" t="n"/>
      <c r="RXF1" s="87" t="n"/>
      <c r="RXG1" s="87" t="n"/>
      <c r="RXH1" s="87" t="n"/>
      <c r="RXI1" s="87" t="n"/>
      <c r="RXJ1" s="87" t="n"/>
      <c r="RXK1" s="87" t="n"/>
      <c r="RXL1" s="87" t="n"/>
      <c r="RXM1" s="87" t="n"/>
      <c r="RXN1" s="87" t="n"/>
      <c r="RXO1" s="87" t="n"/>
      <c r="RXP1" s="87" t="n"/>
      <c r="RXQ1" s="87" t="n"/>
      <c r="RXR1" s="87" t="n"/>
      <c r="RXS1" s="87" t="n"/>
      <c r="RXT1" s="87" t="n"/>
      <c r="RXU1" s="87" t="n"/>
      <c r="RXV1" s="87" t="n"/>
      <c r="RXW1" s="87" t="n"/>
      <c r="RXX1" s="87" t="n"/>
      <c r="RXY1" s="87" t="n"/>
      <c r="RXZ1" s="87" t="n"/>
      <c r="RYA1" s="87" t="n"/>
      <c r="RYB1" s="87" t="n"/>
      <c r="RYC1" s="87" t="n"/>
      <c r="RYD1" s="87" t="n"/>
      <c r="RYE1" s="87" t="n"/>
      <c r="RYF1" s="87" t="n"/>
      <c r="RYG1" s="87" t="n"/>
      <c r="RYH1" s="87" t="n"/>
      <c r="RYI1" s="87" t="n"/>
      <c r="RYJ1" s="87" t="n"/>
      <c r="RYK1" s="87" t="n"/>
      <c r="RYL1" s="87" t="n"/>
      <c r="RYM1" s="87" t="n"/>
      <c r="RYN1" s="87" t="n"/>
      <c r="RYO1" s="87" t="n"/>
      <c r="RYP1" s="87" t="n"/>
      <c r="RYQ1" s="87" t="n"/>
      <c r="RYR1" s="87" t="n"/>
      <c r="RYS1" s="87" t="n"/>
      <c r="RYT1" s="87" t="n"/>
      <c r="RYU1" s="87" t="n"/>
      <c r="RYV1" s="87" t="n"/>
      <c r="RYW1" s="87" t="n"/>
      <c r="RYX1" s="87" t="n"/>
      <c r="RYY1" s="87" t="n"/>
      <c r="RYZ1" s="87" t="n"/>
      <c r="RZA1" s="87" t="n"/>
      <c r="RZB1" s="87" t="n"/>
      <c r="RZC1" s="87" t="n"/>
      <c r="RZD1" s="87" t="n"/>
      <c r="RZE1" s="87" t="n"/>
      <c r="RZF1" s="87" t="n"/>
      <c r="RZG1" s="87" t="n"/>
      <c r="RZH1" s="87" t="n"/>
      <c r="RZI1" s="87" t="n"/>
      <c r="RZJ1" s="87" t="n"/>
      <c r="RZK1" s="87" t="n"/>
      <c r="RZL1" s="87" t="n"/>
      <c r="RZM1" s="87" t="n"/>
      <c r="RZN1" s="87" t="n"/>
      <c r="RZO1" s="87" t="n"/>
      <c r="RZP1" s="87" t="n"/>
      <c r="RZQ1" s="87" t="n"/>
      <c r="RZR1" s="87" t="n"/>
      <c r="RZS1" s="87" t="n"/>
      <c r="RZT1" s="87" t="n"/>
      <c r="RZU1" s="87" t="n"/>
      <c r="RZV1" s="87" t="n"/>
      <c r="RZW1" s="87" t="n"/>
      <c r="RZX1" s="87" t="n"/>
      <c r="RZY1" s="87" t="n"/>
      <c r="RZZ1" s="87" t="n"/>
      <c r="SAA1" s="87" t="n"/>
      <c r="SAB1" s="87" t="n"/>
      <c r="SAC1" s="87" t="n"/>
      <c r="SAD1" s="87" t="n"/>
      <c r="SAE1" s="87" t="n"/>
      <c r="SAF1" s="87" t="n"/>
      <c r="SAG1" s="87" t="n"/>
      <c r="SAH1" s="87" t="n"/>
      <c r="SAI1" s="87" t="n"/>
      <c r="SAJ1" s="87" t="n"/>
      <c r="SAK1" s="87" t="n"/>
      <c r="SAL1" s="87" t="n"/>
      <c r="SAM1" s="87" t="n"/>
      <c r="SAN1" s="87" t="n"/>
      <c r="SAO1" s="87" t="n"/>
      <c r="SAP1" s="87" t="n"/>
      <c r="SAQ1" s="87" t="n"/>
      <c r="SAR1" s="87" t="n"/>
      <c r="SAS1" s="87" t="n"/>
      <c r="SAT1" s="87" t="n"/>
      <c r="SAU1" s="87" t="n"/>
      <c r="SAV1" s="87" t="n"/>
      <c r="SAW1" s="87" t="n"/>
      <c r="SAX1" s="87" t="n"/>
      <c r="SAY1" s="87" t="n"/>
      <c r="SAZ1" s="87" t="n"/>
      <c r="SBA1" s="87" t="n"/>
      <c r="SBB1" s="87" t="n"/>
      <c r="SBC1" s="87" t="n"/>
      <c r="SBD1" s="87" t="n"/>
      <c r="SBE1" s="87" t="n"/>
      <c r="SBF1" s="87" t="n"/>
      <c r="SBG1" s="87" t="n"/>
      <c r="SBH1" s="87" t="n"/>
      <c r="SBI1" s="87" t="n"/>
      <c r="SBJ1" s="87" t="n"/>
      <c r="SBK1" s="87" t="n"/>
      <c r="SBL1" s="87" t="n"/>
      <c r="SBM1" s="87" t="n"/>
      <c r="SBN1" s="87" t="n"/>
      <c r="SBO1" s="87" t="n"/>
      <c r="SBP1" s="87" t="n"/>
      <c r="SBQ1" s="87" t="n"/>
      <c r="SBR1" s="87" t="n"/>
      <c r="SBS1" s="87" t="n"/>
      <c r="SBT1" s="87" t="n"/>
      <c r="SBU1" s="87" t="n"/>
      <c r="SBV1" s="87" t="n"/>
      <c r="SBW1" s="87" t="n"/>
      <c r="SBX1" s="87" t="n"/>
      <c r="SBY1" s="87" t="n"/>
      <c r="SBZ1" s="87" t="n"/>
      <c r="SCA1" s="87" t="n"/>
      <c r="SCB1" s="87" t="n"/>
      <c r="SCC1" s="87" t="n"/>
      <c r="SCD1" s="87" t="n"/>
      <c r="SCE1" s="87" t="n"/>
      <c r="SCF1" s="87" t="n"/>
      <c r="SCG1" s="87" t="n"/>
      <c r="SCH1" s="87" t="n"/>
      <c r="SCI1" s="87" t="n"/>
      <c r="SCJ1" s="87" t="n"/>
      <c r="SCK1" s="87" t="n"/>
      <c r="SCL1" s="87" t="n"/>
      <c r="SCM1" s="87" t="n"/>
      <c r="SCN1" s="87" t="n"/>
      <c r="SCO1" s="87" t="n"/>
      <c r="SCP1" s="87" t="n"/>
      <c r="SCQ1" s="87" t="n"/>
      <c r="SCR1" s="87" t="n"/>
      <c r="SCS1" s="87" t="n"/>
      <c r="SCT1" s="87" t="n"/>
      <c r="SCU1" s="87" t="n"/>
      <c r="SCV1" s="87" t="n"/>
      <c r="SCW1" s="87" t="n"/>
      <c r="SCX1" s="87" t="n"/>
      <c r="SCY1" s="87" t="n"/>
      <c r="SCZ1" s="87" t="n"/>
      <c r="SDA1" s="87" t="n"/>
      <c r="SDB1" s="87" t="n"/>
      <c r="SDC1" s="87" t="n"/>
      <c r="SDD1" s="87" t="n"/>
      <c r="SDE1" s="87" t="n"/>
      <c r="SDF1" s="87" t="n"/>
      <c r="SDG1" s="87" t="n"/>
      <c r="SDH1" s="87" t="n"/>
      <c r="SDI1" s="87" t="n"/>
      <c r="SDJ1" s="87" t="n"/>
      <c r="SDK1" s="87" t="n"/>
      <c r="SDL1" s="87" t="n"/>
      <c r="SDM1" s="87" t="n"/>
      <c r="SDN1" s="87" t="n"/>
      <c r="SDO1" s="87" t="n"/>
      <c r="SDP1" s="87" t="n"/>
      <c r="SDQ1" s="87" t="n"/>
      <c r="SDR1" s="87" t="n"/>
      <c r="SDS1" s="87" t="n"/>
      <c r="SDT1" s="87" t="n"/>
      <c r="SDU1" s="87" t="n"/>
      <c r="SDV1" s="87" t="n"/>
      <c r="SDW1" s="87" t="n"/>
      <c r="SDX1" s="87" t="n"/>
      <c r="SDY1" s="87" t="n"/>
      <c r="SDZ1" s="87" t="n"/>
      <c r="SEA1" s="87" t="n"/>
      <c r="SEB1" s="87" t="n"/>
      <c r="SEC1" s="87" t="n"/>
      <c r="SED1" s="87" t="n"/>
      <c r="SEE1" s="87" t="n"/>
      <c r="SEF1" s="87" t="n"/>
      <c r="SEG1" s="87" t="n"/>
      <c r="SEH1" s="87" t="n"/>
      <c r="SEI1" s="87" t="n"/>
      <c r="SEJ1" s="87" t="n"/>
      <c r="SEK1" s="87" t="n"/>
      <c r="SEL1" s="87" t="n"/>
      <c r="SEM1" s="87" t="n"/>
      <c r="SEN1" s="87" t="n"/>
      <c r="SEO1" s="87" t="n"/>
      <c r="SEP1" s="87" t="n"/>
      <c r="SEQ1" s="87" t="n"/>
      <c r="SER1" s="87" t="n"/>
      <c r="SES1" s="87" t="n"/>
      <c r="SET1" s="87" t="n"/>
      <c r="SEU1" s="87" t="n"/>
      <c r="SEV1" s="87" t="n"/>
      <c r="SEW1" s="87" t="n"/>
      <c r="SEX1" s="87" t="n"/>
      <c r="SEY1" s="87" t="n"/>
      <c r="SEZ1" s="87" t="n"/>
      <c r="SFA1" s="87" t="n"/>
      <c r="SFB1" s="87" t="n"/>
      <c r="SFC1" s="87" t="n"/>
      <c r="SFD1" s="87" t="n"/>
      <c r="SFE1" s="87" t="n"/>
      <c r="SFF1" s="87" t="n"/>
      <c r="SFG1" s="87" t="n"/>
      <c r="SFH1" s="87" t="n"/>
      <c r="SFI1" s="87" t="n"/>
      <c r="SFJ1" s="87" t="n"/>
      <c r="SFK1" s="87" t="n"/>
      <c r="SFL1" s="87" t="n"/>
      <c r="SFM1" s="87" t="n"/>
      <c r="SFN1" s="87" t="n"/>
      <c r="SFO1" s="87" t="n"/>
      <c r="SFP1" s="87" t="n"/>
      <c r="SFQ1" s="87" t="n"/>
      <c r="SFR1" s="87" t="n"/>
      <c r="SFS1" s="87" t="n"/>
      <c r="SFT1" s="87" t="n"/>
      <c r="SFU1" s="87" t="n"/>
      <c r="SFV1" s="87" t="n"/>
      <c r="SFW1" s="87" t="n"/>
      <c r="SFX1" s="87" t="n"/>
      <c r="SFY1" s="87" t="n"/>
      <c r="SFZ1" s="87" t="n"/>
      <c r="SGA1" s="87" t="n"/>
      <c r="SGB1" s="87" t="n"/>
      <c r="SGC1" s="87" t="n"/>
      <c r="SGD1" s="87" t="n"/>
      <c r="SGE1" s="87" t="n"/>
      <c r="SGF1" s="87" t="n"/>
      <c r="SGG1" s="87" t="n"/>
      <c r="SGH1" s="87" t="n"/>
      <c r="SGI1" s="87" t="n"/>
      <c r="SGJ1" s="87" t="n"/>
      <c r="SGK1" s="87" t="n"/>
      <c r="SGL1" s="87" t="n"/>
      <c r="SGM1" s="87" t="n"/>
      <c r="SGN1" s="87" t="n"/>
      <c r="SGO1" s="87" t="n"/>
      <c r="SGP1" s="87" t="n"/>
      <c r="SGQ1" s="87" t="n"/>
      <c r="SGR1" s="87" t="n"/>
      <c r="SGS1" s="87" t="n"/>
      <c r="SGT1" s="87" t="n"/>
      <c r="SGU1" s="87" t="n"/>
      <c r="SGV1" s="87" t="n"/>
      <c r="SGW1" s="87" t="n"/>
      <c r="SGX1" s="87" t="n"/>
      <c r="SGY1" s="87" t="n"/>
      <c r="SGZ1" s="87" t="n"/>
      <c r="SHA1" s="87" t="n"/>
      <c r="SHB1" s="87" t="n"/>
      <c r="SHC1" s="87" t="n"/>
      <c r="SHD1" s="87" t="n"/>
      <c r="SHE1" s="87" t="n"/>
      <c r="SHF1" s="87" t="n"/>
      <c r="SHG1" s="87" t="n"/>
      <c r="SHH1" s="87" t="n"/>
      <c r="SHI1" s="87" t="n"/>
      <c r="SHJ1" s="87" t="n"/>
      <c r="SHK1" s="87" t="n"/>
      <c r="SHL1" s="87" t="n"/>
      <c r="SHM1" s="87" t="n"/>
      <c r="SHN1" s="87" t="n"/>
      <c r="SHO1" s="87" t="n"/>
      <c r="SHP1" s="87" t="n"/>
      <c r="SHQ1" s="87" t="n"/>
      <c r="SHR1" s="87" t="n"/>
      <c r="SHS1" s="87" t="n"/>
      <c r="SHT1" s="87" t="n"/>
      <c r="SHU1" s="87" t="n"/>
      <c r="SHV1" s="87" t="n"/>
      <c r="SHW1" s="87" t="n"/>
      <c r="SHX1" s="87" t="n"/>
      <c r="SHY1" s="87" t="n"/>
      <c r="SHZ1" s="87" t="n"/>
      <c r="SIA1" s="87" t="n"/>
      <c r="SIB1" s="87" t="n"/>
      <c r="SIC1" s="87" t="n"/>
      <c r="SID1" s="87" t="n"/>
      <c r="SIE1" s="87" t="n"/>
      <c r="SIF1" s="87" t="n"/>
      <c r="SIG1" s="87" t="n"/>
      <c r="SIH1" s="87" t="n"/>
      <c r="SII1" s="87" t="n"/>
      <c r="SIJ1" s="87" t="n"/>
      <c r="SIK1" s="87" t="n"/>
      <c r="SIL1" s="87" t="n"/>
      <c r="SIM1" s="87" t="n"/>
      <c r="SIN1" s="87" t="n"/>
      <c r="SIO1" s="87" t="n"/>
      <c r="SIP1" s="87" t="n"/>
      <c r="SIQ1" s="87" t="n"/>
      <c r="SIR1" s="87" t="n"/>
      <c r="SIS1" s="87" t="n"/>
      <c r="SIT1" s="87" t="n"/>
      <c r="SIU1" s="87" t="n"/>
      <c r="SIV1" s="87" t="n"/>
      <c r="SIW1" s="87" t="n"/>
      <c r="SIX1" s="87" t="n"/>
      <c r="SIY1" s="87" t="n"/>
      <c r="SIZ1" s="87" t="n"/>
      <c r="SJA1" s="87" t="n"/>
      <c r="SJB1" s="87" t="n"/>
      <c r="SJC1" s="87" t="n"/>
      <c r="SJD1" s="87" t="n"/>
      <c r="SJE1" s="87" t="n"/>
      <c r="SJF1" s="87" t="n"/>
      <c r="SJG1" s="87" t="n"/>
      <c r="SJH1" s="87" t="n"/>
      <c r="SJI1" s="87" t="n"/>
      <c r="SJJ1" s="87" t="n"/>
      <c r="SJK1" s="87" t="n"/>
      <c r="SJL1" s="87" t="n"/>
      <c r="SJM1" s="87" t="n"/>
      <c r="SJN1" s="87" t="n"/>
      <c r="SJO1" s="87" t="n"/>
      <c r="SJP1" s="87" t="n"/>
      <c r="SJQ1" s="87" t="n"/>
      <c r="SJR1" s="87" t="n"/>
      <c r="SJS1" s="87" t="n"/>
      <c r="SJT1" s="87" t="n"/>
      <c r="SJU1" s="87" t="n"/>
      <c r="SJV1" s="87" t="n"/>
      <c r="SJW1" s="87" t="n"/>
      <c r="SJX1" s="87" t="n"/>
      <c r="SJY1" s="87" t="n"/>
      <c r="SJZ1" s="87" t="n"/>
      <c r="SKA1" s="87" t="n"/>
      <c r="SKB1" s="87" t="n"/>
      <c r="SKC1" s="87" t="n"/>
      <c r="SKD1" s="87" t="n"/>
      <c r="SKE1" s="87" t="n"/>
      <c r="SKF1" s="87" t="n"/>
      <c r="SKG1" s="87" t="n"/>
      <c r="SKH1" s="87" t="n"/>
      <c r="SKI1" s="87" t="n"/>
      <c r="SKJ1" s="87" t="n"/>
      <c r="SKK1" s="87" t="n"/>
      <c r="SKL1" s="87" t="n"/>
      <c r="SKM1" s="87" t="n"/>
      <c r="SKN1" s="87" t="n"/>
      <c r="SKO1" s="87" t="n"/>
      <c r="SKP1" s="87" t="n"/>
      <c r="SKQ1" s="87" t="n"/>
      <c r="SKR1" s="87" t="n"/>
      <c r="SKS1" s="87" t="n"/>
      <c r="SKT1" s="87" t="n"/>
      <c r="SKU1" s="87" t="n"/>
      <c r="SKV1" s="87" t="n"/>
      <c r="SKW1" s="87" t="n"/>
      <c r="SKX1" s="87" t="n"/>
      <c r="SKY1" s="87" t="n"/>
      <c r="SKZ1" s="87" t="n"/>
      <c r="SLA1" s="87" t="n"/>
      <c r="SLB1" s="87" t="n"/>
      <c r="SLC1" s="87" t="n"/>
      <c r="SLD1" s="87" t="n"/>
      <c r="SLE1" s="87" t="n"/>
      <c r="SLF1" s="87" t="n"/>
      <c r="SLG1" s="87" t="n"/>
      <c r="SLH1" s="87" t="n"/>
      <c r="SLI1" s="87" t="n"/>
      <c r="SLJ1" s="87" t="n"/>
      <c r="SLK1" s="87" t="n"/>
      <c r="SLL1" s="87" t="n"/>
      <c r="SLM1" s="87" t="n"/>
      <c r="SLN1" s="87" t="n"/>
      <c r="SLO1" s="87" t="n"/>
      <c r="SLP1" s="87" t="n"/>
      <c r="SLQ1" s="87" t="n"/>
      <c r="SLR1" s="87" t="n"/>
      <c r="SLS1" s="87" t="n"/>
      <c r="SLT1" s="87" t="n"/>
      <c r="SLU1" s="87" t="n"/>
      <c r="SLV1" s="87" t="n"/>
      <c r="SLW1" s="87" t="n"/>
      <c r="SLX1" s="87" t="n"/>
      <c r="SLY1" s="87" t="n"/>
      <c r="SLZ1" s="87" t="n"/>
      <c r="SMA1" s="87" t="n"/>
      <c r="SMB1" s="87" t="n"/>
      <c r="SMC1" s="87" t="n"/>
      <c r="SMD1" s="87" t="n"/>
      <c r="SME1" s="87" t="n"/>
      <c r="SMF1" s="87" t="n"/>
      <c r="SMG1" s="87" t="n"/>
      <c r="SMH1" s="87" t="n"/>
      <c r="SMI1" s="87" t="n"/>
      <c r="SMJ1" s="87" t="n"/>
      <c r="SMK1" s="87" t="n"/>
      <c r="SML1" s="87" t="n"/>
      <c r="SMM1" s="87" t="n"/>
      <c r="SMN1" s="87" t="n"/>
      <c r="SMO1" s="87" t="n"/>
      <c r="SMP1" s="87" t="n"/>
      <c r="SMQ1" s="87" t="n"/>
      <c r="SMR1" s="87" t="n"/>
      <c r="SMS1" s="87" t="n"/>
      <c r="SMT1" s="87" t="n"/>
      <c r="SMU1" s="87" t="n"/>
      <c r="SMV1" s="87" t="n"/>
      <c r="SMW1" s="87" t="n"/>
      <c r="SMX1" s="87" t="n"/>
      <c r="SMY1" s="87" t="n"/>
      <c r="SMZ1" s="87" t="n"/>
      <c r="SNA1" s="87" t="n"/>
      <c r="SNB1" s="87" t="n"/>
      <c r="SNC1" s="87" t="n"/>
      <c r="SND1" s="87" t="n"/>
      <c r="SNE1" s="87" t="n"/>
      <c r="SNF1" s="87" t="n"/>
      <c r="SNG1" s="87" t="n"/>
      <c r="SNH1" s="87" t="n"/>
      <c r="SNI1" s="87" t="n"/>
      <c r="SNJ1" s="87" t="n"/>
      <c r="SNK1" s="87" t="n"/>
      <c r="SNL1" s="87" t="n"/>
      <c r="SNM1" s="87" t="n"/>
      <c r="SNN1" s="87" t="n"/>
      <c r="SNO1" s="87" t="n"/>
      <c r="SNP1" s="87" t="n"/>
      <c r="SNQ1" s="87" t="n"/>
      <c r="SNR1" s="87" t="n"/>
      <c r="SNS1" s="87" t="n"/>
      <c r="SNT1" s="87" t="n"/>
      <c r="SNU1" s="87" t="n"/>
      <c r="SNV1" s="87" t="n"/>
      <c r="SNW1" s="87" t="n"/>
      <c r="SNX1" s="87" t="n"/>
      <c r="SNY1" s="87" t="n"/>
      <c r="SNZ1" s="87" t="n"/>
      <c r="SOA1" s="87" t="n"/>
      <c r="SOB1" s="87" t="n"/>
      <c r="SOC1" s="87" t="n"/>
      <c r="SOD1" s="87" t="n"/>
      <c r="SOE1" s="87" t="n"/>
      <c r="SOF1" s="87" t="n"/>
      <c r="SOG1" s="87" t="n"/>
      <c r="SOH1" s="87" t="n"/>
      <c r="SOI1" s="87" t="n"/>
      <c r="SOJ1" s="87" t="n"/>
      <c r="SOK1" s="87" t="n"/>
      <c r="SOL1" s="87" t="n"/>
      <c r="SOM1" s="87" t="n"/>
      <c r="SON1" s="87" t="n"/>
      <c r="SOO1" s="87" t="n"/>
      <c r="SOP1" s="87" t="n"/>
      <c r="SOQ1" s="87" t="n"/>
      <c r="SOR1" s="87" t="n"/>
      <c r="SOS1" s="87" t="n"/>
      <c r="SOT1" s="87" t="n"/>
      <c r="SOU1" s="87" t="n"/>
      <c r="SOV1" s="87" t="n"/>
      <c r="SOW1" s="87" t="n"/>
      <c r="SOX1" s="87" t="n"/>
      <c r="SOY1" s="87" t="n"/>
      <c r="SOZ1" s="87" t="n"/>
      <c r="SPA1" s="87" t="n"/>
      <c r="SPB1" s="87" t="n"/>
      <c r="SPC1" s="87" t="n"/>
      <c r="SPD1" s="87" t="n"/>
      <c r="SPE1" s="87" t="n"/>
      <c r="SPF1" s="87" t="n"/>
      <c r="SPG1" s="87" t="n"/>
      <c r="SPH1" s="87" t="n"/>
      <c r="SPI1" s="87" t="n"/>
      <c r="SPJ1" s="87" t="n"/>
      <c r="SPK1" s="87" t="n"/>
      <c r="SPL1" s="87" t="n"/>
      <c r="SPM1" s="87" t="n"/>
      <c r="SPN1" s="87" t="n"/>
      <c r="SPO1" s="87" t="n"/>
      <c r="SPP1" s="87" t="n"/>
      <c r="SPQ1" s="87" t="n"/>
      <c r="SPR1" s="87" t="n"/>
      <c r="SPS1" s="87" t="n"/>
      <c r="SPT1" s="87" t="n"/>
      <c r="SPU1" s="87" t="n"/>
      <c r="SPV1" s="87" t="n"/>
      <c r="SPW1" s="87" t="n"/>
      <c r="SPX1" s="87" t="n"/>
      <c r="SPY1" s="87" t="n"/>
      <c r="SPZ1" s="87" t="n"/>
      <c r="SQA1" s="87" t="n"/>
      <c r="SQB1" s="87" t="n"/>
      <c r="SQC1" s="87" t="n"/>
      <c r="SQD1" s="87" t="n"/>
      <c r="SQE1" s="87" t="n"/>
      <c r="SQF1" s="87" t="n"/>
      <c r="SQG1" s="87" t="n"/>
      <c r="SQH1" s="87" t="n"/>
      <c r="SQI1" s="87" t="n"/>
      <c r="SQJ1" s="87" t="n"/>
      <c r="SQK1" s="87" t="n"/>
      <c r="SQL1" s="87" t="n"/>
      <c r="SQM1" s="87" t="n"/>
      <c r="SQN1" s="87" t="n"/>
      <c r="SQO1" s="87" t="n"/>
      <c r="SQP1" s="87" t="n"/>
      <c r="SQQ1" s="87" t="n"/>
      <c r="SQR1" s="87" t="n"/>
      <c r="SQS1" s="87" t="n"/>
      <c r="SQT1" s="87" t="n"/>
      <c r="SQU1" s="87" t="n"/>
      <c r="SQV1" s="87" t="n"/>
      <c r="SQW1" s="87" t="n"/>
      <c r="SQX1" s="87" t="n"/>
      <c r="SQY1" s="87" t="n"/>
      <c r="SQZ1" s="87" t="n"/>
      <c r="SRA1" s="87" t="n"/>
      <c r="SRB1" s="87" t="n"/>
      <c r="SRC1" s="87" t="n"/>
      <c r="SRD1" s="87" t="n"/>
      <c r="SRE1" s="87" t="n"/>
      <c r="SRF1" s="87" t="n"/>
      <c r="SRG1" s="87" t="n"/>
      <c r="SRH1" s="87" t="n"/>
      <c r="SRI1" s="87" t="n"/>
      <c r="SRJ1" s="87" t="n"/>
      <c r="SRK1" s="87" t="n"/>
      <c r="SRL1" s="87" t="n"/>
      <c r="SRM1" s="87" t="n"/>
      <c r="SRN1" s="87" t="n"/>
      <c r="SRO1" s="87" t="n"/>
      <c r="SRP1" s="87" t="n"/>
      <c r="SRQ1" s="87" t="n"/>
      <c r="SRR1" s="87" t="n"/>
      <c r="SRS1" s="87" t="n"/>
      <c r="SRT1" s="87" t="n"/>
      <c r="SRU1" s="87" t="n"/>
      <c r="SRV1" s="87" t="n"/>
      <c r="SRW1" s="87" t="n"/>
      <c r="SRX1" s="87" t="n"/>
      <c r="SRY1" s="87" t="n"/>
      <c r="SRZ1" s="87" t="n"/>
      <c r="SSA1" s="87" t="n"/>
      <c r="SSB1" s="87" t="n"/>
      <c r="SSC1" s="87" t="n"/>
      <c r="SSD1" s="87" t="n"/>
      <c r="SSE1" s="87" t="n"/>
      <c r="SSF1" s="87" t="n"/>
      <c r="SSG1" s="87" t="n"/>
      <c r="SSH1" s="87" t="n"/>
      <c r="SSI1" s="87" t="n"/>
      <c r="SSJ1" s="87" t="n"/>
      <c r="SSK1" s="87" t="n"/>
      <c r="SSL1" s="87" t="n"/>
      <c r="SSM1" s="87" t="n"/>
      <c r="SSN1" s="87" t="n"/>
      <c r="SSO1" s="87" t="n"/>
      <c r="SSP1" s="87" t="n"/>
      <c r="SSQ1" s="87" t="n"/>
      <c r="SSR1" s="87" t="n"/>
      <c r="SSS1" s="87" t="n"/>
      <c r="SST1" s="87" t="n"/>
      <c r="SSU1" s="87" t="n"/>
      <c r="SSV1" s="87" t="n"/>
      <c r="SSW1" s="87" t="n"/>
      <c r="SSX1" s="87" t="n"/>
      <c r="SSY1" s="87" t="n"/>
      <c r="SSZ1" s="87" t="n"/>
      <c r="STA1" s="87" t="n"/>
      <c r="STB1" s="87" t="n"/>
      <c r="STC1" s="87" t="n"/>
      <c r="STD1" s="87" t="n"/>
      <c r="STE1" s="87" t="n"/>
      <c r="STF1" s="87" t="n"/>
      <c r="STG1" s="87" t="n"/>
      <c r="STH1" s="87" t="n"/>
      <c r="STI1" s="87" t="n"/>
      <c r="STJ1" s="87" t="n"/>
      <c r="STK1" s="87" t="n"/>
      <c r="STL1" s="87" t="n"/>
      <c r="STM1" s="87" t="n"/>
      <c r="STN1" s="87" t="n"/>
      <c r="STO1" s="87" t="n"/>
      <c r="STP1" s="87" t="n"/>
      <c r="STQ1" s="87" t="n"/>
      <c r="STR1" s="87" t="n"/>
      <c r="STS1" s="87" t="n"/>
      <c r="STT1" s="87" t="n"/>
      <c r="STU1" s="87" t="n"/>
      <c r="STV1" s="87" t="n"/>
      <c r="STW1" s="87" t="n"/>
      <c r="STX1" s="87" t="n"/>
      <c r="STY1" s="87" t="n"/>
      <c r="STZ1" s="87" t="n"/>
      <c r="SUA1" s="87" t="n"/>
      <c r="SUB1" s="87" t="n"/>
      <c r="SUC1" s="87" t="n"/>
      <c r="SUD1" s="87" t="n"/>
      <c r="SUE1" s="87" t="n"/>
      <c r="SUF1" s="87" t="n"/>
      <c r="SUG1" s="87" t="n"/>
      <c r="SUH1" s="87" t="n"/>
      <c r="SUI1" s="87" t="n"/>
      <c r="SUJ1" s="87" t="n"/>
      <c r="SUK1" s="87" t="n"/>
      <c r="SUL1" s="87" t="n"/>
      <c r="SUM1" s="87" t="n"/>
      <c r="SUN1" s="87" t="n"/>
      <c r="SUO1" s="87" t="n"/>
      <c r="SUP1" s="87" t="n"/>
      <c r="SUQ1" s="87" t="n"/>
      <c r="SUR1" s="87" t="n"/>
      <c r="SUS1" s="87" t="n"/>
      <c r="SUT1" s="87" t="n"/>
      <c r="SUU1" s="87" t="n"/>
      <c r="SUV1" s="87" t="n"/>
      <c r="SUW1" s="87" t="n"/>
      <c r="SUX1" s="87" t="n"/>
      <c r="SUY1" s="87" t="n"/>
      <c r="SUZ1" s="87" t="n"/>
      <c r="SVA1" s="87" t="n"/>
      <c r="SVB1" s="87" t="n"/>
      <c r="SVC1" s="87" t="n"/>
      <c r="SVD1" s="87" t="n"/>
      <c r="SVE1" s="87" t="n"/>
      <c r="SVF1" s="87" t="n"/>
      <c r="SVG1" s="87" t="n"/>
      <c r="SVH1" s="87" t="n"/>
      <c r="SVI1" s="87" t="n"/>
      <c r="SVJ1" s="87" t="n"/>
      <c r="SVK1" s="87" t="n"/>
      <c r="SVL1" s="87" t="n"/>
      <c r="SVM1" s="87" t="n"/>
      <c r="SVN1" s="87" t="n"/>
      <c r="SVO1" s="87" t="n"/>
      <c r="SVP1" s="87" t="n"/>
      <c r="SVQ1" s="87" t="n"/>
      <c r="SVR1" s="87" t="n"/>
      <c r="SVS1" s="87" t="n"/>
      <c r="SVT1" s="87" t="n"/>
      <c r="SVU1" s="87" t="n"/>
      <c r="SVV1" s="87" t="n"/>
      <c r="SVW1" s="87" t="n"/>
      <c r="SVX1" s="87" t="n"/>
      <c r="SVY1" s="87" t="n"/>
      <c r="SVZ1" s="87" t="n"/>
      <c r="SWA1" s="87" t="n"/>
      <c r="SWB1" s="87" t="n"/>
      <c r="SWC1" s="87" t="n"/>
      <c r="SWD1" s="87" t="n"/>
      <c r="SWE1" s="87" t="n"/>
      <c r="SWF1" s="87" t="n"/>
      <c r="SWG1" s="87" t="n"/>
      <c r="SWH1" s="87" t="n"/>
      <c r="SWI1" s="87" t="n"/>
      <c r="SWJ1" s="87" t="n"/>
      <c r="SWK1" s="87" t="n"/>
      <c r="SWL1" s="87" t="n"/>
      <c r="SWM1" s="87" t="n"/>
      <c r="SWN1" s="87" t="n"/>
      <c r="SWO1" s="87" t="n"/>
      <c r="SWP1" s="87" t="n"/>
      <c r="SWQ1" s="87" t="n"/>
      <c r="SWR1" s="87" t="n"/>
      <c r="SWS1" s="87" t="n"/>
      <c r="SWT1" s="87" t="n"/>
      <c r="SWU1" s="87" t="n"/>
      <c r="SWV1" s="87" t="n"/>
      <c r="SWW1" s="87" t="n"/>
      <c r="SWX1" s="87" t="n"/>
      <c r="SWY1" s="87" t="n"/>
      <c r="SWZ1" s="87" t="n"/>
      <c r="SXA1" s="87" t="n"/>
      <c r="SXB1" s="87" t="n"/>
      <c r="SXC1" s="87" t="n"/>
      <c r="SXD1" s="87" t="n"/>
      <c r="SXE1" s="87" t="n"/>
      <c r="SXF1" s="87" t="n"/>
      <c r="SXG1" s="87" t="n"/>
      <c r="SXH1" s="87" t="n"/>
      <c r="SXI1" s="87" t="n"/>
      <c r="SXJ1" s="87" t="n"/>
      <c r="SXK1" s="87" t="n"/>
      <c r="SXL1" s="87" t="n"/>
      <c r="SXM1" s="87" t="n"/>
      <c r="SXN1" s="87" t="n"/>
      <c r="SXO1" s="87" t="n"/>
      <c r="SXP1" s="87" t="n"/>
      <c r="SXQ1" s="87" t="n"/>
      <c r="SXR1" s="87" t="n"/>
      <c r="SXS1" s="87" t="n"/>
      <c r="SXT1" s="87" t="n"/>
      <c r="SXU1" s="87" t="n"/>
      <c r="SXV1" s="87" t="n"/>
      <c r="SXW1" s="87" t="n"/>
      <c r="SXX1" s="87" t="n"/>
      <c r="SXY1" s="87" t="n"/>
      <c r="SXZ1" s="87" t="n"/>
      <c r="SYA1" s="87" t="n"/>
      <c r="SYB1" s="87" t="n"/>
      <c r="SYC1" s="87" t="n"/>
      <c r="SYD1" s="87" t="n"/>
      <c r="SYE1" s="87" t="n"/>
      <c r="SYF1" s="87" t="n"/>
      <c r="SYG1" s="87" t="n"/>
      <c r="SYH1" s="87" t="n"/>
      <c r="SYI1" s="87" t="n"/>
      <c r="SYJ1" s="87" t="n"/>
      <c r="SYK1" s="87" t="n"/>
      <c r="SYL1" s="87" t="n"/>
      <c r="SYM1" s="87" t="n"/>
      <c r="SYN1" s="87" t="n"/>
      <c r="SYO1" s="87" t="n"/>
      <c r="SYP1" s="87" t="n"/>
      <c r="SYQ1" s="87" t="n"/>
      <c r="SYR1" s="87" t="n"/>
      <c r="SYS1" s="87" t="n"/>
      <c r="SYT1" s="87" t="n"/>
      <c r="SYU1" s="87" t="n"/>
      <c r="SYV1" s="87" t="n"/>
      <c r="SYW1" s="87" t="n"/>
      <c r="SYX1" s="87" t="n"/>
      <c r="SYY1" s="87" t="n"/>
      <c r="SYZ1" s="87" t="n"/>
      <c r="SZA1" s="87" t="n"/>
      <c r="SZB1" s="87" t="n"/>
      <c r="SZC1" s="87" t="n"/>
      <c r="SZD1" s="87" t="n"/>
      <c r="SZE1" s="87" t="n"/>
      <c r="SZF1" s="87" t="n"/>
      <c r="SZG1" s="87" t="n"/>
      <c r="SZH1" s="87" t="n"/>
      <c r="SZI1" s="87" t="n"/>
      <c r="SZJ1" s="87" t="n"/>
      <c r="SZK1" s="87" t="n"/>
      <c r="SZL1" s="87" t="n"/>
      <c r="SZM1" s="87" t="n"/>
      <c r="SZN1" s="87" t="n"/>
      <c r="SZO1" s="87" t="n"/>
      <c r="SZP1" s="87" t="n"/>
      <c r="SZQ1" s="87" t="n"/>
      <c r="SZR1" s="87" t="n"/>
      <c r="SZS1" s="87" t="n"/>
      <c r="SZT1" s="87" t="n"/>
      <c r="SZU1" s="87" t="n"/>
      <c r="SZV1" s="87" t="n"/>
      <c r="SZW1" s="87" t="n"/>
      <c r="SZX1" s="87" t="n"/>
      <c r="SZY1" s="87" t="n"/>
      <c r="SZZ1" s="87" t="n"/>
      <c r="TAA1" s="87" t="n"/>
      <c r="TAB1" s="87" t="n"/>
      <c r="TAC1" s="87" t="n"/>
      <c r="TAD1" s="87" t="n"/>
      <c r="TAE1" s="87" t="n"/>
      <c r="TAF1" s="87" t="n"/>
      <c r="TAG1" s="87" t="n"/>
      <c r="TAH1" s="87" t="n"/>
      <c r="TAI1" s="87" t="n"/>
      <c r="TAJ1" s="87" t="n"/>
      <c r="TAK1" s="87" t="n"/>
      <c r="TAL1" s="87" t="n"/>
      <c r="TAM1" s="87" t="n"/>
      <c r="TAN1" s="87" t="n"/>
      <c r="TAO1" s="87" t="n"/>
      <c r="TAP1" s="87" t="n"/>
      <c r="TAQ1" s="87" t="n"/>
      <c r="TAR1" s="87" t="n"/>
      <c r="TAS1" s="87" t="n"/>
      <c r="TAT1" s="87" t="n"/>
      <c r="TAU1" s="87" t="n"/>
      <c r="TAV1" s="87" t="n"/>
      <c r="TAW1" s="87" t="n"/>
      <c r="TAX1" s="87" t="n"/>
      <c r="TAY1" s="87" t="n"/>
      <c r="TAZ1" s="87" t="n"/>
      <c r="TBA1" s="87" t="n"/>
      <c r="TBB1" s="87" t="n"/>
      <c r="TBC1" s="87" t="n"/>
      <c r="TBD1" s="87" t="n"/>
      <c r="TBE1" s="87" t="n"/>
      <c r="TBF1" s="87" t="n"/>
      <c r="TBG1" s="87" t="n"/>
      <c r="TBH1" s="87" t="n"/>
      <c r="TBI1" s="87" t="n"/>
      <c r="TBJ1" s="87" t="n"/>
      <c r="TBK1" s="87" t="n"/>
      <c r="TBL1" s="87" t="n"/>
      <c r="TBM1" s="87" t="n"/>
      <c r="TBN1" s="87" t="n"/>
      <c r="TBO1" s="87" t="n"/>
      <c r="TBP1" s="87" t="n"/>
      <c r="TBQ1" s="87" t="n"/>
      <c r="TBR1" s="87" t="n"/>
      <c r="TBS1" s="87" t="n"/>
      <c r="TBT1" s="87" t="n"/>
      <c r="TBU1" s="87" t="n"/>
      <c r="TBV1" s="87" t="n"/>
      <c r="TBW1" s="87" t="n"/>
      <c r="TBX1" s="87" t="n"/>
      <c r="TBY1" s="87" t="n"/>
      <c r="TBZ1" s="87" t="n"/>
      <c r="TCA1" s="87" t="n"/>
      <c r="TCB1" s="87" t="n"/>
      <c r="TCC1" s="87" t="n"/>
      <c r="TCD1" s="87" t="n"/>
      <c r="TCE1" s="87" t="n"/>
      <c r="TCF1" s="87" t="n"/>
      <c r="TCG1" s="87" t="n"/>
      <c r="TCH1" s="87" t="n"/>
      <c r="TCI1" s="87" t="n"/>
      <c r="TCJ1" s="87" t="n"/>
      <c r="TCK1" s="87" t="n"/>
      <c r="TCL1" s="87" t="n"/>
      <c r="TCM1" s="87" t="n"/>
      <c r="TCN1" s="87" t="n"/>
      <c r="TCO1" s="87" t="n"/>
      <c r="TCP1" s="87" t="n"/>
      <c r="TCQ1" s="87" t="n"/>
      <c r="TCR1" s="87" t="n"/>
      <c r="TCS1" s="87" t="n"/>
      <c r="TCT1" s="87" t="n"/>
      <c r="TCU1" s="87" t="n"/>
      <c r="TCV1" s="87" t="n"/>
      <c r="TCW1" s="87" t="n"/>
      <c r="TCX1" s="87" t="n"/>
      <c r="TCY1" s="87" t="n"/>
      <c r="TCZ1" s="87" t="n"/>
      <c r="TDA1" s="87" t="n"/>
      <c r="TDB1" s="87" t="n"/>
      <c r="TDC1" s="87" t="n"/>
      <c r="TDD1" s="87" t="n"/>
      <c r="TDE1" s="87" t="n"/>
      <c r="TDF1" s="87" t="n"/>
      <c r="TDG1" s="87" t="n"/>
      <c r="TDH1" s="87" t="n"/>
      <c r="TDI1" s="87" t="n"/>
      <c r="TDJ1" s="87" t="n"/>
      <c r="TDK1" s="87" t="n"/>
      <c r="TDL1" s="87" t="n"/>
      <c r="TDM1" s="87" t="n"/>
      <c r="TDN1" s="87" t="n"/>
      <c r="TDO1" s="87" t="n"/>
      <c r="TDP1" s="87" t="n"/>
      <c r="TDQ1" s="87" t="n"/>
      <c r="TDR1" s="87" t="n"/>
      <c r="TDS1" s="87" t="n"/>
      <c r="TDT1" s="87" t="n"/>
      <c r="TDU1" s="87" t="n"/>
      <c r="TDV1" s="87" t="n"/>
      <c r="TDW1" s="87" t="n"/>
      <c r="TDX1" s="87" t="n"/>
      <c r="TDY1" s="87" t="n"/>
      <c r="TDZ1" s="87" t="n"/>
      <c r="TEA1" s="87" t="n"/>
      <c r="TEB1" s="87" t="n"/>
      <c r="TEC1" s="87" t="n"/>
      <c r="TED1" s="87" t="n"/>
      <c r="TEE1" s="87" t="n"/>
      <c r="TEF1" s="87" t="n"/>
      <c r="TEG1" s="87" t="n"/>
      <c r="TEH1" s="87" t="n"/>
      <c r="TEI1" s="87" t="n"/>
      <c r="TEJ1" s="87" t="n"/>
      <c r="TEK1" s="87" t="n"/>
      <c r="TEL1" s="87" t="n"/>
      <c r="TEM1" s="87" t="n"/>
      <c r="TEN1" s="87" t="n"/>
      <c r="TEO1" s="87" t="n"/>
      <c r="TEP1" s="87" t="n"/>
      <c r="TEQ1" s="87" t="n"/>
      <c r="TER1" s="87" t="n"/>
      <c r="TES1" s="87" t="n"/>
      <c r="TET1" s="87" t="n"/>
      <c r="TEU1" s="87" t="n"/>
      <c r="TEV1" s="87" t="n"/>
      <c r="TEW1" s="87" t="n"/>
      <c r="TEX1" s="87" t="n"/>
      <c r="TEY1" s="87" t="n"/>
      <c r="TEZ1" s="87" t="n"/>
      <c r="TFA1" s="87" t="n"/>
      <c r="TFB1" s="87" t="n"/>
      <c r="TFC1" s="87" t="n"/>
      <c r="TFD1" s="87" t="n"/>
      <c r="TFE1" s="87" t="n"/>
      <c r="TFF1" s="87" t="n"/>
      <c r="TFG1" s="87" t="n"/>
      <c r="TFH1" s="87" t="n"/>
      <c r="TFI1" s="87" t="n"/>
      <c r="TFJ1" s="87" t="n"/>
      <c r="TFK1" s="87" t="n"/>
      <c r="TFL1" s="87" t="n"/>
      <c r="TFM1" s="87" t="n"/>
      <c r="TFN1" s="87" t="n"/>
      <c r="TFO1" s="87" t="n"/>
      <c r="TFP1" s="87" t="n"/>
      <c r="TFQ1" s="87" t="n"/>
      <c r="TFR1" s="87" t="n"/>
      <c r="TFS1" s="87" t="n"/>
      <c r="TFT1" s="87" t="n"/>
      <c r="TFU1" s="87" t="n"/>
      <c r="TFV1" s="87" t="n"/>
      <c r="TFW1" s="87" t="n"/>
      <c r="TFX1" s="87" t="n"/>
      <c r="TFY1" s="87" t="n"/>
      <c r="TFZ1" s="87" t="n"/>
      <c r="TGA1" s="87" t="n"/>
      <c r="TGB1" s="87" t="n"/>
      <c r="TGC1" s="87" t="n"/>
      <c r="TGD1" s="87" t="n"/>
      <c r="TGE1" s="87" t="n"/>
      <c r="TGF1" s="87" t="n"/>
      <c r="TGG1" s="87" t="n"/>
      <c r="TGH1" s="87" t="n"/>
      <c r="TGI1" s="87" t="n"/>
      <c r="TGJ1" s="87" t="n"/>
      <c r="TGK1" s="87" t="n"/>
      <c r="TGL1" s="87" t="n"/>
      <c r="TGM1" s="87" t="n"/>
      <c r="TGN1" s="87" t="n"/>
      <c r="TGO1" s="87" t="n"/>
      <c r="TGP1" s="87" t="n"/>
      <c r="TGQ1" s="87" t="n"/>
      <c r="TGR1" s="87" t="n"/>
      <c r="TGS1" s="87" t="n"/>
      <c r="TGT1" s="87" t="n"/>
      <c r="TGU1" s="87" t="n"/>
      <c r="TGV1" s="87" t="n"/>
      <c r="TGW1" s="87" t="n"/>
      <c r="TGX1" s="87" t="n"/>
      <c r="TGY1" s="87" t="n"/>
      <c r="TGZ1" s="87" t="n"/>
      <c r="THA1" s="87" t="n"/>
      <c r="THB1" s="87" t="n"/>
      <c r="THC1" s="87" t="n"/>
      <c r="THD1" s="87" t="n"/>
      <c r="THE1" s="87" t="n"/>
      <c r="THF1" s="87" t="n"/>
      <c r="THG1" s="87" t="n"/>
      <c r="THH1" s="87" t="n"/>
      <c r="THI1" s="87" t="n"/>
      <c r="THJ1" s="87" t="n"/>
      <c r="THK1" s="87" t="n"/>
      <c r="THL1" s="87" t="n"/>
      <c r="THM1" s="87" t="n"/>
      <c r="THN1" s="87" t="n"/>
      <c r="THO1" s="87" t="n"/>
      <c r="THP1" s="87" t="n"/>
      <c r="THQ1" s="87" t="n"/>
      <c r="THR1" s="87" t="n"/>
      <c r="THS1" s="87" t="n"/>
      <c r="THT1" s="87" t="n"/>
      <c r="THU1" s="87" t="n"/>
      <c r="THV1" s="87" t="n"/>
      <c r="THW1" s="87" t="n"/>
      <c r="THX1" s="87" t="n"/>
      <c r="THY1" s="87" t="n"/>
      <c r="THZ1" s="87" t="n"/>
      <c r="TIA1" s="87" t="n"/>
      <c r="TIB1" s="87" t="n"/>
      <c r="TIC1" s="87" t="n"/>
      <c r="TID1" s="87" t="n"/>
      <c r="TIE1" s="87" t="n"/>
      <c r="TIF1" s="87" t="n"/>
      <c r="TIG1" s="87" t="n"/>
      <c r="TIH1" s="87" t="n"/>
      <c r="TII1" s="87" t="n"/>
      <c r="TIJ1" s="87" t="n"/>
      <c r="TIK1" s="87" t="n"/>
      <c r="TIL1" s="87" t="n"/>
      <c r="TIM1" s="87" t="n"/>
      <c r="TIN1" s="87" t="n"/>
      <c r="TIO1" s="87" t="n"/>
      <c r="TIP1" s="87" t="n"/>
      <c r="TIQ1" s="87" t="n"/>
      <c r="TIR1" s="87" t="n"/>
      <c r="TIS1" s="87" t="n"/>
      <c r="TIT1" s="87" t="n"/>
      <c r="TIU1" s="87" t="n"/>
      <c r="TIV1" s="87" t="n"/>
      <c r="TIW1" s="87" t="n"/>
      <c r="TIX1" s="87" t="n"/>
      <c r="TIY1" s="87" t="n"/>
      <c r="TIZ1" s="87" t="n"/>
      <c r="TJA1" s="87" t="n"/>
      <c r="TJB1" s="87" t="n"/>
      <c r="TJC1" s="87" t="n"/>
      <c r="TJD1" s="87" t="n"/>
      <c r="TJE1" s="87" t="n"/>
      <c r="TJF1" s="87" t="n"/>
      <c r="TJG1" s="87" t="n"/>
      <c r="TJH1" s="87" t="n"/>
      <c r="TJI1" s="87" t="n"/>
      <c r="TJJ1" s="87" t="n"/>
      <c r="TJK1" s="87" t="n"/>
      <c r="TJL1" s="87" t="n"/>
      <c r="TJM1" s="87" t="n"/>
      <c r="TJN1" s="87" t="n"/>
      <c r="TJO1" s="87" t="n"/>
      <c r="TJP1" s="87" t="n"/>
      <c r="TJQ1" s="87" t="n"/>
      <c r="TJR1" s="87" t="n"/>
      <c r="TJS1" s="87" t="n"/>
      <c r="TJT1" s="87" t="n"/>
      <c r="TJU1" s="87" t="n"/>
      <c r="TJV1" s="87" t="n"/>
      <c r="TJW1" s="87" t="n"/>
      <c r="TJX1" s="87" t="n"/>
      <c r="TJY1" s="87" t="n"/>
      <c r="TJZ1" s="87" t="n"/>
      <c r="TKA1" s="87" t="n"/>
      <c r="TKB1" s="87" t="n"/>
      <c r="TKC1" s="87" t="n"/>
      <c r="TKD1" s="87" t="n"/>
      <c r="TKE1" s="87" t="n"/>
      <c r="TKF1" s="87" t="n"/>
      <c r="TKG1" s="87" t="n"/>
      <c r="TKH1" s="87" t="n"/>
      <c r="TKI1" s="87" t="n"/>
      <c r="TKJ1" s="87" t="n"/>
      <c r="TKK1" s="87" t="n"/>
      <c r="TKL1" s="87" t="n"/>
      <c r="TKM1" s="87" t="n"/>
      <c r="TKN1" s="87" t="n"/>
      <c r="TKO1" s="87" t="n"/>
      <c r="TKP1" s="87" t="n"/>
      <c r="TKQ1" s="87" t="n"/>
      <c r="TKR1" s="87" t="n"/>
      <c r="TKS1" s="87" t="n"/>
      <c r="TKT1" s="87" t="n"/>
      <c r="TKU1" s="87" t="n"/>
      <c r="TKV1" s="87" t="n"/>
      <c r="TKW1" s="87" t="n"/>
      <c r="TKX1" s="87" t="n"/>
      <c r="TKY1" s="87" t="n"/>
      <c r="TKZ1" s="87" t="n"/>
      <c r="TLA1" s="87" t="n"/>
      <c r="TLB1" s="87" t="n"/>
      <c r="TLC1" s="87" t="n"/>
      <c r="TLD1" s="87" t="n"/>
      <c r="TLE1" s="87" t="n"/>
      <c r="TLF1" s="87" t="n"/>
      <c r="TLG1" s="87" t="n"/>
      <c r="TLH1" s="87" t="n"/>
      <c r="TLI1" s="87" t="n"/>
      <c r="TLJ1" s="87" t="n"/>
      <c r="TLK1" s="87" t="n"/>
      <c r="TLL1" s="87" t="n"/>
      <c r="TLM1" s="87" t="n"/>
      <c r="TLN1" s="87" t="n"/>
      <c r="TLO1" s="87" t="n"/>
      <c r="TLP1" s="87" t="n"/>
      <c r="TLQ1" s="87" t="n"/>
      <c r="TLR1" s="87" t="n"/>
      <c r="TLS1" s="87" t="n"/>
      <c r="TLT1" s="87" t="n"/>
      <c r="TLU1" s="87" t="n"/>
      <c r="TLV1" s="87" t="n"/>
      <c r="TLW1" s="87" t="n"/>
      <c r="TLX1" s="87" t="n"/>
      <c r="TLY1" s="87" t="n"/>
      <c r="TLZ1" s="87" t="n"/>
      <c r="TMA1" s="87" t="n"/>
      <c r="TMB1" s="87" t="n"/>
      <c r="TMC1" s="87" t="n"/>
      <c r="TMD1" s="87" t="n"/>
      <c r="TME1" s="87" t="n"/>
      <c r="TMF1" s="87" t="n"/>
      <c r="TMG1" s="87" t="n"/>
      <c r="TMH1" s="87" t="n"/>
      <c r="TMI1" s="87" t="n"/>
      <c r="TMJ1" s="87" t="n"/>
      <c r="TMK1" s="87" t="n"/>
      <c r="TML1" s="87" t="n"/>
      <c r="TMM1" s="87" t="n"/>
      <c r="TMN1" s="87" t="n"/>
      <c r="TMO1" s="87" t="n"/>
      <c r="TMP1" s="87" t="n"/>
      <c r="TMQ1" s="87" t="n"/>
      <c r="TMR1" s="87" t="n"/>
      <c r="TMS1" s="87" t="n"/>
      <c r="TMT1" s="87" t="n"/>
      <c r="TMU1" s="87" t="n"/>
      <c r="TMV1" s="87" t="n"/>
      <c r="TMW1" s="87" t="n"/>
      <c r="TMX1" s="87" t="n"/>
      <c r="TMY1" s="87" t="n"/>
      <c r="TMZ1" s="87" t="n"/>
      <c r="TNA1" s="87" t="n"/>
      <c r="TNB1" s="87" t="n"/>
      <c r="TNC1" s="87" t="n"/>
      <c r="TND1" s="87" t="n"/>
      <c r="TNE1" s="87" t="n"/>
      <c r="TNF1" s="87" t="n"/>
      <c r="TNG1" s="87" t="n"/>
      <c r="TNH1" s="87" t="n"/>
      <c r="TNI1" s="87" t="n"/>
      <c r="TNJ1" s="87" t="n"/>
      <c r="TNK1" s="87" t="n"/>
      <c r="TNL1" s="87" t="n"/>
      <c r="TNM1" s="87" t="n"/>
      <c r="TNN1" s="87" t="n"/>
      <c r="TNO1" s="87" t="n"/>
      <c r="TNP1" s="87" t="n"/>
      <c r="TNQ1" s="87" t="n"/>
      <c r="TNR1" s="87" t="n"/>
      <c r="TNS1" s="87" t="n"/>
      <c r="TNT1" s="87" t="n"/>
      <c r="TNU1" s="87" t="n"/>
      <c r="TNV1" s="87" t="n"/>
      <c r="TNW1" s="87" t="n"/>
      <c r="TNX1" s="87" t="n"/>
      <c r="TNY1" s="87" t="n"/>
      <c r="TNZ1" s="87" t="n"/>
      <c r="TOA1" s="87" t="n"/>
      <c r="TOB1" s="87" t="n"/>
      <c r="TOC1" s="87" t="n"/>
      <c r="TOD1" s="87" t="n"/>
      <c r="TOE1" s="87" t="n"/>
      <c r="TOF1" s="87" t="n"/>
      <c r="TOG1" s="87" t="n"/>
      <c r="TOH1" s="87" t="n"/>
      <c r="TOI1" s="87" t="n"/>
      <c r="TOJ1" s="87" t="n"/>
      <c r="TOK1" s="87" t="n"/>
      <c r="TOL1" s="87" t="n"/>
      <c r="TOM1" s="87" t="n"/>
      <c r="TON1" s="87" t="n"/>
      <c r="TOO1" s="87" t="n"/>
      <c r="TOP1" s="87" t="n"/>
      <c r="TOQ1" s="87" t="n"/>
      <c r="TOR1" s="87" t="n"/>
      <c r="TOS1" s="87" t="n"/>
      <c r="TOT1" s="87" t="n"/>
      <c r="TOU1" s="87" t="n"/>
      <c r="TOV1" s="87" t="n"/>
      <c r="TOW1" s="87" t="n"/>
      <c r="TOX1" s="87" t="n"/>
      <c r="TOY1" s="87" t="n"/>
      <c r="TOZ1" s="87" t="n"/>
      <c r="TPA1" s="87" t="n"/>
      <c r="TPB1" s="87" t="n"/>
      <c r="TPC1" s="87" t="n"/>
      <c r="TPD1" s="87" t="n"/>
      <c r="TPE1" s="87" t="n"/>
      <c r="TPF1" s="87" t="n"/>
      <c r="TPG1" s="87" t="n"/>
      <c r="TPH1" s="87" t="n"/>
      <c r="TPI1" s="87" t="n"/>
      <c r="TPJ1" s="87" t="n"/>
      <c r="TPK1" s="87" t="n"/>
      <c r="TPL1" s="87" t="n"/>
      <c r="TPM1" s="87" t="n"/>
      <c r="TPN1" s="87" t="n"/>
      <c r="TPO1" s="87" t="n"/>
      <c r="TPP1" s="87" t="n"/>
      <c r="TPQ1" s="87" t="n"/>
      <c r="TPR1" s="87" t="n"/>
      <c r="TPS1" s="87" t="n"/>
      <c r="TPT1" s="87" t="n"/>
      <c r="TPU1" s="87" t="n"/>
      <c r="TPV1" s="87" t="n"/>
      <c r="TPW1" s="87" t="n"/>
      <c r="TPX1" s="87" t="n"/>
      <c r="TPY1" s="87" t="n"/>
      <c r="TPZ1" s="87" t="n"/>
      <c r="TQA1" s="87" t="n"/>
      <c r="TQB1" s="87" t="n"/>
      <c r="TQC1" s="87" t="n"/>
      <c r="TQD1" s="87" t="n"/>
      <c r="TQE1" s="87" t="n"/>
      <c r="TQF1" s="87" t="n"/>
      <c r="TQG1" s="87" t="n"/>
      <c r="TQH1" s="87" t="n"/>
      <c r="TQI1" s="87" t="n"/>
      <c r="TQJ1" s="87" t="n"/>
      <c r="TQK1" s="87" t="n"/>
      <c r="TQL1" s="87" t="n"/>
      <c r="TQM1" s="87" t="n"/>
      <c r="TQN1" s="87" t="n"/>
      <c r="TQO1" s="87" t="n"/>
      <c r="TQP1" s="87" t="n"/>
      <c r="TQQ1" s="87" t="n"/>
      <c r="TQR1" s="87" t="n"/>
      <c r="TQS1" s="87" t="n"/>
      <c r="TQT1" s="87" t="n"/>
      <c r="TQU1" s="87" t="n"/>
      <c r="TQV1" s="87" t="n"/>
      <c r="TQW1" s="87" t="n"/>
      <c r="TQX1" s="87" t="n"/>
      <c r="TQY1" s="87" t="n"/>
      <c r="TQZ1" s="87" t="n"/>
      <c r="TRA1" s="87" t="n"/>
      <c r="TRB1" s="87" t="n"/>
      <c r="TRC1" s="87" t="n"/>
      <c r="TRD1" s="87" t="n"/>
      <c r="TRE1" s="87" t="n"/>
      <c r="TRF1" s="87" t="n"/>
      <c r="TRG1" s="87" t="n"/>
      <c r="TRH1" s="87" t="n"/>
      <c r="TRI1" s="87" t="n"/>
      <c r="TRJ1" s="87" t="n"/>
      <c r="TRK1" s="87" t="n"/>
      <c r="TRL1" s="87" t="n"/>
      <c r="TRM1" s="87" t="n"/>
      <c r="TRN1" s="87" t="n"/>
      <c r="TRO1" s="87" t="n"/>
      <c r="TRP1" s="87" t="n"/>
      <c r="TRQ1" s="87" t="n"/>
      <c r="TRR1" s="87" t="n"/>
      <c r="TRS1" s="87" t="n"/>
      <c r="TRT1" s="87" t="n"/>
      <c r="TRU1" s="87" t="n"/>
      <c r="TRV1" s="87" t="n"/>
      <c r="TRW1" s="87" t="n"/>
      <c r="TRX1" s="87" t="n"/>
      <c r="TRY1" s="87" t="n"/>
      <c r="TRZ1" s="87" t="n"/>
      <c r="TSA1" s="87" t="n"/>
      <c r="TSB1" s="87" t="n"/>
      <c r="TSC1" s="87" t="n"/>
      <c r="TSD1" s="87" t="n"/>
      <c r="TSE1" s="87" t="n"/>
      <c r="TSF1" s="87" t="n"/>
      <c r="TSG1" s="87" t="n"/>
      <c r="TSH1" s="87" t="n"/>
      <c r="TSI1" s="87" t="n"/>
      <c r="TSJ1" s="87" t="n"/>
      <c r="TSK1" s="87" t="n"/>
      <c r="TSL1" s="87" t="n"/>
      <c r="TSM1" s="87" t="n"/>
      <c r="TSN1" s="87" t="n"/>
      <c r="TSO1" s="87" t="n"/>
      <c r="TSP1" s="87" t="n"/>
      <c r="TSQ1" s="87" t="n"/>
      <c r="TSR1" s="87" t="n"/>
      <c r="TSS1" s="87" t="n"/>
      <c r="TST1" s="87" t="n"/>
      <c r="TSU1" s="87" t="n"/>
      <c r="TSV1" s="87" t="n"/>
      <c r="TSW1" s="87" t="n"/>
      <c r="TSX1" s="87" t="n"/>
      <c r="TSY1" s="87" t="n"/>
      <c r="TSZ1" s="87" t="n"/>
      <c r="TTA1" s="87" t="n"/>
      <c r="TTB1" s="87" t="n"/>
      <c r="TTC1" s="87" t="n"/>
      <c r="TTD1" s="87" t="n"/>
      <c r="TTE1" s="87" t="n"/>
      <c r="TTF1" s="87" t="n"/>
      <c r="TTG1" s="87" t="n"/>
      <c r="TTH1" s="87" t="n"/>
      <c r="TTI1" s="87" t="n"/>
      <c r="TTJ1" s="87" t="n"/>
      <c r="TTK1" s="87" t="n"/>
      <c r="TTL1" s="87" t="n"/>
      <c r="TTM1" s="87" t="n"/>
      <c r="TTN1" s="87" t="n"/>
      <c r="TTO1" s="87" t="n"/>
      <c r="TTP1" s="87" t="n"/>
      <c r="TTQ1" s="87" t="n"/>
      <c r="TTR1" s="87" t="n"/>
      <c r="TTS1" s="87" t="n"/>
      <c r="TTT1" s="87" t="n"/>
      <c r="TTU1" s="87" t="n"/>
      <c r="TTV1" s="87" t="n"/>
      <c r="TTW1" s="87" t="n"/>
      <c r="TTX1" s="87" t="n"/>
      <c r="TTY1" s="87" t="n"/>
      <c r="TTZ1" s="87" t="n"/>
      <c r="TUA1" s="87" t="n"/>
      <c r="TUB1" s="87" t="n"/>
      <c r="TUC1" s="87" t="n"/>
      <c r="TUD1" s="87" t="n"/>
      <c r="TUE1" s="87" t="n"/>
      <c r="TUF1" s="87" t="n"/>
      <c r="TUG1" s="87" t="n"/>
      <c r="TUH1" s="87" t="n"/>
      <c r="TUI1" s="87" t="n"/>
      <c r="TUJ1" s="87" t="n"/>
      <c r="TUK1" s="87" t="n"/>
      <c r="TUL1" s="87" t="n"/>
      <c r="TUM1" s="87" t="n"/>
      <c r="TUN1" s="87" t="n"/>
      <c r="TUO1" s="87" t="n"/>
      <c r="TUP1" s="87" t="n"/>
      <c r="TUQ1" s="87" t="n"/>
      <c r="TUR1" s="87" t="n"/>
      <c r="TUS1" s="87" t="n"/>
      <c r="TUT1" s="87" t="n"/>
      <c r="TUU1" s="87" t="n"/>
      <c r="TUV1" s="87" t="n"/>
      <c r="TUW1" s="87" t="n"/>
      <c r="TUX1" s="87" t="n"/>
      <c r="TUY1" s="87" t="n"/>
      <c r="TUZ1" s="87" t="n"/>
      <c r="TVA1" s="87" t="n"/>
      <c r="TVB1" s="87" t="n"/>
      <c r="TVC1" s="87" t="n"/>
      <c r="TVD1" s="87" t="n"/>
      <c r="TVE1" s="87" t="n"/>
      <c r="TVF1" s="87" t="n"/>
      <c r="TVG1" s="87" t="n"/>
      <c r="TVH1" s="87" t="n"/>
      <c r="TVI1" s="87" t="n"/>
      <c r="TVJ1" s="87" t="n"/>
      <c r="TVK1" s="87" t="n"/>
      <c r="TVL1" s="87" t="n"/>
      <c r="TVM1" s="87" t="n"/>
      <c r="TVN1" s="87" t="n"/>
      <c r="TVO1" s="87" t="n"/>
      <c r="TVP1" s="87" t="n"/>
      <c r="TVQ1" s="87" t="n"/>
      <c r="TVR1" s="87" t="n"/>
      <c r="TVS1" s="87" t="n"/>
      <c r="TVT1" s="87" t="n"/>
      <c r="TVU1" s="87" t="n"/>
      <c r="TVV1" s="87" t="n"/>
      <c r="TVW1" s="87" t="n"/>
      <c r="TVX1" s="87" t="n"/>
      <c r="TVY1" s="87" t="n"/>
      <c r="TVZ1" s="87" t="n"/>
      <c r="TWA1" s="87" t="n"/>
      <c r="TWB1" s="87" t="n"/>
      <c r="TWC1" s="87" t="n"/>
      <c r="TWD1" s="87" t="n"/>
      <c r="TWE1" s="87" t="n"/>
      <c r="TWF1" s="87" t="n"/>
      <c r="TWG1" s="87" t="n"/>
      <c r="TWH1" s="87" t="n"/>
      <c r="TWI1" s="87" t="n"/>
      <c r="TWJ1" s="87" t="n"/>
      <c r="TWK1" s="87" t="n"/>
      <c r="TWL1" s="87" t="n"/>
      <c r="TWM1" s="87" t="n"/>
      <c r="TWN1" s="87" t="n"/>
      <c r="TWO1" s="87" t="n"/>
      <c r="TWP1" s="87" t="n"/>
      <c r="TWQ1" s="87" t="n"/>
      <c r="TWR1" s="87" t="n"/>
      <c r="TWS1" s="87" t="n"/>
      <c r="TWT1" s="87" t="n"/>
      <c r="TWU1" s="87" t="n"/>
      <c r="TWV1" s="87" t="n"/>
      <c r="TWW1" s="87" t="n"/>
      <c r="TWX1" s="87" t="n"/>
      <c r="TWY1" s="87" t="n"/>
      <c r="TWZ1" s="87" t="n"/>
      <c r="TXA1" s="87" t="n"/>
      <c r="TXB1" s="87" t="n"/>
      <c r="TXC1" s="87" t="n"/>
      <c r="TXD1" s="87" t="n"/>
      <c r="TXE1" s="87" t="n"/>
      <c r="TXF1" s="87" t="n"/>
      <c r="TXG1" s="87" t="n"/>
      <c r="TXH1" s="87" t="n"/>
      <c r="TXI1" s="87" t="n"/>
      <c r="TXJ1" s="87" t="n"/>
      <c r="TXK1" s="87" t="n"/>
      <c r="TXL1" s="87" t="n"/>
      <c r="TXM1" s="87" t="n"/>
      <c r="TXN1" s="87" t="n"/>
      <c r="TXO1" s="87" t="n"/>
      <c r="TXP1" s="87" t="n"/>
      <c r="TXQ1" s="87" t="n"/>
      <c r="TXR1" s="87" t="n"/>
      <c r="TXS1" s="87" t="n"/>
      <c r="TXT1" s="87" t="n"/>
      <c r="TXU1" s="87" t="n"/>
      <c r="TXV1" s="87" t="n"/>
      <c r="TXW1" s="87" t="n"/>
      <c r="TXX1" s="87" t="n"/>
      <c r="TXY1" s="87" t="n"/>
      <c r="TXZ1" s="87" t="n"/>
      <c r="TYA1" s="87" t="n"/>
      <c r="TYB1" s="87" t="n"/>
      <c r="TYC1" s="87" t="n"/>
      <c r="TYD1" s="87" t="n"/>
      <c r="TYE1" s="87" t="n"/>
      <c r="TYF1" s="87" t="n"/>
      <c r="TYG1" s="87" t="n"/>
      <c r="TYH1" s="87" t="n"/>
      <c r="TYI1" s="87" t="n"/>
      <c r="TYJ1" s="87" t="n"/>
      <c r="TYK1" s="87" t="n"/>
      <c r="TYL1" s="87" t="n"/>
      <c r="TYM1" s="87" t="n"/>
      <c r="TYN1" s="87" t="n"/>
      <c r="TYO1" s="87" t="n"/>
      <c r="TYP1" s="87" t="n"/>
      <c r="TYQ1" s="87" t="n"/>
      <c r="TYR1" s="87" t="n"/>
      <c r="TYS1" s="87" t="n"/>
      <c r="TYT1" s="87" t="n"/>
      <c r="TYU1" s="87" t="n"/>
      <c r="TYV1" s="87" t="n"/>
      <c r="TYW1" s="87" t="n"/>
      <c r="TYX1" s="87" t="n"/>
      <c r="TYY1" s="87" t="n"/>
      <c r="TYZ1" s="87" t="n"/>
      <c r="TZA1" s="87" t="n"/>
      <c r="TZB1" s="87" t="n"/>
      <c r="TZC1" s="87" t="n"/>
      <c r="TZD1" s="87" t="n"/>
      <c r="TZE1" s="87" t="n"/>
      <c r="TZF1" s="87" t="n"/>
      <c r="TZG1" s="87" t="n"/>
      <c r="TZH1" s="87" t="n"/>
      <c r="TZI1" s="87" t="n"/>
      <c r="TZJ1" s="87" t="n"/>
      <c r="TZK1" s="87" t="n"/>
      <c r="TZL1" s="87" t="n"/>
      <c r="TZM1" s="87" t="n"/>
      <c r="TZN1" s="87" t="n"/>
      <c r="TZO1" s="87" t="n"/>
      <c r="TZP1" s="87" t="n"/>
      <c r="TZQ1" s="87" t="n"/>
      <c r="TZR1" s="87" t="n"/>
      <c r="TZS1" s="87" t="n"/>
      <c r="TZT1" s="87" t="n"/>
      <c r="TZU1" s="87" t="n"/>
      <c r="TZV1" s="87" t="n"/>
      <c r="TZW1" s="87" t="n"/>
      <c r="TZX1" s="87" t="n"/>
      <c r="TZY1" s="87" t="n"/>
      <c r="TZZ1" s="87" t="n"/>
      <c r="UAA1" s="87" t="n"/>
      <c r="UAB1" s="87" t="n"/>
      <c r="UAC1" s="87" t="n"/>
      <c r="UAD1" s="87" t="n"/>
      <c r="UAE1" s="87" t="n"/>
      <c r="UAF1" s="87" t="n"/>
      <c r="UAG1" s="87" t="n"/>
      <c r="UAH1" s="87" t="n"/>
      <c r="UAI1" s="87" t="n"/>
      <c r="UAJ1" s="87" t="n"/>
      <c r="UAK1" s="87" t="n"/>
      <c r="UAL1" s="87" t="n"/>
      <c r="UAM1" s="87" t="n"/>
      <c r="UAN1" s="87" t="n"/>
      <c r="UAO1" s="87" t="n"/>
      <c r="UAP1" s="87" t="n"/>
      <c r="UAQ1" s="87" t="n"/>
      <c r="UAR1" s="87" t="n"/>
      <c r="UAS1" s="87" t="n"/>
      <c r="UAT1" s="87" t="n"/>
      <c r="UAU1" s="87" t="n"/>
      <c r="UAV1" s="87" t="n"/>
      <c r="UAW1" s="87" t="n"/>
      <c r="UAX1" s="87" t="n"/>
      <c r="UAY1" s="87" t="n"/>
      <c r="UAZ1" s="87" t="n"/>
      <c r="UBA1" s="87" t="n"/>
      <c r="UBB1" s="87" t="n"/>
      <c r="UBC1" s="87" t="n"/>
      <c r="UBD1" s="87" t="n"/>
      <c r="UBE1" s="87" t="n"/>
      <c r="UBF1" s="87" t="n"/>
      <c r="UBG1" s="87" t="n"/>
      <c r="UBH1" s="87" t="n"/>
      <c r="UBI1" s="87" t="n"/>
      <c r="UBJ1" s="87" t="n"/>
      <c r="UBK1" s="87" t="n"/>
      <c r="UBL1" s="87" t="n"/>
      <c r="UBM1" s="87" t="n"/>
      <c r="UBN1" s="87" t="n"/>
      <c r="UBO1" s="87" t="n"/>
      <c r="UBP1" s="87" t="n"/>
      <c r="UBQ1" s="87" t="n"/>
      <c r="UBR1" s="87" t="n"/>
      <c r="UBS1" s="87" t="n"/>
      <c r="UBT1" s="87" t="n"/>
      <c r="UBU1" s="87" t="n"/>
      <c r="UBV1" s="87" t="n"/>
      <c r="UBW1" s="87" t="n"/>
      <c r="UBX1" s="87" t="n"/>
      <c r="UBY1" s="87" t="n"/>
      <c r="UBZ1" s="87" t="n"/>
      <c r="UCA1" s="87" t="n"/>
      <c r="UCB1" s="87" t="n"/>
      <c r="UCC1" s="87" t="n"/>
      <c r="UCD1" s="87" t="n"/>
      <c r="UCE1" s="87" t="n"/>
      <c r="UCF1" s="87" t="n"/>
      <c r="UCG1" s="87" t="n"/>
      <c r="UCH1" s="87" t="n"/>
      <c r="UCI1" s="87" t="n"/>
      <c r="UCJ1" s="87" t="n"/>
      <c r="UCK1" s="87" t="n"/>
      <c r="UCL1" s="87" t="n"/>
      <c r="UCM1" s="87" t="n"/>
      <c r="UCN1" s="87" t="n"/>
      <c r="UCO1" s="87" t="n"/>
      <c r="UCP1" s="87" t="n"/>
      <c r="UCQ1" s="87" t="n"/>
      <c r="UCR1" s="87" t="n"/>
      <c r="UCS1" s="87" t="n"/>
      <c r="UCT1" s="87" t="n"/>
      <c r="UCU1" s="87" t="n"/>
      <c r="UCV1" s="87" t="n"/>
      <c r="UCW1" s="87" t="n"/>
      <c r="UCX1" s="87" t="n"/>
      <c r="UCY1" s="87" t="n"/>
      <c r="UCZ1" s="87" t="n"/>
      <c r="UDA1" s="87" t="n"/>
      <c r="UDB1" s="87" t="n"/>
      <c r="UDC1" s="87" t="n"/>
      <c r="UDD1" s="87" t="n"/>
      <c r="UDE1" s="87" t="n"/>
      <c r="UDF1" s="87" t="n"/>
      <c r="UDG1" s="87" t="n"/>
      <c r="UDH1" s="87" t="n"/>
      <c r="UDI1" s="87" t="n"/>
      <c r="UDJ1" s="87" t="n"/>
      <c r="UDK1" s="87" t="n"/>
      <c r="UDL1" s="87" t="n"/>
      <c r="UDM1" s="87" t="n"/>
      <c r="UDN1" s="87" t="n"/>
      <c r="UDO1" s="87" t="n"/>
      <c r="UDP1" s="87" t="n"/>
      <c r="UDQ1" s="87" t="n"/>
      <c r="UDR1" s="87" t="n"/>
      <c r="UDS1" s="87" t="n"/>
      <c r="UDT1" s="87" t="n"/>
      <c r="UDU1" s="87" t="n"/>
      <c r="UDV1" s="87" t="n"/>
      <c r="UDW1" s="87" t="n"/>
      <c r="UDX1" s="87" t="n"/>
      <c r="UDY1" s="87" t="n"/>
      <c r="UDZ1" s="87" t="n"/>
      <c r="UEA1" s="87" t="n"/>
      <c r="UEB1" s="87" t="n"/>
      <c r="UEC1" s="87" t="n"/>
      <c r="UED1" s="87" t="n"/>
      <c r="UEE1" s="87" t="n"/>
      <c r="UEF1" s="87" t="n"/>
      <c r="UEG1" s="87" t="n"/>
      <c r="UEH1" s="87" t="n"/>
      <c r="UEI1" s="87" t="n"/>
      <c r="UEJ1" s="87" t="n"/>
      <c r="UEK1" s="87" t="n"/>
      <c r="UEL1" s="87" t="n"/>
      <c r="UEM1" s="87" t="n"/>
      <c r="UEN1" s="87" t="n"/>
      <c r="UEO1" s="87" t="n"/>
      <c r="UEP1" s="87" t="n"/>
      <c r="UEQ1" s="87" t="n"/>
      <c r="UER1" s="87" t="n"/>
      <c r="UES1" s="87" t="n"/>
      <c r="UET1" s="87" t="n"/>
      <c r="UEU1" s="87" t="n"/>
      <c r="UEV1" s="87" t="n"/>
      <c r="UEW1" s="87" t="n"/>
      <c r="UEX1" s="87" t="n"/>
      <c r="UEY1" s="87" t="n"/>
      <c r="UEZ1" s="87" t="n"/>
      <c r="UFA1" s="87" t="n"/>
      <c r="UFB1" s="87" t="n"/>
      <c r="UFC1" s="87" t="n"/>
      <c r="UFD1" s="87" t="n"/>
      <c r="UFE1" s="87" t="n"/>
      <c r="UFF1" s="87" t="n"/>
      <c r="UFG1" s="87" t="n"/>
      <c r="UFH1" s="87" t="n"/>
      <c r="UFI1" s="87" t="n"/>
      <c r="UFJ1" s="87" t="n"/>
      <c r="UFK1" s="87" t="n"/>
      <c r="UFL1" s="87" t="n"/>
      <c r="UFM1" s="87" t="n"/>
      <c r="UFN1" s="87" t="n"/>
      <c r="UFO1" s="87" t="n"/>
      <c r="UFP1" s="87" t="n"/>
      <c r="UFQ1" s="87" t="n"/>
      <c r="UFR1" s="87" t="n"/>
      <c r="UFS1" s="87" t="n"/>
      <c r="UFT1" s="87" t="n"/>
      <c r="UFU1" s="87" t="n"/>
      <c r="UFV1" s="87" t="n"/>
      <c r="UFW1" s="87" t="n"/>
      <c r="UFX1" s="87" t="n"/>
      <c r="UFY1" s="87" t="n"/>
      <c r="UFZ1" s="87" t="n"/>
      <c r="UGA1" s="87" t="n"/>
      <c r="UGB1" s="87" t="n"/>
      <c r="UGC1" s="87" t="n"/>
      <c r="UGD1" s="87" t="n"/>
      <c r="UGE1" s="87" t="n"/>
      <c r="UGF1" s="87" t="n"/>
      <c r="UGG1" s="87" t="n"/>
      <c r="UGH1" s="87" t="n"/>
      <c r="UGI1" s="87" t="n"/>
      <c r="UGJ1" s="87" t="n"/>
      <c r="UGK1" s="87" t="n"/>
      <c r="UGL1" s="87" t="n"/>
      <c r="UGM1" s="87" t="n"/>
      <c r="UGN1" s="87" t="n"/>
      <c r="UGO1" s="87" t="n"/>
      <c r="UGP1" s="87" t="n"/>
      <c r="UGQ1" s="87" t="n"/>
      <c r="UGR1" s="87" t="n"/>
      <c r="UGS1" s="87" t="n"/>
      <c r="UGT1" s="87" t="n"/>
      <c r="UGU1" s="87" t="n"/>
      <c r="UGV1" s="87" t="n"/>
      <c r="UGW1" s="87" t="n"/>
      <c r="UGX1" s="87" t="n"/>
      <c r="UGY1" s="87" t="n"/>
      <c r="UGZ1" s="87" t="n"/>
      <c r="UHA1" s="87" t="n"/>
      <c r="UHB1" s="87" t="n"/>
      <c r="UHC1" s="87" t="n"/>
      <c r="UHD1" s="87" t="n"/>
      <c r="UHE1" s="87" t="n"/>
      <c r="UHF1" s="87" t="n"/>
      <c r="UHG1" s="87" t="n"/>
      <c r="UHH1" s="87" t="n"/>
      <c r="UHI1" s="87" t="n"/>
      <c r="UHJ1" s="87" t="n"/>
      <c r="UHK1" s="87" t="n"/>
      <c r="UHL1" s="87" t="n"/>
      <c r="UHM1" s="87" t="n"/>
      <c r="UHN1" s="87" t="n"/>
      <c r="UHO1" s="87" t="n"/>
      <c r="UHP1" s="87" t="n"/>
      <c r="UHQ1" s="87" t="n"/>
      <c r="UHR1" s="87" t="n"/>
      <c r="UHS1" s="87" t="n"/>
      <c r="UHT1" s="87" t="n"/>
      <c r="UHU1" s="87" t="n"/>
      <c r="UHV1" s="87" t="n"/>
      <c r="UHW1" s="87" t="n"/>
      <c r="UHX1" s="87" t="n"/>
      <c r="UHY1" s="87" t="n"/>
      <c r="UHZ1" s="87" t="n"/>
      <c r="UIA1" s="87" t="n"/>
      <c r="UIB1" s="87" t="n"/>
      <c r="UIC1" s="87" t="n"/>
      <c r="UID1" s="87" t="n"/>
      <c r="UIE1" s="87" t="n"/>
      <c r="UIF1" s="87" t="n"/>
      <c r="UIG1" s="87" t="n"/>
      <c r="UIH1" s="87" t="n"/>
      <c r="UII1" s="87" t="n"/>
      <c r="UIJ1" s="87" t="n"/>
      <c r="UIK1" s="87" t="n"/>
      <c r="UIL1" s="87" t="n"/>
      <c r="UIM1" s="87" t="n"/>
      <c r="UIN1" s="87" t="n"/>
      <c r="UIO1" s="87" t="n"/>
      <c r="UIP1" s="87" t="n"/>
      <c r="UIQ1" s="87" t="n"/>
      <c r="UIR1" s="87" t="n"/>
      <c r="UIS1" s="87" t="n"/>
      <c r="UIT1" s="87" t="n"/>
      <c r="UIU1" s="87" t="n"/>
      <c r="UIV1" s="87" t="n"/>
      <c r="UIW1" s="87" t="n"/>
      <c r="UIX1" s="87" t="n"/>
      <c r="UIY1" s="87" t="n"/>
      <c r="UIZ1" s="87" t="n"/>
      <c r="UJA1" s="87" t="n"/>
      <c r="UJB1" s="87" t="n"/>
      <c r="UJC1" s="87" t="n"/>
      <c r="UJD1" s="87" t="n"/>
      <c r="UJE1" s="87" t="n"/>
      <c r="UJF1" s="87" t="n"/>
      <c r="UJG1" s="87" t="n"/>
      <c r="UJH1" s="87" t="n"/>
      <c r="UJI1" s="87" t="n"/>
      <c r="UJJ1" s="87" t="n"/>
      <c r="UJK1" s="87" t="n"/>
      <c r="UJL1" s="87" t="n"/>
      <c r="UJM1" s="87" t="n"/>
      <c r="UJN1" s="87" t="n"/>
      <c r="UJO1" s="87" t="n"/>
      <c r="UJP1" s="87" t="n"/>
      <c r="UJQ1" s="87" t="n"/>
      <c r="UJR1" s="87" t="n"/>
      <c r="UJS1" s="87" t="n"/>
      <c r="UJT1" s="87" t="n"/>
      <c r="UJU1" s="87" t="n"/>
      <c r="UJV1" s="87" t="n"/>
      <c r="UJW1" s="87" t="n"/>
      <c r="UJX1" s="87" t="n"/>
      <c r="UJY1" s="87" t="n"/>
      <c r="UJZ1" s="87" t="n"/>
      <c r="UKA1" s="87" t="n"/>
      <c r="UKB1" s="87" t="n"/>
      <c r="UKC1" s="87" t="n"/>
      <c r="UKD1" s="87" t="n"/>
      <c r="UKE1" s="87" t="n"/>
      <c r="UKF1" s="87" t="n"/>
      <c r="UKG1" s="87" t="n"/>
      <c r="UKH1" s="87" t="n"/>
      <c r="UKI1" s="87" t="n"/>
      <c r="UKJ1" s="87" t="n"/>
      <c r="UKK1" s="87" t="n"/>
      <c r="UKL1" s="87" t="n"/>
      <c r="UKM1" s="87" t="n"/>
      <c r="UKN1" s="87" t="n"/>
      <c r="UKO1" s="87" t="n"/>
      <c r="UKP1" s="87" t="n"/>
      <c r="UKQ1" s="87" t="n"/>
      <c r="UKR1" s="87" t="n"/>
      <c r="UKS1" s="87" t="n"/>
      <c r="UKT1" s="87" t="n"/>
      <c r="UKU1" s="87" t="n"/>
      <c r="UKV1" s="87" t="n"/>
      <c r="UKW1" s="87" t="n"/>
      <c r="UKX1" s="87" t="n"/>
      <c r="UKY1" s="87" t="n"/>
      <c r="UKZ1" s="87" t="n"/>
      <c r="ULA1" s="87" t="n"/>
      <c r="ULB1" s="87" t="n"/>
      <c r="ULC1" s="87" t="n"/>
      <c r="ULD1" s="87" t="n"/>
      <c r="ULE1" s="87" t="n"/>
      <c r="ULF1" s="87" t="n"/>
      <c r="ULG1" s="87" t="n"/>
      <c r="ULH1" s="87" t="n"/>
      <c r="ULI1" s="87" t="n"/>
      <c r="ULJ1" s="87" t="n"/>
      <c r="ULK1" s="87" t="n"/>
      <c r="ULL1" s="87" t="n"/>
      <c r="ULM1" s="87" t="n"/>
      <c r="ULN1" s="87" t="n"/>
      <c r="ULO1" s="87" t="n"/>
      <c r="ULP1" s="87" t="n"/>
      <c r="ULQ1" s="87" t="n"/>
      <c r="ULR1" s="87" t="n"/>
      <c r="ULS1" s="87" t="n"/>
      <c r="ULT1" s="87" t="n"/>
      <c r="ULU1" s="87" t="n"/>
      <c r="ULV1" s="87" t="n"/>
      <c r="ULW1" s="87" t="n"/>
      <c r="ULX1" s="87" t="n"/>
      <c r="ULY1" s="87" t="n"/>
      <c r="ULZ1" s="87" t="n"/>
      <c r="UMA1" s="87" t="n"/>
      <c r="UMB1" s="87" t="n"/>
      <c r="UMC1" s="87" t="n"/>
      <c r="UMD1" s="87" t="n"/>
      <c r="UME1" s="87" t="n"/>
      <c r="UMF1" s="87" t="n"/>
      <c r="UMG1" s="87" t="n"/>
      <c r="UMH1" s="87" t="n"/>
      <c r="UMI1" s="87" t="n"/>
      <c r="UMJ1" s="87" t="n"/>
      <c r="UMK1" s="87" t="n"/>
      <c r="UML1" s="87" t="n"/>
      <c r="UMM1" s="87" t="n"/>
      <c r="UMN1" s="87" t="n"/>
      <c r="UMO1" s="87" t="n"/>
      <c r="UMP1" s="87" t="n"/>
      <c r="UMQ1" s="87" t="n"/>
      <c r="UMR1" s="87" t="n"/>
      <c r="UMS1" s="87" t="n"/>
      <c r="UMT1" s="87" t="n"/>
      <c r="UMU1" s="87" t="n"/>
      <c r="UMV1" s="87" t="n"/>
      <c r="UMW1" s="87" t="n"/>
      <c r="UMX1" s="87" t="n"/>
      <c r="UMY1" s="87" t="n"/>
      <c r="UMZ1" s="87" t="n"/>
      <c r="UNA1" s="87" t="n"/>
      <c r="UNB1" s="87" t="n"/>
      <c r="UNC1" s="87" t="n"/>
      <c r="UND1" s="87" t="n"/>
      <c r="UNE1" s="87" t="n"/>
      <c r="UNF1" s="87" t="n"/>
      <c r="UNG1" s="87" t="n"/>
      <c r="UNH1" s="87" t="n"/>
      <c r="UNI1" s="87" t="n"/>
      <c r="UNJ1" s="87" t="n"/>
      <c r="UNK1" s="87" t="n"/>
      <c r="UNL1" s="87" t="n"/>
      <c r="UNM1" s="87" t="n"/>
      <c r="UNN1" s="87" t="n"/>
      <c r="UNO1" s="87" t="n"/>
      <c r="UNP1" s="87" t="n"/>
      <c r="UNQ1" s="87" t="n"/>
      <c r="UNR1" s="87" t="n"/>
      <c r="UNS1" s="87" t="n"/>
      <c r="UNT1" s="87" t="n"/>
      <c r="UNU1" s="87" t="n"/>
      <c r="UNV1" s="87" t="n"/>
      <c r="UNW1" s="87" t="n"/>
      <c r="UNX1" s="87" t="n"/>
      <c r="UNY1" s="87" t="n"/>
      <c r="UNZ1" s="87" t="n"/>
      <c r="UOA1" s="87" t="n"/>
      <c r="UOB1" s="87" t="n"/>
      <c r="UOC1" s="87" t="n"/>
      <c r="UOD1" s="87" t="n"/>
      <c r="UOE1" s="87" t="n"/>
      <c r="UOF1" s="87" t="n"/>
      <c r="UOG1" s="87" t="n"/>
      <c r="UOH1" s="87" t="n"/>
      <c r="UOI1" s="87" t="n"/>
      <c r="UOJ1" s="87" t="n"/>
      <c r="UOK1" s="87" t="n"/>
      <c r="UOL1" s="87" t="n"/>
      <c r="UOM1" s="87" t="n"/>
      <c r="UON1" s="87" t="n"/>
      <c r="UOO1" s="87" t="n"/>
      <c r="UOP1" s="87" t="n"/>
      <c r="UOQ1" s="87" t="n"/>
      <c r="UOR1" s="87" t="n"/>
      <c r="UOS1" s="87" t="n"/>
      <c r="UOT1" s="87" t="n"/>
      <c r="UOU1" s="87" t="n"/>
      <c r="UOV1" s="87" t="n"/>
      <c r="UOW1" s="87" t="n"/>
      <c r="UOX1" s="87" t="n"/>
      <c r="UOY1" s="87" t="n"/>
      <c r="UOZ1" s="87" t="n"/>
      <c r="UPA1" s="87" t="n"/>
      <c r="UPB1" s="87" t="n"/>
      <c r="UPC1" s="87" t="n"/>
      <c r="UPD1" s="87" t="n"/>
      <c r="UPE1" s="87" t="n"/>
      <c r="UPF1" s="87" t="n"/>
      <c r="UPG1" s="87" t="n"/>
      <c r="UPH1" s="87" t="n"/>
      <c r="UPI1" s="87" t="n"/>
      <c r="UPJ1" s="87" t="n"/>
      <c r="UPK1" s="87" t="n"/>
      <c r="UPL1" s="87" t="n"/>
      <c r="UPM1" s="87" t="n"/>
      <c r="UPN1" s="87" t="n"/>
      <c r="UPO1" s="87" t="n"/>
      <c r="UPP1" s="87" t="n"/>
      <c r="UPQ1" s="87" t="n"/>
      <c r="UPR1" s="87" t="n"/>
      <c r="UPS1" s="87" t="n"/>
      <c r="UPT1" s="87" t="n"/>
      <c r="UPU1" s="87" t="n"/>
      <c r="UPV1" s="87" t="n"/>
      <c r="UPW1" s="87" t="n"/>
      <c r="UPX1" s="87" t="n"/>
      <c r="UPY1" s="87" t="n"/>
      <c r="UPZ1" s="87" t="n"/>
      <c r="UQA1" s="87" t="n"/>
      <c r="UQB1" s="87" t="n"/>
      <c r="UQC1" s="87" t="n"/>
      <c r="UQD1" s="87" t="n"/>
      <c r="UQE1" s="87" t="n"/>
      <c r="UQF1" s="87" t="n"/>
      <c r="UQG1" s="87" t="n"/>
      <c r="UQH1" s="87" t="n"/>
      <c r="UQI1" s="87" t="n"/>
      <c r="UQJ1" s="87" t="n"/>
      <c r="UQK1" s="87" t="n"/>
      <c r="UQL1" s="87" t="n"/>
      <c r="UQM1" s="87" t="n"/>
      <c r="UQN1" s="87" t="n"/>
      <c r="UQO1" s="87" t="n"/>
      <c r="UQP1" s="87" t="n"/>
      <c r="UQQ1" s="87" t="n"/>
      <c r="UQR1" s="87" t="n"/>
      <c r="UQS1" s="87" t="n"/>
      <c r="UQT1" s="87" t="n"/>
      <c r="UQU1" s="87" t="n"/>
      <c r="UQV1" s="87" t="n"/>
      <c r="UQW1" s="87" t="n"/>
      <c r="UQX1" s="87" t="n"/>
      <c r="UQY1" s="87" t="n"/>
      <c r="UQZ1" s="87" t="n"/>
      <c r="URA1" s="87" t="n"/>
      <c r="URB1" s="87" t="n"/>
      <c r="URC1" s="87" t="n"/>
      <c r="URD1" s="87" t="n"/>
      <c r="URE1" s="87" t="n"/>
      <c r="URF1" s="87" t="n"/>
      <c r="URG1" s="87" t="n"/>
      <c r="URH1" s="87" t="n"/>
      <c r="URI1" s="87" t="n"/>
      <c r="URJ1" s="87" t="n"/>
      <c r="URK1" s="87" t="n"/>
      <c r="URL1" s="87" t="n"/>
      <c r="URM1" s="87" t="n"/>
      <c r="URN1" s="87" t="n"/>
      <c r="URO1" s="87" t="n"/>
      <c r="URP1" s="87" t="n"/>
      <c r="URQ1" s="87" t="n"/>
      <c r="URR1" s="87" t="n"/>
      <c r="URS1" s="87" t="n"/>
      <c r="URT1" s="87" t="n"/>
      <c r="URU1" s="87" t="n"/>
      <c r="URV1" s="87" t="n"/>
      <c r="URW1" s="87" t="n"/>
      <c r="URX1" s="87" t="n"/>
      <c r="URY1" s="87" t="n"/>
      <c r="URZ1" s="87" t="n"/>
      <c r="USA1" s="87" t="n"/>
      <c r="USB1" s="87" t="n"/>
      <c r="USC1" s="87" t="n"/>
      <c r="USD1" s="87" t="n"/>
      <c r="USE1" s="87" t="n"/>
      <c r="USF1" s="87" t="n"/>
      <c r="USG1" s="87" t="n"/>
      <c r="USH1" s="87" t="n"/>
      <c r="USI1" s="87" t="n"/>
      <c r="USJ1" s="87" t="n"/>
      <c r="USK1" s="87" t="n"/>
      <c r="USL1" s="87" t="n"/>
      <c r="USM1" s="87" t="n"/>
      <c r="USN1" s="87" t="n"/>
      <c r="USO1" s="87" t="n"/>
      <c r="USP1" s="87" t="n"/>
      <c r="USQ1" s="87" t="n"/>
      <c r="USR1" s="87" t="n"/>
      <c r="USS1" s="87" t="n"/>
      <c r="UST1" s="87" t="n"/>
      <c r="USU1" s="87" t="n"/>
      <c r="USV1" s="87" t="n"/>
      <c r="USW1" s="87" t="n"/>
      <c r="USX1" s="87" t="n"/>
      <c r="USY1" s="87" t="n"/>
      <c r="USZ1" s="87" t="n"/>
      <c r="UTA1" s="87" t="n"/>
      <c r="UTB1" s="87" t="n"/>
      <c r="UTC1" s="87" t="n"/>
      <c r="UTD1" s="87" t="n"/>
      <c r="UTE1" s="87" t="n"/>
      <c r="UTF1" s="87" t="n"/>
      <c r="UTG1" s="87" t="n"/>
      <c r="UTH1" s="87" t="n"/>
      <c r="UTI1" s="87" t="n"/>
      <c r="UTJ1" s="87" t="n"/>
      <c r="UTK1" s="87" t="n"/>
      <c r="UTL1" s="87" t="n"/>
      <c r="UTM1" s="87" t="n"/>
      <c r="UTN1" s="87" t="n"/>
      <c r="UTO1" s="87" t="n"/>
      <c r="UTP1" s="87" t="n"/>
      <c r="UTQ1" s="87" t="n"/>
      <c r="UTR1" s="87" t="n"/>
      <c r="UTS1" s="87" t="n"/>
      <c r="UTT1" s="87" t="n"/>
      <c r="UTU1" s="87" t="n"/>
      <c r="UTV1" s="87" t="n"/>
      <c r="UTW1" s="87" t="n"/>
      <c r="UTX1" s="87" t="n"/>
      <c r="UTY1" s="87" t="n"/>
      <c r="UTZ1" s="87" t="n"/>
      <c r="UUA1" s="87" t="n"/>
      <c r="UUB1" s="87" t="n"/>
      <c r="UUC1" s="87" t="n"/>
      <c r="UUD1" s="87" t="n"/>
      <c r="UUE1" s="87" t="n"/>
      <c r="UUF1" s="87" t="n"/>
      <c r="UUG1" s="87" t="n"/>
      <c r="UUH1" s="87" t="n"/>
      <c r="UUI1" s="87" t="n"/>
      <c r="UUJ1" s="87" t="n"/>
      <c r="UUK1" s="87" t="n"/>
      <c r="UUL1" s="87" t="n"/>
      <c r="UUM1" s="87" t="n"/>
      <c r="UUN1" s="87" t="n"/>
      <c r="UUO1" s="87" t="n"/>
      <c r="UUP1" s="87" t="n"/>
      <c r="UUQ1" s="87" t="n"/>
      <c r="UUR1" s="87" t="n"/>
      <c r="UUS1" s="87" t="n"/>
      <c r="UUT1" s="87" t="n"/>
      <c r="UUU1" s="87" t="n"/>
      <c r="UUV1" s="87" t="n"/>
      <c r="UUW1" s="87" t="n"/>
      <c r="UUX1" s="87" t="n"/>
      <c r="UUY1" s="87" t="n"/>
      <c r="UUZ1" s="87" t="n"/>
      <c r="UVA1" s="87" t="n"/>
      <c r="UVB1" s="87" t="n"/>
      <c r="UVC1" s="87" t="n"/>
      <c r="UVD1" s="87" t="n"/>
      <c r="UVE1" s="87" t="n"/>
      <c r="UVF1" s="87" t="n"/>
      <c r="UVG1" s="87" t="n"/>
      <c r="UVH1" s="87" t="n"/>
      <c r="UVI1" s="87" t="n"/>
      <c r="UVJ1" s="87" t="n"/>
      <c r="UVK1" s="87" t="n"/>
      <c r="UVL1" s="87" t="n"/>
      <c r="UVM1" s="87" t="n"/>
      <c r="UVN1" s="87" t="n"/>
      <c r="UVO1" s="87" t="n"/>
      <c r="UVP1" s="87" t="n"/>
      <c r="UVQ1" s="87" t="n"/>
      <c r="UVR1" s="87" t="n"/>
      <c r="UVS1" s="87" t="n"/>
      <c r="UVT1" s="87" t="n"/>
      <c r="UVU1" s="87" t="n"/>
      <c r="UVV1" s="87" t="n"/>
      <c r="UVW1" s="87" t="n"/>
      <c r="UVX1" s="87" t="n"/>
      <c r="UVY1" s="87" t="n"/>
      <c r="UVZ1" s="87" t="n"/>
      <c r="UWA1" s="87" t="n"/>
      <c r="UWB1" s="87" t="n"/>
      <c r="UWC1" s="87" t="n"/>
      <c r="UWD1" s="87" t="n"/>
      <c r="UWE1" s="87" t="n"/>
      <c r="UWF1" s="87" t="n"/>
      <c r="UWG1" s="87" t="n"/>
      <c r="UWH1" s="87" t="n"/>
      <c r="UWI1" s="87" t="n"/>
      <c r="UWJ1" s="87" t="n"/>
      <c r="UWK1" s="87" t="n"/>
      <c r="UWL1" s="87" t="n"/>
      <c r="UWM1" s="87" t="n"/>
      <c r="UWN1" s="87" t="n"/>
      <c r="UWO1" s="87" t="n"/>
      <c r="UWP1" s="87" t="n"/>
      <c r="UWQ1" s="87" t="n"/>
      <c r="UWR1" s="87" t="n"/>
      <c r="UWS1" s="87" t="n"/>
      <c r="UWT1" s="87" t="n"/>
      <c r="UWU1" s="87" t="n"/>
      <c r="UWV1" s="87" t="n"/>
      <c r="UWW1" s="87" t="n"/>
      <c r="UWX1" s="87" t="n"/>
      <c r="UWY1" s="87" t="n"/>
      <c r="UWZ1" s="87" t="n"/>
      <c r="UXA1" s="87" t="n"/>
      <c r="UXB1" s="87" t="n"/>
      <c r="UXC1" s="87" t="n"/>
      <c r="UXD1" s="87" t="n"/>
      <c r="UXE1" s="87" t="n"/>
      <c r="UXF1" s="87" t="n"/>
      <c r="UXG1" s="87" t="n"/>
      <c r="UXH1" s="87" t="n"/>
      <c r="UXI1" s="87" t="n"/>
      <c r="UXJ1" s="87" t="n"/>
      <c r="UXK1" s="87" t="n"/>
      <c r="UXL1" s="87" t="n"/>
      <c r="UXM1" s="87" t="n"/>
      <c r="UXN1" s="87" t="n"/>
      <c r="UXO1" s="87" t="n"/>
      <c r="UXP1" s="87" t="n"/>
      <c r="UXQ1" s="87" t="n"/>
      <c r="UXR1" s="87" t="n"/>
      <c r="UXS1" s="87" t="n"/>
      <c r="UXT1" s="87" t="n"/>
      <c r="UXU1" s="87" t="n"/>
      <c r="UXV1" s="87" t="n"/>
      <c r="UXW1" s="87" t="n"/>
      <c r="UXX1" s="87" t="n"/>
      <c r="UXY1" s="87" t="n"/>
      <c r="UXZ1" s="87" t="n"/>
      <c r="UYA1" s="87" t="n"/>
      <c r="UYB1" s="87" t="n"/>
      <c r="UYC1" s="87" t="n"/>
      <c r="UYD1" s="87" t="n"/>
      <c r="UYE1" s="87" t="n"/>
      <c r="UYF1" s="87" t="n"/>
      <c r="UYG1" s="87" t="n"/>
      <c r="UYH1" s="87" t="n"/>
      <c r="UYI1" s="87" t="n"/>
      <c r="UYJ1" s="87" t="n"/>
      <c r="UYK1" s="87" t="n"/>
      <c r="UYL1" s="87" t="n"/>
      <c r="UYM1" s="87" t="n"/>
      <c r="UYN1" s="87" t="n"/>
      <c r="UYO1" s="87" t="n"/>
      <c r="UYP1" s="87" t="n"/>
      <c r="UYQ1" s="87" t="n"/>
      <c r="UYR1" s="87" t="n"/>
      <c r="UYS1" s="87" t="n"/>
      <c r="UYT1" s="87" t="n"/>
      <c r="UYU1" s="87" t="n"/>
      <c r="UYV1" s="87" t="n"/>
      <c r="UYW1" s="87" t="n"/>
      <c r="UYX1" s="87" t="n"/>
      <c r="UYY1" s="87" t="n"/>
      <c r="UYZ1" s="87" t="n"/>
      <c r="UZA1" s="87" t="n"/>
      <c r="UZB1" s="87" t="n"/>
      <c r="UZC1" s="87" t="n"/>
      <c r="UZD1" s="87" t="n"/>
      <c r="UZE1" s="87" t="n"/>
      <c r="UZF1" s="87" t="n"/>
      <c r="UZG1" s="87" t="n"/>
      <c r="UZH1" s="87" t="n"/>
      <c r="UZI1" s="87" t="n"/>
      <c r="UZJ1" s="87" t="n"/>
      <c r="UZK1" s="87" t="n"/>
      <c r="UZL1" s="87" t="n"/>
      <c r="UZM1" s="87" t="n"/>
      <c r="UZN1" s="87" t="n"/>
      <c r="UZO1" s="87" t="n"/>
      <c r="UZP1" s="87" t="n"/>
      <c r="UZQ1" s="87" t="n"/>
      <c r="UZR1" s="87" t="n"/>
      <c r="UZS1" s="87" t="n"/>
      <c r="UZT1" s="87" t="n"/>
      <c r="UZU1" s="87" t="n"/>
      <c r="UZV1" s="87" t="n"/>
      <c r="UZW1" s="87" t="n"/>
      <c r="UZX1" s="87" t="n"/>
      <c r="UZY1" s="87" t="n"/>
      <c r="UZZ1" s="87" t="n"/>
      <c r="VAA1" s="87" t="n"/>
      <c r="VAB1" s="87" t="n"/>
      <c r="VAC1" s="87" t="n"/>
      <c r="VAD1" s="87" t="n"/>
      <c r="VAE1" s="87" t="n"/>
      <c r="VAF1" s="87" t="n"/>
      <c r="VAG1" s="87" t="n"/>
      <c r="VAH1" s="87" t="n"/>
      <c r="VAI1" s="87" t="n"/>
      <c r="VAJ1" s="87" t="n"/>
      <c r="VAK1" s="87" t="n"/>
      <c r="VAL1" s="87" t="n"/>
      <c r="VAM1" s="87" t="n"/>
      <c r="VAN1" s="87" t="n"/>
      <c r="VAO1" s="87" t="n"/>
      <c r="VAP1" s="87" t="n"/>
      <c r="VAQ1" s="87" t="n"/>
      <c r="VAR1" s="87" t="n"/>
      <c r="VAS1" s="87" t="n"/>
      <c r="VAT1" s="87" t="n"/>
      <c r="VAU1" s="87" t="n"/>
      <c r="VAV1" s="87" t="n"/>
      <c r="VAW1" s="87" t="n"/>
      <c r="VAX1" s="87" t="n"/>
      <c r="VAY1" s="87" t="n"/>
      <c r="VAZ1" s="87" t="n"/>
      <c r="VBA1" s="87" t="n"/>
      <c r="VBB1" s="87" t="n"/>
      <c r="VBC1" s="87" t="n"/>
      <c r="VBD1" s="87" t="n"/>
      <c r="VBE1" s="87" t="n"/>
      <c r="VBF1" s="87" t="n"/>
      <c r="VBG1" s="87" t="n"/>
      <c r="VBH1" s="87" t="n"/>
      <c r="VBI1" s="87" t="n"/>
      <c r="VBJ1" s="87" t="n"/>
      <c r="VBK1" s="87" t="n"/>
      <c r="VBL1" s="87" t="n"/>
      <c r="VBM1" s="87" t="n"/>
      <c r="VBN1" s="87" t="n"/>
      <c r="VBO1" s="87" t="n"/>
      <c r="VBP1" s="87" t="n"/>
      <c r="VBQ1" s="87" t="n"/>
      <c r="VBR1" s="87" t="n"/>
      <c r="VBS1" s="87" t="n"/>
      <c r="VBT1" s="87" t="n"/>
      <c r="VBU1" s="87" t="n"/>
      <c r="VBV1" s="87" t="n"/>
      <c r="VBW1" s="87" t="n"/>
      <c r="VBX1" s="87" t="n"/>
      <c r="VBY1" s="87" t="n"/>
      <c r="VBZ1" s="87" t="n"/>
      <c r="VCA1" s="87" t="n"/>
      <c r="VCB1" s="87" t="n"/>
      <c r="VCC1" s="87" t="n"/>
      <c r="VCD1" s="87" t="n"/>
      <c r="VCE1" s="87" t="n"/>
      <c r="VCF1" s="87" t="n"/>
      <c r="VCG1" s="87" t="n"/>
      <c r="VCH1" s="87" t="n"/>
      <c r="VCI1" s="87" t="n"/>
      <c r="VCJ1" s="87" t="n"/>
      <c r="VCK1" s="87" t="n"/>
      <c r="VCL1" s="87" t="n"/>
      <c r="VCM1" s="87" t="n"/>
      <c r="VCN1" s="87" t="n"/>
      <c r="VCO1" s="87" t="n"/>
      <c r="VCP1" s="87" t="n"/>
      <c r="VCQ1" s="87" t="n"/>
      <c r="VCR1" s="87" t="n"/>
      <c r="VCS1" s="87" t="n"/>
      <c r="VCT1" s="87" t="n"/>
      <c r="VCU1" s="87" t="n"/>
      <c r="VCV1" s="87" t="n"/>
      <c r="VCW1" s="87" t="n"/>
      <c r="VCX1" s="87" t="n"/>
      <c r="VCY1" s="87" t="n"/>
      <c r="VCZ1" s="87" t="n"/>
      <c r="VDA1" s="87" t="n"/>
      <c r="VDB1" s="87" t="n"/>
      <c r="VDC1" s="87" t="n"/>
      <c r="VDD1" s="87" t="n"/>
      <c r="VDE1" s="87" t="n"/>
      <c r="VDF1" s="87" t="n"/>
      <c r="VDG1" s="87" t="n"/>
      <c r="VDH1" s="87" t="n"/>
      <c r="VDI1" s="87" t="n"/>
      <c r="VDJ1" s="87" t="n"/>
      <c r="VDK1" s="87" t="n"/>
      <c r="VDL1" s="87" t="n"/>
      <c r="VDM1" s="87" t="n"/>
      <c r="VDN1" s="87" t="n"/>
      <c r="VDO1" s="87" t="n"/>
      <c r="VDP1" s="87" t="n"/>
      <c r="VDQ1" s="87" t="n"/>
      <c r="VDR1" s="87" t="n"/>
      <c r="VDS1" s="87" t="n"/>
      <c r="VDT1" s="87" t="n"/>
      <c r="VDU1" s="87" t="n"/>
      <c r="VDV1" s="87" t="n"/>
      <c r="VDW1" s="87" t="n"/>
      <c r="VDX1" s="87" t="n"/>
      <c r="VDY1" s="87" t="n"/>
      <c r="VDZ1" s="87" t="n"/>
      <c r="VEA1" s="87" t="n"/>
      <c r="VEB1" s="87" t="n"/>
      <c r="VEC1" s="87" t="n"/>
      <c r="VED1" s="87" t="n"/>
      <c r="VEE1" s="87" t="n"/>
      <c r="VEF1" s="87" t="n"/>
      <c r="VEG1" s="87" t="n"/>
      <c r="VEH1" s="87" t="n"/>
      <c r="VEI1" s="87" t="n"/>
      <c r="VEJ1" s="87" t="n"/>
      <c r="VEK1" s="87" t="n"/>
      <c r="VEL1" s="87" t="n"/>
      <c r="VEM1" s="87" t="n"/>
      <c r="VEN1" s="87" t="n"/>
      <c r="VEO1" s="87" t="n"/>
      <c r="VEP1" s="87" t="n"/>
      <c r="VEQ1" s="87" t="n"/>
      <c r="VER1" s="87" t="n"/>
      <c r="VES1" s="87" t="n"/>
      <c r="VET1" s="87" t="n"/>
      <c r="VEU1" s="87" t="n"/>
      <c r="VEV1" s="87" t="n"/>
      <c r="VEW1" s="87" t="n"/>
      <c r="VEX1" s="87" t="n"/>
      <c r="VEY1" s="87" t="n"/>
      <c r="VEZ1" s="87" t="n"/>
      <c r="VFA1" s="87" t="n"/>
      <c r="VFB1" s="87" t="n"/>
      <c r="VFC1" s="87" t="n"/>
      <c r="VFD1" s="87" t="n"/>
      <c r="VFE1" s="87" t="n"/>
      <c r="VFF1" s="87" t="n"/>
      <c r="VFG1" s="87" t="n"/>
      <c r="VFH1" s="87" t="n"/>
      <c r="VFI1" s="87" t="n"/>
      <c r="VFJ1" s="87" t="n"/>
      <c r="VFK1" s="87" t="n"/>
      <c r="VFL1" s="87" t="n"/>
      <c r="VFM1" s="87" t="n"/>
      <c r="VFN1" s="87" t="n"/>
      <c r="VFO1" s="87" t="n"/>
      <c r="VFP1" s="87" t="n"/>
      <c r="VFQ1" s="87" t="n"/>
      <c r="VFR1" s="87" t="n"/>
      <c r="VFS1" s="87" t="n"/>
      <c r="VFT1" s="87" t="n"/>
      <c r="VFU1" s="87" t="n"/>
      <c r="VFV1" s="87" t="n"/>
      <c r="VFW1" s="87" t="n"/>
      <c r="VFX1" s="87" t="n"/>
      <c r="VFY1" s="87" t="n"/>
      <c r="VFZ1" s="87" t="n"/>
      <c r="VGA1" s="87" t="n"/>
      <c r="VGB1" s="87" t="n"/>
      <c r="VGC1" s="87" t="n"/>
      <c r="VGD1" s="87" t="n"/>
      <c r="VGE1" s="87" t="n"/>
      <c r="VGF1" s="87" t="n"/>
      <c r="VGG1" s="87" t="n"/>
      <c r="VGH1" s="87" t="n"/>
      <c r="VGI1" s="87" t="n"/>
      <c r="VGJ1" s="87" t="n"/>
      <c r="VGK1" s="87" t="n"/>
      <c r="VGL1" s="87" t="n"/>
      <c r="VGM1" s="87" t="n"/>
      <c r="VGN1" s="87" t="n"/>
      <c r="VGO1" s="87" t="n"/>
      <c r="VGP1" s="87" t="n"/>
      <c r="VGQ1" s="87" t="n"/>
      <c r="VGR1" s="87" t="n"/>
      <c r="VGS1" s="87" t="n"/>
      <c r="VGT1" s="87" t="n"/>
      <c r="VGU1" s="87" t="n"/>
      <c r="VGV1" s="87" t="n"/>
      <c r="VGW1" s="87" t="n"/>
      <c r="VGX1" s="87" t="n"/>
      <c r="VGY1" s="87" t="n"/>
      <c r="VGZ1" s="87" t="n"/>
      <c r="VHA1" s="87" t="n"/>
      <c r="VHB1" s="87" t="n"/>
      <c r="VHC1" s="87" t="n"/>
      <c r="VHD1" s="87" t="n"/>
      <c r="VHE1" s="87" t="n"/>
      <c r="VHF1" s="87" t="n"/>
      <c r="VHG1" s="87" t="n"/>
      <c r="VHH1" s="87" t="n"/>
      <c r="VHI1" s="87" t="n"/>
      <c r="VHJ1" s="87" t="n"/>
      <c r="VHK1" s="87" t="n"/>
      <c r="VHL1" s="87" t="n"/>
      <c r="VHM1" s="87" t="n"/>
      <c r="VHN1" s="87" t="n"/>
      <c r="VHO1" s="87" t="n"/>
      <c r="VHP1" s="87" t="n"/>
      <c r="VHQ1" s="87" t="n"/>
      <c r="VHR1" s="87" t="n"/>
      <c r="VHS1" s="87" t="n"/>
      <c r="VHT1" s="87" t="n"/>
      <c r="VHU1" s="87" t="n"/>
      <c r="VHV1" s="87" t="n"/>
      <c r="VHW1" s="87" t="n"/>
      <c r="VHX1" s="87" t="n"/>
      <c r="VHY1" s="87" t="n"/>
      <c r="VHZ1" s="87" t="n"/>
      <c r="VIA1" s="87" t="n"/>
      <c r="VIB1" s="87" t="n"/>
      <c r="VIC1" s="87" t="n"/>
      <c r="VID1" s="87" t="n"/>
      <c r="VIE1" s="87" t="n"/>
      <c r="VIF1" s="87" t="n"/>
      <c r="VIG1" s="87" t="n"/>
      <c r="VIH1" s="87" t="n"/>
      <c r="VII1" s="87" t="n"/>
      <c r="VIJ1" s="87" t="n"/>
      <c r="VIK1" s="87" t="n"/>
      <c r="VIL1" s="87" t="n"/>
      <c r="VIM1" s="87" t="n"/>
      <c r="VIN1" s="87" t="n"/>
      <c r="VIO1" s="87" t="n"/>
      <c r="VIP1" s="87" t="n"/>
      <c r="VIQ1" s="87" t="n"/>
      <c r="VIR1" s="87" t="n"/>
      <c r="VIS1" s="87" t="n"/>
      <c r="VIT1" s="87" t="n"/>
      <c r="VIU1" s="87" t="n"/>
      <c r="VIV1" s="87" t="n"/>
      <c r="VIW1" s="87" t="n"/>
      <c r="VIX1" s="87" t="n"/>
      <c r="VIY1" s="87" t="n"/>
      <c r="VIZ1" s="87" t="n"/>
      <c r="VJA1" s="87" t="n"/>
      <c r="VJB1" s="87" t="n"/>
      <c r="VJC1" s="87" t="n"/>
      <c r="VJD1" s="87" t="n"/>
      <c r="VJE1" s="87" t="n"/>
      <c r="VJF1" s="87" t="n"/>
      <c r="VJG1" s="87" t="n"/>
      <c r="VJH1" s="87" t="n"/>
      <c r="VJI1" s="87" t="n"/>
      <c r="VJJ1" s="87" t="n"/>
      <c r="VJK1" s="87" t="n"/>
      <c r="VJL1" s="87" t="n"/>
      <c r="VJM1" s="87" t="n"/>
      <c r="VJN1" s="87" t="n"/>
      <c r="VJO1" s="87" t="n"/>
      <c r="VJP1" s="87" t="n"/>
      <c r="VJQ1" s="87" t="n"/>
      <c r="VJR1" s="87" t="n"/>
      <c r="VJS1" s="87" t="n"/>
      <c r="VJT1" s="87" t="n"/>
      <c r="VJU1" s="87" t="n"/>
      <c r="VJV1" s="87" t="n"/>
      <c r="VJW1" s="87" t="n"/>
      <c r="VJX1" s="87" t="n"/>
      <c r="VJY1" s="87" t="n"/>
      <c r="VJZ1" s="87" t="n"/>
      <c r="VKA1" s="87" t="n"/>
      <c r="VKB1" s="87" t="n"/>
      <c r="VKC1" s="87" t="n"/>
      <c r="VKD1" s="87" t="n"/>
      <c r="VKE1" s="87" t="n"/>
      <c r="VKF1" s="87" t="n"/>
      <c r="VKG1" s="87" t="n"/>
      <c r="VKH1" s="87" t="n"/>
      <c r="VKI1" s="87" t="n"/>
      <c r="VKJ1" s="87" t="n"/>
      <c r="VKK1" s="87" t="n"/>
      <c r="VKL1" s="87" t="n"/>
      <c r="VKM1" s="87" t="n"/>
      <c r="VKN1" s="87" t="n"/>
      <c r="VKO1" s="87" t="n"/>
      <c r="VKP1" s="87" t="n"/>
      <c r="VKQ1" s="87" t="n"/>
      <c r="VKR1" s="87" t="n"/>
      <c r="VKS1" s="87" t="n"/>
      <c r="VKT1" s="87" t="n"/>
      <c r="VKU1" s="87" t="n"/>
      <c r="VKV1" s="87" t="n"/>
      <c r="VKW1" s="87" t="n"/>
      <c r="VKX1" s="87" t="n"/>
      <c r="VKY1" s="87" t="n"/>
      <c r="VKZ1" s="87" t="n"/>
      <c r="VLA1" s="87" t="n"/>
      <c r="VLB1" s="87" t="n"/>
      <c r="VLC1" s="87" t="n"/>
      <c r="VLD1" s="87" t="n"/>
      <c r="VLE1" s="87" t="n"/>
      <c r="VLF1" s="87" t="n"/>
      <c r="VLG1" s="87" t="n"/>
      <c r="VLH1" s="87" t="n"/>
      <c r="VLI1" s="87" t="n"/>
      <c r="VLJ1" s="87" t="n"/>
      <c r="VLK1" s="87" t="n"/>
      <c r="VLL1" s="87" t="n"/>
      <c r="VLM1" s="87" t="n"/>
      <c r="VLN1" s="87" t="n"/>
      <c r="VLO1" s="87" t="n"/>
      <c r="VLP1" s="87" t="n"/>
      <c r="VLQ1" s="87" t="n"/>
      <c r="VLR1" s="87" t="n"/>
      <c r="VLS1" s="87" t="n"/>
      <c r="VLT1" s="87" t="n"/>
      <c r="VLU1" s="87" t="n"/>
      <c r="VLV1" s="87" t="n"/>
      <c r="VLW1" s="87" t="n"/>
      <c r="VLX1" s="87" t="n"/>
      <c r="VLY1" s="87" t="n"/>
      <c r="VLZ1" s="87" t="n"/>
      <c r="VMA1" s="87" t="n"/>
      <c r="VMB1" s="87" t="n"/>
      <c r="VMC1" s="87" t="n"/>
      <c r="VMD1" s="87" t="n"/>
      <c r="VME1" s="87" t="n"/>
      <c r="VMF1" s="87" t="n"/>
      <c r="VMG1" s="87" t="n"/>
      <c r="VMH1" s="87" t="n"/>
      <c r="VMI1" s="87" t="n"/>
      <c r="VMJ1" s="87" t="n"/>
      <c r="VMK1" s="87" t="n"/>
      <c r="VML1" s="87" t="n"/>
      <c r="VMM1" s="87" t="n"/>
      <c r="VMN1" s="87" t="n"/>
      <c r="VMO1" s="87" t="n"/>
      <c r="VMP1" s="87" t="n"/>
      <c r="VMQ1" s="87" t="n"/>
      <c r="VMR1" s="87" t="n"/>
      <c r="VMS1" s="87" t="n"/>
      <c r="VMT1" s="87" t="n"/>
      <c r="VMU1" s="87" t="n"/>
      <c r="VMV1" s="87" t="n"/>
      <c r="VMW1" s="87" t="n"/>
      <c r="VMX1" s="87" t="n"/>
      <c r="VMY1" s="87" t="n"/>
      <c r="VMZ1" s="87" t="n"/>
      <c r="VNA1" s="87" t="n"/>
      <c r="VNB1" s="87" t="n"/>
      <c r="VNC1" s="87" t="n"/>
      <c r="VND1" s="87" t="n"/>
      <c r="VNE1" s="87" t="n"/>
      <c r="VNF1" s="87" t="n"/>
      <c r="VNG1" s="87" t="n"/>
      <c r="VNH1" s="87" t="n"/>
      <c r="VNI1" s="87" t="n"/>
      <c r="VNJ1" s="87" t="n"/>
      <c r="VNK1" s="87" t="n"/>
      <c r="VNL1" s="87" t="n"/>
      <c r="VNM1" s="87" t="n"/>
      <c r="VNN1" s="87" t="n"/>
      <c r="VNO1" s="87" t="n"/>
      <c r="VNP1" s="87" t="n"/>
      <c r="VNQ1" s="87" t="n"/>
      <c r="VNR1" s="87" t="n"/>
      <c r="VNS1" s="87" t="n"/>
      <c r="VNT1" s="87" t="n"/>
      <c r="VNU1" s="87" t="n"/>
      <c r="VNV1" s="87" t="n"/>
      <c r="VNW1" s="87" t="n"/>
      <c r="VNX1" s="87" t="n"/>
      <c r="VNY1" s="87" t="n"/>
      <c r="VNZ1" s="87" t="n"/>
      <c r="VOA1" s="87" t="n"/>
      <c r="VOB1" s="87" t="n"/>
      <c r="VOC1" s="87" t="n"/>
      <c r="VOD1" s="87" t="n"/>
      <c r="VOE1" s="87" t="n"/>
      <c r="VOF1" s="87" t="n"/>
      <c r="VOG1" s="87" t="n"/>
      <c r="VOH1" s="87" t="n"/>
      <c r="VOI1" s="87" t="n"/>
      <c r="VOJ1" s="87" t="n"/>
      <c r="VOK1" s="87" t="n"/>
      <c r="VOL1" s="87" t="n"/>
      <c r="VOM1" s="87" t="n"/>
      <c r="VON1" s="87" t="n"/>
      <c r="VOO1" s="87" t="n"/>
      <c r="VOP1" s="87" t="n"/>
      <c r="VOQ1" s="87" t="n"/>
      <c r="VOR1" s="87" t="n"/>
      <c r="VOS1" s="87" t="n"/>
      <c r="VOT1" s="87" t="n"/>
      <c r="VOU1" s="87" t="n"/>
      <c r="VOV1" s="87" t="n"/>
      <c r="VOW1" s="87" t="n"/>
      <c r="VOX1" s="87" t="n"/>
      <c r="VOY1" s="87" t="n"/>
      <c r="VOZ1" s="87" t="n"/>
      <c r="VPA1" s="87" t="n"/>
      <c r="VPB1" s="87" t="n"/>
      <c r="VPC1" s="87" t="n"/>
      <c r="VPD1" s="87" t="n"/>
      <c r="VPE1" s="87" t="n"/>
      <c r="VPF1" s="87" t="n"/>
      <c r="VPG1" s="87" t="n"/>
      <c r="VPH1" s="87" t="n"/>
      <c r="VPI1" s="87" t="n"/>
      <c r="VPJ1" s="87" t="n"/>
      <c r="VPK1" s="87" t="n"/>
      <c r="VPL1" s="87" t="n"/>
      <c r="VPM1" s="87" t="n"/>
      <c r="VPN1" s="87" t="n"/>
      <c r="VPO1" s="87" t="n"/>
      <c r="VPP1" s="87" t="n"/>
      <c r="VPQ1" s="87" t="n"/>
      <c r="VPR1" s="87" t="n"/>
      <c r="VPS1" s="87" t="n"/>
      <c r="VPT1" s="87" t="n"/>
      <c r="VPU1" s="87" t="n"/>
      <c r="VPV1" s="87" t="n"/>
      <c r="VPW1" s="87" t="n"/>
      <c r="VPX1" s="87" t="n"/>
      <c r="VPY1" s="87" t="n"/>
      <c r="VPZ1" s="87" t="n"/>
      <c r="VQA1" s="87" t="n"/>
      <c r="VQB1" s="87" t="n"/>
      <c r="VQC1" s="87" t="n"/>
      <c r="VQD1" s="87" t="n"/>
      <c r="VQE1" s="87" t="n"/>
      <c r="VQF1" s="87" t="n"/>
      <c r="VQG1" s="87" t="n"/>
      <c r="VQH1" s="87" t="n"/>
      <c r="VQI1" s="87" t="n"/>
      <c r="VQJ1" s="87" t="n"/>
      <c r="VQK1" s="87" t="n"/>
      <c r="VQL1" s="87" t="n"/>
      <c r="VQM1" s="87" t="n"/>
      <c r="VQN1" s="87" t="n"/>
      <c r="VQO1" s="87" t="n"/>
      <c r="VQP1" s="87" t="n"/>
      <c r="VQQ1" s="87" t="n"/>
      <c r="VQR1" s="87" t="n"/>
      <c r="VQS1" s="87" t="n"/>
      <c r="VQT1" s="87" t="n"/>
      <c r="VQU1" s="87" t="n"/>
      <c r="VQV1" s="87" t="n"/>
      <c r="VQW1" s="87" t="n"/>
      <c r="VQX1" s="87" t="n"/>
      <c r="VQY1" s="87" t="n"/>
      <c r="VQZ1" s="87" t="n"/>
      <c r="VRA1" s="87" t="n"/>
      <c r="VRB1" s="87" t="n"/>
      <c r="VRC1" s="87" t="n"/>
      <c r="VRD1" s="87" t="n"/>
      <c r="VRE1" s="87" t="n"/>
      <c r="VRF1" s="87" t="n"/>
      <c r="VRG1" s="87" t="n"/>
      <c r="VRH1" s="87" t="n"/>
      <c r="VRI1" s="87" t="n"/>
      <c r="VRJ1" s="87" t="n"/>
      <c r="VRK1" s="87" t="n"/>
      <c r="VRL1" s="87" t="n"/>
      <c r="VRM1" s="87" t="n"/>
      <c r="VRN1" s="87" t="n"/>
      <c r="VRO1" s="87" t="n"/>
      <c r="VRP1" s="87" t="n"/>
      <c r="VRQ1" s="87" t="n"/>
      <c r="VRR1" s="87" t="n"/>
      <c r="VRS1" s="87" t="n"/>
      <c r="VRT1" s="87" t="n"/>
      <c r="VRU1" s="87" t="n"/>
      <c r="VRV1" s="87" t="n"/>
      <c r="VRW1" s="87" t="n"/>
      <c r="VRX1" s="87" t="n"/>
      <c r="VRY1" s="87" t="n"/>
      <c r="VRZ1" s="87" t="n"/>
      <c r="VSA1" s="87" t="n"/>
      <c r="VSB1" s="87" t="n"/>
      <c r="VSC1" s="87" t="n"/>
      <c r="VSD1" s="87" t="n"/>
      <c r="VSE1" s="87" t="n"/>
      <c r="VSF1" s="87" t="n"/>
      <c r="VSG1" s="87" t="n"/>
      <c r="VSH1" s="87" t="n"/>
      <c r="VSI1" s="87" t="n"/>
      <c r="VSJ1" s="87" t="n"/>
      <c r="VSK1" s="87" t="n"/>
      <c r="VSL1" s="87" t="n"/>
      <c r="VSM1" s="87" t="n"/>
      <c r="VSN1" s="87" t="n"/>
      <c r="VSO1" s="87" t="n"/>
      <c r="VSP1" s="87" t="n"/>
      <c r="VSQ1" s="87" t="n"/>
      <c r="VSR1" s="87" t="n"/>
      <c r="VSS1" s="87" t="n"/>
      <c r="VST1" s="87" t="n"/>
      <c r="VSU1" s="87" t="n"/>
      <c r="VSV1" s="87" t="n"/>
      <c r="VSW1" s="87" t="n"/>
      <c r="VSX1" s="87" t="n"/>
      <c r="VSY1" s="87" t="n"/>
      <c r="VSZ1" s="87" t="n"/>
      <c r="VTA1" s="87" t="n"/>
      <c r="VTB1" s="87" t="n"/>
      <c r="VTC1" s="87" t="n"/>
      <c r="VTD1" s="87" t="n"/>
      <c r="VTE1" s="87" t="n"/>
      <c r="VTF1" s="87" t="n"/>
      <c r="VTG1" s="87" t="n"/>
      <c r="VTH1" s="87" t="n"/>
      <c r="VTI1" s="87" t="n"/>
      <c r="VTJ1" s="87" t="n"/>
      <c r="VTK1" s="87" t="n"/>
      <c r="VTL1" s="87" t="n"/>
      <c r="VTM1" s="87" t="n"/>
      <c r="VTN1" s="87" t="n"/>
      <c r="VTO1" s="87" t="n"/>
      <c r="VTP1" s="87" t="n"/>
      <c r="VTQ1" s="87" t="n"/>
      <c r="VTR1" s="87" t="n"/>
      <c r="VTS1" s="87" t="n"/>
      <c r="VTT1" s="87" t="n"/>
      <c r="VTU1" s="87" t="n"/>
      <c r="VTV1" s="87" t="n"/>
      <c r="VTW1" s="87" t="n"/>
      <c r="VTX1" s="87" t="n"/>
      <c r="VTY1" s="87" t="n"/>
      <c r="VTZ1" s="87" t="n"/>
      <c r="VUA1" s="87" t="n"/>
      <c r="VUB1" s="87" t="n"/>
      <c r="VUC1" s="87" t="n"/>
      <c r="VUD1" s="87" t="n"/>
      <c r="VUE1" s="87" t="n"/>
      <c r="VUF1" s="87" t="n"/>
      <c r="VUG1" s="87" t="n"/>
      <c r="VUH1" s="87" t="n"/>
      <c r="VUI1" s="87" t="n"/>
      <c r="VUJ1" s="87" t="n"/>
      <c r="VUK1" s="87" t="n"/>
      <c r="VUL1" s="87" t="n"/>
      <c r="VUM1" s="87" t="n"/>
      <c r="VUN1" s="87" t="n"/>
      <c r="VUO1" s="87" t="n"/>
      <c r="VUP1" s="87" t="n"/>
      <c r="VUQ1" s="87" t="n"/>
      <c r="VUR1" s="87" t="n"/>
      <c r="VUS1" s="87" t="n"/>
      <c r="VUT1" s="87" t="n"/>
      <c r="VUU1" s="87" t="n"/>
      <c r="VUV1" s="87" t="n"/>
      <c r="VUW1" s="87" t="n"/>
      <c r="VUX1" s="87" t="n"/>
      <c r="VUY1" s="87" t="n"/>
      <c r="VUZ1" s="87" t="n"/>
      <c r="VVA1" s="87" t="n"/>
      <c r="VVB1" s="87" t="n"/>
      <c r="VVC1" s="87" t="n"/>
      <c r="VVD1" s="87" t="n"/>
      <c r="VVE1" s="87" t="n"/>
      <c r="VVF1" s="87" t="n"/>
      <c r="VVG1" s="87" t="n"/>
      <c r="VVH1" s="87" t="n"/>
      <c r="VVI1" s="87" t="n"/>
      <c r="VVJ1" s="87" t="n"/>
      <c r="VVK1" s="87" t="n"/>
      <c r="VVL1" s="87" t="n"/>
      <c r="VVM1" s="87" t="n"/>
      <c r="VVN1" s="87" t="n"/>
      <c r="VVO1" s="87" t="n"/>
      <c r="VVP1" s="87" t="n"/>
      <c r="VVQ1" s="87" t="n"/>
      <c r="VVR1" s="87" t="n"/>
      <c r="VVS1" s="87" t="n"/>
      <c r="VVT1" s="87" t="n"/>
      <c r="VVU1" s="87" t="n"/>
      <c r="VVV1" s="87" t="n"/>
      <c r="VVW1" s="87" t="n"/>
      <c r="VVX1" s="87" t="n"/>
      <c r="VVY1" s="87" t="n"/>
      <c r="VVZ1" s="87" t="n"/>
      <c r="VWA1" s="87" t="n"/>
      <c r="VWB1" s="87" t="n"/>
      <c r="VWC1" s="87" t="n"/>
      <c r="VWD1" s="87" t="n"/>
      <c r="VWE1" s="87" t="n"/>
      <c r="VWF1" s="87" t="n"/>
      <c r="VWG1" s="87" t="n"/>
      <c r="VWH1" s="87" t="n"/>
      <c r="VWI1" s="87" t="n"/>
      <c r="VWJ1" s="87" t="n"/>
      <c r="VWK1" s="87" t="n"/>
      <c r="VWL1" s="87" t="n"/>
      <c r="VWM1" s="87" t="n"/>
      <c r="VWN1" s="87" t="n"/>
      <c r="VWO1" s="87" t="n"/>
      <c r="VWP1" s="87" t="n"/>
      <c r="VWQ1" s="87" t="n"/>
      <c r="VWR1" s="87" t="n"/>
      <c r="VWS1" s="87" t="n"/>
      <c r="VWT1" s="87" t="n"/>
      <c r="VWU1" s="87" t="n"/>
      <c r="VWV1" s="87" t="n"/>
      <c r="VWW1" s="87" t="n"/>
      <c r="VWX1" s="87" t="n"/>
      <c r="VWY1" s="87" t="n"/>
      <c r="VWZ1" s="87" t="n"/>
      <c r="VXA1" s="87" t="n"/>
      <c r="VXB1" s="87" t="n"/>
      <c r="VXC1" s="87" t="n"/>
      <c r="VXD1" s="87" t="n"/>
      <c r="VXE1" s="87" t="n"/>
      <c r="VXF1" s="87" t="n"/>
      <c r="VXG1" s="87" t="n"/>
      <c r="VXH1" s="87" t="n"/>
      <c r="VXI1" s="87" t="n"/>
      <c r="VXJ1" s="87" t="n"/>
      <c r="VXK1" s="87" t="n"/>
      <c r="VXL1" s="87" t="n"/>
      <c r="VXM1" s="87" t="n"/>
      <c r="VXN1" s="87" t="n"/>
      <c r="VXO1" s="87" t="n"/>
      <c r="VXP1" s="87" t="n"/>
      <c r="VXQ1" s="87" t="n"/>
      <c r="VXR1" s="87" t="n"/>
      <c r="VXS1" s="87" t="n"/>
      <c r="VXT1" s="87" t="n"/>
      <c r="VXU1" s="87" t="n"/>
      <c r="VXV1" s="87" t="n"/>
      <c r="VXW1" s="87" t="n"/>
      <c r="VXX1" s="87" t="n"/>
      <c r="VXY1" s="87" t="n"/>
      <c r="VXZ1" s="87" t="n"/>
      <c r="VYA1" s="87" t="n"/>
      <c r="VYB1" s="87" t="n"/>
      <c r="VYC1" s="87" t="n"/>
      <c r="VYD1" s="87" t="n"/>
      <c r="VYE1" s="87" t="n"/>
      <c r="VYF1" s="87" t="n"/>
      <c r="VYG1" s="87" t="n"/>
      <c r="VYH1" s="87" t="n"/>
      <c r="VYI1" s="87" t="n"/>
      <c r="VYJ1" s="87" t="n"/>
      <c r="VYK1" s="87" t="n"/>
      <c r="VYL1" s="87" t="n"/>
      <c r="VYM1" s="87" t="n"/>
      <c r="VYN1" s="87" t="n"/>
      <c r="VYO1" s="87" t="n"/>
      <c r="VYP1" s="87" t="n"/>
      <c r="VYQ1" s="87" t="n"/>
      <c r="VYR1" s="87" t="n"/>
      <c r="VYS1" s="87" t="n"/>
      <c r="VYT1" s="87" t="n"/>
      <c r="VYU1" s="87" t="n"/>
      <c r="VYV1" s="87" t="n"/>
      <c r="VYW1" s="87" t="n"/>
      <c r="VYX1" s="87" t="n"/>
      <c r="VYY1" s="87" t="n"/>
      <c r="VYZ1" s="87" t="n"/>
      <c r="VZA1" s="87" t="n"/>
      <c r="VZB1" s="87" t="n"/>
      <c r="VZC1" s="87" t="n"/>
      <c r="VZD1" s="87" t="n"/>
      <c r="VZE1" s="87" t="n"/>
      <c r="VZF1" s="87" t="n"/>
      <c r="VZG1" s="87" t="n"/>
      <c r="VZH1" s="87" t="n"/>
      <c r="VZI1" s="87" t="n"/>
      <c r="VZJ1" s="87" t="n"/>
      <c r="VZK1" s="87" t="n"/>
      <c r="VZL1" s="87" t="n"/>
      <c r="VZM1" s="87" t="n"/>
      <c r="VZN1" s="87" t="n"/>
      <c r="VZO1" s="87" t="n"/>
      <c r="VZP1" s="87" t="n"/>
      <c r="VZQ1" s="87" t="n"/>
      <c r="VZR1" s="87" t="n"/>
      <c r="VZS1" s="87" t="n"/>
      <c r="VZT1" s="87" t="n"/>
      <c r="VZU1" s="87" t="n"/>
      <c r="VZV1" s="87" t="n"/>
      <c r="VZW1" s="87" t="n"/>
      <c r="VZX1" s="87" t="n"/>
      <c r="VZY1" s="87" t="n"/>
      <c r="VZZ1" s="87" t="n"/>
      <c r="WAA1" s="87" t="n"/>
      <c r="WAB1" s="87" t="n"/>
      <c r="WAC1" s="87" t="n"/>
      <c r="WAD1" s="87" t="n"/>
      <c r="WAE1" s="87" t="n"/>
      <c r="WAF1" s="87" t="n"/>
      <c r="WAG1" s="87" t="n"/>
      <c r="WAH1" s="87" t="n"/>
      <c r="WAI1" s="87" t="n"/>
      <c r="WAJ1" s="87" t="n"/>
      <c r="WAK1" s="87" t="n"/>
      <c r="WAL1" s="87" t="n"/>
      <c r="WAM1" s="87" t="n"/>
      <c r="WAN1" s="87" t="n"/>
      <c r="WAO1" s="87" t="n"/>
      <c r="WAP1" s="87" t="n"/>
      <c r="WAQ1" s="87" t="n"/>
      <c r="WAR1" s="87" t="n"/>
      <c r="WAS1" s="87" t="n"/>
      <c r="WAT1" s="87" t="n"/>
      <c r="WAU1" s="87" t="n"/>
      <c r="WAV1" s="87" t="n"/>
      <c r="WAW1" s="87" t="n"/>
      <c r="WAX1" s="87" t="n"/>
      <c r="WAY1" s="87" t="n"/>
      <c r="WAZ1" s="87" t="n"/>
      <c r="WBA1" s="87" t="n"/>
      <c r="WBB1" s="87" t="n"/>
      <c r="WBC1" s="87" t="n"/>
      <c r="WBD1" s="87" t="n"/>
      <c r="WBE1" s="87" t="n"/>
      <c r="WBF1" s="87" t="n"/>
      <c r="WBG1" s="87" t="n"/>
      <c r="WBH1" s="87" t="n"/>
      <c r="WBI1" s="87" t="n"/>
      <c r="WBJ1" s="87" t="n"/>
      <c r="WBK1" s="87" t="n"/>
      <c r="WBL1" s="87" t="n"/>
      <c r="WBM1" s="87" t="n"/>
      <c r="WBN1" s="87" t="n"/>
      <c r="WBO1" s="87" t="n"/>
      <c r="WBP1" s="87" t="n"/>
      <c r="WBQ1" s="87" t="n"/>
      <c r="WBR1" s="87" t="n"/>
      <c r="WBS1" s="87" t="n"/>
      <c r="WBT1" s="87" t="n"/>
      <c r="WBU1" s="87" t="n"/>
      <c r="WBV1" s="87" t="n"/>
      <c r="WBW1" s="87" t="n"/>
      <c r="WBX1" s="87" t="n"/>
      <c r="WBY1" s="87" t="n"/>
      <c r="WBZ1" s="87" t="n"/>
      <c r="WCA1" s="87" t="n"/>
      <c r="WCB1" s="87" t="n"/>
      <c r="WCC1" s="87" t="n"/>
      <c r="WCD1" s="87" t="n"/>
      <c r="WCE1" s="87" t="n"/>
      <c r="WCF1" s="87" t="n"/>
      <c r="WCG1" s="87" t="n"/>
      <c r="WCH1" s="87" t="n"/>
      <c r="WCI1" s="87" t="n"/>
      <c r="WCJ1" s="87" t="n"/>
      <c r="WCK1" s="87" t="n"/>
      <c r="WCL1" s="87" t="n"/>
      <c r="WCM1" s="87" t="n"/>
      <c r="WCN1" s="87" t="n"/>
      <c r="WCO1" s="87" t="n"/>
      <c r="WCP1" s="87" t="n"/>
      <c r="WCQ1" s="87" t="n"/>
      <c r="WCR1" s="87" t="n"/>
      <c r="WCS1" s="87" t="n"/>
      <c r="WCT1" s="87" t="n"/>
      <c r="WCU1" s="87" t="n"/>
      <c r="WCV1" s="87" t="n"/>
      <c r="WCW1" s="87" t="n"/>
      <c r="WCX1" s="87" t="n"/>
      <c r="WCY1" s="87" t="n"/>
      <c r="WCZ1" s="87" t="n"/>
      <c r="WDA1" s="87" t="n"/>
      <c r="WDB1" s="87" t="n"/>
      <c r="WDC1" s="87" t="n"/>
      <c r="WDD1" s="87" t="n"/>
      <c r="WDE1" s="87" t="n"/>
      <c r="WDF1" s="87" t="n"/>
      <c r="WDG1" s="87" t="n"/>
      <c r="WDH1" s="87" t="n"/>
      <c r="WDI1" s="87" t="n"/>
      <c r="WDJ1" s="87" t="n"/>
      <c r="WDK1" s="87" t="n"/>
      <c r="WDL1" s="87" t="n"/>
      <c r="WDM1" s="87" t="n"/>
      <c r="WDN1" s="87" t="n"/>
      <c r="WDO1" s="87" t="n"/>
      <c r="WDP1" s="87" t="n"/>
      <c r="WDQ1" s="87" t="n"/>
      <c r="WDR1" s="87" t="n"/>
      <c r="WDS1" s="87" t="n"/>
      <c r="WDT1" s="87" t="n"/>
      <c r="WDU1" s="87" t="n"/>
      <c r="WDV1" s="87" t="n"/>
      <c r="WDW1" s="87" t="n"/>
      <c r="WDX1" s="87" t="n"/>
      <c r="WDY1" s="87" t="n"/>
      <c r="WDZ1" s="87" t="n"/>
      <c r="WEA1" s="87" t="n"/>
      <c r="WEB1" s="87" t="n"/>
      <c r="WEC1" s="87" t="n"/>
      <c r="WED1" s="87" t="n"/>
      <c r="WEE1" s="87" t="n"/>
      <c r="WEF1" s="87" t="n"/>
      <c r="WEG1" s="87" t="n"/>
      <c r="WEH1" s="87" t="n"/>
      <c r="WEI1" s="87" t="n"/>
      <c r="WEJ1" s="87" t="n"/>
      <c r="WEK1" s="87" t="n"/>
      <c r="WEL1" s="87" t="n"/>
      <c r="WEM1" s="87" t="n"/>
      <c r="WEN1" s="87" t="n"/>
      <c r="WEO1" s="87" t="n"/>
      <c r="WEP1" s="87" t="n"/>
      <c r="WEQ1" s="87" t="n"/>
      <c r="WER1" s="87" t="n"/>
      <c r="WES1" s="87" t="n"/>
      <c r="WET1" s="87" t="n"/>
      <c r="WEU1" s="87" t="n"/>
      <c r="WEV1" s="87" t="n"/>
      <c r="WEW1" s="87" t="n"/>
      <c r="WEX1" s="87" t="n"/>
      <c r="WEY1" s="87" t="n"/>
      <c r="WEZ1" s="87" t="n"/>
      <c r="WFA1" s="87" t="n"/>
      <c r="WFB1" s="87" t="n"/>
      <c r="WFC1" s="87" t="n"/>
      <c r="WFD1" s="87" t="n"/>
      <c r="WFE1" s="87" t="n"/>
      <c r="WFF1" s="87" t="n"/>
      <c r="WFG1" s="87" t="n"/>
      <c r="WFH1" s="87" t="n"/>
      <c r="WFI1" s="87" t="n"/>
      <c r="WFJ1" s="87" t="n"/>
      <c r="WFK1" s="87" t="n"/>
      <c r="WFL1" s="87" t="n"/>
      <c r="WFM1" s="87" t="n"/>
      <c r="WFN1" s="87" t="n"/>
      <c r="WFO1" s="87" t="n"/>
      <c r="WFP1" s="87" t="n"/>
      <c r="WFQ1" s="87" t="n"/>
      <c r="WFR1" s="87" t="n"/>
      <c r="WFS1" s="87" t="n"/>
      <c r="WFT1" s="87" t="n"/>
      <c r="WFU1" s="87" t="n"/>
      <c r="WFV1" s="87" t="n"/>
      <c r="WFW1" s="87" t="n"/>
      <c r="WFX1" s="87" t="n"/>
      <c r="WFY1" s="87" t="n"/>
      <c r="WFZ1" s="87" t="n"/>
      <c r="WGA1" s="87" t="n"/>
      <c r="WGB1" s="87" t="n"/>
      <c r="WGC1" s="87" t="n"/>
      <c r="WGD1" s="87" t="n"/>
      <c r="WGE1" s="87" t="n"/>
      <c r="WGF1" s="87" t="n"/>
      <c r="WGG1" s="87" t="n"/>
      <c r="WGH1" s="87" t="n"/>
      <c r="WGI1" s="87" t="n"/>
      <c r="WGJ1" s="87" t="n"/>
      <c r="WGK1" s="87" t="n"/>
      <c r="WGL1" s="87" t="n"/>
      <c r="WGM1" s="87" t="n"/>
      <c r="WGN1" s="87" t="n"/>
      <c r="WGO1" s="87" t="n"/>
      <c r="WGP1" s="87" t="n"/>
      <c r="WGQ1" s="87" t="n"/>
      <c r="WGR1" s="87" t="n"/>
      <c r="WGS1" s="87" t="n"/>
      <c r="WGT1" s="87" t="n"/>
      <c r="WGU1" s="87" t="n"/>
      <c r="WGV1" s="87" t="n"/>
      <c r="WGW1" s="87" t="n"/>
      <c r="WGX1" s="87" t="n"/>
      <c r="WGY1" s="87" t="n"/>
      <c r="WGZ1" s="87" t="n"/>
      <c r="WHA1" s="87" t="n"/>
      <c r="WHB1" s="87" t="n"/>
      <c r="WHC1" s="87" t="n"/>
      <c r="WHD1" s="87" t="n"/>
      <c r="WHE1" s="87" t="n"/>
      <c r="WHF1" s="87" t="n"/>
      <c r="WHG1" s="87" t="n"/>
      <c r="WHH1" s="87" t="n"/>
      <c r="WHI1" s="87" t="n"/>
      <c r="WHJ1" s="87" t="n"/>
      <c r="WHK1" s="87" t="n"/>
      <c r="WHL1" s="87" t="n"/>
      <c r="WHM1" s="87" t="n"/>
      <c r="WHN1" s="87" t="n"/>
      <c r="WHO1" s="87" t="n"/>
      <c r="WHP1" s="87" t="n"/>
      <c r="WHQ1" s="87" t="n"/>
      <c r="WHR1" s="87" t="n"/>
      <c r="WHS1" s="87" t="n"/>
      <c r="WHT1" s="87" t="n"/>
      <c r="WHU1" s="87" t="n"/>
      <c r="WHV1" s="87" t="n"/>
      <c r="WHW1" s="87" t="n"/>
      <c r="WHX1" s="87" t="n"/>
      <c r="WHY1" s="87" t="n"/>
      <c r="WHZ1" s="87" t="n"/>
      <c r="WIA1" s="87" t="n"/>
      <c r="WIB1" s="87" t="n"/>
      <c r="WIC1" s="87" t="n"/>
      <c r="WID1" s="87" t="n"/>
      <c r="WIE1" s="87" t="n"/>
      <c r="WIF1" s="87" t="n"/>
      <c r="WIG1" s="87" t="n"/>
      <c r="WIH1" s="87" t="n"/>
      <c r="WII1" s="87" t="n"/>
      <c r="WIJ1" s="87" t="n"/>
      <c r="WIK1" s="87" t="n"/>
      <c r="WIL1" s="87" t="n"/>
      <c r="WIM1" s="87" t="n"/>
      <c r="WIN1" s="87" t="n"/>
      <c r="WIO1" s="87" t="n"/>
      <c r="WIP1" s="87" t="n"/>
      <c r="WIQ1" s="87" t="n"/>
      <c r="WIR1" s="87" t="n"/>
      <c r="WIS1" s="87" t="n"/>
      <c r="WIT1" s="87" t="n"/>
      <c r="WIU1" s="87" t="n"/>
      <c r="WIV1" s="87" t="n"/>
      <c r="WIW1" s="87" t="n"/>
      <c r="WIX1" s="87" t="n"/>
      <c r="WIY1" s="87" t="n"/>
      <c r="WIZ1" s="87" t="n"/>
      <c r="WJA1" s="87" t="n"/>
      <c r="WJB1" s="87" t="n"/>
      <c r="WJC1" s="87" t="n"/>
      <c r="WJD1" s="87" t="n"/>
      <c r="WJE1" s="87" t="n"/>
      <c r="WJF1" s="87" t="n"/>
      <c r="WJG1" s="87" t="n"/>
      <c r="WJH1" s="87" t="n"/>
      <c r="WJI1" s="87" t="n"/>
      <c r="WJJ1" s="87" t="n"/>
      <c r="WJK1" s="87" t="n"/>
      <c r="WJL1" s="87" t="n"/>
      <c r="WJM1" s="87" t="n"/>
      <c r="WJN1" s="87" t="n"/>
      <c r="WJO1" s="87" t="n"/>
      <c r="WJP1" s="87" t="n"/>
      <c r="WJQ1" s="87" t="n"/>
      <c r="WJR1" s="87" t="n"/>
      <c r="WJS1" s="87" t="n"/>
      <c r="WJT1" s="87" t="n"/>
      <c r="WJU1" s="87" t="n"/>
      <c r="WJV1" s="87" t="n"/>
      <c r="WJW1" s="87" t="n"/>
      <c r="WJX1" s="87" t="n"/>
      <c r="WJY1" s="87" t="n"/>
      <c r="WJZ1" s="87" t="n"/>
      <c r="WKA1" s="87" t="n"/>
      <c r="WKB1" s="87" t="n"/>
      <c r="WKC1" s="87" t="n"/>
      <c r="WKD1" s="87" t="n"/>
      <c r="WKE1" s="87" t="n"/>
      <c r="WKF1" s="87" t="n"/>
      <c r="WKG1" s="87" t="n"/>
      <c r="WKH1" s="87" t="n"/>
      <c r="WKI1" s="87" t="n"/>
      <c r="WKJ1" s="87" t="n"/>
      <c r="WKK1" s="87" t="n"/>
      <c r="WKL1" s="87" t="n"/>
      <c r="WKM1" s="87" t="n"/>
      <c r="WKN1" s="87" t="n"/>
      <c r="WKO1" s="87" t="n"/>
      <c r="WKP1" s="87" t="n"/>
      <c r="WKQ1" s="87" t="n"/>
      <c r="WKR1" s="87" t="n"/>
      <c r="WKS1" s="87" t="n"/>
      <c r="WKT1" s="87" t="n"/>
      <c r="WKU1" s="87" t="n"/>
      <c r="WKV1" s="87" t="n"/>
      <c r="WKW1" s="87" t="n"/>
      <c r="WKX1" s="87" t="n"/>
      <c r="WKY1" s="87" t="n"/>
      <c r="WKZ1" s="87" t="n"/>
      <c r="WLA1" s="87" t="n"/>
      <c r="WLB1" s="87" t="n"/>
      <c r="WLC1" s="87" t="n"/>
      <c r="WLD1" s="87" t="n"/>
      <c r="WLE1" s="87" t="n"/>
      <c r="WLF1" s="87" t="n"/>
      <c r="WLG1" s="87" t="n"/>
      <c r="WLH1" s="87" t="n"/>
      <c r="WLI1" s="87" t="n"/>
      <c r="WLJ1" s="87" t="n"/>
      <c r="WLK1" s="87" t="n"/>
      <c r="WLL1" s="87" t="n"/>
      <c r="WLM1" s="87" t="n"/>
      <c r="WLN1" s="87" t="n"/>
      <c r="WLO1" s="87" t="n"/>
      <c r="WLP1" s="87" t="n"/>
      <c r="WLQ1" s="87" t="n"/>
      <c r="WLR1" s="87" t="n"/>
      <c r="WLS1" s="87" t="n"/>
      <c r="WLT1" s="87" t="n"/>
      <c r="WLU1" s="87" t="n"/>
      <c r="WLV1" s="87" t="n"/>
      <c r="WLW1" s="87" t="n"/>
      <c r="WLX1" s="87" t="n"/>
      <c r="WLY1" s="87" t="n"/>
      <c r="WLZ1" s="87" t="n"/>
      <c r="WMA1" s="87" t="n"/>
      <c r="WMB1" s="87" t="n"/>
      <c r="WMC1" s="87" t="n"/>
      <c r="WMD1" s="87" t="n"/>
      <c r="WME1" s="87" t="n"/>
      <c r="WMF1" s="87" t="n"/>
      <c r="WMG1" s="87" t="n"/>
      <c r="WMH1" s="87" t="n"/>
      <c r="WMI1" s="87" t="n"/>
      <c r="WMJ1" s="87" t="n"/>
      <c r="WMK1" s="87" t="n"/>
      <c r="WML1" s="87" t="n"/>
      <c r="WMM1" s="87" t="n"/>
      <c r="WMN1" s="87" t="n"/>
      <c r="WMO1" s="87" t="n"/>
      <c r="WMP1" s="87" t="n"/>
      <c r="WMQ1" s="87" t="n"/>
      <c r="WMR1" s="87" t="n"/>
      <c r="WMS1" s="87" t="n"/>
      <c r="WMT1" s="87" t="n"/>
      <c r="WMU1" s="87" t="n"/>
      <c r="WMV1" s="87" t="n"/>
      <c r="WMW1" s="87" t="n"/>
      <c r="WMX1" s="87" t="n"/>
      <c r="WMY1" s="87" t="n"/>
      <c r="WMZ1" s="87" t="n"/>
      <c r="WNA1" s="87" t="n"/>
      <c r="WNB1" s="87" t="n"/>
      <c r="WNC1" s="87" t="n"/>
      <c r="WND1" s="87" t="n"/>
      <c r="WNE1" s="87" t="n"/>
      <c r="WNF1" s="87" t="n"/>
      <c r="WNG1" s="87" t="n"/>
      <c r="WNH1" s="87" t="n"/>
      <c r="WNI1" s="87" t="n"/>
      <c r="WNJ1" s="87" t="n"/>
      <c r="WNK1" s="87" t="n"/>
      <c r="WNL1" s="87" t="n"/>
      <c r="WNM1" s="87" t="n"/>
      <c r="WNN1" s="87" t="n"/>
      <c r="WNO1" s="87" t="n"/>
      <c r="WNP1" s="87" t="n"/>
      <c r="WNQ1" s="87" t="n"/>
      <c r="WNR1" s="87" t="n"/>
      <c r="WNS1" s="87" t="n"/>
      <c r="WNT1" s="87" t="n"/>
      <c r="WNU1" s="87" t="n"/>
      <c r="WNV1" s="87" t="n"/>
      <c r="WNW1" s="87" t="n"/>
      <c r="WNX1" s="87" t="n"/>
      <c r="WNY1" s="87" t="n"/>
      <c r="WNZ1" s="87" t="n"/>
      <c r="WOA1" s="87" t="n"/>
      <c r="WOB1" s="87" t="n"/>
      <c r="WOC1" s="87" t="n"/>
      <c r="WOD1" s="87" t="n"/>
      <c r="WOE1" s="87" t="n"/>
      <c r="WOF1" s="87" t="n"/>
      <c r="WOG1" s="87" t="n"/>
      <c r="WOH1" s="87" t="n"/>
      <c r="WOI1" s="87" t="n"/>
      <c r="WOJ1" s="87" t="n"/>
      <c r="WOK1" s="87" t="n"/>
      <c r="WOL1" s="87" t="n"/>
      <c r="WOM1" s="87" t="n"/>
      <c r="WON1" s="87" t="n"/>
      <c r="WOO1" s="87" t="n"/>
      <c r="WOP1" s="87" t="n"/>
      <c r="WOQ1" s="87" t="n"/>
      <c r="WOR1" s="87" t="n"/>
      <c r="WOS1" s="87" t="n"/>
      <c r="WOT1" s="87" t="n"/>
      <c r="WOU1" s="87" t="n"/>
      <c r="WOV1" s="87" t="n"/>
      <c r="WOW1" s="87" t="n"/>
      <c r="WOX1" s="87" t="n"/>
      <c r="WOY1" s="87" t="n"/>
      <c r="WOZ1" s="87" t="n"/>
      <c r="WPA1" s="87" t="n"/>
      <c r="WPB1" s="87" t="n"/>
      <c r="WPC1" s="87" t="n"/>
      <c r="WPD1" s="87" t="n"/>
      <c r="WPE1" s="87" t="n"/>
      <c r="WPF1" s="87" t="n"/>
      <c r="WPG1" s="87" t="n"/>
      <c r="WPH1" s="87" t="n"/>
      <c r="WPI1" s="87" t="n"/>
      <c r="WPJ1" s="87" t="n"/>
      <c r="WPK1" s="87" t="n"/>
      <c r="WPL1" s="87" t="n"/>
      <c r="WPM1" s="87" t="n"/>
      <c r="WPN1" s="87" t="n"/>
      <c r="WPO1" s="87" t="n"/>
      <c r="WPP1" s="87" t="n"/>
      <c r="WPQ1" s="87" t="n"/>
      <c r="WPR1" s="87" t="n"/>
      <c r="WPS1" s="87" t="n"/>
      <c r="WPT1" s="87" t="n"/>
      <c r="WPU1" s="87" t="n"/>
      <c r="WPV1" s="87" t="n"/>
      <c r="WPW1" s="87" t="n"/>
      <c r="WPX1" s="87" t="n"/>
      <c r="WPY1" s="87" t="n"/>
      <c r="WPZ1" s="87" t="n"/>
      <c r="WQA1" s="87" t="n"/>
      <c r="WQB1" s="87" t="n"/>
      <c r="WQC1" s="87" t="n"/>
      <c r="WQD1" s="87" t="n"/>
      <c r="WQE1" s="87" t="n"/>
      <c r="WQF1" s="87" t="n"/>
      <c r="WQG1" s="87" t="n"/>
      <c r="WQH1" s="87" t="n"/>
      <c r="WQI1" s="87" t="n"/>
      <c r="WQJ1" s="87" t="n"/>
      <c r="WQK1" s="87" t="n"/>
      <c r="WQL1" s="87" t="n"/>
      <c r="WQM1" s="87" t="n"/>
      <c r="WQN1" s="87" t="n"/>
      <c r="WQO1" s="87" t="n"/>
      <c r="WQP1" s="87" t="n"/>
      <c r="WQQ1" s="87" t="n"/>
      <c r="WQR1" s="87" t="n"/>
      <c r="WQS1" s="87" t="n"/>
      <c r="WQT1" s="87" t="n"/>
      <c r="WQU1" s="87" t="n"/>
      <c r="WQV1" s="87" t="n"/>
      <c r="WQW1" s="87" t="n"/>
      <c r="WQX1" s="87" t="n"/>
      <c r="WQY1" s="87" t="n"/>
      <c r="WQZ1" s="87" t="n"/>
      <c r="WRA1" s="87" t="n"/>
      <c r="WRB1" s="87" t="n"/>
      <c r="WRC1" s="87" t="n"/>
      <c r="WRD1" s="87" t="n"/>
      <c r="WRE1" s="87" t="n"/>
      <c r="WRF1" s="87" t="n"/>
      <c r="WRG1" s="87" t="n"/>
      <c r="WRH1" s="87" t="n"/>
      <c r="WRI1" s="87" t="n"/>
      <c r="WRJ1" s="87" t="n"/>
      <c r="WRK1" s="87" t="n"/>
      <c r="WRL1" s="87" t="n"/>
      <c r="WRM1" s="87" t="n"/>
      <c r="WRN1" s="87" t="n"/>
      <c r="WRO1" s="87" t="n"/>
      <c r="WRP1" s="87" t="n"/>
      <c r="WRQ1" s="87" t="n"/>
      <c r="WRR1" s="87" t="n"/>
      <c r="WRS1" s="87" t="n"/>
      <c r="WRT1" s="87" t="n"/>
      <c r="WRU1" s="87" t="n"/>
      <c r="WRV1" s="87" t="n"/>
      <c r="WRW1" s="87" t="n"/>
      <c r="WRX1" s="87" t="n"/>
      <c r="WRY1" s="87" t="n"/>
      <c r="WRZ1" s="87" t="n"/>
      <c r="WSA1" s="87" t="n"/>
      <c r="WSB1" s="87" t="n"/>
      <c r="WSC1" s="87" t="n"/>
      <c r="WSD1" s="87" t="n"/>
      <c r="WSE1" s="87" t="n"/>
      <c r="WSF1" s="87" t="n"/>
      <c r="WSG1" s="87" t="n"/>
      <c r="WSH1" s="87" t="n"/>
      <c r="WSI1" s="87" t="n"/>
      <c r="WSJ1" s="87" t="n"/>
      <c r="WSK1" s="87" t="n"/>
      <c r="WSL1" s="87" t="n"/>
      <c r="WSM1" s="87" t="n"/>
      <c r="WSN1" s="87" t="n"/>
      <c r="WSO1" s="87" t="n"/>
      <c r="WSP1" s="87" t="n"/>
      <c r="WSQ1" s="87" t="n"/>
      <c r="WSR1" s="87" t="n"/>
      <c r="WSS1" s="87" t="n"/>
      <c r="WST1" s="87" t="n"/>
      <c r="WSU1" s="87" t="n"/>
      <c r="WSV1" s="87" t="n"/>
      <c r="WSW1" s="87" t="n"/>
      <c r="WSX1" s="87" t="n"/>
      <c r="WSY1" s="87" t="n"/>
      <c r="WSZ1" s="87" t="n"/>
      <c r="WTA1" s="87" t="n"/>
      <c r="WTB1" s="87" t="n"/>
      <c r="WTC1" s="87" t="n"/>
      <c r="WTD1" s="87" t="n"/>
      <c r="WTE1" s="87" t="n"/>
      <c r="WTF1" s="87" t="n"/>
      <c r="WTG1" s="87" t="n"/>
      <c r="WTH1" s="87" t="n"/>
      <c r="WTI1" s="87" t="n"/>
      <c r="WTJ1" s="87" t="n"/>
      <c r="WTK1" s="87" t="n"/>
      <c r="WTL1" s="87" t="n"/>
      <c r="WTM1" s="87" t="n"/>
      <c r="WTN1" s="87" t="n"/>
      <c r="WTO1" s="87" t="n"/>
      <c r="WTP1" s="87" t="n"/>
      <c r="WTQ1" s="87" t="n"/>
      <c r="WTR1" s="87" t="n"/>
      <c r="WTS1" s="87" t="n"/>
      <c r="WTT1" s="87" t="n"/>
      <c r="WTU1" s="87" t="n"/>
      <c r="WTV1" s="87" t="n"/>
      <c r="WTW1" s="87" t="n"/>
      <c r="WTX1" s="87" t="n"/>
      <c r="WTY1" s="87" t="n"/>
      <c r="WTZ1" s="87" t="n"/>
      <c r="WUA1" s="87" t="n"/>
      <c r="WUB1" s="87" t="n"/>
      <c r="WUC1" s="87" t="n"/>
      <c r="WUD1" s="87" t="n"/>
      <c r="WUE1" s="87" t="n"/>
      <c r="WUF1" s="87" t="n"/>
      <c r="WUG1" s="87" t="n"/>
      <c r="WUH1" s="87" t="n"/>
      <c r="WUI1" s="87" t="n"/>
      <c r="WUJ1" s="87" t="n"/>
      <c r="WUK1" s="87" t="n"/>
      <c r="WUL1" s="87" t="n"/>
      <c r="WUM1" s="87" t="n"/>
      <c r="WUN1" s="87" t="n"/>
      <c r="WUO1" s="87" t="n"/>
      <c r="WUP1" s="87" t="n"/>
      <c r="WUQ1" s="87" t="n"/>
      <c r="WUR1" s="87" t="n"/>
      <c r="WUS1" s="87" t="n"/>
      <c r="WUT1" s="87" t="n"/>
      <c r="WUU1" s="87" t="n"/>
      <c r="WUV1" s="87" t="n"/>
      <c r="WUW1" s="87" t="n"/>
      <c r="WUX1" s="87" t="n"/>
      <c r="WUY1" s="87" t="n"/>
      <c r="WUZ1" s="87" t="n"/>
      <c r="WVA1" s="87" t="n"/>
      <c r="WVB1" s="87" t="n"/>
      <c r="WVC1" s="87" t="n"/>
      <c r="WVD1" s="87" t="n"/>
      <c r="WVE1" s="87" t="n"/>
      <c r="WVF1" s="87" t="n"/>
      <c r="WVG1" s="87" t="n"/>
      <c r="WVH1" s="87" t="n"/>
      <c r="WVI1" s="87" t="n"/>
      <c r="WVJ1" s="87" t="n"/>
      <c r="WVK1" s="87" t="n"/>
      <c r="WVL1" s="87" t="n"/>
      <c r="WVM1" s="87" t="n"/>
      <c r="WVN1" s="87" t="n"/>
      <c r="WVO1" s="87" t="n"/>
      <c r="WVP1" s="87" t="n"/>
      <c r="WVQ1" s="87" t="n"/>
      <c r="WVR1" s="87" t="n"/>
      <c r="WVS1" s="87" t="n"/>
      <c r="WVT1" s="87" t="n"/>
      <c r="WVU1" s="87" t="n"/>
      <c r="WVV1" s="87" t="n"/>
      <c r="WVW1" s="87" t="n"/>
      <c r="WVX1" s="87" t="n"/>
      <c r="WVY1" s="87" t="n"/>
      <c r="WVZ1" s="87" t="n"/>
      <c r="WWA1" s="87" t="n"/>
      <c r="WWB1" s="87" t="n"/>
      <c r="WWC1" s="87" t="n"/>
      <c r="WWD1" s="87" t="n"/>
      <c r="WWE1" s="87" t="n"/>
      <c r="WWF1" s="87" t="n"/>
      <c r="WWG1" s="87" t="n"/>
      <c r="WWH1" s="87" t="n"/>
      <c r="WWI1" s="87" t="n"/>
      <c r="WWJ1" s="87" t="n"/>
      <c r="WWK1" s="87" t="n"/>
      <c r="WWL1" s="87" t="n"/>
      <c r="WWM1" s="87" t="n"/>
      <c r="WWN1" s="87" t="n"/>
      <c r="WWO1" s="87" t="n"/>
      <c r="WWP1" s="87" t="n"/>
      <c r="WWQ1" s="87" t="n"/>
      <c r="WWR1" s="87" t="n"/>
      <c r="WWS1" s="87" t="n"/>
      <c r="WWT1" s="87" t="n"/>
      <c r="WWU1" s="87" t="n"/>
      <c r="WWV1" s="87" t="n"/>
      <c r="WWW1" s="87" t="n"/>
      <c r="WWX1" s="87" t="n"/>
      <c r="WWY1" s="87" t="n"/>
      <c r="WWZ1" s="87" t="n"/>
      <c r="WXA1" s="87" t="n"/>
      <c r="WXB1" s="87" t="n"/>
      <c r="WXC1" s="87" t="n"/>
      <c r="WXD1" s="87" t="n"/>
      <c r="WXE1" s="87" t="n"/>
      <c r="WXF1" s="87" t="n"/>
      <c r="WXG1" s="87" t="n"/>
      <c r="WXH1" s="87" t="n"/>
      <c r="WXI1" s="87" t="n"/>
      <c r="WXJ1" s="87" t="n"/>
      <c r="WXK1" s="87" t="n"/>
      <c r="WXL1" s="87" t="n"/>
      <c r="WXM1" s="87" t="n"/>
      <c r="WXN1" s="87" t="n"/>
      <c r="WXO1" s="87" t="n"/>
      <c r="WXP1" s="87" t="n"/>
      <c r="WXQ1" s="87" t="n"/>
      <c r="WXR1" s="87" t="n"/>
      <c r="WXS1" s="87" t="n"/>
      <c r="WXT1" s="87" t="n"/>
      <c r="WXU1" s="87" t="n"/>
      <c r="WXV1" s="87" t="n"/>
      <c r="WXW1" s="87" t="n"/>
      <c r="WXX1" s="87" t="n"/>
      <c r="WXY1" s="87" t="n"/>
      <c r="WXZ1" s="87" t="n"/>
      <c r="WYA1" s="87" t="n"/>
      <c r="WYB1" s="87" t="n"/>
      <c r="WYC1" s="87" t="n"/>
      <c r="WYD1" s="87" t="n"/>
      <c r="WYE1" s="87" t="n"/>
      <c r="WYF1" s="87" t="n"/>
      <c r="WYG1" s="87" t="n"/>
      <c r="WYH1" s="87" t="n"/>
      <c r="WYI1" s="87" t="n"/>
      <c r="WYJ1" s="87" t="n"/>
      <c r="WYK1" s="87" t="n"/>
      <c r="WYL1" s="87" t="n"/>
      <c r="WYM1" s="87" t="n"/>
      <c r="WYN1" s="87" t="n"/>
      <c r="WYO1" s="87" t="n"/>
      <c r="WYP1" s="87" t="n"/>
      <c r="WYQ1" s="87" t="n"/>
      <c r="WYR1" s="87" t="n"/>
      <c r="WYS1" s="87" t="n"/>
      <c r="WYT1" s="87" t="n"/>
      <c r="WYU1" s="87" t="n"/>
      <c r="WYV1" s="87" t="n"/>
      <c r="WYW1" s="87" t="n"/>
      <c r="WYX1" s="87" t="n"/>
      <c r="WYY1" s="87" t="n"/>
      <c r="WYZ1" s="87" t="n"/>
      <c r="WZA1" s="87" t="n"/>
      <c r="WZB1" s="87" t="n"/>
      <c r="WZC1" s="87" t="n"/>
      <c r="WZD1" s="87" t="n"/>
      <c r="WZE1" s="87" t="n"/>
      <c r="WZF1" s="87" t="n"/>
      <c r="WZG1" s="87" t="n"/>
      <c r="WZH1" s="87" t="n"/>
      <c r="WZI1" s="87" t="n"/>
      <c r="WZJ1" s="87" t="n"/>
      <c r="WZK1" s="87" t="n"/>
      <c r="WZL1" s="87" t="n"/>
      <c r="WZM1" s="87" t="n"/>
      <c r="WZN1" s="87" t="n"/>
      <c r="WZO1" s="87" t="n"/>
      <c r="WZP1" s="87" t="n"/>
      <c r="WZQ1" s="87" t="n"/>
      <c r="WZR1" s="87" t="n"/>
      <c r="WZS1" s="87" t="n"/>
      <c r="WZT1" s="87" t="n"/>
      <c r="WZU1" s="87" t="n"/>
      <c r="WZV1" s="87" t="n"/>
      <c r="WZW1" s="87" t="n"/>
      <c r="WZX1" s="87" t="n"/>
      <c r="WZY1" s="87" t="n"/>
      <c r="WZZ1" s="87" t="n"/>
      <c r="XAA1" s="87" t="n"/>
      <c r="XAB1" s="87" t="n"/>
      <c r="XAC1" s="87" t="n"/>
      <c r="XAD1" s="87" t="n"/>
      <c r="XAE1" s="87" t="n"/>
      <c r="XAF1" s="87" t="n"/>
      <c r="XAG1" s="87" t="n"/>
      <c r="XAH1" s="87" t="n"/>
      <c r="XAI1" s="87" t="n"/>
      <c r="XAJ1" s="87" t="n"/>
      <c r="XAK1" s="87" t="n"/>
      <c r="XAL1" s="87" t="n"/>
      <c r="XAM1" s="87" t="n"/>
      <c r="XAN1" s="87" t="n"/>
      <c r="XAO1" s="87" t="n"/>
      <c r="XAP1" s="87" t="n"/>
      <c r="XAQ1" s="87" t="n"/>
      <c r="XAR1" s="87" t="n"/>
      <c r="XAS1" s="87" t="n"/>
      <c r="XAT1" s="87" t="n"/>
      <c r="XAU1" s="87" t="n"/>
      <c r="XAV1" s="87" t="n"/>
      <c r="XAW1" s="87" t="n"/>
      <c r="XAX1" s="87" t="n"/>
      <c r="XAY1" s="87" t="n"/>
      <c r="XAZ1" s="87" t="n"/>
      <c r="XBA1" s="87" t="n"/>
      <c r="XBB1" s="87" t="n"/>
      <c r="XBC1" s="87" t="n"/>
      <c r="XBD1" s="87" t="n"/>
      <c r="XBE1" s="87" t="n"/>
      <c r="XBF1" s="87" t="n"/>
      <c r="XBG1" s="87" t="n"/>
      <c r="XBH1" s="87" t="n"/>
      <c r="XBI1" s="87" t="n"/>
      <c r="XBJ1" s="87" t="n"/>
      <c r="XBK1" s="87" t="n"/>
      <c r="XBL1" s="87" t="n"/>
      <c r="XBM1" s="87" t="n"/>
      <c r="XBN1" s="87" t="n"/>
      <c r="XBO1" s="87" t="n"/>
      <c r="XBP1" s="87" t="n"/>
      <c r="XBQ1" s="87" t="n"/>
      <c r="XBR1" s="87" t="n"/>
      <c r="XBS1" s="87" t="n"/>
      <c r="XBT1" s="87" t="n"/>
      <c r="XBU1" s="87" t="n"/>
      <c r="XBV1" s="87" t="n"/>
      <c r="XBW1" s="87" t="n"/>
      <c r="XBX1" s="87" t="n"/>
      <c r="XBY1" s="87" t="n"/>
      <c r="XBZ1" s="87" t="n"/>
      <c r="XCA1" s="87" t="n"/>
      <c r="XCB1" s="87" t="n"/>
      <c r="XCC1" s="87" t="n"/>
      <c r="XCD1" s="87" t="n"/>
      <c r="XCE1" s="87" t="n"/>
      <c r="XCF1" s="87" t="n"/>
      <c r="XCG1" s="87" t="n"/>
      <c r="XCH1" s="87" t="n"/>
      <c r="XCI1" s="87" t="n"/>
      <c r="XCJ1" s="87" t="n"/>
      <c r="XCK1" s="87" t="n"/>
      <c r="XCL1" s="87" t="n"/>
      <c r="XCM1" s="87" t="n"/>
      <c r="XCN1" s="87" t="n"/>
      <c r="XCO1" s="87" t="n"/>
      <c r="XCP1" s="87" t="n"/>
      <c r="XCQ1" s="87" t="n"/>
      <c r="XCR1" s="87" t="n"/>
      <c r="XCS1" s="87" t="n"/>
      <c r="XCT1" s="87" t="n"/>
      <c r="XCU1" s="87" t="n"/>
      <c r="XCV1" s="87" t="n"/>
      <c r="XCW1" s="87" t="n"/>
      <c r="XCX1" s="87" t="n"/>
      <c r="XCY1" s="87" t="n"/>
      <c r="XCZ1" s="87" t="n"/>
      <c r="XDA1" s="87" t="n"/>
      <c r="XDB1" s="87" t="n"/>
      <c r="XDC1" s="87" t="n"/>
      <c r="XDD1" s="87" t="n"/>
      <c r="XDE1" s="87" t="n"/>
      <c r="XDF1" s="87" t="n"/>
      <c r="XDG1" s="87" t="n"/>
      <c r="XDH1" s="87" t="n"/>
      <c r="XDI1" s="87" t="n"/>
      <c r="XDJ1" s="87" t="n"/>
      <c r="XDK1" s="87" t="n"/>
      <c r="XDL1" s="87" t="n"/>
      <c r="XDM1" s="87" t="n"/>
      <c r="XDN1" s="87" t="n"/>
      <c r="XDO1" s="87" t="n"/>
      <c r="XDP1" s="87" t="n"/>
      <c r="XDQ1" s="87" t="n"/>
      <c r="XDR1" s="87" t="n"/>
      <c r="XDS1" s="87" t="n"/>
      <c r="XDT1" s="87" t="n"/>
      <c r="XDU1" s="87" t="n"/>
      <c r="XDV1" s="87" t="n"/>
      <c r="XDW1" s="87" t="n"/>
      <c r="XDX1" s="87" t="n"/>
      <c r="XDY1" s="87" t="n"/>
      <c r="XDZ1" s="87" t="n"/>
      <c r="XEA1" s="87" t="n"/>
      <c r="XEB1" s="87" t="n"/>
      <c r="XEC1" s="87" t="n"/>
      <c r="XED1" s="87" t="n"/>
      <c r="XEE1" s="87" t="n"/>
      <c r="XEF1" s="87" t="n"/>
      <c r="XEG1" s="87" t="n"/>
      <c r="XEH1" s="87" t="n"/>
      <c r="XEI1" s="87" t="n"/>
      <c r="XEJ1" s="87" t="n"/>
      <c r="XEK1" s="87" t="n"/>
    </row>
    <row r="2">
      <c r="A2">
        <f>I2&amp;"-"&amp;J2</f>
        <v/>
      </c>
      <c r="B2" s="1">
        <f>N2</f>
        <v/>
      </c>
      <c r="C2">
        <f>M2&amp;"/"&amp;O2</f>
        <v/>
      </c>
      <c r="D2">
        <f>K2</f>
        <v/>
      </c>
      <c r="E2">
        <f>L2</f>
        <v/>
      </c>
      <c r="F2" s="236">
        <f>Z2</f>
        <v/>
      </c>
      <c r="G2">
        <f>U2&amp;"%"</f>
        <v/>
      </c>
      <c r="I2" s="53" t="n">
        <v>2023</v>
      </c>
      <c r="J2" s="53" t="n">
        <v>1</v>
      </c>
      <c r="K2" s="71" t="inlineStr">
        <is>
          <t>Einnahmen</t>
        </is>
      </c>
      <c r="L2" t="inlineStr">
        <is>
          <t>Waren-/Leistungserlöse</t>
        </is>
      </c>
      <c r="M2" s="6" t="n">
        <v>12022027</v>
      </c>
      <c r="N2" s="1" t="n">
        <v>44948</v>
      </c>
      <c r="O2" t="inlineStr">
        <is>
          <t>ZT DI Dr. Arno Kolbitsch, Gütleweg 1, 6822 Satteins</t>
        </is>
      </c>
      <c r="Q2" s="76" t="n"/>
      <c r="R2" t="b">
        <v>0</v>
      </c>
      <c r="S2" s="214" t="n">
        <v>529.3</v>
      </c>
      <c r="T2" s="159" t="n">
        <v>1</v>
      </c>
      <c r="U2" t="n">
        <v>20</v>
      </c>
      <c r="V2" s="237" t="n">
        <v>105.86</v>
      </c>
      <c r="W2" s="237" t="n">
        <v>105.86</v>
      </c>
      <c r="X2" s="208" t="n">
        <v>529.3</v>
      </c>
      <c r="Y2" s="251" t="n">
        <v>635.16</v>
      </c>
      <c r="Z2" s="251" t="n">
        <v>635.16</v>
      </c>
      <c r="AA2" s="35" t="n">
        <v>45000</v>
      </c>
      <c r="AB2" s="27" t="n"/>
      <c r="AC2" s="27" t="n"/>
      <c r="AD2" s="210" t="n">
        <v>529.3</v>
      </c>
      <c r="AE2" s="237" t="n">
        <v>0</v>
      </c>
      <c r="AF2" t="b">
        <v>0</v>
      </c>
      <c r="AG2" s="228" t="n">
        <v>529.3</v>
      </c>
    </row>
    <row r="3">
      <c r="A3">
        <f>I3&amp;"-"&amp;J3</f>
        <v/>
      </c>
      <c r="B3" s="1">
        <f>N3</f>
        <v/>
      </c>
      <c r="C3">
        <f>M3&amp;"/"&amp;O3</f>
        <v/>
      </c>
      <c r="D3">
        <f>K3</f>
        <v/>
      </c>
      <c r="E3">
        <f>L3</f>
        <v/>
      </c>
      <c r="F3" s="236">
        <f>Z3</f>
        <v/>
      </c>
      <c r="G3">
        <f>U3&amp;"%"</f>
        <v/>
      </c>
      <c r="I3" s="53" t="n">
        <v>2023</v>
      </c>
      <c r="J3" s="53" t="n">
        <v>2</v>
      </c>
      <c r="K3" s="71" t="inlineStr">
        <is>
          <t>Ausgaben</t>
        </is>
      </c>
      <c r="L3" t="inlineStr">
        <is>
          <t>sonstige Betriebsausgaben</t>
        </is>
      </c>
      <c r="M3" s="9" t="n"/>
      <c r="N3" s="1" t="n">
        <v>44928</v>
      </c>
      <c r="O3" t="inlineStr">
        <is>
          <t>Google Ireland Ltd, Gordon House, Barrow Street, Dublin 4, Ireland; VAT number: IE 6388047V</t>
        </is>
      </c>
      <c r="Q3" s="76" t="n"/>
      <c r="R3" t="b">
        <v>0</v>
      </c>
      <c r="S3" s="214" t="n">
        <v>9.359999999999999</v>
      </c>
      <c r="T3" s="159" t="n">
        <v>1</v>
      </c>
      <c r="U3" t="n">
        <v>0</v>
      </c>
      <c r="V3" s="237" t="n">
        <v>0</v>
      </c>
      <c r="W3" s="237" t="n">
        <v>0</v>
      </c>
      <c r="X3" s="208" t="n">
        <v>9.359999999999999</v>
      </c>
      <c r="Y3" s="251" t="n">
        <v>9.359999999999999</v>
      </c>
      <c r="Z3" s="251" t="n">
        <v>9.359999999999999</v>
      </c>
      <c r="AA3" s="35" t="n">
        <v>45000</v>
      </c>
      <c r="AB3" s="27" t="n"/>
      <c r="AC3" s="27" t="n">
        <v>20</v>
      </c>
      <c r="AD3" s="210" t="n">
        <v>9.359999999999999</v>
      </c>
      <c r="AE3" s="237" t="n">
        <v>1.872</v>
      </c>
      <c r="AF3" t="b">
        <v>0</v>
      </c>
      <c r="AG3" s="228" t="n">
        <v>-9.359999999999999</v>
      </c>
    </row>
    <row r="4">
      <c r="A4">
        <f>I4&amp;"-"&amp;J4</f>
        <v/>
      </c>
      <c r="B4" s="1">
        <f>N4</f>
        <v/>
      </c>
      <c r="C4">
        <f>M4&amp;"/"&amp;O4</f>
        <v/>
      </c>
      <c r="D4">
        <f>K4</f>
        <v/>
      </c>
      <c r="E4">
        <f>L4</f>
        <v/>
      </c>
      <c r="F4" s="236">
        <f>Z4</f>
        <v/>
      </c>
      <c r="G4">
        <f>U4&amp;"%"</f>
        <v/>
      </c>
      <c r="I4" s="53" t="n">
        <v>2023</v>
      </c>
      <c r="J4" s="53" t="n">
        <v>3</v>
      </c>
      <c r="K4" s="71" t="inlineStr">
        <is>
          <t>Ausgaben</t>
        </is>
      </c>
      <c r="L4" t="inlineStr">
        <is>
          <t>Reise- und Fahrtspesen inkl. Kilometergeld und Diäten</t>
        </is>
      </c>
      <c r="M4" s="131" t="n"/>
      <c r="N4" s="1" t="n">
        <v>44928</v>
      </c>
      <c r="O4" t="inlineStr">
        <is>
          <t>car2go Österreich GmbH, Hintere Zollamtstraße 9, 1030 Wien</t>
        </is>
      </c>
      <c r="Q4" s="76" t="n"/>
      <c r="R4" t="b">
        <v>0</v>
      </c>
      <c r="S4" s="214" t="n">
        <v>44.62</v>
      </c>
      <c r="T4" s="159" t="n">
        <v>1</v>
      </c>
      <c r="U4" t="n">
        <v>20</v>
      </c>
      <c r="V4" s="237" t="n">
        <v>8.923999999999999</v>
      </c>
      <c r="W4" s="237" t="n">
        <v>8.923999999999999</v>
      </c>
      <c r="X4" s="208" t="n">
        <v>44.62</v>
      </c>
      <c r="Y4" s="251" t="n">
        <v>53.544</v>
      </c>
      <c r="Z4" s="251" t="n">
        <v>53.544</v>
      </c>
      <c r="AA4" s="35" t="n">
        <v>45000</v>
      </c>
      <c r="AB4" s="27" t="n"/>
      <c r="AC4" s="27" t="n"/>
      <c r="AD4" s="210" t="n">
        <v>44.62</v>
      </c>
      <c r="AE4" s="237" t="n">
        <v>0</v>
      </c>
      <c r="AF4" t="b">
        <v>0</v>
      </c>
      <c r="AG4" s="228" t="n">
        <v>-44.62</v>
      </c>
    </row>
    <row r="5">
      <c r="A5">
        <f>I5&amp;"-"&amp;J5</f>
        <v/>
      </c>
      <c r="B5" s="1">
        <f>N5</f>
        <v/>
      </c>
      <c r="C5">
        <f>M5&amp;"/"&amp;O5</f>
        <v/>
      </c>
      <c r="D5">
        <f>K5</f>
        <v/>
      </c>
      <c r="E5">
        <f>L5</f>
        <v/>
      </c>
      <c r="F5" s="236">
        <f>Z5</f>
        <v/>
      </c>
      <c r="G5">
        <f>U5&amp;"%"</f>
        <v/>
      </c>
      <c r="I5" s="53" t="n">
        <v>2023</v>
      </c>
      <c r="J5" s="53" t="n">
        <v>4</v>
      </c>
      <c r="K5" s="71" t="inlineStr">
        <is>
          <t>Ausgaben</t>
        </is>
      </c>
      <c r="L5" t="inlineStr">
        <is>
          <t>Miet- und Pachtaufwand, Leasing</t>
        </is>
      </c>
      <c r="M5" s="9" t="n"/>
      <c r="N5" s="1" t="n">
        <v>44928</v>
      </c>
      <c r="O5" t="inlineStr">
        <is>
          <t>Bontus Immobilienverwaltung GmbH, 1010 Wien, Franz Josefs Kai 65</t>
        </is>
      </c>
      <c r="Q5" s="76" t="n"/>
      <c r="R5" t="b">
        <v>0</v>
      </c>
      <c r="S5" s="214" t="n">
        <v>515.85</v>
      </c>
      <c r="T5" s="159" t="n">
        <v>1</v>
      </c>
      <c r="U5" t="n">
        <v>20</v>
      </c>
      <c r="V5" s="237" t="n">
        <v>103.17</v>
      </c>
      <c r="W5" s="237" t="n">
        <v>103.17</v>
      </c>
      <c r="X5" s="208" t="n">
        <v>515.85</v>
      </c>
      <c r="Y5" s="251" t="n">
        <v>619.02</v>
      </c>
      <c r="Z5" s="251" t="n">
        <v>619.02</v>
      </c>
      <c r="AA5" s="35" t="n">
        <v>45000</v>
      </c>
      <c r="AB5" s="27" t="n"/>
      <c r="AC5" s="27" t="n"/>
      <c r="AD5" s="210" t="n">
        <v>515.85</v>
      </c>
      <c r="AE5" s="237" t="n">
        <v>0</v>
      </c>
      <c r="AF5" t="b">
        <v>0</v>
      </c>
      <c r="AG5" s="228" t="n">
        <v>-515.85</v>
      </c>
    </row>
    <row r="6">
      <c r="A6">
        <f>I6&amp;"-"&amp;J6</f>
        <v/>
      </c>
      <c r="B6" s="1">
        <f>N6</f>
        <v/>
      </c>
      <c r="C6">
        <f>M6&amp;"/"&amp;O6</f>
        <v/>
      </c>
      <c r="D6">
        <f>K6</f>
        <v/>
      </c>
      <c r="E6">
        <f>L6</f>
        <v/>
      </c>
      <c r="F6" s="236">
        <f>Z6</f>
        <v/>
      </c>
      <c r="G6">
        <f>U6&amp;"%"</f>
        <v/>
      </c>
      <c r="I6" s="53" t="n">
        <v>2023</v>
      </c>
      <c r="J6" s="53" t="n">
        <v>5</v>
      </c>
      <c r="K6" s="71" t="inlineStr">
        <is>
          <t>Ausgaben</t>
        </is>
      </c>
      <c r="L6" t="inlineStr">
        <is>
          <t>Telefon/Internet</t>
        </is>
      </c>
      <c r="M6" s="9" t="n"/>
      <c r="N6" s="1" t="n">
        <v>44930</v>
      </c>
      <c r="O6" t="inlineStr">
        <is>
          <t>Hutchison Drei Austria GmbH, Brünner Straße 52, 1210 Wien, Österreich</t>
        </is>
      </c>
      <c r="Q6" s="76" t="n"/>
      <c r="R6" t="b">
        <v>0</v>
      </c>
      <c r="S6" s="214" t="n">
        <v>15</v>
      </c>
      <c r="T6" s="159" t="n">
        <v>1</v>
      </c>
      <c r="U6" t="n">
        <v>20</v>
      </c>
      <c r="V6" s="237" t="n">
        <v>3</v>
      </c>
      <c r="W6" s="237" t="n">
        <v>3</v>
      </c>
      <c r="X6" s="208" t="n">
        <v>15</v>
      </c>
      <c r="Y6" s="251" t="n">
        <v>18</v>
      </c>
      <c r="Z6" s="251" t="n">
        <v>18</v>
      </c>
      <c r="AA6" s="35" t="n">
        <v>45000</v>
      </c>
      <c r="AB6" s="27" t="n"/>
      <c r="AC6" s="27" t="n"/>
      <c r="AD6" s="210" t="n">
        <v>15</v>
      </c>
      <c r="AE6" s="237" t="n">
        <v>0</v>
      </c>
      <c r="AF6" t="b">
        <v>0</v>
      </c>
      <c r="AG6" s="228" t="n">
        <v>-15</v>
      </c>
    </row>
    <row r="7">
      <c r="A7">
        <f>I7&amp;"-"&amp;J7</f>
        <v/>
      </c>
      <c r="B7" s="1">
        <f>N7</f>
        <v/>
      </c>
      <c r="C7">
        <f>M7&amp;"/"&amp;O7</f>
        <v/>
      </c>
      <c r="D7">
        <f>K7</f>
        <v/>
      </c>
      <c r="E7">
        <f>L7</f>
        <v/>
      </c>
      <c r="F7" s="236">
        <f>Z7</f>
        <v/>
      </c>
      <c r="G7">
        <f>U7&amp;"%"</f>
        <v/>
      </c>
      <c r="I7" s="53" t="n">
        <v>2023</v>
      </c>
      <c r="J7" s="53" t="n">
        <v>6</v>
      </c>
      <c r="K7" s="71" t="inlineStr">
        <is>
          <t>Ausgaben</t>
        </is>
      </c>
      <c r="L7" t="inlineStr">
        <is>
          <t>sonstige Betriebsausgaben</t>
        </is>
      </c>
      <c r="N7" s="1" t="n">
        <v>44931</v>
      </c>
      <c r="O7" t="inlineStr">
        <is>
          <t>go green energy GmbH &amp; Co KG</t>
        </is>
      </c>
      <c r="Q7" s="76" t="n"/>
      <c r="R7" t="b">
        <v>0</v>
      </c>
      <c r="S7" s="214" t="n">
        <v>5</v>
      </c>
      <c r="T7" s="159" t="n">
        <v>1</v>
      </c>
      <c r="U7" t="n">
        <v>20</v>
      </c>
      <c r="V7" s="237" t="n">
        <v>1</v>
      </c>
      <c r="W7" s="237" t="n">
        <v>1</v>
      </c>
      <c r="X7" s="208" t="n">
        <v>5</v>
      </c>
      <c r="Y7" s="251" t="n">
        <v>6</v>
      </c>
      <c r="Z7" s="251" t="n">
        <v>6</v>
      </c>
      <c r="AA7" s="35" t="n">
        <v>45000</v>
      </c>
      <c r="AB7" s="27" t="n"/>
      <c r="AC7" s="27" t="n"/>
      <c r="AD7" s="210" t="n">
        <v>5</v>
      </c>
      <c r="AE7" s="237" t="n">
        <v>0</v>
      </c>
      <c r="AF7" t="b">
        <v>0</v>
      </c>
      <c r="AG7" s="228" t="n">
        <v>-5</v>
      </c>
    </row>
    <row r="8">
      <c r="A8">
        <f>I8&amp;"-"&amp;J8</f>
        <v/>
      </c>
      <c r="B8" s="1">
        <f>N8</f>
        <v/>
      </c>
      <c r="C8">
        <f>M8&amp;"/"&amp;O8</f>
        <v/>
      </c>
      <c r="D8">
        <f>K8</f>
        <v/>
      </c>
      <c r="E8">
        <f>L8</f>
        <v/>
      </c>
      <c r="F8" s="236">
        <f>Z8</f>
        <v/>
      </c>
      <c r="G8">
        <f>U8&amp;"%"</f>
        <v/>
      </c>
      <c r="I8" s="53" t="n">
        <v>2023</v>
      </c>
      <c r="J8" s="53" t="n">
        <v>7</v>
      </c>
      <c r="K8" s="71" t="inlineStr">
        <is>
          <t>Ausgaben</t>
        </is>
      </c>
      <c r="L8" t="inlineStr">
        <is>
          <t>Miet- und Pachtaufwand, Leasing</t>
        </is>
      </c>
      <c r="M8" s="61" t="inlineStr">
        <is>
          <t>BELEG FEHLT</t>
        </is>
      </c>
      <c r="N8" s="1" t="n">
        <v>44935</v>
      </c>
      <c r="O8" t="inlineStr">
        <is>
          <t>Techem Messtechnik GmbH; Abnehmernummer 501686-0003-11-</t>
        </is>
      </c>
      <c r="Q8" s="76" t="n"/>
      <c r="R8" t="b">
        <v>0</v>
      </c>
      <c r="S8" s="214" t="n">
        <v>122.6</v>
      </c>
      <c r="T8" s="159" t="n">
        <v>1</v>
      </c>
      <c r="U8" t="n">
        <v>20</v>
      </c>
      <c r="V8" s="237" t="n">
        <v>24.52</v>
      </c>
      <c r="W8" s="237" t="n">
        <v>24.52</v>
      </c>
      <c r="X8" s="208" t="n">
        <v>122.6</v>
      </c>
      <c r="Y8" s="251" t="n">
        <v>147.12</v>
      </c>
      <c r="Z8" s="251" t="n">
        <v>147.12</v>
      </c>
      <c r="AA8" s="35" t="n">
        <v>45000</v>
      </c>
      <c r="AB8" s="27" t="n"/>
      <c r="AC8" s="27" t="n"/>
      <c r="AD8" s="210" t="n">
        <v>122.6</v>
      </c>
      <c r="AE8" s="237" t="n">
        <v>0</v>
      </c>
      <c r="AF8" t="b">
        <v>0</v>
      </c>
      <c r="AG8" s="228" t="n">
        <v>-122.6</v>
      </c>
    </row>
    <row r="9">
      <c r="A9">
        <f>I9&amp;"-"&amp;J9</f>
        <v/>
      </c>
      <c r="B9" s="1">
        <f>N9</f>
        <v/>
      </c>
      <c r="C9">
        <f>M9&amp;"/"&amp;O9</f>
        <v/>
      </c>
      <c r="D9">
        <f>K9</f>
        <v/>
      </c>
      <c r="E9">
        <f>L9</f>
        <v/>
      </c>
      <c r="F9" s="236">
        <f>Z9</f>
        <v/>
      </c>
      <c r="G9">
        <f>U9&amp;"%"</f>
        <v/>
      </c>
      <c r="I9" s="53" t="n">
        <v>2023</v>
      </c>
      <c r="J9" s="53" t="n">
        <v>8</v>
      </c>
      <c r="K9" s="71" t="inlineStr">
        <is>
          <t>Ausgaben</t>
        </is>
      </c>
      <c r="L9" t="inlineStr">
        <is>
          <t>sonstige Betriebsausgaben</t>
        </is>
      </c>
      <c r="N9" s="1" t="n">
        <v>44935</v>
      </c>
      <c r="O9" t="inlineStr">
        <is>
          <t>go green energy GmbH &amp; Co KG</t>
        </is>
      </c>
      <c r="Q9" s="76" t="n"/>
      <c r="R9" t="b">
        <v>0</v>
      </c>
      <c r="S9" s="214" t="n">
        <v>0.8</v>
      </c>
      <c r="T9" s="159" t="n">
        <v>1</v>
      </c>
      <c r="U9" t="n">
        <v>20</v>
      </c>
      <c r="V9" s="237" t="n">
        <v>0.16</v>
      </c>
      <c r="W9" s="237" t="n">
        <v>0.16</v>
      </c>
      <c r="X9" s="208" t="n">
        <v>0.8</v>
      </c>
      <c r="Y9" s="251" t="n">
        <v>0.9600000000000001</v>
      </c>
      <c r="Z9" s="251" t="n">
        <v>0.9600000000000001</v>
      </c>
      <c r="AA9" s="35" t="n">
        <v>45000</v>
      </c>
      <c r="AB9" s="27" t="n"/>
      <c r="AC9" s="27" t="n"/>
      <c r="AD9" s="210" t="n">
        <v>0.8</v>
      </c>
      <c r="AE9" s="237" t="n">
        <v>0</v>
      </c>
      <c r="AF9" t="b">
        <v>0</v>
      </c>
      <c r="AG9" s="228" t="n">
        <v>-0.8</v>
      </c>
    </row>
    <row r="10">
      <c r="A10">
        <f>I10&amp;"-"&amp;J10</f>
        <v/>
      </c>
      <c r="B10" s="1">
        <f>N10</f>
        <v/>
      </c>
      <c r="C10">
        <f>M10&amp;"/"&amp;O10</f>
        <v/>
      </c>
      <c r="D10">
        <f>K10</f>
        <v/>
      </c>
      <c r="E10">
        <f>L10</f>
        <v/>
      </c>
      <c r="F10" s="236">
        <f>Z10</f>
        <v/>
      </c>
      <c r="G10">
        <f>U10&amp;"%"</f>
        <v/>
      </c>
      <c r="I10" s="53" t="n">
        <v>2023</v>
      </c>
      <c r="J10" s="53" t="n">
        <v>9</v>
      </c>
      <c r="K10" s="71" t="inlineStr">
        <is>
          <t>Ausgaben</t>
        </is>
      </c>
      <c r="L10" t="inlineStr">
        <is>
          <t>sonstige Betriebsausgaben</t>
        </is>
      </c>
      <c r="M10" s="9" t="inlineStr">
        <is>
          <t>12022028</t>
        </is>
      </c>
      <c r="N10" s="1" t="n">
        <v>44937</v>
      </c>
      <c r="O10" t="inlineStr">
        <is>
          <t>foxcraft - DI Mag. Alexander Wagner, Leschetitzkygasse 30/5, 1180 Wien</t>
        </is>
      </c>
      <c r="Q10" s="76" t="n"/>
      <c r="R10" t="b">
        <v>0</v>
      </c>
      <c r="S10" s="214" t="n">
        <v>58.22</v>
      </c>
      <c r="T10" s="159" t="n">
        <v>1</v>
      </c>
      <c r="U10" t="n">
        <v>20</v>
      </c>
      <c r="V10" s="237" t="n">
        <v>11.644</v>
      </c>
      <c r="W10" s="237" t="n">
        <v>11.644</v>
      </c>
      <c r="X10" s="208" t="n">
        <v>58.22</v>
      </c>
      <c r="Y10" s="251" t="n">
        <v>69.864</v>
      </c>
      <c r="Z10" s="251" t="n">
        <v>69.864</v>
      </c>
      <c r="AA10" s="35" t="n">
        <v>45000</v>
      </c>
      <c r="AB10" s="27" t="n"/>
      <c r="AC10" s="27" t="n"/>
      <c r="AD10" s="210" t="n">
        <v>58.22</v>
      </c>
      <c r="AE10" s="237" t="n">
        <v>0</v>
      </c>
      <c r="AF10" t="b">
        <v>0</v>
      </c>
      <c r="AG10" s="228" t="n">
        <v>-58.22</v>
      </c>
    </row>
    <row r="11">
      <c r="A11">
        <f>I11&amp;"-"&amp;J11</f>
        <v/>
      </c>
      <c r="B11" s="1">
        <f>N11</f>
        <v/>
      </c>
      <c r="C11">
        <f>M11&amp;"/"&amp;O11</f>
        <v/>
      </c>
      <c r="D11">
        <f>K11</f>
        <v/>
      </c>
      <c r="E11">
        <f>L11</f>
        <v/>
      </c>
      <c r="F11" s="236">
        <f>Z11</f>
        <v/>
      </c>
      <c r="G11">
        <f>U11&amp;"%"</f>
        <v/>
      </c>
      <c r="I11" s="53" t="n">
        <v>2023</v>
      </c>
      <c r="J11" s="53" t="n">
        <v>10</v>
      </c>
      <c r="K11" s="71" t="inlineStr">
        <is>
          <t>Ausgaben</t>
        </is>
      </c>
      <c r="L11" t="inlineStr">
        <is>
          <t>sonstige Betriebsausgaben</t>
        </is>
      </c>
      <c r="M11" s="9" t="n"/>
      <c r="N11" s="1" t="n">
        <v>44938</v>
      </c>
      <c r="O11" t="inlineStr">
        <is>
          <t>Hetzner Online GmbH</t>
        </is>
      </c>
      <c r="Q11" s="76" t="n"/>
      <c r="R11" t="b">
        <v>0</v>
      </c>
      <c r="S11" s="214" t="n">
        <v>51.3403</v>
      </c>
      <c r="T11" s="159" t="n">
        <v>1</v>
      </c>
      <c r="U11" t="n">
        <v>0</v>
      </c>
      <c r="V11" s="237" t="n">
        <v>0</v>
      </c>
      <c r="W11" s="237" t="n">
        <v>0</v>
      </c>
      <c r="X11" s="208" t="n">
        <v>51.3403</v>
      </c>
      <c r="Y11" s="251" t="n">
        <v>51.3403</v>
      </c>
      <c r="Z11" s="251" t="n">
        <v>51.3403</v>
      </c>
      <c r="AA11" s="35" t="n">
        <v>45000</v>
      </c>
      <c r="AB11" s="27" t="n"/>
      <c r="AC11" s="27" t="n">
        <v>20</v>
      </c>
      <c r="AD11" s="210" t="n">
        <v>51.3403</v>
      </c>
      <c r="AE11" s="237" t="n">
        <v>10.26806</v>
      </c>
      <c r="AF11" t="b">
        <v>0</v>
      </c>
      <c r="AG11" s="228" t="n">
        <v>-51.3403</v>
      </c>
    </row>
    <row r="12">
      <c r="A12">
        <f>I12&amp;"-"&amp;J12</f>
        <v/>
      </c>
      <c r="B12" s="1">
        <f>N12</f>
        <v/>
      </c>
      <c r="C12">
        <f>M12&amp;"/"&amp;O12</f>
        <v/>
      </c>
      <c r="D12">
        <f>K12</f>
        <v/>
      </c>
      <c r="E12">
        <f>L12</f>
        <v/>
      </c>
      <c r="F12" s="236">
        <f>Z12</f>
        <v/>
      </c>
      <c r="G12">
        <f>U12&amp;"%"</f>
        <v/>
      </c>
      <c r="I12" s="53" t="n">
        <v>2023</v>
      </c>
      <c r="J12" s="53" t="n">
        <v>11</v>
      </c>
      <c r="K12" s="71" t="inlineStr">
        <is>
          <t>Einnahmen</t>
        </is>
      </c>
      <c r="L12" t="inlineStr">
        <is>
          <t>Waren-/Leistungserlöse</t>
        </is>
      </c>
      <c r="M12" t="n">
        <v>168047262</v>
      </c>
      <c r="N12" s="1" t="n">
        <v>44939</v>
      </c>
      <c r="O12" t="inlineStr">
        <is>
          <t>Hays Österreich GmbH, Bahnhof City Wien West , Europaplatz 3/5, 1150 Wien</t>
        </is>
      </c>
      <c r="Q12" s="76" t="n"/>
      <c r="R12" t="b">
        <v>0</v>
      </c>
      <c r="S12" s="214" t="n">
        <v>15708</v>
      </c>
      <c r="T12" s="159" t="n">
        <v>1</v>
      </c>
      <c r="U12" t="n">
        <v>20</v>
      </c>
      <c r="V12" s="237" t="n">
        <v>3141.6</v>
      </c>
      <c r="W12" s="237" t="n">
        <v>3141.6</v>
      </c>
      <c r="X12" s="208" t="n">
        <v>15708</v>
      </c>
      <c r="Y12" s="251" t="n">
        <v>18849.6</v>
      </c>
      <c r="Z12" s="251" t="n">
        <v>18849.6</v>
      </c>
      <c r="AA12" s="35" t="n">
        <v>45000</v>
      </c>
      <c r="AB12" s="27" t="n"/>
      <c r="AC12" s="27" t="n"/>
      <c r="AD12" s="210" t="n">
        <v>15708</v>
      </c>
      <c r="AE12" s="237" t="n">
        <v>0</v>
      </c>
      <c r="AF12" t="b">
        <v>0</v>
      </c>
      <c r="AG12" s="228" t="n">
        <v>15708</v>
      </c>
    </row>
    <row r="13">
      <c r="A13">
        <f>I13&amp;"-"&amp;J13</f>
        <v/>
      </c>
      <c r="B13" s="1">
        <f>N13</f>
        <v/>
      </c>
      <c r="C13">
        <f>M13&amp;"/"&amp;O13</f>
        <v/>
      </c>
      <c r="D13">
        <f>K13</f>
        <v/>
      </c>
      <c r="E13">
        <f>L13</f>
        <v/>
      </c>
      <c r="F13" s="236">
        <f>Z13</f>
        <v/>
      </c>
      <c r="G13">
        <f>U13&amp;"%"</f>
        <v/>
      </c>
      <c r="I13" s="53" t="n">
        <v>2023</v>
      </c>
      <c r="J13" s="53" t="n">
        <v>12</v>
      </c>
      <c r="K13" s="71" t="inlineStr">
        <is>
          <t>Ausgaben</t>
        </is>
      </c>
      <c r="L13" t="inlineStr">
        <is>
          <t>Personalaufwand</t>
        </is>
      </c>
      <c r="M13" s="9" t="inlineStr">
        <is>
          <t>siehe 2022-140</t>
        </is>
      </c>
      <c r="N13" s="1" t="n">
        <v>44942</v>
      </c>
      <c r="O13" t="inlineStr">
        <is>
          <t>Honorar Eva Jaros-Kolbitsch</t>
        </is>
      </c>
      <c r="Q13" s="76" t="n"/>
      <c r="R13" t="b">
        <v>0</v>
      </c>
      <c r="S13" s="214" t="n">
        <v>365</v>
      </c>
      <c r="T13" s="159" t="n">
        <v>1</v>
      </c>
      <c r="U13" t="n">
        <v>0</v>
      </c>
      <c r="V13" s="237" t="n">
        <v>0</v>
      </c>
      <c r="W13" s="237" t="n">
        <v>0</v>
      </c>
      <c r="X13" s="208" t="n">
        <v>365</v>
      </c>
      <c r="Y13" s="251" t="n">
        <v>365</v>
      </c>
      <c r="Z13" s="251" t="n">
        <v>365</v>
      </c>
      <c r="AA13" s="35" t="n">
        <v>45000</v>
      </c>
      <c r="AB13" s="27" t="n"/>
      <c r="AC13" s="27" t="n"/>
      <c r="AD13" s="210" t="n">
        <v>365</v>
      </c>
      <c r="AE13" s="237" t="n">
        <v>0</v>
      </c>
      <c r="AF13" t="b">
        <v>0</v>
      </c>
      <c r="AG13" s="228" t="n">
        <v>-365</v>
      </c>
    </row>
    <row r="14">
      <c r="A14">
        <f>I14&amp;"-"&amp;J14</f>
        <v/>
      </c>
      <c r="B14" s="1">
        <f>N14</f>
        <v/>
      </c>
      <c r="C14">
        <f>M14&amp;"/"&amp;O14</f>
        <v/>
      </c>
      <c r="D14">
        <f>K14</f>
        <v/>
      </c>
      <c r="E14">
        <f>L14</f>
        <v/>
      </c>
      <c r="F14" s="236">
        <f>Z14</f>
        <v/>
      </c>
      <c r="G14">
        <f>U14&amp;"%"</f>
        <v/>
      </c>
      <c r="I14" s="53" t="n">
        <v>2023</v>
      </c>
      <c r="J14" s="53" t="n">
        <v>13</v>
      </c>
      <c r="K14" s="71" t="inlineStr">
        <is>
          <t>Einnahmen</t>
        </is>
      </c>
      <c r="L14" t="inlineStr">
        <is>
          <t>Waren-/Leistungserlöse</t>
        </is>
      </c>
      <c r="M14" s="9" t="inlineStr">
        <is>
          <t>12022030</t>
        </is>
      </c>
      <c r="N14" s="1" t="n">
        <v>44943</v>
      </c>
      <c r="O14" t="inlineStr">
        <is>
          <t>Musikschule Bad Vöslau, Hauptstraße 14, 2540 Bad Vöslau</t>
        </is>
      </c>
      <c r="Q14" s="76" t="n"/>
      <c r="R14" t="b">
        <v>0</v>
      </c>
      <c r="S14" s="214" t="n">
        <v>178</v>
      </c>
      <c r="T14" s="159" t="n">
        <v>1</v>
      </c>
      <c r="U14" t="n">
        <v>20</v>
      </c>
      <c r="V14" s="237" t="n">
        <v>35.6</v>
      </c>
      <c r="W14" s="237" t="n">
        <v>35.6</v>
      </c>
      <c r="X14" s="208" t="n">
        <v>178</v>
      </c>
      <c r="Y14" s="251" t="n">
        <v>213.6</v>
      </c>
      <c r="Z14" s="251" t="n">
        <v>213.6</v>
      </c>
      <c r="AA14" s="35" t="n">
        <v>45000</v>
      </c>
      <c r="AB14" s="27" t="n"/>
      <c r="AC14" s="27" t="n"/>
      <c r="AD14" s="210" t="n">
        <v>178</v>
      </c>
      <c r="AE14" s="237" t="n">
        <v>0</v>
      </c>
      <c r="AF14" t="b">
        <v>0</v>
      </c>
      <c r="AG14" s="228" t="n">
        <v>178</v>
      </c>
    </row>
    <row r="15">
      <c r="A15">
        <f>I15&amp;"-"&amp;J15</f>
        <v/>
      </c>
      <c r="B15" s="1">
        <f>N15</f>
        <v/>
      </c>
      <c r="C15">
        <f>M15&amp;"/"&amp;O15</f>
        <v/>
      </c>
      <c r="D15">
        <f>K15</f>
        <v/>
      </c>
      <c r="E15">
        <f>L15</f>
        <v/>
      </c>
      <c r="F15" s="236">
        <f>Z15</f>
        <v/>
      </c>
      <c r="G15">
        <f>U15&amp;"%"</f>
        <v/>
      </c>
      <c r="I15" s="53" t="n">
        <v>2023</v>
      </c>
      <c r="J15" s="53" t="n">
        <v>14</v>
      </c>
      <c r="K15" s="71" t="inlineStr">
        <is>
          <t>Ausgaben</t>
        </is>
      </c>
      <c r="L15" t="inlineStr">
        <is>
          <t>sonstige Betriebsausgaben</t>
        </is>
      </c>
      <c r="N15" s="1" t="n">
        <v>44945</v>
      </c>
      <c r="O15" t="inlineStr">
        <is>
          <t>Microsoft Ireland Operations Ltd. One Microsoft Place, South County, Business Park, Leopardstown, Dublin 18, D18 P521, Ireland</t>
        </is>
      </c>
      <c r="Q15" s="76" t="n"/>
      <c r="R15" t="b">
        <v>0</v>
      </c>
      <c r="S15" s="214" t="n">
        <v>10.5</v>
      </c>
      <c r="T15" s="159" t="n">
        <v>1</v>
      </c>
      <c r="U15" t="n">
        <v>0</v>
      </c>
      <c r="V15" s="237" t="n">
        <v>0</v>
      </c>
      <c r="W15" s="237" t="n">
        <v>0</v>
      </c>
      <c r="X15" s="208" t="n">
        <v>10.5</v>
      </c>
      <c r="Y15" s="251" t="n">
        <v>10.5</v>
      </c>
      <c r="Z15" s="251" t="n">
        <v>10.5</v>
      </c>
      <c r="AA15" s="35" t="n">
        <v>45000</v>
      </c>
      <c r="AB15" s="27" t="n"/>
      <c r="AC15" s="27" t="n">
        <v>20</v>
      </c>
      <c r="AD15" s="210" t="n">
        <v>10.5</v>
      </c>
      <c r="AE15" s="237" t="n">
        <v>2.1</v>
      </c>
      <c r="AF15" t="b">
        <v>0</v>
      </c>
      <c r="AG15" s="228" t="n">
        <v>-10.5</v>
      </c>
    </row>
    <row r="16">
      <c r="A16">
        <f>I16&amp;"-"&amp;J16</f>
        <v/>
      </c>
      <c r="B16" s="1">
        <f>N16</f>
        <v/>
      </c>
      <c r="C16">
        <f>M16&amp;"/"&amp;O16</f>
        <v/>
      </c>
      <c r="D16">
        <f>K16</f>
        <v/>
      </c>
      <c r="E16">
        <f>L16</f>
        <v/>
      </c>
      <c r="F16" s="236">
        <f>Z16</f>
        <v/>
      </c>
      <c r="G16">
        <f>U16&amp;"%"</f>
        <v/>
      </c>
      <c r="I16" s="53" t="n">
        <v>2023</v>
      </c>
      <c r="J16" s="53" t="n">
        <v>15</v>
      </c>
      <c r="K16" s="71" t="inlineStr">
        <is>
          <t>Ausgaben</t>
        </is>
      </c>
      <c r="L16" t="inlineStr">
        <is>
          <t>Telefon/Internet</t>
        </is>
      </c>
      <c r="M16" s="131" t="inlineStr">
        <is>
          <t>901153451222</t>
        </is>
      </c>
      <c r="N16" s="1" t="n">
        <v>44946</v>
      </c>
      <c r="O16" t="inlineStr">
        <is>
          <t>Magenta: T-Mobile Austria GmbH, A-1120 Wien, PF 47</t>
        </is>
      </c>
      <c r="Q16" s="76" t="n"/>
      <c r="R16" t="b">
        <v>0</v>
      </c>
      <c r="S16" s="214" t="n">
        <v>31.92</v>
      </c>
      <c r="T16" s="159" t="n">
        <v>1</v>
      </c>
      <c r="U16" t="n">
        <v>20</v>
      </c>
      <c r="V16" s="237" t="n">
        <v>6.384000000000001</v>
      </c>
      <c r="W16" s="237" t="n">
        <v>6.384000000000001</v>
      </c>
      <c r="X16" s="208" t="n">
        <v>31.92</v>
      </c>
      <c r="Y16" s="251" t="n">
        <v>38.304</v>
      </c>
      <c r="Z16" s="251" t="n">
        <v>38.304</v>
      </c>
      <c r="AA16" s="35" t="n">
        <v>45000</v>
      </c>
      <c r="AB16" s="27" t="n"/>
      <c r="AC16" s="27" t="n"/>
      <c r="AD16" s="210" t="n">
        <v>31.92</v>
      </c>
      <c r="AE16" s="237" t="n">
        <v>0</v>
      </c>
      <c r="AF16" t="b">
        <v>0</v>
      </c>
      <c r="AG16" s="228" t="n">
        <v>-31.92</v>
      </c>
    </row>
    <row r="17">
      <c r="A17">
        <f>I17&amp;"-"&amp;J17</f>
        <v/>
      </c>
      <c r="B17" s="1">
        <f>N17</f>
        <v/>
      </c>
      <c r="C17">
        <f>M17&amp;"/"&amp;O17</f>
        <v/>
      </c>
      <c r="D17">
        <f>K17</f>
        <v/>
      </c>
      <c r="E17">
        <f>L17</f>
        <v/>
      </c>
      <c r="F17" s="236">
        <f>Z17</f>
        <v/>
      </c>
      <c r="G17">
        <f>U17&amp;"%"</f>
        <v/>
      </c>
      <c r="I17" s="53" t="n">
        <v>2023</v>
      </c>
      <c r="J17" s="53" t="n">
        <v>16</v>
      </c>
      <c r="K17" s="71" t="inlineStr">
        <is>
          <t>Ausgaben</t>
        </is>
      </c>
      <c r="L17" t="inlineStr">
        <is>
          <t>sonstige Betriebsausgaben</t>
        </is>
      </c>
      <c r="M17" s="9" t="inlineStr">
        <is>
          <t>28182354875/13113/0</t>
        </is>
      </c>
      <c r="N17" s="1" t="n">
        <v>44950</v>
      </c>
      <c r="O17" t="inlineStr">
        <is>
          <t>Aon Austria GmbH</t>
        </is>
      </c>
      <c r="Q17" s="76" t="n"/>
      <c r="R17" t="b">
        <v>0</v>
      </c>
      <c r="S17" s="214" t="n">
        <v>265.08</v>
      </c>
      <c r="T17" s="159" t="n">
        <v>1</v>
      </c>
      <c r="U17" t="n">
        <v>0</v>
      </c>
      <c r="V17" s="237" t="n">
        <v>0</v>
      </c>
      <c r="W17" s="237" t="n">
        <v>0</v>
      </c>
      <c r="X17" s="208" t="n">
        <v>265.08</v>
      </c>
      <c r="Y17" s="251" t="n">
        <v>265.08</v>
      </c>
      <c r="Z17" s="251" t="n">
        <v>265.08</v>
      </c>
      <c r="AA17" s="35" t="n">
        <v>45000</v>
      </c>
      <c r="AB17" s="27" t="n"/>
      <c r="AC17" s="27" t="n"/>
      <c r="AD17" s="210" t="n">
        <v>265.08</v>
      </c>
      <c r="AE17" s="237" t="n">
        <v>0</v>
      </c>
      <c r="AF17" t="b">
        <v>0</v>
      </c>
      <c r="AG17" s="228" t="n">
        <v>-265.08</v>
      </c>
    </row>
    <row r="18">
      <c r="A18">
        <f>I18&amp;"-"&amp;J18</f>
        <v/>
      </c>
      <c r="B18" s="1">
        <f>N18</f>
        <v/>
      </c>
      <c r="C18">
        <f>M18&amp;"/"&amp;O18</f>
        <v/>
      </c>
      <c r="D18">
        <f>K18</f>
        <v/>
      </c>
      <c r="E18">
        <f>L18</f>
        <v/>
      </c>
      <c r="F18" s="236">
        <f>Z18</f>
        <v/>
      </c>
      <c r="G18">
        <f>U18&amp;"%"</f>
        <v/>
      </c>
      <c r="I18" s="53" t="n">
        <v>2023</v>
      </c>
      <c r="J18" s="53" t="n">
        <v>17</v>
      </c>
      <c r="K18" s="71" t="inlineStr">
        <is>
          <t>Ausgaben</t>
        </is>
      </c>
      <c r="L18" t="inlineStr">
        <is>
          <t>sonstige Betriebsausgaben</t>
        </is>
      </c>
      <c r="M18" s="9" t="inlineStr">
        <is>
          <t>RE1229110</t>
        </is>
      </c>
      <c r="N18" s="1" t="n">
        <v>44952</v>
      </c>
      <c r="O18" t="inlineStr">
        <is>
          <t>easyname GmbH, Fernkorngasse 10/3/501, A-1100 Wien</t>
        </is>
      </c>
      <c r="Q18" s="76" t="n"/>
      <c r="R18" t="b">
        <v>0</v>
      </c>
      <c r="S18" s="214" t="n">
        <v>20.75</v>
      </c>
      <c r="T18" s="159" t="n">
        <v>1</v>
      </c>
      <c r="U18" t="n">
        <v>20</v>
      </c>
      <c r="V18" s="237" t="n">
        <v>4.15</v>
      </c>
      <c r="W18" s="237" t="n">
        <v>4.15</v>
      </c>
      <c r="X18" s="208" t="n">
        <v>20.75</v>
      </c>
      <c r="Y18" s="251" t="n">
        <v>24.9</v>
      </c>
      <c r="Z18" s="251" t="n">
        <v>24.9</v>
      </c>
      <c r="AA18" s="35" t="n">
        <v>45000</v>
      </c>
      <c r="AB18" s="27" t="n"/>
      <c r="AC18" s="27" t="n"/>
      <c r="AD18" s="210" t="n">
        <v>20.75</v>
      </c>
      <c r="AE18" s="237" t="n">
        <v>0</v>
      </c>
      <c r="AF18" t="b">
        <v>0</v>
      </c>
      <c r="AG18" s="228" t="n">
        <v>-20.75</v>
      </c>
    </row>
    <row r="19">
      <c r="A19">
        <f>I19&amp;"-"&amp;J19</f>
        <v/>
      </c>
      <c r="B19" s="1">
        <f>N19</f>
        <v/>
      </c>
      <c r="C19">
        <f>M19&amp;"/"&amp;O19</f>
        <v/>
      </c>
      <c r="D19">
        <f>K19</f>
        <v/>
      </c>
      <c r="E19">
        <f>L19</f>
        <v/>
      </c>
      <c r="F19" s="236">
        <f>Z19</f>
        <v/>
      </c>
      <c r="G19">
        <f>U19&amp;"%"</f>
        <v/>
      </c>
      <c r="I19" s="53" t="n">
        <v>2023</v>
      </c>
      <c r="J19" s="53" t="n">
        <v>18</v>
      </c>
      <c r="K19" s="71" t="inlineStr">
        <is>
          <t>Ausgaben</t>
        </is>
      </c>
      <c r="L19" t="inlineStr">
        <is>
          <t>Büromaterial</t>
        </is>
      </c>
      <c r="M19" s="9" t="inlineStr">
        <is>
          <t>AT31WDF4AEUI</t>
        </is>
      </c>
      <c r="N19" s="1" t="n">
        <v>44956</v>
      </c>
      <c r="O19" t="inlineStr">
        <is>
          <t>Amazon EU S. à r.l., 38 avenue John F. Kennedy, L-1855 Luxembourg: HJEU: DVI-HDMI, Logitech Maus</t>
        </is>
      </c>
      <c r="Q19" s="76" t="n"/>
      <c r="R19" t="b">
        <v>0</v>
      </c>
      <c r="S19" s="214" t="n">
        <v>55.44</v>
      </c>
      <c r="T19" s="159" t="n">
        <v>1</v>
      </c>
      <c r="U19" t="n">
        <v>20</v>
      </c>
      <c r="V19" s="237" t="n">
        <v>11.088</v>
      </c>
      <c r="W19" s="237" t="n">
        <v>11.088</v>
      </c>
      <c r="X19" s="208" t="n">
        <v>55.44</v>
      </c>
      <c r="Y19" s="251" t="n">
        <v>66.52799999999999</v>
      </c>
      <c r="Z19" s="251" t="n">
        <v>66.52799999999999</v>
      </c>
      <c r="AA19" s="35" t="n">
        <v>45000</v>
      </c>
      <c r="AB19" s="27" t="n"/>
      <c r="AC19" s="27" t="n"/>
      <c r="AD19" s="210" t="n">
        <v>55.44</v>
      </c>
      <c r="AE19" s="237" t="n">
        <v>0</v>
      </c>
      <c r="AF19" t="b">
        <v>0</v>
      </c>
      <c r="AG19" s="228" t="n">
        <v>-55.44</v>
      </c>
    </row>
    <row r="20">
      <c r="A20">
        <f>I20&amp;"-"&amp;J20</f>
        <v/>
      </c>
      <c r="B20" s="1">
        <f>N20</f>
        <v/>
      </c>
      <c r="C20">
        <f>M20&amp;"/"&amp;O20</f>
        <v/>
      </c>
      <c r="D20">
        <f>K20</f>
        <v/>
      </c>
      <c r="E20">
        <f>L20</f>
        <v/>
      </c>
      <c r="F20" s="236">
        <f>Z20</f>
        <v/>
      </c>
      <c r="G20">
        <f>U20&amp;"%"</f>
        <v/>
      </c>
      <c r="I20" s="53" t="n">
        <v>2023</v>
      </c>
      <c r="J20" s="53" t="n">
        <v>19</v>
      </c>
      <c r="K20" s="71" t="inlineStr">
        <is>
          <t>Ausgaben</t>
        </is>
      </c>
      <c r="L20" t="inlineStr">
        <is>
          <t>Miet- und Pachtaufwand, Leasing</t>
        </is>
      </c>
      <c r="M20" s="9" t="n"/>
      <c r="N20" s="1" t="n">
        <v>44958</v>
      </c>
      <c r="O20" t="inlineStr">
        <is>
          <t>Bontus Immobilienverwaltung GmbH, 1010 Wien, Franz Josefs Kai 65</t>
        </is>
      </c>
      <c r="Q20" s="76" t="n"/>
      <c r="R20" t="b">
        <v>0</v>
      </c>
      <c r="S20" s="214" t="n">
        <v>515.85</v>
      </c>
      <c r="T20" s="159" t="n">
        <v>1</v>
      </c>
      <c r="U20" t="n">
        <v>20</v>
      </c>
      <c r="V20" s="237" t="n">
        <v>103.17</v>
      </c>
      <c r="W20" s="237" t="n">
        <v>103.17</v>
      </c>
      <c r="X20" s="208" t="n">
        <v>515.85</v>
      </c>
      <c r="Y20" s="251" t="n">
        <v>619.02</v>
      </c>
      <c r="Z20" s="251" t="n">
        <v>619.02</v>
      </c>
      <c r="AA20" s="35" t="n">
        <v>45031</v>
      </c>
      <c r="AB20" s="27" t="n"/>
      <c r="AC20" s="27" t="n"/>
      <c r="AD20" s="210" t="n">
        <v>515.85</v>
      </c>
      <c r="AE20" s="237" t="n">
        <v>0</v>
      </c>
      <c r="AF20" t="b">
        <v>0</v>
      </c>
      <c r="AG20" s="228" t="n">
        <v>-515.85</v>
      </c>
    </row>
    <row r="21">
      <c r="A21">
        <f>I21&amp;"-"&amp;J21</f>
        <v/>
      </c>
      <c r="B21" s="1">
        <f>N21</f>
        <v/>
      </c>
      <c r="C21">
        <f>M21&amp;"/"&amp;O21</f>
        <v/>
      </c>
      <c r="D21">
        <f>K21</f>
        <v/>
      </c>
      <c r="E21">
        <f>L21</f>
        <v/>
      </c>
      <c r="F21" s="236">
        <f>Z21</f>
        <v/>
      </c>
      <c r="G21">
        <f>U21&amp;"%"</f>
        <v/>
      </c>
      <c r="I21" s="53" t="n">
        <v>2023</v>
      </c>
      <c r="J21" s="53" t="n">
        <v>20</v>
      </c>
      <c r="K21" s="71" t="inlineStr">
        <is>
          <t>Ausgaben</t>
        </is>
      </c>
      <c r="L21" t="inlineStr">
        <is>
          <t>Reise- und Fahrtspesen inkl. Kilometergeld und Diäten</t>
        </is>
      </c>
      <c r="M21" s="131" t="n"/>
      <c r="N21" s="1" t="n">
        <v>44958</v>
      </c>
      <c r="O21" t="inlineStr">
        <is>
          <t>car2go Österreich GmbH, Hintere Zollamtstraße 9, 1030 Wien</t>
        </is>
      </c>
      <c r="Q21" s="76" t="n"/>
      <c r="R21" t="b">
        <v>0</v>
      </c>
      <c r="S21" s="214" t="n">
        <v>21.8</v>
      </c>
      <c r="T21" s="159" t="n">
        <v>1</v>
      </c>
      <c r="U21" t="n">
        <v>20</v>
      </c>
      <c r="V21" s="237" t="n">
        <v>4.36</v>
      </c>
      <c r="W21" s="237" t="n">
        <v>4.36</v>
      </c>
      <c r="X21" s="208" t="n">
        <v>21.8</v>
      </c>
      <c r="Y21" s="251" t="n">
        <v>26.16</v>
      </c>
      <c r="Z21" s="251" t="n">
        <v>26.16</v>
      </c>
      <c r="AA21" s="35" t="n">
        <v>45031</v>
      </c>
      <c r="AB21" s="27" t="n"/>
      <c r="AC21" s="27" t="n"/>
      <c r="AD21" s="210" t="n">
        <v>21.8</v>
      </c>
      <c r="AE21" s="237" t="n">
        <v>0</v>
      </c>
      <c r="AF21" t="b">
        <v>0</v>
      </c>
      <c r="AG21" s="228" t="n">
        <v>-21.8</v>
      </c>
    </row>
    <row r="22">
      <c r="A22">
        <f>I22&amp;"-"&amp;J22</f>
        <v/>
      </c>
      <c r="B22" s="1">
        <f>N22</f>
        <v/>
      </c>
      <c r="C22">
        <f>M22&amp;"/"&amp;O22</f>
        <v/>
      </c>
      <c r="D22">
        <f>K22</f>
        <v/>
      </c>
      <c r="E22">
        <f>L22</f>
        <v/>
      </c>
      <c r="F22" s="236">
        <f>Z22</f>
        <v/>
      </c>
      <c r="G22">
        <f>U22&amp;"%"</f>
        <v/>
      </c>
      <c r="I22" s="53" t="n">
        <v>2023</v>
      </c>
      <c r="J22" s="53" t="n">
        <v>21</v>
      </c>
      <c r="K22" s="71" t="inlineStr">
        <is>
          <t>Ausgaben</t>
        </is>
      </c>
      <c r="L22" t="inlineStr">
        <is>
          <t>sonstige Betriebsausgaben</t>
        </is>
      </c>
      <c r="M22" s="9" t="n"/>
      <c r="N22" s="1" t="n">
        <v>44960</v>
      </c>
      <c r="O22" t="inlineStr">
        <is>
          <t>Google Ireland Ltd, Gordon House, Barrow Street, Dublin 4, Ireland; VAT number: IE 6388047V</t>
        </is>
      </c>
      <c r="Q22" s="76" t="n"/>
      <c r="R22" t="b">
        <v>0</v>
      </c>
      <c r="S22" s="214" t="n">
        <v>9.359999999999999</v>
      </c>
      <c r="T22" s="159" t="n">
        <v>1</v>
      </c>
      <c r="U22" t="n">
        <v>0</v>
      </c>
      <c r="V22" s="237" t="n">
        <v>0</v>
      </c>
      <c r="W22" s="237" t="n">
        <v>0</v>
      </c>
      <c r="X22" s="208" t="n">
        <v>9.359999999999999</v>
      </c>
      <c r="Y22" s="251" t="n">
        <v>9.359999999999999</v>
      </c>
      <c r="Z22" s="251" t="n">
        <v>9.359999999999999</v>
      </c>
      <c r="AA22" s="35" t="n">
        <v>45031</v>
      </c>
      <c r="AB22" s="27" t="n"/>
      <c r="AC22" s="27" t="n">
        <v>20</v>
      </c>
      <c r="AD22" s="210" t="n">
        <v>9.359999999999999</v>
      </c>
      <c r="AE22" s="237" t="n">
        <v>1.872</v>
      </c>
      <c r="AF22" t="b">
        <v>0</v>
      </c>
      <c r="AG22" s="228" t="n">
        <v>-9.359999999999999</v>
      </c>
    </row>
    <row r="23">
      <c r="A23">
        <f>I23&amp;"-"&amp;J23</f>
        <v/>
      </c>
      <c r="B23" s="1">
        <f>N23</f>
        <v/>
      </c>
      <c r="C23">
        <f>M23&amp;"/"&amp;O23</f>
        <v/>
      </c>
      <c r="D23">
        <f>K23</f>
        <v/>
      </c>
      <c r="E23">
        <f>L23</f>
        <v/>
      </c>
      <c r="F23" s="236">
        <f>Z23</f>
        <v/>
      </c>
      <c r="G23">
        <f>U23&amp;"%"</f>
        <v/>
      </c>
      <c r="I23" s="53" t="n">
        <v>2023</v>
      </c>
      <c r="J23" s="53" t="n">
        <v>22</v>
      </c>
      <c r="K23" s="71" t="inlineStr">
        <is>
          <t>Ausgaben</t>
        </is>
      </c>
      <c r="L23" t="inlineStr">
        <is>
          <t>Telefon/Internet</t>
        </is>
      </c>
      <c r="M23" s="9" t="n"/>
      <c r="N23" s="1" t="n">
        <v>44959</v>
      </c>
      <c r="O23" t="inlineStr">
        <is>
          <t>Hutchison Drei Austria GmbH, Brünner Straße 52, 1210 Wien, Österreich</t>
        </is>
      </c>
      <c r="Q23" s="76" t="n"/>
      <c r="R23" t="b">
        <v>0</v>
      </c>
      <c r="S23" s="214" t="n">
        <v>15</v>
      </c>
      <c r="T23" s="159" t="n">
        <v>1</v>
      </c>
      <c r="U23" t="n">
        <v>20</v>
      </c>
      <c r="V23" s="237" t="n">
        <v>3</v>
      </c>
      <c r="W23" s="237" t="n">
        <v>3</v>
      </c>
      <c r="X23" s="208" t="n">
        <v>15</v>
      </c>
      <c r="Y23" s="251" t="n">
        <v>18</v>
      </c>
      <c r="Z23" s="251" t="n">
        <v>18</v>
      </c>
      <c r="AA23" s="35" t="n">
        <v>45031</v>
      </c>
      <c r="AB23" s="27" t="n"/>
      <c r="AC23" s="27" t="n"/>
      <c r="AD23" s="210" t="n">
        <v>15</v>
      </c>
      <c r="AE23" s="237" t="n">
        <v>0</v>
      </c>
      <c r="AF23" t="b">
        <v>0</v>
      </c>
      <c r="AG23" s="228" t="n">
        <v>-15</v>
      </c>
    </row>
    <row r="24">
      <c r="A24">
        <f>I24&amp;"-"&amp;J24</f>
        <v/>
      </c>
      <c r="B24" s="1">
        <f>N24</f>
        <v/>
      </c>
      <c r="C24">
        <f>M24&amp;"/"&amp;O24</f>
        <v/>
      </c>
      <c r="D24">
        <f>K24</f>
        <v/>
      </c>
      <c r="E24">
        <f>L24</f>
        <v/>
      </c>
      <c r="F24" s="236">
        <f>Z24</f>
        <v/>
      </c>
      <c r="G24">
        <f>U24&amp;"%"</f>
        <v/>
      </c>
      <c r="I24" s="53" t="n">
        <v>2023</v>
      </c>
      <c r="J24" s="53" t="n">
        <v>23</v>
      </c>
      <c r="K24" s="71" t="inlineStr">
        <is>
          <t>Ausgaben</t>
        </is>
      </c>
      <c r="L24" t="inlineStr">
        <is>
          <t>sonstige Betriebsausgaben</t>
        </is>
      </c>
      <c r="N24" s="1" t="n">
        <v>44960</v>
      </c>
      <c r="O24" t="inlineStr">
        <is>
          <t>go green energy GmbH &amp; Co KG</t>
        </is>
      </c>
      <c r="Q24" s="76" t="n"/>
      <c r="R24" t="b">
        <v>0</v>
      </c>
      <c r="S24" s="214" t="n">
        <v>5</v>
      </c>
      <c r="T24" s="159" t="n">
        <v>1</v>
      </c>
      <c r="U24" t="n">
        <v>20</v>
      </c>
      <c r="V24" s="237" t="n">
        <v>1</v>
      </c>
      <c r="W24" s="237" t="n">
        <v>1</v>
      </c>
      <c r="X24" s="208" t="n">
        <v>5</v>
      </c>
      <c r="Y24" s="251" t="n">
        <v>6</v>
      </c>
      <c r="Z24" s="251" t="n">
        <v>6</v>
      </c>
      <c r="AA24" s="35" t="n">
        <v>45031</v>
      </c>
      <c r="AB24" s="27" t="n"/>
      <c r="AC24" s="27" t="n"/>
      <c r="AD24" s="210" t="n">
        <v>5</v>
      </c>
      <c r="AE24" s="237" t="n">
        <v>0</v>
      </c>
      <c r="AF24" t="b">
        <v>0</v>
      </c>
      <c r="AG24" s="228" t="n">
        <v>-5</v>
      </c>
    </row>
    <row r="25">
      <c r="A25">
        <f>I25&amp;"-"&amp;J25</f>
        <v/>
      </c>
      <c r="B25" s="1">
        <f>N25</f>
        <v/>
      </c>
      <c r="C25">
        <f>M25&amp;"/"&amp;O25</f>
        <v/>
      </c>
      <c r="D25">
        <f>K25</f>
        <v/>
      </c>
      <c r="E25">
        <f>L25</f>
        <v/>
      </c>
      <c r="F25" s="236">
        <f>Z25</f>
        <v/>
      </c>
      <c r="G25">
        <f>U25&amp;"%"</f>
        <v/>
      </c>
      <c r="I25" s="53" t="n">
        <v>2023</v>
      </c>
      <c r="J25" s="53" t="n">
        <v>24</v>
      </c>
      <c r="K25" s="71" t="inlineStr">
        <is>
          <t>Ausgaben</t>
        </is>
      </c>
      <c r="L25" t="inlineStr">
        <is>
          <t>Büromaterial</t>
        </is>
      </c>
      <c r="M25" s="9" t="n"/>
      <c r="N25" s="1" t="n">
        <v>44961</v>
      </c>
      <c r="O25" t="inlineStr">
        <is>
          <t>Büroprofi Koch Papier GmbH, 1080 Wien, Josefstädter Str  87</t>
        </is>
      </c>
      <c r="Q25" s="76" t="n"/>
      <c r="R25" t="b">
        <v>0</v>
      </c>
      <c r="S25" s="214" t="n">
        <v>11.53333333333333</v>
      </c>
      <c r="T25" s="159" t="n">
        <v>1</v>
      </c>
      <c r="U25" t="n">
        <v>20</v>
      </c>
      <c r="V25" s="237" t="n">
        <v>2.306666666666667</v>
      </c>
      <c r="W25" s="237" t="n">
        <v>2.306666666666667</v>
      </c>
      <c r="X25" s="208" t="n">
        <v>11.53333333333333</v>
      </c>
      <c r="Y25" s="251" t="n">
        <v>13.84</v>
      </c>
      <c r="Z25" s="251" t="n">
        <v>13.84</v>
      </c>
      <c r="AA25" s="35" t="n">
        <v>45031</v>
      </c>
      <c r="AB25" s="27" t="n"/>
      <c r="AC25" s="27" t="n"/>
      <c r="AD25" s="210" t="n">
        <v>11.53333333333333</v>
      </c>
      <c r="AE25" s="237" t="n">
        <v>0</v>
      </c>
      <c r="AF25" t="b">
        <v>0</v>
      </c>
      <c r="AG25" s="228" t="n">
        <v>-11.53333333333333</v>
      </c>
    </row>
    <row r="26">
      <c r="A26">
        <f>I26&amp;"-"&amp;J26</f>
        <v/>
      </c>
      <c r="B26" s="1">
        <f>N26</f>
        <v/>
      </c>
      <c r="C26">
        <f>M26&amp;"/"&amp;O26</f>
        <v/>
      </c>
      <c r="D26">
        <f>K26</f>
        <v/>
      </c>
      <c r="E26">
        <f>L26</f>
        <v/>
      </c>
      <c r="F26" s="236">
        <f>Z26</f>
        <v/>
      </c>
      <c r="G26">
        <f>U26&amp;"%"</f>
        <v/>
      </c>
      <c r="I26" s="53" t="n">
        <v>2023</v>
      </c>
      <c r="J26" s="53" t="n">
        <v>25</v>
      </c>
      <c r="K26" s="71" t="inlineStr">
        <is>
          <t>Ausgaben</t>
        </is>
      </c>
      <c r="L26" t="inlineStr">
        <is>
          <t>Büromaterial</t>
        </is>
      </c>
      <c r="M26" s="9" t="inlineStr">
        <is>
          <t>071149</t>
        </is>
      </c>
      <c r="N26" s="1" t="n">
        <v>44927</v>
      </c>
      <c r="O26" t="inlineStr">
        <is>
          <t>STORNIERT "Libro" PL Handelsgesellschaft mbH, 1080 Wien, Josefstädter Straße 105, ATU 56240311 (war 14.12.2022)</t>
        </is>
      </c>
      <c r="Q26" s="76" t="n"/>
      <c r="R26" t="b">
        <v>0</v>
      </c>
      <c r="S26" s="214" t="n">
        <v>7.233333333333333</v>
      </c>
      <c r="T26" s="159" t="n">
        <v>1</v>
      </c>
      <c r="U26" t="n">
        <v>20</v>
      </c>
      <c r="V26" s="237" t="n">
        <v>1.446666666666667</v>
      </c>
      <c r="W26" s="237" t="n">
        <v>1.446666666666667</v>
      </c>
      <c r="X26" s="208" t="n">
        <v>7.233333333333333</v>
      </c>
      <c r="Y26" s="251" t="n">
        <v>8.68</v>
      </c>
      <c r="Z26" s="251" t="n">
        <v>8.68</v>
      </c>
      <c r="AA26" s="35" t="n">
        <v>45000</v>
      </c>
      <c r="AB26" s="27" t="n"/>
      <c r="AC26" s="27" t="n"/>
      <c r="AD26" s="210" t="n">
        <v>7.233333333333333</v>
      </c>
      <c r="AE26" s="237" t="n">
        <v>0</v>
      </c>
      <c r="AF26" t="b">
        <v>0</v>
      </c>
      <c r="AG26" s="228" t="n">
        <v>-7.233333333333333</v>
      </c>
    </row>
    <row r="27">
      <c r="A27">
        <f>I27&amp;"-"&amp;J27</f>
        <v/>
      </c>
      <c r="B27" s="1">
        <f>N27</f>
        <v/>
      </c>
      <c r="C27">
        <f>M27&amp;"/"&amp;O27</f>
        <v/>
      </c>
      <c r="D27">
        <f>K27</f>
        <v/>
      </c>
      <c r="E27">
        <f>L27</f>
        <v/>
      </c>
      <c r="F27" s="236">
        <f>Z27</f>
        <v/>
      </c>
      <c r="G27">
        <f>U27&amp;"%"</f>
        <v/>
      </c>
      <c r="I27" s="155" t="n">
        <v>2023</v>
      </c>
      <c r="J27" s="155" t="n">
        <v>26</v>
      </c>
      <c r="K27" s="71" t="inlineStr">
        <is>
          <t>Ausgaben</t>
        </is>
      </c>
      <c r="L27" t="inlineStr">
        <is>
          <t>Büromaterial</t>
        </is>
      </c>
      <c r="M27" s="9" t="inlineStr">
        <is>
          <t>AT2Q8NVIAEUI</t>
        </is>
      </c>
      <c r="N27" s="1" t="n">
        <v>44963</v>
      </c>
      <c r="O27" t="inlineStr">
        <is>
          <t>Amazon EU S. à r.l., 38 avenue John F. Kennedy, L-1855 Luxembourg: HJEU: DVI-HDMI, Logitech Maus</t>
        </is>
      </c>
      <c r="Q27" s="76" t="n"/>
      <c r="R27" t="b">
        <v>0</v>
      </c>
      <c r="S27" s="214" t="n">
        <v>-16.8</v>
      </c>
      <c r="T27" s="159" t="n">
        <v>1</v>
      </c>
      <c r="U27" t="n">
        <v>20</v>
      </c>
      <c r="V27" s="237" t="n">
        <v>-3.36</v>
      </c>
      <c r="W27" s="237" t="n">
        <v>-3.36</v>
      </c>
      <c r="X27" s="208" t="n">
        <v>-16.8</v>
      </c>
      <c r="Y27" s="251" t="n">
        <v>-20.16</v>
      </c>
      <c r="Z27" s="251" t="n">
        <v>-20.16</v>
      </c>
      <c r="AA27" s="35" t="n">
        <v>45031</v>
      </c>
      <c r="AB27" s="27" t="n"/>
      <c r="AC27" s="27" t="n"/>
      <c r="AD27" s="210" t="n">
        <v>-16.8</v>
      </c>
      <c r="AE27" s="237" t="n">
        <v>0</v>
      </c>
      <c r="AF27" t="b">
        <v>0</v>
      </c>
      <c r="AG27" s="228" t="n">
        <v>16.8</v>
      </c>
    </row>
    <row r="28">
      <c r="A28">
        <f>I28&amp;"-"&amp;J28</f>
        <v/>
      </c>
      <c r="B28" s="1">
        <f>N28</f>
        <v/>
      </c>
      <c r="C28">
        <f>M28&amp;"/"&amp;O28</f>
        <v/>
      </c>
      <c r="D28">
        <f>K28</f>
        <v/>
      </c>
      <c r="E28">
        <f>L28</f>
        <v/>
      </c>
      <c r="F28" s="236">
        <f>Z28</f>
        <v/>
      </c>
      <c r="G28">
        <f>U28&amp;"%"</f>
        <v/>
      </c>
      <c r="I28" s="155" t="n">
        <v>2023</v>
      </c>
      <c r="J28" s="155" t="n">
        <v>27</v>
      </c>
      <c r="K28" s="71" t="inlineStr">
        <is>
          <t>Ausgaben</t>
        </is>
      </c>
      <c r="L28" t="inlineStr">
        <is>
          <t>Personalaufwand</t>
        </is>
      </c>
      <c r="M28" s="9" t="inlineStr">
        <is>
          <t>66008669</t>
        </is>
      </c>
      <c r="N28" s="1" t="n">
        <v>44963</v>
      </c>
      <c r="O28" t="inlineStr">
        <is>
          <t>Österreichische Gesundheitskasse, Beiträge Eva Jaros-Kolbitsch 2023/1-12</t>
        </is>
      </c>
      <c r="Q28" s="76" t="n"/>
      <c r="S28" s="214" t="n">
        <v>119.52</v>
      </c>
      <c r="T28" s="159" t="n">
        <v>1</v>
      </c>
      <c r="U28" t="n">
        <v>0</v>
      </c>
      <c r="V28" s="237" t="n">
        <v>0</v>
      </c>
      <c r="W28" s="237" t="n">
        <v>0</v>
      </c>
      <c r="X28" s="208" t="n">
        <v>119.52</v>
      </c>
      <c r="Y28" s="251" t="n">
        <v>119.52</v>
      </c>
      <c r="Z28" s="251" t="n">
        <v>119.52</v>
      </c>
      <c r="AA28" s="35" t="n">
        <v>45031</v>
      </c>
      <c r="AB28" s="27" t="n"/>
      <c r="AC28" s="27" t="n"/>
      <c r="AD28" s="210" t="n">
        <v>119.52</v>
      </c>
      <c r="AE28" s="237" t="n">
        <v>0</v>
      </c>
      <c r="AF28" t="b">
        <v>0</v>
      </c>
      <c r="AG28" s="228" t="n">
        <v>-119.52</v>
      </c>
    </row>
    <row r="29">
      <c r="A29">
        <f>I29&amp;"-"&amp;J29</f>
        <v/>
      </c>
      <c r="B29" s="1">
        <f>N29</f>
        <v/>
      </c>
      <c r="C29">
        <f>M29&amp;"/"&amp;O29</f>
        <v/>
      </c>
      <c r="D29">
        <f>K29</f>
        <v/>
      </c>
      <c r="E29">
        <f>L29</f>
        <v/>
      </c>
      <c r="F29" s="236">
        <f>Z29</f>
        <v/>
      </c>
      <c r="G29">
        <f>U29&amp;"%"</f>
        <v/>
      </c>
      <c r="I29" s="155" t="n">
        <v>2023</v>
      </c>
      <c r="J29" s="155" t="n">
        <v>28</v>
      </c>
      <c r="K29" s="71" t="inlineStr">
        <is>
          <t>Ausgaben</t>
        </is>
      </c>
      <c r="L29" t="inlineStr">
        <is>
          <t>Miet- und Pachtaufwand, Leasing</t>
        </is>
      </c>
      <c r="M29" s="61" t="inlineStr">
        <is>
          <t>BELEG FEHLT</t>
        </is>
      </c>
      <c r="N29" s="1" t="n">
        <v>44963</v>
      </c>
      <c r="O29" t="inlineStr">
        <is>
          <t>Techem Messtechnik GmbH; Abnehmernummer 501686-0003-11-</t>
        </is>
      </c>
      <c r="Q29" s="76" t="n"/>
      <c r="R29" t="b">
        <v>0</v>
      </c>
      <c r="S29" s="214" t="n">
        <v>122.6</v>
      </c>
      <c r="T29" s="159" t="n">
        <v>1</v>
      </c>
      <c r="U29" t="n">
        <v>20</v>
      </c>
      <c r="V29" s="237" t="n">
        <v>24.52</v>
      </c>
      <c r="W29" s="237" t="n">
        <v>24.52</v>
      </c>
      <c r="X29" s="208" t="n">
        <v>122.6</v>
      </c>
      <c r="Y29" s="251" t="n">
        <v>147.12</v>
      </c>
      <c r="Z29" s="251" t="n">
        <v>147.12</v>
      </c>
      <c r="AA29" s="35" t="n">
        <v>45031</v>
      </c>
      <c r="AB29" s="27" t="n"/>
      <c r="AC29" s="27" t="n"/>
      <c r="AD29" s="210" t="n">
        <v>122.6</v>
      </c>
      <c r="AE29" s="237" t="n">
        <v>0</v>
      </c>
      <c r="AF29" t="b">
        <v>0</v>
      </c>
      <c r="AG29" s="228" t="n">
        <v>-122.6</v>
      </c>
    </row>
    <row r="30">
      <c r="A30">
        <f>I30&amp;"-"&amp;J30</f>
        <v/>
      </c>
      <c r="B30" s="1">
        <f>N30</f>
        <v/>
      </c>
      <c r="C30">
        <f>M30&amp;"/"&amp;O30</f>
        <v/>
      </c>
      <c r="D30">
        <f>K30</f>
        <v/>
      </c>
      <c r="E30">
        <f>L30</f>
        <v/>
      </c>
      <c r="F30" s="236">
        <f>Z30</f>
        <v/>
      </c>
      <c r="G30">
        <f>U30&amp;"%"</f>
        <v/>
      </c>
      <c r="I30" s="155" t="n">
        <v>2023</v>
      </c>
      <c r="J30" s="155" t="n">
        <v>29</v>
      </c>
      <c r="K30" s="71" t="inlineStr">
        <is>
          <t>Einnahmen</t>
        </is>
      </c>
      <c r="L30" t="inlineStr">
        <is>
          <t>Waren-/Leistungserlöse</t>
        </is>
      </c>
      <c r="M30" t="n">
        <v>12022029</v>
      </c>
      <c r="N30" s="1" t="n">
        <v>44965</v>
      </c>
      <c r="O30" t="inlineStr">
        <is>
          <t>Paperholic all bout paper e.U.</t>
        </is>
      </c>
      <c r="Q30" s="76" t="n"/>
      <c r="R30" t="b">
        <v>0</v>
      </c>
      <c r="S30" s="214" t="n">
        <v>540</v>
      </c>
      <c r="T30" s="159" t="n">
        <v>1</v>
      </c>
      <c r="U30" t="n">
        <v>20</v>
      </c>
      <c r="V30" s="237" t="n">
        <v>108</v>
      </c>
      <c r="W30" s="237" t="n">
        <v>108</v>
      </c>
      <c r="X30" s="208" t="n">
        <v>540</v>
      </c>
      <c r="Y30" s="251" t="n">
        <v>648</v>
      </c>
      <c r="Z30" s="251" t="n">
        <v>648</v>
      </c>
      <c r="AA30" s="35" t="n">
        <v>45031</v>
      </c>
      <c r="AB30" s="27" t="n"/>
      <c r="AC30" s="27" t="n"/>
      <c r="AD30" s="210" t="n">
        <v>540</v>
      </c>
      <c r="AE30" s="237" t="n">
        <v>0</v>
      </c>
      <c r="AF30" t="b">
        <v>0</v>
      </c>
      <c r="AG30" s="228" t="n">
        <v>540</v>
      </c>
    </row>
    <row r="31">
      <c r="A31">
        <f>I31&amp;"-"&amp;J31</f>
        <v/>
      </c>
      <c r="B31" s="1">
        <f>N31</f>
        <v/>
      </c>
      <c r="C31">
        <f>M31&amp;"/"&amp;O31</f>
        <v/>
      </c>
      <c r="D31">
        <f>K31</f>
        <v/>
      </c>
      <c r="E31">
        <f>L31</f>
        <v/>
      </c>
      <c r="F31" s="236">
        <f>Z31</f>
        <v/>
      </c>
      <c r="G31">
        <f>U31&amp;"%"</f>
        <v/>
      </c>
      <c r="I31" s="155" t="n">
        <v>2023</v>
      </c>
      <c r="J31" s="155" t="n">
        <v>30</v>
      </c>
      <c r="K31" s="71" t="inlineStr">
        <is>
          <t>Einnahmen</t>
        </is>
      </c>
      <c r="L31" t="inlineStr">
        <is>
          <t>Waren-/Leistungserlöse</t>
        </is>
      </c>
      <c r="M31" t="n">
        <v>12022026</v>
      </c>
      <c r="N31" s="1" t="n">
        <v>44965</v>
      </c>
      <c r="O31" t="inlineStr">
        <is>
          <t>Hays Österreich GmbH, Bahnhof City Wien West , Europaplatz 3/5, 1150 Wien</t>
        </is>
      </c>
      <c r="Q31" s="76" t="n"/>
      <c r="R31" t="b">
        <v>0</v>
      </c>
      <c r="S31" s="214" t="n">
        <v>12537</v>
      </c>
      <c r="T31" s="159" t="n">
        <v>1</v>
      </c>
      <c r="U31" t="n">
        <v>20</v>
      </c>
      <c r="V31" s="237" t="n">
        <v>2507.4</v>
      </c>
      <c r="W31" s="237" t="n">
        <v>2507.4</v>
      </c>
      <c r="X31" s="208" t="n">
        <v>12537</v>
      </c>
      <c r="Y31" s="251" t="n">
        <v>15044.4</v>
      </c>
      <c r="Z31" s="251" t="n">
        <v>15044.4</v>
      </c>
      <c r="AA31" s="35" t="n">
        <v>45031</v>
      </c>
      <c r="AB31" s="27" t="n"/>
      <c r="AC31" s="27" t="n"/>
      <c r="AD31" s="210" t="n">
        <v>12537</v>
      </c>
      <c r="AE31" s="237" t="n">
        <v>0</v>
      </c>
      <c r="AF31" t="b">
        <v>0</v>
      </c>
      <c r="AG31" s="228" t="n">
        <v>12537</v>
      </c>
    </row>
    <row r="32">
      <c r="A32">
        <f>I32&amp;"-"&amp;J32</f>
        <v/>
      </c>
      <c r="B32" s="1">
        <f>N32</f>
        <v/>
      </c>
      <c r="C32">
        <f>M32&amp;"/"&amp;O32</f>
        <v/>
      </c>
      <c r="D32">
        <f>K32</f>
        <v/>
      </c>
      <c r="E32">
        <f>L32</f>
        <v/>
      </c>
      <c r="F32" s="236">
        <f>Z32</f>
        <v/>
      </c>
      <c r="G32">
        <f>U32&amp;"%"</f>
        <v/>
      </c>
      <c r="I32" s="155" t="n">
        <v>2023</v>
      </c>
      <c r="J32" s="155" t="n">
        <v>31</v>
      </c>
      <c r="K32" s="71" t="inlineStr">
        <is>
          <t>Ausgaben</t>
        </is>
      </c>
      <c r="L32" t="inlineStr">
        <is>
          <t>sonstige Betriebsausgaben</t>
        </is>
      </c>
      <c r="M32" s="9" t="n"/>
      <c r="N32" s="1" t="n">
        <v>44970</v>
      </c>
      <c r="O32" t="inlineStr">
        <is>
          <t>Hetzner Online GmbH</t>
        </is>
      </c>
      <c r="Q32" s="76" t="n"/>
      <c r="R32" t="b">
        <v>0</v>
      </c>
      <c r="S32" s="214" t="n">
        <v>52.2141</v>
      </c>
      <c r="T32" s="159" t="n">
        <v>1</v>
      </c>
      <c r="U32" t="n">
        <v>0</v>
      </c>
      <c r="V32" s="237" t="n">
        <v>0</v>
      </c>
      <c r="W32" s="237" t="n">
        <v>0</v>
      </c>
      <c r="X32" s="208" t="n">
        <v>52.2141</v>
      </c>
      <c r="Y32" s="251" t="n">
        <v>52.2141</v>
      </c>
      <c r="Z32" s="251" t="n">
        <v>52.2141</v>
      </c>
      <c r="AA32" s="35" t="n">
        <v>45031</v>
      </c>
      <c r="AB32" s="27" t="n"/>
      <c r="AC32" s="27" t="n">
        <v>20</v>
      </c>
      <c r="AD32" s="210" t="n">
        <v>52.2141</v>
      </c>
      <c r="AE32" s="237" t="n">
        <v>10.44282</v>
      </c>
      <c r="AF32" t="b">
        <v>0</v>
      </c>
      <c r="AG32" s="228" t="n">
        <v>-52.2141</v>
      </c>
    </row>
    <row r="33">
      <c r="A33">
        <f>I33&amp;"-"&amp;J33</f>
        <v/>
      </c>
      <c r="B33" s="1">
        <f>N33</f>
        <v/>
      </c>
      <c r="C33">
        <f>M33&amp;"/"&amp;O33</f>
        <v/>
      </c>
      <c r="D33">
        <f>K33</f>
        <v/>
      </c>
      <c r="E33">
        <f>L33</f>
        <v/>
      </c>
      <c r="F33" s="236">
        <f>Z33</f>
        <v/>
      </c>
      <c r="G33">
        <f>U33&amp;"%"</f>
        <v/>
      </c>
      <c r="I33" s="155" t="n">
        <v>2023</v>
      </c>
      <c r="J33" s="155" t="n">
        <v>32</v>
      </c>
      <c r="K33" s="71" t="inlineStr">
        <is>
          <t>Ausgaben</t>
        </is>
      </c>
      <c r="L33" t="inlineStr">
        <is>
          <t>sonstige Betriebsausgaben</t>
        </is>
      </c>
      <c r="M33" s="61" t="inlineStr">
        <is>
          <t>BELEG FEHLT</t>
        </is>
      </c>
      <c r="N33" s="1" t="n">
        <v>44967</v>
      </c>
      <c r="O33" t="inlineStr">
        <is>
          <t>Wiener Netze GmbH, Erdbergstraße 236, 1110 Wien, Postfach 422; Jahresabrechnung vom 17.12.20: GUTSCHRIFT</t>
        </is>
      </c>
      <c r="Q33" s="76" t="n"/>
      <c r="R33" t="b">
        <v>0</v>
      </c>
      <c r="S33" s="214" t="n">
        <v>12</v>
      </c>
      <c r="T33" s="159" t="n">
        <v>1</v>
      </c>
      <c r="U33" t="n">
        <v>20</v>
      </c>
      <c r="V33" s="237" t="n">
        <v>2.4</v>
      </c>
      <c r="W33" s="237" t="n">
        <v>2.4</v>
      </c>
      <c r="X33" s="208" t="n">
        <v>12</v>
      </c>
      <c r="Y33" s="251" t="n">
        <v>14.4</v>
      </c>
      <c r="Z33" s="251" t="n">
        <v>14.4</v>
      </c>
      <c r="AA33" s="35" t="n">
        <v>45031</v>
      </c>
      <c r="AB33" s="27" t="n"/>
      <c r="AC33" s="27" t="n"/>
      <c r="AD33" s="210" t="n">
        <v>12</v>
      </c>
      <c r="AE33" s="237" t="n">
        <v>0</v>
      </c>
      <c r="AF33" t="b">
        <v>0</v>
      </c>
      <c r="AG33" s="228" t="n">
        <v>-12</v>
      </c>
    </row>
    <row r="34">
      <c r="A34">
        <f>I34&amp;"-"&amp;J34</f>
        <v/>
      </c>
      <c r="B34" s="1">
        <f>N34</f>
        <v/>
      </c>
      <c r="C34">
        <f>M34&amp;"/"&amp;O34</f>
        <v/>
      </c>
      <c r="D34">
        <f>K34</f>
        <v/>
      </c>
      <c r="E34">
        <f>L34</f>
        <v/>
      </c>
      <c r="F34" s="236">
        <f>Z34</f>
        <v/>
      </c>
      <c r="G34">
        <f>U34&amp;"%"</f>
        <v/>
      </c>
      <c r="I34" s="155" t="n">
        <v>2023</v>
      </c>
      <c r="J34" s="155" t="n">
        <v>33</v>
      </c>
      <c r="K34" s="71" t="inlineStr">
        <is>
          <t>Ausgaben</t>
        </is>
      </c>
      <c r="L34" t="inlineStr">
        <is>
          <t>Büromaterial</t>
        </is>
      </c>
      <c r="M34" s="9" t="inlineStr">
        <is>
          <t>AT32ZOGEAEUI</t>
        </is>
      </c>
      <c r="N34" s="1" t="n">
        <v>44971</v>
      </c>
      <c r="O34" t="inlineStr">
        <is>
          <t>Amazon EU S. à r.l., 38 avenue John F. Kennedy, L-1855 Luxembourg: HJEU: DVI-HDMI, Logitech Maus</t>
        </is>
      </c>
      <c r="Q34" s="76" t="n"/>
      <c r="R34" t="b">
        <v>0</v>
      </c>
      <c r="S34" s="214" t="n">
        <v>8.050000000000001</v>
      </c>
      <c r="T34" s="159" t="n">
        <v>1</v>
      </c>
      <c r="U34" t="n">
        <v>20</v>
      </c>
      <c r="V34" s="237" t="n">
        <v>1.61</v>
      </c>
      <c r="W34" s="237" t="n">
        <v>1.61</v>
      </c>
      <c r="X34" s="208" t="n">
        <v>8.050000000000001</v>
      </c>
      <c r="Y34" s="251" t="n">
        <v>9.66</v>
      </c>
      <c r="Z34" s="251" t="n">
        <v>9.66</v>
      </c>
      <c r="AA34" s="35" t="n">
        <v>45031</v>
      </c>
      <c r="AB34" s="27" t="n"/>
      <c r="AC34" s="27" t="n"/>
      <c r="AD34" s="210" t="n">
        <v>8.050000000000001</v>
      </c>
      <c r="AE34" s="237" t="n">
        <v>0</v>
      </c>
      <c r="AF34" t="b">
        <v>0</v>
      </c>
      <c r="AG34" s="228" t="n">
        <v>-8.050000000000001</v>
      </c>
    </row>
    <row r="35">
      <c r="A35">
        <f>I35&amp;"-"&amp;J35</f>
        <v/>
      </c>
      <c r="B35" s="1">
        <f>N35</f>
        <v/>
      </c>
      <c r="C35">
        <f>M35&amp;"/"&amp;O35</f>
        <v/>
      </c>
      <c r="D35">
        <f>K35</f>
        <v/>
      </c>
      <c r="E35">
        <f>L35</f>
        <v/>
      </c>
      <c r="F35" s="236">
        <f>Z35</f>
        <v/>
      </c>
      <c r="G35">
        <f>U35&amp;"%"</f>
        <v/>
      </c>
      <c r="I35" s="155" t="n">
        <v>2023</v>
      </c>
      <c r="J35" s="155" t="n">
        <v>34</v>
      </c>
      <c r="K35" s="71" t="inlineStr">
        <is>
          <t>Ausgaben</t>
        </is>
      </c>
      <c r="L35" t="inlineStr">
        <is>
          <t>Personalaufwand</t>
        </is>
      </c>
      <c r="M35" s="9" t="inlineStr">
        <is>
          <t>siehe 2022-140</t>
        </is>
      </c>
      <c r="N35" s="1" t="n">
        <v>44972</v>
      </c>
      <c r="O35" t="inlineStr">
        <is>
          <t>Honorar Eva Jaros-Kolbitsch</t>
        </is>
      </c>
      <c r="Q35" s="76" t="n"/>
      <c r="R35" t="b">
        <v>0</v>
      </c>
      <c r="S35" s="214" t="n">
        <v>365</v>
      </c>
      <c r="T35" s="159" t="n">
        <v>1</v>
      </c>
      <c r="U35" t="n">
        <v>0</v>
      </c>
      <c r="V35" s="237" t="n">
        <v>0</v>
      </c>
      <c r="W35" s="237" t="n">
        <v>0</v>
      </c>
      <c r="X35" s="208" t="n">
        <v>365</v>
      </c>
      <c r="Y35" s="251" t="n">
        <v>365</v>
      </c>
      <c r="Z35" s="251" t="n">
        <v>365</v>
      </c>
      <c r="AA35" s="35" t="n">
        <v>45031</v>
      </c>
      <c r="AB35" s="27" t="n"/>
      <c r="AC35" s="27" t="n"/>
      <c r="AD35" s="210" t="n">
        <v>365</v>
      </c>
      <c r="AE35" s="237" t="n">
        <v>0</v>
      </c>
      <c r="AF35" t="b">
        <v>0</v>
      </c>
      <c r="AG35" s="228" t="n">
        <v>-365</v>
      </c>
    </row>
    <row r="36">
      <c r="A36">
        <f>I36&amp;"-"&amp;J36</f>
        <v/>
      </c>
      <c r="B36" s="1">
        <f>N36</f>
        <v/>
      </c>
      <c r="C36">
        <f>M36&amp;"/"&amp;O36</f>
        <v/>
      </c>
      <c r="D36">
        <f>K36</f>
        <v/>
      </c>
      <c r="E36">
        <f>L36</f>
        <v/>
      </c>
      <c r="F36" s="236">
        <f>Z36</f>
        <v/>
      </c>
      <c r="G36">
        <f>U36&amp;"%"</f>
        <v/>
      </c>
      <c r="I36" s="155" t="n">
        <v>2023</v>
      </c>
      <c r="J36" s="155" t="n">
        <v>35</v>
      </c>
      <c r="K36" s="71" t="inlineStr">
        <is>
          <t>Ausgaben</t>
        </is>
      </c>
      <c r="L36" t="inlineStr">
        <is>
          <t>Reise- und Fahrtspesen inkl. Kilometergeld und Diäten</t>
        </is>
      </c>
      <c r="M36" s="131" t="n"/>
      <c r="N36" s="1" t="n">
        <v>44973</v>
      </c>
      <c r="O36" t="inlineStr">
        <is>
          <t>car2go Österreich GmbH, Hintere Zollamtstraße 9, 1030 Wien</t>
        </is>
      </c>
      <c r="Q36" s="76" t="n"/>
      <c r="R36" t="b">
        <v>0</v>
      </c>
      <c r="S36" s="214" t="n">
        <v>16.67</v>
      </c>
      <c r="T36" s="159" t="n">
        <v>1</v>
      </c>
      <c r="U36" t="n">
        <v>20</v>
      </c>
      <c r="V36" s="237" t="n">
        <v>3.334000000000001</v>
      </c>
      <c r="W36" s="237" t="n">
        <v>3.334000000000001</v>
      </c>
      <c r="X36" s="208" t="n">
        <v>16.67</v>
      </c>
      <c r="Y36" s="251" t="n">
        <v>20.004</v>
      </c>
      <c r="Z36" s="251" t="n">
        <v>20.004</v>
      </c>
      <c r="AA36" s="35" t="n">
        <v>45031</v>
      </c>
      <c r="AB36" s="27" t="n"/>
      <c r="AC36" s="27" t="n"/>
      <c r="AD36" s="210" t="n">
        <v>16.67</v>
      </c>
      <c r="AE36" s="237" t="n">
        <v>0</v>
      </c>
      <c r="AF36" t="b">
        <v>0</v>
      </c>
      <c r="AG36" s="228" t="n">
        <v>-16.67</v>
      </c>
    </row>
    <row r="37">
      <c r="A37">
        <f>I37&amp;"-"&amp;J37</f>
        <v/>
      </c>
      <c r="B37" s="1">
        <f>N37</f>
        <v/>
      </c>
      <c r="C37">
        <f>M37&amp;"/"&amp;O37</f>
        <v/>
      </c>
      <c r="D37">
        <f>K37</f>
        <v/>
      </c>
      <c r="E37">
        <f>L37</f>
        <v/>
      </c>
      <c r="F37" s="236">
        <f>Z37</f>
        <v/>
      </c>
      <c r="G37">
        <f>U37&amp;"%"</f>
        <v/>
      </c>
      <c r="I37" s="155" t="n">
        <v>2023</v>
      </c>
      <c r="J37" s="155" t="n">
        <v>36</v>
      </c>
      <c r="K37" s="71" t="inlineStr">
        <is>
          <t>Ausgaben</t>
        </is>
      </c>
      <c r="L37" t="inlineStr">
        <is>
          <t>sonstige Betriebsausgaben</t>
        </is>
      </c>
      <c r="M37" s="1" t="n"/>
      <c r="N37" s="1" t="n">
        <v>44977</v>
      </c>
      <c r="O37" t="inlineStr">
        <is>
          <t>Microsoft Ireland Operations Ltd. One Microsoft Place, South County, Business Park, Leopardstown, Dublin 18, D18 P521, Ireland</t>
        </is>
      </c>
      <c r="Q37" s="76" t="n"/>
      <c r="R37" t="b">
        <v>0</v>
      </c>
      <c r="S37" s="214" t="n">
        <v>10.5</v>
      </c>
      <c r="T37" s="159" t="n">
        <v>1</v>
      </c>
      <c r="U37" t="n">
        <v>0</v>
      </c>
      <c r="V37" s="237" t="n">
        <v>0</v>
      </c>
      <c r="W37" s="237" t="n">
        <v>0</v>
      </c>
      <c r="X37" s="208" t="n">
        <v>10.5</v>
      </c>
      <c r="Y37" s="251" t="n">
        <v>10.5</v>
      </c>
      <c r="Z37" s="251" t="n">
        <v>10.5</v>
      </c>
      <c r="AA37" s="35" t="n">
        <v>45031</v>
      </c>
      <c r="AB37" s="27" t="n"/>
      <c r="AC37" s="27" t="n">
        <v>20</v>
      </c>
      <c r="AD37" s="210" t="n">
        <v>10.5</v>
      </c>
      <c r="AE37" s="237" t="n">
        <v>2.1</v>
      </c>
      <c r="AF37" t="b">
        <v>0</v>
      </c>
      <c r="AG37" s="228" t="n">
        <v>-10.5</v>
      </c>
    </row>
    <row r="38">
      <c r="A38">
        <f>I38&amp;"-"&amp;J38</f>
        <v/>
      </c>
      <c r="B38" s="1">
        <f>N38</f>
        <v/>
      </c>
      <c r="C38">
        <f>M38&amp;"/"&amp;O38</f>
        <v/>
      </c>
      <c r="D38">
        <f>K38</f>
        <v/>
      </c>
      <c r="E38">
        <f>L38</f>
        <v/>
      </c>
      <c r="F38" s="236">
        <f>Z38</f>
        <v/>
      </c>
      <c r="G38">
        <f>U38&amp;"%"</f>
        <v/>
      </c>
      <c r="I38" s="155" t="n">
        <v>2023</v>
      </c>
      <c r="J38" s="155" t="n">
        <v>37</v>
      </c>
      <c r="K38" s="71" t="inlineStr">
        <is>
          <t>Ausgaben</t>
        </is>
      </c>
      <c r="L38" t="inlineStr">
        <is>
          <t>Büromaterial</t>
        </is>
      </c>
      <c r="M38" s="9" t="inlineStr">
        <is>
          <t>diverse</t>
        </is>
      </c>
      <c r="N38" s="1" t="n">
        <v>44978</v>
      </c>
      <c r="O38" t="inlineStr">
        <is>
          <t>Amazon EU S. à r.l., 38 avenue John F. Kennedy, L-1855 Luxembourg: HJEU: DVI-HDMI, Logitech Maus</t>
        </is>
      </c>
      <c r="Q38" s="76" t="n"/>
      <c r="R38" t="b">
        <v>0</v>
      </c>
      <c r="S38" s="214" t="n">
        <v>77.44</v>
      </c>
      <c r="T38" s="159" t="n">
        <v>1</v>
      </c>
      <c r="U38" t="n">
        <v>20</v>
      </c>
      <c r="V38" s="237" t="n">
        <v>15.488</v>
      </c>
      <c r="W38" s="237" t="n">
        <v>15.488</v>
      </c>
      <c r="X38" s="208" t="n">
        <v>77.44</v>
      </c>
      <c r="Y38" s="251" t="n">
        <v>92.928</v>
      </c>
      <c r="Z38" s="251" t="n">
        <v>92.928</v>
      </c>
      <c r="AA38" s="35" t="n">
        <v>45031</v>
      </c>
      <c r="AB38" s="27" t="n"/>
      <c r="AC38" s="27" t="n"/>
      <c r="AD38" s="210" t="n">
        <v>77.44</v>
      </c>
      <c r="AE38" s="237" t="n">
        <v>0</v>
      </c>
      <c r="AF38" t="b">
        <v>0</v>
      </c>
      <c r="AG38" s="228" t="n">
        <v>-77.44</v>
      </c>
    </row>
    <row r="39">
      <c r="A39">
        <f>I39&amp;"-"&amp;J39</f>
        <v/>
      </c>
      <c r="B39" s="1">
        <f>N39</f>
        <v/>
      </c>
      <c r="C39">
        <f>M39&amp;"/"&amp;O39</f>
        <v/>
      </c>
      <c r="D39">
        <f>K39</f>
        <v/>
      </c>
      <c r="E39">
        <f>L39</f>
        <v/>
      </c>
      <c r="F39" s="236">
        <f>Z39</f>
        <v/>
      </c>
      <c r="G39">
        <f>U39&amp;"%"</f>
        <v/>
      </c>
      <c r="I39" s="155" t="n">
        <v>2023</v>
      </c>
      <c r="J39" s="155" t="n">
        <v>38</v>
      </c>
      <c r="K39" s="71" t="inlineStr">
        <is>
          <t>Ausgaben</t>
        </is>
      </c>
      <c r="L39" t="inlineStr">
        <is>
          <t>Büromaterial</t>
        </is>
      </c>
      <c r="M39" s="9" t="n"/>
      <c r="N39" s="1" t="n">
        <v>44978</v>
      </c>
      <c r="O39" t="inlineStr">
        <is>
          <t>Amazon EU S. à r.l., 38 avenue John F. Kennedy, L-1855 Luxembourg: HJEU: DVI-HDMI, Logitech Maus</t>
        </is>
      </c>
      <c r="Q39" s="76" t="n"/>
      <c r="R39" t="b">
        <v>0</v>
      </c>
      <c r="S39" s="214" t="n">
        <v>6.71</v>
      </c>
      <c r="T39" s="159" t="n">
        <v>1</v>
      </c>
      <c r="U39" t="n">
        <v>20</v>
      </c>
      <c r="V39" s="237" t="n">
        <v>1.342</v>
      </c>
      <c r="W39" s="237" t="n">
        <v>1.342</v>
      </c>
      <c r="X39" s="208" t="n">
        <v>6.71</v>
      </c>
      <c r="Y39" s="251" t="n">
        <v>8.052</v>
      </c>
      <c r="Z39" s="251" t="n">
        <v>8.052</v>
      </c>
      <c r="AA39" s="35" t="n">
        <v>45031</v>
      </c>
      <c r="AB39" s="27" t="n"/>
      <c r="AC39" s="27" t="n"/>
      <c r="AD39" s="210" t="n">
        <v>6.71</v>
      </c>
      <c r="AE39" s="237" t="n">
        <v>0</v>
      </c>
      <c r="AF39" t="b">
        <v>0</v>
      </c>
      <c r="AG39" s="228" t="n">
        <v>-6.71</v>
      </c>
    </row>
    <row r="40">
      <c r="A40">
        <f>I40&amp;"-"&amp;J40</f>
        <v/>
      </c>
      <c r="B40" s="1">
        <f>N40</f>
        <v/>
      </c>
      <c r="C40">
        <f>M40&amp;"/"&amp;O40</f>
        <v/>
      </c>
      <c r="D40">
        <f>K40</f>
        <v/>
      </c>
      <c r="E40">
        <f>L40</f>
        <v/>
      </c>
      <c r="F40" s="236">
        <f>Z40</f>
        <v/>
      </c>
      <c r="G40">
        <f>U40&amp;"%"</f>
        <v/>
      </c>
      <c r="I40" s="155" t="n">
        <v>2023</v>
      </c>
      <c r="J40" s="155" t="n">
        <v>39</v>
      </c>
      <c r="K40" s="71" t="inlineStr">
        <is>
          <t>Ausgaben</t>
        </is>
      </c>
      <c r="L40" t="inlineStr">
        <is>
          <t>Telefon/Internet</t>
        </is>
      </c>
      <c r="M40" s="131" t="inlineStr">
        <is>
          <t>901117400223</t>
        </is>
      </c>
      <c r="N40" s="1" t="n">
        <v>44978</v>
      </c>
      <c r="O40" t="inlineStr">
        <is>
          <t>Magenta: T-Mobile Austria GmbH, A-1120 Wien, PF 47</t>
        </is>
      </c>
      <c r="Q40" s="76" t="n"/>
      <c r="R40" t="b">
        <v>0</v>
      </c>
      <c r="S40" s="214" t="n">
        <v>31.92</v>
      </c>
      <c r="T40" s="159" t="n">
        <v>1</v>
      </c>
      <c r="U40" t="n">
        <v>20</v>
      </c>
      <c r="V40" s="237" t="n">
        <v>6.384000000000001</v>
      </c>
      <c r="W40" s="237" t="n">
        <v>6.384000000000001</v>
      </c>
      <c r="X40" s="208" t="n">
        <v>31.92</v>
      </c>
      <c r="Y40" s="251" t="n">
        <v>38.304</v>
      </c>
      <c r="Z40" s="251" t="n">
        <v>38.304</v>
      </c>
      <c r="AA40" s="35" t="n">
        <v>45031</v>
      </c>
      <c r="AB40" s="27" t="n"/>
      <c r="AC40" s="27" t="n"/>
      <c r="AD40" s="210" t="n">
        <v>31.92</v>
      </c>
      <c r="AE40" s="237" t="n">
        <v>0</v>
      </c>
      <c r="AF40" t="b">
        <v>0</v>
      </c>
      <c r="AG40" s="228" t="n">
        <v>-31.92</v>
      </c>
    </row>
    <row r="41">
      <c r="A41">
        <f>I41&amp;"-"&amp;J41</f>
        <v/>
      </c>
      <c r="B41" s="1">
        <f>N41</f>
        <v/>
      </c>
      <c r="C41">
        <f>M41&amp;"/"&amp;O41</f>
        <v/>
      </c>
      <c r="D41">
        <f>K41</f>
        <v/>
      </c>
      <c r="E41">
        <f>L41</f>
        <v/>
      </c>
      <c r="F41" s="236">
        <f>Z41</f>
        <v/>
      </c>
      <c r="G41">
        <f>U41&amp;"%"</f>
        <v/>
      </c>
      <c r="I41" s="155" t="n">
        <v>2023</v>
      </c>
      <c r="J41" s="155" t="n">
        <v>40</v>
      </c>
      <c r="K41" s="71" t="inlineStr">
        <is>
          <t>Ausgaben</t>
        </is>
      </c>
      <c r="L41" t="inlineStr">
        <is>
          <t>Miet- und Pachtaufwand, Leasing</t>
        </is>
      </c>
      <c r="M41" s="9" t="n"/>
      <c r="N41" s="1" t="n">
        <v>44986</v>
      </c>
      <c r="O41" t="inlineStr">
        <is>
          <t>Bontus Immobilienverwaltung GmbH, 1010 Wien, Franz Josefs Kai 65</t>
        </is>
      </c>
      <c r="Q41" s="76" t="n"/>
      <c r="R41" t="b">
        <v>0</v>
      </c>
      <c r="S41" s="214" t="n">
        <v>515.85</v>
      </c>
      <c r="T41" s="159" t="n">
        <v>1</v>
      </c>
      <c r="U41" t="n">
        <v>20</v>
      </c>
      <c r="V41" s="237" t="n">
        <v>103.17</v>
      </c>
      <c r="W41" s="237" t="n">
        <v>103.17</v>
      </c>
      <c r="X41" s="208" t="n">
        <v>515.85</v>
      </c>
      <c r="Y41" s="251" t="n">
        <v>619.02</v>
      </c>
      <c r="Z41" s="251" t="n">
        <v>619.02</v>
      </c>
      <c r="AA41" s="35" t="n">
        <v>45061</v>
      </c>
      <c r="AB41" s="27" t="n"/>
      <c r="AC41" s="27" t="n"/>
      <c r="AD41" s="210" t="n">
        <v>515.85</v>
      </c>
      <c r="AE41" s="237" t="n">
        <v>0</v>
      </c>
      <c r="AF41" t="b">
        <v>0</v>
      </c>
      <c r="AG41" s="228" t="n">
        <v>-515.85</v>
      </c>
    </row>
    <row r="42">
      <c r="A42">
        <f>I42&amp;"-"&amp;J42</f>
        <v/>
      </c>
      <c r="B42" s="1">
        <f>N42</f>
        <v/>
      </c>
      <c r="C42">
        <f>M42&amp;"/"&amp;O42</f>
        <v/>
      </c>
      <c r="D42">
        <f>K42</f>
        <v/>
      </c>
      <c r="E42">
        <f>L42</f>
        <v/>
      </c>
      <c r="F42" s="236">
        <f>Z42</f>
        <v/>
      </c>
      <c r="G42">
        <f>U42&amp;"%"</f>
        <v/>
      </c>
      <c r="I42" s="155" t="n">
        <v>2023</v>
      </c>
      <c r="J42" s="155" t="n">
        <v>41</v>
      </c>
      <c r="K42" s="71" t="inlineStr">
        <is>
          <t>Ausgaben</t>
        </is>
      </c>
      <c r="L42" t="inlineStr">
        <is>
          <t>Reise- und Fahrtspesen inkl. Kilometergeld und Diäten</t>
        </is>
      </c>
      <c r="M42" s="131" t="n"/>
      <c r="N42" s="1" t="n">
        <v>44987</v>
      </c>
      <c r="O42" t="inlineStr">
        <is>
          <t>car2go Österreich GmbH, Hintere Zollamtstraße 9, 1030 Wien</t>
        </is>
      </c>
      <c r="Q42" s="76" t="n"/>
      <c r="R42" t="b">
        <v>0</v>
      </c>
      <c r="S42" s="214" t="n">
        <v>16.67</v>
      </c>
      <c r="T42" s="159" t="n">
        <v>1</v>
      </c>
      <c r="U42" t="n">
        <v>20</v>
      </c>
      <c r="V42" s="237" t="n">
        <v>3.334000000000001</v>
      </c>
      <c r="W42" s="237" t="n">
        <v>3.334000000000001</v>
      </c>
      <c r="X42" s="208" t="n">
        <v>16.67</v>
      </c>
      <c r="Y42" s="251" t="n">
        <v>20.004</v>
      </c>
      <c r="Z42" s="251" t="n">
        <v>20.004</v>
      </c>
      <c r="AA42" s="35" t="n">
        <v>45061</v>
      </c>
      <c r="AB42" s="27" t="n"/>
      <c r="AC42" s="27" t="n"/>
      <c r="AD42" s="210" t="n">
        <v>16.67</v>
      </c>
      <c r="AE42" s="237" t="n">
        <v>0</v>
      </c>
      <c r="AF42" t="b">
        <v>0</v>
      </c>
      <c r="AG42" s="228" t="n">
        <v>-16.67</v>
      </c>
    </row>
    <row r="43">
      <c r="A43">
        <f>I43&amp;"-"&amp;J43</f>
        <v/>
      </c>
      <c r="B43" s="1">
        <f>N43</f>
        <v/>
      </c>
      <c r="C43">
        <f>M43&amp;"/"&amp;O43</f>
        <v/>
      </c>
      <c r="D43">
        <f>K43</f>
        <v/>
      </c>
      <c r="E43">
        <f>L43</f>
        <v/>
      </c>
      <c r="F43" s="236">
        <f>Z43</f>
        <v/>
      </c>
      <c r="G43">
        <f>U43&amp;"%"</f>
        <v/>
      </c>
      <c r="I43" s="155" t="n">
        <v>2023</v>
      </c>
      <c r="J43" s="155" t="n">
        <v>42</v>
      </c>
      <c r="K43" s="71" t="inlineStr">
        <is>
          <t>Ausgaben</t>
        </is>
      </c>
      <c r="L43" t="inlineStr">
        <is>
          <t>sonstige Betriebsausgaben</t>
        </is>
      </c>
      <c r="M43" s="9" t="n"/>
      <c r="N43" s="1" t="n">
        <v>44988</v>
      </c>
      <c r="O43" t="inlineStr">
        <is>
          <t>Google Ireland Ltd, Gordon House, Barrow Street, Dublin 4, Ireland; VAT number: IE 6388047V</t>
        </is>
      </c>
      <c r="Q43" s="76" t="n"/>
      <c r="R43" t="b">
        <v>0</v>
      </c>
      <c r="S43" s="214" t="n">
        <v>9.359999999999999</v>
      </c>
      <c r="T43" s="159" t="n">
        <v>1</v>
      </c>
      <c r="U43" t="n">
        <v>0</v>
      </c>
      <c r="V43" s="237" t="n">
        <v>0</v>
      </c>
      <c r="W43" s="237" t="n">
        <v>0</v>
      </c>
      <c r="X43" s="208" t="n">
        <v>9.359999999999999</v>
      </c>
      <c r="Y43" s="251" t="n">
        <v>9.359999999999999</v>
      </c>
      <c r="Z43" s="251" t="n">
        <v>9.359999999999999</v>
      </c>
      <c r="AA43" s="35" t="n">
        <v>45061</v>
      </c>
      <c r="AB43" s="27" t="n"/>
      <c r="AC43" s="27" t="n">
        <v>20</v>
      </c>
      <c r="AD43" s="210" t="n">
        <v>9.359999999999999</v>
      </c>
      <c r="AE43" s="237" t="n">
        <v>1.872</v>
      </c>
      <c r="AF43" t="b">
        <v>0</v>
      </c>
      <c r="AG43" s="228" t="n">
        <v>-9.359999999999999</v>
      </c>
    </row>
    <row r="44">
      <c r="A44">
        <f>I44&amp;"-"&amp;J44</f>
        <v/>
      </c>
      <c r="B44" s="1">
        <f>N44</f>
        <v/>
      </c>
      <c r="C44">
        <f>M44&amp;"/"&amp;O44</f>
        <v/>
      </c>
      <c r="D44">
        <f>K44</f>
        <v/>
      </c>
      <c r="E44">
        <f>L44</f>
        <v/>
      </c>
      <c r="F44" s="236">
        <f>Z44</f>
        <v/>
      </c>
      <c r="G44">
        <f>U44&amp;"%"</f>
        <v/>
      </c>
      <c r="I44" s="155" t="n">
        <v>2023</v>
      </c>
      <c r="J44" s="155" t="n">
        <v>43</v>
      </c>
      <c r="K44" s="71" t="inlineStr">
        <is>
          <t>Ausgaben</t>
        </is>
      </c>
      <c r="L44" t="inlineStr">
        <is>
          <t>Miet- und Pachtaufwand, Leasing</t>
        </is>
      </c>
      <c r="M44" s="61" t="inlineStr">
        <is>
          <t>BELEG FEHLT</t>
        </is>
      </c>
      <c r="N44" s="1" t="n">
        <v>44991</v>
      </c>
      <c r="O44" t="inlineStr">
        <is>
          <t>Techem Messtechnik GmbH; Abnehmernummer 501686-0003-11-</t>
        </is>
      </c>
      <c r="Q44" s="76" t="n"/>
      <c r="R44" t="b">
        <v>0</v>
      </c>
      <c r="S44" s="214" t="n">
        <v>122.6</v>
      </c>
      <c r="T44" s="159" t="n">
        <v>1</v>
      </c>
      <c r="U44" t="n">
        <v>20</v>
      </c>
      <c r="V44" s="237" t="n">
        <v>24.52</v>
      </c>
      <c r="W44" s="237" t="n">
        <v>24.52</v>
      </c>
      <c r="X44" s="208" t="n">
        <v>122.6</v>
      </c>
      <c r="Y44" s="251" t="n">
        <v>147.12</v>
      </c>
      <c r="Z44" s="251" t="n">
        <v>147.12</v>
      </c>
      <c r="AA44" s="35" t="n">
        <v>45061</v>
      </c>
      <c r="AB44" s="27" t="n"/>
      <c r="AC44" s="27" t="n"/>
      <c r="AD44" s="210" t="n">
        <v>122.6</v>
      </c>
      <c r="AE44" s="237" t="n">
        <v>0</v>
      </c>
      <c r="AF44" t="b">
        <v>0</v>
      </c>
      <c r="AG44" s="228" t="n">
        <v>-122.6</v>
      </c>
    </row>
    <row r="45">
      <c r="A45">
        <f>I45&amp;"-"&amp;J45</f>
        <v/>
      </c>
      <c r="B45" s="1">
        <f>N45</f>
        <v/>
      </c>
      <c r="C45">
        <f>M45&amp;"/"&amp;O45</f>
        <v/>
      </c>
      <c r="D45">
        <f>K45</f>
        <v/>
      </c>
      <c r="E45">
        <f>L45</f>
        <v/>
      </c>
      <c r="F45" s="236">
        <f>Z45</f>
        <v/>
      </c>
      <c r="G45">
        <f>U45&amp;"%"</f>
        <v/>
      </c>
      <c r="I45" s="155" t="n">
        <v>2023</v>
      </c>
      <c r="J45" s="155" t="n">
        <v>44</v>
      </c>
      <c r="K45" s="71" t="inlineStr">
        <is>
          <t>Ausgaben</t>
        </is>
      </c>
      <c r="L45" t="inlineStr">
        <is>
          <t>sonstige Betriebsausgaben</t>
        </is>
      </c>
      <c r="N45" s="1" t="n">
        <v>44988</v>
      </c>
      <c r="O45" t="inlineStr">
        <is>
          <t>go green energy GmbH &amp; Co KG</t>
        </is>
      </c>
      <c r="Q45" s="76" t="n"/>
      <c r="R45" t="b">
        <v>0</v>
      </c>
      <c r="S45" s="214" t="n">
        <v>5</v>
      </c>
      <c r="T45" s="159" t="n">
        <v>1</v>
      </c>
      <c r="U45" t="n">
        <v>20</v>
      </c>
      <c r="V45" s="237" t="n">
        <v>1</v>
      </c>
      <c r="W45" s="237" t="n">
        <v>1</v>
      </c>
      <c r="X45" s="208" t="n">
        <v>5</v>
      </c>
      <c r="Y45" s="251" t="n">
        <v>6</v>
      </c>
      <c r="Z45" s="251" t="n">
        <v>6</v>
      </c>
      <c r="AA45" s="35" t="n">
        <v>45061</v>
      </c>
      <c r="AB45" s="27" t="n"/>
      <c r="AC45" s="27" t="n"/>
      <c r="AD45" s="210" t="n">
        <v>5</v>
      </c>
      <c r="AE45" s="237" t="n">
        <v>0</v>
      </c>
      <c r="AF45" t="b">
        <v>0</v>
      </c>
      <c r="AG45" s="228" t="n">
        <v>-5</v>
      </c>
    </row>
    <row r="46">
      <c r="A46">
        <f>I46&amp;"-"&amp;J46</f>
        <v/>
      </c>
      <c r="B46" s="1">
        <f>N46</f>
        <v/>
      </c>
      <c r="C46">
        <f>M46&amp;"/"&amp;O46</f>
        <v/>
      </c>
      <c r="D46">
        <f>K46</f>
        <v/>
      </c>
      <c r="E46">
        <f>L46</f>
        <v/>
      </c>
      <c r="F46" s="236">
        <f>Z46</f>
        <v/>
      </c>
      <c r="G46">
        <f>U46&amp;"%"</f>
        <v/>
      </c>
      <c r="I46" s="155" t="n">
        <v>2023</v>
      </c>
      <c r="J46" s="155" t="n">
        <v>45</v>
      </c>
      <c r="K46" s="71" t="inlineStr">
        <is>
          <t>Ausgaben</t>
        </is>
      </c>
      <c r="L46" t="inlineStr">
        <is>
          <t>Telefon/Internet</t>
        </is>
      </c>
      <c r="M46" s="9" t="n"/>
      <c r="N46" s="1" t="n">
        <v>44992</v>
      </c>
      <c r="O46" t="inlineStr">
        <is>
          <t>Hutchison Drei Austria GmbH, Brünner Straße 52, 1210 Wien, Österreich</t>
        </is>
      </c>
      <c r="Q46" s="76" t="n"/>
      <c r="R46" t="b">
        <v>0</v>
      </c>
      <c r="S46" s="214" t="n">
        <v>15</v>
      </c>
      <c r="T46" s="159" t="n">
        <v>1</v>
      </c>
      <c r="U46" t="n">
        <v>20</v>
      </c>
      <c r="V46" s="237" t="n">
        <v>3</v>
      </c>
      <c r="W46" s="237" t="n">
        <v>3</v>
      </c>
      <c r="X46" s="208" t="n">
        <v>15</v>
      </c>
      <c r="Y46" s="251" t="n">
        <v>18</v>
      </c>
      <c r="Z46" s="251" t="n">
        <v>18</v>
      </c>
      <c r="AA46" s="35" t="n">
        <v>45061</v>
      </c>
      <c r="AB46" s="27" t="n"/>
      <c r="AC46" s="27" t="n"/>
      <c r="AD46" s="210" t="n">
        <v>15</v>
      </c>
      <c r="AE46" s="237" t="n">
        <v>0</v>
      </c>
      <c r="AF46" t="b">
        <v>0</v>
      </c>
      <c r="AG46" s="228" t="n">
        <v>-15</v>
      </c>
    </row>
    <row r="47">
      <c r="A47">
        <f>I47&amp;"-"&amp;J47</f>
        <v/>
      </c>
      <c r="B47" s="1">
        <f>N47</f>
        <v/>
      </c>
      <c r="C47">
        <f>M47&amp;"/"&amp;O47</f>
        <v/>
      </c>
      <c r="D47">
        <f>K47</f>
        <v/>
      </c>
      <c r="E47">
        <f>L47</f>
        <v/>
      </c>
      <c r="F47" s="236">
        <f>Z47</f>
        <v/>
      </c>
      <c r="G47">
        <f>U47&amp;"%"</f>
        <v/>
      </c>
      <c r="I47" s="155" t="n">
        <v>2023</v>
      </c>
      <c r="J47" s="155" t="n">
        <v>46</v>
      </c>
      <c r="K47" s="71" t="inlineStr">
        <is>
          <t>Ausgaben</t>
        </is>
      </c>
      <c r="L47" t="inlineStr">
        <is>
          <t>sonstige Betriebsausgaben</t>
        </is>
      </c>
      <c r="M47" s="9" t="n"/>
      <c r="N47" s="1" t="n">
        <v>44998</v>
      </c>
      <c r="O47" t="inlineStr">
        <is>
          <t>Hetzner Online GmbH</t>
        </is>
      </c>
      <c r="Q47" s="76" t="n"/>
      <c r="R47" t="b">
        <v>0</v>
      </c>
      <c r="S47" s="214" t="n">
        <v>52.2141</v>
      </c>
      <c r="T47" s="159" t="n">
        <v>1</v>
      </c>
      <c r="U47" t="n">
        <v>0</v>
      </c>
      <c r="V47" s="237" t="n">
        <v>0</v>
      </c>
      <c r="W47" s="237" t="n">
        <v>0</v>
      </c>
      <c r="X47" s="208" t="n">
        <v>52.2141</v>
      </c>
      <c r="Y47" s="251" t="n">
        <v>52.2141</v>
      </c>
      <c r="Z47" s="251" t="n">
        <v>52.2141</v>
      </c>
      <c r="AA47" s="35" t="n">
        <v>45061</v>
      </c>
      <c r="AB47" s="27" t="n"/>
      <c r="AC47" s="27" t="n">
        <v>20</v>
      </c>
      <c r="AD47" s="210" t="n">
        <v>52.2141</v>
      </c>
      <c r="AE47" s="237" t="n">
        <v>10.44282</v>
      </c>
      <c r="AF47" t="b">
        <v>0</v>
      </c>
      <c r="AG47" s="228" t="n">
        <v>-52.2141</v>
      </c>
    </row>
    <row r="48">
      <c r="A48">
        <f>I48&amp;"-"&amp;J48</f>
        <v/>
      </c>
      <c r="B48" s="1">
        <f>N48</f>
        <v/>
      </c>
      <c r="C48">
        <f>M48&amp;"/"&amp;O48</f>
        <v/>
      </c>
      <c r="D48">
        <f>K48</f>
        <v/>
      </c>
      <c r="E48">
        <f>L48</f>
        <v/>
      </c>
      <c r="F48" s="236">
        <f>Z48</f>
        <v/>
      </c>
      <c r="G48">
        <f>U48&amp;"%"</f>
        <v/>
      </c>
      <c r="I48" s="155" t="n">
        <v>2023</v>
      </c>
      <c r="J48" s="155" t="n">
        <v>47</v>
      </c>
      <c r="K48" s="71" t="inlineStr">
        <is>
          <t>Ausgaben</t>
        </is>
      </c>
      <c r="L48" t="inlineStr">
        <is>
          <t>sonstige Betriebsausgaben</t>
        </is>
      </c>
      <c r="M48" s="61" t="inlineStr">
        <is>
          <t>BELEG FEHLT</t>
        </is>
      </c>
      <c r="N48" s="1" t="n">
        <v>44995</v>
      </c>
      <c r="O48" t="inlineStr">
        <is>
          <t>Wiener Netze GmbH, Erdbergstraße 236, 1110 Wien, Postfach 422; Jahresabrechnung vom 17.12.20: GUTSCHRIFT</t>
        </is>
      </c>
      <c r="Q48" s="76" t="n"/>
      <c r="R48" t="b">
        <v>0</v>
      </c>
      <c r="S48" s="214" t="n">
        <v>12</v>
      </c>
      <c r="T48" s="159" t="n">
        <v>1</v>
      </c>
      <c r="U48" t="n">
        <v>20</v>
      </c>
      <c r="V48" s="237" t="n">
        <v>2.4</v>
      </c>
      <c r="W48" s="237" t="n">
        <v>2.4</v>
      </c>
      <c r="X48" s="208" t="n">
        <v>12</v>
      </c>
      <c r="Y48" s="251" t="n">
        <v>14.4</v>
      </c>
      <c r="Z48" s="251" t="n">
        <v>14.4</v>
      </c>
      <c r="AA48" s="35" t="n">
        <v>45061</v>
      </c>
      <c r="AB48" s="27" t="n"/>
      <c r="AC48" s="27" t="n"/>
      <c r="AD48" s="210" t="n">
        <v>12</v>
      </c>
      <c r="AE48" s="237" t="n">
        <v>0</v>
      </c>
      <c r="AF48" t="b">
        <v>0</v>
      </c>
      <c r="AG48" s="228" t="n">
        <v>-12</v>
      </c>
    </row>
    <row r="49">
      <c r="A49">
        <f>I49&amp;"-"&amp;J49</f>
        <v/>
      </c>
      <c r="B49" s="1">
        <f>N49</f>
        <v/>
      </c>
      <c r="C49">
        <f>M49&amp;"/"&amp;O49</f>
        <v/>
      </c>
      <c r="D49">
        <f>K49</f>
        <v/>
      </c>
      <c r="E49">
        <f>L49</f>
        <v/>
      </c>
      <c r="F49" s="236">
        <f>Z49</f>
        <v/>
      </c>
      <c r="G49">
        <f>U49&amp;"%"</f>
        <v/>
      </c>
      <c r="I49" s="155" t="n">
        <v>2023</v>
      </c>
      <c r="J49" s="155" t="n">
        <v>48</v>
      </c>
      <c r="K49" s="71" t="inlineStr">
        <is>
          <t>Ausgaben</t>
        </is>
      </c>
      <c r="L49" t="inlineStr">
        <is>
          <t>Personalaufwand</t>
        </is>
      </c>
      <c r="M49" s="9" t="inlineStr">
        <is>
          <t>siehe 2022-140</t>
        </is>
      </c>
      <c r="N49" s="1" t="n">
        <v>45005</v>
      </c>
      <c r="O49" t="inlineStr">
        <is>
          <t>Honorar Eva Jaros-Kolbitsch</t>
        </is>
      </c>
      <c r="Q49" s="76" t="n"/>
      <c r="R49" t="b">
        <v>0</v>
      </c>
      <c r="S49" s="214" t="n">
        <v>365</v>
      </c>
      <c r="T49" s="159" t="n">
        <v>1</v>
      </c>
      <c r="U49" t="n">
        <v>0</v>
      </c>
      <c r="V49" s="237" t="n">
        <v>0</v>
      </c>
      <c r="W49" s="237" t="n">
        <v>0</v>
      </c>
      <c r="X49" s="208" t="n">
        <v>365</v>
      </c>
      <c r="Y49" s="251" t="n">
        <v>365</v>
      </c>
      <c r="Z49" s="251" t="n">
        <v>365</v>
      </c>
      <c r="AA49" s="35" t="n">
        <v>45061</v>
      </c>
      <c r="AB49" s="27" t="n"/>
      <c r="AC49" s="27" t="n"/>
      <c r="AD49" s="210" t="n">
        <v>365</v>
      </c>
      <c r="AE49" s="237" t="n">
        <v>0</v>
      </c>
      <c r="AF49" t="b">
        <v>0</v>
      </c>
      <c r="AG49" s="228" t="n">
        <v>-365</v>
      </c>
    </row>
    <row r="50">
      <c r="A50">
        <f>I50&amp;"-"&amp;J50</f>
        <v/>
      </c>
      <c r="B50" s="1">
        <f>N50</f>
        <v/>
      </c>
      <c r="C50">
        <f>M50&amp;"/"&amp;O50</f>
        <v/>
      </c>
      <c r="D50">
        <f>K50</f>
        <v/>
      </c>
      <c r="E50">
        <f>L50</f>
        <v/>
      </c>
      <c r="F50" s="236">
        <f>Z50</f>
        <v/>
      </c>
      <c r="G50">
        <f>U50&amp;"%"</f>
        <v/>
      </c>
      <c r="I50" s="155" t="n">
        <v>2023</v>
      </c>
      <c r="J50" s="155" t="n">
        <v>49</v>
      </c>
      <c r="K50" s="71" t="inlineStr">
        <is>
          <t>Einnahmen</t>
        </is>
      </c>
      <c r="L50" t="inlineStr">
        <is>
          <t>Waren-/Leistungserlöse</t>
        </is>
      </c>
      <c r="M50" t="n">
        <v>12023002</v>
      </c>
      <c r="N50" s="1" t="n">
        <v>45002</v>
      </c>
      <c r="O50" t="inlineStr">
        <is>
          <t>Hays Österreich GmbH, Bahnhof City Wien West , Europaplatz 3/5, 1150 Wien</t>
        </is>
      </c>
      <c r="Q50" s="76" t="n"/>
      <c r="R50" t="b">
        <v>0</v>
      </c>
      <c r="S50" s="214" t="n">
        <v>103.42</v>
      </c>
      <c r="T50" s="159" t="n">
        <v>1</v>
      </c>
      <c r="U50" t="n">
        <v>20</v>
      </c>
      <c r="V50" s="237" t="n">
        <v>20.684</v>
      </c>
      <c r="W50" s="237" t="n">
        <v>20.684</v>
      </c>
      <c r="X50" s="208" t="n">
        <v>103.42</v>
      </c>
      <c r="Y50" s="251" t="n">
        <v>124.104</v>
      </c>
      <c r="Z50" s="251" t="n">
        <v>124.104</v>
      </c>
      <c r="AA50" s="35" t="n">
        <v>45061</v>
      </c>
      <c r="AB50" s="27" t="n"/>
      <c r="AC50" s="27" t="n"/>
      <c r="AD50" s="210" t="n">
        <v>103.42</v>
      </c>
      <c r="AE50" s="237" t="n">
        <v>0</v>
      </c>
      <c r="AF50" t="b">
        <v>0</v>
      </c>
      <c r="AG50" s="228" t="n">
        <v>103.42</v>
      </c>
    </row>
    <row r="51">
      <c r="A51">
        <f>I51&amp;"-"&amp;J51</f>
        <v/>
      </c>
      <c r="B51" s="1">
        <f>N51</f>
        <v/>
      </c>
      <c r="C51">
        <f>M51&amp;"/"&amp;O51</f>
        <v/>
      </c>
      <c r="D51">
        <f>K51</f>
        <v/>
      </c>
      <c r="E51">
        <f>L51</f>
        <v/>
      </c>
      <c r="F51" s="236">
        <f>Z51</f>
        <v/>
      </c>
      <c r="G51">
        <f>U51&amp;"%"</f>
        <v/>
      </c>
      <c r="I51" s="155" t="n">
        <v>2023</v>
      </c>
      <c r="J51" s="155" t="n">
        <v>50</v>
      </c>
      <c r="K51" s="71" t="inlineStr">
        <is>
          <t>Einnahmen</t>
        </is>
      </c>
      <c r="L51" t="inlineStr">
        <is>
          <t>Waren-/Leistungserlöse</t>
        </is>
      </c>
      <c r="M51" t="n">
        <v>12023001</v>
      </c>
      <c r="N51" s="1" t="n">
        <v>45002</v>
      </c>
      <c r="O51" t="inlineStr">
        <is>
          <t>Hays Österreich GmbH, Bahnhof City Wien West , Europaplatz 3/5, 1150 Wien</t>
        </is>
      </c>
      <c r="Q51" s="76" t="n"/>
      <c r="R51" t="b">
        <v>0</v>
      </c>
      <c r="S51" s="214" t="n">
        <v>13075.88</v>
      </c>
      <c r="T51" s="159" t="n">
        <v>1</v>
      </c>
      <c r="U51" t="n">
        <v>20</v>
      </c>
      <c r="V51" s="237" t="n">
        <v>2615.176</v>
      </c>
      <c r="W51" s="237" t="n">
        <v>2615.176</v>
      </c>
      <c r="X51" s="208" t="n">
        <v>13075.88</v>
      </c>
      <c r="Y51" s="251" t="n">
        <v>15691.056</v>
      </c>
      <c r="Z51" s="251" t="n">
        <v>15691.056</v>
      </c>
      <c r="AA51" s="35" t="n">
        <v>45061</v>
      </c>
      <c r="AB51" s="27" t="n"/>
      <c r="AC51" s="27" t="n"/>
      <c r="AD51" s="210" t="n">
        <v>13075.88</v>
      </c>
      <c r="AE51" s="237" t="n">
        <v>0</v>
      </c>
      <c r="AF51" t="b">
        <v>0</v>
      </c>
      <c r="AG51" s="228" t="n">
        <v>13075.88</v>
      </c>
    </row>
    <row r="52">
      <c r="A52">
        <f>I52&amp;"-"&amp;J52</f>
        <v/>
      </c>
      <c r="B52" s="1">
        <f>N52</f>
        <v/>
      </c>
      <c r="C52">
        <f>M52&amp;"/"&amp;O52</f>
        <v/>
      </c>
      <c r="D52">
        <f>K52</f>
        <v/>
      </c>
      <c r="E52">
        <f>L52</f>
        <v/>
      </c>
      <c r="F52" s="236">
        <f>Z52</f>
        <v/>
      </c>
      <c r="G52">
        <f>U52&amp;"%"</f>
        <v/>
      </c>
      <c r="I52" s="155" t="n">
        <v>2023</v>
      </c>
      <c r="J52" s="155" t="n">
        <v>51</v>
      </c>
      <c r="K52" s="71" t="inlineStr">
        <is>
          <t>Ausgaben</t>
        </is>
      </c>
      <c r="L52" t="inlineStr">
        <is>
          <t>Büromaterial</t>
        </is>
      </c>
      <c r="M52" s="9" t="n"/>
      <c r="N52" s="1" t="n">
        <v>45005</v>
      </c>
      <c r="O52" t="inlineStr">
        <is>
          <t>Amazon EU S. à r.l., 38 avenue John F. Kennedy, L-1855 Luxembourg: HJEU: DVI-HDMI, Logitech Maus</t>
        </is>
      </c>
      <c r="Q52" s="76" t="n"/>
      <c r="R52" t="b">
        <v>0</v>
      </c>
      <c r="S52" s="214" t="n">
        <v>-31.28</v>
      </c>
      <c r="T52" s="159" t="n">
        <v>1</v>
      </c>
      <c r="U52" t="n">
        <v>20</v>
      </c>
      <c r="V52" s="237" t="n">
        <v>-6.256</v>
      </c>
      <c r="W52" s="237" t="n">
        <v>-6.256</v>
      </c>
      <c r="X52" s="208" t="n">
        <v>-31.28</v>
      </c>
      <c r="Y52" s="251" t="n">
        <v>-37.536</v>
      </c>
      <c r="Z52" s="251" t="n">
        <v>-37.536</v>
      </c>
      <c r="AA52" s="35" t="n">
        <v>45061</v>
      </c>
      <c r="AB52" s="27" t="n"/>
      <c r="AC52" s="27" t="n"/>
      <c r="AD52" s="210" t="n">
        <v>-31.28</v>
      </c>
      <c r="AE52" s="237" t="n">
        <v>0</v>
      </c>
      <c r="AF52" t="b">
        <v>0</v>
      </c>
      <c r="AG52" s="228" t="n">
        <v>31.28</v>
      </c>
    </row>
    <row r="53">
      <c r="A53">
        <f>I53&amp;"-"&amp;J53</f>
        <v/>
      </c>
      <c r="B53" s="1">
        <f>N53</f>
        <v/>
      </c>
      <c r="C53">
        <f>M53&amp;"/"&amp;O53</f>
        <v/>
      </c>
      <c r="D53">
        <f>K53</f>
        <v/>
      </c>
      <c r="E53">
        <f>L53</f>
        <v/>
      </c>
      <c r="F53" s="236">
        <f>Z53</f>
        <v/>
      </c>
      <c r="G53">
        <f>U53&amp;"%"</f>
        <v/>
      </c>
      <c r="I53" s="155" t="n">
        <v>2023</v>
      </c>
      <c r="J53" s="155" t="n">
        <v>52</v>
      </c>
      <c r="K53" s="71" t="inlineStr">
        <is>
          <t>Ausgaben</t>
        </is>
      </c>
      <c r="L53" t="inlineStr">
        <is>
          <t>Büromaterial</t>
        </is>
      </c>
      <c r="M53" s="9" t="n"/>
      <c r="N53" s="1" t="n">
        <v>45005</v>
      </c>
      <c r="O53" t="inlineStr">
        <is>
          <t>Amazon EU S. à r.l., 38 avenue John F. Kennedy, L-1855 Luxembourg: HJEU: DVI-HDMI, Logitech Maus</t>
        </is>
      </c>
      <c r="Q53" s="76" t="n"/>
      <c r="R53" t="b">
        <v>0</v>
      </c>
      <c r="S53" s="214" t="n">
        <v>-6.71</v>
      </c>
      <c r="T53" s="159" t="n">
        <v>1</v>
      </c>
      <c r="U53" t="n">
        <v>20</v>
      </c>
      <c r="V53" s="237" t="n">
        <v>-1.342</v>
      </c>
      <c r="W53" s="237" t="n">
        <v>-1.342</v>
      </c>
      <c r="X53" s="208" t="n">
        <v>-6.71</v>
      </c>
      <c r="Y53" s="251" t="n">
        <v>-8.052</v>
      </c>
      <c r="Z53" s="251" t="n">
        <v>-8.052</v>
      </c>
      <c r="AA53" s="35" t="n">
        <v>45061</v>
      </c>
      <c r="AB53" s="27" t="n"/>
      <c r="AC53" s="27" t="n"/>
      <c r="AD53" s="210" t="n">
        <v>-6.71</v>
      </c>
      <c r="AE53" s="237" t="n">
        <v>0</v>
      </c>
      <c r="AF53" t="b">
        <v>0</v>
      </c>
      <c r="AG53" s="228" t="n">
        <v>6.71</v>
      </c>
    </row>
    <row r="54">
      <c r="A54">
        <f>I54&amp;"-"&amp;J54</f>
        <v/>
      </c>
      <c r="B54" s="1">
        <f>N54</f>
        <v/>
      </c>
      <c r="C54">
        <f>M54&amp;"/"&amp;O54</f>
        <v/>
      </c>
      <c r="D54">
        <f>K54</f>
        <v/>
      </c>
      <c r="E54">
        <f>L54</f>
        <v/>
      </c>
      <c r="F54" s="236">
        <f>Z54</f>
        <v/>
      </c>
      <c r="G54">
        <f>U54&amp;"%"</f>
        <v/>
      </c>
      <c r="I54" s="155" t="n">
        <v>2023</v>
      </c>
      <c r="J54" s="155" t="n">
        <v>53</v>
      </c>
      <c r="K54" s="71" t="inlineStr">
        <is>
          <t>Ausgaben</t>
        </is>
      </c>
      <c r="L54" t="inlineStr">
        <is>
          <t>Büromaterial</t>
        </is>
      </c>
      <c r="M54" s="9" t="n"/>
      <c r="N54" s="1" t="n">
        <v>45005</v>
      </c>
      <c r="O54" t="inlineStr">
        <is>
          <t>Amazon EU S. à r.l., 38 avenue John F. Kennedy, L-1855 Luxembourg: HJEU: DVI-HDMI, Logitech Maus</t>
        </is>
      </c>
      <c r="Q54" s="76" t="n"/>
      <c r="R54" t="b">
        <v>0</v>
      </c>
      <c r="S54" s="214" t="n">
        <v>-40.71</v>
      </c>
      <c r="T54" s="159" t="n">
        <v>1</v>
      </c>
      <c r="U54" t="n">
        <v>20</v>
      </c>
      <c r="V54" s="237" t="n">
        <v>-8.142000000000001</v>
      </c>
      <c r="W54" s="237" t="n">
        <v>-8.142000000000001</v>
      </c>
      <c r="X54" s="208" t="n">
        <v>-40.71</v>
      </c>
      <c r="Y54" s="251" t="n">
        <v>-48.852</v>
      </c>
      <c r="Z54" s="251" t="n">
        <v>-48.852</v>
      </c>
      <c r="AA54" s="35" t="n">
        <v>45061</v>
      </c>
      <c r="AB54" s="27" t="n"/>
      <c r="AC54" s="27" t="n"/>
      <c r="AD54" s="210" t="n">
        <v>-40.71</v>
      </c>
      <c r="AE54" s="237" t="n">
        <v>0</v>
      </c>
      <c r="AF54" t="b">
        <v>0</v>
      </c>
      <c r="AG54" s="228" t="n">
        <v>40.71</v>
      </c>
    </row>
    <row r="55">
      <c r="A55">
        <f>I55&amp;"-"&amp;J55</f>
        <v/>
      </c>
      <c r="B55" s="1">
        <f>N55</f>
        <v/>
      </c>
      <c r="C55">
        <f>M55&amp;"/"&amp;O55</f>
        <v/>
      </c>
      <c r="D55">
        <f>K55</f>
        <v/>
      </c>
      <c r="E55">
        <f>L55</f>
        <v/>
      </c>
      <c r="F55" s="236">
        <f>Z55</f>
        <v/>
      </c>
      <c r="G55">
        <f>U55&amp;"%"</f>
        <v/>
      </c>
      <c r="I55" s="156" t="n">
        <v>2023</v>
      </c>
      <c r="J55" s="156" t="n">
        <v>54</v>
      </c>
      <c r="K55" s="71" t="inlineStr">
        <is>
          <t>Ausgaben</t>
        </is>
      </c>
      <c r="L55" t="inlineStr">
        <is>
          <t>Reise- und Fahrtspesen inkl. Kilometergeld und Diäten</t>
        </is>
      </c>
      <c r="M55" s="9" t="inlineStr">
        <is>
          <t>20230000036626</t>
        </is>
      </c>
      <c r="N55" s="1" t="n">
        <v>45005</v>
      </c>
      <c r="O55" t="inlineStr">
        <is>
          <t>Wiener Linien GmbH &amp; Co KG</t>
        </is>
      </c>
      <c r="Q55" s="76" t="n"/>
      <c r="R55" t="b">
        <v>0</v>
      </c>
      <c r="S55" s="214" t="n">
        <v>331.82</v>
      </c>
      <c r="T55" s="159" t="n">
        <v>1</v>
      </c>
      <c r="U55" t="n">
        <v>10</v>
      </c>
      <c r="V55" s="237" t="n">
        <v>33.182</v>
      </c>
      <c r="W55" s="237" t="n">
        <v>33.182</v>
      </c>
      <c r="X55" s="208" t="n">
        <v>331.82</v>
      </c>
      <c r="Y55" s="251" t="n">
        <v>365.002</v>
      </c>
      <c r="Z55" s="251" t="n">
        <v>365.002</v>
      </c>
      <c r="AA55" s="35" t="n">
        <v>45061</v>
      </c>
      <c r="AB55" s="27" t="n"/>
      <c r="AC55" s="27" t="n"/>
      <c r="AD55" s="210" t="n">
        <v>331.82</v>
      </c>
      <c r="AE55" s="237" t="n">
        <v>0</v>
      </c>
      <c r="AF55" t="b">
        <v>0</v>
      </c>
      <c r="AG55" s="228" t="n">
        <v>-331.82</v>
      </c>
    </row>
    <row r="56">
      <c r="A56">
        <f>I56&amp;"-"&amp;J56</f>
        <v/>
      </c>
      <c r="B56" s="1">
        <f>N56</f>
        <v/>
      </c>
      <c r="C56">
        <f>M56&amp;"/"&amp;O56</f>
        <v/>
      </c>
      <c r="D56">
        <f>K56</f>
        <v/>
      </c>
      <c r="E56">
        <f>L56</f>
        <v/>
      </c>
      <c r="F56" s="236">
        <f>Z56</f>
        <v/>
      </c>
      <c r="G56">
        <f>U56&amp;"%"</f>
        <v/>
      </c>
      <c r="I56" s="53" t="n">
        <v>2023</v>
      </c>
      <c r="J56" s="53" t="n">
        <v>55</v>
      </c>
      <c r="K56" s="71" t="inlineStr">
        <is>
          <t>Ausgaben</t>
        </is>
      </c>
      <c r="L56" t="inlineStr">
        <is>
          <t>sonstige Betriebsausgaben</t>
        </is>
      </c>
      <c r="M56" s="1" t="n"/>
      <c r="N56" s="1" t="n">
        <v>45005</v>
      </c>
      <c r="O56" t="inlineStr">
        <is>
          <t>Microsoft Ireland Operations Ltd. One Microsoft Place, South County, Business Park, Leopardstown, Dublin 18, D18 P521, Ireland</t>
        </is>
      </c>
      <c r="Q56" s="76" t="n"/>
      <c r="R56" t="b">
        <v>0</v>
      </c>
      <c r="S56" s="214" t="n">
        <v>10.5</v>
      </c>
      <c r="T56" s="159" t="n">
        <v>1</v>
      </c>
      <c r="U56" t="n">
        <v>0</v>
      </c>
      <c r="V56" s="237" t="n">
        <v>0</v>
      </c>
      <c r="W56" s="237" t="n">
        <v>0</v>
      </c>
      <c r="X56" s="208" t="n">
        <v>10.5</v>
      </c>
      <c r="Y56" s="251" t="n">
        <v>10.5</v>
      </c>
      <c r="Z56" s="251" t="n">
        <v>10.5</v>
      </c>
      <c r="AA56" s="35" t="n">
        <v>45061</v>
      </c>
      <c r="AB56" s="27" t="n"/>
      <c r="AC56" s="27" t="n">
        <v>20</v>
      </c>
      <c r="AD56" s="210" t="n">
        <v>10.5</v>
      </c>
      <c r="AE56" s="237" t="n">
        <v>2.1</v>
      </c>
      <c r="AF56" t="b">
        <v>0</v>
      </c>
      <c r="AG56" s="228" t="n">
        <v>-10.5</v>
      </c>
    </row>
    <row r="57">
      <c r="A57">
        <f>I57&amp;"-"&amp;J57</f>
        <v/>
      </c>
      <c r="B57" s="1">
        <f>N57</f>
        <v/>
      </c>
      <c r="C57">
        <f>M57&amp;"/"&amp;O57</f>
        <v/>
      </c>
      <c r="D57">
        <f>K57</f>
        <v/>
      </c>
      <c r="E57">
        <f>L57</f>
        <v/>
      </c>
      <c r="F57" s="236">
        <f>Z57</f>
        <v/>
      </c>
      <c r="G57">
        <f>U57&amp;"%"</f>
        <v/>
      </c>
      <c r="I57" s="53" t="n">
        <v>2023</v>
      </c>
      <c r="J57" s="53" t="n">
        <v>56</v>
      </c>
      <c r="K57" s="71" t="inlineStr">
        <is>
          <t>Ausgaben</t>
        </is>
      </c>
      <c r="L57" t="inlineStr">
        <is>
          <t>Telefon/Internet</t>
        </is>
      </c>
      <c r="M57" s="131" t="inlineStr">
        <is>
          <t>901117400223</t>
        </is>
      </c>
      <c r="N57" s="1" t="n">
        <v>45006</v>
      </c>
      <c r="O57" t="inlineStr">
        <is>
          <t>Magenta: T-Mobile Austria GmbH, A-1120 Wien, PF 47</t>
        </is>
      </c>
      <c r="Q57" s="76" t="n"/>
      <c r="R57" t="b">
        <v>0</v>
      </c>
      <c r="S57" s="214" t="n">
        <v>31.92</v>
      </c>
      <c r="T57" s="159" t="n">
        <v>1</v>
      </c>
      <c r="U57" t="n">
        <v>20</v>
      </c>
      <c r="V57" s="237" t="n">
        <v>6.384000000000001</v>
      </c>
      <c r="W57" s="237" t="n">
        <v>6.384000000000001</v>
      </c>
      <c r="X57" s="208" t="n">
        <v>31.92</v>
      </c>
      <c r="Y57" s="251" t="n">
        <v>38.304</v>
      </c>
      <c r="Z57" s="251" t="n">
        <v>38.304</v>
      </c>
      <c r="AA57" s="35" t="n">
        <v>45061</v>
      </c>
      <c r="AB57" s="27" t="n"/>
      <c r="AC57" s="27" t="n"/>
      <c r="AD57" s="210" t="n">
        <v>31.92</v>
      </c>
      <c r="AE57" s="237" t="n">
        <v>0</v>
      </c>
      <c r="AF57" t="b">
        <v>0</v>
      </c>
      <c r="AG57" s="228" t="n">
        <v>-31.92</v>
      </c>
    </row>
    <row r="58">
      <c r="A58">
        <f>I58&amp;"-"&amp;J58</f>
        <v/>
      </c>
      <c r="B58" s="1">
        <f>N58</f>
        <v/>
      </c>
      <c r="C58">
        <f>M58&amp;"/"&amp;O58</f>
        <v/>
      </c>
      <c r="D58">
        <f>K58</f>
        <v/>
      </c>
      <c r="E58">
        <f>L58</f>
        <v/>
      </c>
      <c r="F58" s="236">
        <f>Z58</f>
        <v/>
      </c>
      <c r="G58">
        <f>U58&amp;"%"</f>
        <v/>
      </c>
      <c r="I58" s="53" t="n">
        <v>2023</v>
      </c>
      <c r="J58" s="53" t="n">
        <v>57</v>
      </c>
      <c r="K58" s="71" t="inlineStr">
        <is>
          <t>Ausgaben</t>
        </is>
      </c>
      <c r="L58" t="inlineStr">
        <is>
          <t>sonstige Betriebsausgaben</t>
        </is>
      </c>
      <c r="M58" s="9" t="n"/>
      <c r="N58" s="1" t="n">
        <v>45009</v>
      </c>
      <c r="O58" t="inlineStr">
        <is>
          <t>easyname GmbH, Fernkorngasse 10/3/501, A-1100 Wien</t>
        </is>
      </c>
      <c r="Q58" s="76" t="n"/>
      <c r="R58" t="b">
        <v>0</v>
      </c>
      <c r="S58" s="214" t="n">
        <v>15.75</v>
      </c>
      <c r="T58" s="159" t="n">
        <v>1</v>
      </c>
      <c r="U58" t="n">
        <v>20</v>
      </c>
      <c r="V58" s="237" t="n">
        <v>3.15</v>
      </c>
      <c r="W58" s="237" t="n">
        <v>3.15</v>
      </c>
      <c r="X58" s="208" t="n">
        <v>15.75</v>
      </c>
      <c r="Y58" s="251" t="n">
        <v>18.9</v>
      </c>
      <c r="Z58" s="251" t="n">
        <v>18.9</v>
      </c>
      <c r="AA58" s="35" t="n">
        <v>45061</v>
      </c>
      <c r="AB58" s="27" t="n"/>
      <c r="AC58" s="27" t="n"/>
      <c r="AD58" s="210" t="n">
        <v>15.75</v>
      </c>
      <c r="AE58" s="237" t="n">
        <v>0</v>
      </c>
      <c r="AF58" t="b">
        <v>0</v>
      </c>
      <c r="AG58" s="228" t="n">
        <v>-15.75</v>
      </c>
    </row>
    <row r="59">
      <c r="A59">
        <f>I59&amp;"-"&amp;J59</f>
        <v/>
      </c>
      <c r="B59" s="1">
        <f>N59</f>
        <v/>
      </c>
      <c r="C59">
        <f>M59&amp;"/"&amp;O59</f>
        <v/>
      </c>
      <c r="D59">
        <f>K59</f>
        <v/>
      </c>
      <c r="E59">
        <f>L59</f>
        <v/>
      </c>
      <c r="F59" s="236">
        <f>Z59</f>
        <v/>
      </c>
      <c r="G59">
        <f>U59&amp;"%"</f>
        <v/>
      </c>
      <c r="I59" s="53" t="n">
        <v>2023</v>
      </c>
      <c r="J59" s="53" t="n">
        <v>58</v>
      </c>
      <c r="K59" s="71" t="inlineStr">
        <is>
          <t>Ausgaben</t>
        </is>
      </c>
      <c r="L59" t="inlineStr">
        <is>
          <t>sonstige Betriebsausgaben</t>
        </is>
      </c>
      <c r="M59" s="9" t="n"/>
      <c r="N59" s="1" t="n">
        <v>45008</v>
      </c>
      <c r="O59" t="inlineStr">
        <is>
          <t>Wirtschaftskammer Wien Grundumlagen, Straße der Wiener Wirtschaft 1, 1020 Wien: GU UBIT</t>
        </is>
      </c>
      <c r="Q59" s="76" t="n"/>
      <c r="R59" t="b">
        <v>0</v>
      </c>
      <c r="S59" s="214" t="n">
        <v>65</v>
      </c>
      <c r="T59" s="159" t="n">
        <v>1</v>
      </c>
      <c r="U59" t="n">
        <v>0</v>
      </c>
      <c r="V59" s="237" t="n">
        <v>0</v>
      </c>
      <c r="W59" s="237" t="n">
        <v>0</v>
      </c>
      <c r="X59" s="208" t="n">
        <v>65</v>
      </c>
      <c r="Y59" s="251" t="n">
        <v>65</v>
      </c>
      <c r="Z59" s="251" t="n">
        <v>65</v>
      </c>
      <c r="AA59" s="35" t="n">
        <v>45061</v>
      </c>
      <c r="AB59" s="27" t="n"/>
      <c r="AC59" s="27" t="n"/>
      <c r="AD59" s="210" t="n">
        <v>65</v>
      </c>
      <c r="AE59" s="237" t="n">
        <v>0</v>
      </c>
      <c r="AF59" t="b">
        <v>0</v>
      </c>
      <c r="AG59" s="228" t="n">
        <v>-65</v>
      </c>
    </row>
    <row r="60">
      <c r="A60">
        <f>I60&amp;"-"&amp;J60</f>
        <v/>
      </c>
      <c r="B60" s="1">
        <f>N60</f>
        <v/>
      </c>
      <c r="C60">
        <f>M60&amp;"/"&amp;O60</f>
        <v/>
      </c>
      <c r="D60">
        <f>K60</f>
        <v/>
      </c>
      <c r="E60">
        <f>L60</f>
        <v/>
      </c>
      <c r="F60" s="236">
        <f>Z60</f>
        <v/>
      </c>
      <c r="G60">
        <f>U60&amp;"%"</f>
        <v/>
      </c>
      <c r="I60" s="53" t="n">
        <v>2023</v>
      </c>
      <c r="J60" s="53" t="n">
        <v>59</v>
      </c>
      <c r="K60" s="71" t="inlineStr">
        <is>
          <t>Ausgaben</t>
        </is>
      </c>
      <c r="L60" t="inlineStr">
        <is>
          <t>sonstige Betriebsausgaben</t>
        </is>
      </c>
      <c r="N60" s="1" t="n">
        <v>45019</v>
      </c>
      <c r="O60" t="inlineStr">
        <is>
          <t>Google Ireland Ltd, Gordon House, Barrow Street, Dublin 4, Ireland; VAT number: IE 6388047V</t>
        </is>
      </c>
      <c r="Q60" s="76" t="n"/>
      <c r="R60" t="b">
        <v>0</v>
      </c>
      <c r="S60" s="214" t="n">
        <v>9.359999999999999</v>
      </c>
      <c r="T60" s="159" t="n">
        <v>1</v>
      </c>
      <c r="U60" t="n">
        <v>0</v>
      </c>
      <c r="V60" s="237" t="n">
        <v>0</v>
      </c>
      <c r="W60" s="237" t="n">
        <v>0</v>
      </c>
      <c r="X60" s="208" t="n">
        <v>9.359999999999999</v>
      </c>
      <c r="Y60" s="251" t="n">
        <v>9.359999999999999</v>
      </c>
      <c r="Z60" s="251" t="n">
        <v>9.359999999999999</v>
      </c>
      <c r="AA60" s="35" t="n">
        <v>45092</v>
      </c>
      <c r="AB60" s="27" t="n"/>
      <c r="AC60" s="27" t="n">
        <v>20</v>
      </c>
      <c r="AD60" s="210" t="n">
        <v>9.359999999999999</v>
      </c>
      <c r="AE60" s="237" t="n">
        <v>1.872</v>
      </c>
      <c r="AF60" t="b">
        <v>0</v>
      </c>
      <c r="AG60" s="228" t="n">
        <v>-9.359999999999999</v>
      </c>
    </row>
    <row r="61">
      <c r="A61">
        <f>I61&amp;"-"&amp;J61</f>
        <v/>
      </c>
      <c r="B61" s="1">
        <f>N61</f>
        <v/>
      </c>
      <c r="C61">
        <f>M61&amp;"/"&amp;O61</f>
        <v/>
      </c>
      <c r="D61">
        <f>K61</f>
        <v/>
      </c>
      <c r="E61">
        <f>L61</f>
        <v/>
      </c>
      <c r="F61" s="236">
        <f>Z61</f>
        <v/>
      </c>
      <c r="G61">
        <f>U61&amp;"%"</f>
        <v/>
      </c>
      <c r="I61" s="53" t="n">
        <v>2023</v>
      </c>
      <c r="J61" s="53" t="n">
        <v>60</v>
      </c>
      <c r="K61" s="71" t="inlineStr">
        <is>
          <t>Einnahmen</t>
        </is>
      </c>
      <c r="L61" t="inlineStr">
        <is>
          <t>Waren-/Leistungserlöse</t>
        </is>
      </c>
      <c r="M61" s="9" t="inlineStr">
        <is>
          <t>12023006</t>
        </is>
      </c>
      <c r="N61" s="1" t="n">
        <v>45019</v>
      </c>
      <c r="O61" t="inlineStr">
        <is>
          <t>foxcraft - DI Mag. Alexander Wagner, Leschetitzkygasse 30/5, 1180 Wien</t>
        </is>
      </c>
      <c r="Q61" s="76" t="n"/>
      <c r="R61" t="b">
        <v>0</v>
      </c>
      <c r="S61" s="214" t="n">
        <v>89</v>
      </c>
      <c r="T61" s="159" t="n">
        <v>1</v>
      </c>
      <c r="U61" t="n">
        <v>20</v>
      </c>
      <c r="V61" s="237" t="n">
        <v>17.8</v>
      </c>
      <c r="W61" s="237" t="n">
        <v>17.8</v>
      </c>
      <c r="X61" s="208" t="n">
        <v>89</v>
      </c>
      <c r="Y61" s="251" t="n">
        <v>106.8</v>
      </c>
      <c r="Z61" s="251" t="n">
        <v>106.8</v>
      </c>
      <c r="AA61" s="35" t="n">
        <v>45092</v>
      </c>
      <c r="AB61" s="27" t="n"/>
      <c r="AC61" s="27" t="n"/>
      <c r="AD61" s="210" t="n">
        <v>89</v>
      </c>
      <c r="AE61" s="237" t="n">
        <v>0</v>
      </c>
      <c r="AF61" t="b">
        <v>0</v>
      </c>
      <c r="AG61" s="228" t="n">
        <v>89</v>
      </c>
    </row>
    <row r="62">
      <c r="A62">
        <f>I62&amp;"-"&amp;J62</f>
        <v/>
      </c>
      <c r="B62" s="1">
        <f>N62</f>
        <v/>
      </c>
      <c r="C62">
        <f>M62&amp;"/"&amp;O62</f>
        <v/>
      </c>
      <c r="D62">
        <f>K62</f>
        <v/>
      </c>
      <c r="E62">
        <f>L62</f>
        <v/>
      </c>
      <c r="F62" s="236">
        <f>Z62</f>
        <v/>
      </c>
      <c r="G62">
        <f>U62&amp;"%"</f>
        <v/>
      </c>
      <c r="I62" s="53" t="n">
        <v>2023</v>
      </c>
      <c r="J62" s="53" t="n">
        <v>61</v>
      </c>
      <c r="K62" s="71" t="inlineStr">
        <is>
          <t>Einnahmen</t>
        </is>
      </c>
      <c r="L62" t="inlineStr">
        <is>
          <t>Waren-/Leistungserlöse</t>
        </is>
      </c>
      <c r="M62" s="6" t="n">
        <v>12023003</v>
      </c>
      <c r="N62" s="1" t="n">
        <v>45019</v>
      </c>
      <c r="O62" t="inlineStr">
        <is>
          <t>ZT DI Dr. Arno Kolbitsch, Gütleweg 1, 6822 Satteins</t>
        </is>
      </c>
      <c r="Q62" s="76" t="n"/>
      <c r="R62" t="b">
        <v>0</v>
      </c>
      <c r="S62" s="214" t="n">
        <v>2300</v>
      </c>
      <c r="T62" s="159" t="n">
        <v>1</v>
      </c>
      <c r="U62" t="n">
        <v>20</v>
      </c>
      <c r="V62" s="237" t="n">
        <v>460</v>
      </c>
      <c r="W62" s="237" t="n">
        <v>460</v>
      </c>
      <c r="X62" s="208" t="n">
        <v>2300</v>
      </c>
      <c r="Y62" s="251" t="n">
        <v>2760</v>
      </c>
      <c r="Z62" s="251" t="n">
        <v>2760</v>
      </c>
      <c r="AA62" s="35" t="n">
        <v>45153</v>
      </c>
      <c r="AB62" s="27" t="n"/>
      <c r="AC62" s="27" t="n"/>
      <c r="AD62" s="210" t="n">
        <v>2300</v>
      </c>
      <c r="AE62" s="237" t="n">
        <v>0</v>
      </c>
      <c r="AF62" t="b">
        <v>0</v>
      </c>
      <c r="AG62" s="228" t="n">
        <v>2300</v>
      </c>
    </row>
    <row r="63">
      <c r="A63">
        <f>I63&amp;"-"&amp;J63</f>
        <v/>
      </c>
      <c r="B63" s="1">
        <f>N63</f>
        <v/>
      </c>
      <c r="C63">
        <f>M63&amp;"/"&amp;O63</f>
        <v/>
      </c>
      <c r="D63">
        <f>K63</f>
        <v/>
      </c>
      <c r="E63">
        <f>L63</f>
        <v/>
      </c>
      <c r="F63" s="236">
        <f>Z63</f>
        <v/>
      </c>
      <c r="G63">
        <f>U63&amp;"%"</f>
        <v/>
      </c>
      <c r="I63" s="53" t="n">
        <v>2023</v>
      </c>
      <c r="J63" s="53" t="n">
        <v>62</v>
      </c>
      <c r="K63" s="71" t="inlineStr">
        <is>
          <t>Einnahmen</t>
        </is>
      </c>
      <c r="L63" t="inlineStr">
        <is>
          <t>Waren-/Leistungserlöse</t>
        </is>
      </c>
      <c r="M63" s="9" t="inlineStr">
        <is>
          <t>12023007</t>
        </is>
      </c>
      <c r="N63" s="1" t="n">
        <v>45019</v>
      </c>
      <c r="O63" t="inlineStr">
        <is>
          <t>Kolbitsch Engineering &amp; Consulting KNr 45</t>
        </is>
      </c>
      <c r="Q63" s="76" t="n"/>
      <c r="R63" t="b">
        <v>0</v>
      </c>
      <c r="S63" s="214" t="n">
        <v>485</v>
      </c>
      <c r="T63" s="159" t="n">
        <v>1</v>
      </c>
      <c r="U63" t="n">
        <v>20</v>
      </c>
      <c r="V63" s="237" t="n">
        <v>97</v>
      </c>
      <c r="W63" s="237" t="n">
        <v>97</v>
      </c>
      <c r="X63" s="208" t="n">
        <v>485</v>
      </c>
      <c r="Y63" s="251" t="n">
        <v>582</v>
      </c>
      <c r="Z63" s="251" t="n">
        <v>582</v>
      </c>
      <c r="AA63" s="35" t="n">
        <v>45153</v>
      </c>
      <c r="AB63" s="27" t="n"/>
      <c r="AC63" s="27" t="n"/>
      <c r="AD63" s="210" t="n">
        <v>485</v>
      </c>
      <c r="AE63" s="237" t="n">
        <v>0</v>
      </c>
      <c r="AF63" t="b">
        <v>0</v>
      </c>
      <c r="AG63" s="228" t="n">
        <v>485</v>
      </c>
    </row>
    <row r="64">
      <c r="A64">
        <f>I64&amp;"-"&amp;J64</f>
        <v/>
      </c>
      <c r="B64" s="1">
        <f>N64</f>
        <v/>
      </c>
      <c r="C64">
        <f>M64&amp;"/"&amp;O64</f>
        <v/>
      </c>
      <c r="D64">
        <f>K64</f>
        <v/>
      </c>
      <c r="E64">
        <f>L64</f>
        <v/>
      </c>
      <c r="F64" s="236">
        <f>Z64</f>
        <v/>
      </c>
      <c r="G64">
        <f>U64&amp;"%"</f>
        <v/>
      </c>
      <c r="I64" s="53" t="n">
        <v>2023</v>
      </c>
      <c r="J64" s="53" t="n">
        <v>63</v>
      </c>
      <c r="K64" s="71" t="inlineStr">
        <is>
          <t>Ausgaben</t>
        </is>
      </c>
      <c r="L64" t="inlineStr">
        <is>
          <t>Miet- und Pachtaufwand, Leasing</t>
        </is>
      </c>
      <c r="M64" s="9" t="n"/>
      <c r="N64" s="1" t="n">
        <v>45019</v>
      </c>
      <c r="O64" t="inlineStr">
        <is>
          <t>Bontus Immobilienverwaltung GmbH, 1010 Wien, Franz Josefs Kai 65</t>
        </is>
      </c>
      <c r="Q64" s="76" t="n"/>
      <c r="R64" t="b">
        <v>0</v>
      </c>
      <c r="S64" s="214" t="n">
        <v>515.85</v>
      </c>
      <c r="T64" s="159" t="n">
        <v>1</v>
      </c>
      <c r="U64" t="n">
        <v>20</v>
      </c>
      <c r="V64" s="237" t="n">
        <v>103.17</v>
      </c>
      <c r="W64" s="237" t="n">
        <v>103.17</v>
      </c>
      <c r="X64" s="208" t="n">
        <v>515.85</v>
      </c>
      <c r="Y64" s="251" t="n">
        <v>619.02</v>
      </c>
      <c r="Z64" s="251" t="n">
        <v>619.02</v>
      </c>
      <c r="AA64" s="35" t="n">
        <v>45092</v>
      </c>
      <c r="AB64" s="27" t="n"/>
      <c r="AC64" s="27" t="n"/>
      <c r="AD64" s="210" t="n">
        <v>515.85</v>
      </c>
      <c r="AE64" s="237" t="n">
        <v>0</v>
      </c>
      <c r="AF64" t="b">
        <v>0</v>
      </c>
      <c r="AG64" s="228" t="n">
        <v>-515.85</v>
      </c>
    </row>
    <row r="65">
      <c r="A65">
        <f>I65&amp;"-"&amp;J65</f>
        <v/>
      </c>
      <c r="B65" s="1">
        <f>N65</f>
        <v/>
      </c>
      <c r="C65">
        <f>M65&amp;"/"&amp;O65</f>
        <v/>
      </c>
      <c r="D65">
        <f>K65</f>
        <v/>
      </c>
      <c r="E65">
        <f>L65</f>
        <v/>
      </c>
      <c r="F65" s="236">
        <f>Z65</f>
        <v/>
      </c>
      <c r="G65">
        <f>U65&amp;"%"</f>
        <v/>
      </c>
      <c r="I65" s="53" t="n">
        <v>2023</v>
      </c>
      <c r="J65" s="53" t="n">
        <v>64</v>
      </c>
      <c r="K65" s="71" t="inlineStr">
        <is>
          <t>Ausgaben</t>
        </is>
      </c>
      <c r="L65" t="inlineStr">
        <is>
          <t>Reise- und Fahrtspesen inkl. Kilometergeld und Diäten</t>
        </is>
      </c>
      <c r="M65" s="131" t="n"/>
      <c r="N65" s="1" t="n">
        <v>45019</v>
      </c>
      <c r="O65" t="inlineStr">
        <is>
          <t>car2go Österreich GmbH, Hintere Zollamtstraße 9, 1030 Wien</t>
        </is>
      </c>
      <c r="Q65" s="76" t="n"/>
      <c r="R65" t="b">
        <v>0</v>
      </c>
      <c r="S65" s="214" t="n">
        <v>63.87</v>
      </c>
      <c r="T65" s="159" t="n">
        <v>1</v>
      </c>
      <c r="U65" t="n">
        <v>20</v>
      </c>
      <c r="V65" s="237" t="n">
        <v>12.774</v>
      </c>
      <c r="W65" s="237" t="n">
        <v>12.774</v>
      </c>
      <c r="X65" s="208" t="n">
        <v>63.87</v>
      </c>
      <c r="Y65" s="251" t="n">
        <v>76.64399999999999</v>
      </c>
      <c r="Z65" s="251" t="n">
        <v>76.64399999999999</v>
      </c>
      <c r="AA65" s="35" t="n">
        <v>45092</v>
      </c>
      <c r="AB65" s="27" t="n"/>
      <c r="AC65" s="27" t="n"/>
      <c r="AD65" s="210" t="n">
        <v>63.87</v>
      </c>
      <c r="AE65" s="237" t="n">
        <v>0</v>
      </c>
      <c r="AF65" t="b">
        <v>0</v>
      </c>
      <c r="AG65" s="228" t="n">
        <v>-63.87</v>
      </c>
    </row>
    <row r="66">
      <c r="A66">
        <f>I66&amp;"-"&amp;J66</f>
        <v/>
      </c>
      <c r="B66" s="1">
        <f>N66</f>
        <v/>
      </c>
      <c r="C66">
        <f>M66&amp;"/"&amp;O66</f>
        <v/>
      </c>
      <c r="D66">
        <f>K66</f>
        <v/>
      </c>
      <c r="E66">
        <f>L66</f>
        <v/>
      </c>
      <c r="F66" s="236">
        <f>Z66</f>
        <v/>
      </c>
      <c r="G66">
        <f>U66&amp;"%"</f>
        <v/>
      </c>
      <c r="I66" s="53" t="n">
        <v>2023</v>
      </c>
      <c r="J66" s="53" t="n">
        <v>65</v>
      </c>
      <c r="K66" s="71" t="inlineStr">
        <is>
          <t>Ausgaben</t>
        </is>
      </c>
      <c r="L66" t="inlineStr">
        <is>
          <t>sonstige Betriebsausgaben</t>
        </is>
      </c>
      <c r="M66" s="9" t="n"/>
      <c r="N66" s="1" t="n">
        <v>45019</v>
      </c>
      <c r="O66" t="inlineStr">
        <is>
          <t>Vistaprint B.V., Hudsonweg 8, 5928 LW Venlo, Niederlande</t>
        </is>
      </c>
      <c r="Q66" s="76" t="inlineStr">
        <is>
          <t>ja</t>
        </is>
      </c>
      <c r="R66" t="b">
        <v>0</v>
      </c>
      <c r="S66" s="214" t="n">
        <v>50.82</v>
      </c>
      <c r="T66" s="159" t="n">
        <v>1</v>
      </c>
      <c r="U66" t="n">
        <v>20</v>
      </c>
      <c r="V66" s="237" t="n">
        <v>10.164</v>
      </c>
      <c r="W66" s="237" t="n">
        <v>10.164</v>
      </c>
      <c r="X66" s="208" t="n">
        <v>50.82</v>
      </c>
      <c r="Y66" s="251" t="n">
        <v>60.984</v>
      </c>
      <c r="Z66" s="251" t="n">
        <v>60.984</v>
      </c>
      <c r="AA66" s="35" t="n">
        <v>45092</v>
      </c>
      <c r="AB66" s="27" t="n"/>
      <c r="AC66" s="27" t="n"/>
      <c r="AD66" s="210" t="n">
        <v>50.82</v>
      </c>
      <c r="AE66" s="237" t="n">
        <v>0</v>
      </c>
      <c r="AF66" t="b">
        <v>0</v>
      </c>
      <c r="AG66" s="228" t="n">
        <v>-50.82</v>
      </c>
    </row>
    <row r="67">
      <c r="A67">
        <f>I67&amp;"-"&amp;J67</f>
        <v/>
      </c>
      <c r="B67" s="1">
        <f>N67</f>
        <v/>
      </c>
      <c r="C67">
        <f>M67&amp;"/"&amp;O67</f>
        <v/>
      </c>
      <c r="D67">
        <f>K67</f>
        <v/>
      </c>
      <c r="E67">
        <f>L67</f>
        <v/>
      </c>
      <c r="F67" s="236">
        <f>Z67</f>
        <v/>
      </c>
      <c r="G67">
        <f>U67&amp;"%"</f>
        <v/>
      </c>
      <c r="I67" s="53" t="n">
        <v>2023</v>
      </c>
      <c r="J67" s="53" t="n">
        <v>66</v>
      </c>
      <c r="K67" s="71" t="inlineStr">
        <is>
          <t>Ausgaben</t>
        </is>
      </c>
      <c r="L67" t="inlineStr">
        <is>
          <t>sonstige Betriebsausgaben</t>
        </is>
      </c>
      <c r="N67" s="1" t="n">
        <v>45020</v>
      </c>
      <c r="O67" t="inlineStr">
        <is>
          <t>go green energy GmbH &amp; Co KG</t>
        </is>
      </c>
      <c r="Q67" s="76" t="n"/>
      <c r="R67" t="b">
        <v>0</v>
      </c>
      <c r="S67" s="214" t="n">
        <v>5</v>
      </c>
      <c r="T67" s="159" t="n">
        <v>1</v>
      </c>
      <c r="U67" t="n">
        <v>20</v>
      </c>
      <c r="V67" s="237" t="n">
        <v>1</v>
      </c>
      <c r="W67" s="237" t="n">
        <v>1</v>
      </c>
      <c r="X67" s="208" t="n">
        <v>5</v>
      </c>
      <c r="Y67" s="251" t="n">
        <v>6</v>
      </c>
      <c r="Z67" s="251" t="n">
        <v>6</v>
      </c>
      <c r="AA67" s="35" t="n">
        <v>45092</v>
      </c>
      <c r="AB67" s="27" t="n"/>
      <c r="AC67" s="27" t="n"/>
      <c r="AD67" s="210" t="n">
        <v>5</v>
      </c>
      <c r="AE67" s="237" t="n">
        <v>0</v>
      </c>
      <c r="AF67" t="b">
        <v>0</v>
      </c>
      <c r="AG67" s="228" t="n">
        <v>-5</v>
      </c>
    </row>
    <row r="68">
      <c r="A68">
        <f>I68&amp;"-"&amp;J68</f>
        <v/>
      </c>
      <c r="B68" s="1">
        <f>N68</f>
        <v/>
      </c>
      <c r="C68">
        <f>M68&amp;"/"&amp;O68</f>
        <v/>
      </c>
      <c r="D68">
        <f>K68</f>
        <v/>
      </c>
      <c r="E68">
        <f>L68</f>
        <v/>
      </c>
      <c r="F68" s="236">
        <f>Z68</f>
        <v/>
      </c>
      <c r="G68">
        <f>U68&amp;"%"</f>
        <v/>
      </c>
      <c r="I68" s="53" t="n">
        <v>2023</v>
      </c>
      <c r="J68" s="53" t="n">
        <v>67</v>
      </c>
      <c r="K68" s="71" t="inlineStr">
        <is>
          <t>Einnahmen</t>
        </is>
      </c>
      <c r="L68" t="inlineStr">
        <is>
          <t>Waren-/Leistungserlöse</t>
        </is>
      </c>
      <c r="M68" s="9" t="n">
        <v>12018015</v>
      </c>
      <c r="N68" s="1" t="n">
        <v>45021</v>
      </c>
      <c r="O68" t="inlineStr">
        <is>
          <t>H. Jaros e.U., Kohlmarkt 16/2/2/15a, 1010 Wien</t>
        </is>
      </c>
      <c r="Q68" s="76" t="n"/>
      <c r="R68" t="b">
        <v>0</v>
      </c>
      <c r="S68" s="214" t="n">
        <v>1064</v>
      </c>
      <c r="T68" s="159" t="n">
        <v>1</v>
      </c>
      <c r="U68" t="n">
        <v>20</v>
      </c>
      <c r="V68" s="237" t="n">
        <v>212.8</v>
      </c>
      <c r="W68" s="237" t="n">
        <v>212.8</v>
      </c>
      <c r="X68" s="208" t="n">
        <v>1064</v>
      </c>
      <c r="Y68" s="251" t="n">
        <v>1276.8</v>
      </c>
      <c r="Z68" s="251" t="n">
        <v>1276.8</v>
      </c>
      <c r="AA68" s="35" t="n">
        <v>45153</v>
      </c>
      <c r="AB68" s="27" t="n"/>
      <c r="AC68" s="27" t="n"/>
      <c r="AD68" s="210" t="n">
        <v>1064</v>
      </c>
      <c r="AE68" s="237" t="n">
        <v>0</v>
      </c>
      <c r="AF68" t="b">
        <v>0</v>
      </c>
      <c r="AG68" s="228" t="n">
        <v>1064</v>
      </c>
    </row>
    <row r="69">
      <c r="A69">
        <f>I69&amp;"-"&amp;J69</f>
        <v/>
      </c>
      <c r="B69" s="1">
        <f>N69</f>
        <v/>
      </c>
      <c r="C69">
        <f>M69&amp;"/"&amp;O69</f>
        <v/>
      </c>
      <c r="D69">
        <f>K69</f>
        <v/>
      </c>
      <c r="E69">
        <f>L69</f>
        <v/>
      </c>
      <c r="F69" s="236">
        <f>Z69</f>
        <v/>
      </c>
      <c r="G69">
        <f>U69&amp;"%"</f>
        <v/>
      </c>
      <c r="I69" s="53" t="n">
        <v>2023</v>
      </c>
      <c r="J69" s="53" t="n">
        <v>68</v>
      </c>
      <c r="K69" s="71" t="inlineStr">
        <is>
          <t>Ausgaben</t>
        </is>
      </c>
      <c r="L69" t="inlineStr">
        <is>
          <t>Telefon/Internet</t>
        </is>
      </c>
      <c r="M69" s="9" t="n"/>
      <c r="N69" s="1" t="n">
        <v>45021</v>
      </c>
      <c r="O69" t="inlineStr">
        <is>
          <t>Hutchison Drei Austria GmbH, Brünner Straße 52, 1210 Wien, Österreich</t>
        </is>
      </c>
      <c r="Q69" s="76" t="n"/>
      <c r="R69" t="b">
        <v>0</v>
      </c>
      <c r="S69" s="214" t="n">
        <v>15</v>
      </c>
      <c r="T69" s="159" t="n">
        <v>1</v>
      </c>
      <c r="U69" t="n">
        <v>20</v>
      </c>
      <c r="V69" s="237" t="n">
        <v>3</v>
      </c>
      <c r="W69" s="237" t="n">
        <v>3</v>
      </c>
      <c r="X69" s="208" t="n">
        <v>15</v>
      </c>
      <c r="Y69" s="251" t="n">
        <v>18</v>
      </c>
      <c r="Z69" s="251" t="n">
        <v>18</v>
      </c>
      <c r="AA69" s="35" t="n">
        <v>45092</v>
      </c>
      <c r="AB69" s="27" t="n"/>
      <c r="AC69" s="27" t="n"/>
      <c r="AD69" s="210" t="n">
        <v>15</v>
      </c>
      <c r="AE69" s="237" t="n">
        <v>0</v>
      </c>
      <c r="AF69" t="b">
        <v>0</v>
      </c>
      <c r="AG69" s="228" t="n">
        <v>-15</v>
      </c>
    </row>
    <row r="70">
      <c r="A70">
        <f>I70&amp;"-"&amp;J70</f>
        <v/>
      </c>
      <c r="B70" s="1">
        <f>N70</f>
        <v/>
      </c>
      <c r="C70">
        <f>M70&amp;"/"&amp;O70</f>
        <v/>
      </c>
      <c r="D70">
        <f>K70</f>
        <v/>
      </c>
      <c r="E70">
        <f>L70</f>
        <v/>
      </c>
      <c r="F70" s="236">
        <f>Z70</f>
        <v/>
      </c>
      <c r="G70">
        <f>U70&amp;"%"</f>
        <v/>
      </c>
      <c r="I70" s="53" t="n">
        <v>2023</v>
      </c>
      <c r="J70" s="53" t="n">
        <v>69</v>
      </c>
      <c r="K70" s="71" t="inlineStr">
        <is>
          <t>Ausgaben</t>
        </is>
      </c>
      <c r="L70" t="inlineStr">
        <is>
          <t>Miet- und Pachtaufwand, Leasing</t>
        </is>
      </c>
      <c r="M70" s="61" t="inlineStr">
        <is>
          <t>BELEG FEHLT</t>
        </is>
      </c>
      <c r="N70" s="1" t="n">
        <v>45022</v>
      </c>
      <c r="O70" t="inlineStr">
        <is>
          <t>Techem Messtechnik GmbH; Abnehmernummer 501686-0003-11-</t>
        </is>
      </c>
      <c r="Q70" s="76" t="n"/>
      <c r="R70" t="b">
        <v>0</v>
      </c>
      <c r="S70" s="214" t="n">
        <v>122.6</v>
      </c>
      <c r="T70" s="159" t="n">
        <v>1</v>
      </c>
      <c r="U70" t="n">
        <v>20</v>
      </c>
      <c r="V70" s="237" t="n">
        <v>24.52</v>
      </c>
      <c r="W70" s="237" t="n">
        <v>24.52</v>
      </c>
      <c r="X70" s="208" t="n">
        <v>122.6</v>
      </c>
      <c r="Y70" s="251" t="n">
        <v>147.12</v>
      </c>
      <c r="Z70" s="251" t="n">
        <v>147.12</v>
      </c>
      <c r="AA70" s="35" t="n">
        <v>45092</v>
      </c>
      <c r="AB70" s="27" t="n"/>
      <c r="AC70" s="27" t="n"/>
      <c r="AD70" s="210" t="n">
        <v>122.6</v>
      </c>
      <c r="AE70" s="237" t="n">
        <v>0</v>
      </c>
      <c r="AF70" t="b">
        <v>0</v>
      </c>
      <c r="AG70" s="228" t="n">
        <v>-122.6</v>
      </c>
    </row>
    <row r="71">
      <c r="A71">
        <f>I71&amp;"-"&amp;J71</f>
        <v/>
      </c>
      <c r="B71" s="1">
        <f>N71</f>
        <v/>
      </c>
      <c r="C71">
        <f>M71&amp;"/"&amp;O71</f>
        <v/>
      </c>
      <c r="D71">
        <f>K71</f>
        <v/>
      </c>
      <c r="E71">
        <f>L71</f>
        <v/>
      </c>
      <c r="F71" s="236">
        <f>Z71</f>
        <v/>
      </c>
      <c r="G71">
        <f>U71&amp;"%"</f>
        <v/>
      </c>
      <c r="I71" s="53" t="n">
        <v>2023</v>
      </c>
      <c r="J71" s="53" t="n">
        <v>70</v>
      </c>
      <c r="K71" s="71" t="inlineStr">
        <is>
          <t>Ausgaben</t>
        </is>
      </c>
      <c r="L71" t="inlineStr">
        <is>
          <t>sonstige Betriebsausgaben</t>
        </is>
      </c>
      <c r="M71" s="61" t="inlineStr">
        <is>
          <t>BELEG FEHLT</t>
        </is>
      </c>
      <c r="N71" s="1" t="n">
        <v>45027</v>
      </c>
      <c r="O71" t="inlineStr">
        <is>
          <t>Wiener Netze GmbH, Erdbergstraße 236, 1110 Wien, Postfach 422; Jahresabrechnung vom 17.12.20: GUTSCHRIFT</t>
        </is>
      </c>
      <c r="Q71" s="76" t="n"/>
      <c r="R71" t="b">
        <v>0</v>
      </c>
      <c r="S71" s="214" t="n">
        <v>12</v>
      </c>
      <c r="T71" s="159" t="n">
        <v>1</v>
      </c>
      <c r="U71" t="n">
        <v>20</v>
      </c>
      <c r="V71" s="237" t="n">
        <v>2.4</v>
      </c>
      <c r="W71" s="237" t="n">
        <v>2.4</v>
      </c>
      <c r="X71" s="208" t="n">
        <v>12</v>
      </c>
      <c r="Y71" s="251" t="n">
        <v>14.4</v>
      </c>
      <c r="Z71" s="251" t="n">
        <v>14.4</v>
      </c>
      <c r="AA71" s="35" t="n">
        <v>45092</v>
      </c>
      <c r="AB71" s="27" t="n"/>
      <c r="AC71" s="27" t="n"/>
      <c r="AD71" s="210" t="n">
        <v>12</v>
      </c>
      <c r="AE71" s="237" t="n">
        <v>0</v>
      </c>
      <c r="AF71" t="b">
        <v>0</v>
      </c>
      <c r="AG71" s="228" t="n">
        <v>-12</v>
      </c>
    </row>
    <row r="72">
      <c r="A72">
        <f>I72&amp;"-"&amp;J72</f>
        <v/>
      </c>
      <c r="B72" s="1">
        <f>N72</f>
        <v/>
      </c>
      <c r="C72">
        <f>M72&amp;"/"&amp;O72</f>
        <v/>
      </c>
      <c r="D72">
        <f>K72</f>
        <v/>
      </c>
      <c r="E72">
        <f>L72</f>
        <v/>
      </c>
      <c r="F72" s="236">
        <f>Z72</f>
        <v/>
      </c>
      <c r="G72">
        <f>U72&amp;"%"</f>
        <v/>
      </c>
      <c r="I72" s="53" t="n">
        <v>2023</v>
      </c>
      <c r="J72" s="53" t="n">
        <v>71</v>
      </c>
      <c r="K72" s="71" t="inlineStr">
        <is>
          <t>Einnahmen</t>
        </is>
      </c>
      <c r="L72" t="inlineStr">
        <is>
          <t>Waren-/Leistungserlöse</t>
        </is>
      </c>
      <c r="M72" t="n">
        <v>12023008</v>
      </c>
      <c r="N72" s="1" t="n">
        <v>45029</v>
      </c>
      <c r="O72" t="inlineStr">
        <is>
          <t>Hays Österreich GmbH, Bahnhof City Wien West , Europaplatz 3/5, 1150 Wien</t>
        </is>
      </c>
      <c r="Q72" s="76" t="n"/>
      <c r="R72" t="b">
        <v>0</v>
      </c>
      <c r="S72" s="214" t="n">
        <v>16638</v>
      </c>
      <c r="T72" s="159" t="n">
        <v>1</v>
      </c>
      <c r="U72" t="n">
        <v>20</v>
      </c>
      <c r="V72" s="237" t="n">
        <v>3327.6</v>
      </c>
      <c r="W72" s="237" t="n">
        <v>3327.6</v>
      </c>
      <c r="X72" s="208" t="n">
        <v>16638</v>
      </c>
      <c r="Y72" s="251" t="n">
        <v>19965.6</v>
      </c>
      <c r="Z72" s="251" t="n">
        <v>19965.6</v>
      </c>
      <c r="AA72" s="35" t="n">
        <v>45092</v>
      </c>
      <c r="AB72" s="27" t="n"/>
      <c r="AC72" s="27" t="n"/>
      <c r="AD72" s="210" t="n">
        <v>16638</v>
      </c>
      <c r="AE72" s="237" t="n">
        <v>0</v>
      </c>
      <c r="AF72" t="b">
        <v>0</v>
      </c>
      <c r="AG72" s="228" t="n">
        <v>16638</v>
      </c>
    </row>
    <row r="73">
      <c r="A73">
        <f>I73&amp;"-"&amp;J73</f>
        <v/>
      </c>
      <c r="B73" s="1">
        <f>N73</f>
        <v/>
      </c>
      <c r="C73">
        <f>M73&amp;"/"&amp;O73</f>
        <v/>
      </c>
      <c r="D73">
        <f>K73</f>
        <v/>
      </c>
      <c r="E73">
        <f>L73</f>
        <v/>
      </c>
      <c r="F73" s="236">
        <f>Z73</f>
        <v/>
      </c>
      <c r="G73">
        <f>U73&amp;"%"</f>
        <v/>
      </c>
      <c r="I73" s="53" t="n">
        <v>2023</v>
      </c>
      <c r="J73" s="53" t="n">
        <v>72</v>
      </c>
      <c r="K73" s="71" t="inlineStr">
        <is>
          <t>Ausgaben</t>
        </is>
      </c>
      <c r="L73" t="inlineStr">
        <is>
          <t>sonstige Betriebsausgaben</t>
        </is>
      </c>
      <c r="M73" s="9" t="n"/>
      <c r="N73" s="1" t="n">
        <v>45035</v>
      </c>
      <c r="O73" t="inlineStr">
        <is>
          <t>TeamViewer Germany GmbH, Jahnstr. 30, 73037 Göppingen, Deutschland</t>
        </is>
      </c>
      <c r="Q73" s="76" t="inlineStr">
        <is>
          <t>ja</t>
        </is>
      </c>
      <c r="R73" t="b">
        <v>0</v>
      </c>
      <c r="S73" s="214" t="n">
        <v>394.8</v>
      </c>
      <c r="T73" s="159" t="n">
        <v>1</v>
      </c>
      <c r="U73" t="n">
        <v>0</v>
      </c>
      <c r="V73" s="237" t="n">
        <v>0</v>
      </c>
      <c r="W73" s="237" t="n">
        <v>0</v>
      </c>
      <c r="X73" s="208" t="n">
        <v>394.8</v>
      </c>
      <c r="Y73" s="251" t="n">
        <v>394.8</v>
      </c>
      <c r="Z73" s="251" t="n">
        <v>394.8</v>
      </c>
      <c r="AA73" s="35" t="n">
        <v>45153</v>
      </c>
      <c r="AB73" s="27" t="n"/>
      <c r="AC73" s="27" t="n">
        <v>20</v>
      </c>
      <c r="AD73" s="210" t="n">
        <v>394.8</v>
      </c>
      <c r="AE73" s="237" t="n">
        <v>78.96000000000001</v>
      </c>
      <c r="AF73" t="b">
        <v>0</v>
      </c>
      <c r="AG73" s="228" t="n">
        <v>-394.8</v>
      </c>
    </row>
    <row r="74">
      <c r="A74">
        <f>I74&amp;"-"&amp;J74</f>
        <v/>
      </c>
      <c r="B74" s="1">
        <f>N74</f>
        <v/>
      </c>
      <c r="C74">
        <f>M74&amp;"/"&amp;O74</f>
        <v/>
      </c>
      <c r="D74">
        <f>K74</f>
        <v/>
      </c>
      <c r="E74">
        <f>L74</f>
        <v/>
      </c>
      <c r="F74" s="236">
        <f>Z74</f>
        <v/>
      </c>
      <c r="G74">
        <f>U74&amp;"%"</f>
        <v/>
      </c>
      <c r="I74" s="53" t="n">
        <v>2023</v>
      </c>
      <c r="J74" s="53" t="n">
        <v>73</v>
      </c>
      <c r="K74" s="71" t="inlineStr">
        <is>
          <t>Ausgaben</t>
        </is>
      </c>
      <c r="L74" t="inlineStr">
        <is>
          <t>sonstige Betriebsausgaben</t>
        </is>
      </c>
      <c r="M74" s="9" t="n"/>
      <c r="N74" s="1" t="n">
        <v>45030</v>
      </c>
      <c r="O74" t="inlineStr">
        <is>
          <t>Hetzner Online GmbH</t>
        </is>
      </c>
      <c r="Q74" s="76" t="n"/>
      <c r="R74" t="b">
        <v>0</v>
      </c>
      <c r="S74" s="214" t="n">
        <v>52.2141</v>
      </c>
      <c r="T74" s="159" t="n">
        <v>1</v>
      </c>
      <c r="U74" t="n">
        <v>0</v>
      </c>
      <c r="V74" s="237" t="n">
        <v>0</v>
      </c>
      <c r="W74" s="237" t="n">
        <v>0</v>
      </c>
      <c r="X74" s="208" t="n">
        <v>52.2141</v>
      </c>
      <c r="Y74" s="251" t="n">
        <v>52.2141</v>
      </c>
      <c r="Z74" s="251" t="n">
        <v>52.2141</v>
      </c>
      <c r="AA74" s="35" t="n">
        <v>45092</v>
      </c>
      <c r="AB74" s="27" t="n"/>
      <c r="AC74" s="27" t="n">
        <v>20</v>
      </c>
      <c r="AD74" s="210" t="n">
        <v>52.2141</v>
      </c>
      <c r="AE74" s="237" t="n">
        <v>10.44282</v>
      </c>
      <c r="AF74" t="b">
        <v>0</v>
      </c>
      <c r="AG74" s="228" t="n">
        <v>-52.2141</v>
      </c>
    </row>
    <row r="75">
      <c r="A75">
        <f>I75&amp;"-"&amp;J75</f>
        <v/>
      </c>
      <c r="B75" s="1">
        <f>N75</f>
        <v/>
      </c>
      <c r="C75">
        <f>M75&amp;"/"&amp;O75</f>
        <v/>
      </c>
      <c r="D75">
        <f>K75</f>
        <v/>
      </c>
      <c r="E75">
        <f>L75</f>
        <v/>
      </c>
      <c r="F75" s="236">
        <f>Z75</f>
        <v/>
      </c>
      <c r="G75">
        <f>U75&amp;"%"</f>
        <v/>
      </c>
      <c r="I75" s="53" t="n">
        <v>2023</v>
      </c>
      <c r="J75" s="53" t="n">
        <v>74</v>
      </c>
      <c r="K75" s="71" t="inlineStr">
        <is>
          <t>Ausgaben</t>
        </is>
      </c>
      <c r="L75" t="inlineStr">
        <is>
          <t>Personalaufwand</t>
        </is>
      </c>
      <c r="M75" s="9" t="inlineStr">
        <is>
          <t>siehe 2022-140</t>
        </is>
      </c>
      <c r="N75" s="1" t="n">
        <v>45033</v>
      </c>
      <c r="O75" t="inlineStr">
        <is>
          <t>Honorar Eva Jaros-Kolbitsch</t>
        </is>
      </c>
      <c r="Q75" s="76" t="n"/>
      <c r="R75" t="b">
        <v>0</v>
      </c>
      <c r="S75" s="214" t="n">
        <v>365</v>
      </c>
      <c r="T75" s="159" t="n">
        <v>1</v>
      </c>
      <c r="U75" t="n">
        <v>0</v>
      </c>
      <c r="V75" s="237" t="n">
        <v>0</v>
      </c>
      <c r="W75" s="237" t="n">
        <v>0</v>
      </c>
      <c r="X75" s="208" t="n">
        <v>365</v>
      </c>
      <c r="Y75" s="251" t="n">
        <v>365</v>
      </c>
      <c r="Z75" s="251" t="n">
        <v>365</v>
      </c>
      <c r="AA75" s="35" t="n">
        <v>45092</v>
      </c>
      <c r="AB75" s="27" t="n"/>
      <c r="AC75" s="27" t="n"/>
      <c r="AD75" s="210" t="n">
        <v>365</v>
      </c>
      <c r="AE75" s="237" t="n">
        <v>0</v>
      </c>
      <c r="AF75" t="b">
        <v>0</v>
      </c>
      <c r="AG75" s="228" t="n">
        <v>-365</v>
      </c>
    </row>
    <row r="76">
      <c r="A76">
        <f>I76&amp;"-"&amp;J76</f>
        <v/>
      </c>
      <c r="B76" s="1">
        <f>N76</f>
        <v/>
      </c>
      <c r="C76">
        <f>M76&amp;"/"&amp;O76</f>
        <v/>
      </c>
      <c r="D76">
        <f>K76</f>
        <v/>
      </c>
      <c r="E76">
        <f>L76</f>
        <v/>
      </c>
      <c r="F76" s="236">
        <f>Z76</f>
        <v/>
      </c>
      <c r="G76">
        <f>U76&amp;"%"</f>
        <v/>
      </c>
      <c r="I76" s="53" t="n">
        <v>2023</v>
      </c>
      <c r="J76" s="53" t="n">
        <v>75</v>
      </c>
      <c r="K76" s="71" t="inlineStr">
        <is>
          <t>Ausgaben</t>
        </is>
      </c>
      <c r="L76" t="inlineStr">
        <is>
          <t>sonstige Betriebsausgaben</t>
        </is>
      </c>
      <c r="M76" s="1" t="n"/>
      <c r="N76" s="1" t="n">
        <v>45036</v>
      </c>
      <c r="O76" t="inlineStr">
        <is>
          <t>Microsoft Ireland Operations Ltd. One Microsoft Place, South County, Business Park, Leopardstown, Dublin 18, D18 P521, Ireland</t>
        </is>
      </c>
      <c r="Q76" s="76" t="n"/>
      <c r="R76" t="b">
        <v>0</v>
      </c>
      <c r="S76" s="214" t="n">
        <v>10.5</v>
      </c>
      <c r="T76" s="159" t="n">
        <v>1</v>
      </c>
      <c r="U76" t="n">
        <v>0</v>
      </c>
      <c r="V76" s="237" t="n">
        <v>0</v>
      </c>
      <c r="W76" s="237" t="n">
        <v>0</v>
      </c>
      <c r="X76" s="208" t="n">
        <v>10.5</v>
      </c>
      <c r="Y76" s="251" t="n">
        <v>10.5</v>
      </c>
      <c r="Z76" s="251" t="n">
        <v>10.5</v>
      </c>
      <c r="AA76" s="35" t="n">
        <v>45092</v>
      </c>
      <c r="AB76" s="27" t="n"/>
      <c r="AC76" s="27" t="n">
        <v>20</v>
      </c>
      <c r="AD76" s="210" t="n">
        <v>10.5</v>
      </c>
      <c r="AE76" s="237" t="n">
        <v>2.1</v>
      </c>
      <c r="AF76" t="b">
        <v>0</v>
      </c>
      <c r="AG76" s="228" t="n">
        <v>-10.5</v>
      </c>
    </row>
    <row r="77">
      <c r="A77">
        <f>I77&amp;"-"&amp;J77</f>
        <v/>
      </c>
      <c r="B77" s="1">
        <f>N77</f>
        <v/>
      </c>
      <c r="C77">
        <f>M77&amp;"/"&amp;O77</f>
        <v/>
      </c>
      <c r="D77">
        <f>K77</f>
        <v/>
      </c>
      <c r="E77">
        <f>L77</f>
        <v/>
      </c>
      <c r="F77" s="236">
        <f>Z77</f>
        <v/>
      </c>
      <c r="G77">
        <f>U77&amp;"%"</f>
        <v/>
      </c>
      <c r="I77" s="53" t="n">
        <v>2023</v>
      </c>
      <c r="J77" s="53" t="n">
        <v>76</v>
      </c>
      <c r="K77" s="71" t="inlineStr">
        <is>
          <t>Ausgaben</t>
        </is>
      </c>
      <c r="L77" t="inlineStr">
        <is>
          <t>Telefon/Internet</t>
        </is>
      </c>
      <c r="M77" s="131" t="n"/>
      <c r="N77" s="1" t="n">
        <v>45037</v>
      </c>
      <c r="O77" t="inlineStr">
        <is>
          <t>Magenta: T-Mobile Austria GmbH, A-1120 Wien, PF 47</t>
        </is>
      </c>
      <c r="Q77" s="76" t="n"/>
      <c r="R77" t="b">
        <v>0</v>
      </c>
      <c r="S77" s="214" t="n">
        <v>31.92</v>
      </c>
      <c r="T77" s="159" t="n">
        <v>1</v>
      </c>
      <c r="U77" t="n">
        <v>20</v>
      </c>
      <c r="V77" s="237" t="n">
        <v>6.384000000000001</v>
      </c>
      <c r="W77" s="237" t="n">
        <v>6.384000000000001</v>
      </c>
      <c r="X77" s="208" t="n">
        <v>31.92</v>
      </c>
      <c r="Y77" s="251" t="n">
        <v>38.304</v>
      </c>
      <c r="Z77" s="251" t="n">
        <v>38.304</v>
      </c>
      <c r="AA77" s="35" t="n">
        <v>45092</v>
      </c>
      <c r="AB77" s="27" t="n"/>
      <c r="AC77" s="27" t="n"/>
      <c r="AD77" s="210" t="n">
        <v>31.92</v>
      </c>
      <c r="AE77" s="237" t="n">
        <v>0</v>
      </c>
      <c r="AF77" t="b">
        <v>0</v>
      </c>
      <c r="AG77" s="228" t="n">
        <v>-31.92</v>
      </c>
    </row>
    <row r="78">
      <c r="A78">
        <f>I78&amp;"-"&amp;J78</f>
        <v/>
      </c>
      <c r="B78" s="1">
        <f>N78</f>
        <v/>
      </c>
      <c r="C78">
        <f>M78&amp;"/"&amp;O78</f>
        <v/>
      </c>
      <c r="D78">
        <f>K78</f>
        <v/>
      </c>
      <c r="E78">
        <f>L78</f>
        <v/>
      </c>
      <c r="F78" s="236">
        <f>Z78</f>
        <v/>
      </c>
      <c r="G78">
        <f>U78&amp;"%"</f>
        <v/>
      </c>
      <c r="I78" s="53" t="n">
        <v>2023</v>
      </c>
      <c r="J78" s="53" t="n">
        <v>77</v>
      </c>
      <c r="K78" s="71" t="inlineStr">
        <is>
          <t>Einnahmen</t>
        </is>
      </c>
      <c r="L78" t="inlineStr">
        <is>
          <t>Waren-/Leistungserlöse</t>
        </is>
      </c>
      <c r="M78" t="n">
        <v>12023004</v>
      </c>
      <c r="N78" s="1" t="n">
        <v>45040</v>
      </c>
      <c r="O78" t="inlineStr">
        <is>
          <t>Paperholic all bout paper e.U.</t>
        </is>
      </c>
      <c r="Q78" s="76" t="n"/>
      <c r="R78" t="b">
        <v>0</v>
      </c>
      <c r="S78" s="214" t="n">
        <v>192</v>
      </c>
      <c r="T78" s="159" t="n">
        <v>1</v>
      </c>
      <c r="U78" t="n">
        <v>20</v>
      </c>
      <c r="V78" s="237" t="n">
        <v>38.4</v>
      </c>
      <c r="W78" s="237" t="n">
        <v>38.4</v>
      </c>
      <c r="X78" s="208" t="n">
        <v>192</v>
      </c>
      <c r="Y78" s="251" t="n">
        <v>230.4</v>
      </c>
      <c r="Z78" s="251" t="n">
        <v>230.4</v>
      </c>
      <c r="AA78" s="35" t="n">
        <v>45092</v>
      </c>
      <c r="AB78" s="27" t="n"/>
      <c r="AC78" s="27" t="n"/>
      <c r="AD78" s="210" t="n">
        <v>192</v>
      </c>
      <c r="AE78" s="237" t="n">
        <v>0</v>
      </c>
      <c r="AF78" t="b">
        <v>0</v>
      </c>
      <c r="AG78" s="228" t="n">
        <v>192</v>
      </c>
    </row>
    <row r="79">
      <c r="A79">
        <f>I79&amp;"-"&amp;J79</f>
        <v/>
      </c>
      <c r="B79" s="1">
        <f>N79</f>
        <v/>
      </c>
      <c r="C79">
        <f>M79&amp;"/"&amp;O79</f>
        <v/>
      </c>
      <c r="D79">
        <f>K79</f>
        <v/>
      </c>
      <c r="E79">
        <f>L79</f>
        <v/>
      </c>
      <c r="F79" s="236">
        <f>Z79</f>
        <v/>
      </c>
      <c r="G79">
        <f>U79&amp;"%"</f>
        <v/>
      </c>
      <c r="I79" s="53" t="n">
        <v>2023</v>
      </c>
      <c r="J79" s="53" t="n">
        <v>78</v>
      </c>
      <c r="K79" s="71" t="inlineStr">
        <is>
          <t>Ausgaben</t>
        </is>
      </c>
      <c r="L79" t="inlineStr">
        <is>
          <t>Reise- und Fahrtspesen inkl. Kilometergeld und Diäten</t>
        </is>
      </c>
      <c r="M79" s="131" t="n"/>
      <c r="N79" s="1" t="n">
        <v>45048</v>
      </c>
      <c r="O79" t="inlineStr">
        <is>
          <t>car2go Österreich GmbH, Hintere Zollamtstraße 9, 1030 Wien</t>
        </is>
      </c>
      <c r="Q79" s="76" t="n"/>
      <c r="R79" t="b">
        <v>0</v>
      </c>
      <c r="S79" s="214" t="n">
        <v>29.62</v>
      </c>
      <c r="T79" s="159" t="n">
        <v>1</v>
      </c>
      <c r="U79" t="n">
        <v>20</v>
      </c>
      <c r="V79" s="237" t="n">
        <v>5.923999999999999</v>
      </c>
      <c r="W79" s="237" t="n">
        <v>5.923999999999999</v>
      </c>
      <c r="X79" s="208" t="n">
        <v>29.62</v>
      </c>
      <c r="Y79" s="251" t="n">
        <v>35.544</v>
      </c>
      <c r="Z79" s="251" t="n">
        <v>35.544</v>
      </c>
      <c r="AA79" s="35" t="n">
        <v>45122</v>
      </c>
      <c r="AB79" s="27" t="n"/>
      <c r="AC79" s="27" t="n"/>
      <c r="AD79" s="210" t="n">
        <v>29.62</v>
      </c>
      <c r="AE79" s="237" t="n">
        <v>0</v>
      </c>
      <c r="AF79" t="b">
        <v>0</v>
      </c>
      <c r="AG79" s="228" t="n">
        <v>-29.62</v>
      </c>
    </row>
    <row r="80">
      <c r="A80">
        <f>I80&amp;"-"&amp;J80</f>
        <v/>
      </c>
      <c r="B80" s="1">
        <f>N80</f>
        <v/>
      </c>
      <c r="C80">
        <f>M80&amp;"/"&amp;O80</f>
        <v/>
      </c>
      <c r="D80">
        <f>K80</f>
        <v/>
      </c>
      <c r="E80">
        <f>L80</f>
        <v/>
      </c>
      <c r="F80" s="236">
        <f>Z80</f>
        <v/>
      </c>
      <c r="G80">
        <f>U80&amp;"%"</f>
        <v/>
      </c>
      <c r="I80" s="53" t="n">
        <v>2023</v>
      </c>
      <c r="J80" s="53" t="n">
        <v>79</v>
      </c>
      <c r="K80" s="71" t="inlineStr">
        <is>
          <t>Ausgaben</t>
        </is>
      </c>
      <c r="L80" t="inlineStr">
        <is>
          <t>Miet- und Pachtaufwand, Leasing</t>
        </is>
      </c>
      <c r="M80" s="9" t="n"/>
      <c r="N80" s="1" t="n">
        <v>45048</v>
      </c>
      <c r="O80" t="inlineStr">
        <is>
          <t>Bontus Immobilienverwaltung GmbH, 1010 Wien, Franz Josefs Kai 65</t>
        </is>
      </c>
      <c r="Q80" s="76" t="n"/>
      <c r="R80" t="b">
        <v>0</v>
      </c>
      <c r="S80" s="214" t="n">
        <v>524.7666666666668</v>
      </c>
      <c r="T80" s="159" t="n">
        <v>1</v>
      </c>
      <c r="U80" t="n">
        <v>20</v>
      </c>
      <c r="V80" s="237" t="n">
        <v>104.9533333333334</v>
      </c>
      <c r="W80" s="237" t="n">
        <v>104.9533333333334</v>
      </c>
      <c r="X80" s="208" t="n">
        <v>524.7666666666668</v>
      </c>
      <c r="Y80" s="251" t="n">
        <v>629.7200000000001</v>
      </c>
      <c r="Z80" s="251" t="n">
        <v>629.7200000000001</v>
      </c>
      <c r="AA80" s="35" t="n">
        <v>45122</v>
      </c>
      <c r="AB80" s="27" t="n"/>
      <c r="AC80" s="27" t="n"/>
      <c r="AD80" s="210" t="n">
        <v>524.7666666666668</v>
      </c>
      <c r="AE80" s="237" t="n">
        <v>0</v>
      </c>
      <c r="AF80" t="b">
        <v>0</v>
      </c>
      <c r="AG80" s="228" t="n">
        <v>-524.7666666666668</v>
      </c>
    </row>
    <row r="81">
      <c r="A81">
        <f>I81&amp;"-"&amp;J81</f>
        <v/>
      </c>
      <c r="B81" s="1">
        <f>N81</f>
        <v/>
      </c>
      <c r="C81">
        <f>M81&amp;"/"&amp;O81</f>
        <v/>
      </c>
      <c r="D81">
        <f>K81</f>
        <v/>
      </c>
      <c r="E81">
        <f>L81</f>
        <v/>
      </c>
      <c r="F81" s="236">
        <f>Z81</f>
        <v/>
      </c>
      <c r="G81">
        <f>U81&amp;"%"</f>
        <v/>
      </c>
      <c r="I81" s="53" t="n">
        <v>2023</v>
      </c>
      <c r="J81" s="53" t="n">
        <v>80</v>
      </c>
      <c r="K81" s="71" t="inlineStr">
        <is>
          <t>Ausgaben</t>
        </is>
      </c>
      <c r="L81" t="inlineStr">
        <is>
          <t>Büromaterial</t>
        </is>
      </c>
      <c r="M81" s="9" t="n"/>
      <c r="N81" s="1" t="n">
        <v>45048</v>
      </c>
      <c r="O81" t="inlineStr">
        <is>
          <t>Amazon EU S. à r.l., 38 avenue John F. Kennedy, L-1855 Luxembourg: HJEU: DVI-HDMI, Logitech Maus</t>
        </is>
      </c>
      <c r="Q81" s="76" t="n"/>
      <c r="R81" t="b">
        <v>0</v>
      </c>
      <c r="S81" s="214" t="n">
        <v>16.8</v>
      </c>
      <c r="T81" s="159" t="n">
        <v>1</v>
      </c>
      <c r="U81" t="n">
        <v>20</v>
      </c>
      <c r="V81" s="237" t="n">
        <v>3.36</v>
      </c>
      <c r="W81" s="237" t="n">
        <v>3.36</v>
      </c>
      <c r="X81" s="208" t="n">
        <v>16.8</v>
      </c>
      <c r="Y81" s="251" t="n">
        <v>20.16</v>
      </c>
      <c r="Z81" s="251" t="n">
        <v>20.16</v>
      </c>
      <c r="AA81" s="35" t="n">
        <v>45122</v>
      </c>
      <c r="AB81" s="27" t="n"/>
      <c r="AC81" s="27" t="n"/>
      <c r="AD81" s="210" t="n">
        <v>16.8</v>
      </c>
      <c r="AE81" s="237" t="n">
        <v>0</v>
      </c>
      <c r="AF81" t="b">
        <v>0</v>
      </c>
      <c r="AG81" s="228" t="n">
        <v>-16.8</v>
      </c>
    </row>
    <row r="82">
      <c r="A82">
        <f>I82&amp;"-"&amp;J82</f>
        <v/>
      </c>
      <c r="B82" s="1">
        <f>N82</f>
        <v/>
      </c>
      <c r="C82">
        <f>M82&amp;"/"&amp;O82</f>
        <v/>
      </c>
      <c r="D82">
        <f>K82</f>
        <v/>
      </c>
      <c r="E82">
        <f>L82</f>
        <v/>
      </c>
      <c r="F82" s="236">
        <f>Z82</f>
        <v/>
      </c>
      <c r="G82">
        <f>U82&amp;"%"</f>
        <v/>
      </c>
      <c r="I82" s="53" t="n">
        <v>2023</v>
      </c>
      <c r="J82" s="53" t="n">
        <v>81</v>
      </c>
      <c r="K82" s="71" t="inlineStr">
        <is>
          <t>Ausgaben</t>
        </is>
      </c>
      <c r="L82" t="inlineStr">
        <is>
          <t>sonstige Betriebsausgaben</t>
        </is>
      </c>
      <c r="N82" s="1" t="n">
        <v>45049</v>
      </c>
      <c r="O82" t="inlineStr">
        <is>
          <t>Google Ireland Ltd, Gordon House, Barrow Street, Dublin 4, Ireland; VAT number: IE 6388047V</t>
        </is>
      </c>
      <c r="Q82" s="76" t="n"/>
      <c r="R82" t="b">
        <v>0</v>
      </c>
      <c r="S82" s="214" t="n">
        <v>9.43</v>
      </c>
      <c r="T82" s="159" t="n">
        <v>1</v>
      </c>
      <c r="U82" t="n">
        <v>0</v>
      </c>
      <c r="V82" s="237" t="n">
        <v>0</v>
      </c>
      <c r="W82" s="237" t="n">
        <v>0</v>
      </c>
      <c r="X82" s="208" t="n">
        <v>9.43</v>
      </c>
      <c r="Y82" s="251" t="n">
        <v>9.43</v>
      </c>
      <c r="Z82" s="251" t="n">
        <v>9.43</v>
      </c>
      <c r="AA82" s="35" t="n">
        <v>45122</v>
      </c>
      <c r="AB82" s="27" t="n"/>
      <c r="AC82" s="27" t="n">
        <v>20</v>
      </c>
      <c r="AD82" s="210" t="n">
        <v>9.43</v>
      </c>
      <c r="AE82" s="237" t="n">
        <v>1.886</v>
      </c>
      <c r="AF82" t="b">
        <v>0</v>
      </c>
      <c r="AG82" s="228" t="n">
        <v>-9.43</v>
      </c>
    </row>
    <row r="83">
      <c r="A83">
        <f>I83&amp;"-"&amp;J83</f>
        <v/>
      </c>
      <c r="B83" s="1">
        <f>N83</f>
        <v/>
      </c>
      <c r="C83">
        <f>M83&amp;"/"&amp;O83</f>
        <v/>
      </c>
      <c r="D83">
        <f>K83</f>
        <v/>
      </c>
      <c r="E83">
        <f>L83</f>
        <v/>
      </c>
      <c r="F83" s="236">
        <f>Z83</f>
        <v/>
      </c>
      <c r="G83">
        <f>U83&amp;"%"</f>
        <v/>
      </c>
      <c r="I83" s="53" t="n">
        <v>2023</v>
      </c>
      <c r="J83" s="53" t="n">
        <v>82</v>
      </c>
      <c r="K83" s="71" t="inlineStr">
        <is>
          <t>Ausgaben</t>
        </is>
      </c>
      <c r="L83" t="inlineStr">
        <is>
          <t>sonstige Betriebsausgaben</t>
        </is>
      </c>
      <c r="N83" s="1" t="n">
        <v>45050</v>
      </c>
      <c r="O83" t="inlineStr">
        <is>
          <t>go green energy GmbH &amp; Co KG</t>
        </is>
      </c>
      <c r="Q83" s="76" t="n"/>
      <c r="R83" t="b">
        <v>0</v>
      </c>
      <c r="S83" s="214" t="n">
        <v>5</v>
      </c>
      <c r="T83" s="159" t="n">
        <v>1</v>
      </c>
      <c r="U83" t="n">
        <v>20</v>
      </c>
      <c r="V83" s="237" t="n">
        <v>1</v>
      </c>
      <c r="W83" s="237" t="n">
        <v>1</v>
      </c>
      <c r="X83" s="208" t="n">
        <v>5</v>
      </c>
      <c r="Y83" s="251" t="n">
        <v>6</v>
      </c>
      <c r="Z83" s="251" t="n">
        <v>6</v>
      </c>
      <c r="AA83" s="35" t="n">
        <v>45122</v>
      </c>
      <c r="AB83" s="27" t="n"/>
      <c r="AC83" s="27" t="n"/>
      <c r="AD83" s="210" t="n">
        <v>5</v>
      </c>
      <c r="AE83" s="237" t="n">
        <v>0</v>
      </c>
      <c r="AF83" t="b">
        <v>0</v>
      </c>
      <c r="AG83" s="228" t="n">
        <v>-5</v>
      </c>
    </row>
    <row r="84">
      <c r="A84">
        <f>I84&amp;"-"&amp;J84</f>
        <v/>
      </c>
      <c r="B84" s="1">
        <f>N84</f>
        <v/>
      </c>
      <c r="C84">
        <f>M84&amp;"/"&amp;O84</f>
        <v/>
      </c>
      <c r="D84">
        <f>K84</f>
        <v/>
      </c>
      <c r="E84">
        <f>L84</f>
        <v/>
      </c>
      <c r="F84" s="236">
        <f>Z84</f>
        <v/>
      </c>
      <c r="G84">
        <f>U84&amp;"%"</f>
        <v/>
      </c>
      <c r="I84" s="53" t="n">
        <v>2023</v>
      </c>
      <c r="J84" s="53" t="n">
        <v>83</v>
      </c>
      <c r="K84" s="71" t="inlineStr">
        <is>
          <t>Ausgaben</t>
        </is>
      </c>
      <c r="L84" t="inlineStr">
        <is>
          <t>Telefon/Internet</t>
        </is>
      </c>
      <c r="M84" s="9" t="n"/>
      <c r="N84" s="1" t="n">
        <v>45050</v>
      </c>
      <c r="O84" t="inlineStr">
        <is>
          <t>Hutchison Drei Austria GmbH, Brünner Straße 52, 1210 Wien, Österreich</t>
        </is>
      </c>
      <c r="Q84" s="76" t="n"/>
      <c r="R84" t="b">
        <v>0</v>
      </c>
      <c r="S84" s="214" t="n">
        <v>15</v>
      </c>
      <c r="T84" s="159" t="n">
        <v>1</v>
      </c>
      <c r="U84" t="n">
        <v>20</v>
      </c>
      <c r="V84" s="237" t="n">
        <v>3</v>
      </c>
      <c r="W84" s="237" t="n">
        <v>3</v>
      </c>
      <c r="X84" s="208" t="n">
        <v>15</v>
      </c>
      <c r="Y84" s="251" t="n">
        <v>18</v>
      </c>
      <c r="Z84" s="251" t="n">
        <v>18</v>
      </c>
      <c r="AA84" s="35" t="n">
        <v>45122</v>
      </c>
      <c r="AB84" s="27" t="n"/>
      <c r="AC84" s="27" t="n"/>
      <c r="AD84" s="210" t="n">
        <v>15</v>
      </c>
      <c r="AE84" s="237" t="n">
        <v>0</v>
      </c>
      <c r="AF84" t="b">
        <v>0</v>
      </c>
      <c r="AG84" s="228" t="n">
        <v>-15</v>
      </c>
    </row>
    <row r="85">
      <c r="A85">
        <f>I85&amp;"-"&amp;J85</f>
        <v/>
      </c>
      <c r="B85" s="1">
        <f>N85</f>
        <v/>
      </c>
      <c r="C85">
        <f>M85&amp;"/"&amp;O85</f>
        <v/>
      </c>
      <c r="D85">
        <f>K85</f>
        <v/>
      </c>
      <c r="E85">
        <f>L85</f>
        <v/>
      </c>
      <c r="F85" s="236">
        <f>Z85</f>
        <v/>
      </c>
      <c r="G85">
        <f>U85&amp;"%"</f>
        <v/>
      </c>
      <c r="I85" s="53" t="n">
        <v>2023</v>
      </c>
      <c r="J85" s="53" t="n">
        <v>84</v>
      </c>
      <c r="K85" s="71" t="inlineStr">
        <is>
          <t>Ausgaben</t>
        </is>
      </c>
      <c r="L85" t="inlineStr">
        <is>
          <t>sonstige Betriebsausgaben</t>
        </is>
      </c>
      <c r="M85" s="9" t="n"/>
      <c r="N85" s="1" t="n">
        <v>45054</v>
      </c>
      <c r="O85" t="inlineStr">
        <is>
          <t>Confiserie Altmann &amp; Kühne, Graben 30, 1010 Wien</t>
        </is>
      </c>
      <c r="Q85" s="76" t="n"/>
      <c r="R85" t="b">
        <v>0</v>
      </c>
      <c r="S85" s="214" t="n">
        <v>108.36</v>
      </c>
      <c r="T85" s="159" t="n">
        <v>1</v>
      </c>
      <c r="U85" t="n">
        <v>20</v>
      </c>
      <c r="V85" s="237" t="n">
        <v>21.672</v>
      </c>
      <c r="W85" s="237" t="n">
        <v>21.672</v>
      </c>
      <c r="X85" s="208" t="n">
        <v>108.36</v>
      </c>
      <c r="Y85" s="251" t="n">
        <v>130.032</v>
      </c>
      <c r="Z85" s="251" t="n">
        <v>130.032</v>
      </c>
      <c r="AA85" s="35" t="n">
        <v>45122</v>
      </c>
      <c r="AB85" s="27" t="n"/>
      <c r="AC85" s="27" t="n"/>
      <c r="AD85" s="210" t="n">
        <v>108.36</v>
      </c>
      <c r="AE85" s="237" t="n">
        <v>0</v>
      </c>
      <c r="AF85" t="b">
        <v>0</v>
      </c>
      <c r="AG85" s="228" t="n">
        <v>-108.36</v>
      </c>
    </row>
    <row r="86">
      <c r="A86">
        <f>I86&amp;"-"&amp;J86</f>
        <v/>
      </c>
      <c r="B86" s="1">
        <f>N86</f>
        <v/>
      </c>
      <c r="C86">
        <f>M86&amp;"/"&amp;O86</f>
        <v/>
      </c>
      <c r="D86">
        <f>K86</f>
        <v/>
      </c>
      <c r="E86">
        <f>L86</f>
        <v/>
      </c>
      <c r="F86" s="236">
        <f>Z86</f>
        <v/>
      </c>
      <c r="G86">
        <f>U86&amp;"%"</f>
        <v/>
      </c>
      <c r="I86" s="53" t="n">
        <v>2023</v>
      </c>
      <c r="J86" s="53" t="n">
        <v>85</v>
      </c>
      <c r="K86" s="71" t="inlineStr">
        <is>
          <t>Ausgaben</t>
        </is>
      </c>
      <c r="L86" t="inlineStr">
        <is>
          <t>sonstige Betriebsausgaben</t>
        </is>
      </c>
      <c r="M86" s="61" t="inlineStr">
        <is>
          <t>BELEG FEHLT</t>
        </is>
      </c>
      <c r="N86" s="1" t="n">
        <v>45056</v>
      </c>
      <c r="O86" t="inlineStr">
        <is>
          <t>Wiener Netze GmbH, Erdbergstraße 236, 1110 Wien, Postfach 422; Jahresabrechnung vom 17.12.20: GUTSCHRIFT</t>
        </is>
      </c>
      <c r="Q86" s="76" t="n"/>
      <c r="R86" t="b">
        <v>0</v>
      </c>
      <c r="S86" s="214" t="n">
        <v>12</v>
      </c>
      <c r="T86" s="159" t="n">
        <v>1</v>
      </c>
      <c r="U86" t="n">
        <v>20</v>
      </c>
      <c r="V86" s="237" t="n">
        <v>2.4</v>
      </c>
      <c r="W86" s="237" t="n">
        <v>2.4</v>
      </c>
      <c r="X86" s="208" t="n">
        <v>12</v>
      </c>
      <c r="Y86" s="251" t="n">
        <v>14.4</v>
      </c>
      <c r="Z86" s="251" t="n">
        <v>14.4</v>
      </c>
      <c r="AA86" s="35" t="n">
        <v>45122</v>
      </c>
      <c r="AB86" s="27" t="n"/>
      <c r="AC86" s="27" t="n"/>
      <c r="AD86" s="210" t="n">
        <v>12</v>
      </c>
      <c r="AE86" s="237" t="n">
        <v>0</v>
      </c>
      <c r="AF86" t="b">
        <v>0</v>
      </c>
      <c r="AG86" s="228" t="n">
        <v>-12</v>
      </c>
    </row>
    <row r="87">
      <c r="A87">
        <f>I87&amp;"-"&amp;J87</f>
        <v/>
      </c>
      <c r="B87" s="1">
        <f>N87</f>
        <v/>
      </c>
      <c r="C87">
        <f>M87&amp;"/"&amp;O87</f>
        <v/>
      </c>
      <c r="D87">
        <f>K87</f>
        <v/>
      </c>
      <c r="E87">
        <f>L87</f>
        <v/>
      </c>
      <c r="F87" s="236">
        <f>Z87</f>
        <v/>
      </c>
      <c r="G87">
        <f>U87&amp;"%"</f>
        <v/>
      </c>
      <c r="I87" s="53" t="n">
        <v>2023</v>
      </c>
      <c r="J87" s="53" t="n">
        <v>86</v>
      </c>
      <c r="K87" s="71" t="inlineStr">
        <is>
          <t>Ausgaben</t>
        </is>
      </c>
      <c r="L87" t="inlineStr">
        <is>
          <t>sonstige Betriebsausgaben</t>
        </is>
      </c>
      <c r="M87" s="9" t="n"/>
      <c r="N87" s="1" t="n">
        <v>45057</v>
      </c>
      <c r="O87" t="inlineStr">
        <is>
          <t>Hetzner Online GmbH</t>
        </is>
      </c>
      <c r="Q87" s="76" t="n"/>
      <c r="R87" t="b">
        <v>0</v>
      </c>
      <c r="S87" s="214" t="n">
        <v>52.2141</v>
      </c>
      <c r="T87" s="159" t="n">
        <v>1</v>
      </c>
      <c r="U87" t="n">
        <v>0</v>
      </c>
      <c r="V87" s="237" t="n">
        <v>0</v>
      </c>
      <c r="W87" s="237" t="n">
        <v>0</v>
      </c>
      <c r="X87" s="208" t="n">
        <v>52.2141</v>
      </c>
      <c r="Y87" s="251" t="n">
        <v>52.2141</v>
      </c>
      <c r="Z87" s="251" t="n">
        <v>52.2141</v>
      </c>
      <c r="AA87" s="35" t="n">
        <v>45122</v>
      </c>
      <c r="AB87" s="27" t="n"/>
      <c r="AC87" s="27" t="n">
        <v>20</v>
      </c>
      <c r="AD87" s="210" t="n">
        <v>52.2141</v>
      </c>
      <c r="AE87" s="237" t="n">
        <v>10.44282</v>
      </c>
      <c r="AF87" t="b">
        <v>0</v>
      </c>
      <c r="AG87" s="228" t="n">
        <v>-52.2141</v>
      </c>
    </row>
    <row r="88">
      <c r="A88">
        <f>I88&amp;"-"&amp;J88</f>
        <v/>
      </c>
      <c r="B88" s="1">
        <f>N88</f>
        <v/>
      </c>
      <c r="C88">
        <f>M88&amp;"/"&amp;O88</f>
        <v/>
      </c>
      <c r="D88">
        <f>K88</f>
        <v/>
      </c>
      <c r="E88">
        <f>L88</f>
        <v/>
      </c>
      <c r="F88" s="236">
        <f>Z88</f>
        <v/>
      </c>
      <c r="G88">
        <f>U88&amp;"%"</f>
        <v/>
      </c>
      <c r="I88" s="53" t="n">
        <v>2023</v>
      </c>
      <c r="J88" s="53" t="n">
        <v>87</v>
      </c>
      <c r="K88" s="71" t="inlineStr">
        <is>
          <t>Ausgaben</t>
        </is>
      </c>
      <c r="L88" t="inlineStr">
        <is>
          <t>Personalaufwand</t>
        </is>
      </c>
      <c r="M88" s="9" t="inlineStr">
        <is>
          <t>siehe 2022-140</t>
        </is>
      </c>
      <c r="N88" s="1" t="n">
        <v>45061</v>
      </c>
      <c r="O88" t="inlineStr">
        <is>
          <t>Honorar Eva Jaros-Kolbitsch</t>
        </is>
      </c>
      <c r="Q88" s="76" t="n"/>
      <c r="R88" t="b">
        <v>0</v>
      </c>
      <c r="S88" s="214" t="n">
        <v>365</v>
      </c>
      <c r="T88" s="159" t="n">
        <v>1</v>
      </c>
      <c r="U88" t="n">
        <v>0</v>
      </c>
      <c r="V88" s="237" t="n">
        <v>0</v>
      </c>
      <c r="W88" s="237" t="n">
        <v>0</v>
      </c>
      <c r="X88" s="208" t="n">
        <v>365</v>
      </c>
      <c r="Y88" s="251" t="n">
        <v>365</v>
      </c>
      <c r="Z88" s="251" t="n">
        <v>365</v>
      </c>
      <c r="AA88" s="35" t="n">
        <v>45122</v>
      </c>
      <c r="AB88" s="27" t="n"/>
      <c r="AC88" s="27" t="n"/>
      <c r="AD88" s="210" t="n">
        <v>365</v>
      </c>
      <c r="AE88" s="237" t="n">
        <v>0</v>
      </c>
      <c r="AF88" t="b">
        <v>0</v>
      </c>
      <c r="AG88" s="228" t="n">
        <v>-365</v>
      </c>
    </row>
    <row r="89">
      <c r="A89">
        <f>I89&amp;"-"&amp;J89</f>
        <v/>
      </c>
      <c r="B89" s="1">
        <f>N89</f>
        <v/>
      </c>
      <c r="C89">
        <f>M89&amp;"/"&amp;O89</f>
        <v/>
      </c>
      <c r="D89">
        <f>K89</f>
        <v/>
      </c>
      <c r="E89">
        <f>L89</f>
        <v/>
      </c>
      <c r="F89" s="236">
        <f>Z89</f>
        <v/>
      </c>
      <c r="G89">
        <f>U89&amp;"%"</f>
        <v/>
      </c>
      <c r="I89" s="53" t="n">
        <v>2023</v>
      </c>
      <c r="J89" s="53" t="n">
        <v>88</v>
      </c>
      <c r="K89" s="71" t="inlineStr">
        <is>
          <t>Ausgaben</t>
        </is>
      </c>
      <c r="L89" t="inlineStr">
        <is>
          <t>Miet- und Pachtaufwand, Leasing</t>
        </is>
      </c>
      <c r="M89" s="61" t="inlineStr">
        <is>
          <t>BELEG FEHLT</t>
        </is>
      </c>
      <c r="N89" s="1" t="n">
        <v>45062</v>
      </c>
      <c r="O89" t="inlineStr">
        <is>
          <t>Techem Messtechnik GmbH; Abnehmernummer 501686-0003-11-</t>
        </is>
      </c>
      <c r="Q89" s="76" t="n"/>
      <c r="R89" t="b">
        <v>0</v>
      </c>
      <c r="S89" s="214" t="n">
        <v>122.6</v>
      </c>
      <c r="T89" s="159" t="n">
        <v>1</v>
      </c>
      <c r="U89" t="n">
        <v>20</v>
      </c>
      <c r="V89" s="237" t="n">
        <v>24.52</v>
      </c>
      <c r="W89" s="237" t="n">
        <v>24.52</v>
      </c>
      <c r="X89" s="208" t="n">
        <v>122.6</v>
      </c>
      <c r="Y89" s="251" t="n">
        <v>147.12</v>
      </c>
      <c r="Z89" s="251" t="n">
        <v>147.12</v>
      </c>
      <c r="AA89" s="35" t="n">
        <v>45122</v>
      </c>
      <c r="AB89" s="27" t="n"/>
      <c r="AC89" s="27" t="n"/>
      <c r="AD89" s="210" t="n">
        <v>122.6</v>
      </c>
      <c r="AE89" s="237" t="n">
        <v>0</v>
      </c>
      <c r="AF89" t="b">
        <v>0</v>
      </c>
      <c r="AG89" s="228" t="n">
        <v>-122.6</v>
      </c>
    </row>
    <row r="90">
      <c r="A90">
        <f>I90&amp;"-"&amp;J90</f>
        <v/>
      </c>
      <c r="B90" s="1">
        <f>N90</f>
        <v/>
      </c>
      <c r="C90">
        <f>M90&amp;"/"&amp;O90</f>
        <v/>
      </c>
      <c r="D90">
        <f>K90</f>
        <v/>
      </c>
      <c r="E90">
        <f>L90</f>
        <v/>
      </c>
      <c r="F90" s="236">
        <f>Z90</f>
        <v/>
      </c>
      <c r="G90">
        <f>U90&amp;"%"</f>
        <v/>
      </c>
      <c r="I90" s="53" t="n">
        <v>2023</v>
      </c>
      <c r="J90" s="53" t="n">
        <v>89</v>
      </c>
      <c r="K90" s="71" t="inlineStr">
        <is>
          <t>Einnahmen</t>
        </is>
      </c>
      <c r="L90" t="inlineStr">
        <is>
          <t>Waren-/Leistungserlöse</t>
        </is>
      </c>
      <c r="M90" t="n">
        <v>12023009</v>
      </c>
      <c r="N90" s="1" t="n">
        <v>45062</v>
      </c>
      <c r="O90" t="inlineStr">
        <is>
          <t>Hays Österreich GmbH, Bahnhof City Wien West , Europaplatz 3/5, 1150 Wien</t>
        </is>
      </c>
      <c r="Q90" s="76" t="n"/>
      <c r="R90" t="b">
        <v>0</v>
      </c>
      <c r="S90" s="214" t="n">
        <v>17523</v>
      </c>
      <c r="T90" s="159" t="n">
        <v>1</v>
      </c>
      <c r="U90" t="n">
        <v>20</v>
      </c>
      <c r="V90" s="237" t="n">
        <v>3504.6</v>
      </c>
      <c r="W90" s="237" t="n">
        <v>3504.6</v>
      </c>
      <c r="X90" s="208" t="n">
        <v>17523</v>
      </c>
      <c r="Y90" s="251" t="n">
        <v>21027.6</v>
      </c>
      <c r="Z90" s="251" t="n">
        <v>21027.6</v>
      </c>
      <c r="AA90" s="35" t="n">
        <v>45122</v>
      </c>
      <c r="AB90" s="27" t="n"/>
      <c r="AC90" s="27" t="n"/>
      <c r="AD90" s="210" t="n">
        <v>17523</v>
      </c>
      <c r="AE90" s="237" t="n">
        <v>0</v>
      </c>
      <c r="AF90" t="b">
        <v>0</v>
      </c>
      <c r="AG90" s="228" t="n">
        <v>17523</v>
      </c>
    </row>
    <row r="91">
      <c r="A91">
        <f>I91&amp;"-"&amp;J91</f>
        <v/>
      </c>
      <c r="B91" s="1">
        <f>N91</f>
        <v/>
      </c>
      <c r="C91">
        <f>M91&amp;"/"&amp;O91</f>
        <v/>
      </c>
      <c r="D91">
        <f>K91</f>
        <v/>
      </c>
      <c r="E91">
        <f>L91</f>
        <v/>
      </c>
      <c r="F91" s="236">
        <f>Z91</f>
        <v/>
      </c>
      <c r="G91">
        <f>U91&amp;"%"</f>
        <v/>
      </c>
      <c r="I91" s="53" t="n">
        <v>2023</v>
      </c>
      <c r="J91" s="53" t="n">
        <v>90</v>
      </c>
      <c r="K91" s="71" t="inlineStr">
        <is>
          <t>Ausgaben</t>
        </is>
      </c>
      <c r="L91" t="inlineStr">
        <is>
          <t>Telefon/Internet</t>
        </is>
      </c>
      <c r="M91" s="131" t="n"/>
      <c r="N91" s="1" t="n">
        <v>45065</v>
      </c>
      <c r="O91" t="inlineStr">
        <is>
          <t>Magenta: T-Mobile Austria GmbH, A-1120 Wien, PF 47</t>
        </is>
      </c>
      <c r="Q91" s="76" t="n"/>
      <c r="R91" t="b">
        <v>0</v>
      </c>
      <c r="S91" s="214" t="n">
        <v>31.92</v>
      </c>
      <c r="T91" s="159" t="n">
        <v>1</v>
      </c>
      <c r="U91" t="n">
        <v>20</v>
      </c>
      <c r="V91" s="237" t="n">
        <v>6.384000000000001</v>
      </c>
      <c r="W91" s="237" t="n">
        <v>6.384000000000001</v>
      </c>
      <c r="X91" s="208" t="n">
        <v>31.92</v>
      </c>
      <c r="Y91" s="251" t="n">
        <v>38.304</v>
      </c>
      <c r="Z91" s="251" t="n">
        <v>38.304</v>
      </c>
      <c r="AA91" s="35" t="n">
        <v>45122</v>
      </c>
      <c r="AB91" s="27" t="n"/>
      <c r="AC91" s="27" t="n"/>
      <c r="AD91" s="210" t="n">
        <v>31.92</v>
      </c>
      <c r="AE91" s="237" t="n">
        <v>0</v>
      </c>
      <c r="AF91" t="b">
        <v>0</v>
      </c>
      <c r="AG91" s="228" t="n">
        <v>-31.92</v>
      </c>
    </row>
    <row r="92">
      <c r="A92">
        <f>I92&amp;"-"&amp;J92</f>
        <v/>
      </c>
      <c r="B92" s="1">
        <f>N92</f>
        <v/>
      </c>
      <c r="C92">
        <f>M92&amp;"/"&amp;O92</f>
        <v/>
      </c>
      <c r="D92">
        <f>K92</f>
        <v/>
      </c>
      <c r="E92">
        <f>L92</f>
        <v/>
      </c>
      <c r="F92" s="236">
        <f>Z92</f>
        <v/>
      </c>
      <c r="G92">
        <f>U92&amp;"%"</f>
        <v/>
      </c>
      <c r="I92" s="53" t="n">
        <v>2023</v>
      </c>
      <c r="J92" s="53" t="n">
        <v>91</v>
      </c>
      <c r="K92" s="71" t="inlineStr">
        <is>
          <t>Ausgaben</t>
        </is>
      </c>
      <c r="L92" t="inlineStr">
        <is>
          <t>sonstige Betriebsausgaben</t>
        </is>
      </c>
      <c r="M92" s="1" t="n"/>
      <c r="N92" s="1" t="n">
        <v>45068</v>
      </c>
      <c r="O92" t="inlineStr">
        <is>
          <t>Microsoft Ireland Operations Ltd. One Microsoft Place, South County, Business Park, Leopardstown, Dublin 18, D18 P521, Ireland</t>
        </is>
      </c>
      <c r="Q92" s="76" t="n"/>
      <c r="R92" t="b">
        <v>0</v>
      </c>
      <c r="S92" s="214" t="n">
        <v>10.5</v>
      </c>
      <c r="T92" s="159" t="n">
        <v>1</v>
      </c>
      <c r="U92" t="n">
        <v>0</v>
      </c>
      <c r="V92" s="237" t="n">
        <v>0</v>
      </c>
      <c r="W92" s="237" t="n">
        <v>0</v>
      </c>
      <c r="X92" s="208" t="n">
        <v>10.5</v>
      </c>
      <c r="Y92" s="251" t="n">
        <v>10.5</v>
      </c>
      <c r="Z92" s="251" t="n">
        <v>10.5</v>
      </c>
      <c r="AA92" s="35" t="n">
        <v>45122</v>
      </c>
      <c r="AB92" s="27" t="n"/>
      <c r="AC92" s="27" t="n">
        <v>20</v>
      </c>
      <c r="AD92" s="210" t="n">
        <v>10.5</v>
      </c>
      <c r="AE92" s="237" t="n">
        <v>2.1</v>
      </c>
      <c r="AF92" t="b">
        <v>0</v>
      </c>
      <c r="AG92" s="228" t="n">
        <v>-10.5</v>
      </c>
    </row>
    <row r="93">
      <c r="A93">
        <f>I93&amp;"-"&amp;J93</f>
        <v/>
      </c>
      <c r="B93" s="1">
        <f>N93</f>
        <v/>
      </c>
      <c r="C93">
        <f>M93&amp;"/"&amp;O93</f>
        <v/>
      </c>
      <c r="D93">
        <f>K93</f>
        <v/>
      </c>
      <c r="E93">
        <f>L93</f>
        <v/>
      </c>
      <c r="F93" s="236">
        <f>Z93</f>
        <v/>
      </c>
      <c r="G93">
        <f>U93&amp;"%"</f>
        <v/>
      </c>
      <c r="I93" s="53" t="n">
        <v>2023</v>
      </c>
      <c r="J93" s="53" t="n">
        <v>92</v>
      </c>
      <c r="K93" s="71" t="inlineStr">
        <is>
          <t>Ausgaben</t>
        </is>
      </c>
      <c r="L93" t="inlineStr">
        <is>
          <t>Reise- und Fahrtspesen inkl. Kilometergeld und Diäten</t>
        </is>
      </c>
      <c r="M93" s="131" t="n"/>
      <c r="N93" s="1" t="n">
        <v>45079</v>
      </c>
      <c r="O93" t="inlineStr">
        <is>
          <t>car2go Österreich GmbH, Hintere Zollamtstraße 9, 1030 Wien</t>
        </is>
      </c>
      <c r="Q93" s="76" t="n"/>
      <c r="R93" t="b">
        <v>0</v>
      </c>
      <c r="S93" s="214" t="n">
        <v>12.08</v>
      </c>
      <c r="T93" s="159" t="n">
        <v>1</v>
      </c>
      <c r="U93" t="n">
        <v>20</v>
      </c>
      <c r="V93" s="237" t="n">
        <v>2.416</v>
      </c>
      <c r="W93" s="237" t="n">
        <v>2.416</v>
      </c>
      <c r="X93" s="208" t="n">
        <v>12.08</v>
      </c>
      <c r="Y93" s="251" t="n">
        <v>14.496</v>
      </c>
      <c r="Z93" s="251" t="n">
        <v>14.496</v>
      </c>
      <c r="AA93" s="35" t="n">
        <v>45153</v>
      </c>
      <c r="AB93" s="27" t="n"/>
      <c r="AC93" s="27" t="n"/>
      <c r="AD93" s="210" t="n">
        <v>12.08</v>
      </c>
      <c r="AE93" s="237" t="n">
        <v>0</v>
      </c>
      <c r="AF93" t="b">
        <v>0</v>
      </c>
      <c r="AG93" s="228" t="n">
        <v>-12.08</v>
      </c>
    </row>
    <row r="94">
      <c r="A94">
        <f>I94&amp;"-"&amp;J94</f>
        <v/>
      </c>
      <c r="B94" s="1">
        <f>N94</f>
        <v/>
      </c>
      <c r="C94">
        <f>M94&amp;"/"&amp;O94</f>
        <v/>
      </c>
      <c r="D94">
        <f>K94</f>
        <v/>
      </c>
      <c r="E94">
        <f>L94</f>
        <v/>
      </c>
      <c r="F94" s="236">
        <f>Z94</f>
        <v/>
      </c>
      <c r="G94">
        <f>U94&amp;"%"</f>
        <v/>
      </c>
      <c r="I94" s="53" t="n">
        <v>2023</v>
      </c>
      <c r="J94" s="53" t="n">
        <v>93</v>
      </c>
      <c r="K94" s="71" t="inlineStr">
        <is>
          <t>Ausgaben</t>
        </is>
      </c>
      <c r="L94" t="inlineStr">
        <is>
          <t>Miet- und Pachtaufwand, Leasing</t>
        </is>
      </c>
      <c r="M94" s="9" t="n"/>
      <c r="N94" s="1" t="n">
        <v>45078</v>
      </c>
      <c r="O94" t="inlineStr">
        <is>
          <t>Bontus Immobilienverwaltung GmbH, 1010 Wien, Franz Josefs Kai 65</t>
        </is>
      </c>
      <c r="Q94" s="76" t="n"/>
      <c r="R94" t="b">
        <v>0</v>
      </c>
      <c r="S94" s="214" t="n">
        <v>524.7666666666668</v>
      </c>
      <c r="T94" s="159" t="n">
        <v>1</v>
      </c>
      <c r="U94" t="n">
        <v>20</v>
      </c>
      <c r="V94" s="237" t="n">
        <v>104.9533333333334</v>
      </c>
      <c r="W94" s="237" t="n">
        <v>104.9533333333334</v>
      </c>
      <c r="X94" s="208" t="n">
        <v>524.7666666666668</v>
      </c>
      <c r="Y94" s="251" t="n">
        <v>629.7200000000001</v>
      </c>
      <c r="Z94" s="251" t="n">
        <v>629.7200000000001</v>
      </c>
      <c r="AA94" s="35" t="n">
        <v>45153</v>
      </c>
      <c r="AB94" s="27" t="n"/>
      <c r="AC94" s="27" t="n"/>
      <c r="AD94" s="210" t="n">
        <v>524.7666666666668</v>
      </c>
      <c r="AE94" s="237" t="n">
        <v>0</v>
      </c>
      <c r="AF94" t="b">
        <v>0</v>
      </c>
      <c r="AG94" s="228" t="n">
        <v>-524.7666666666668</v>
      </c>
    </row>
    <row r="95">
      <c r="A95">
        <f>I95&amp;"-"&amp;J95</f>
        <v/>
      </c>
      <c r="B95" s="1">
        <f>N95</f>
        <v/>
      </c>
      <c r="C95">
        <f>M95&amp;"/"&amp;O95</f>
        <v/>
      </c>
      <c r="D95">
        <f>K95</f>
        <v/>
      </c>
      <c r="E95">
        <f>L95</f>
        <v/>
      </c>
      <c r="F95" s="236">
        <f>Z95</f>
        <v/>
      </c>
      <c r="G95">
        <f>U95&amp;"%"</f>
        <v/>
      </c>
      <c r="I95" s="53" t="n">
        <v>2023</v>
      </c>
      <c r="J95" s="53" t="n">
        <v>94</v>
      </c>
      <c r="K95" s="71" t="inlineStr">
        <is>
          <t>Ausgaben</t>
        </is>
      </c>
      <c r="L95" t="inlineStr">
        <is>
          <t>sonstige Betriebsausgaben</t>
        </is>
      </c>
      <c r="N95" s="1" t="n">
        <v>45082</v>
      </c>
      <c r="O95" t="inlineStr">
        <is>
          <t>Google Ireland Ltd, Gordon House, Barrow Street, Dublin 4, Ireland; VAT number: IE 6388047V</t>
        </is>
      </c>
      <c r="Q95" s="76" t="n"/>
      <c r="R95" t="b">
        <v>0</v>
      </c>
      <c r="S95" s="214" t="n">
        <v>10.4</v>
      </c>
      <c r="T95" s="159" t="n">
        <v>1</v>
      </c>
      <c r="U95" t="n">
        <v>0</v>
      </c>
      <c r="V95" s="237" t="n">
        <v>0</v>
      </c>
      <c r="W95" s="237" t="n">
        <v>0</v>
      </c>
      <c r="X95" s="208" t="n">
        <v>10.4</v>
      </c>
      <c r="Y95" s="251" t="n">
        <v>10.4</v>
      </c>
      <c r="Z95" s="251" t="n">
        <v>10.4</v>
      </c>
      <c r="AA95" s="35" t="n">
        <v>45153</v>
      </c>
      <c r="AB95" s="27" t="n"/>
      <c r="AC95" s="27" t="n">
        <v>20</v>
      </c>
      <c r="AD95" s="210" t="n">
        <v>10.4</v>
      </c>
      <c r="AE95" s="237" t="n">
        <v>2.08</v>
      </c>
      <c r="AF95" t="b">
        <v>0</v>
      </c>
      <c r="AG95" s="228" t="n">
        <v>-10.4</v>
      </c>
    </row>
    <row r="96">
      <c r="A96">
        <f>I96&amp;"-"&amp;J96</f>
        <v/>
      </c>
      <c r="B96" s="1">
        <f>N96</f>
        <v/>
      </c>
      <c r="C96">
        <f>M96&amp;"/"&amp;O96</f>
        <v/>
      </c>
      <c r="D96">
        <f>K96</f>
        <v/>
      </c>
      <c r="E96">
        <f>L96</f>
        <v/>
      </c>
      <c r="F96" s="236">
        <f>Z96</f>
        <v/>
      </c>
      <c r="G96">
        <f>U96&amp;"%"</f>
        <v/>
      </c>
      <c r="I96" s="53" t="n">
        <v>2023</v>
      </c>
      <c r="J96" s="53" t="n">
        <v>95</v>
      </c>
      <c r="K96" s="71" t="inlineStr">
        <is>
          <t>Ausgaben</t>
        </is>
      </c>
      <c r="L96" t="inlineStr">
        <is>
          <t>Telefon/Internet</t>
        </is>
      </c>
      <c r="M96" s="9" t="n"/>
      <c r="N96" s="1" t="n">
        <v>45082</v>
      </c>
      <c r="O96" t="inlineStr">
        <is>
          <t>Hutchison Drei Austria GmbH, Brünner Straße 52, 1210 Wien, Österreich</t>
        </is>
      </c>
      <c r="Q96" s="76" t="n"/>
      <c r="R96" t="b">
        <v>0</v>
      </c>
      <c r="S96" s="214" t="n">
        <v>31.71</v>
      </c>
      <c r="T96" s="159" t="n">
        <v>1</v>
      </c>
      <c r="U96" t="n">
        <v>20</v>
      </c>
      <c r="V96" s="237" t="n">
        <v>6.342000000000001</v>
      </c>
      <c r="W96" s="237" t="n">
        <v>6.342000000000001</v>
      </c>
      <c r="X96" s="208" t="n">
        <v>31.71</v>
      </c>
      <c r="Y96" s="251" t="n">
        <v>38.052</v>
      </c>
      <c r="Z96" s="251" t="n">
        <v>38.052</v>
      </c>
      <c r="AA96" s="35" t="n">
        <v>45153</v>
      </c>
      <c r="AB96" s="27" t="n"/>
      <c r="AC96" s="27" t="n"/>
      <c r="AD96" s="210" t="n">
        <v>31.71</v>
      </c>
      <c r="AE96" s="237" t="n">
        <v>0</v>
      </c>
      <c r="AF96" t="b">
        <v>0</v>
      </c>
      <c r="AG96" s="228" t="n">
        <v>-31.71</v>
      </c>
    </row>
    <row r="97">
      <c r="A97">
        <f>I97&amp;"-"&amp;J97</f>
        <v/>
      </c>
      <c r="B97" s="1">
        <f>N97</f>
        <v/>
      </c>
      <c r="C97">
        <f>M97&amp;"/"&amp;O97</f>
        <v/>
      </c>
      <c r="D97">
        <f>K97</f>
        <v/>
      </c>
      <c r="E97">
        <f>L97</f>
        <v/>
      </c>
      <c r="F97" s="236">
        <f>Z97</f>
        <v/>
      </c>
      <c r="G97">
        <f>U97&amp;"%"</f>
        <v/>
      </c>
      <c r="I97" s="53" t="n">
        <v>2023</v>
      </c>
      <c r="J97" s="53" t="n">
        <v>96</v>
      </c>
      <c r="K97" s="71" t="inlineStr">
        <is>
          <t>Ausgaben</t>
        </is>
      </c>
      <c r="L97" t="inlineStr">
        <is>
          <t>sonstige Betriebsausgaben</t>
        </is>
      </c>
      <c r="N97" s="1" t="n">
        <v>45082</v>
      </c>
      <c r="O97" t="inlineStr">
        <is>
          <t>go green energy GmbH &amp; Co KG</t>
        </is>
      </c>
      <c r="Q97" s="76" t="n"/>
      <c r="R97" t="b">
        <v>0</v>
      </c>
      <c r="S97" s="214" t="n">
        <v>5</v>
      </c>
      <c r="T97" s="159" t="n">
        <v>1</v>
      </c>
      <c r="U97" t="n">
        <v>20</v>
      </c>
      <c r="V97" s="237" t="n">
        <v>1</v>
      </c>
      <c r="W97" s="237" t="n">
        <v>1</v>
      </c>
      <c r="X97" s="208" t="n">
        <v>5</v>
      </c>
      <c r="Y97" s="251" t="n">
        <v>6</v>
      </c>
      <c r="Z97" s="251" t="n">
        <v>6</v>
      </c>
      <c r="AA97" s="35" t="n">
        <v>45153</v>
      </c>
      <c r="AB97" s="27" t="n"/>
      <c r="AC97" s="27" t="n"/>
      <c r="AD97" s="210" t="n">
        <v>5</v>
      </c>
      <c r="AE97" s="237" t="n">
        <v>0</v>
      </c>
      <c r="AF97" t="b">
        <v>0</v>
      </c>
      <c r="AG97" s="228" t="n">
        <v>-5</v>
      </c>
    </row>
    <row r="98">
      <c r="A98">
        <f>I98&amp;"-"&amp;J98</f>
        <v/>
      </c>
      <c r="B98" s="1">
        <f>N98</f>
        <v/>
      </c>
      <c r="C98">
        <f>M98&amp;"/"&amp;O98</f>
        <v/>
      </c>
      <c r="D98">
        <f>K98</f>
        <v/>
      </c>
      <c r="E98">
        <f>L98</f>
        <v/>
      </c>
      <c r="F98" s="236">
        <f>Z98</f>
        <v/>
      </c>
      <c r="G98">
        <f>U98&amp;"%"</f>
        <v/>
      </c>
      <c r="I98" s="53" t="n">
        <v>2023</v>
      </c>
      <c r="J98" s="53" t="n">
        <v>97</v>
      </c>
      <c r="K98" s="71" t="inlineStr">
        <is>
          <t>Ausgaben</t>
        </is>
      </c>
      <c r="L98" t="inlineStr">
        <is>
          <t>Büromaterial</t>
        </is>
      </c>
      <c r="M98" s="9" t="n"/>
      <c r="N98" s="1" t="n">
        <v>45083</v>
      </c>
      <c r="O98" t="inlineStr">
        <is>
          <t>Amazon EU S. à r.l., 38 avenue John F. Kennedy, L-1855 Luxembourg</t>
        </is>
      </c>
      <c r="Q98" s="76" t="inlineStr">
        <is>
          <t>ja</t>
        </is>
      </c>
      <c r="R98" t="b">
        <v>0</v>
      </c>
      <c r="S98" s="214" t="n">
        <v>38.81</v>
      </c>
      <c r="T98" s="159" t="n">
        <v>1</v>
      </c>
      <c r="U98" t="n">
        <v>20</v>
      </c>
      <c r="V98" s="237" t="n">
        <v>7.762</v>
      </c>
      <c r="W98" s="237" t="n">
        <v>7.762</v>
      </c>
      <c r="X98" s="208" t="n">
        <v>38.81</v>
      </c>
      <c r="Y98" s="251" t="n">
        <v>46.572</v>
      </c>
      <c r="Z98" s="251" t="n">
        <v>46.572</v>
      </c>
      <c r="AA98" s="35" t="n">
        <v>45153</v>
      </c>
      <c r="AB98" s="27" t="n"/>
      <c r="AC98" s="27" t="n"/>
      <c r="AD98" s="210" t="n">
        <v>38.81</v>
      </c>
      <c r="AE98" s="237" t="n">
        <v>0</v>
      </c>
      <c r="AF98" t="b">
        <v>0</v>
      </c>
      <c r="AG98" s="228" t="n">
        <v>-38.81</v>
      </c>
    </row>
    <row r="99">
      <c r="A99">
        <f>I99&amp;"-"&amp;J99</f>
        <v/>
      </c>
      <c r="B99" s="1">
        <f>N99</f>
        <v/>
      </c>
      <c r="C99">
        <f>M99&amp;"/"&amp;O99</f>
        <v/>
      </c>
      <c r="D99">
        <f>K99</f>
        <v/>
      </c>
      <c r="E99">
        <f>L99</f>
        <v/>
      </c>
      <c r="F99" s="236">
        <f>Z99</f>
        <v/>
      </c>
      <c r="G99">
        <f>U99&amp;"%"</f>
        <v/>
      </c>
      <c r="I99" s="53" t="n">
        <v>2023</v>
      </c>
      <c r="J99" s="53" t="n">
        <v>98</v>
      </c>
      <c r="K99" s="71" t="inlineStr">
        <is>
          <t>Ausgaben</t>
        </is>
      </c>
      <c r="L99" t="inlineStr">
        <is>
          <t>Miet- und Pachtaufwand, Leasing</t>
        </is>
      </c>
      <c r="M99" s="61" t="inlineStr">
        <is>
          <t>BELEG FEHLT</t>
        </is>
      </c>
      <c r="N99" s="1" t="n">
        <v>45082</v>
      </c>
      <c r="O99" t="inlineStr">
        <is>
          <t>Techem Messtechnik GmbH; Abnehmernummer 501686-0003-11-</t>
        </is>
      </c>
      <c r="Q99" s="76" t="n"/>
      <c r="R99" t="b">
        <v>0</v>
      </c>
      <c r="S99" s="214" t="n">
        <v>122.6</v>
      </c>
      <c r="T99" s="159" t="n">
        <v>1</v>
      </c>
      <c r="U99" t="n">
        <v>20</v>
      </c>
      <c r="V99" s="237" t="n">
        <v>24.52</v>
      </c>
      <c r="W99" s="237" t="n">
        <v>24.52</v>
      </c>
      <c r="X99" s="208" t="n">
        <v>122.6</v>
      </c>
      <c r="Y99" s="251" t="n">
        <v>147.12</v>
      </c>
      <c r="Z99" s="251" t="n">
        <v>147.12</v>
      </c>
      <c r="AA99" s="35" t="n">
        <v>45153</v>
      </c>
      <c r="AB99" s="27" t="n"/>
      <c r="AC99" s="27" t="n"/>
      <c r="AD99" s="210" t="n">
        <v>122.6</v>
      </c>
      <c r="AE99" s="237" t="n">
        <v>0</v>
      </c>
      <c r="AF99" t="b">
        <v>0</v>
      </c>
      <c r="AG99" s="228" t="n">
        <v>-122.6</v>
      </c>
    </row>
    <row r="100">
      <c r="A100">
        <f>I100&amp;"-"&amp;J100</f>
        <v/>
      </c>
      <c r="B100" s="1">
        <f>N100</f>
        <v/>
      </c>
      <c r="C100">
        <f>M100&amp;"/"&amp;O100</f>
        <v/>
      </c>
      <c r="D100">
        <f>K100</f>
        <v/>
      </c>
      <c r="E100">
        <f>L100</f>
        <v/>
      </c>
      <c r="F100" s="236">
        <f>Z100</f>
        <v/>
      </c>
      <c r="G100">
        <f>U100&amp;"%"</f>
        <v/>
      </c>
      <c r="I100" s="53" t="n">
        <v>2023</v>
      </c>
      <c r="J100" s="53" t="n">
        <v>99</v>
      </c>
      <c r="K100" s="71" t="inlineStr">
        <is>
          <t>Ausgaben</t>
        </is>
      </c>
      <c r="L100" t="inlineStr">
        <is>
          <t>Büromaterial</t>
        </is>
      </c>
      <c r="M100" s="9" t="n"/>
      <c r="N100" s="1" t="n">
        <v>45084</v>
      </c>
      <c r="O100" t="inlineStr">
        <is>
          <t>Amazon EU S. à r.l., 38 avenue John F. Kennedy, L-1855 Luxembourg</t>
        </is>
      </c>
      <c r="Q100" s="76" t="inlineStr">
        <is>
          <t>ja</t>
        </is>
      </c>
      <c r="R100" t="b">
        <v>0</v>
      </c>
      <c r="S100" s="214" t="n">
        <v>48.98</v>
      </c>
      <c r="T100" s="159" t="n">
        <v>1</v>
      </c>
      <c r="U100" t="n">
        <v>20</v>
      </c>
      <c r="V100" s="237" t="n">
        <v>9.795999999999999</v>
      </c>
      <c r="W100" s="237" t="n">
        <v>9.795999999999999</v>
      </c>
      <c r="X100" s="208" t="n">
        <v>48.98</v>
      </c>
      <c r="Y100" s="251" t="n">
        <v>58.776</v>
      </c>
      <c r="Z100" s="251" t="n">
        <v>58.776</v>
      </c>
      <c r="AA100" s="35" t="n">
        <v>45153</v>
      </c>
      <c r="AB100" s="27" t="n"/>
      <c r="AC100" s="27" t="n"/>
      <c r="AD100" s="210" t="n">
        <v>48.98</v>
      </c>
      <c r="AE100" s="237" t="n">
        <v>0</v>
      </c>
      <c r="AF100" t="b">
        <v>0</v>
      </c>
      <c r="AG100" s="228" t="n">
        <v>-48.98</v>
      </c>
    </row>
    <row r="101">
      <c r="A101">
        <f>I101&amp;"-"&amp;J101</f>
        <v/>
      </c>
      <c r="B101" s="1">
        <f>N101</f>
        <v/>
      </c>
      <c r="C101">
        <f>M101&amp;"/"&amp;O101</f>
        <v/>
      </c>
      <c r="D101">
        <f>K101</f>
        <v/>
      </c>
      <c r="E101">
        <f>L101</f>
        <v/>
      </c>
      <c r="F101" s="236">
        <f>Z101</f>
        <v/>
      </c>
      <c r="G101">
        <f>U101&amp;"%"</f>
        <v/>
      </c>
      <c r="I101" s="53" t="n">
        <v>2023</v>
      </c>
      <c r="J101" s="53" t="n">
        <v>100</v>
      </c>
      <c r="K101" s="71" t="inlineStr">
        <is>
          <t>Ausgaben</t>
        </is>
      </c>
      <c r="L101" t="inlineStr">
        <is>
          <t>sonstige Betriebsausgaben</t>
        </is>
      </c>
      <c r="M101" s="61" t="inlineStr">
        <is>
          <t>BELEG FEHLT</t>
        </is>
      </c>
      <c r="N101" s="1" t="n">
        <v>45089</v>
      </c>
      <c r="O101" t="inlineStr">
        <is>
          <t>Woocommerce.com, 17 Shelley Road, Salt River, Cape Town 7625, South Africa</t>
        </is>
      </c>
      <c r="Q101" s="76" t="inlineStr">
        <is>
          <t>ja</t>
        </is>
      </c>
      <c r="R101" t="b">
        <v>0</v>
      </c>
      <c r="S101" s="214" t="n">
        <v>27.41</v>
      </c>
      <c r="T101" s="159" t="n">
        <v>1</v>
      </c>
      <c r="U101" t="n">
        <v>0</v>
      </c>
      <c r="V101" s="237" t="n">
        <v>0</v>
      </c>
      <c r="W101" s="237" t="n">
        <v>0</v>
      </c>
      <c r="X101" s="208" t="n">
        <v>27.41</v>
      </c>
      <c r="Y101" s="251" t="n">
        <v>27.41</v>
      </c>
      <c r="Z101" s="251" t="n">
        <v>27.41</v>
      </c>
      <c r="AA101" s="35" t="n">
        <v>45153</v>
      </c>
      <c r="AB101" s="27" t="n"/>
      <c r="AC101" s="27" t="n">
        <v>20</v>
      </c>
      <c r="AD101" s="210" t="n">
        <v>27.41</v>
      </c>
      <c r="AE101" s="237" t="n">
        <v>5.482</v>
      </c>
      <c r="AF101" t="b">
        <v>0</v>
      </c>
      <c r="AG101" s="228" t="n">
        <v>-27.41</v>
      </c>
    </row>
    <row r="102">
      <c r="A102">
        <f>I102&amp;"-"&amp;J102</f>
        <v/>
      </c>
      <c r="B102" s="1">
        <f>N102</f>
        <v/>
      </c>
      <c r="C102">
        <f>M102&amp;"/"&amp;O102</f>
        <v/>
      </c>
      <c r="D102">
        <f>K102</f>
        <v/>
      </c>
      <c r="E102">
        <f>L102</f>
        <v/>
      </c>
      <c r="F102" s="236">
        <f>Z102</f>
        <v/>
      </c>
      <c r="G102">
        <f>U102&amp;"%"</f>
        <v/>
      </c>
      <c r="I102" s="53" t="n">
        <v>2023</v>
      </c>
      <c r="J102" s="53" t="n">
        <v>101</v>
      </c>
      <c r="K102" s="71" t="inlineStr">
        <is>
          <t>Ausgaben</t>
        </is>
      </c>
      <c r="L102" t="inlineStr">
        <is>
          <t>sonstige Betriebsausgaben</t>
        </is>
      </c>
      <c r="M102" s="61" t="inlineStr">
        <is>
          <t>BELEG FEHLT</t>
        </is>
      </c>
      <c r="N102" s="1" t="n">
        <v>45089</v>
      </c>
      <c r="O102" t="inlineStr">
        <is>
          <t>Wiener Netze GmbH, Erdbergstraße 236, 1110 Wien, Postfach 422; Jahresabrechnung vom 17.12.20: GUTSCHRIFT</t>
        </is>
      </c>
      <c r="Q102" s="76" t="n"/>
      <c r="R102" t="b">
        <v>0</v>
      </c>
      <c r="S102" s="214" t="n">
        <v>12</v>
      </c>
      <c r="T102" s="159" t="n">
        <v>1</v>
      </c>
      <c r="U102" t="n">
        <v>20</v>
      </c>
      <c r="V102" s="237" t="n">
        <v>2.4</v>
      </c>
      <c r="W102" s="237" t="n">
        <v>2.4</v>
      </c>
      <c r="X102" s="208" t="n">
        <v>12</v>
      </c>
      <c r="Y102" s="251" t="n">
        <v>14.4</v>
      </c>
      <c r="Z102" s="251" t="n">
        <v>14.4</v>
      </c>
      <c r="AA102" s="35" t="n">
        <v>45153</v>
      </c>
      <c r="AB102" s="27" t="n"/>
      <c r="AC102" s="27" t="n"/>
      <c r="AD102" s="210" t="n">
        <v>12</v>
      </c>
      <c r="AE102" s="237" t="n">
        <v>0</v>
      </c>
      <c r="AF102" t="b">
        <v>0</v>
      </c>
      <c r="AG102" s="228" t="n">
        <v>-12</v>
      </c>
    </row>
    <row r="103">
      <c r="A103">
        <f>I103&amp;"-"&amp;J103</f>
        <v/>
      </c>
      <c r="B103" s="1">
        <f>N103</f>
        <v/>
      </c>
      <c r="C103">
        <f>M103&amp;"/"&amp;O103</f>
        <v/>
      </c>
      <c r="D103">
        <f>K103</f>
        <v/>
      </c>
      <c r="E103">
        <f>L103</f>
        <v/>
      </c>
      <c r="F103" s="236">
        <f>Z103</f>
        <v/>
      </c>
      <c r="G103">
        <f>U103&amp;"%"</f>
        <v/>
      </c>
      <c r="I103" s="53" t="n">
        <v>2023</v>
      </c>
      <c r="J103" s="53" t="n">
        <v>102</v>
      </c>
      <c r="K103" s="71" t="inlineStr">
        <is>
          <t>Ausgaben</t>
        </is>
      </c>
      <c r="L103" t="inlineStr">
        <is>
          <t>sonstige Betriebsausgaben</t>
        </is>
      </c>
      <c r="M103" s="9" t="n"/>
      <c r="N103" s="1" t="n">
        <v>45091</v>
      </c>
      <c r="O103" t="inlineStr">
        <is>
          <t>Hetzner Online GmbH</t>
        </is>
      </c>
      <c r="Q103" s="76" t="n"/>
      <c r="R103" t="b">
        <v>0</v>
      </c>
      <c r="S103" s="214" t="n">
        <v>52.2141</v>
      </c>
      <c r="T103" s="159" t="n">
        <v>1</v>
      </c>
      <c r="U103" t="n">
        <v>0</v>
      </c>
      <c r="V103" s="237" t="n">
        <v>0</v>
      </c>
      <c r="W103" s="237" t="n">
        <v>0</v>
      </c>
      <c r="X103" s="208" t="n">
        <v>52.2141</v>
      </c>
      <c r="Y103" s="251" t="n">
        <v>52.2141</v>
      </c>
      <c r="Z103" s="251" t="n">
        <v>52.2141</v>
      </c>
      <c r="AA103" s="35" t="n">
        <v>45153</v>
      </c>
      <c r="AB103" s="27" t="n"/>
      <c r="AC103" s="27" t="n">
        <v>20</v>
      </c>
      <c r="AD103" s="210" t="n">
        <v>52.2141</v>
      </c>
      <c r="AE103" s="237" t="n">
        <v>10.44282</v>
      </c>
      <c r="AF103" t="b">
        <v>0</v>
      </c>
      <c r="AG103" s="228" t="n">
        <v>-52.2141</v>
      </c>
    </row>
    <row r="104">
      <c r="A104">
        <f>I104&amp;"-"&amp;J104</f>
        <v/>
      </c>
      <c r="B104" s="1">
        <f>N104</f>
        <v/>
      </c>
      <c r="C104">
        <f>M104&amp;"/"&amp;O104</f>
        <v/>
      </c>
      <c r="D104">
        <f>K104</f>
        <v/>
      </c>
      <c r="E104">
        <f>L104</f>
        <v/>
      </c>
      <c r="F104" s="236">
        <f>Z104</f>
        <v/>
      </c>
      <c r="G104">
        <f>U104&amp;"%"</f>
        <v/>
      </c>
      <c r="I104" s="53" t="n">
        <v>2023</v>
      </c>
      <c r="J104" s="53" t="n">
        <v>103</v>
      </c>
      <c r="K104" s="71" t="inlineStr">
        <is>
          <t>Ausgaben</t>
        </is>
      </c>
      <c r="L104" t="inlineStr">
        <is>
          <t>sonstige Betriebsausgaben</t>
        </is>
      </c>
      <c r="N104" s="1" t="n">
        <v>45092</v>
      </c>
      <c r="O104" t="inlineStr">
        <is>
          <t>Google Ireland Ltd, Gordon House, Barrow Street, Dublin 4, Ireland; VAT number: IE 6388047V</t>
        </is>
      </c>
      <c r="Q104" s="76" t="n"/>
      <c r="R104" t="b">
        <v>0</v>
      </c>
      <c r="S104" s="224" t="n">
        <v>16.65833333333333</v>
      </c>
      <c r="T104" s="159" t="n">
        <v>1</v>
      </c>
      <c r="U104" t="n">
        <v>20</v>
      </c>
      <c r="V104" s="237" t="n">
        <v>3.331666666666666</v>
      </c>
      <c r="W104" s="237" t="n">
        <v>3.331666666666666</v>
      </c>
      <c r="X104" s="208" t="n">
        <v>16.65833333333333</v>
      </c>
      <c r="Y104" s="251" t="n">
        <v>19.99</v>
      </c>
      <c r="Z104" s="251" t="n">
        <v>19.99</v>
      </c>
      <c r="AA104" s="35" t="n">
        <v>45153</v>
      </c>
      <c r="AB104" s="27" t="n"/>
      <c r="AC104" s="27" t="n"/>
      <c r="AD104" s="210" t="n">
        <v>16.65833333333333</v>
      </c>
      <c r="AE104" s="237" t="n">
        <v>0</v>
      </c>
      <c r="AF104" t="b">
        <v>0</v>
      </c>
      <c r="AG104" s="228" t="n">
        <v>-16.65833333333333</v>
      </c>
    </row>
    <row r="105">
      <c r="A105">
        <f>I105&amp;"-"&amp;J105</f>
        <v/>
      </c>
      <c r="B105" s="1">
        <f>N105</f>
        <v/>
      </c>
      <c r="C105">
        <f>M105&amp;"/"&amp;O105</f>
        <v/>
      </c>
      <c r="D105">
        <f>K105</f>
        <v/>
      </c>
      <c r="E105">
        <f>L105</f>
        <v/>
      </c>
      <c r="F105" s="236">
        <f>Z105</f>
        <v/>
      </c>
      <c r="G105">
        <f>U105&amp;"%"</f>
        <v/>
      </c>
      <c r="I105" s="53" t="n">
        <v>2023</v>
      </c>
      <c r="J105" s="53" t="n">
        <v>104</v>
      </c>
      <c r="K105" s="71" t="inlineStr">
        <is>
          <t>Ausgaben</t>
        </is>
      </c>
      <c r="L105" t="inlineStr">
        <is>
          <t>sonstige Betriebsausgaben</t>
        </is>
      </c>
      <c r="M105" s="1" t="n"/>
      <c r="N105" s="1" t="n">
        <v>45096</v>
      </c>
      <c r="O105" t="inlineStr">
        <is>
          <t>Microsoft Ireland Operations Ltd. One Microsoft Place, South County, Business Park, Leopardstown, Dublin 18, D18 P521, Ireland</t>
        </is>
      </c>
      <c r="Q105" s="76" t="n"/>
      <c r="R105" t="b">
        <v>0</v>
      </c>
      <c r="S105" s="214" t="n">
        <v>10.5</v>
      </c>
      <c r="T105" s="159" t="n">
        <v>1</v>
      </c>
      <c r="U105" t="n">
        <v>0</v>
      </c>
      <c r="V105" s="237" t="n">
        <v>0</v>
      </c>
      <c r="W105" s="237" t="n">
        <v>0</v>
      </c>
      <c r="X105" s="208" t="n">
        <v>10.5</v>
      </c>
      <c r="Y105" s="251" t="n">
        <v>10.5</v>
      </c>
      <c r="Z105" s="251" t="n">
        <v>10.5</v>
      </c>
      <c r="AA105" s="35" t="n">
        <v>45153</v>
      </c>
      <c r="AB105" s="27" t="n"/>
      <c r="AC105" s="27" t="n">
        <v>20</v>
      </c>
      <c r="AD105" s="210" t="n">
        <v>10.5</v>
      </c>
      <c r="AE105" s="237" t="n">
        <v>2.1</v>
      </c>
      <c r="AF105" t="b">
        <v>0</v>
      </c>
      <c r="AG105" s="228" t="n">
        <v>-10.5</v>
      </c>
    </row>
    <row r="106">
      <c r="A106">
        <f>I106&amp;"-"&amp;J106</f>
        <v/>
      </c>
      <c r="B106" s="1">
        <f>N106</f>
        <v/>
      </c>
      <c r="C106">
        <f>M106&amp;"/"&amp;O106</f>
        <v/>
      </c>
      <c r="D106">
        <f>K106</f>
        <v/>
      </c>
      <c r="E106">
        <f>L106</f>
        <v/>
      </c>
      <c r="F106" s="236">
        <f>Z106</f>
        <v/>
      </c>
      <c r="G106">
        <f>U106&amp;"%"</f>
        <v/>
      </c>
      <c r="I106" s="53" t="n">
        <v>2023</v>
      </c>
      <c r="J106" s="53" t="n">
        <v>105</v>
      </c>
      <c r="K106" s="71" t="inlineStr">
        <is>
          <t>Ausgaben</t>
        </is>
      </c>
      <c r="L106" t="inlineStr">
        <is>
          <t>Personalaufwand</t>
        </is>
      </c>
      <c r="M106" s="9" t="inlineStr">
        <is>
          <t>siehe 2022-140</t>
        </is>
      </c>
      <c r="N106" s="1" t="n">
        <v>45092</v>
      </c>
      <c r="O106" t="inlineStr">
        <is>
          <t>Honorar Eva Jaros-Kolbitsch</t>
        </is>
      </c>
      <c r="Q106" s="76" t="n"/>
      <c r="R106" t="b">
        <v>0</v>
      </c>
      <c r="S106" s="214" t="n">
        <v>365</v>
      </c>
      <c r="T106" s="159" t="n">
        <v>1</v>
      </c>
      <c r="U106" t="n">
        <v>0</v>
      </c>
      <c r="V106" s="237" t="n">
        <v>0</v>
      </c>
      <c r="W106" s="237" t="n">
        <v>0</v>
      </c>
      <c r="X106" s="208" t="n">
        <v>365</v>
      </c>
      <c r="Y106" s="251" t="n">
        <v>365</v>
      </c>
      <c r="Z106" s="251" t="n">
        <v>365</v>
      </c>
      <c r="AA106" s="35" t="n">
        <v>45153</v>
      </c>
      <c r="AB106" s="27" t="n"/>
      <c r="AC106" s="27" t="n"/>
      <c r="AD106" s="210" t="n">
        <v>365</v>
      </c>
      <c r="AE106" s="237" t="n">
        <v>0</v>
      </c>
      <c r="AF106" t="b">
        <v>0</v>
      </c>
      <c r="AG106" s="228" t="n">
        <v>-365</v>
      </c>
    </row>
    <row r="107">
      <c r="A107">
        <f>I107&amp;"-"&amp;J107</f>
        <v/>
      </c>
      <c r="B107" s="1">
        <f>N107</f>
        <v/>
      </c>
      <c r="C107">
        <f>M107&amp;"/"&amp;O107</f>
        <v/>
      </c>
      <c r="D107">
        <f>K107</f>
        <v/>
      </c>
      <c r="E107">
        <f>L107</f>
        <v/>
      </c>
      <c r="F107" s="236">
        <f>Z107</f>
        <v/>
      </c>
      <c r="G107">
        <f>U107&amp;"%"</f>
        <v/>
      </c>
      <c r="I107" s="53" t="n">
        <v>2023</v>
      </c>
      <c r="J107" s="53" t="n">
        <v>106</v>
      </c>
      <c r="K107" s="71" t="inlineStr">
        <is>
          <t>Einnahmen</t>
        </is>
      </c>
      <c r="L107" t="inlineStr">
        <is>
          <t>Waren-/Leistungserlöse</t>
        </is>
      </c>
      <c r="M107" t="n">
        <v>12023010</v>
      </c>
      <c r="N107" s="1" t="n">
        <v>45092</v>
      </c>
      <c r="O107" t="inlineStr">
        <is>
          <t>Hays Österreich GmbH, Bahnhof City Wien West , Europaplatz 3/5, 1150 Wien</t>
        </is>
      </c>
      <c r="Q107" s="76" t="n"/>
      <c r="R107" t="b">
        <v>0</v>
      </c>
      <c r="S107" s="214" t="n">
        <v>17058.38</v>
      </c>
      <c r="T107" s="159" t="n">
        <v>1</v>
      </c>
      <c r="U107" t="n">
        <v>20</v>
      </c>
      <c r="V107" s="237" t="n">
        <v>3411.676</v>
      </c>
      <c r="W107" s="237" t="n">
        <v>3411.676</v>
      </c>
      <c r="X107" s="208" t="n">
        <v>17058.38</v>
      </c>
      <c r="Y107" s="251" t="n">
        <v>20470.056</v>
      </c>
      <c r="Z107" s="251" t="n">
        <v>20470.056</v>
      </c>
      <c r="AA107" s="35" t="n">
        <v>45153</v>
      </c>
      <c r="AB107" s="27" t="n"/>
      <c r="AC107" s="27" t="n"/>
      <c r="AD107" s="210" t="n">
        <v>17058.38</v>
      </c>
      <c r="AE107" s="237" t="n">
        <v>0</v>
      </c>
      <c r="AF107" t="b">
        <v>0</v>
      </c>
      <c r="AG107" s="228" t="n">
        <v>17058.38</v>
      </c>
    </row>
    <row r="108">
      <c r="A108">
        <f>I108&amp;"-"&amp;J108</f>
        <v/>
      </c>
      <c r="B108" s="1">
        <f>N108</f>
        <v/>
      </c>
      <c r="C108">
        <f>M108&amp;"/"&amp;O108</f>
        <v/>
      </c>
      <c r="D108">
        <f>K108</f>
        <v/>
      </c>
      <c r="E108">
        <f>L108</f>
        <v/>
      </c>
      <c r="F108" s="236">
        <f>Z108</f>
        <v/>
      </c>
      <c r="G108">
        <f>U108&amp;"%"</f>
        <v/>
      </c>
      <c r="I108" s="53" t="n">
        <v>2023</v>
      </c>
      <c r="J108" s="53" t="n">
        <v>107</v>
      </c>
      <c r="K108" s="71" t="inlineStr">
        <is>
          <t>Ausgaben</t>
        </is>
      </c>
      <c r="L108" t="inlineStr">
        <is>
          <t>Telefon/Internet</t>
        </is>
      </c>
      <c r="M108" s="131" t="n"/>
      <c r="N108" s="1" t="n">
        <v>45098</v>
      </c>
      <c r="O108" t="inlineStr">
        <is>
          <t>Magenta: T-Mobile Austria GmbH, A-1120 Wien, PF 47</t>
        </is>
      </c>
      <c r="Q108" s="76" t="n"/>
      <c r="R108" t="b">
        <v>0</v>
      </c>
      <c r="S108" s="214" t="n">
        <v>31.92</v>
      </c>
      <c r="T108" s="159" t="n">
        <v>1</v>
      </c>
      <c r="U108" t="n">
        <v>20</v>
      </c>
      <c r="V108" s="237" t="n">
        <v>6.384000000000001</v>
      </c>
      <c r="W108" s="237" t="n">
        <v>6.384000000000001</v>
      </c>
      <c r="X108" s="208" t="n">
        <v>31.92</v>
      </c>
      <c r="Y108" s="251" t="n">
        <v>38.304</v>
      </c>
      <c r="Z108" s="251" t="n">
        <v>38.304</v>
      </c>
      <c r="AA108" s="35" t="n">
        <v>45153</v>
      </c>
      <c r="AB108" s="27" t="n"/>
      <c r="AC108" s="27" t="n"/>
      <c r="AD108" s="210" t="n">
        <v>31.92</v>
      </c>
      <c r="AE108" s="237" t="n">
        <v>0</v>
      </c>
      <c r="AF108" t="b">
        <v>0</v>
      </c>
      <c r="AG108" s="228" t="n">
        <v>-31.92</v>
      </c>
    </row>
    <row r="109">
      <c r="A109">
        <f>I109&amp;"-"&amp;J109</f>
        <v/>
      </c>
      <c r="B109" s="1">
        <f>N109</f>
        <v/>
      </c>
      <c r="C109">
        <f>M109&amp;"/"&amp;O109</f>
        <v/>
      </c>
      <c r="D109">
        <f>K109</f>
        <v/>
      </c>
      <c r="E109">
        <f>L109</f>
        <v/>
      </c>
      <c r="F109" s="236">
        <f>Z109</f>
        <v/>
      </c>
      <c r="G109">
        <f>U109&amp;"%"</f>
        <v/>
      </c>
      <c r="I109" s="53" t="n">
        <v>2023</v>
      </c>
      <c r="J109" s="53" t="n">
        <v>108</v>
      </c>
      <c r="K109" s="71" t="inlineStr">
        <is>
          <t>Ausgaben</t>
        </is>
      </c>
      <c r="L109" t="inlineStr">
        <is>
          <t>Büromaterial</t>
        </is>
      </c>
      <c r="M109" s="9" t="n"/>
      <c r="N109" s="1" t="n">
        <v>45099</v>
      </c>
      <c r="O109" t="inlineStr">
        <is>
          <t>Amazon EU S. à r.l., 38 avenue John F. Kennedy, L-1855 Luxembourg</t>
        </is>
      </c>
      <c r="Q109" s="76" t="inlineStr">
        <is>
          <t>ja</t>
        </is>
      </c>
      <c r="R109" t="b">
        <v>0</v>
      </c>
      <c r="S109" s="214" t="n">
        <v>43.66</v>
      </c>
      <c r="T109" s="159" t="n">
        <v>1</v>
      </c>
      <c r="U109" t="n">
        <v>20</v>
      </c>
      <c r="V109" s="237" t="n">
        <v>8.731999999999999</v>
      </c>
      <c r="W109" s="237" t="n">
        <v>8.731999999999999</v>
      </c>
      <c r="X109" s="208" t="n">
        <v>43.66</v>
      </c>
      <c r="Y109" s="251" t="n">
        <v>52.392</v>
      </c>
      <c r="Z109" s="251" t="n">
        <v>52.392</v>
      </c>
      <c r="AA109" s="35" t="n">
        <v>45153</v>
      </c>
      <c r="AB109" s="27" t="n"/>
      <c r="AC109" s="27" t="n"/>
      <c r="AD109" s="210" t="n">
        <v>43.66</v>
      </c>
      <c r="AE109" s="237" t="n">
        <v>0</v>
      </c>
      <c r="AF109" t="b">
        <v>0</v>
      </c>
      <c r="AG109" s="228" t="n">
        <v>-43.66</v>
      </c>
    </row>
    <row r="110">
      <c r="A110">
        <f>I110&amp;"-"&amp;J110</f>
        <v/>
      </c>
      <c r="B110" s="1">
        <f>N110</f>
        <v/>
      </c>
      <c r="C110">
        <f>M110&amp;"/"&amp;O110</f>
        <v/>
      </c>
      <c r="D110">
        <f>K110</f>
        <v/>
      </c>
      <c r="E110">
        <f>L110</f>
        <v/>
      </c>
      <c r="F110" s="236">
        <f>Z110</f>
        <v/>
      </c>
      <c r="G110">
        <f>U110&amp;"%"</f>
        <v/>
      </c>
      <c r="I110" s="164" t="n">
        <v>2023</v>
      </c>
      <c r="J110" s="164" t="n">
        <v>109</v>
      </c>
      <c r="K110" s="165" t="inlineStr">
        <is>
          <t>Ausgaben</t>
        </is>
      </c>
      <c r="L110" s="166" t="inlineStr">
        <is>
          <t>Büromaterial</t>
        </is>
      </c>
      <c r="M110" s="167" t="n"/>
      <c r="N110" s="168" t="n">
        <v>45105</v>
      </c>
      <c r="O110" s="166" t="inlineStr">
        <is>
          <t>Amazon EU S. à r.l., 38 avenue John F. Kennedy, L-1855 Luxembourg</t>
        </is>
      </c>
      <c r="P110" s="166" t="n"/>
      <c r="Q110" s="169" t="inlineStr">
        <is>
          <t>ja</t>
        </is>
      </c>
      <c r="R110" s="166" t="b">
        <v>0</v>
      </c>
      <c r="S110" s="257" t="n">
        <v>40.92</v>
      </c>
      <c r="T110" s="171" t="n">
        <v>1</v>
      </c>
      <c r="U110" s="166" t="n">
        <v>20</v>
      </c>
      <c r="V110" s="238" t="n">
        <v>8.184000000000001</v>
      </c>
      <c r="W110" s="238" t="n">
        <v>8.184000000000001</v>
      </c>
      <c r="X110" s="258" t="n">
        <v>40.92</v>
      </c>
      <c r="Y110" s="259" t="n">
        <v>49.104</v>
      </c>
      <c r="Z110" s="259" t="n">
        <v>49.104</v>
      </c>
      <c r="AA110" s="175" t="n">
        <v>45153</v>
      </c>
      <c r="AB110" s="176" t="n"/>
      <c r="AC110" s="176" t="n"/>
      <c r="AD110" s="260" t="n">
        <v>40.92</v>
      </c>
      <c r="AE110" s="238" t="n">
        <v>0</v>
      </c>
      <c r="AF110" s="166" t="b">
        <v>0</v>
      </c>
      <c r="AG110" s="239" t="n">
        <v>-40.92</v>
      </c>
    </row>
    <row r="111">
      <c r="A111">
        <f>I111&amp;"-"&amp;J111</f>
        <v/>
      </c>
      <c r="B111" s="1">
        <f>N111</f>
        <v/>
      </c>
      <c r="C111">
        <f>M111&amp;"/"&amp;O111</f>
        <v/>
      </c>
      <c r="D111">
        <f>K111</f>
        <v/>
      </c>
      <c r="E111">
        <f>L111</f>
        <v/>
      </c>
      <c r="F111" s="236">
        <f>Z111</f>
        <v/>
      </c>
      <c r="G111">
        <f>U111&amp;"%"</f>
        <v/>
      </c>
      <c r="I111" s="53" t="n">
        <v>2023</v>
      </c>
      <c r="J111" s="53" t="n">
        <v>110</v>
      </c>
      <c r="K111" s="71" t="inlineStr">
        <is>
          <t>Ausgaben</t>
        </is>
      </c>
      <c r="L111" t="inlineStr">
        <is>
          <t>Reise- und Fahrtspesen inkl. Kilometergeld und Diäten</t>
        </is>
      </c>
      <c r="M111" s="131" t="n"/>
      <c r="N111" s="1" t="n">
        <v>45110</v>
      </c>
      <c r="O111" t="inlineStr">
        <is>
          <t>car2go Österreich GmbH, Hintere Zollamtstraße 9, 1030 Wien</t>
        </is>
      </c>
      <c r="Q111" s="76" t="n"/>
      <c r="R111" t="b">
        <v>0</v>
      </c>
      <c r="S111" s="214" t="n">
        <v>6.175000000000001</v>
      </c>
      <c r="T111" s="159" t="n">
        <v>1</v>
      </c>
      <c r="U111" t="n">
        <v>20</v>
      </c>
      <c r="V111" s="237" t="n">
        <v>1.235</v>
      </c>
      <c r="W111" s="237" t="n">
        <v>1.235</v>
      </c>
      <c r="X111" s="208" t="n">
        <v>6.175000000000001</v>
      </c>
      <c r="Y111" s="251" t="n">
        <v>7.410000000000001</v>
      </c>
      <c r="Z111" s="251" t="n">
        <v>7.410000000000001</v>
      </c>
      <c r="AA111" s="35" t="n">
        <v>45184</v>
      </c>
      <c r="AB111" s="27" t="n"/>
      <c r="AC111" s="27" t="n"/>
      <c r="AD111" s="210" t="n">
        <v>6.175000000000001</v>
      </c>
      <c r="AE111" s="237" t="n">
        <v>0</v>
      </c>
      <c r="AF111" t="b">
        <v>0</v>
      </c>
      <c r="AG111" s="228" t="n">
        <v>-6.175000000000001</v>
      </c>
    </row>
    <row r="112">
      <c r="A112">
        <f>I112&amp;"-"&amp;J112</f>
        <v/>
      </c>
      <c r="B112" s="1">
        <f>N112</f>
        <v/>
      </c>
      <c r="C112">
        <f>M112&amp;"/"&amp;O112</f>
        <v/>
      </c>
      <c r="D112">
        <f>K112</f>
        <v/>
      </c>
      <c r="E112">
        <f>L112</f>
        <v/>
      </c>
      <c r="F112" s="236">
        <f>Z112</f>
        <v/>
      </c>
      <c r="G112">
        <f>U112&amp;"%"</f>
        <v/>
      </c>
      <c r="I112" s="53" t="n">
        <v>2023</v>
      </c>
      <c r="J112" s="53" t="n">
        <v>111</v>
      </c>
      <c r="K112" s="71" t="inlineStr">
        <is>
          <t>Ausgaben</t>
        </is>
      </c>
      <c r="L112" t="inlineStr">
        <is>
          <t>sonstige Betriebsausgaben</t>
        </is>
      </c>
      <c r="N112" s="1" t="n">
        <v>45110</v>
      </c>
      <c r="O112" t="inlineStr">
        <is>
          <t>Google Ireland Ltd, Gordon House, Barrow Street, Dublin 4, Ireland; VAT number: IE 6388047V</t>
        </is>
      </c>
      <c r="Q112" s="76" t="n"/>
      <c r="R112" t="b">
        <v>0</v>
      </c>
      <c r="S112" s="214" t="n">
        <v>10.4</v>
      </c>
      <c r="T112" s="159" t="n">
        <v>1</v>
      </c>
      <c r="U112" t="n">
        <v>0</v>
      </c>
      <c r="V112" s="237" t="n">
        <v>0</v>
      </c>
      <c r="W112" s="237" t="n">
        <v>0</v>
      </c>
      <c r="X112" s="208" t="n">
        <v>10.4</v>
      </c>
      <c r="Y112" s="251" t="n">
        <v>10.4</v>
      </c>
      <c r="Z112" s="251" t="n">
        <v>10.4</v>
      </c>
      <c r="AA112" s="35" t="n">
        <v>45184</v>
      </c>
      <c r="AB112" s="27" t="n"/>
      <c r="AC112" s="27" t="n">
        <v>20</v>
      </c>
      <c r="AD112" s="210" t="n">
        <v>10.4</v>
      </c>
      <c r="AE112" s="237" t="n">
        <v>2.08</v>
      </c>
      <c r="AF112" t="b">
        <v>0</v>
      </c>
      <c r="AG112" s="228" t="n">
        <v>-10.4</v>
      </c>
    </row>
    <row r="113">
      <c r="A113">
        <f>I113&amp;"-"&amp;J113</f>
        <v/>
      </c>
      <c r="B113" s="1">
        <f>N113</f>
        <v/>
      </c>
      <c r="C113">
        <f>M113&amp;"/"&amp;O113</f>
        <v/>
      </c>
      <c r="D113">
        <f>K113</f>
        <v/>
      </c>
      <c r="E113">
        <f>L113</f>
        <v/>
      </c>
      <c r="F113" s="236">
        <f>Z113</f>
        <v/>
      </c>
      <c r="G113">
        <f>U113&amp;"%"</f>
        <v/>
      </c>
      <c r="I113" s="53" t="n">
        <v>2023</v>
      </c>
      <c r="J113" s="53" t="n">
        <v>112</v>
      </c>
      <c r="K113" s="71" t="inlineStr">
        <is>
          <t>Einnahmen</t>
        </is>
      </c>
      <c r="L113" t="inlineStr">
        <is>
          <t>Waren-/Leistungserlöse</t>
        </is>
      </c>
      <c r="M113" s="6" t="n">
        <v>12023003</v>
      </c>
      <c r="N113" s="1" t="n">
        <v>45110</v>
      </c>
      <c r="O113" t="inlineStr">
        <is>
          <t>ZT DI Dr. Arno Kolbitsch, Gütleweg 1, 6822 Satteins</t>
        </is>
      </c>
      <c r="Q113" s="76" t="n"/>
      <c r="R113" t="b">
        <v>0</v>
      </c>
      <c r="S113" s="214" t="n">
        <v>1352.6</v>
      </c>
      <c r="T113" s="159" t="n">
        <v>1</v>
      </c>
      <c r="U113" t="n">
        <v>20</v>
      </c>
      <c r="V113" s="237" t="n">
        <v>270.52</v>
      </c>
      <c r="W113" s="237" t="n">
        <v>270.52</v>
      </c>
      <c r="X113" s="208" t="n">
        <v>1352.6</v>
      </c>
      <c r="Y113" s="251" t="n">
        <v>1623.12</v>
      </c>
      <c r="Z113" s="251" t="n">
        <v>1623.12</v>
      </c>
      <c r="AA113" s="35" t="n">
        <v>45245</v>
      </c>
      <c r="AB113" s="27" t="n"/>
      <c r="AC113" s="27" t="n"/>
      <c r="AD113" s="210" t="n">
        <v>1352.6</v>
      </c>
      <c r="AE113" s="237" t="n">
        <v>0</v>
      </c>
      <c r="AF113" t="b">
        <v>0</v>
      </c>
      <c r="AG113" s="228" t="n">
        <v>1352.6</v>
      </c>
    </row>
    <row r="114">
      <c r="A114">
        <f>I114&amp;"-"&amp;J114</f>
        <v/>
      </c>
      <c r="B114" s="1">
        <f>N114</f>
        <v/>
      </c>
      <c r="C114">
        <f>M114&amp;"/"&amp;O114</f>
        <v/>
      </c>
      <c r="D114">
        <f>K114</f>
        <v/>
      </c>
      <c r="E114">
        <f>L114</f>
        <v/>
      </c>
      <c r="F114" s="236">
        <f>Z114</f>
        <v/>
      </c>
      <c r="G114">
        <f>U114&amp;"%"</f>
        <v/>
      </c>
      <c r="I114" s="53" t="n">
        <v>2023</v>
      </c>
      <c r="J114" s="53" t="n">
        <v>113</v>
      </c>
      <c r="K114" s="71" t="inlineStr">
        <is>
          <t>Ausgaben</t>
        </is>
      </c>
      <c r="L114" t="inlineStr">
        <is>
          <t>Miet- und Pachtaufwand, Leasing</t>
        </is>
      </c>
      <c r="M114" s="9" t="n"/>
      <c r="N114" s="1" t="n">
        <v>45110</v>
      </c>
      <c r="O114" t="inlineStr">
        <is>
          <t>Bontus Immobilienverwaltung GmbH, 1010 Wien, Franz Josefs Kai 65</t>
        </is>
      </c>
      <c r="Q114" s="76" t="n"/>
      <c r="R114" t="b">
        <v>0</v>
      </c>
      <c r="S114" s="214" t="n">
        <v>524.7666666666668</v>
      </c>
      <c r="T114" s="159" t="n">
        <v>1</v>
      </c>
      <c r="U114" t="n">
        <v>20</v>
      </c>
      <c r="V114" s="237" t="n">
        <v>104.9533333333334</v>
      </c>
      <c r="W114" s="237" t="n">
        <v>104.9533333333334</v>
      </c>
      <c r="X114" s="208" t="n">
        <v>524.7666666666668</v>
      </c>
      <c r="Y114" s="251" t="n">
        <v>629.7200000000001</v>
      </c>
      <c r="Z114" s="251" t="n">
        <v>629.7200000000001</v>
      </c>
      <c r="AA114" s="35" t="n">
        <v>45184</v>
      </c>
      <c r="AB114" s="27" t="n"/>
      <c r="AC114" s="27" t="n"/>
      <c r="AD114" s="210" t="n">
        <v>524.7666666666668</v>
      </c>
      <c r="AE114" s="237" t="n">
        <v>0</v>
      </c>
      <c r="AF114" t="b">
        <v>0</v>
      </c>
      <c r="AG114" s="228" t="n">
        <v>-524.7666666666668</v>
      </c>
    </row>
    <row r="115">
      <c r="A115">
        <f>I115&amp;"-"&amp;J115</f>
        <v/>
      </c>
      <c r="B115" s="1">
        <f>N115</f>
        <v/>
      </c>
      <c r="C115">
        <f>M115&amp;"/"&amp;O115</f>
        <v/>
      </c>
      <c r="D115">
        <f>K115</f>
        <v/>
      </c>
      <c r="E115">
        <f>L115</f>
        <v/>
      </c>
      <c r="F115" s="236">
        <f>Z115</f>
        <v/>
      </c>
      <c r="G115">
        <f>U115&amp;"%"</f>
        <v/>
      </c>
      <c r="I115" s="53" t="n">
        <v>2023</v>
      </c>
      <c r="J115" s="53" t="n">
        <v>114</v>
      </c>
      <c r="K115" s="71" t="inlineStr">
        <is>
          <t>Ausgaben</t>
        </is>
      </c>
      <c r="L115" t="inlineStr">
        <is>
          <t>Telefon/Internet</t>
        </is>
      </c>
      <c r="M115" s="9" t="n"/>
      <c r="N115" s="1" t="n">
        <v>45111</v>
      </c>
      <c r="O115" t="inlineStr">
        <is>
          <t>Hutchison Drei Austria GmbH, Brünner Straße 52, 1210 Wien, Österreich</t>
        </is>
      </c>
      <c r="Q115" s="76" t="n"/>
      <c r="R115" t="b">
        <v>0</v>
      </c>
      <c r="S115" s="214" t="n">
        <v>10.75</v>
      </c>
      <c r="T115" s="159" t="n">
        <v>1</v>
      </c>
      <c r="U115" t="n">
        <v>20</v>
      </c>
      <c r="V115" s="237" t="n">
        <v>2.15</v>
      </c>
      <c r="W115" s="237" t="n">
        <v>2.15</v>
      </c>
      <c r="X115" s="208" t="n">
        <v>10.75</v>
      </c>
      <c r="Y115" s="251" t="n">
        <v>12.9</v>
      </c>
      <c r="Z115" s="251" t="n">
        <v>12.9</v>
      </c>
      <c r="AA115" s="35" t="n">
        <v>45184</v>
      </c>
      <c r="AB115" s="27" t="n"/>
      <c r="AC115" s="27" t="n"/>
      <c r="AD115" s="210" t="n">
        <v>10.75</v>
      </c>
      <c r="AE115" s="237" t="n">
        <v>0</v>
      </c>
      <c r="AF115" t="b">
        <v>0</v>
      </c>
      <c r="AG115" s="228" t="n">
        <v>-10.75</v>
      </c>
    </row>
    <row r="116">
      <c r="A116">
        <f>I116&amp;"-"&amp;J116</f>
        <v/>
      </c>
      <c r="B116" s="1">
        <f>N116</f>
        <v/>
      </c>
      <c r="C116">
        <f>M116&amp;"/"&amp;O116</f>
        <v/>
      </c>
      <c r="D116">
        <f>K116</f>
        <v/>
      </c>
      <c r="E116">
        <f>L116</f>
        <v/>
      </c>
      <c r="F116" s="236">
        <f>Z116</f>
        <v/>
      </c>
      <c r="G116">
        <f>U116&amp;"%"</f>
        <v/>
      </c>
      <c r="I116" s="53" t="n">
        <v>2023</v>
      </c>
      <c r="J116" s="53" t="n">
        <v>115</v>
      </c>
      <c r="K116" s="71" t="inlineStr">
        <is>
          <t>Ausgaben</t>
        </is>
      </c>
      <c r="L116" t="inlineStr">
        <is>
          <t>sonstige Betriebsausgaben</t>
        </is>
      </c>
      <c r="N116" s="1" t="n">
        <v>45112</v>
      </c>
      <c r="O116" t="inlineStr">
        <is>
          <t>go green energy GmbH &amp; Co KG</t>
        </is>
      </c>
      <c r="Q116" s="76" t="n"/>
      <c r="R116" t="b">
        <v>0</v>
      </c>
      <c r="S116" s="214" t="n">
        <v>5</v>
      </c>
      <c r="T116" s="159" t="n">
        <v>1</v>
      </c>
      <c r="U116" t="n">
        <v>20</v>
      </c>
      <c r="V116" s="237" t="n">
        <v>1</v>
      </c>
      <c r="W116" s="237" t="n">
        <v>1</v>
      </c>
      <c r="X116" s="208" t="n">
        <v>5</v>
      </c>
      <c r="Y116" s="251" t="n">
        <v>6</v>
      </c>
      <c r="Z116" s="251" t="n">
        <v>6</v>
      </c>
      <c r="AA116" s="35" t="n">
        <v>45184</v>
      </c>
      <c r="AB116" s="27" t="n"/>
      <c r="AC116" s="27" t="n"/>
      <c r="AD116" s="210" t="n">
        <v>5</v>
      </c>
      <c r="AE116" s="237" t="n">
        <v>0</v>
      </c>
      <c r="AF116" t="b">
        <v>0</v>
      </c>
      <c r="AG116" s="228" t="n">
        <v>-5</v>
      </c>
    </row>
    <row r="117">
      <c r="A117">
        <f>I117&amp;"-"&amp;J117</f>
        <v/>
      </c>
      <c r="B117" s="1">
        <f>N117</f>
        <v/>
      </c>
      <c r="C117">
        <f>M117&amp;"/"&amp;O117</f>
        <v/>
      </c>
      <c r="D117">
        <f>K117</f>
        <v/>
      </c>
      <c r="E117">
        <f>L117</f>
        <v/>
      </c>
      <c r="F117" s="236">
        <f>Z117</f>
        <v/>
      </c>
      <c r="G117">
        <f>U117&amp;"%"</f>
        <v/>
      </c>
      <c r="I117" s="53" t="n">
        <v>2023</v>
      </c>
      <c r="J117" s="53" t="n">
        <v>116</v>
      </c>
      <c r="K117" s="71" t="inlineStr">
        <is>
          <t>Einnahmen</t>
        </is>
      </c>
      <c r="L117" t="inlineStr">
        <is>
          <t>Waren-/Leistungserlöse</t>
        </is>
      </c>
      <c r="M117" s="163" t="inlineStr">
        <is>
          <t>12023013</t>
        </is>
      </c>
      <c r="N117" s="1" t="n">
        <v>45113</v>
      </c>
      <c r="O117" t="inlineStr">
        <is>
          <t>Kolbitsch Engineering &amp; Consulting KNr 45</t>
        </is>
      </c>
      <c r="Q117" s="76" t="n"/>
      <c r="R117" t="b">
        <v>0</v>
      </c>
      <c r="S117" s="214" t="n">
        <v>388.0000000000001</v>
      </c>
      <c r="T117" s="159" t="n">
        <v>1</v>
      </c>
      <c r="U117" t="n">
        <v>20</v>
      </c>
      <c r="V117" s="237" t="n">
        <v>77.60000000000001</v>
      </c>
      <c r="W117" s="237" t="n">
        <v>77.60000000000001</v>
      </c>
      <c r="X117" s="208" t="n">
        <v>388.0000000000001</v>
      </c>
      <c r="Y117" s="251" t="n">
        <v>465.6000000000001</v>
      </c>
      <c r="Z117" s="251" t="n">
        <v>465.6000000000001</v>
      </c>
      <c r="AA117" s="35" t="n">
        <v>45245</v>
      </c>
      <c r="AB117" s="27" t="n"/>
      <c r="AC117" s="27" t="n"/>
      <c r="AD117" s="210" t="n">
        <v>388.0000000000001</v>
      </c>
      <c r="AE117" s="237" t="n">
        <v>0</v>
      </c>
      <c r="AF117" t="b">
        <v>0</v>
      </c>
      <c r="AG117" s="228" t="n">
        <v>388.0000000000001</v>
      </c>
    </row>
    <row r="118">
      <c r="A118">
        <f>I118&amp;"-"&amp;J118</f>
        <v/>
      </c>
      <c r="B118" s="1">
        <f>N118</f>
        <v/>
      </c>
      <c r="C118">
        <f>M118&amp;"/"&amp;O118</f>
        <v/>
      </c>
      <c r="D118">
        <f>K118</f>
        <v/>
      </c>
      <c r="E118">
        <f>L118</f>
        <v/>
      </c>
      <c r="F118" s="236">
        <f>Z118</f>
        <v/>
      </c>
      <c r="G118">
        <f>U118&amp;"%"</f>
        <v/>
      </c>
      <c r="I118" s="53" t="n">
        <v>2023</v>
      </c>
      <c r="J118" s="53" t="n">
        <v>117</v>
      </c>
      <c r="K118" s="71" t="inlineStr">
        <is>
          <t>Ausgaben</t>
        </is>
      </c>
      <c r="L118" t="inlineStr">
        <is>
          <t>Miet- und Pachtaufwand, Leasing</t>
        </is>
      </c>
      <c r="M118" s="61" t="inlineStr">
        <is>
          <t>BELEG FEHLT</t>
        </is>
      </c>
      <c r="N118" s="1" t="n">
        <v>45114</v>
      </c>
      <c r="O118" t="inlineStr">
        <is>
          <t>Techem Messtechnik GmbH; Abnehmernummer 501686-0003-11-</t>
        </is>
      </c>
      <c r="Q118" s="76" t="n"/>
      <c r="R118" t="b">
        <v>0</v>
      </c>
      <c r="S118" s="214" t="n">
        <v>122.6</v>
      </c>
      <c r="T118" s="159" t="n">
        <v>1</v>
      </c>
      <c r="U118" t="n">
        <v>20</v>
      </c>
      <c r="V118" s="237" t="n">
        <v>24.52</v>
      </c>
      <c r="W118" s="237" t="n">
        <v>24.52</v>
      </c>
      <c r="X118" s="208" t="n">
        <v>122.6</v>
      </c>
      <c r="Y118" s="251" t="n">
        <v>147.12</v>
      </c>
      <c r="Z118" s="251" t="n">
        <v>147.12</v>
      </c>
      <c r="AA118" s="35" t="n">
        <v>45184</v>
      </c>
      <c r="AB118" s="27" t="n"/>
      <c r="AC118" s="27" t="n"/>
      <c r="AD118" s="210" t="n">
        <v>122.6</v>
      </c>
      <c r="AE118" s="237" t="n">
        <v>0</v>
      </c>
      <c r="AF118" t="b">
        <v>0</v>
      </c>
      <c r="AG118" s="228" t="n">
        <v>-122.6</v>
      </c>
    </row>
    <row r="119">
      <c r="A119">
        <f>I119&amp;"-"&amp;J119</f>
        <v/>
      </c>
      <c r="B119" s="1">
        <f>N119</f>
        <v/>
      </c>
      <c r="C119">
        <f>M119&amp;"/"&amp;O119</f>
        <v/>
      </c>
      <c r="D119">
        <f>K119</f>
        <v/>
      </c>
      <c r="E119">
        <f>L119</f>
        <v/>
      </c>
      <c r="F119" s="236">
        <f>Z119</f>
        <v/>
      </c>
      <c r="G119">
        <f>U119&amp;"%"</f>
        <v/>
      </c>
      <c r="I119" s="53" t="n">
        <v>2023</v>
      </c>
      <c r="J119" s="53" t="n">
        <v>118</v>
      </c>
      <c r="K119" s="71" t="inlineStr">
        <is>
          <t>Ausgaben</t>
        </is>
      </c>
      <c r="L119" t="inlineStr">
        <is>
          <t>sonstige Betriebsausgaben</t>
        </is>
      </c>
      <c r="M119" s="61" t="inlineStr">
        <is>
          <t>BELEG FEHLT</t>
        </is>
      </c>
      <c r="N119" s="1" t="n">
        <v>45117</v>
      </c>
      <c r="O119" t="inlineStr">
        <is>
          <t>Wiener Netze GmbH, Erdbergstraße 236, 1110 Wien, Postfach 422; Jahresabrechnung vom 17.12.20: GUTSCHRIFT</t>
        </is>
      </c>
      <c r="Q119" s="76" t="n"/>
      <c r="R119" t="b">
        <v>0</v>
      </c>
      <c r="S119" s="214" t="n">
        <v>12</v>
      </c>
      <c r="T119" s="159" t="n">
        <v>1</v>
      </c>
      <c r="U119" t="n">
        <v>20</v>
      </c>
      <c r="V119" s="237" t="n">
        <v>2.4</v>
      </c>
      <c r="W119" s="237" t="n">
        <v>2.4</v>
      </c>
      <c r="X119" s="208" t="n">
        <v>12</v>
      </c>
      <c r="Y119" s="251" t="n">
        <v>14.4</v>
      </c>
      <c r="Z119" s="251" t="n">
        <v>14.4</v>
      </c>
      <c r="AA119" s="35" t="n">
        <v>45184</v>
      </c>
      <c r="AB119" s="27" t="n"/>
      <c r="AC119" s="27" t="n"/>
      <c r="AD119" s="210" t="n">
        <v>12</v>
      </c>
      <c r="AE119" s="237" t="n">
        <v>0</v>
      </c>
      <c r="AF119" t="b">
        <v>0</v>
      </c>
      <c r="AG119" s="228" t="n">
        <v>-12</v>
      </c>
    </row>
    <row r="120">
      <c r="A120">
        <f>I120&amp;"-"&amp;J120</f>
        <v/>
      </c>
      <c r="B120" s="1">
        <f>N120</f>
        <v/>
      </c>
      <c r="C120">
        <f>M120&amp;"/"&amp;O120</f>
        <v/>
      </c>
      <c r="D120">
        <f>K120</f>
        <v/>
      </c>
      <c r="E120">
        <f>L120</f>
        <v/>
      </c>
      <c r="F120" s="236">
        <f>Z120</f>
        <v/>
      </c>
      <c r="G120">
        <f>U120&amp;"%"</f>
        <v/>
      </c>
      <c r="I120" s="53" t="n">
        <v>2023</v>
      </c>
      <c r="J120" s="53" t="n">
        <v>119</v>
      </c>
      <c r="K120" s="71" t="inlineStr">
        <is>
          <t>Einnahmen</t>
        </is>
      </c>
      <c r="L120" t="inlineStr">
        <is>
          <t>Waren-/Leistungserlöse</t>
        </is>
      </c>
      <c r="M120" t="n">
        <v>12023012</v>
      </c>
      <c r="N120" s="1" t="n">
        <v>45120</v>
      </c>
      <c r="O120" t="inlineStr">
        <is>
          <t>Paperholic all bout paper e.U.</t>
        </is>
      </c>
      <c r="Q120" s="76" t="n"/>
      <c r="R120" t="b">
        <v>0</v>
      </c>
      <c r="S120" s="214" t="n">
        <v>27.40833333333333</v>
      </c>
      <c r="T120" s="159" t="n">
        <v>1</v>
      </c>
      <c r="U120" t="n">
        <v>20</v>
      </c>
      <c r="V120" s="237" t="n">
        <v>5.481666666666667</v>
      </c>
      <c r="W120" s="237" t="n">
        <v>5.481666666666667</v>
      </c>
      <c r="X120" s="208" t="n">
        <v>27.40833333333333</v>
      </c>
      <c r="Y120" s="251" t="n">
        <v>32.89</v>
      </c>
      <c r="Z120" s="251" t="n">
        <v>32.89</v>
      </c>
      <c r="AA120" s="35" t="n">
        <v>45184</v>
      </c>
      <c r="AB120" s="27" t="n"/>
      <c r="AC120" s="27" t="n"/>
      <c r="AD120" s="210" t="n">
        <v>27.40833333333333</v>
      </c>
      <c r="AE120" s="237" t="n">
        <v>0</v>
      </c>
      <c r="AF120" t="b">
        <v>0</v>
      </c>
      <c r="AG120" s="228" t="n">
        <v>27.40833333333333</v>
      </c>
    </row>
    <row r="121">
      <c r="A121">
        <f>I121&amp;"-"&amp;J121</f>
        <v/>
      </c>
      <c r="B121" s="1">
        <f>N121</f>
        <v/>
      </c>
      <c r="C121">
        <f>M121&amp;"/"&amp;O121</f>
        <v/>
      </c>
      <c r="D121">
        <f>K121</f>
        <v/>
      </c>
      <c r="E121">
        <f>L121</f>
        <v/>
      </c>
      <c r="F121" s="236">
        <f>Z121</f>
        <v/>
      </c>
      <c r="G121">
        <f>U121&amp;"%"</f>
        <v/>
      </c>
      <c r="I121" s="53" t="n">
        <v>2023</v>
      </c>
      <c r="J121" s="53" t="n">
        <v>120</v>
      </c>
      <c r="K121" s="71" t="inlineStr">
        <is>
          <t>Ausgaben</t>
        </is>
      </c>
      <c r="L121" t="inlineStr">
        <is>
          <t>sonstige Betriebsausgaben</t>
        </is>
      </c>
      <c r="M121" s="9" t="n"/>
      <c r="N121" s="1" t="n">
        <v>45120</v>
      </c>
      <c r="O121" t="inlineStr">
        <is>
          <t>Hetzner Online GmbH</t>
        </is>
      </c>
      <c r="Q121" s="76" t="n"/>
      <c r="R121" t="b">
        <v>0</v>
      </c>
      <c r="S121" s="214" t="n">
        <v>52.2141</v>
      </c>
      <c r="T121" s="159" t="n">
        <v>1</v>
      </c>
      <c r="U121" t="n">
        <v>0</v>
      </c>
      <c r="V121" s="237" t="n">
        <v>0</v>
      </c>
      <c r="W121" s="237" t="n">
        <v>0</v>
      </c>
      <c r="X121" s="208" t="n">
        <v>52.2141</v>
      </c>
      <c r="Y121" s="251" t="n">
        <v>52.2141</v>
      </c>
      <c r="Z121" s="251" t="n">
        <v>52.2141</v>
      </c>
      <c r="AA121" s="35" t="n">
        <v>45184</v>
      </c>
      <c r="AB121" s="27" t="n"/>
      <c r="AC121" s="27" t="n">
        <v>20</v>
      </c>
      <c r="AD121" s="210" t="n">
        <v>52.2141</v>
      </c>
      <c r="AE121" s="237" t="n">
        <v>10.44282</v>
      </c>
      <c r="AF121" t="b">
        <v>0</v>
      </c>
      <c r="AG121" s="228" t="n">
        <v>-52.2141</v>
      </c>
    </row>
    <row r="122">
      <c r="A122">
        <f>I122&amp;"-"&amp;J122</f>
        <v/>
      </c>
      <c r="B122" s="1">
        <f>N122</f>
        <v/>
      </c>
      <c r="C122">
        <f>M122&amp;"/"&amp;O122</f>
        <v/>
      </c>
      <c r="D122">
        <f>K122</f>
        <v/>
      </c>
      <c r="E122">
        <f>L122</f>
        <v/>
      </c>
      <c r="F122" s="236">
        <f>Z122</f>
        <v/>
      </c>
      <c r="G122">
        <f>U122&amp;"%"</f>
        <v/>
      </c>
      <c r="I122" s="53" t="n">
        <v>2023</v>
      </c>
      <c r="J122" s="53" t="n">
        <v>121</v>
      </c>
      <c r="K122" s="71" t="inlineStr">
        <is>
          <t>Einnahmen</t>
        </is>
      </c>
      <c r="L122" t="inlineStr">
        <is>
          <t>Waren-/Leistungserlöse</t>
        </is>
      </c>
      <c r="M122" s="39" t="inlineStr">
        <is>
          <t>12023014+12023015</t>
        </is>
      </c>
      <c r="N122" s="1" t="n">
        <v>45121</v>
      </c>
      <c r="O122" t="inlineStr">
        <is>
          <t>Hays Österreich GmbH, Bahnhof City Wien West , Europaplatz 3/5, 1150 Wien</t>
        </is>
      </c>
      <c r="Q122" s="76" t="n"/>
      <c r="R122" t="b">
        <v>0</v>
      </c>
      <c r="S122" s="214" t="n">
        <v>15118.65</v>
      </c>
      <c r="T122" s="159" t="n">
        <v>1</v>
      </c>
      <c r="U122" t="n">
        <v>20</v>
      </c>
      <c r="V122" s="237" t="n">
        <v>3023.73</v>
      </c>
      <c r="W122" s="237" t="n">
        <v>3023.73</v>
      </c>
      <c r="X122" s="208" t="n">
        <v>15118.65</v>
      </c>
      <c r="Y122" s="251" t="n">
        <v>18142.38</v>
      </c>
      <c r="Z122" s="251" t="n">
        <v>18142.38</v>
      </c>
      <c r="AA122" s="35" t="n">
        <v>45184</v>
      </c>
      <c r="AB122" s="27" t="n"/>
      <c r="AC122" s="27" t="n"/>
      <c r="AD122" s="210" t="n">
        <v>15118.65</v>
      </c>
      <c r="AE122" s="237" t="n">
        <v>0</v>
      </c>
      <c r="AF122" t="b">
        <v>0</v>
      </c>
      <c r="AG122" s="228" t="n">
        <v>15118.65</v>
      </c>
    </row>
    <row r="123">
      <c r="A123">
        <f>I123&amp;"-"&amp;J123</f>
        <v/>
      </c>
      <c r="B123" s="1">
        <f>N123</f>
        <v/>
      </c>
      <c r="C123">
        <f>M123&amp;"/"&amp;O123</f>
        <v/>
      </c>
      <c r="D123">
        <f>K123</f>
        <v/>
      </c>
      <c r="E123">
        <f>L123</f>
        <v/>
      </c>
      <c r="F123" s="236">
        <f>Z123</f>
        <v/>
      </c>
      <c r="G123">
        <f>U123&amp;"%"</f>
        <v/>
      </c>
      <c r="I123" s="53" t="n">
        <v>2023</v>
      </c>
      <c r="J123" s="53" t="n">
        <v>122</v>
      </c>
      <c r="K123" s="71" t="inlineStr">
        <is>
          <t>Ausgaben</t>
        </is>
      </c>
      <c r="L123" t="inlineStr">
        <is>
          <t>Personalaufwand</t>
        </is>
      </c>
      <c r="M123" s="9" t="inlineStr">
        <is>
          <t>siehe 2022-140</t>
        </is>
      </c>
      <c r="N123" s="1" t="n">
        <v>45124</v>
      </c>
      <c r="O123" t="inlineStr">
        <is>
          <t>Honorar Eva Jaros-Kolbitsch</t>
        </is>
      </c>
      <c r="Q123" s="76" t="n"/>
      <c r="R123" t="b">
        <v>0</v>
      </c>
      <c r="S123" s="214" t="n">
        <v>365</v>
      </c>
      <c r="T123" s="159" t="n">
        <v>1</v>
      </c>
      <c r="U123" t="n">
        <v>0</v>
      </c>
      <c r="V123" s="237" t="n">
        <v>0</v>
      </c>
      <c r="W123" s="237" t="n">
        <v>0</v>
      </c>
      <c r="X123" s="208" t="n">
        <v>365</v>
      </c>
      <c r="Y123" s="251" t="n">
        <v>365</v>
      </c>
      <c r="Z123" s="251" t="n">
        <v>365</v>
      </c>
      <c r="AA123" s="35" t="n">
        <v>45184</v>
      </c>
      <c r="AB123" s="27" t="n"/>
      <c r="AC123" s="27" t="n"/>
      <c r="AD123" s="210" t="n">
        <v>365</v>
      </c>
      <c r="AE123" s="237" t="n">
        <v>0</v>
      </c>
      <c r="AF123" t="b">
        <v>0</v>
      </c>
      <c r="AG123" s="228" t="n">
        <v>-365</v>
      </c>
    </row>
    <row r="124">
      <c r="A124">
        <f>I124&amp;"-"&amp;J124</f>
        <v/>
      </c>
      <c r="B124" s="1">
        <f>N124</f>
        <v/>
      </c>
      <c r="C124">
        <f>M124&amp;"/"&amp;O124</f>
        <v/>
      </c>
      <c r="D124">
        <f>K124</f>
        <v/>
      </c>
      <c r="E124">
        <f>L124</f>
        <v/>
      </c>
      <c r="F124" s="236">
        <f>Z124</f>
        <v/>
      </c>
      <c r="G124">
        <f>U124&amp;"%"</f>
        <v/>
      </c>
      <c r="I124" s="53" t="n">
        <v>2023</v>
      </c>
      <c r="J124" s="53" t="n">
        <v>123</v>
      </c>
      <c r="K124" s="71" t="inlineStr">
        <is>
          <t>Ausgaben</t>
        </is>
      </c>
      <c r="L124" t="inlineStr">
        <is>
          <t>sonstige Betriebsausgaben</t>
        </is>
      </c>
      <c r="M124" s="1" t="n"/>
      <c r="N124" s="1" t="n">
        <v>45127</v>
      </c>
      <c r="O124" t="inlineStr">
        <is>
          <t>Microsoft Ireland Operations Ltd. One Microsoft Place, South County, Business Park, Leopardstown, Dublin 18, D18 P521, Ireland</t>
        </is>
      </c>
      <c r="Q124" s="76" t="n"/>
      <c r="R124" t="b">
        <v>0</v>
      </c>
      <c r="S124" s="214" t="n">
        <v>10.5</v>
      </c>
      <c r="T124" s="159" t="n">
        <v>1</v>
      </c>
      <c r="U124" t="n">
        <v>0</v>
      </c>
      <c r="V124" s="237" t="n">
        <v>0</v>
      </c>
      <c r="W124" s="237" t="n">
        <v>0</v>
      </c>
      <c r="X124" s="208" t="n">
        <v>10.5</v>
      </c>
      <c r="Y124" s="251" t="n">
        <v>10.5</v>
      </c>
      <c r="Z124" s="251" t="n">
        <v>10.5</v>
      </c>
      <c r="AA124" s="35" t="n">
        <v>45184</v>
      </c>
      <c r="AB124" s="27" t="n"/>
      <c r="AC124" s="27" t="n">
        <v>20</v>
      </c>
      <c r="AD124" s="210" t="n">
        <v>10.5</v>
      </c>
      <c r="AE124" s="237" t="n">
        <v>2.1</v>
      </c>
      <c r="AF124" t="b">
        <v>0</v>
      </c>
      <c r="AG124" s="228" t="n">
        <v>-10.5</v>
      </c>
    </row>
    <row r="125">
      <c r="A125">
        <f>I125&amp;"-"&amp;J125</f>
        <v/>
      </c>
      <c r="B125" s="1">
        <f>N125</f>
        <v/>
      </c>
      <c r="C125">
        <f>M125&amp;"/"&amp;O125</f>
        <v/>
      </c>
      <c r="D125">
        <f>K125</f>
        <v/>
      </c>
      <c r="E125">
        <f>L125</f>
        <v/>
      </c>
      <c r="F125" s="236">
        <f>Z125</f>
        <v/>
      </c>
      <c r="G125">
        <f>U125&amp;"%"</f>
        <v/>
      </c>
      <c r="I125" s="53" t="n">
        <v>2023</v>
      </c>
      <c r="J125" s="53" t="n">
        <v>124</v>
      </c>
      <c r="K125" s="71" t="inlineStr">
        <is>
          <t>Ausgaben</t>
        </is>
      </c>
      <c r="L125" t="inlineStr">
        <is>
          <t>Telefon/Internet</t>
        </is>
      </c>
      <c r="M125" s="131" t="n"/>
      <c r="N125" s="1" t="n">
        <v>45128</v>
      </c>
      <c r="O125" t="inlineStr">
        <is>
          <t>Magenta: T-Mobile Austria GmbH, A-1120 Wien, PF 47</t>
        </is>
      </c>
      <c r="Q125" s="76" t="n"/>
      <c r="R125" t="b">
        <v>0</v>
      </c>
      <c r="S125" s="214" t="n">
        <v>31.92</v>
      </c>
      <c r="T125" s="159" t="n">
        <v>1</v>
      </c>
      <c r="U125" t="n">
        <v>20</v>
      </c>
      <c r="V125" s="237" t="n">
        <v>6.384000000000001</v>
      </c>
      <c r="W125" s="237" t="n">
        <v>6.384000000000001</v>
      </c>
      <c r="X125" s="208" t="n">
        <v>31.92</v>
      </c>
      <c r="Y125" s="251" t="n">
        <v>38.304</v>
      </c>
      <c r="Z125" s="251" t="n">
        <v>38.304</v>
      </c>
      <c r="AA125" s="35" t="n">
        <v>45184</v>
      </c>
      <c r="AB125" s="27" t="n"/>
      <c r="AC125" s="27" t="n"/>
      <c r="AD125" s="210" t="n">
        <v>31.92</v>
      </c>
      <c r="AE125" s="237" t="n">
        <v>0</v>
      </c>
      <c r="AF125" t="b">
        <v>0</v>
      </c>
      <c r="AG125" s="228" t="n">
        <v>-31.92</v>
      </c>
    </row>
    <row r="126">
      <c r="A126">
        <f>I126&amp;"-"&amp;J126</f>
        <v/>
      </c>
      <c r="B126" s="1">
        <f>N126</f>
        <v/>
      </c>
      <c r="C126">
        <f>M126&amp;"/"&amp;O126</f>
        <v/>
      </c>
      <c r="D126">
        <f>K126</f>
        <v/>
      </c>
      <c r="E126">
        <f>L126</f>
        <v/>
      </c>
      <c r="F126" s="236">
        <f>Z126</f>
        <v/>
      </c>
      <c r="G126">
        <f>U126&amp;"%"</f>
        <v/>
      </c>
      <c r="I126" s="53" t="n">
        <v>2023</v>
      </c>
      <c r="J126" s="53" t="n">
        <v>125</v>
      </c>
      <c r="K126" s="71" t="inlineStr">
        <is>
          <t>Ausgaben</t>
        </is>
      </c>
      <c r="L126" t="inlineStr">
        <is>
          <t>sonstige Betriebsausgaben</t>
        </is>
      </c>
      <c r="M126" s="9" t="inlineStr">
        <is>
          <t>933382</t>
        </is>
      </c>
      <c r="N126" s="1" t="n">
        <v>45132</v>
      </c>
      <c r="O126" t="inlineStr">
        <is>
          <t>Lemon Technologies GmbH, Unterweißenbach 181, 8330 Feldbach: Dell Precision 3580 Laptop</t>
        </is>
      </c>
      <c r="P126" t="n">
        <v>3</v>
      </c>
      <c r="Q126" s="76" t="n"/>
      <c r="R126" t="b">
        <v>1</v>
      </c>
      <c r="S126" s="214" t="n">
        <v>1848.55</v>
      </c>
      <c r="T126" s="159" t="n">
        <v>1</v>
      </c>
      <c r="U126" t="n">
        <v>20</v>
      </c>
      <c r="V126" s="237" t="n">
        <v>369.71</v>
      </c>
      <c r="W126" s="237" t="n">
        <v>369.71</v>
      </c>
      <c r="X126" s="208" t="n">
        <v>1848.55</v>
      </c>
      <c r="Y126" s="251" t="n">
        <v>2218.26</v>
      </c>
      <c r="Z126" s="251" t="n">
        <v>2218.26</v>
      </c>
      <c r="AA126" s="35" t="n">
        <v>45245</v>
      </c>
      <c r="AB126" s="27" t="n"/>
      <c r="AC126" s="27" t="n"/>
      <c r="AD126" s="210" t="n">
        <v>616.1833333333333</v>
      </c>
      <c r="AE126" s="237" t="n">
        <v>0</v>
      </c>
      <c r="AF126" t="b">
        <v>0</v>
      </c>
      <c r="AG126" s="228" t="n">
        <v>-1848.55</v>
      </c>
    </row>
    <row r="127">
      <c r="A127">
        <f>I127&amp;"-"&amp;J127</f>
        <v/>
      </c>
      <c r="B127" s="1">
        <f>N127</f>
        <v/>
      </c>
      <c r="C127">
        <f>M127&amp;"/"&amp;O127</f>
        <v/>
      </c>
      <c r="D127">
        <f>K127</f>
        <v/>
      </c>
      <c r="E127">
        <f>L127</f>
        <v/>
      </c>
      <c r="F127" s="236">
        <f>Z127</f>
        <v/>
      </c>
      <c r="G127">
        <f>U127&amp;"%"</f>
        <v/>
      </c>
      <c r="I127" s="53" t="n">
        <v>2023</v>
      </c>
      <c r="J127" s="53" t="n">
        <v>126</v>
      </c>
      <c r="K127" s="71" t="inlineStr">
        <is>
          <t>Ausgaben</t>
        </is>
      </c>
      <c r="L127" t="inlineStr">
        <is>
          <t>Miet- und Pachtaufwand, Leasing</t>
        </is>
      </c>
      <c r="M127" s="9" t="n"/>
      <c r="N127" s="1" t="n">
        <v>45139</v>
      </c>
      <c r="O127" t="inlineStr">
        <is>
          <t>Bontus Immobilienverwaltung GmbH, 1010 Wien, Franz Josefs Kai 65</t>
        </is>
      </c>
      <c r="Q127" s="76" t="n"/>
      <c r="R127" t="b">
        <v>0</v>
      </c>
      <c r="S127" s="214" t="n">
        <v>533.1083333333333</v>
      </c>
      <c r="T127" s="159" t="n">
        <v>1</v>
      </c>
      <c r="U127" t="n">
        <v>20</v>
      </c>
      <c r="V127" s="237" t="n">
        <v>106.6216666666667</v>
      </c>
      <c r="W127" s="237" t="n">
        <v>106.6216666666667</v>
      </c>
      <c r="X127" s="208" t="n">
        <v>533.1083333333333</v>
      </c>
      <c r="Y127" s="251" t="n">
        <v>639.73</v>
      </c>
      <c r="Z127" s="251" t="n">
        <v>639.73</v>
      </c>
      <c r="AA127" s="35" t="n">
        <v>45214</v>
      </c>
      <c r="AB127" s="27" t="n"/>
      <c r="AC127" s="27" t="n"/>
      <c r="AD127" s="210" t="n">
        <v>533.1083333333333</v>
      </c>
      <c r="AE127" s="237" t="n">
        <v>0</v>
      </c>
      <c r="AF127" t="b">
        <v>0</v>
      </c>
      <c r="AG127" s="228" t="n">
        <v>-533.1083333333333</v>
      </c>
    </row>
    <row r="128">
      <c r="A128">
        <f>I128&amp;"-"&amp;J128</f>
        <v/>
      </c>
      <c r="B128" s="1">
        <f>N128</f>
        <v/>
      </c>
      <c r="C128">
        <f>M128&amp;"/"&amp;O128</f>
        <v/>
      </c>
      <c r="D128">
        <f>K128</f>
        <v/>
      </c>
      <c r="E128">
        <f>L128</f>
        <v/>
      </c>
      <c r="F128" s="236">
        <f>Z128</f>
        <v/>
      </c>
      <c r="G128">
        <f>U128&amp;"%"</f>
        <v/>
      </c>
      <c r="I128" s="53" t="n">
        <v>2023</v>
      </c>
      <c r="J128" s="53" t="n">
        <v>127</v>
      </c>
      <c r="K128" s="71" t="inlineStr">
        <is>
          <t>Ausgaben</t>
        </is>
      </c>
      <c r="L128" t="inlineStr">
        <is>
          <t>sonstige Betriebsausgaben</t>
        </is>
      </c>
      <c r="N128" s="1" t="n">
        <v>45141</v>
      </c>
      <c r="O128" t="inlineStr">
        <is>
          <t>Google Ireland Ltd, Gordon House, Barrow Street, Dublin 4, Ireland; VAT number: IE 6388047V</t>
        </is>
      </c>
      <c r="Q128" s="76" t="n"/>
      <c r="R128" t="b">
        <v>0</v>
      </c>
      <c r="S128" s="214" t="n">
        <v>10.4</v>
      </c>
      <c r="T128" s="159" t="n">
        <v>1</v>
      </c>
      <c r="U128" t="n">
        <v>0</v>
      </c>
      <c r="V128" s="237" t="n">
        <v>0</v>
      </c>
      <c r="W128" s="237" t="n">
        <v>0</v>
      </c>
      <c r="X128" s="208" t="n">
        <v>10.4</v>
      </c>
      <c r="Y128" s="251" t="n">
        <v>10.4</v>
      </c>
      <c r="Z128" s="251" t="n">
        <v>10.4</v>
      </c>
      <c r="AA128" s="35" t="n">
        <v>45214</v>
      </c>
      <c r="AB128" s="27" t="n"/>
      <c r="AC128" s="27" t="n">
        <v>20</v>
      </c>
      <c r="AD128" s="210" t="n">
        <v>10.4</v>
      </c>
      <c r="AE128" s="237" t="n">
        <v>2.08</v>
      </c>
      <c r="AF128" t="b">
        <v>0</v>
      </c>
      <c r="AG128" s="228" t="n">
        <v>-10.4</v>
      </c>
    </row>
    <row r="129">
      <c r="A129">
        <f>I129&amp;"-"&amp;J129</f>
        <v/>
      </c>
      <c r="B129" s="1">
        <f>N129</f>
        <v/>
      </c>
      <c r="C129">
        <f>M129&amp;"/"&amp;O129</f>
        <v/>
      </c>
      <c r="D129">
        <f>K129</f>
        <v/>
      </c>
      <c r="E129">
        <f>L129</f>
        <v/>
      </c>
      <c r="F129" s="236">
        <f>Z129</f>
        <v/>
      </c>
      <c r="G129">
        <f>U129&amp;"%"</f>
        <v/>
      </c>
      <c r="I129" s="53" t="n">
        <v>2023</v>
      </c>
      <c r="J129" s="53" t="n">
        <v>128</v>
      </c>
      <c r="K129" s="71" t="inlineStr">
        <is>
          <t>Ausgaben</t>
        </is>
      </c>
      <c r="L129" t="inlineStr">
        <is>
          <t>sonstige Betriebsausgaben</t>
        </is>
      </c>
      <c r="N129" s="1" t="n">
        <v>45141</v>
      </c>
      <c r="O129" t="inlineStr">
        <is>
          <t>go green energy GmbH &amp; Co KG</t>
        </is>
      </c>
      <c r="Q129" s="76" t="n"/>
      <c r="R129" t="b">
        <v>0</v>
      </c>
      <c r="S129" s="214" t="n">
        <v>5</v>
      </c>
      <c r="T129" s="159" t="n">
        <v>1</v>
      </c>
      <c r="U129" t="n">
        <v>20</v>
      </c>
      <c r="V129" s="237" t="n">
        <v>1</v>
      </c>
      <c r="W129" s="237" t="n">
        <v>1</v>
      </c>
      <c r="X129" s="208" t="n">
        <v>5</v>
      </c>
      <c r="Y129" s="251" t="n">
        <v>6</v>
      </c>
      <c r="Z129" s="251" t="n">
        <v>6</v>
      </c>
      <c r="AA129" s="35" t="n">
        <v>45214</v>
      </c>
      <c r="AB129" s="27" t="n"/>
      <c r="AC129" s="27" t="n"/>
      <c r="AD129" s="210" t="n">
        <v>5</v>
      </c>
      <c r="AE129" s="237" t="n">
        <v>0</v>
      </c>
      <c r="AF129" t="b">
        <v>0</v>
      </c>
      <c r="AG129" s="228" t="n">
        <v>-5</v>
      </c>
    </row>
    <row r="130">
      <c r="A130">
        <f>I130&amp;"-"&amp;J130</f>
        <v/>
      </c>
      <c r="B130" s="1">
        <f>N130</f>
        <v/>
      </c>
      <c r="C130">
        <f>M130&amp;"/"&amp;O130</f>
        <v/>
      </c>
      <c r="D130">
        <f>K130</f>
        <v/>
      </c>
      <c r="E130">
        <f>L130</f>
        <v/>
      </c>
      <c r="F130" s="236">
        <f>Z130</f>
        <v/>
      </c>
      <c r="G130">
        <f>U130&amp;"%"</f>
        <v/>
      </c>
      <c r="I130" s="53" t="n">
        <v>2023</v>
      </c>
      <c r="J130" s="53" t="n">
        <v>129</v>
      </c>
      <c r="K130" s="71" t="inlineStr">
        <is>
          <t>Ausgaben</t>
        </is>
      </c>
      <c r="L130" t="inlineStr">
        <is>
          <t>Telefon/Internet</t>
        </is>
      </c>
      <c r="M130" s="9" t="n"/>
      <c r="N130" s="1" t="n">
        <v>45141</v>
      </c>
      <c r="O130" t="inlineStr">
        <is>
          <t>Hutchison Drei Austria GmbH, Brünner Straße 52, 1210 Wien, Österreich</t>
        </is>
      </c>
      <c r="Q130" s="76" t="n"/>
      <c r="R130" t="b">
        <v>0</v>
      </c>
      <c r="S130" s="214" t="n">
        <v>10.75</v>
      </c>
      <c r="T130" s="159" t="n">
        <v>1</v>
      </c>
      <c r="U130" t="n">
        <v>20</v>
      </c>
      <c r="V130" s="237" t="n">
        <v>2.15</v>
      </c>
      <c r="W130" s="237" t="n">
        <v>2.15</v>
      </c>
      <c r="X130" s="208" t="n">
        <v>10.75</v>
      </c>
      <c r="Y130" s="251" t="n">
        <v>12.9</v>
      </c>
      <c r="Z130" s="251" t="n">
        <v>12.9</v>
      </c>
      <c r="AA130" s="35" t="n">
        <v>45214</v>
      </c>
      <c r="AB130" s="27" t="n"/>
      <c r="AC130" s="27" t="n"/>
      <c r="AD130" s="210" t="n">
        <v>10.75</v>
      </c>
      <c r="AE130" s="237" t="n">
        <v>0</v>
      </c>
      <c r="AF130" t="b">
        <v>0</v>
      </c>
      <c r="AG130" s="228" t="n">
        <v>-10.75</v>
      </c>
    </row>
    <row r="131">
      <c r="A131">
        <f>I131&amp;"-"&amp;J131</f>
        <v/>
      </c>
      <c r="B131" s="1">
        <f>N131</f>
        <v/>
      </c>
      <c r="C131">
        <f>M131&amp;"/"&amp;O131</f>
        <v/>
      </c>
      <c r="D131">
        <f>K131</f>
        <v/>
      </c>
      <c r="E131">
        <f>L131</f>
        <v/>
      </c>
      <c r="F131" s="236">
        <f>Z131</f>
        <v/>
      </c>
      <c r="G131">
        <f>U131&amp;"%"</f>
        <v/>
      </c>
      <c r="I131" s="53" t="n">
        <v>2023</v>
      </c>
      <c r="J131" s="53" t="n">
        <v>130</v>
      </c>
      <c r="K131" s="71" t="inlineStr">
        <is>
          <t>Ausgaben</t>
        </is>
      </c>
      <c r="L131" t="inlineStr">
        <is>
          <t>Miet- und Pachtaufwand, Leasing</t>
        </is>
      </c>
      <c r="M131" s="61" t="inlineStr">
        <is>
          <t>BELEG FEHLT</t>
        </is>
      </c>
      <c r="N131" s="1" t="n">
        <v>45145</v>
      </c>
      <c r="O131" t="inlineStr">
        <is>
          <t>Techem Messtechnik GmbH; Abnehmernummer 501686-0003-11-</t>
        </is>
      </c>
      <c r="Q131" s="76" t="n"/>
      <c r="R131" t="b">
        <v>0</v>
      </c>
      <c r="S131" s="214" t="n">
        <v>108.5</v>
      </c>
      <c r="T131" s="159" t="n">
        <v>1</v>
      </c>
      <c r="U131" t="n">
        <v>20</v>
      </c>
      <c r="V131" s="237" t="n">
        <v>21.7</v>
      </c>
      <c r="W131" s="237" t="n">
        <v>21.7</v>
      </c>
      <c r="X131" s="208" t="n">
        <v>108.5</v>
      </c>
      <c r="Y131" s="251" t="n">
        <v>130.2</v>
      </c>
      <c r="Z131" s="251" t="n">
        <v>130.2</v>
      </c>
      <c r="AA131" s="35" t="n">
        <v>45214</v>
      </c>
      <c r="AB131" s="27" t="n"/>
      <c r="AC131" s="27" t="n"/>
      <c r="AD131" s="210" t="n">
        <v>108.5</v>
      </c>
      <c r="AE131" s="237" t="n">
        <v>0</v>
      </c>
      <c r="AF131" t="b">
        <v>0</v>
      </c>
      <c r="AG131" s="228" t="n">
        <v>-108.5</v>
      </c>
    </row>
    <row r="132">
      <c r="A132">
        <f>I132&amp;"-"&amp;J132</f>
        <v/>
      </c>
      <c r="B132" s="1">
        <f>N132</f>
        <v/>
      </c>
      <c r="C132">
        <f>M132&amp;"/"&amp;O132</f>
        <v/>
      </c>
      <c r="D132">
        <f>K132</f>
        <v/>
      </c>
      <c r="E132">
        <f>L132</f>
        <v/>
      </c>
      <c r="F132" s="236">
        <f>Z132</f>
        <v/>
      </c>
      <c r="G132">
        <f>U132&amp;"%"</f>
        <v/>
      </c>
      <c r="I132" s="53" t="n">
        <v>2023</v>
      </c>
      <c r="J132" s="53" t="n">
        <v>131</v>
      </c>
      <c r="K132" s="71" t="inlineStr">
        <is>
          <t>Ausgaben</t>
        </is>
      </c>
      <c r="L132" t="inlineStr">
        <is>
          <t>sonstige Betriebsausgaben</t>
        </is>
      </c>
      <c r="M132" s="61" t="inlineStr">
        <is>
          <t>BELEG FEHLT</t>
        </is>
      </c>
      <c r="N132" s="1" t="n">
        <v>45148</v>
      </c>
      <c r="O132" t="inlineStr">
        <is>
          <t>Wiener Netze GmbH, Erdbergstraße 236, 1110 Wien, Postfach 422; Jahresabrechnung vom 17.12.20: GUTSCHRIFT</t>
        </is>
      </c>
      <c r="Q132" s="76" t="n"/>
      <c r="R132" t="b">
        <v>0</v>
      </c>
      <c r="S132" s="214" t="n">
        <v>12</v>
      </c>
      <c r="T132" s="159" t="n">
        <v>1</v>
      </c>
      <c r="U132" t="n">
        <v>20</v>
      </c>
      <c r="V132" s="237" t="n">
        <v>2.4</v>
      </c>
      <c r="W132" s="237" t="n">
        <v>2.4</v>
      </c>
      <c r="X132" s="208" t="n">
        <v>12</v>
      </c>
      <c r="Y132" s="251" t="n">
        <v>14.4</v>
      </c>
      <c r="Z132" s="251" t="n">
        <v>14.4</v>
      </c>
      <c r="AA132" s="35" t="n">
        <v>45214</v>
      </c>
      <c r="AB132" s="27" t="n"/>
      <c r="AC132" s="27" t="n"/>
      <c r="AD132" s="210" t="n">
        <v>12</v>
      </c>
      <c r="AE132" s="237" t="n">
        <v>0</v>
      </c>
      <c r="AF132" t="b">
        <v>0</v>
      </c>
      <c r="AG132" s="228" t="n">
        <v>-12</v>
      </c>
    </row>
    <row r="133">
      <c r="A133">
        <f>I133&amp;"-"&amp;J133</f>
        <v/>
      </c>
      <c r="B133" s="1">
        <f>N133</f>
        <v/>
      </c>
      <c r="C133">
        <f>M133&amp;"/"&amp;O133</f>
        <v/>
      </c>
      <c r="D133">
        <f>K133</f>
        <v/>
      </c>
      <c r="E133">
        <f>L133</f>
        <v/>
      </c>
      <c r="F133" s="236">
        <f>Z133</f>
        <v/>
      </c>
      <c r="G133">
        <f>U133&amp;"%"</f>
        <v/>
      </c>
      <c r="I133" s="53" t="n">
        <v>2023</v>
      </c>
      <c r="J133" s="53" t="n">
        <v>132</v>
      </c>
      <c r="K133" s="71" t="inlineStr">
        <is>
          <t>Ausgaben</t>
        </is>
      </c>
      <c r="L133" t="inlineStr">
        <is>
          <t>sonstige Betriebsausgaben</t>
        </is>
      </c>
      <c r="M133" s="9" t="n"/>
      <c r="N133" s="1" t="n">
        <v>45149</v>
      </c>
      <c r="O133" t="inlineStr">
        <is>
          <t>Hetzner Online GmbH</t>
        </is>
      </c>
      <c r="Q133" s="76" t="n"/>
      <c r="R133" t="b">
        <v>0</v>
      </c>
      <c r="S133" s="214" t="n">
        <v>52.2141</v>
      </c>
      <c r="T133" s="159" t="n">
        <v>1</v>
      </c>
      <c r="U133" t="n">
        <v>0</v>
      </c>
      <c r="V133" s="237" t="n">
        <v>0</v>
      </c>
      <c r="W133" s="237" t="n">
        <v>0</v>
      </c>
      <c r="X133" s="208" t="n">
        <v>52.2141</v>
      </c>
      <c r="Y133" s="251" t="n">
        <v>52.2141</v>
      </c>
      <c r="Z133" s="251" t="n">
        <v>52.2141</v>
      </c>
      <c r="AA133" s="35" t="n">
        <v>45214</v>
      </c>
      <c r="AB133" s="27" t="n"/>
      <c r="AC133" s="27" t="n">
        <v>20</v>
      </c>
      <c r="AD133" s="210" t="n">
        <v>52.2141</v>
      </c>
      <c r="AE133" s="237" t="n">
        <v>10.44282</v>
      </c>
      <c r="AF133" t="b">
        <v>0</v>
      </c>
      <c r="AG133" s="228" t="n">
        <v>-52.2141</v>
      </c>
    </row>
    <row r="134">
      <c r="A134">
        <f>I134&amp;"-"&amp;J134</f>
        <v/>
      </c>
      <c r="B134" s="1">
        <f>N134</f>
        <v/>
      </c>
      <c r="C134">
        <f>M134&amp;"/"&amp;O134</f>
        <v/>
      </c>
      <c r="D134">
        <f>K134</f>
        <v/>
      </c>
      <c r="E134">
        <f>L134</f>
        <v/>
      </c>
      <c r="F134" s="236">
        <f>Z134</f>
        <v/>
      </c>
      <c r="G134">
        <f>U134&amp;"%"</f>
        <v/>
      </c>
      <c r="I134" s="53" t="n">
        <v>2023</v>
      </c>
      <c r="J134" s="53" t="n">
        <v>133</v>
      </c>
      <c r="K134" s="71" t="inlineStr">
        <is>
          <t>Einnahmen</t>
        </is>
      </c>
      <c r="L134" t="inlineStr">
        <is>
          <t>Waren-/Leistungserlöse</t>
        </is>
      </c>
      <c r="M134" s="39" t="inlineStr">
        <is>
          <t>12023014+12023015</t>
        </is>
      </c>
      <c r="N134" s="1" t="n">
        <v>45154</v>
      </c>
      <c r="O134" t="inlineStr">
        <is>
          <t>Hays Österreich GmbH, Bahnhof City Wien West , Europaplatz 3/5, 1150 Wien</t>
        </is>
      </c>
      <c r="Q134" s="76" t="n"/>
      <c r="R134" t="b">
        <v>0</v>
      </c>
      <c r="S134" s="214" t="n">
        <v>6593.25</v>
      </c>
      <c r="T134" s="159" t="n">
        <v>1</v>
      </c>
      <c r="U134" t="n">
        <v>20</v>
      </c>
      <c r="V134" s="237" t="n">
        <v>1318.65</v>
      </c>
      <c r="W134" s="237" t="n">
        <v>1318.65</v>
      </c>
      <c r="X134" s="208" t="n">
        <v>6593.25</v>
      </c>
      <c r="Y134" s="251" t="n">
        <v>7911.9</v>
      </c>
      <c r="Z134" s="251" t="n">
        <v>7911.9</v>
      </c>
      <c r="AA134" s="35" t="n">
        <v>45214</v>
      </c>
      <c r="AB134" s="27" t="n"/>
      <c r="AC134" s="27" t="n"/>
      <c r="AD134" s="210" t="n">
        <v>6593.25</v>
      </c>
      <c r="AE134" s="237" t="n">
        <v>0</v>
      </c>
      <c r="AF134" t="b">
        <v>0</v>
      </c>
      <c r="AG134" s="228" t="n">
        <v>6593.25</v>
      </c>
    </row>
    <row r="135">
      <c r="A135">
        <f>I135&amp;"-"&amp;J135</f>
        <v/>
      </c>
      <c r="B135" s="1">
        <f>N135</f>
        <v/>
      </c>
      <c r="C135">
        <f>M135&amp;"/"&amp;O135</f>
        <v/>
      </c>
      <c r="D135">
        <f>K135</f>
        <v/>
      </c>
      <c r="E135">
        <f>L135</f>
        <v/>
      </c>
      <c r="F135" s="236">
        <f>Z135</f>
        <v/>
      </c>
      <c r="G135">
        <f>U135&amp;"%"</f>
        <v/>
      </c>
      <c r="I135" s="53" t="n">
        <v>2023</v>
      </c>
      <c r="J135" s="53" t="n">
        <v>134</v>
      </c>
      <c r="K135" s="71" t="inlineStr">
        <is>
          <t>Ausgaben</t>
        </is>
      </c>
      <c r="L135" t="inlineStr">
        <is>
          <t>Personalaufwand</t>
        </is>
      </c>
      <c r="M135" s="9" t="inlineStr">
        <is>
          <t>siehe 2022-140</t>
        </is>
      </c>
      <c r="N135" s="1" t="n">
        <v>45154</v>
      </c>
      <c r="O135" t="inlineStr">
        <is>
          <t>Honorar Eva Jaros-Kolbitsch</t>
        </is>
      </c>
      <c r="Q135" s="76" t="n"/>
      <c r="R135" t="b">
        <v>0</v>
      </c>
      <c r="S135" s="214" t="n">
        <v>365</v>
      </c>
      <c r="T135" s="159" t="n">
        <v>1</v>
      </c>
      <c r="U135" t="n">
        <v>0</v>
      </c>
      <c r="V135" s="237" t="n">
        <v>0</v>
      </c>
      <c r="W135" s="237" t="n">
        <v>0</v>
      </c>
      <c r="X135" s="208" t="n">
        <v>365</v>
      </c>
      <c r="Y135" s="251" t="n">
        <v>365</v>
      </c>
      <c r="Z135" s="251" t="n">
        <v>365</v>
      </c>
      <c r="AA135" s="35" t="n">
        <v>45214</v>
      </c>
      <c r="AB135" s="27" t="n"/>
      <c r="AC135" s="27" t="n"/>
      <c r="AD135" s="210" t="n">
        <v>365</v>
      </c>
      <c r="AE135" s="237" t="n">
        <v>0</v>
      </c>
      <c r="AF135" t="b">
        <v>0</v>
      </c>
      <c r="AG135" s="228" t="n">
        <v>-365</v>
      </c>
    </row>
    <row r="136">
      <c r="A136">
        <f>I136&amp;"-"&amp;J136</f>
        <v/>
      </c>
      <c r="B136" s="1">
        <f>N136</f>
        <v/>
      </c>
      <c r="C136">
        <f>M136&amp;"/"&amp;O136</f>
        <v/>
      </c>
      <c r="D136">
        <f>K136</f>
        <v/>
      </c>
      <c r="E136">
        <f>L136</f>
        <v/>
      </c>
      <c r="F136" s="236">
        <f>Z136</f>
        <v/>
      </c>
      <c r="G136">
        <f>U136&amp;"%"</f>
        <v/>
      </c>
      <c r="I136" s="53" t="n">
        <v>2023</v>
      </c>
      <c r="J136" s="53" t="n">
        <v>135</v>
      </c>
      <c r="K136" s="71" t="inlineStr">
        <is>
          <t>Ausgaben</t>
        </is>
      </c>
      <c r="L136" t="inlineStr">
        <is>
          <t>Telefon/Internet</t>
        </is>
      </c>
      <c r="M136" s="131" t="n"/>
      <c r="N136" s="1" t="n">
        <v>45156</v>
      </c>
      <c r="O136" t="inlineStr">
        <is>
          <t>Magenta: T-Mobile Austria GmbH, A-1120 Wien, PF 47</t>
        </is>
      </c>
      <c r="Q136" s="76" t="n"/>
      <c r="R136" t="b">
        <v>0</v>
      </c>
      <c r="S136" s="214" t="n">
        <v>31.92</v>
      </c>
      <c r="T136" s="159" t="n">
        <v>1</v>
      </c>
      <c r="U136" t="n">
        <v>20</v>
      </c>
      <c r="V136" s="237" t="n">
        <v>6.384000000000001</v>
      </c>
      <c r="W136" s="237" t="n">
        <v>6.384000000000001</v>
      </c>
      <c r="X136" s="208" t="n">
        <v>31.92</v>
      </c>
      <c r="Y136" s="251" t="n">
        <v>38.304</v>
      </c>
      <c r="Z136" s="251" t="n">
        <v>38.304</v>
      </c>
      <c r="AA136" s="35" t="n">
        <v>45214</v>
      </c>
      <c r="AB136" s="27" t="n"/>
      <c r="AC136" s="27" t="n"/>
      <c r="AD136" s="210" t="n">
        <v>31.92</v>
      </c>
      <c r="AE136" s="237" t="n">
        <v>0</v>
      </c>
      <c r="AF136" t="b">
        <v>0</v>
      </c>
      <c r="AG136" s="228" t="n">
        <v>-31.92</v>
      </c>
    </row>
    <row r="137">
      <c r="A137">
        <f>I137&amp;"-"&amp;J137</f>
        <v/>
      </c>
      <c r="B137" s="1">
        <f>N137</f>
        <v/>
      </c>
      <c r="C137">
        <f>M137&amp;"/"&amp;O137</f>
        <v/>
      </c>
      <c r="D137">
        <f>K137</f>
        <v/>
      </c>
      <c r="E137">
        <f>L137</f>
        <v/>
      </c>
      <c r="F137" s="236">
        <f>Z137</f>
        <v/>
      </c>
      <c r="G137">
        <f>U137&amp;"%"</f>
        <v/>
      </c>
      <c r="I137" s="53" t="n">
        <v>2023</v>
      </c>
      <c r="J137" s="53" t="n">
        <v>136</v>
      </c>
      <c r="K137" s="71" t="inlineStr">
        <is>
          <t>Ausgaben</t>
        </is>
      </c>
      <c r="L137" t="inlineStr">
        <is>
          <t>sonstige Betriebsausgaben</t>
        </is>
      </c>
      <c r="M137" s="1" t="n"/>
      <c r="N137" s="1" t="n">
        <v>45159</v>
      </c>
      <c r="O137" t="inlineStr">
        <is>
          <t>Microsoft Ireland Operations Ltd. One Microsoft Place, South County, Business Park, Leopardstown, Dublin 18, D18 P521, Ireland</t>
        </is>
      </c>
      <c r="Q137" s="76" t="n"/>
      <c r="R137" t="b">
        <v>0</v>
      </c>
      <c r="S137" s="214" t="n">
        <v>10.5</v>
      </c>
      <c r="T137" s="159" t="n">
        <v>1</v>
      </c>
      <c r="U137" t="n">
        <v>0</v>
      </c>
      <c r="V137" s="237" t="n">
        <v>0</v>
      </c>
      <c r="W137" s="237" t="n">
        <v>0</v>
      </c>
      <c r="X137" s="208" t="n">
        <v>10.5</v>
      </c>
      <c r="Y137" s="251" t="n">
        <v>10.5</v>
      </c>
      <c r="Z137" s="251" t="n">
        <v>10.5</v>
      </c>
      <c r="AA137" s="35" t="n">
        <v>45214</v>
      </c>
      <c r="AB137" s="27" t="n"/>
      <c r="AC137" s="27" t="n">
        <v>20</v>
      </c>
      <c r="AD137" s="210" t="n">
        <v>10.5</v>
      </c>
      <c r="AE137" s="237" t="n">
        <v>2.1</v>
      </c>
      <c r="AF137" t="b">
        <v>0</v>
      </c>
      <c r="AG137" s="228" t="n">
        <v>-10.5</v>
      </c>
    </row>
    <row r="138">
      <c r="A138">
        <f>I138&amp;"-"&amp;J138</f>
        <v/>
      </c>
      <c r="B138" s="1">
        <f>N138</f>
        <v/>
      </c>
      <c r="C138">
        <f>M138&amp;"/"&amp;O138</f>
        <v/>
      </c>
      <c r="D138">
        <f>K138</f>
        <v/>
      </c>
      <c r="E138">
        <f>L138</f>
        <v/>
      </c>
      <c r="F138" s="236">
        <f>Z138</f>
        <v/>
      </c>
      <c r="G138">
        <f>U138&amp;"%"</f>
        <v/>
      </c>
      <c r="I138" s="53" t="n">
        <v>2023</v>
      </c>
      <c r="J138" s="53" t="n">
        <v>137</v>
      </c>
      <c r="K138" s="71" t="inlineStr">
        <is>
          <t>Ausgaben</t>
        </is>
      </c>
      <c r="L138" t="inlineStr">
        <is>
          <t>Reise- und Fahrtspesen inkl. Kilometergeld und Diäten</t>
        </is>
      </c>
      <c r="M138" s="9" t="n"/>
      <c r="N138" s="1" t="n">
        <v>45155</v>
      </c>
      <c r="O138" t="inlineStr">
        <is>
          <t>ÖBB-Personenverkehr AG, FN248742y</t>
        </is>
      </c>
      <c r="Q138" s="76" t="n"/>
      <c r="R138" t="b">
        <v>0</v>
      </c>
      <c r="S138" s="214" t="n">
        <v>77.54545454545453</v>
      </c>
      <c r="T138" s="159" t="n">
        <v>1</v>
      </c>
      <c r="U138" t="n">
        <v>10</v>
      </c>
      <c r="V138" s="237" t="n">
        <v>7.754545454545453</v>
      </c>
      <c r="W138" s="237" t="n">
        <v>7.754545454545453</v>
      </c>
      <c r="X138" s="208" t="n">
        <v>77.54545454545453</v>
      </c>
      <c r="Y138" s="251" t="n">
        <v>85.29999999999998</v>
      </c>
      <c r="Z138" s="251" t="n">
        <v>85.29999999999998</v>
      </c>
      <c r="AA138" s="35" t="n">
        <v>45245</v>
      </c>
      <c r="AB138" s="27" t="n"/>
      <c r="AC138" s="27" t="n"/>
      <c r="AD138" s="210" t="n">
        <v>77.54545454545453</v>
      </c>
      <c r="AE138" s="237" t="n">
        <v>0</v>
      </c>
      <c r="AF138" t="b">
        <v>0</v>
      </c>
      <c r="AG138" s="228" t="n">
        <v>-77.54545454545453</v>
      </c>
    </row>
    <row r="139">
      <c r="A139">
        <f>I139&amp;"-"&amp;J139</f>
        <v/>
      </c>
      <c r="B139" s="1">
        <f>N139</f>
        <v/>
      </c>
      <c r="C139">
        <f>M139&amp;"/"&amp;O139</f>
        <v/>
      </c>
      <c r="D139">
        <f>K139</f>
        <v/>
      </c>
      <c r="E139">
        <f>L139</f>
        <v/>
      </c>
      <c r="F139" s="236">
        <f>Z139</f>
        <v/>
      </c>
      <c r="G139">
        <f>U139&amp;"%"</f>
        <v/>
      </c>
      <c r="I139" s="53" t="n">
        <v>2023</v>
      </c>
      <c r="J139" s="53" t="n">
        <v>138</v>
      </c>
      <c r="K139" s="71" t="inlineStr">
        <is>
          <t>Ausgaben</t>
        </is>
      </c>
      <c r="L139" t="inlineStr">
        <is>
          <t>Miet- und Pachtaufwand, Leasing</t>
        </is>
      </c>
      <c r="M139" s="61" t="inlineStr">
        <is>
          <t>BELEG FEHLT</t>
        </is>
      </c>
      <c r="N139" s="1" t="n">
        <v>45162</v>
      </c>
      <c r="O139" t="inlineStr">
        <is>
          <t>Techem Messtechnik GmbH; Abnehmernummer 501686-0003-11-</t>
        </is>
      </c>
      <c r="Q139" s="76" t="n"/>
      <c r="R139" t="b">
        <v>0</v>
      </c>
      <c r="S139" s="214" t="n">
        <v>-754.78</v>
      </c>
      <c r="T139" s="159" t="n">
        <v>1</v>
      </c>
      <c r="U139" t="n">
        <v>20</v>
      </c>
      <c r="V139" s="237" t="n">
        <v>-150.956</v>
      </c>
      <c r="W139" s="237" t="n">
        <v>-150.956</v>
      </c>
      <c r="X139" s="208" t="n">
        <v>-754.78</v>
      </c>
      <c r="Y139" s="251" t="n">
        <v>-905.736</v>
      </c>
      <c r="Z139" s="251" t="n">
        <v>-905.736</v>
      </c>
      <c r="AA139" s="35" t="n">
        <v>45214</v>
      </c>
      <c r="AB139" s="27" t="n"/>
      <c r="AC139" s="27" t="n"/>
      <c r="AD139" s="210" t="n">
        <v>-754.78</v>
      </c>
      <c r="AE139" s="237" t="n">
        <v>0</v>
      </c>
      <c r="AF139" t="b">
        <v>0</v>
      </c>
      <c r="AG139" s="228" t="n">
        <v>754.78</v>
      </c>
    </row>
    <row r="140">
      <c r="A140">
        <f>I140&amp;"-"&amp;J140</f>
        <v/>
      </c>
      <c r="B140" s="1">
        <f>N140</f>
        <v/>
      </c>
      <c r="C140">
        <f>M140&amp;"/"&amp;O140</f>
        <v/>
      </c>
      <c r="D140">
        <f>K140</f>
        <v/>
      </c>
      <c r="E140">
        <f>L140</f>
        <v/>
      </c>
      <c r="F140" s="236">
        <f>Z140</f>
        <v/>
      </c>
      <c r="G140">
        <f>U140&amp;"%"</f>
        <v/>
      </c>
      <c r="I140" s="53" t="n">
        <v>2023</v>
      </c>
      <c r="J140" s="53" t="n">
        <v>139</v>
      </c>
      <c r="K140" s="71" t="inlineStr">
        <is>
          <t>Ausgaben</t>
        </is>
      </c>
      <c r="L140" t="inlineStr">
        <is>
          <t>Büromaterial</t>
        </is>
      </c>
      <c r="M140" s="9" t="inlineStr">
        <is>
          <t>071149</t>
        </is>
      </c>
      <c r="N140" s="1" t="n">
        <v>44927</v>
      </c>
      <c r="O140" s="154" t="inlineStr">
        <is>
          <t>STORNO  "Libro" PL Handelsgesellschaft mbH, 1080 Wien, Josefstädter Straße 105, ATU 56240311</t>
        </is>
      </c>
      <c r="Q140" s="76" t="n"/>
      <c r="R140" t="b">
        <v>0</v>
      </c>
      <c r="S140" s="214" t="n">
        <v>-7.233333333333333</v>
      </c>
      <c r="T140" s="159" t="n">
        <v>1</v>
      </c>
      <c r="U140" t="n">
        <v>20</v>
      </c>
      <c r="V140" s="237" t="n">
        <v>-1.446666666666667</v>
      </c>
      <c r="W140" s="237" t="n">
        <v>-1.446666666666667</v>
      </c>
      <c r="X140" s="208" t="n">
        <v>-7.233333333333333</v>
      </c>
      <c r="Y140" s="251" t="n">
        <v>-8.68</v>
      </c>
      <c r="Z140" s="251" t="n">
        <v>-8.68</v>
      </c>
      <c r="AA140" s="35" t="n">
        <v>45000</v>
      </c>
      <c r="AB140" s="27" t="n"/>
      <c r="AC140" s="27" t="n"/>
      <c r="AD140" s="210" t="n">
        <v>-7.233333333333333</v>
      </c>
      <c r="AE140" s="237" t="n">
        <v>0</v>
      </c>
      <c r="AF140" t="b">
        <v>0</v>
      </c>
      <c r="AG140" s="228" t="n">
        <v>7.233333333333333</v>
      </c>
    </row>
    <row r="141">
      <c r="A141">
        <f>I141&amp;"-"&amp;J141</f>
        <v/>
      </c>
      <c r="B141" s="1">
        <f>N141</f>
        <v/>
      </c>
      <c r="C141">
        <f>M141&amp;"/"&amp;O141</f>
        <v/>
      </c>
      <c r="D141">
        <f>K141</f>
        <v/>
      </c>
      <c r="E141">
        <f>L141</f>
        <v/>
      </c>
      <c r="F141" s="236">
        <f>Z141</f>
        <v/>
      </c>
      <c r="G141">
        <f>U141&amp;"%"</f>
        <v/>
      </c>
      <c r="I141" s="53" t="n">
        <v>2023</v>
      </c>
      <c r="J141" s="53" t="n">
        <v>140</v>
      </c>
      <c r="K141" s="71" t="inlineStr">
        <is>
          <t>Ausgaben</t>
        </is>
      </c>
      <c r="L141" t="inlineStr">
        <is>
          <t>Pflichversicherungsbeiträge</t>
        </is>
      </c>
      <c r="M141" s="9" t="n">
        <v>11561270283</v>
      </c>
      <c r="N141" s="1" t="n">
        <v>45168</v>
      </c>
      <c r="O141" t="inlineStr">
        <is>
          <t>Sozialversicherung der gewerblichen Wirtshaft</t>
        </is>
      </c>
      <c r="Q141" s="76" t="n"/>
      <c r="R141" t="b">
        <v>0</v>
      </c>
      <c r="S141" s="214" t="n">
        <v>5395.81</v>
      </c>
      <c r="T141" s="159" t="n">
        <v>1</v>
      </c>
      <c r="U141" t="n">
        <v>0</v>
      </c>
      <c r="V141" s="237" t="n">
        <v>0</v>
      </c>
      <c r="W141" s="237" t="n">
        <v>0</v>
      </c>
      <c r="X141" s="208" t="n">
        <v>5395.81</v>
      </c>
      <c r="Y141" s="251" t="n">
        <v>5395.81</v>
      </c>
      <c r="Z141" s="251" t="n">
        <v>5395.81</v>
      </c>
      <c r="AA141" s="35" t="n">
        <v>45245</v>
      </c>
      <c r="AB141" s="27" t="n"/>
      <c r="AC141" s="27" t="n"/>
      <c r="AD141" s="210" t="n">
        <v>5395.81</v>
      </c>
      <c r="AE141" s="237" t="n">
        <v>0</v>
      </c>
      <c r="AF141" t="b">
        <v>0</v>
      </c>
      <c r="AG141" s="228" t="n">
        <v>-5395.81</v>
      </c>
    </row>
    <row r="142">
      <c r="A142">
        <f>I142&amp;"-"&amp;J142</f>
        <v/>
      </c>
      <c r="B142" s="1">
        <f>N142</f>
        <v/>
      </c>
      <c r="C142">
        <f>M142&amp;"/"&amp;O142</f>
        <v/>
      </c>
      <c r="D142">
        <f>K142</f>
        <v/>
      </c>
      <c r="E142">
        <f>L142</f>
        <v/>
      </c>
      <c r="F142" s="236">
        <f>Z142</f>
        <v/>
      </c>
      <c r="G142">
        <f>U142&amp;"%"</f>
        <v/>
      </c>
      <c r="I142" s="53" t="n">
        <v>2023</v>
      </c>
      <c r="J142" s="53" t="n">
        <v>141</v>
      </c>
      <c r="K142" s="71" t="inlineStr">
        <is>
          <t>Ausgaben</t>
        </is>
      </c>
      <c r="L142" t="inlineStr">
        <is>
          <t>Miet- und Pachtaufwand, Leasing</t>
        </is>
      </c>
      <c r="M142" s="9" t="n"/>
      <c r="N142" s="1" t="n">
        <v>45170</v>
      </c>
      <c r="O142" t="inlineStr">
        <is>
          <t>Bontus Immobilienverwaltung GmbH, 1010 Wien, Franz Josefs Kai 65</t>
        </is>
      </c>
      <c r="Q142" s="76" t="n"/>
      <c r="R142" t="b">
        <v>0</v>
      </c>
      <c r="S142" s="214" t="n">
        <v>533.1083333333333</v>
      </c>
      <c r="T142" s="159" t="n">
        <v>1</v>
      </c>
      <c r="U142" t="n">
        <v>20</v>
      </c>
      <c r="V142" s="237" t="n">
        <v>106.6216666666667</v>
      </c>
      <c r="W142" s="237" t="n">
        <v>106.6216666666667</v>
      </c>
      <c r="X142" s="208" t="n">
        <v>533.1083333333333</v>
      </c>
      <c r="Y142" s="251" t="n">
        <v>639.73</v>
      </c>
      <c r="Z142" s="251" t="n">
        <v>639.73</v>
      </c>
      <c r="AA142" s="35" t="n">
        <v>45245</v>
      </c>
      <c r="AB142" s="27" t="n"/>
      <c r="AC142" s="27" t="n"/>
      <c r="AD142" s="210" t="n">
        <v>533.1083333333333</v>
      </c>
      <c r="AE142" s="237" t="n">
        <v>0</v>
      </c>
      <c r="AF142" t="b">
        <v>0</v>
      </c>
      <c r="AG142" s="228" t="n">
        <v>-533.1083333333333</v>
      </c>
    </row>
    <row r="143">
      <c r="A143">
        <f>I143&amp;"-"&amp;J143</f>
        <v/>
      </c>
      <c r="B143" s="1">
        <f>N143</f>
        <v/>
      </c>
      <c r="C143">
        <f>M143&amp;"/"&amp;O143</f>
        <v/>
      </c>
      <c r="D143">
        <f>K143</f>
        <v/>
      </c>
      <c r="E143">
        <f>L143</f>
        <v/>
      </c>
      <c r="F143" s="236">
        <f>Z143</f>
        <v/>
      </c>
      <c r="G143">
        <f>U143&amp;"%"</f>
        <v/>
      </c>
      <c r="I143" s="53" t="n">
        <v>2023</v>
      </c>
      <c r="J143" s="53" t="n">
        <v>142</v>
      </c>
      <c r="K143" s="71" t="inlineStr">
        <is>
          <t>Ausgaben</t>
        </is>
      </c>
      <c r="L143" t="inlineStr">
        <is>
          <t>Telefon/Internet</t>
        </is>
      </c>
      <c r="N143" s="1" t="n">
        <v>45173</v>
      </c>
      <c r="O143" t="inlineStr">
        <is>
          <t>Hutchison Drei Austria GmbH, Brünner Straße 52, 1210 Wien, Österreich</t>
        </is>
      </c>
      <c r="Q143" s="76" t="n"/>
      <c r="R143" t="b">
        <v>0</v>
      </c>
      <c r="S143" s="214" t="n">
        <v>10.75</v>
      </c>
      <c r="T143" s="159" t="n">
        <v>1</v>
      </c>
      <c r="U143" t="n">
        <v>20</v>
      </c>
      <c r="V143" s="237" t="n">
        <v>2.15</v>
      </c>
      <c r="W143" s="237" t="n">
        <v>2.15</v>
      </c>
      <c r="X143" s="208" t="n">
        <v>10.75</v>
      </c>
      <c r="Y143" s="251" t="n">
        <v>12.9</v>
      </c>
      <c r="Z143" s="251" t="n">
        <v>12.9</v>
      </c>
      <c r="AA143" s="35" t="n">
        <v>45245</v>
      </c>
      <c r="AB143" s="27" t="n"/>
      <c r="AC143" s="27" t="n"/>
      <c r="AD143" s="210" t="n">
        <v>10.75</v>
      </c>
      <c r="AE143" s="237" t="n">
        <v>0</v>
      </c>
      <c r="AF143" t="b">
        <v>0</v>
      </c>
      <c r="AG143" s="228" t="n">
        <v>-10.75</v>
      </c>
    </row>
    <row r="144">
      <c r="A144">
        <f>I144&amp;"-"&amp;J144</f>
        <v/>
      </c>
      <c r="B144" s="1">
        <f>N144</f>
        <v/>
      </c>
      <c r="C144">
        <f>M144&amp;"/"&amp;O144</f>
        <v/>
      </c>
      <c r="D144">
        <f>K144</f>
        <v/>
      </c>
      <c r="E144">
        <f>L144</f>
        <v/>
      </c>
      <c r="F144" s="236">
        <f>Z144</f>
        <v/>
      </c>
      <c r="G144">
        <f>U144&amp;"%"</f>
        <v/>
      </c>
      <c r="I144" s="53" t="n">
        <v>2023</v>
      </c>
      <c r="J144" s="53" t="n">
        <v>143</v>
      </c>
      <c r="K144" s="71" t="inlineStr">
        <is>
          <t>Ausgaben</t>
        </is>
      </c>
      <c r="L144" t="inlineStr">
        <is>
          <t>sonstige Betriebsausgaben</t>
        </is>
      </c>
      <c r="N144" s="1" t="n">
        <v>45173</v>
      </c>
      <c r="O144" t="inlineStr">
        <is>
          <t>Google Ireland Ltd, Gordon House, Barrow Street, Dublin 4, Ireland; VAT number: IE 6388047V</t>
        </is>
      </c>
      <c r="Q144" s="76" t="n"/>
      <c r="R144" t="b">
        <v>0</v>
      </c>
      <c r="S144" s="214" t="n">
        <v>10.4</v>
      </c>
      <c r="T144" s="159" t="n">
        <v>1</v>
      </c>
      <c r="U144" t="n">
        <v>0</v>
      </c>
      <c r="V144" s="237" t="n">
        <v>0</v>
      </c>
      <c r="W144" s="237" t="n">
        <v>0</v>
      </c>
      <c r="X144" s="208" t="n">
        <v>10.4</v>
      </c>
      <c r="Y144" s="251" t="n">
        <v>10.4</v>
      </c>
      <c r="Z144" s="251" t="n">
        <v>10.4</v>
      </c>
      <c r="AA144" s="35" t="n">
        <v>45245</v>
      </c>
      <c r="AB144" s="27" t="n"/>
      <c r="AC144" s="27" t="n">
        <v>20</v>
      </c>
      <c r="AD144" s="210" t="n">
        <v>10.4</v>
      </c>
      <c r="AE144" s="237" t="n">
        <v>2.08</v>
      </c>
      <c r="AF144" t="b">
        <v>0</v>
      </c>
      <c r="AG144" s="228" t="n">
        <v>-10.4</v>
      </c>
    </row>
    <row r="145">
      <c r="A145">
        <f>I145&amp;"-"&amp;J145</f>
        <v/>
      </c>
      <c r="B145" s="1">
        <f>N145</f>
        <v/>
      </c>
      <c r="C145">
        <f>M145&amp;"/"&amp;O145</f>
        <v/>
      </c>
      <c r="D145">
        <f>K145</f>
        <v/>
      </c>
      <c r="E145">
        <f>L145</f>
        <v/>
      </c>
      <c r="F145" s="236">
        <f>Z145</f>
        <v/>
      </c>
      <c r="G145">
        <f>U145&amp;"%"</f>
        <v/>
      </c>
      <c r="I145" s="53" t="n">
        <v>2023</v>
      </c>
      <c r="J145" s="53" t="n">
        <v>144</v>
      </c>
      <c r="K145" s="71" t="inlineStr">
        <is>
          <t>Ausgaben</t>
        </is>
      </c>
      <c r="L145" t="inlineStr">
        <is>
          <t>sonstige Betriebsausgaben</t>
        </is>
      </c>
      <c r="M145" s="61" t="inlineStr">
        <is>
          <t>BELEG FEHLT</t>
        </is>
      </c>
      <c r="N145" s="1" t="n">
        <v>45174</v>
      </c>
      <c r="O145" t="inlineStr">
        <is>
          <t>go green energy GmbH &amp; Co KG</t>
        </is>
      </c>
      <c r="Q145" s="76" t="n"/>
      <c r="R145" t="b">
        <v>0</v>
      </c>
      <c r="S145" s="214" t="n">
        <v>5</v>
      </c>
      <c r="T145" s="159" t="n">
        <v>1</v>
      </c>
      <c r="U145" t="n">
        <v>20</v>
      </c>
      <c r="V145" s="237" t="n">
        <v>1</v>
      </c>
      <c r="W145" s="237" t="n">
        <v>1</v>
      </c>
      <c r="X145" s="208" t="n">
        <v>5</v>
      </c>
      <c r="Y145" s="251" t="n">
        <v>6</v>
      </c>
      <c r="Z145" s="251" t="n">
        <v>6</v>
      </c>
      <c r="AA145" s="35" t="n">
        <v>45245</v>
      </c>
      <c r="AB145" s="27" t="n"/>
      <c r="AC145" s="27" t="n"/>
      <c r="AD145" s="210" t="n">
        <v>5</v>
      </c>
      <c r="AE145" s="237" t="n">
        <v>0</v>
      </c>
      <c r="AF145" t="b">
        <v>0</v>
      </c>
      <c r="AG145" s="228" t="n">
        <v>-5</v>
      </c>
    </row>
    <row r="146">
      <c r="A146">
        <f>I146&amp;"-"&amp;J146</f>
        <v/>
      </c>
      <c r="B146" s="1">
        <f>N146</f>
        <v/>
      </c>
      <c r="C146">
        <f>M146&amp;"/"&amp;O146</f>
        <v/>
      </c>
      <c r="D146">
        <f>K146</f>
        <v/>
      </c>
      <c r="E146">
        <f>L146</f>
        <v/>
      </c>
      <c r="F146" s="236">
        <f>Z146</f>
        <v/>
      </c>
      <c r="G146">
        <f>U146&amp;"%"</f>
        <v/>
      </c>
      <c r="I146" s="53" t="n">
        <v>2023</v>
      </c>
      <c r="J146" s="53" t="n">
        <v>145</v>
      </c>
      <c r="K146" s="71" t="inlineStr">
        <is>
          <t>Ausgaben</t>
        </is>
      </c>
      <c r="L146" t="inlineStr">
        <is>
          <t>Miet- und Pachtaufwand, Leasing</t>
        </is>
      </c>
      <c r="M146" s="61" t="inlineStr">
        <is>
          <t>BELEG FEHLT</t>
        </is>
      </c>
      <c r="N146" s="1" t="n">
        <v>45175</v>
      </c>
      <c r="O146" t="inlineStr">
        <is>
          <t>Techem Messtechnik GmbH; Abnehmernummer 501686-0003-11-</t>
        </is>
      </c>
      <c r="Q146" s="76" t="n"/>
      <c r="R146" t="b">
        <v>0</v>
      </c>
      <c r="S146" s="214" t="n">
        <v>108.5</v>
      </c>
      <c r="T146" s="159" t="n">
        <v>1</v>
      </c>
      <c r="U146" t="n">
        <v>20</v>
      </c>
      <c r="V146" s="237" t="n">
        <v>21.7</v>
      </c>
      <c r="W146" s="237" t="n">
        <v>21.7</v>
      </c>
      <c r="X146" s="208" t="n">
        <v>108.5</v>
      </c>
      <c r="Y146" s="251" t="n">
        <v>130.2</v>
      </c>
      <c r="Z146" s="251" t="n">
        <v>130.2</v>
      </c>
      <c r="AA146" s="35" t="n">
        <v>45245</v>
      </c>
      <c r="AB146" s="27" t="n"/>
      <c r="AC146" s="27" t="n"/>
      <c r="AD146" s="210" t="n">
        <v>108.5</v>
      </c>
      <c r="AE146" s="237" t="n">
        <v>0</v>
      </c>
      <c r="AF146" t="b">
        <v>0</v>
      </c>
      <c r="AG146" s="228" t="n">
        <v>-108.5</v>
      </c>
    </row>
    <row r="147">
      <c r="A147">
        <f>I147&amp;"-"&amp;J147</f>
        <v/>
      </c>
      <c r="B147" s="1">
        <f>N147</f>
        <v/>
      </c>
      <c r="C147">
        <f>M147&amp;"/"&amp;O147</f>
        <v/>
      </c>
      <c r="D147">
        <f>K147</f>
        <v/>
      </c>
      <c r="E147">
        <f>L147</f>
        <v/>
      </c>
      <c r="F147" s="236">
        <f>Z147</f>
        <v/>
      </c>
      <c r="G147">
        <f>U147&amp;"%"</f>
        <v/>
      </c>
      <c r="I147" s="53" t="n">
        <v>2023</v>
      </c>
      <c r="J147" s="53" t="n">
        <v>146</v>
      </c>
      <c r="K147" s="71" t="inlineStr">
        <is>
          <t>Ausgaben</t>
        </is>
      </c>
      <c r="L147" t="inlineStr">
        <is>
          <t>sonstige Betriebsausgaben</t>
        </is>
      </c>
      <c r="M147" s="61" t="inlineStr">
        <is>
          <t>BELEG FEHLT</t>
        </is>
      </c>
      <c r="N147" s="1" t="n">
        <v>45180</v>
      </c>
      <c r="O147" t="inlineStr">
        <is>
          <t>Wiener Netze GmbH, Erdbergstraße 236, 1110 Wien, Postfach 422; Jahresabrechnung vom 17.12.20: GUTSCHRIFT</t>
        </is>
      </c>
      <c r="Q147" s="76" t="n"/>
      <c r="R147" t="b">
        <v>0</v>
      </c>
      <c r="S147" s="214" t="n">
        <v>12</v>
      </c>
      <c r="T147" s="159" t="n">
        <v>1</v>
      </c>
      <c r="U147" t="n">
        <v>20</v>
      </c>
      <c r="V147" s="237" t="n">
        <v>2.4</v>
      </c>
      <c r="W147" s="237" t="n">
        <v>2.4</v>
      </c>
      <c r="X147" s="208" t="n">
        <v>12</v>
      </c>
      <c r="Y147" s="251" t="n">
        <v>14.4</v>
      </c>
      <c r="Z147" s="251" t="n">
        <v>14.4</v>
      </c>
      <c r="AA147" s="35" t="n">
        <v>45245</v>
      </c>
      <c r="AB147" s="27" t="n"/>
      <c r="AC147" s="27" t="n"/>
      <c r="AD147" s="210" t="n">
        <v>12</v>
      </c>
      <c r="AE147" s="237" t="n">
        <v>0</v>
      </c>
      <c r="AF147" t="b">
        <v>0</v>
      </c>
      <c r="AG147" s="228" t="n">
        <v>-12</v>
      </c>
    </row>
    <row r="148">
      <c r="A148">
        <f>I148&amp;"-"&amp;J148</f>
        <v/>
      </c>
      <c r="B148" s="1">
        <f>N148</f>
        <v/>
      </c>
      <c r="C148">
        <f>M148&amp;"/"&amp;O148</f>
        <v/>
      </c>
      <c r="D148">
        <f>K148</f>
        <v/>
      </c>
      <c r="E148">
        <f>L148</f>
        <v/>
      </c>
      <c r="F148" s="236">
        <f>Z148</f>
        <v/>
      </c>
      <c r="G148">
        <f>U148&amp;"%"</f>
        <v/>
      </c>
      <c r="I148" s="53" t="n">
        <v>2023</v>
      </c>
      <c r="J148" s="53" t="n">
        <v>147</v>
      </c>
      <c r="K148" s="71" t="inlineStr">
        <is>
          <t>Einnahmen</t>
        </is>
      </c>
      <c r="L148" t="inlineStr">
        <is>
          <t>Waren-/Leistungserlöse</t>
        </is>
      </c>
      <c r="M148" s="39" t="n">
        <v>12023017</v>
      </c>
      <c r="N148" s="1" t="n">
        <v>45181</v>
      </c>
      <c r="O148" t="inlineStr">
        <is>
          <t>Hays Österreich GmbH, Bahnhof City Wien West , Europaplatz 3/5, 1150 Wien</t>
        </is>
      </c>
      <c r="Q148" s="76" t="n"/>
      <c r="R148" t="b">
        <v>0</v>
      </c>
      <c r="S148" s="214" t="n">
        <v>15155.63</v>
      </c>
      <c r="T148" s="159" t="n">
        <v>1</v>
      </c>
      <c r="U148" t="n">
        <v>20</v>
      </c>
      <c r="V148" s="237" t="n">
        <v>3031.126</v>
      </c>
      <c r="W148" s="237" t="n">
        <v>3031.126</v>
      </c>
      <c r="X148" s="208" t="n">
        <v>15155.63</v>
      </c>
      <c r="Y148" s="251" t="n">
        <v>18186.756</v>
      </c>
      <c r="Z148" s="251" t="n">
        <v>18186.756</v>
      </c>
      <c r="AA148" s="35" t="n">
        <v>45245</v>
      </c>
      <c r="AB148" s="27" t="n"/>
      <c r="AC148" s="27" t="n"/>
      <c r="AD148" s="210" t="n">
        <v>15155.63</v>
      </c>
      <c r="AE148" s="237" t="n">
        <v>0</v>
      </c>
      <c r="AF148" t="b">
        <v>0</v>
      </c>
      <c r="AG148" s="228" t="n">
        <v>15155.63</v>
      </c>
    </row>
    <row r="149">
      <c r="A149">
        <f>I149&amp;"-"&amp;J149</f>
        <v/>
      </c>
      <c r="B149" s="1">
        <f>N149</f>
        <v/>
      </c>
      <c r="C149">
        <f>M149&amp;"/"&amp;O149</f>
        <v/>
      </c>
      <c r="D149">
        <f>K149</f>
        <v/>
      </c>
      <c r="E149">
        <f>L149</f>
        <v/>
      </c>
      <c r="F149" s="236">
        <f>Z149</f>
        <v/>
      </c>
      <c r="G149">
        <f>U149&amp;"%"</f>
        <v/>
      </c>
      <c r="I149" s="53" t="n">
        <v>2023</v>
      </c>
      <c r="J149" s="53" t="n">
        <v>148</v>
      </c>
      <c r="K149" s="71" t="inlineStr">
        <is>
          <t>Ausgaben</t>
        </is>
      </c>
      <c r="L149" t="inlineStr">
        <is>
          <t>sonstige Betriebsausgaben</t>
        </is>
      </c>
      <c r="M149" s="9" t="n"/>
      <c r="N149" s="1" t="n">
        <v>45182</v>
      </c>
      <c r="O149" t="inlineStr">
        <is>
          <t>Hetzner Online GmbH</t>
        </is>
      </c>
      <c r="Q149" s="76" t="n"/>
      <c r="R149" t="b">
        <v>0</v>
      </c>
      <c r="S149" s="214" t="n">
        <v>52.2141</v>
      </c>
      <c r="T149" s="159" t="n">
        <v>1</v>
      </c>
      <c r="U149" t="n">
        <v>0</v>
      </c>
      <c r="V149" s="237" t="n">
        <v>0</v>
      </c>
      <c r="W149" s="237" t="n">
        <v>0</v>
      </c>
      <c r="X149" s="208" t="n">
        <v>52.2141</v>
      </c>
      <c r="Y149" s="251" t="n">
        <v>52.2141</v>
      </c>
      <c r="Z149" s="251" t="n">
        <v>52.2141</v>
      </c>
      <c r="AA149" s="35" t="n">
        <v>45245</v>
      </c>
      <c r="AB149" s="27" t="n"/>
      <c r="AC149" s="27" t="n">
        <v>20</v>
      </c>
      <c r="AD149" s="210" t="n">
        <v>52.2141</v>
      </c>
      <c r="AE149" s="237" t="n">
        <v>10.44282</v>
      </c>
      <c r="AF149" t="b">
        <v>0</v>
      </c>
      <c r="AG149" s="228" t="n">
        <v>-52.2141</v>
      </c>
    </row>
    <row r="150">
      <c r="A150">
        <f>I150&amp;"-"&amp;J150</f>
        <v/>
      </c>
      <c r="B150" s="1">
        <f>N150</f>
        <v/>
      </c>
      <c r="C150">
        <f>M150&amp;"/"&amp;O150</f>
        <v/>
      </c>
      <c r="D150">
        <f>K150</f>
        <v/>
      </c>
      <c r="E150">
        <f>L150</f>
        <v/>
      </c>
      <c r="F150" s="236">
        <f>Z150</f>
        <v/>
      </c>
      <c r="G150">
        <f>U150&amp;"%"</f>
        <v/>
      </c>
      <c r="I150" s="53" t="n">
        <v>2023</v>
      </c>
      <c r="J150" s="53" t="n">
        <v>149</v>
      </c>
      <c r="K150" s="71" t="inlineStr">
        <is>
          <t>Ausgaben</t>
        </is>
      </c>
      <c r="L150" t="inlineStr">
        <is>
          <t>Personalaufwand</t>
        </is>
      </c>
      <c r="M150" s="9" t="inlineStr">
        <is>
          <t>siehe 2022-140</t>
        </is>
      </c>
      <c r="N150" s="1" t="n">
        <v>45184</v>
      </c>
      <c r="O150" t="inlineStr">
        <is>
          <t>Honorar Eva Jaros-Kolbitsch</t>
        </is>
      </c>
      <c r="Q150" s="76" t="n"/>
      <c r="R150" t="b">
        <v>0</v>
      </c>
      <c r="S150" s="214" t="n">
        <v>365</v>
      </c>
      <c r="T150" s="159" t="n">
        <v>1</v>
      </c>
      <c r="U150" t="n">
        <v>0</v>
      </c>
      <c r="V150" s="237" t="n">
        <v>0</v>
      </c>
      <c r="W150" s="237" t="n">
        <v>0</v>
      </c>
      <c r="X150" s="208" t="n">
        <v>365</v>
      </c>
      <c r="Y150" s="251" t="n">
        <v>365</v>
      </c>
      <c r="Z150" s="251" t="n">
        <v>365</v>
      </c>
      <c r="AA150" s="35" t="n">
        <v>45245</v>
      </c>
      <c r="AB150" s="27" t="n"/>
      <c r="AC150" s="27" t="n"/>
      <c r="AD150" s="210" t="n">
        <v>365</v>
      </c>
      <c r="AE150" s="237" t="n">
        <v>0</v>
      </c>
      <c r="AF150" t="b">
        <v>0</v>
      </c>
      <c r="AG150" s="228" t="n">
        <v>-365</v>
      </c>
    </row>
    <row r="151">
      <c r="A151">
        <f>I151&amp;"-"&amp;J151</f>
        <v/>
      </c>
      <c r="B151" s="1">
        <f>N151</f>
        <v/>
      </c>
      <c r="C151">
        <f>M151&amp;"/"&amp;O151</f>
        <v/>
      </c>
      <c r="D151">
        <f>K151</f>
        <v/>
      </c>
      <c r="E151">
        <f>L151</f>
        <v/>
      </c>
      <c r="F151" s="236">
        <f>Z151</f>
        <v/>
      </c>
      <c r="G151">
        <f>U151&amp;"%"</f>
        <v/>
      </c>
      <c r="I151" s="53" t="n">
        <v>2023</v>
      </c>
      <c r="J151" s="53" t="n">
        <v>150</v>
      </c>
      <c r="K151" s="71" t="inlineStr">
        <is>
          <t>Ausgaben</t>
        </is>
      </c>
      <c r="L151" t="inlineStr">
        <is>
          <t>sonstige Betriebsausgaben</t>
        </is>
      </c>
      <c r="M151" s="1" t="n"/>
      <c r="N151" s="1" t="n">
        <v>45189</v>
      </c>
      <c r="O151" t="inlineStr">
        <is>
          <t>Microsoft Ireland Operations Ltd. One Microsoft Place, South County, Business Park, Leopardstown, Dublin 18, D18 P521, Ireland</t>
        </is>
      </c>
      <c r="Q151" s="76" t="n"/>
      <c r="R151" t="b">
        <v>0</v>
      </c>
      <c r="S151" s="214" t="n">
        <v>10.5</v>
      </c>
      <c r="T151" s="159" t="n">
        <v>1</v>
      </c>
      <c r="U151" t="n">
        <v>0</v>
      </c>
      <c r="V151" s="237" t="n">
        <v>0</v>
      </c>
      <c r="W151" s="237" t="n">
        <v>0</v>
      </c>
      <c r="X151" s="208" t="n">
        <v>10.5</v>
      </c>
      <c r="Y151" s="251" t="n">
        <v>10.5</v>
      </c>
      <c r="Z151" s="251" t="n">
        <v>10.5</v>
      </c>
      <c r="AA151" s="35" t="n">
        <v>45245</v>
      </c>
      <c r="AB151" s="27" t="n"/>
      <c r="AC151" s="27" t="n">
        <v>20</v>
      </c>
      <c r="AD151" s="210" t="n">
        <v>10.5</v>
      </c>
      <c r="AE151" s="237" t="n">
        <v>2.1</v>
      </c>
      <c r="AF151" t="b">
        <v>0</v>
      </c>
      <c r="AG151" s="228" t="n">
        <v>-10.5</v>
      </c>
    </row>
    <row r="152">
      <c r="A152">
        <f>I152&amp;"-"&amp;J152</f>
        <v/>
      </c>
      <c r="B152" s="1">
        <f>N152</f>
        <v/>
      </c>
      <c r="C152">
        <f>M152&amp;"/"&amp;O152</f>
        <v/>
      </c>
      <c r="D152">
        <f>K152</f>
        <v/>
      </c>
      <c r="E152">
        <f>L152</f>
        <v/>
      </c>
      <c r="F152" s="236">
        <f>Z152</f>
        <v/>
      </c>
      <c r="G152">
        <f>U152&amp;"%"</f>
        <v/>
      </c>
      <c r="I152" s="53" t="n">
        <v>2023</v>
      </c>
      <c r="J152" s="53" t="n">
        <v>151</v>
      </c>
      <c r="K152" s="71" t="inlineStr">
        <is>
          <t>Ausgaben</t>
        </is>
      </c>
      <c r="L152" t="inlineStr">
        <is>
          <t>Telefon/Internet</t>
        </is>
      </c>
      <c r="M152" s="131" t="n"/>
      <c r="N152" s="1" t="n">
        <v>45188</v>
      </c>
      <c r="O152" t="inlineStr">
        <is>
          <t>Magenta: T-Mobile Austria GmbH, A-1120 Wien, PF 47</t>
        </is>
      </c>
      <c r="Q152" s="76" t="n"/>
      <c r="R152" t="b">
        <v>0</v>
      </c>
      <c r="S152" s="214" t="n">
        <v>31.92</v>
      </c>
      <c r="T152" s="159" t="n">
        <v>1</v>
      </c>
      <c r="U152" t="n">
        <v>20</v>
      </c>
      <c r="V152" s="237" t="n">
        <v>6.384000000000001</v>
      </c>
      <c r="W152" s="237" t="n">
        <v>6.384000000000001</v>
      </c>
      <c r="X152" s="208" t="n">
        <v>31.92</v>
      </c>
      <c r="Y152" s="251" t="n">
        <v>38.304</v>
      </c>
      <c r="Z152" s="251" t="n">
        <v>38.304</v>
      </c>
      <c r="AA152" s="35" t="n">
        <v>45245</v>
      </c>
      <c r="AB152" s="27" t="n"/>
      <c r="AC152" s="27" t="n"/>
      <c r="AD152" s="210" t="n">
        <v>31.92</v>
      </c>
      <c r="AE152" s="237" t="n">
        <v>0</v>
      </c>
      <c r="AF152" t="b">
        <v>0</v>
      </c>
      <c r="AG152" s="228" t="n">
        <v>-31.92</v>
      </c>
    </row>
    <row r="153">
      <c r="A153">
        <f>I153&amp;"-"&amp;J153</f>
        <v/>
      </c>
      <c r="B153" s="1">
        <f>N153</f>
        <v/>
      </c>
      <c r="C153">
        <f>M153&amp;"/"&amp;O153</f>
        <v/>
      </c>
      <c r="D153">
        <f>K153</f>
        <v/>
      </c>
      <c r="E153">
        <f>L153</f>
        <v/>
      </c>
      <c r="F153" s="236">
        <f>Z153</f>
        <v/>
      </c>
      <c r="G153">
        <f>U153&amp;"%"</f>
        <v/>
      </c>
      <c r="I153" s="53" t="n">
        <v>2023</v>
      </c>
      <c r="J153" s="53" t="n">
        <v>152</v>
      </c>
      <c r="K153" s="71" t="inlineStr">
        <is>
          <t>Ausgaben</t>
        </is>
      </c>
      <c r="L153" t="inlineStr">
        <is>
          <t>sonstige Betriebsausgaben</t>
        </is>
      </c>
      <c r="N153" s="1" t="n">
        <v>45201</v>
      </c>
      <c r="O153" t="inlineStr">
        <is>
          <t>Google Ireland Ltd, Gordon House, Barrow Street, Dublin 4, Ireland; VAT number: IE 6388047V</t>
        </is>
      </c>
      <c r="Q153" s="76" t="n"/>
      <c r="R153" t="b">
        <v>0</v>
      </c>
      <c r="S153" s="214" t="n">
        <v>10.4</v>
      </c>
      <c r="T153" s="159" t="n">
        <v>1</v>
      </c>
      <c r="U153" t="n">
        <v>0</v>
      </c>
      <c r="V153" s="237" t="n">
        <v>0</v>
      </c>
      <c r="W153" s="237" t="n">
        <v>0</v>
      </c>
      <c r="X153" s="208" t="n">
        <v>10.4</v>
      </c>
      <c r="Y153" s="251" t="n">
        <v>10.4</v>
      </c>
      <c r="Z153" s="251" t="n">
        <v>10.4</v>
      </c>
      <c r="AA153" s="35" t="n">
        <v>45275</v>
      </c>
      <c r="AB153" s="27" t="n"/>
      <c r="AC153" s="27" t="n">
        <v>20</v>
      </c>
      <c r="AD153" s="210" t="n">
        <v>10.4</v>
      </c>
      <c r="AE153" s="237" t="n">
        <v>2.08</v>
      </c>
      <c r="AF153" t="b">
        <v>0</v>
      </c>
      <c r="AG153" s="228" t="n">
        <v>-10.4</v>
      </c>
    </row>
    <row r="154">
      <c r="A154">
        <f>I154&amp;"-"&amp;J154</f>
        <v/>
      </c>
      <c r="B154" s="1">
        <f>N154</f>
        <v/>
      </c>
      <c r="C154">
        <f>M154&amp;"/"&amp;O154</f>
        <v/>
      </c>
      <c r="D154">
        <f>K154</f>
        <v/>
      </c>
      <c r="E154">
        <f>L154</f>
        <v/>
      </c>
      <c r="F154" s="236">
        <f>Z154</f>
        <v/>
      </c>
      <c r="G154">
        <f>U154&amp;"%"</f>
        <v/>
      </c>
      <c r="I154" s="53" t="n">
        <v>2023</v>
      </c>
      <c r="J154" s="53" t="n">
        <v>153</v>
      </c>
      <c r="K154" s="71" t="inlineStr">
        <is>
          <t>Ausgaben</t>
        </is>
      </c>
      <c r="L154" t="inlineStr">
        <is>
          <t>Reise- und Fahrtspesen inkl. Kilometergeld und Diäten</t>
        </is>
      </c>
      <c r="M154" s="131" t="n"/>
      <c r="N154" s="1" t="n">
        <v>45201</v>
      </c>
      <c r="O154" t="inlineStr">
        <is>
          <t>car2go Österreich GmbH, Hintere Zollamtstraße 9, 1030 Wien</t>
        </is>
      </c>
      <c r="Q154" s="76" t="n"/>
      <c r="R154" t="b">
        <v>0</v>
      </c>
      <c r="S154" s="214" t="n">
        <v>12.25</v>
      </c>
      <c r="T154" s="159" t="n">
        <v>1</v>
      </c>
      <c r="U154" t="n">
        <v>20</v>
      </c>
      <c r="V154" s="237" t="n">
        <v>2.45</v>
      </c>
      <c r="W154" s="237" t="n">
        <v>2.45</v>
      </c>
      <c r="X154" s="208" t="n">
        <v>12.25</v>
      </c>
      <c r="Y154" s="251" t="n">
        <v>14.7</v>
      </c>
      <c r="Z154" s="251" t="n">
        <v>14.7</v>
      </c>
      <c r="AA154" s="35" t="n">
        <v>45275</v>
      </c>
      <c r="AB154" s="27" t="n"/>
      <c r="AC154" s="27" t="n"/>
      <c r="AD154" s="210" t="n">
        <v>12.25</v>
      </c>
      <c r="AE154" s="237" t="n">
        <v>0</v>
      </c>
      <c r="AF154" t="b">
        <v>0</v>
      </c>
      <c r="AG154" s="228" t="n">
        <v>-12.25</v>
      </c>
    </row>
    <row r="155">
      <c r="A155">
        <f>I155&amp;"-"&amp;J155</f>
        <v/>
      </c>
      <c r="B155" s="1">
        <f>N155</f>
        <v/>
      </c>
      <c r="C155">
        <f>M155&amp;"/"&amp;O155</f>
        <v/>
      </c>
      <c r="D155">
        <f>K155</f>
        <v/>
      </c>
      <c r="E155">
        <f>L155</f>
        <v/>
      </c>
      <c r="F155" s="236">
        <f>Z155</f>
        <v/>
      </c>
      <c r="G155">
        <f>U155&amp;"%"</f>
        <v/>
      </c>
      <c r="I155" s="53" t="n">
        <v>2023</v>
      </c>
      <c r="J155" s="53" t="n">
        <v>154</v>
      </c>
      <c r="K155" s="71" t="inlineStr">
        <is>
          <t>Ausgaben</t>
        </is>
      </c>
      <c r="L155" t="inlineStr">
        <is>
          <t>Miet- und Pachtaufwand, Leasing</t>
        </is>
      </c>
      <c r="M155" s="9" t="n"/>
      <c r="N155" s="1" t="n">
        <v>45201</v>
      </c>
      <c r="O155" t="inlineStr">
        <is>
          <t>Bontus Immobilienverwaltung GmbH, 1010 Wien, Franz Josefs Kai 65</t>
        </is>
      </c>
      <c r="Q155" s="76" t="n"/>
      <c r="R155" t="b">
        <v>0</v>
      </c>
      <c r="S155" s="214" t="n">
        <v>177.9</v>
      </c>
      <c r="T155" s="159" t="n">
        <v>1</v>
      </c>
      <c r="U155" t="n">
        <v>20</v>
      </c>
      <c r="V155" s="237" t="n">
        <v>35.58</v>
      </c>
      <c r="W155" s="237" t="n">
        <v>35.58</v>
      </c>
      <c r="X155" s="208" t="n">
        <v>177.9</v>
      </c>
      <c r="Y155" s="251" t="n">
        <v>213.48</v>
      </c>
      <c r="Z155" s="251" t="n">
        <v>213.48</v>
      </c>
      <c r="AA155" s="35" t="n">
        <v>45275</v>
      </c>
      <c r="AB155" s="27" t="n"/>
      <c r="AC155" s="27" t="n"/>
      <c r="AD155" s="210" t="n">
        <v>177.9</v>
      </c>
      <c r="AE155" s="237" t="n">
        <v>0</v>
      </c>
      <c r="AF155" t="b">
        <v>0</v>
      </c>
      <c r="AG155" s="228" t="n">
        <v>-177.9</v>
      </c>
    </row>
    <row r="156">
      <c r="A156">
        <f>I156&amp;"-"&amp;J156</f>
        <v/>
      </c>
      <c r="B156" s="1">
        <f>N156</f>
        <v/>
      </c>
      <c r="C156">
        <f>M156&amp;"/"&amp;O156</f>
        <v/>
      </c>
      <c r="D156">
        <f>K156</f>
        <v/>
      </c>
      <c r="E156">
        <f>L156</f>
        <v/>
      </c>
      <c r="F156" s="236">
        <f>Z156</f>
        <v/>
      </c>
      <c r="G156">
        <f>U156&amp;"%"</f>
        <v/>
      </c>
      <c r="I156" s="53" t="n">
        <v>2023</v>
      </c>
      <c r="J156" s="53" t="n">
        <v>155</v>
      </c>
      <c r="K156" s="71" t="inlineStr">
        <is>
          <t>Ausgaben</t>
        </is>
      </c>
      <c r="L156" t="inlineStr">
        <is>
          <t>Miet- und Pachtaufwand, Leasing</t>
        </is>
      </c>
      <c r="N156" s="1" t="n">
        <v>45204</v>
      </c>
      <c r="O156" t="inlineStr">
        <is>
          <t>Techem Messtechnik GmbH; Abnehmernummer 501686-0003-11-</t>
        </is>
      </c>
      <c r="Q156" s="76" t="n"/>
      <c r="R156" t="b">
        <v>0</v>
      </c>
      <c r="S156" s="214" t="n">
        <v>108.5</v>
      </c>
      <c r="T156" s="159" t="n">
        <v>1</v>
      </c>
      <c r="U156" t="n">
        <v>20</v>
      </c>
      <c r="V156" s="237" t="n">
        <v>21.7</v>
      </c>
      <c r="W156" s="237" t="n">
        <v>21.7</v>
      </c>
      <c r="X156" s="208" t="n">
        <v>108.5</v>
      </c>
      <c r="Y156" s="251" t="n">
        <v>130.2</v>
      </c>
      <c r="Z156" s="251" t="n">
        <v>130.2</v>
      </c>
      <c r="AA156" s="35" t="n">
        <v>45275</v>
      </c>
      <c r="AB156" s="27" t="n"/>
      <c r="AC156" s="27" t="n"/>
      <c r="AD156" s="210" t="n">
        <v>108.5</v>
      </c>
      <c r="AE156" s="237" t="n">
        <v>0</v>
      </c>
      <c r="AF156" t="b">
        <v>0</v>
      </c>
      <c r="AG156" s="228" t="n">
        <v>-108.5</v>
      </c>
    </row>
    <row r="157">
      <c r="A157">
        <f>I157&amp;"-"&amp;J157</f>
        <v/>
      </c>
      <c r="B157" s="1">
        <f>N157</f>
        <v/>
      </c>
      <c r="C157">
        <f>M157&amp;"/"&amp;O157</f>
        <v/>
      </c>
      <c r="D157">
        <f>K157</f>
        <v/>
      </c>
      <c r="E157">
        <f>L157</f>
        <v/>
      </c>
      <c r="F157" s="236">
        <f>Z157</f>
        <v/>
      </c>
      <c r="G157">
        <f>U157&amp;"%"</f>
        <v/>
      </c>
      <c r="I157" s="53" t="n">
        <v>2023</v>
      </c>
      <c r="J157" s="53" t="n">
        <v>156</v>
      </c>
      <c r="K157" s="71" t="inlineStr">
        <is>
          <t>Ausgaben</t>
        </is>
      </c>
      <c r="L157" t="inlineStr">
        <is>
          <t>Telefon/Internet</t>
        </is>
      </c>
      <c r="N157" s="1" t="n">
        <v>45202</v>
      </c>
      <c r="O157" t="inlineStr">
        <is>
          <t>Hutchison Drei Austria GmbH, Brünner Straße 52, 1210 Wien, Österreich</t>
        </is>
      </c>
      <c r="Q157" s="76" t="n"/>
      <c r="R157" t="b">
        <v>0</v>
      </c>
      <c r="S157" s="214" t="n">
        <v>10.75</v>
      </c>
      <c r="T157" s="159" t="n">
        <v>1</v>
      </c>
      <c r="U157" t="n">
        <v>20</v>
      </c>
      <c r="V157" s="237" t="n">
        <v>2.15</v>
      </c>
      <c r="W157" s="237" t="n">
        <v>2.15</v>
      </c>
      <c r="X157" s="208" t="n">
        <v>10.75</v>
      </c>
      <c r="Y157" s="251" t="n">
        <v>12.9</v>
      </c>
      <c r="Z157" s="251" t="n">
        <v>12.9</v>
      </c>
      <c r="AA157" s="35" t="n">
        <v>45275</v>
      </c>
      <c r="AB157" s="27" t="n"/>
      <c r="AC157" s="27" t="n"/>
      <c r="AD157" s="210" t="n">
        <v>10.75</v>
      </c>
      <c r="AE157" s="237" t="n">
        <v>0</v>
      </c>
      <c r="AF157" t="b">
        <v>0</v>
      </c>
      <c r="AG157" s="228" t="n">
        <v>-10.75</v>
      </c>
    </row>
    <row r="158">
      <c r="A158">
        <f>I158&amp;"-"&amp;J158</f>
        <v/>
      </c>
      <c r="B158" s="1">
        <f>N158</f>
        <v/>
      </c>
      <c r="C158">
        <f>M158&amp;"/"&amp;O158</f>
        <v/>
      </c>
      <c r="D158">
        <f>K158</f>
        <v/>
      </c>
      <c r="E158">
        <f>L158</f>
        <v/>
      </c>
      <c r="F158" s="236">
        <f>Z158</f>
        <v/>
      </c>
      <c r="G158">
        <f>U158&amp;"%"</f>
        <v/>
      </c>
      <c r="I158" s="53" t="n">
        <v>2023</v>
      </c>
      <c r="J158" s="53" t="n">
        <v>157</v>
      </c>
      <c r="K158" s="71" t="inlineStr">
        <is>
          <t>Ausgaben</t>
        </is>
      </c>
      <c r="L158" t="inlineStr">
        <is>
          <t>sonstige Betriebsausgaben</t>
        </is>
      </c>
      <c r="M158" s="61" t="inlineStr">
        <is>
          <t>BELEG FEHLT</t>
        </is>
      </c>
      <c r="N158" s="1" t="n">
        <v>45204</v>
      </c>
      <c r="O158" t="inlineStr">
        <is>
          <t>go green energy GmbH &amp; Co KG</t>
        </is>
      </c>
      <c r="Q158" s="76" t="n"/>
      <c r="R158" t="b">
        <v>0</v>
      </c>
      <c r="S158" s="214" t="n">
        <v>5</v>
      </c>
      <c r="T158" s="159" t="n">
        <v>1</v>
      </c>
      <c r="U158" t="n">
        <v>20</v>
      </c>
      <c r="V158" s="237" t="n">
        <v>1</v>
      </c>
      <c r="W158" s="237" t="n">
        <v>1</v>
      </c>
      <c r="X158" s="208" t="n">
        <v>5</v>
      </c>
      <c r="Y158" s="251" t="n">
        <v>6</v>
      </c>
      <c r="Z158" s="251" t="n">
        <v>6</v>
      </c>
      <c r="AA158" s="35" t="n">
        <v>45275</v>
      </c>
      <c r="AB158" s="27" t="n"/>
      <c r="AC158" s="27" t="n"/>
      <c r="AD158" s="210" t="n">
        <v>5</v>
      </c>
      <c r="AE158" s="237" t="n">
        <v>0</v>
      </c>
      <c r="AF158" t="b">
        <v>0</v>
      </c>
      <c r="AG158" s="228" t="n">
        <v>-5</v>
      </c>
    </row>
    <row r="159">
      <c r="A159">
        <f>I159&amp;"-"&amp;J159</f>
        <v/>
      </c>
      <c r="B159" s="1">
        <f>N159</f>
        <v/>
      </c>
      <c r="C159">
        <f>M159&amp;"/"&amp;O159</f>
        <v/>
      </c>
      <c r="D159">
        <f>K159</f>
        <v/>
      </c>
      <c r="E159">
        <f>L159</f>
        <v/>
      </c>
      <c r="F159" s="236">
        <f>Z159</f>
        <v/>
      </c>
      <c r="G159">
        <f>U159&amp;"%"</f>
        <v/>
      </c>
      <c r="I159" s="53" t="n">
        <v>2023</v>
      </c>
      <c r="J159" s="53" t="n">
        <v>158</v>
      </c>
      <c r="K159" s="71" t="inlineStr">
        <is>
          <t>Ausgaben</t>
        </is>
      </c>
      <c r="L159" t="inlineStr">
        <is>
          <t>sonstige Betriebsausgaben</t>
        </is>
      </c>
      <c r="M159" s="61" t="inlineStr">
        <is>
          <t>BELEG FEHLT</t>
        </is>
      </c>
      <c r="N159" s="1" t="n">
        <v>45209</v>
      </c>
      <c r="O159" t="inlineStr">
        <is>
          <t>Wiener Netze GmbH, Erdbergstraße 236, 1110 Wien, Postfach 422; Jahresabrechnung vom 17.12.20: GUTSCHRIFT</t>
        </is>
      </c>
      <c r="Q159" s="76" t="n"/>
      <c r="R159" t="b">
        <v>0</v>
      </c>
      <c r="S159" s="214" t="n">
        <v>12</v>
      </c>
      <c r="T159" s="159" t="n">
        <v>1</v>
      </c>
      <c r="U159" t="n">
        <v>20</v>
      </c>
      <c r="V159" s="237" t="n">
        <v>2.4</v>
      </c>
      <c r="W159" s="237" t="n">
        <v>2.4</v>
      </c>
      <c r="X159" s="208" t="n">
        <v>12</v>
      </c>
      <c r="Y159" s="251" t="n">
        <v>14.4</v>
      </c>
      <c r="Z159" s="251" t="n">
        <v>14.4</v>
      </c>
      <c r="AA159" s="35" t="n">
        <v>45275</v>
      </c>
      <c r="AB159" s="27" t="n"/>
      <c r="AC159" s="27" t="n"/>
      <c r="AD159" s="210" t="n">
        <v>12</v>
      </c>
      <c r="AE159" s="237" t="n">
        <v>0</v>
      </c>
      <c r="AF159" t="b">
        <v>0</v>
      </c>
      <c r="AG159" s="228" t="n">
        <v>-12</v>
      </c>
    </row>
    <row r="160">
      <c r="A160">
        <f>I160&amp;"-"&amp;J160</f>
        <v/>
      </c>
      <c r="B160" s="1">
        <f>N160</f>
        <v/>
      </c>
      <c r="C160">
        <f>M160&amp;"/"&amp;O160</f>
        <v/>
      </c>
      <c r="D160">
        <f>K160</f>
        <v/>
      </c>
      <c r="E160">
        <f>L160</f>
        <v/>
      </c>
      <c r="F160" s="236">
        <f>Z160</f>
        <v/>
      </c>
      <c r="G160">
        <f>U160&amp;"%"</f>
        <v/>
      </c>
      <c r="I160" s="53" t="n">
        <v>2023</v>
      </c>
      <c r="J160" s="53" t="n">
        <v>159</v>
      </c>
      <c r="K160" s="71" t="inlineStr">
        <is>
          <t>Ausgaben</t>
        </is>
      </c>
      <c r="L160" t="inlineStr">
        <is>
          <t>sonstige Betriebsausgaben</t>
        </is>
      </c>
      <c r="M160" s="9" t="n"/>
      <c r="N160" s="1" t="n">
        <v>45211</v>
      </c>
      <c r="O160" t="inlineStr">
        <is>
          <t>Hetzner Online GmbH</t>
        </is>
      </c>
      <c r="Q160" s="76" t="n"/>
      <c r="R160" t="b">
        <v>0</v>
      </c>
      <c r="S160" s="214" t="n">
        <v>52.2141</v>
      </c>
      <c r="T160" s="159" t="n">
        <v>1</v>
      </c>
      <c r="U160" t="n">
        <v>0</v>
      </c>
      <c r="V160" s="237" t="n">
        <v>0</v>
      </c>
      <c r="W160" s="237" t="n">
        <v>0</v>
      </c>
      <c r="X160" s="208" t="n">
        <v>52.2141</v>
      </c>
      <c r="Y160" s="251" t="n">
        <v>52.2141</v>
      </c>
      <c r="Z160" s="251" t="n">
        <v>52.2141</v>
      </c>
      <c r="AA160" s="35" t="n">
        <v>45275</v>
      </c>
      <c r="AB160" s="27" t="n"/>
      <c r="AC160" s="27" t="n">
        <v>20</v>
      </c>
      <c r="AD160" s="210" t="n">
        <v>52.2141</v>
      </c>
      <c r="AE160" s="237" t="n">
        <v>10.44282</v>
      </c>
      <c r="AF160" t="b">
        <v>0</v>
      </c>
      <c r="AG160" s="228" t="n">
        <v>-52.2141</v>
      </c>
    </row>
    <row r="161">
      <c r="A161">
        <f>I161&amp;"-"&amp;J161</f>
        <v/>
      </c>
      <c r="B161" s="1">
        <f>N161</f>
        <v/>
      </c>
      <c r="C161">
        <f>M161&amp;"/"&amp;O161</f>
        <v/>
      </c>
      <c r="D161">
        <f>K161</f>
        <v/>
      </c>
      <c r="E161">
        <f>L161</f>
        <v/>
      </c>
      <c r="F161" s="236">
        <f>Z161</f>
        <v/>
      </c>
      <c r="G161">
        <f>U161&amp;"%"</f>
        <v/>
      </c>
      <c r="I161" s="53" t="n">
        <v>2023</v>
      </c>
      <c r="J161" s="53" t="n">
        <v>160</v>
      </c>
      <c r="K161" s="71" t="inlineStr">
        <is>
          <t>Ausgaben</t>
        </is>
      </c>
      <c r="L161" t="inlineStr">
        <is>
          <t>Personalaufwand</t>
        </is>
      </c>
      <c r="M161" s="9" t="inlineStr">
        <is>
          <t>siehe 2022-140</t>
        </is>
      </c>
      <c r="N161" s="1" t="n">
        <v>45215</v>
      </c>
      <c r="O161" t="inlineStr">
        <is>
          <t>Honorar Eva Jaros-Kolbitsch</t>
        </is>
      </c>
      <c r="Q161" s="76" t="n"/>
      <c r="R161" t="b">
        <v>0</v>
      </c>
      <c r="S161" s="214" t="n">
        <v>365</v>
      </c>
      <c r="T161" s="159" t="n">
        <v>1</v>
      </c>
      <c r="U161" t="n">
        <v>0</v>
      </c>
      <c r="V161" s="237" t="n">
        <v>0</v>
      </c>
      <c r="W161" s="237" t="n">
        <v>0</v>
      </c>
      <c r="X161" s="208" t="n">
        <v>365</v>
      </c>
      <c r="Y161" s="251" t="n">
        <v>365</v>
      </c>
      <c r="Z161" s="251" t="n">
        <v>365</v>
      </c>
      <c r="AA161" s="35" t="n">
        <v>45275</v>
      </c>
      <c r="AB161" s="27" t="n"/>
      <c r="AC161" s="27" t="n"/>
      <c r="AD161" s="210" t="n">
        <v>365</v>
      </c>
      <c r="AE161" s="237" t="n">
        <v>0</v>
      </c>
      <c r="AF161" t="b">
        <v>0</v>
      </c>
      <c r="AG161" s="228" t="n">
        <v>-365</v>
      </c>
    </row>
    <row r="162">
      <c r="A162">
        <f>I162&amp;"-"&amp;J162</f>
        <v/>
      </c>
      <c r="B162" s="1">
        <f>N162</f>
        <v/>
      </c>
      <c r="C162">
        <f>M162&amp;"/"&amp;O162</f>
        <v/>
      </c>
      <c r="D162">
        <f>K162</f>
        <v/>
      </c>
      <c r="E162">
        <f>L162</f>
        <v/>
      </c>
      <c r="F162" s="236">
        <f>Z162</f>
        <v/>
      </c>
      <c r="G162">
        <f>U162&amp;"%"</f>
        <v/>
      </c>
      <c r="I162" s="53" t="n">
        <v>2023</v>
      </c>
      <c r="J162" s="53" t="n">
        <v>161</v>
      </c>
      <c r="K162" s="71" t="inlineStr">
        <is>
          <t>Ausgaben</t>
        </is>
      </c>
      <c r="L162" t="inlineStr">
        <is>
          <t>sonstige Betriebsausgaben</t>
        </is>
      </c>
      <c r="M162" s="1" t="n"/>
      <c r="N162" s="1" t="n">
        <v>45219</v>
      </c>
      <c r="O162" t="inlineStr">
        <is>
          <t>Microsoft Ireland Operations Ltd. One Microsoft Place, South County, Business Park, Leopardstown, Dublin 18, D18 P521, Ireland</t>
        </is>
      </c>
      <c r="Q162" s="76" t="n"/>
      <c r="R162" t="b">
        <v>0</v>
      </c>
      <c r="S162" s="214" t="n">
        <v>10.5</v>
      </c>
      <c r="T162" s="159" t="n">
        <v>1</v>
      </c>
      <c r="U162" t="n">
        <v>0</v>
      </c>
      <c r="V162" s="237" t="n">
        <v>0</v>
      </c>
      <c r="W162" s="237" t="n">
        <v>0</v>
      </c>
      <c r="X162" s="208" t="n">
        <v>10.5</v>
      </c>
      <c r="Y162" s="251" t="n">
        <v>10.5</v>
      </c>
      <c r="Z162" s="251" t="n">
        <v>10.5</v>
      </c>
      <c r="AA162" s="35" t="n">
        <v>45275</v>
      </c>
      <c r="AB162" s="27" t="n"/>
      <c r="AC162" s="27" t="n">
        <v>20</v>
      </c>
      <c r="AD162" s="210" t="n">
        <v>10.5</v>
      </c>
      <c r="AE162" s="237" t="n">
        <v>2.1</v>
      </c>
      <c r="AF162" t="b">
        <v>0</v>
      </c>
      <c r="AG162" s="228" t="n">
        <v>-10.5</v>
      </c>
    </row>
    <row r="163">
      <c r="A163">
        <f>I163&amp;"-"&amp;J163</f>
        <v/>
      </c>
      <c r="B163" s="1">
        <f>N163</f>
        <v/>
      </c>
      <c r="C163">
        <f>M163&amp;"/"&amp;O163</f>
        <v/>
      </c>
      <c r="D163">
        <f>K163</f>
        <v/>
      </c>
      <c r="E163">
        <f>L163</f>
        <v/>
      </c>
      <c r="F163" s="236">
        <f>Z163</f>
        <v/>
      </c>
      <c r="G163">
        <f>U163&amp;"%"</f>
        <v/>
      </c>
      <c r="I163" s="53" t="n">
        <v>2023</v>
      </c>
      <c r="J163" s="53" t="n">
        <v>162</v>
      </c>
      <c r="K163" s="71" t="inlineStr">
        <is>
          <t>Ausgaben</t>
        </is>
      </c>
      <c r="L163" t="inlineStr">
        <is>
          <t>Telefon/Internet</t>
        </is>
      </c>
      <c r="M163" s="131" t="n"/>
      <c r="N163" s="1" t="n">
        <v>45219</v>
      </c>
      <c r="O163" t="inlineStr">
        <is>
          <t>Magenta: T-Mobile Austria GmbH, A-1120 Wien, PF 47</t>
        </is>
      </c>
      <c r="Q163" s="76" t="n"/>
      <c r="R163" t="b">
        <v>0</v>
      </c>
      <c r="S163" s="214" t="n">
        <v>31.92</v>
      </c>
      <c r="T163" s="159" t="n">
        <v>1</v>
      </c>
      <c r="U163" t="n">
        <v>20</v>
      </c>
      <c r="V163" s="237" t="n">
        <v>6.384000000000001</v>
      </c>
      <c r="W163" s="237" t="n">
        <v>6.384000000000001</v>
      </c>
      <c r="X163" s="208" t="n">
        <v>31.92</v>
      </c>
      <c r="Y163" s="251" t="n">
        <v>38.304</v>
      </c>
      <c r="Z163" s="251" t="n">
        <v>38.304</v>
      </c>
      <c r="AA163" s="35" t="n">
        <v>45275</v>
      </c>
      <c r="AB163" s="27" t="n"/>
      <c r="AC163" s="27" t="n"/>
      <c r="AD163" s="210" t="n">
        <v>31.92</v>
      </c>
      <c r="AE163" s="237" t="n">
        <v>0</v>
      </c>
      <c r="AF163" t="b">
        <v>0</v>
      </c>
      <c r="AG163" s="228" t="n">
        <v>-31.92</v>
      </c>
    </row>
    <row r="164">
      <c r="A164">
        <f>I164&amp;"-"&amp;J164</f>
        <v/>
      </c>
      <c r="B164" s="1">
        <f>N164</f>
        <v/>
      </c>
      <c r="C164">
        <f>M164&amp;"/"&amp;O164</f>
        <v/>
      </c>
      <c r="D164">
        <f>K164</f>
        <v/>
      </c>
      <c r="E164">
        <f>L164</f>
        <v/>
      </c>
      <c r="F164" s="236">
        <f>Z164</f>
        <v/>
      </c>
      <c r="G164">
        <f>U164&amp;"%"</f>
        <v/>
      </c>
      <c r="I164" s="53" t="n">
        <v>2023</v>
      </c>
      <c r="J164" s="53" t="n">
        <v>163</v>
      </c>
      <c r="K164" s="71" t="inlineStr">
        <is>
          <t>Einnahmen</t>
        </is>
      </c>
      <c r="L164" t="inlineStr">
        <is>
          <t>Waren-/Leistungserlöse</t>
        </is>
      </c>
      <c r="M164" s="39" t="n">
        <v>12023018</v>
      </c>
      <c r="N164" s="1" t="n">
        <v>45219</v>
      </c>
      <c r="O164" t="inlineStr">
        <is>
          <t>Hays Österreich GmbH, Bahnhof City Wien West , Europaplatz 3/5, 1150 Wien</t>
        </is>
      </c>
      <c r="Q164" s="76" t="n"/>
      <c r="R164" t="b">
        <v>0</v>
      </c>
      <c r="S164" s="214" t="n">
        <v>11969.63</v>
      </c>
      <c r="T164" s="159" t="n">
        <v>1</v>
      </c>
      <c r="U164" t="n">
        <v>20</v>
      </c>
      <c r="V164" s="237" t="n">
        <v>2393.926</v>
      </c>
      <c r="W164" s="237" t="n">
        <v>2393.926</v>
      </c>
      <c r="X164" s="208" t="n">
        <v>11969.63</v>
      </c>
      <c r="Y164" s="251" t="n">
        <v>14363.556</v>
      </c>
      <c r="Z164" s="251" t="n">
        <v>14363.556</v>
      </c>
      <c r="AA164" s="35" t="n">
        <v>45275</v>
      </c>
      <c r="AB164" s="27" t="n"/>
      <c r="AC164" s="27" t="n"/>
      <c r="AD164" s="210" t="n">
        <v>11969.63</v>
      </c>
      <c r="AE164" s="237" t="n">
        <v>0</v>
      </c>
      <c r="AF164" t="b">
        <v>0</v>
      </c>
      <c r="AG164" s="228" t="n">
        <v>11969.63</v>
      </c>
    </row>
    <row r="165">
      <c r="A165">
        <f>I165&amp;"-"&amp;J165</f>
        <v/>
      </c>
      <c r="B165" s="1">
        <f>N165</f>
        <v/>
      </c>
      <c r="C165">
        <f>M165&amp;"/"&amp;O165</f>
        <v/>
      </c>
      <c r="D165">
        <f>K165</f>
        <v/>
      </c>
      <c r="E165">
        <f>L165</f>
        <v/>
      </c>
      <c r="F165" s="236">
        <f>Z165</f>
        <v/>
      </c>
      <c r="G165">
        <f>U165&amp;"%"</f>
        <v/>
      </c>
      <c r="I165" s="53" t="n">
        <v>2023</v>
      </c>
      <c r="J165" s="53" t="n">
        <v>164</v>
      </c>
      <c r="K165" s="71" t="inlineStr">
        <is>
          <t>Ausgaben</t>
        </is>
      </c>
      <c r="L165" t="inlineStr">
        <is>
          <t>Lizenzgebühren</t>
        </is>
      </c>
      <c r="M165" s="9" t="n"/>
      <c r="N165" s="1" t="n">
        <v>45226</v>
      </c>
      <c r="O165" t="inlineStr">
        <is>
          <t>Adobe Systems Software Ireland Ltd., 4-6 Riverwalk, Citywest Business Park, Dublin 24, Ireland, VAT ID IE6364992H</t>
        </is>
      </c>
      <c r="Q165" s="76" t="n"/>
      <c r="R165" t="b">
        <v>0</v>
      </c>
      <c r="S165" s="214" t="n">
        <v>20.28</v>
      </c>
      <c r="T165" s="159" t="n">
        <v>1</v>
      </c>
      <c r="U165" t="n">
        <v>0</v>
      </c>
      <c r="V165" s="237" t="n">
        <v>0</v>
      </c>
      <c r="W165" s="237" t="n">
        <v>0</v>
      </c>
      <c r="X165" s="208" t="n">
        <v>20.28</v>
      </c>
      <c r="Y165" s="251" t="n">
        <v>20.28</v>
      </c>
      <c r="Z165" s="251" t="n">
        <v>20.28</v>
      </c>
      <c r="AA165" s="35" t="n">
        <v>45337</v>
      </c>
      <c r="AB165" s="27" t="n"/>
      <c r="AC165" s="27" t="n">
        <v>20</v>
      </c>
      <c r="AD165" s="210" t="n">
        <v>20.28</v>
      </c>
      <c r="AE165" s="237" t="n">
        <v>4.056</v>
      </c>
      <c r="AF165" t="b">
        <v>0</v>
      </c>
      <c r="AG165" s="228" t="n">
        <v>-20.28</v>
      </c>
    </row>
    <row r="166">
      <c r="A166">
        <f>I166&amp;"-"&amp;J166</f>
        <v/>
      </c>
      <c r="B166" s="1">
        <f>N166</f>
        <v/>
      </c>
      <c r="C166">
        <f>M166&amp;"/"&amp;O166</f>
        <v/>
      </c>
      <c r="D166">
        <f>K166</f>
        <v/>
      </c>
      <c r="E166">
        <f>L166</f>
        <v/>
      </c>
      <c r="F166" s="236">
        <f>Z166</f>
        <v/>
      </c>
      <c r="G166">
        <f>U166&amp;"%"</f>
        <v/>
      </c>
      <c r="I166" s="53" t="n">
        <v>2023</v>
      </c>
      <c r="J166" s="53" t="n">
        <v>165</v>
      </c>
      <c r="K166" s="71" t="inlineStr">
        <is>
          <t>Ausgaben</t>
        </is>
      </c>
      <c r="L166" t="inlineStr">
        <is>
          <t>Telefon/Internet</t>
        </is>
      </c>
      <c r="M166" s="9" t="n"/>
      <c r="N166" s="1" t="n">
        <v>45230</v>
      </c>
      <c r="O166" t="inlineStr">
        <is>
          <t>HoT Telekom und Service GmbH, Postfach 28, 1121 Wien</t>
        </is>
      </c>
      <c r="Q166" s="76" t="n"/>
      <c r="R166" t="b">
        <v>0</v>
      </c>
      <c r="S166" s="214" t="n">
        <v>16.58</v>
      </c>
      <c r="T166" s="159" t="n">
        <v>1</v>
      </c>
      <c r="U166" t="n">
        <v>0</v>
      </c>
      <c r="V166" s="237" t="n">
        <v>0</v>
      </c>
      <c r="W166" s="237" t="n">
        <v>0</v>
      </c>
      <c r="X166" s="208" t="n">
        <v>16.58</v>
      </c>
      <c r="Y166" s="251" t="n">
        <v>16.58</v>
      </c>
      <c r="Z166" s="251" t="n">
        <v>16.58</v>
      </c>
      <c r="AA166" s="35" t="n">
        <v>45337</v>
      </c>
      <c r="AB166" s="27" t="n"/>
      <c r="AC166" s="27" t="n">
        <v>20</v>
      </c>
      <c r="AD166" s="210" t="n">
        <v>16.58</v>
      </c>
      <c r="AE166" s="237" t="n">
        <v>3.316</v>
      </c>
      <c r="AF166" t="b">
        <v>0</v>
      </c>
      <c r="AG166" s="228" t="n">
        <v>-16.58</v>
      </c>
    </row>
    <row r="167">
      <c r="A167">
        <f>I167&amp;"-"&amp;J167</f>
        <v/>
      </c>
      <c r="B167" s="1">
        <f>N167</f>
        <v/>
      </c>
      <c r="C167">
        <f>M167&amp;"/"&amp;O167</f>
        <v/>
      </c>
      <c r="D167">
        <f>K167</f>
        <v/>
      </c>
      <c r="E167">
        <f>L167</f>
        <v/>
      </c>
      <c r="F167" s="236">
        <f>Z167</f>
        <v/>
      </c>
      <c r="G167">
        <f>U167&amp;"%"</f>
        <v/>
      </c>
      <c r="I167" s="53" t="n">
        <v>2023</v>
      </c>
      <c r="J167" s="53" t="n">
        <v>166</v>
      </c>
      <c r="K167" s="71" t="inlineStr">
        <is>
          <t>Ausgaben</t>
        </is>
      </c>
      <c r="L167" t="inlineStr">
        <is>
          <t>Reise- und Fahrtspesen inkl. Kilometergeld und Diäten</t>
        </is>
      </c>
      <c r="M167" s="131" t="n"/>
      <c r="N167" s="1" t="n">
        <v>45232</v>
      </c>
      <c r="O167" t="inlineStr">
        <is>
          <t>car2go Österreich GmbH, Hintere Zollamtstraße 9, 1030 Wien</t>
        </is>
      </c>
      <c r="Q167" s="76" t="n"/>
      <c r="R167" t="b">
        <v>0</v>
      </c>
      <c r="S167" s="214" t="n">
        <v>18.55</v>
      </c>
      <c r="T167" s="159" t="n">
        <v>1</v>
      </c>
      <c r="U167" t="n">
        <v>20</v>
      </c>
      <c r="V167" s="237" t="n">
        <v>3.71</v>
      </c>
      <c r="W167" s="237" t="n">
        <v>3.71</v>
      </c>
      <c r="X167" s="208" t="n">
        <v>18.55</v>
      </c>
      <c r="Y167" s="251" t="n">
        <v>22.26</v>
      </c>
      <c r="Z167" s="251" t="n">
        <v>22.26</v>
      </c>
      <c r="AA167" s="35" t="n">
        <v>45306</v>
      </c>
      <c r="AB167" s="27" t="n"/>
      <c r="AC167" s="27" t="n"/>
      <c r="AD167" s="210" t="n">
        <v>18.55</v>
      </c>
      <c r="AE167" s="237" t="n">
        <v>0</v>
      </c>
      <c r="AF167" t="b">
        <v>0</v>
      </c>
      <c r="AG167" s="228" t="n">
        <v>-18.55</v>
      </c>
    </row>
    <row r="168">
      <c r="A168">
        <f>I168&amp;"-"&amp;J168</f>
        <v/>
      </c>
      <c r="B168" s="1">
        <f>N168</f>
        <v/>
      </c>
      <c r="C168">
        <f>M168&amp;"/"&amp;O168</f>
        <v/>
      </c>
      <c r="D168">
        <f>K168</f>
        <v/>
      </c>
      <c r="E168">
        <f>L168</f>
        <v/>
      </c>
      <c r="F168" s="236">
        <f>Z168</f>
        <v/>
      </c>
      <c r="G168">
        <f>U168&amp;"%"</f>
        <v/>
      </c>
      <c r="I168" s="53" t="n">
        <v>2023</v>
      </c>
      <c r="J168" s="53" t="n">
        <v>167</v>
      </c>
      <c r="K168" s="71" t="inlineStr">
        <is>
          <t>Ausgaben</t>
        </is>
      </c>
      <c r="L168" t="inlineStr">
        <is>
          <t>Miet- und Pachtaufwand, Leasing</t>
        </is>
      </c>
      <c r="M168" s="9" t="n"/>
      <c r="N168" s="1" t="n">
        <v>45232</v>
      </c>
      <c r="O168" t="inlineStr">
        <is>
          <t>Bontus Immobilienverwaltung GmbH, 1010 Wien, Franz Josefs Kai 65</t>
        </is>
      </c>
      <c r="Q168" s="76" t="n"/>
      <c r="R168" t="b">
        <v>0</v>
      </c>
      <c r="S168" s="214" t="n">
        <v>533.1083333333333</v>
      </c>
      <c r="T168" s="159" t="n">
        <v>1</v>
      </c>
      <c r="U168" t="n">
        <v>20</v>
      </c>
      <c r="V168" s="237" t="n">
        <v>106.6216666666667</v>
      </c>
      <c r="W168" s="237" t="n">
        <v>106.6216666666667</v>
      </c>
      <c r="X168" s="208" t="n">
        <v>533.1083333333333</v>
      </c>
      <c r="Y168" s="251" t="n">
        <v>639.73</v>
      </c>
      <c r="Z168" s="251" t="n">
        <v>639.73</v>
      </c>
      <c r="AA168" s="35" t="n">
        <v>45306</v>
      </c>
      <c r="AB168" s="27" t="n"/>
      <c r="AC168" s="27" t="n"/>
      <c r="AD168" s="210" t="n">
        <v>533.1083333333333</v>
      </c>
      <c r="AE168" s="237" t="n">
        <v>0</v>
      </c>
      <c r="AF168" t="b">
        <v>0</v>
      </c>
      <c r="AG168" s="228" t="n">
        <v>-533.1083333333333</v>
      </c>
    </row>
    <row r="169">
      <c r="A169">
        <f>I169&amp;"-"&amp;J169</f>
        <v/>
      </c>
      <c r="B169" s="1">
        <f>N169</f>
        <v/>
      </c>
      <c r="C169">
        <f>M169&amp;"/"&amp;O169</f>
        <v/>
      </c>
      <c r="D169">
        <f>K169</f>
        <v/>
      </c>
      <c r="E169">
        <f>L169</f>
        <v/>
      </c>
      <c r="F169" s="236">
        <f>Z169</f>
        <v/>
      </c>
      <c r="G169">
        <f>U169&amp;"%"</f>
        <v/>
      </c>
      <c r="I169" s="53" t="n">
        <v>2023</v>
      </c>
      <c r="J169" s="53" t="n">
        <v>168</v>
      </c>
      <c r="K169" s="71" t="inlineStr">
        <is>
          <t>Ausgaben</t>
        </is>
      </c>
      <c r="L169" t="inlineStr">
        <is>
          <t>sonstige Betriebsausgaben</t>
        </is>
      </c>
      <c r="N169" s="1" t="n">
        <v>45232</v>
      </c>
      <c r="O169" t="inlineStr">
        <is>
          <t>Google Ireland Ltd, Gordon House, Barrow Street, Dublin 4, Ireland; VAT number: IE 6388047V</t>
        </is>
      </c>
      <c r="Q169" s="76" t="n"/>
      <c r="R169" t="b">
        <v>0</v>
      </c>
      <c r="S169" s="214" t="n">
        <v>10.4</v>
      </c>
      <c r="T169" s="159" t="n">
        <v>1</v>
      </c>
      <c r="U169" t="n">
        <v>0</v>
      </c>
      <c r="V169" s="237" t="n">
        <v>0</v>
      </c>
      <c r="W169" s="237" t="n">
        <v>0</v>
      </c>
      <c r="X169" s="208" t="n">
        <v>10.4</v>
      </c>
      <c r="Y169" s="251" t="n">
        <v>10.4</v>
      </c>
      <c r="Z169" s="251" t="n">
        <v>10.4</v>
      </c>
      <c r="AA169" s="35" t="n">
        <v>45306</v>
      </c>
      <c r="AB169" s="27" t="n"/>
      <c r="AC169" s="27" t="n">
        <v>20</v>
      </c>
      <c r="AD169" s="210" t="n">
        <v>10.4</v>
      </c>
      <c r="AE169" s="237" t="n">
        <v>2.08</v>
      </c>
      <c r="AF169" t="b">
        <v>0</v>
      </c>
      <c r="AG169" s="228" t="n">
        <v>-10.4</v>
      </c>
    </row>
    <row r="170">
      <c r="A170">
        <f>I170&amp;"-"&amp;J170</f>
        <v/>
      </c>
      <c r="B170" s="1">
        <f>N170</f>
        <v/>
      </c>
      <c r="C170">
        <f>M170&amp;"/"&amp;O170</f>
        <v/>
      </c>
      <c r="D170">
        <f>K170</f>
        <v/>
      </c>
      <c r="E170">
        <f>L170</f>
        <v/>
      </c>
      <c r="F170" s="236">
        <f>Z170</f>
        <v/>
      </c>
      <c r="G170">
        <f>U170&amp;"%"</f>
        <v/>
      </c>
      <c r="I170" s="53" t="n">
        <v>2023</v>
      </c>
      <c r="J170" s="53" t="n">
        <v>169</v>
      </c>
      <c r="K170" s="71" t="inlineStr">
        <is>
          <t>Ausgaben</t>
        </is>
      </c>
      <c r="L170" t="inlineStr">
        <is>
          <t>Telefon/Internet</t>
        </is>
      </c>
      <c r="N170" s="1" t="n">
        <v>45236</v>
      </c>
      <c r="O170" t="inlineStr">
        <is>
          <t>Hutchison Drei Austria GmbH, Brünner Straße 52, 1210 Wien, Österreich</t>
        </is>
      </c>
      <c r="Q170" s="76" t="n"/>
      <c r="R170" t="b">
        <v>0</v>
      </c>
      <c r="S170" s="214" t="n">
        <v>10.75</v>
      </c>
      <c r="T170" s="159" t="n">
        <v>1</v>
      </c>
      <c r="U170" t="n">
        <v>20</v>
      </c>
      <c r="V170" s="237" t="n">
        <v>2.15</v>
      </c>
      <c r="W170" s="237" t="n">
        <v>2.15</v>
      </c>
      <c r="X170" s="208" t="n">
        <v>10.75</v>
      </c>
      <c r="Y170" s="251" t="n">
        <v>12.9</v>
      </c>
      <c r="Z170" s="251" t="n">
        <v>12.9</v>
      </c>
      <c r="AA170" s="35" t="n">
        <v>45306</v>
      </c>
      <c r="AB170" s="27" t="n"/>
      <c r="AC170" s="27" t="n"/>
      <c r="AD170" s="210" t="n">
        <v>10.75</v>
      </c>
      <c r="AE170" s="237" t="n">
        <v>0</v>
      </c>
      <c r="AF170" t="b">
        <v>0</v>
      </c>
      <c r="AG170" s="228" t="n">
        <v>-10.75</v>
      </c>
    </row>
    <row r="171">
      <c r="A171">
        <f>I171&amp;"-"&amp;J171</f>
        <v/>
      </c>
      <c r="B171" s="1">
        <f>N171</f>
        <v/>
      </c>
      <c r="C171">
        <f>M171&amp;"/"&amp;O171</f>
        <v/>
      </c>
      <c r="D171">
        <f>K171</f>
        <v/>
      </c>
      <c r="E171">
        <f>L171</f>
        <v/>
      </c>
      <c r="F171" s="236">
        <f>Z171</f>
        <v/>
      </c>
      <c r="G171">
        <f>U171&amp;"%"</f>
        <v/>
      </c>
      <c r="I171" s="53" t="n">
        <v>2023</v>
      </c>
      <c r="J171" s="53" t="n">
        <v>170</v>
      </c>
      <c r="K171" s="71" t="inlineStr">
        <is>
          <t>Ausgaben</t>
        </is>
      </c>
      <c r="L171" t="inlineStr">
        <is>
          <t>Miet- und Pachtaufwand, Leasing</t>
        </is>
      </c>
      <c r="N171" s="1" t="n">
        <v>45236</v>
      </c>
      <c r="O171" t="inlineStr">
        <is>
          <t>Techem Messtechnik GmbH; Abnehmernummer 501686-0003-11-</t>
        </is>
      </c>
      <c r="Q171" s="76" t="n"/>
      <c r="R171" t="b">
        <v>0</v>
      </c>
      <c r="S171" s="214" t="n">
        <v>108.5</v>
      </c>
      <c r="T171" s="159" t="n">
        <v>1</v>
      </c>
      <c r="U171" t="n">
        <v>20</v>
      </c>
      <c r="V171" s="237" t="n">
        <v>21.7</v>
      </c>
      <c r="W171" s="237" t="n">
        <v>21.7</v>
      </c>
      <c r="X171" s="208" t="n">
        <v>108.5</v>
      </c>
      <c r="Y171" s="251" t="n">
        <v>130.2</v>
      </c>
      <c r="Z171" s="251" t="n">
        <v>130.2</v>
      </c>
      <c r="AA171" s="35" t="n">
        <v>45306</v>
      </c>
      <c r="AB171" s="27" t="n"/>
      <c r="AC171" s="27" t="n"/>
      <c r="AD171" s="210" t="n">
        <v>108.5</v>
      </c>
      <c r="AE171" s="237" t="n">
        <v>0</v>
      </c>
      <c r="AF171" t="b">
        <v>0</v>
      </c>
      <c r="AG171" s="228" t="n">
        <v>-108.5</v>
      </c>
    </row>
    <row r="172">
      <c r="A172">
        <f>I172&amp;"-"&amp;J172</f>
        <v/>
      </c>
      <c r="B172" s="1">
        <f>N172</f>
        <v/>
      </c>
      <c r="C172">
        <f>M172&amp;"/"&amp;O172</f>
        <v/>
      </c>
      <c r="D172">
        <f>K172</f>
        <v/>
      </c>
      <c r="E172">
        <f>L172</f>
        <v/>
      </c>
      <c r="F172" s="236">
        <f>Z172</f>
        <v/>
      </c>
      <c r="G172">
        <f>U172&amp;"%"</f>
        <v/>
      </c>
      <c r="I172" s="53" t="n">
        <v>2023</v>
      </c>
      <c r="J172" s="53" t="n">
        <v>171</v>
      </c>
      <c r="K172" s="71" t="inlineStr">
        <is>
          <t>Ausgaben</t>
        </is>
      </c>
      <c r="L172" t="inlineStr">
        <is>
          <t>sonstige Betriebsausgaben</t>
        </is>
      </c>
      <c r="M172" s="61" t="inlineStr">
        <is>
          <t>BELEG FEHLT</t>
        </is>
      </c>
      <c r="N172" s="1" t="n">
        <v>45236</v>
      </c>
      <c r="O172" t="inlineStr">
        <is>
          <t>go green energy GmbH &amp; Co KG</t>
        </is>
      </c>
      <c r="Q172" s="76" t="n"/>
      <c r="R172" t="b">
        <v>0</v>
      </c>
      <c r="S172" s="214" t="n">
        <v>5</v>
      </c>
      <c r="T172" s="159" t="n">
        <v>1</v>
      </c>
      <c r="U172" t="n">
        <v>20</v>
      </c>
      <c r="V172" s="237" t="n">
        <v>1</v>
      </c>
      <c r="W172" s="237" t="n">
        <v>1</v>
      </c>
      <c r="X172" s="208" t="n">
        <v>5</v>
      </c>
      <c r="Y172" s="251" t="n">
        <v>6</v>
      </c>
      <c r="Z172" s="251" t="n">
        <v>6</v>
      </c>
      <c r="AA172" s="35" t="n">
        <v>45306</v>
      </c>
      <c r="AB172" s="27" t="n"/>
      <c r="AC172" s="27" t="n"/>
      <c r="AD172" s="210" t="n">
        <v>5</v>
      </c>
      <c r="AE172" s="237" t="n">
        <v>0</v>
      </c>
      <c r="AF172" t="b">
        <v>0</v>
      </c>
      <c r="AG172" s="228" t="n">
        <v>-5</v>
      </c>
    </row>
    <row r="173">
      <c r="A173">
        <f>I173&amp;"-"&amp;J173</f>
        <v/>
      </c>
      <c r="B173" s="1">
        <f>N173</f>
        <v/>
      </c>
      <c r="C173">
        <f>M173&amp;"/"&amp;O173</f>
        <v/>
      </c>
      <c r="D173">
        <f>K173</f>
        <v/>
      </c>
      <c r="E173">
        <f>L173</f>
        <v/>
      </c>
      <c r="F173" s="236">
        <f>Z173</f>
        <v/>
      </c>
      <c r="G173">
        <f>U173&amp;"%"</f>
        <v/>
      </c>
      <c r="I173" s="53" t="n">
        <v>2023</v>
      </c>
      <c r="J173" s="53" t="n">
        <v>172</v>
      </c>
      <c r="K173" s="71" t="inlineStr">
        <is>
          <t>Ausgaben</t>
        </is>
      </c>
      <c r="L173" t="inlineStr">
        <is>
          <t>Büromaterial</t>
        </is>
      </c>
      <c r="M173" s="9" t="n"/>
      <c r="N173" s="1" t="n">
        <v>45237</v>
      </c>
      <c r="O173" t="inlineStr">
        <is>
          <t>Amazon EU S. à r.l., 38 avenue John F. Kennedy, L-1855 Luxembourg</t>
        </is>
      </c>
      <c r="Q173" s="76" t="n"/>
      <c r="R173" t="b">
        <v>0</v>
      </c>
      <c r="S173" s="214" t="n">
        <v>16.91666666666667</v>
      </c>
      <c r="T173" s="159" t="n">
        <v>1</v>
      </c>
      <c r="U173" t="n">
        <v>20</v>
      </c>
      <c r="V173" s="237" t="n">
        <v>3.383333333333334</v>
      </c>
      <c r="W173" s="237" t="n">
        <v>3.383333333333334</v>
      </c>
      <c r="X173" s="208" t="n">
        <v>16.91666666666667</v>
      </c>
      <c r="Y173" s="251" t="n">
        <v>20.3</v>
      </c>
      <c r="Z173" s="251" t="n">
        <v>20.3</v>
      </c>
      <c r="AA173" s="35" t="n">
        <v>45306</v>
      </c>
      <c r="AB173" s="27" t="n"/>
      <c r="AC173" s="27" t="n"/>
      <c r="AD173" s="210" t="n">
        <v>16.91666666666667</v>
      </c>
      <c r="AE173" s="237" t="n">
        <v>0</v>
      </c>
      <c r="AF173" t="b">
        <v>0</v>
      </c>
      <c r="AG173" s="228" t="n">
        <v>-16.91666666666667</v>
      </c>
    </row>
    <row r="174">
      <c r="A174">
        <f>I174&amp;"-"&amp;J174</f>
        <v/>
      </c>
      <c r="B174" s="1">
        <f>N174</f>
        <v/>
      </c>
      <c r="C174">
        <f>M174&amp;"/"&amp;O174</f>
        <v/>
      </c>
      <c r="D174">
        <f>K174</f>
        <v/>
      </c>
      <c r="E174">
        <f>L174</f>
        <v/>
      </c>
      <c r="F174" s="236">
        <f>Z174</f>
        <v/>
      </c>
      <c r="G174">
        <f>U174&amp;"%"</f>
        <v/>
      </c>
      <c r="I174" s="53" t="n">
        <v>2023</v>
      </c>
      <c r="J174" s="53" t="n">
        <v>173</v>
      </c>
      <c r="K174" s="71" t="inlineStr">
        <is>
          <t>Ausgaben</t>
        </is>
      </c>
      <c r="L174" t="inlineStr">
        <is>
          <t>Büromaterial</t>
        </is>
      </c>
      <c r="M174" s="9" t="n"/>
      <c r="N174" s="1" t="n">
        <v>45238</v>
      </c>
      <c r="O174" t="inlineStr">
        <is>
          <t>Amazon EU S. à r.l., 38 avenue John F. Kennedy, L-1855 Luxembourg</t>
        </is>
      </c>
      <c r="Q174" s="76" t="n"/>
      <c r="R174" t="b">
        <v>0</v>
      </c>
      <c r="S174" s="214" t="n">
        <v>50.34</v>
      </c>
      <c r="T174" s="159" t="n">
        <v>1</v>
      </c>
      <c r="U174" t="n">
        <v>20</v>
      </c>
      <c r="V174" s="237" t="n">
        <v>10.068</v>
      </c>
      <c r="W174" s="237" t="n">
        <v>10.068</v>
      </c>
      <c r="X174" s="208" t="n">
        <v>50.34</v>
      </c>
      <c r="Y174" s="251" t="n">
        <v>60.408</v>
      </c>
      <c r="Z174" s="251" t="n">
        <v>60.408</v>
      </c>
      <c r="AA174" s="35" t="n">
        <v>45306</v>
      </c>
      <c r="AB174" s="27" t="n"/>
      <c r="AC174" s="27" t="n"/>
      <c r="AD174" s="210" t="n">
        <v>50.34</v>
      </c>
      <c r="AE174" s="237" t="n">
        <v>0</v>
      </c>
      <c r="AF174" t="b">
        <v>0</v>
      </c>
      <c r="AG174" s="228" t="n">
        <v>-50.34</v>
      </c>
    </row>
    <row r="175">
      <c r="A175">
        <f>I175&amp;"-"&amp;J175</f>
        <v/>
      </c>
      <c r="B175" s="1">
        <f>N175</f>
        <v/>
      </c>
      <c r="C175">
        <f>M175&amp;"/"&amp;O175</f>
        <v/>
      </c>
      <c r="D175">
        <f>K175</f>
        <v/>
      </c>
      <c r="E175">
        <f>L175</f>
        <v/>
      </c>
      <c r="F175" s="236">
        <f>Z175</f>
        <v/>
      </c>
      <c r="G175">
        <f>U175&amp;"%"</f>
        <v/>
      </c>
      <c r="I175" s="53" t="n">
        <v>2023</v>
      </c>
      <c r="J175" s="53" t="n">
        <v>174</v>
      </c>
      <c r="K175" s="71" t="inlineStr">
        <is>
          <t>Ausgaben</t>
        </is>
      </c>
      <c r="L175" t="inlineStr">
        <is>
          <t>Büromaterial</t>
        </is>
      </c>
      <c r="M175" s="9" t="n"/>
      <c r="N175" s="1" t="n">
        <v>45240</v>
      </c>
      <c r="O175" t="inlineStr">
        <is>
          <t>Amazon EU S. à r.l., 38 avenue John F. Kennedy, L-1855 Luxembourg</t>
        </is>
      </c>
      <c r="Q175" s="76" t="n"/>
      <c r="R175" t="b">
        <v>0</v>
      </c>
      <c r="S175" s="214" t="n">
        <v>16.08</v>
      </c>
      <c r="T175" s="159" t="n">
        <v>1</v>
      </c>
      <c r="U175" t="n">
        <v>20</v>
      </c>
      <c r="V175" s="237" t="n">
        <v>3.216</v>
      </c>
      <c r="W175" s="237" t="n">
        <v>3.216</v>
      </c>
      <c r="X175" s="208" t="n">
        <v>16.08</v>
      </c>
      <c r="Y175" s="251" t="n">
        <v>19.296</v>
      </c>
      <c r="Z175" s="251" t="n">
        <v>19.296</v>
      </c>
      <c r="AA175" s="35" t="n">
        <v>45306</v>
      </c>
      <c r="AB175" s="27" t="n"/>
      <c r="AC175" s="27" t="n"/>
      <c r="AD175" s="210" t="n">
        <v>16.08</v>
      </c>
      <c r="AE175" s="237" t="n">
        <v>0</v>
      </c>
      <c r="AF175" t="b">
        <v>0</v>
      </c>
      <c r="AG175" s="228" t="n">
        <v>-16.08</v>
      </c>
    </row>
    <row r="176">
      <c r="A176">
        <f>I176&amp;"-"&amp;J176</f>
        <v/>
      </c>
      <c r="B176" s="1">
        <f>N176</f>
        <v/>
      </c>
      <c r="C176">
        <f>M176&amp;"/"&amp;O176</f>
        <v/>
      </c>
      <c r="D176">
        <f>K176</f>
        <v/>
      </c>
      <c r="E176">
        <f>L176</f>
        <v/>
      </c>
      <c r="F176" s="236">
        <f>Z176</f>
        <v/>
      </c>
      <c r="G176">
        <f>U176&amp;"%"</f>
        <v/>
      </c>
      <c r="I176" s="53" t="n">
        <v>2023</v>
      </c>
      <c r="J176" s="53" t="n">
        <v>175</v>
      </c>
      <c r="K176" s="71" t="inlineStr">
        <is>
          <t>Ausgaben</t>
        </is>
      </c>
      <c r="L176" t="inlineStr">
        <is>
          <t>sonstige Betriebsausgaben</t>
        </is>
      </c>
      <c r="M176" s="9" t="n"/>
      <c r="N176" s="1" t="n">
        <v>45243</v>
      </c>
      <c r="O176" t="inlineStr">
        <is>
          <t>Hetzner Online GmbH</t>
        </is>
      </c>
      <c r="Q176" s="76" t="n"/>
      <c r="R176" t="b">
        <v>0</v>
      </c>
      <c r="S176" s="214" t="n">
        <v>52.2141</v>
      </c>
      <c r="T176" s="159" t="n">
        <v>1</v>
      </c>
      <c r="U176" t="n">
        <v>0</v>
      </c>
      <c r="V176" s="237" t="n">
        <v>0</v>
      </c>
      <c r="W176" s="237" t="n">
        <v>0</v>
      </c>
      <c r="X176" s="208" t="n">
        <v>52.2141</v>
      </c>
      <c r="Y176" s="251" t="n">
        <v>52.2141</v>
      </c>
      <c r="Z176" s="251" t="n">
        <v>52.2141</v>
      </c>
      <c r="AA176" s="35" t="n">
        <v>45306</v>
      </c>
      <c r="AB176" s="27" t="n"/>
      <c r="AC176" s="27" t="n">
        <v>20</v>
      </c>
      <c r="AD176" s="210" t="n">
        <v>52.2141</v>
      </c>
      <c r="AE176" s="237" t="n">
        <v>10.44282</v>
      </c>
      <c r="AF176" t="b">
        <v>0</v>
      </c>
      <c r="AG176" s="228" t="n">
        <v>-52.2141</v>
      </c>
    </row>
    <row r="177">
      <c r="A177">
        <f>I177&amp;"-"&amp;J177</f>
        <v/>
      </c>
      <c r="B177" s="1">
        <f>N177</f>
        <v/>
      </c>
      <c r="C177">
        <f>M177&amp;"/"&amp;O177</f>
        <v/>
      </c>
      <c r="D177">
        <f>K177</f>
        <v/>
      </c>
      <c r="E177">
        <f>L177</f>
        <v/>
      </c>
      <c r="F177" s="236">
        <f>Z177</f>
        <v/>
      </c>
      <c r="G177">
        <f>U177&amp;"%"</f>
        <v/>
      </c>
      <c r="I177" s="53" t="n">
        <v>2023</v>
      </c>
      <c r="J177" s="53" t="n">
        <v>176</v>
      </c>
      <c r="K177" s="71" t="inlineStr">
        <is>
          <t>Einnahmen</t>
        </is>
      </c>
      <c r="L177" t="inlineStr">
        <is>
          <t>Waren-/Leistungserlöse</t>
        </is>
      </c>
      <c r="M177" s="39" t="n"/>
      <c r="N177" s="1" t="n">
        <v>45245</v>
      </c>
      <c r="O177" t="inlineStr">
        <is>
          <t>Hays Österreich GmbH, Bahnhof City Wien West , Europaplatz 3/5, 1150 Wien</t>
        </is>
      </c>
      <c r="Q177" s="76" t="n"/>
      <c r="R177" t="b">
        <v>0</v>
      </c>
      <c r="S177" s="214" t="n">
        <v>16505.25</v>
      </c>
      <c r="T177" s="159" t="n">
        <v>1</v>
      </c>
      <c r="U177" t="n">
        <v>20</v>
      </c>
      <c r="V177" s="237" t="n">
        <v>3301.05</v>
      </c>
      <c r="W177" s="237" t="n">
        <v>3301.05</v>
      </c>
      <c r="X177" s="208" t="n">
        <v>16505.25</v>
      </c>
      <c r="Y177" s="251" t="n">
        <v>19806.3</v>
      </c>
      <c r="Z177" s="251" t="n">
        <v>19806.3</v>
      </c>
      <c r="AA177" s="35" t="n">
        <v>45306</v>
      </c>
      <c r="AB177" s="27" t="n"/>
      <c r="AC177" s="27" t="n"/>
      <c r="AD177" s="210" t="n">
        <v>16505.25</v>
      </c>
      <c r="AE177" s="237" t="n">
        <v>0</v>
      </c>
      <c r="AF177" t="b">
        <v>0</v>
      </c>
      <c r="AG177" s="228" t="n">
        <v>16505.25</v>
      </c>
    </row>
    <row r="178">
      <c r="A178">
        <f>I178&amp;"-"&amp;J178</f>
        <v/>
      </c>
      <c r="B178" s="1">
        <f>N178</f>
        <v/>
      </c>
      <c r="C178">
        <f>M178&amp;"/"&amp;O178</f>
        <v/>
      </c>
      <c r="D178">
        <f>K178</f>
        <v/>
      </c>
      <c r="E178">
        <f>L178</f>
        <v/>
      </c>
      <c r="F178" s="236">
        <f>Z178</f>
        <v/>
      </c>
      <c r="G178">
        <f>U178&amp;"%"</f>
        <v/>
      </c>
      <c r="I178" s="53" t="n">
        <v>2023</v>
      </c>
      <c r="J178" s="53" t="n">
        <v>177</v>
      </c>
      <c r="K178" s="71" t="inlineStr">
        <is>
          <t>Ausgaben</t>
        </is>
      </c>
      <c r="L178" t="inlineStr">
        <is>
          <t>Personalaufwand</t>
        </is>
      </c>
      <c r="M178" s="9" t="inlineStr">
        <is>
          <t>siehe 2022-140</t>
        </is>
      </c>
      <c r="N178" s="1" t="n">
        <v>45245</v>
      </c>
      <c r="O178" t="inlineStr">
        <is>
          <t>Honorar Eva Jaros-Kolbitsch</t>
        </is>
      </c>
      <c r="Q178" s="76" t="n"/>
      <c r="R178" t="b">
        <v>0</v>
      </c>
      <c r="S178" s="214" t="n">
        <v>365</v>
      </c>
      <c r="T178" s="159" t="n">
        <v>1</v>
      </c>
      <c r="U178" t="n">
        <v>0</v>
      </c>
      <c r="V178" s="237" t="n">
        <v>0</v>
      </c>
      <c r="W178" s="237" t="n">
        <v>0</v>
      </c>
      <c r="X178" s="208" t="n">
        <v>365</v>
      </c>
      <c r="Y178" s="251" t="n">
        <v>365</v>
      </c>
      <c r="Z178" s="251" t="n">
        <v>365</v>
      </c>
      <c r="AA178" s="35" t="n">
        <v>45306</v>
      </c>
      <c r="AB178" s="27" t="n"/>
      <c r="AC178" s="27" t="n"/>
      <c r="AD178" s="210" t="n">
        <v>365</v>
      </c>
      <c r="AE178" s="237" t="n">
        <v>0</v>
      </c>
      <c r="AF178" t="b">
        <v>0</v>
      </c>
      <c r="AG178" s="228" t="n">
        <v>-365</v>
      </c>
    </row>
    <row r="179">
      <c r="A179">
        <f>I179&amp;"-"&amp;J179</f>
        <v/>
      </c>
      <c r="B179" s="1">
        <f>N179</f>
        <v/>
      </c>
      <c r="C179">
        <f>M179&amp;"/"&amp;O179</f>
        <v/>
      </c>
      <c r="D179">
        <f>K179</f>
        <v/>
      </c>
      <c r="E179">
        <f>L179</f>
        <v/>
      </c>
      <c r="F179" s="236">
        <f>Z179</f>
        <v/>
      </c>
      <c r="G179">
        <f>U179&amp;"%"</f>
        <v/>
      </c>
      <c r="I179" s="53" t="n">
        <v>2023</v>
      </c>
      <c r="J179" s="53" t="n">
        <v>178</v>
      </c>
      <c r="K179" s="71" t="inlineStr">
        <is>
          <t>Ausgaben</t>
        </is>
      </c>
      <c r="L179" t="inlineStr">
        <is>
          <t>sonstige Betriebsausgaben</t>
        </is>
      </c>
      <c r="M179" s="1" t="n"/>
      <c r="N179" s="1" t="n">
        <v>45250</v>
      </c>
      <c r="O179" t="inlineStr">
        <is>
          <t>Microsoft Ireland Operations Ltd. One Microsoft Place, South County, Business Park, Leopardstown, Dublin 18, D18 P521, Ireland</t>
        </is>
      </c>
      <c r="Q179" s="76" t="n"/>
      <c r="R179" t="b">
        <v>0</v>
      </c>
      <c r="S179" s="214" t="n">
        <v>10.5</v>
      </c>
      <c r="T179" s="159" t="n">
        <v>1</v>
      </c>
      <c r="U179" t="n">
        <v>0</v>
      </c>
      <c r="V179" s="237" t="n">
        <v>0</v>
      </c>
      <c r="W179" s="237" t="n">
        <v>0</v>
      </c>
      <c r="X179" s="208" t="n">
        <v>10.5</v>
      </c>
      <c r="Y179" s="251" t="n">
        <v>10.5</v>
      </c>
      <c r="Z179" s="251" t="n">
        <v>10.5</v>
      </c>
      <c r="AA179" s="35" t="n">
        <v>45306</v>
      </c>
      <c r="AB179" s="27" t="n"/>
      <c r="AC179" s="27" t="n">
        <v>20</v>
      </c>
      <c r="AD179" s="210" t="n">
        <v>10.5</v>
      </c>
      <c r="AE179" s="237" t="n">
        <v>2.1</v>
      </c>
      <c r="AF179" t="b">
        <v>0</v>
      </c>
      <c r="AG179" s="228" t="n">
        <v>-10.5</v>
      </c>
    </row>
    <row r="180">
      <c r="A180">
        <f>I180&amp;"-"&amp;J180</f>
        <v/>
      </c>
      <c r="B180" s="1">
        <f>N180</f>
        <v/>
      </c>
      <c r="C180">
        <f>M180&amp;"/"&amp;O180</f>
        <v/>
      </c>
      <c r="D180">
        <f>K180</f>
        <v/>
      </c>
      <c r="E180">
        <f>L180</f>
        <v/>
      </c>
      <c r="F180" s="236">
        <f>Z180</f>
        <v/>
      </c>
      <c r="G180">
        <f>U180&amp;"%"</f>
        <v/>
      </c>
      <c r="I180" s="53" t="n">
        <v>2023</v>
      </c>
      <c r="J180" s="53" t="n">
        <v>179</v>
      </c>
      <c r="K180" s="71" t="inlineStr">
        <is>
          <t>Ausgaben</t>
        </is>
      </c>
      <c r="L180" t="inlineStr">
        <is>
          <t>Büromaterial</t>
        </is>
      </c>
      <c r="M180" s="9" t="n"/>
      <c r="N180" s="1" t="n">
        <v>45252</v>
      </c>
      <c r="O180" t="inlineStr">
        <is>
          <t>Amazon EU S. à r.l., 38 avenue John F. Kennedy, L-1855 Luxembourg</t>
        </is>
      </c>
      <c r="Q180" s="76" t="n"/>
      <c r="R180" t="b">
        <v>0</v>
      </c>
      <c r="S180" s="214" t="n">
        <v>18.48</v>
      </c>
      <c r="T180" s="159" t="n">
        <v>1</v>
      </c>
      <c r="U180" t="n">
        <v>20</v>
      </c>
      <c r="V180" s="237" t="n">
        <v>3.696</v>
      </c>
      <c r="W180" s="237" t="n">
        <v>3.696</v>
      </c>
      <c r="X180" s="208" t="n">
        <v>18.48</v>
      </c>
      <c r="Y180" s="251" t="n">
        <v>22.176</v>
      </c>
      <c r="Z180" s="251" t="n">
        <v>22.176</v>
      </c>
      <c r="AA180" s="35" t="n">
        <v>45306</v>
      </c>
      <c r="AB180" s="27" t="n"/>
      <c r="AC180" s="27" t="n"/>
      <c r="AD180" s="210" t="n">
        <v>18.48</v>
      </c>
      <c r="AE180" s="237" t="n">
        <v>0</v>
      </c>
      <c r="AF180" t="b">
        <v>0</v>
      </c>
      <c r="AG180" s="228" t="n">
        <v>-18.48</v>
      </c>
    </row>
    <row r="181">
      <c r="A181">
        <f>I181&amp;"-"&amp;J181</f>
        <v/>
      </c>
      <c r="B181" s="1">
        <f>N181</f>
        <v/>
      </c>
      <c r="C181">
        <f>M181&amp;"/"&amp;O181</f>
        <v/>
      </c>
      <c r="D181">
        <f>K181</f>
        <v/>
      </c>
      <c r="E181">
        <f>L181</f>
        <v/>
      </c>
      <c r="F181" s="236">
        <f>Z181</f>
        <v/>
      </c>
      <c r="G181">
        <f>U181&amp;"%"</f>
        <v/>
      </c>
      <c r="I181" s="53" t="n">
        <v>2023</v>
      </c>
      <c r="J181" s="53" t="n">
        <v>180</v>
      </c>
      <c r="K181" s="71" t="inlineStr">
        <is>
          <t>Ausgaben</t>
        </is>
      </c>
      <c r="L181" t="inlineStr">
        <is>
          <t>Büromaterial</t>
        </is>
      </c>
      <c r="M181" s="9" t="n"/>
      <c r="N181" s="1" t="n">
        <v>45252</v>
      </c>
      <c r="O181" t="inlineStr">
        <is>
          <t>Amazon EU S. à r.l., 38 avenue John F. Kennedy, L-1855 Luxembourg</t>
        </is>
      </c>
      <c r="Q181" s="76" t="n"/>
      <c r="R181" t="b">
        <v>0</v>
      </c>
      <c r="S181" s="214" t="n">
        <v>44.72</v>
      </c>
      <c r="T181" s="159" t="n">
        <v>1</v>
      </c>
      <c r="U181" t="n">
        <v>20</v>
      </c>
      <c r="V181" s="237" t="n">
        <v>8.943999999999999</v>
      </c>
      <c r="W181" s="237" t="n">
        <v>8.943999999999999</v>
      </c>
      <c r="X181" s="208" t="n">
        <v>44.72</v>
      </c>
      <c r="Y181" s="251" t="n">
        <v>53.664</v>
      </c>
      <c r="Z181" s="251" t="n">
        <v>53.664</v>
      </c>
      <c r="AA181" s="35" t="n">
        <v>45306</v>
      </c>
      <c r="AB181" s="27" t="n"/>
      <c r="AC181" s="27" t="n"/>
      <c r="AD181" s="210" t="n">
        <v>44.72</v>
      </c>
      <c r="AE181" s="237" t="n">
        <v>0</v>
      </c>
      <c r="AF181" t="b">
        <v>0</v>
      </c>
      <c r="AG181" s="228" t="n">
        <v>-44.72</v>
      </c>
    </row>
    <row r="182">
      <c r="A182">
        <f>I182&amp;"-"&amp;J182</f>
        <v/>
      </c>
      <c r="B182" s="1">
        <f>N182</f>
        <v/>
      </c>
      <c r="C182">
        <f>M182&amp;"/"&amp;O182</f>
        <v/>
      </c>
      <c r="D182">
        <f>K182</f>
        <v/>
      </c>
      <c r="E182">
        <f>L182</f>
        <v/>
      </c>
      <c r="F182" s="236">
        <f>Z182</f>
        <v/>
      </c>
      <c r="G182">
        <f>U182&amp;"%"</f>
        <v/>
      </c>
      <c r="I182" s="53" t="n">
        <v>2023</v>
      </c>
      <c r="J182" s="53" t="n">
        <v>181</v>
      </c>
      <c r="K182" s="71" t="inlineStr">
        <is>
          <t>Ausgaben</t>
        </is>
      </c>
      <c r="L182" t="inlineStr">
        <is>
          <t>sonstige Betriebsausgaben</t>
        </is>
      </c>
      <c r="M182" s="9" t="inlineStr">
        <is>
          <t>2019/118</t>
        </is>
      </c>
      <c r="N182" s="1" t="n">
        <v>45253</v>
      </c>
      <c r="O182" t="inlineStr">
        <is>
          <t>3W Steuerkanzlei, Roter Hof 1a, 1080 Wien</t>
        </is>
      </c>
      <c r="Q182" s="76" t="n"/>
      <c r="R182" t="b">
        <v>0</v>
      </c>
      <c r="S182" s="214" t="n">
        <v>1065</v>
      </c>
      <c r="T182" s="159" t="n">
        <v>1</v>
      </c>
      <c r="U182" t="n">
        <v>20</v>
      </c>
      <c r="V182" s="237" t="n">
        <v>213</v>
      </c>
      <c r="W182" s="237" t="n">
        <v>213</v>
      </c>
      <c r="X182" s="208" t="n">
        <v>1065</v>
      </c>
      <c r="Y182" s="251" t="n">
        <v>1278</v>
      </c>
      <c r="Z182" s="251" t="n">
        <v>1278</v>
      </c>
      <c r="AA182" s="35" t="n">
        <v>45337</v>
      </c>
      <c r="AB182" s="27" t="n"/>
      <c r="AC182" s="27" t="n"/>
      <c r="AD182" s="210" t="n">
        <v>1065</v>
      </c>
      <c r="AE182" s="237" t="n">
        <v>0</v>
      </c>
      <c r="AF182" t="b">
        <v>0</v>
      </c>
      <c r="AG182" s="228" t="n">
        <v>-1065</v>
      </c>
    </row>
    <row r="183">
      <c r="A183">
        <f>I183&amp;"-"&amp;J183</f>
        <v/>
      </c>
      <c r="B183" s="1">
        <f>N183</f>
        <v/>
      </c>
      <c r="C183">
        <f>M183&amp;"/"&amp;O183</f>
        <v/>
      </c>
      <c r="D183">
        <f>K183</f>
        <v/>
      </c>
      <c r="E183">
        <f>L183</f>
        <v/>
      </c>
      <c r="F183" s="236">
        <f>Z183</f>
        <v/>
      </c>
      <c r="G183">
        <f>U183&amp;"%"</f>
        <v/>
      </c>
      <c r="I183" s="53" t="n">
        <v>2023</v>
      </c>
      <c r="J183" s="53" t="n">
        <v>182</v>
      </c>
      <c r="K183" s="71" t="inlineStr">
        <is>
          <t>Ausgaben</t>
        </is>
      </c>
      <c r="L183" t="inlineStr">
        <is>
          <t>Telefon/Internet</t>
        </is>
      </c>
      <c r="M183" s="9" t="n"/>
      <c r="N183" s="1" t="n">
        <v>45260</v>
      </c>
      <c r="O183" t="inlineStr">
        <is>
          <t>HoT Telekom und Service GmbH, Postfach 28, 1121 Wien</t>
        </is>
      </c>
      <c r="Q183" s="76" t="n"/>
      <c r="R183" t="b">
        <v>0</v>
      </c>
      <c r="S183" s="214" t="n">
        <v>16.58333333333333</v>
      </c>
      <c r="T183" s="159" t="n">
        <v>1</v>
      </c>
      <c r="U183" t="n">
        <v>20</v>
      </c>
      <c r="V183" s="237" t="n">
        <v>3.316666666666666</v>
      </c>
      <c r="W183" s="237" t="n">
        <v>3.316666666666666</v>
      </c>
      <c r="X183" s="208" t="n">
        <v>16.58333333333333</v>
      </c>
      <c r="Y183" s="251" t="n">
        <v>19.9</v>
      </c>
      <c r="Z183" s="251" t="n">
        <v>19.9</v>
      </c>
      <c r="AA183" s="35" t="n">
        <v>45337</v>
      </c>
      <c r="AB183" s="27" t="n"/>
      <c r="AC183" s="27" t="n"/>
      <c r="AD183" s="210" t="n">
        <v>16.58333333333333</v>
      </c>
      <c r="AE183" s="237" t="n">
        <v>0</v>
      </c>
      <c r="AF183" t="b">
        <v>0</v>
      </c>
      <c r="AG183" s="228" t="n">
        <v>-16.58333333333333</v>
      </c>
    </row>
    <row r="184">
      <c r="A184">
        <f>I184&amp;"-"&amp;J184</f>
        <v/>
      </c>
      <c r="B184" s="1">
        <f>N184</f>
        <v/>
      </c>
      <c r="C184">
        <f>M184&amp;"/"&amp;O184</f>
        <v/>
      </c>
      <c r="D184">
        <f>K184</f>
        <v/>
      </c>
      <c r="E184" t="inlineStr">
        <is>
          <t>Pflichversicherungsbeiträge</t>
        </is>
      </c>
      <c r="F184" s="236">
        <f>Z184</f>
        <v/>
      </c>
      <c r="G184">
        <f>U184&amp;"%"</f>
        <v/>
      </c>
      <c r="I184" s="53" t="n">
        <v>2023</v>
      </c>
      <c r="J184" s="53" t="n">
        <v>183</v>
      </c>
      <c r="K184" s="71" t="inlineStr">
        <is>
          <t>Ausgaben</t>
        </is>
      </c>
      <c r="L184" t="inlineStr">
        <is>
          <t>Telefon/Internet</t>
        </is>
      </c>
      <c r="M184" s="9" t="n"/>
      <c r="N184" s="1" t="n">
        <v>45260</v>
      </c>
      <c r="O184" t="inlineStr">
        <is>
          <t>HoT Telekom und Service GmbH, Postfach 28, 1121 Wien</t>
        </is>
      </c>
      <c r="Q184" s="76" t="n"/>
      <c r="R184" t="b">
        <v>0</v>
      </c>
      <c r="S184" s="214" t="n">
        <v>16.66666666666667</v>
      </c>
      <c r="T184" s="159" t="n">
        <v>1</v>
      </c>
      <c r="U184" t="n">
        <v>20</v>
      </c>
      <c r="V184" s="237" t="n">
        <v>3.333333333333334</v>
      </c>
      <c r="W184" s="237" t="n">
        <v>3.333333333333334</v>
      </c>
      <c r="X184" s="208" t="n">
        <v>16.66666666666667</v>
      </c>
      <c r="Y184" s="251" t="n">
        <v>20</v>
      </c>
      <c r="Z184" s="251" t="n">
        <v>20</v>
      </c>
      <c r="AA184" s="35" t="n">
        <v>45337</v>
      </c>
      <c r="AB184" s="27" t="n"/>
      <c r="AC184" s="27" t="n"/>
      <c r="AD184" s="210" t="n">
        <v>16.66666666666667</v>
      </c>
      <c r="AE184" s="237" t="n">
        <v>0</v>
      </c>
      <c r="AF184" t="b">
        <v>0</v>
      </c>
      <c r="AG184" s="228" t="n">
        <v>-16.66666666666667</v>
      </c>
    </row>
    <row r="185">
      <c r="A185">
        <f>I185&amp;"-"&amp;J185</f>
        <v/>
      </c>
      <c r="B185" s="1">
        <f>N185</f>
        <v/>
      </c>
      <c r="C185">
        <f>M185&amp;"/"&amp;O185</f>
        <v/>
      </c>
      <c r="D185">
        <f>K185</f>
        <v/>
      </c>
      <c r="E185">
        <f>L185</f>
        <v/>
      </c>
      <c r="F185" s="236">
        <f>Z185</f>
        <v/>
      </c>
      <c r="G185">
        <f>U185&amp;"%"</f>
        <v/>
      </c>
      <c r="I185" s="53" t="n">
        <v>2023</v>
      </c>
      <c r="J185" s="53" t="n">
        <v>184</v>
      </c>
      <c r="K185" s="71" t="inlineStr">
        <is>
          <t>Ausgaben</t>
        </is>
      </c>
      <c r="L185" t="inlineStr">
        <is>
          <t>Miet- und Pachtaufwand, Leasing</t>
        </is>
      </c>
      <c r="M185" s="9" t="n"/>
      <c r="N185" s="1" t="n">
        <v>45260</v>
      </c>
      <c r="O185" t="inlineStr">
        <is>
          <t>Sozialversicherungsanstalt der Selbständigen</t>
        </is>
      </c>
      <c r="Q185" s="76" t="n"/>
      <c r="R185" t="b">
        <v>0</v>
      </c>
      <c r="S185" s="214" t="n">
        <v>6800.6</v>
      </c>
      <c r="T185" s="159" t="n">
        <v>1</v>
      </c>
      <c r="U185" t="n">
        <v>0</v>
      </c>
      <c r="V185" s="237" t="n">
        <v>0</v>
      </c>
      <c r="W185" s="237" t="n">
        <v>0</v>
      </c>
      <c r="X185" s="208" t="n">
        <v>6800.6</v>
      </c>
      <c r="Y185" s="251" t="n">
        <v>6800.6</v>
      </c>
      <c r="Z185" s="251" t="n">
        <v>6800.6</v>
      </c>
      <c r="AA185" s="35" t="n">
        <v>45306</v>
      </c>
      <c r="AB185" s="27" t="n"/>
      <c r="AC185" s="27" t="n"/>
      <c r="AD185" s="210" t="n">
        <v>6800.6</v>
      </c>
      <c r="AE185" s="237" t="n">
        <v>0</v>
      </c>
      <c r="AF185" t="b">
        <v>0</v>
      </c>
      <c r="AG185" s="228" t="n">
        <v>-6800.6</v>
      </c>
    </row>
    <row r="186">
      <c r="A186">
        <f>I186&amp;"-"&amp;J186</f>
        <v/>
      </c>
      <c r="B186" s="1">
        <f>N186</f>
        <v/>
      </c>
      <c r="C186">
        <f>M186&amp;"/"&amp;O186</f>
        <v/>
      </c>
      <c r="D186">
        <f>K186</f>
        <v/>
      </c>
      <c r="E186">
        <f>L186</f>
        <v/>
      </c>
      <c r="F186" s="236">
        <f>Z186</f>
        <v/>
      </c>
      <c r="G186">
        <f>U186&amp;"%"</f>
        <v/>
      </c>
      <c r="I186" s="53" t="n">
        <v>2023</v>
      </c>
      <c r="J186" s="53" t="n">
        <v>185</v>
      </c>
      <c r="K186" s="71" t="inlineStr">
        <is>
          <t>Ausgaben</t>
        </is>
      </c>
      <c r="L186" t="inlineStr">
        <is>
          <t>Miet- und Pachtaufwand, Leasing</t>
        </is>
      </c>
      <c r="M186" s="9" t="n"/>
      <c r="N186" s="1" t="n">
        <v>45261</v>
      </c>
      <c r="O186" t="inlineStr">
        <is>
          <t>Bontus Immobilienverwaltung GmbH, 1010 Wien, Franz Josefs Kai 65</t>
        </is>
      </c>
      <c r="Q186" s="76" t="n"/>
      <c r="R186" t="b">
        <v>0</v>
      </c>
      <c r="S186" s="214" t="n">
        <v>533.1083333333333</v>
      </c>
      <c r="T186" s="159" t="n">
        <v>1</v>
      </c>
      <c r="U186" t="n">
        <v>20</v>
      </c>
      <c r="V186" s="237" t="n">
        <v>106.6216666666667</v>
      </c>
      <c r="W186" s="237" t="n">
        <v>106.6216666666667</v>
      </c>
      <c r="X186" s="208" t="n">
        <v>533.1083333333333</v>
      </c>
      <c r="Y186" s="251" t="n">
        <v>639.73</v>
      </c>
      <c r="Z186" s="251" t="n">
        <v>639.73</v>
      </c>
      <c r="AA186" s="35" t="n">
        <v>45337</v>
      </c>
      <c r="AB186" s="27" t="n"/>
      <c r="AC186" s="27" t="n"/>
      <c r="AD186" s="210" t="n">
        <v>533.1083333333333</v>
      </c>
      <c r="AE186" s="237" t="n">
        <v>0</v>
      </c>
      <c r="AF186" t="b">
        <v>0</v>
      </c>
      <c r="AG186" s="228" t="n">
        <v>-533.1083333333333</v>
      </c>
    </row>
    <row r="187">
      <c r="A187">
        <f>I187&amp;"-"&amp;J187</f>
        <v/>
      </c>
      <c r="B187" s="1">
        <f>N187</f>
        <v/>
      </c>
      <c r="C187">
        <f>M187&amp;"/"&amp;O187</f>
        <v/>
      </c>
      <c r="D187">
        <f>K187</f>
        <v/>
      </c>
      <c r="E187">
        <f>L187</f>
        <v/>
      </c>
      <c r="F187" s="236">
        <f>Z187</f>
        <v/>
      </c>
      <c r="G187">
        <f>U187&amp;"%"</f>
        <v/>
      </c>
      <c r="I187" s="53" t="n">
        <v>2023</v>
      </c>
      <c r="J187" s="53" t="n">
        <v>186</v>
      </c>
      <c r="K187" s="71" t="inlineStr">
        <is>
          <t>Ausgaben</t>
        </is>
      </c>
      <c r="L187" t="inlineStr">
        <is>
          <t>sonstige Betriebsausgaben</t>
        </is>
      </c>
      <c r="N187" s="1" t="n">
        <v>45264</v>
      </c>
      <c r="O187" t="inlineStr">
        <is>
          <t>Google Ireland Ltd, Gordon House, Barrow Street, Dublin 4, Ireland; VAT number: IE 6388047V</t>
        </is>
      </c>
      <c r="Q187" s="76" t="n"/>
      <c r="R187" t="b">
        <v>0</v>
      </c>
      <c r="S187" s="214" t="n">
        <v>10.4</v>
      </c>
      <c r="T187" s="159" t="n">
        <v>1</v>
      </c>
      <c r="U187" t="n">
        <v>0</v>
      </c>
      <c r="V187" s="237" t="n">
        <v>0</v>
      </c>
      <c r="W187" s="237" t="n">
        <v>0</v>
      </c>
      <c r="X187" s="208" t="n">
        <v>10.4</v>
      </c>
      <c r="Y187" s="251" t="n">
        <v>10.4</v>
      </c>
      <c r="Z187" s="251" t="n">
        <v>10.4</v>
      </c>
      <c r="AA187" s="35" t="n">
        <v>45337</v>
      </c>
      <c r="AB187" s="27" t="n"/>
      <c r="AC187" s="27" t="n">
        <v>20</v>
      </c>
      <c r="AD187" s="210" t="n">
        <v>10.4</v>
      </c>
      <c r="AE187" s="237" t="n">
        <v>2.08</v>
      </c>
      <c r="AF187" t="b">
        <v>0</v>
      </c>
      <c r="AG187" s="228" t="n">
        <v>-10.4</v>
      </c>
    </row>
    <row r="188">
      <c r="A188">
        <f>I188&amp;"-"&amp;J188</f>
        <v/>
      </c>
      <c r="B188" s="1">
        <f>N188</f>
        <v/>
      </c>
      <c r="C188">
        <f>M188&amp;"/"&amp;O188</f>
        <v/>
      </c>
      <c r="D188">
        <f>K188</f>
        <v/>
      </c>
      <c r="E188">
        <f>L188</f>
        <v/>
      </c>
      <c r="F188" s="236">
        <f>Z188</f>
        <v/>
      </c>
      <c r="G188">
        <f>U188&amp;"%"</f>
        <v/>
      </c>
      <c r="I188" s="53" t="n">
        <v>2023</v>
      </c>
      <c r="J188" s="53" t="n">
        <v>187</v>
      </c>
      <c r="K188" s="71" t="inlineStr">
        <is>
          <t>Ausgaben</t>
        </is>
      </c>
      <c r="L188" t="inlineStr">
        <is>
          <t>sonstige Betriebsausgaben</t>
        </is>
      </c>
      <c r="M188" s="61" t="inlineStr">
        <is>
          <t>BELEG FEHLT</t>
        </is>
      </c>
      <c r="N188" s="1" t="n">
        <v>45264</v>
      </c>
      <c r="O188" t="inlineStr">
        <is>
          <t>go green energy GmbH &amp; Co KG</t>
        </is>
      </c>
      <c r="Q188" s="76" t="n"/>
      <c r="R188" t="b">
        <v>0</v>
      </c>
      <c r="S188" s="214" t="n">
        <v>5</v>
      </c>
      <c r="T188" s="159" t="n">
        <v>1</v>
      </c>
      <c r="U188" t="n">
        <v>20</v>
      </c>
      <c r="V188" s="237" t="n">
        <v>1</v>
      </c>
      <c r="W188" s="237" t="n">
        <v>1</v>
      </c>
      <c r="X188" s="208" t="n">
        <v>5</v>
      </c>
      <c r="Y188" s="251" t="n">
        <v>6</v>
      </c>
      <c r="Z188" s="251" t="n">
        <v>6</v>
      </c>
      <c r="AA188" s="35" t="n">
        <v>45337</v>
      </c>
      <c r="AB188" s="27" t="n"/>
      <c r="AC188" s="27" t="n"/>
      <c r="AD188" s="210" t="n">
        <v>5</v>
      </c>
      <c r="AE188" s="237" t="n">
        <v>0</v>
      </c>
      <c r="AF188" t="b">
        <v>0</v>
      </c>
      <c r="AG188" s="228" t="n">
        <v>-5</v>
      </c>
    </row>
    <row r="189">
      <c r="A189">
        <f>I189&amp;"-"&amp;J189</f>
        <v/>
      </c>
      <c r="B189" s="1">
        <f>N189</f>
        <v/>
      </c>
      <c r="C189">
        <f>M189&amp;"/"&amp;O189</f>
        <v/>
      </c>
      <c r="D189">
        <f>K189</f>
        <v/>
      </c>
      <c r="E189">
        <f>L189</f>
        <v/>
      </c>
      <c r="F189" s="236">
        <f>Z189</f>
        <v/>
      </c>
      <c r="G189">
        <f>U189&amp;"%"</f>
        <v/>
      </c>
      <c r="I189" s="53" t="n">
        <v>2023</v>
      </c>
      <c r="J189" s="53" t="n">
        <v>188</v>
      </c>
      <c r="K189" s="71" t="inlineStr">
        <is>
          <t>Ausgaben</t>
        </is>
      </c>
      <c r="L189" t="inlineStr">
        <is>
          <t>Büromaterial</t>
        </is>
      </c>
      <c r="M189" s="9" t="n"/>
      <c r="N189" s="1" t="n">
        <v>45265</v>
      </c>
      <c r="O189" t="inlineStr">
        <is>
          <t>Amazon EU S. à r.l., 38 avenue John F. Kennedy, L-1855 Luxembourg</t>
        </is>
      </c>
      <c r="Q189" s="76" t="n"/>
      <c r="R189" t="b">
        <v>0</v>
      </c>
      <c r="S189" s="214" t="n">
        <v>177.7</v>
      </c>
      <c r="T189" s="159" t="n">
        <v>1</v>
      </c>
      <c r="U189" t="n">
        <v>20</v>
      </c>
      <c r="V189" s="237" t="n">
        <v>35.54</v>
      </c>
      <c r="W189" s="237" t="n">
        <v>35.54</v>
      </c>
      <c r="X189" s="208" t="n">
        <v>177.7</v>
      </c>
      <c r="Y189" s="251" t="n">
        <v>213.24</v>
      </c>
      <c r="Z189" s="251" t="n">
        <v>213.24</v>
      </c>
      <c r="AA189" s="35" t="n">
        <v>45337</v>
      </c>
      <c r="AB189" s="27" t="n"/>
      <c r="AC189" s="27" t="n"/>
      <c r="AD189" s="210" t="n">
        <v>177.7</v>
      </c>
      <c r="AE189" s="237" t="n">
        <v>0</v>
      </c>
      <c r="AF189" t="b">
        <v>0</v>
      </c>
      <c r="AG189" s="228" t="n">
        <v>-177.7</v>
      </c>
    </row>
    <row r="190">
      <c r="A190">
        <f>I190&amp;"-"&amp;J190</f>
        <v/>
      </c>
      <c r="B190" s="1">
        <f>N190</f>
        <v/>
      </c>
      <c r="C190">
        <f>M190&amp;"/"&amp;O190</f>
        <v/>
      </c>
      <c r="D190">
        <f>K190</f>
        <v/>
      </c>
      <c r="E190">
        <f>L190</f>
        <v/>
      </c>
      <c r="F190" s="236">
        <f>Z190</f>
        <v/>
      </c>
      <c r="G190">
        <f>U190&amp;"%"</f>
        <v/>
      </c>
      <c r="I190" s="53" t="n">
        <v>2023</v>
      </c>
      <c r="J190" s="53" t="n">
        <v>189</v>
      </c>
      <c r="K190" s="71" t="inlineStr">
        <is>
          <t>Ausgaben</t>
        </is>
      </c>
      <c r="L190" t="inlineStr">
        <is>
          <t>sonstige Betriebsausgaben</t>
        </is>
      </c>
      <c r="M190" s="9" t="n"/>
      <c r="N190" s="1" t="n">
        <v>45265</v>
      </c>
      <c r="O190" t="inlineStr">
        <is>
          <t>Lemon Technologies GmbH, Unterweißenbach 181, 8330 Feldbach: Dell Precision 3580 Laptop</t>
        </is>
      </c>
      <c r="P190" t="n">
        <v>3</v>
      </c>
      <c r="Q190" s="76" t="n"/>
      <c r="R190" t="b">
        <v>0</v>
      </c>
      <c r="S190" s="214" t="n">
        <v>267.04</v>
      </c>
      <c r="T190" s="159" t="n">
        <v>1</v>
      </c>
      <c r="U190" t="n">
        <v>20</v>
      </c>
      <c r="V190" s="237" t="n">
        <v>53.408</v>
      </c>
      <c r="W190" s="237" t="n">
        <v>53.408</v>
      </c>
      <c r="X190" s="208" t="n">
        <v>267.04</v>
      </c>
      <c r="Y190" s="251" t="n">
        <v>320.448</v>
      </c>
      <c r="Z190" s="251" t="n">
        <v>320.448</v>
      </c>
      <c r="AA190" s="35" t="n">
        <v>45337</v>
      </c>
      <c r="AB190" s="27" t="n"/>
      <c r="AC190" s="27" t="n"/>
      <c r="AD190" s="210" t="n">
        <v>267.04</v>
      </c>
      <c r="AE190" s="237" t="n">
        <v>0</v>
      </c>
      <c r="AF190" t="b">
        <v>0</v>
      </c>
      <c r="AG190" s="228" t="n">
        <v>-267.04</v>
      </c>
    </row>
    <row r="191">
      <c r="A191">
        <f>I191&amp;"-"&amp;J191</f>
        <v/>
      </c>
      <c r="B191" s="1">
        <f>N191</f>
        <v/>
      </c>
      <c r="C191">
        <f>M191&amp;"/"&amp;O191</f>
        <v/>
      </c>
      <c r="D191">
        <f>K191</f>
        <v/>
      </c>
      <c r="E191">
        <f>L191</f>
        <v/>
      </c>
      <c r="F191" s="236">
        <f>Z191</f>
        <v/>
      </c>
      <c r="G191">
        <f>U191&amp;"%"</f>
        <v/>
      </c>
      <c r="I191" s="53" t="n">
        <v>2023</v>
      </c>
      <c r="J191" s="53" t="n">
        <v>190</v>
      </c>
      <c r="K191" s="71" t="inlineStr">
        <is>
          <t>Ausgaben</t>
        </is>
      </c>
      <c r="L191" t="inlineStr">
        <is>
          <t>Miet- und Pachtaufwand, Leasing</t>
        </is>
      </c>
      <c r="N191" s="1" t="n">
        <v>45265</v>
      </c>
      <c r="O191" t="inlineStr">
        <is>
          <t>Techem Messtechnik GmbH; Abnehmernummer 501686-0003-11-</t>
        </is>
      </c>
      <c r="Q191" s="76" t="n"/>
      <c r="R191" t="b">
        <v>0</v>
      </c>
      <c r="S191" s="214" t="n">
        <v>108.5</v>
      </c>
      <c r="T191" s="159" t="n">
        <v>1</v>
      </c>
      <c r="U191" t="n">
        <v>20</v>
      </c>
      <c r="V191" s="237" t="n">
        <v>21.7</v>
      </c>
      <c r="W191" s="237" t="n">
        <v>21.7</v>
      </c>
      <c r="X191" s="208" t="n">
        <v>108.5</v>
      </c>
      <c r="Y191" s="251" t="n">
        <v>130.2</v>
      </c>
      <c r="Z191" s="251" t="n">
        <v>130.2</v>
      </c>
      <c r="AA191" s="35" t="n">
        <v>45337</v>
      </c>
      <c r="AB191" s="27" t="n"/>
      <c r="AC191" s="27" t="n"/>
      <c r="AD191" s="210" t="n">
        <v>108.5</v>
      </c>
      <c r="AE191" s="237" t="n">
        <v>0</v>
      </c>
      <c r="AF191" t="b">
        <v>0</v>
      </c>
      <c r="AG191" s="228" t="n">
        <v>-108.5</v>
      </c>
    </row>
    <row r="192">
      <c r="A192">
        <f>I192&amp;"-"&amp;J192</f>
        <v/>
      </c>
      <c r="B192" s="1">
        <f>N192</f>
        <v/>
      </c>
      <c r="C192">
        <f>M192&amp;"/"&amp;O192</f>
        <v/>
      </c>
      <c r="D192">
        <f>K192</f>
        <v/>
      </c>
      <c r="E192">
        <f>L192</f>
        <v/>
      </c>
      <c r="F192" s="236">
        <f>Z192</f>
        <v/>
      </c>
      <c r="G192">
        <f>U192&amp;"%"</f>
        <v/>
      </c>
      <c r="I192" s="53" t="n">
        <v>2023</v>
      </c>
      <c r="J192" s="53" t="n">
        <v>191</v>
      </c>
      <c r="K192" s="71" t="inlineStr">
        <is>
          <t>Ausgaben</t>
        </is>
      </c>
      <c r="L192" t="inlineStr">
        <is>
          <t>Telefon/Internet</t>
        </is>
      </c>
      <c r="N192" s="1" t="n">
        <v>45265</v>
      </c>
      <c r="O192" t="inlineStr">
        <is>
          <t>Hutchison Drei Austria GmbH, Brünner Straße 52, 1210 Wien, Österreich</t>
        </is>
      </c>
      <c r="Q192" s="76" t="n"/>
      <c r="R192" t="b">
        <v>0</v>
      </c>
      <c r="S192" s="214" t="n">
        <v>23.25</v>
      </c>
      <c r="T192" s="159" t="n">
        <v>1</v>
      </c>
      <c r="U192" t="n">
        <v>20</v>
      </c>
      <c r="V192" s="237" t="n">
        <v>4.65</v>
      </c>
      <c r="W192" s="237" t="n">
        <v>4.65</v>
      </c>
      <c r="X192" s="208" t="n">
        <v>23.25</v>
      </c>
      <c r="Y192" s="251" t="n">
        <v>27.9</v>
      </c>
      <c r="Z192" s="251" t="n">
        <v>27.9</v>
      </c>
      <c r="AA192" s="35" t="n">
        <v>45337</v>
      </c>
      <c r="AB192" s="27" t="n"/>
      <c r="AC192" s="27" t="n"/>
      <c r="AD192" s="210" t="n">
        <v>23.25</v>
      </c>
      <c r="AE192" s="237" t="n">
        <v>0</v>
      </c>
      <c r="AF192" t="b">
        <v>0</v>
      </c>
      <c r="AG192" s="228" t="n">
        <v>-23.25</v>
      </c>
    </row>
    <row r="193">
      <c r="A193">
        <f>I193&amp;"-"&amp;J193</f>
        <v/>
      </c>
      <c r="B193" s="1">
        <f>N193</f>
        <v/>
      </c>
      <c r="C193">
        <f>M193&amp;"/"&amp;O193</f>
        <v/>
      </c>
      <c r="D193">
        <f>K193</f>
        <v/>
      </c>
      <c r="E193">
        <f>L193</f>
        <v/>
      </c>
      <c r="F193" s="236">
        <f>Z193</f>
        <v/>
      </c>
      <c r="G193">
        <f>U193&amp;"%"</f>
        <v/>
      </c>
      <c r="I193" s="53" t="n">
        <v>2023</v>
      </c>
      <c r="J193" s="53" t="n">
        <v>192</v>
      </c>
      <c r="K193" s="71" t="inlineStr">
        <is>
          <t>Ausgaben</t>
        </is>
      </c>
      <c r="L193" t="inlineStr">
        <is>
          <t>Büromaterial</t>
        </is>
      </c>
      <c r="M193" s="9" t="n"/>
      <c r="N193" s="1" t="n">
        <v>45273</v>
      </c>
      <c r="O193" t="inlineStr">
        <is>
          <t>Amazon EU S. à r.l., 38 avenue John F. Kennedy, L-1855 Luxembourg</t>
        </is>
      </c>
      <c r="Q193" s="76" t="n"/>
      <c r="R193" t="b">
        <v>0</v>
      </c>
      <c r="S193" s="214" t="n">
        <v>20.99</v>
      </c>
      <c r="T193" s="159" t="n">
        <v>1</v>
      </c>
      <c r="U193" t="n">
        <v>20</v>
      </c>
      <c r="V193" s="237" t="n">
        <v>4.198</v>
      </c>
      <c r="W193" s="237" t="n">
        <v>4.198</v>
      </c>
      <c r="X193" s="208" t="n">
        <v>20.99</v>
      </c>
      <c r="Y193" s="251" t="n">
        <v>25.188</v>
      </c>
      <c r="Z193" s="251" t="n">
        <v>25.188</v>
      </c>
      <c r="AA193" s="35" t="n">
        <v>45337</v>
      </c>
      <c r="AB193" s="27" t="n"/>
      <c r="AC193" s="27" t="n"/>
      <c r="AD193" s="210" t="n">
        <v>20.99</v>
      </c>
      <c r="AE193" s="237" t="n">
        <v>0</v>
      </c>
      <c r="AF193" t="b">
        <v>0</v>
      </c>
      <c r="AG193" s="228" t="n">
        <v>-20.99</v>
      </c>
    </row>
    <row r="194">
      <c r="A194">
        <f>I194&amp;"-"&amp;J194</f>
        <v/>
      </c>
      <c r="B194" s="1">
        <f>N194</f>
        <v/>
      </c>
      <c r="C194">
        <f>M194&amp;"/"&amp;O194</f>
        <v/>
      </c>
      <c r="D194">
        <f>K194</f>
        <v/>
      </c>
      <c r="E194">
        <f>L194</f>
        <v/>
      </c>
      <c r="F194" s="236">
        <f>Z194</f>
        <v/>
      </c>
      <c r="G194">
        <f>U194&amp;"%"</f>
        <v/>
      </c>
      <c r="I194" s="53" t="n">
        <v>2023</v>
      </c>
      <c r="J194" s="53" t="n">
        <v>193</v>
      </c>
      <c r="K194" s="71" t="inlineStr">
        <is>
          <t>Ausgaben</t>
        </is>
      </c>
      <c r="L194" t="inlineStr">
        <is>
          <t>sonstige Betriebsausgaben</t>
        </is>
      </c>
      <c r="M194" s="9" t="n"/>
      <c r="N194" s="1" t="n">
        <v>45273</v>
      </c>
      <c r="O194" t="inlineStr">
        <is>
          <t>Hetzner Online GmbH</t>
        </is>
      </c>
      <c r="Q194" s="76" t="n"/>
      <c r="R194" t="b">
        <v>0</v>
      </c>
      <c r="S194" s="214" t="n">
        <v>52.2141</v>
      </c>
      <c r="T194" s="159" t="n">
        <v>1</v>
      </c>
      <c r="U194" t="n">
        <v>0</v>
      </c>
      <c r="V194" s="237" t="n">
        <v>0</v>
      </c>
      <c r="W194" s="237" t="n">
        <v>0</v>
      </c>
      <c r="X194" s="208" t="n">
        <v>52.2141</v>
      </c>
      <c r="Y194" s="251" t="n">
        <v>52.2141</v>
      </c>
      <c r="Z194" s="251" t="n">
        <v>52.2141</v>
      </c>
      <c r="AA194" s="35" t="n">
        <v>45337</v>
      </c>
      <c r="AB194" s="27" t="n"/>
      <c r="AC194" s="27" t="n">
        <v>20</v>
      </c>
      <c r="AD194" s="210" t="n">
        <v>52.2141</v>
      </c>
      <c r="AE194" s="237" t="n">
        <v>10.44282</v>
      </c>
      <c r="AF194" t="b">
        <v>0</v>
      </c>
      <c r="AG194" s="228" t="n">
        <v>-52.2141</v>
      </c>
    </row>
    <row r="195">
      <c r="A195">
        <f>I195&amp;"-"&amp;J195</f>
        <v/>
      </c>
      <c r="B195" s="1">
        <f>N195</f>
        <v/>
      </c>
      <c r="C195">
        <f>M195&amp;"/"&amp;O195</f>
        <v/>
      </c>
      <c r="D195">
        <f>K195</f>
        <v/>
      </c>
      <c r="E195">
        <f>L195</f>
        <v/>
      </c>
      <c r="F195" s="236">
        <f>Z195</f>
        <v/>
      </c>
      <c r="G195">
        <f>U195&amp;"%"</f>
        <v/>
      </c>
      <c r="I195" s="53" t="n">
        <v>2023</v>
      </c>
      <c r="J195" s="53" t="n">
        <v>194</v>
      </c>
      <c r="K195" s="71" t="inlineStr">
        <is>
          <t>Ausgaben</t>
        </is>
      </c>
      <c r="L195" t="inlineStr">
        <is>
          <t>Personalaufwand</t>
        </is>
      </c>
      <c r="M195" s="9" t="inlineStr">
        <is>
          <t>siehe 2022-140</t>
        </is>
      </c>
      <c r="N195" s="1" t="n">
        <v>45275</v>
      </c>
      <c r="O195" t="inlineStr">
        <is>
          <t>Honorar Eva Jaros-Kolbitsch</t>
        </is>
      </c>
      <c r="Q195" s="76" t="n"/>
      <c r="R195" t="b">
        <v>0</v>
      </c>
      <c r="S195" s="214" t="n">
        <v>365</v>
      </c>
      <c r="T195" s="159" t="n">
        <v>1</v>
      </c>
      <c r="U195" t="n">
        <v>0</v>
      </c>
      <c r="V195" s="237" t="n">
        <v>0</v>
      </c>
      <c r="W195" s="237" t="n">
        <v>0</v>
      </c>
      <c r="X195" s="208" t="n">
        <v>365</v>
      </c>
      <c r="Y195" s="251" t="n">
        <v>365</v>
      </c>
      <c r="Z195" s="251" t="n">
        <v>365</v>
      </c>
      <c r="AA195" s="35" t="n">
        <v>45337</v>
      </c>
      <c r="AB195" s="27" t="n"/>
      <c r="AC195" s="27" t="n"/>
      <c r="AD195" s="210" t="n">
        <v>365</v>
      </c>
      <c r="AE195" s="237" t="n">
        <v>0</v>
      </c>
      <c r="AF195" t="b">
        <v>0</v>
      </c>
      <c r="AG195" s="228" t="n">
        <v>-365</v>
      </c>
    </row>
    <row r="196">
      <c r="A196">
        <f>I196&amp;"-"&amp;J196</f>
        <v/>
      </c>
      <c r="B196" s="1">
        <f>N196</f>
        <v/>
      </c>
      <c r="C196">
        <f>M196&amp;"/"&amp;O196</f>
        <v/>
      </c>
      <c r="D196">
        <f>K196</f>
        <v/>
      </c>
      <c r="E196">
        <f>L196</f>
        <v/>
      </c>
      <c r="F196" s="236">
        <f>Z196</f>
        <v/>
      </c>
      <c r="G196">
        <f>U196&amp;"%"</f>
        <v/>
      </c>
      <c r="I196" s="53" t="n">
        <v>2023</v>
      </c>
      <c r="J196" s="53" t="n">
        <v>195</v>
      </c>
      <c r="K196" s="71" t="inlineStr">
        <is>
          <t>Ausgaben</t>
        </is>
      </c>
      <c r="L196" t="inlineStr">
        <is>
          <t>sonstige Betriebsausgaben</t>
        </is>
      </c>
      <c r="M196" s="1" t="n"/>
      <c r="N196" s="1" t="n">
        <v>45280</v>
      </c>
      <c r="O196" t="inlineStr">
        <is>
          <t>Microsoft Ireland Operations Ltd. One Microsoft Place, South County, Business Park, Leopardstown, Dublin 18, D18 P521, Ireland</t>
        </is>
      </c>
      <c r="Q196" s="76" t="n"/>
      <c r="R196" t="b">
        <v>0</v>
      </c>
      <c r="S196" s="214" t="n">
        <v>11.7</v>
      </c>
      <c r="T196" s="159" t="n">
        <v>1</v>
      </c>
      <c r="U196" t="n">
        <v>0</v>
      </c>
      <c r="V196" s="237" t="n">
        <v>0</v>
      </c>
      <c r="W196" s="237" t="n">
        <v>0</v>
      </c>
      <c r="X196" s="208" t="n">
        <v>11.7</v>
      </c>
      <c r="Y196" s="251" t="n">
        <v>11.7</v>
      </c>
      <c r="Z196" s="251" t="n">
        <v>11.7</v>
      </c>
      <c r="AA196" s="35" t="n">
        <v>45337</v>
      </c>
      <c r="AB196" s="27" t="n"/>
      <c r="AC196" s="27" t="n">
        <v>20</v>
      </c>
      <c r="AD196" s="210" t="n">
        <v>11.7</v>
      </c>
      <c r="AE196" s="237" t="n">
        <v>2.34</v>
      </c>
      <c r="AF196" t="b">
        <v>0</v>
      </c>
      <c r="AG196" s="228" t="n">
        <v>-11.7</v>
      </c>
    </row>
    <row r="197">
      <c r="A197">
        <f>I197&amp;"-"&amp;J197</f>
        <v/>
      </c>
      <c r="B197" s="1">
        <f>N197</f>
        <v/>
      </c>
      <c r="C197">
        <f>M197&amp;"/"&amp;O197</f>
        <v/>
      </c>
      <c r="D197">
        <f>K197</f>
        <v/>
      </c>
      <c r="E197">
        <f>L197</f>
        <v/>
      </c>
      <c r="F197" s="236">
        <f>Z197</f>
        <v/>
      </c>
      <c r="G197">
        <f>U197&amp;"%"</f>
        <v/>
      </c>
      <c r="I197" s="53" t="n">
        <v>2023</v>
      </c>
      <c r="J197" s="53" t="n">
        <v>196</v>
      </c>
      <c r="K197" s="71" t="inlineStr">
        <is>
          <t>Ausgaben</t>
        </is>
      </c>
      <c r="L197" t="inlineStr">
        <is>
          <t>Büromaterial</t>
        </is>
      </c>
      <c r="N197" s="1" t="n">
        <v>45278</v>
      </c>
      <c r="O197" t="inlineStr">
        <is>
          <t>Amazon EU S. à r.l., 38 avenue John F. Kennedy, L-1855 Luxembourg</t>
        </is>
      </c>
      <c r="Q197" s="76" t="n"/>
      <c r="R197" t="b">
        <v>0</v>
      </c>
      <c r="S197" s="214" t="n">
        <v>14.28</v>
      </c>
      <c r="T197" s="159" t="n">
        <v>1</v>
      </c>
      <c r="U197" t="n">
        <v>20</v>
      </c>
      <c r="V197" s="237" t="n">
        <v>2.856</v>
      </c>
      <c r="W197" s="237" t="n">
        <v>2.856</v>
      </c>
      <c r="X197" s="208" t="n">
        <v>14.28</v>
      </c>
      <c r="Y197" s="251" t="n">
        <v>17.136</v>
      </c>
      <c r="Z197" s="251" t="n">
        <v>17.136</v>
      </c>
      <c r="AA197" s="35" t="n">
        <v>45337</v>
      </c>
      <c r="AB197" s="27" t="n"/>
      <c r="AC197" s="27" t="n"/>
      <c r="AD197" s="210" t="n">
        <v>14.28</v>
      </c>
      <c r="AE197" s="237" t="n">
        <v>0</v>
      </c>
      <c r="AF197" t="b">
        <v>0</v>
      </c>
      <c r="AG197" s="228" t="n">
        <v>-14.28</v>
      </c>
    </row>
    <row r="198">
      <c r="A198">
        <f>I198&amp;"-"&amp;J198</f>
        <v/>
      </c>
      <c r="B198" s="1">
        <f>N198</f>
        <v/>
      </c>
      <c r="C198">
        <f>M198&amp;"/"&amp;O198</f>
        <v/>
      </c>
      <c r="D198">
        <f>K198</f>
        <v/>
      </c>
      <c r="E198">
        <f>L198</f>
        <v/>
      </c>
      <c r="F198" s="236">
        <f>Z198</f>
        <v/>
      </c>
      <c r="G198">
        <f>U198&amp;"%"</f>
        <v/>
      </c>
      <c r="I198" s="53" t="n">
        <v>2023</v>
      </c>
      <c r="J198" s="53" t="n">
        <v>197</v>
      </c>
      <c r="K198" s="71" t="inlineStr">
        <is>
          <t>Einnahmen</t>
        </is>
      </c>
      <c r="L198" t="inlineStr">
        <is>
          <t>Waren-/Leistungserlöse</t>
        </is>
      </c>
      <c r="N198" s="1" t="n">
        <v>45280</v>
      </c>
      <c r="O198" t="inlineStr">
        <is>
          <t>Hays Österreich GmbH, Bahnhof City Wien West , Europaplatz 3/5, 1150 Wien</t>
        </is>
      </c>
      <c r="Q198" s="76" t="n"/>
      <c r="R198" t="b">
        <v>0</v>
      </c>
      <c r="S198" s="214" t="n">
        <v>11217.38</v>
      </c>
      <c r="T198" s="159" t="n">
        <v>1</v>
      </c>
      <c r="U198" t="n">
        <v>20</v>
      </c>
      <c r="V198" s="237" t="n">
        <v>2243.476</v>
      </c>
      <c r="W198" s="237" t="n">
        <v>2243.476</v>
      </c>
      <c r="X198" s="208" t="n">
        <v>11217.38</v>
      </c>
      <c r="Y198" s="251" t="n">
        <v>13460.856</v>
      </c>
      <c r="Z198" s="251" t="n">
        <v>13460.856</v>
      </c>
      <c r="AA198" s="35" t="n">
        <v>45337</v>
      </c>
      <c r="AB198" s="27" t="n"/>
      <c r="AC198" s="27" t="n"/>
      <c r="AD198" s="210" t="n">
        <v>11217.38</v>
      </c>
      <c r="AE198" s="237" t="n">
        <v>0</v>
      </c>
      <c r="AF198" t="b">
        <v>0</v>
      </c>
      <c r="AG198" s="228" t="n">
        <v>11217.38</v>
      </c>
    </row>
    <row r="199">
      <c r="A199">
        <f>I199&amp;"-"&amp;J199</f>
        <v/>
      </c>
      <c r="B199" s="1">
        <f>N199</f>
        <v/>
      </c>
      <c r="C199">
        <f>M199&amp;"/"&amp;O199</f>
        <v/>
      </c>
      <c r="D199">
        <f>K199</f>
        <v/>
      </c>
      <c r="E199">
        <f>L199</f>
        <v/>
      </c>
      <c r="F199" s="236">
        <f>Z199</f>
        <v/>
      </c>
      <c r="G199">
        <f>U199&amp;"%"</f>
        <v/>
      </c>
      <c r="I199" s="53" t="n">
        <v>2023</v>
      </c>
      <c r="J199" s="53" t="n">
        <v>198</v>
      </c>
      <c r="K199" s="71" t="inlineStr">
        <is>
          <t>Ausgaben</t>
        </is>
      </c>
      <c r="L199" t="inlineStr">
        <is>
          <t>sonstige Betriebsausgaben</t>
        </is>
      </c>
      <c r="M199" s="9" t="n"/>
      <c r="N199" s="1" t="n">
        <v>45280</v>
      </c>
      <c r="O199" t="inlineStr">
        <is>
          <t>Hetzner Online GmbH</t>
        </is>
      </c>
      <c r="Q199" s="76" t="n"/>
      <c r="R199" t="b">
        <v>0</v>
      </c>
      <c r="S199" s="214" t="n">
        <v>11</v>
      </c>
      <c r="T199" s="159" t="n">
        <v>1</v>
      </c>
      <c r="U199" t="n">
        <v>0</v>
      </c>
      <c r="V199" s="237" t="n">
        <v>0</v>
      </c>
      <c r="W199" s="237" t="n">
        <v>0</v>
      </c>
      <c r="X199" s="208" t="n">
        <v>11</v>
      </c>
      <c r="Y199" s="251" t="n">
        <v>11</v>
      </c>
      <c r="Z199" s="251" t="n">
        <v>11</v>
      </c>
      <c r="AA199" s="35" t="n">
        <v>45337</v>
      </c>
      <c r="AB199" s="27" t="n"/>
      <c r="AC199" s="27" t="n">
        <v>20</v>
      </c>
      <c r="AD199" s="210" t="n">
        <v>11</v>
      </c>
      <c r="AE199" s="237" t="n">
        <v>2.2</v>
      </c>
      <c r="AF199" t="b">
        <v>0</v>
      </c>
      <c r="AG199" s="228" t="n">
        <v>-11</v>
      </c>
    </row>
    <row r="200">
      <c r="A200">
        <f>I200&amp;"-"&amp;J200</f>
        <v/>
      </c>
      <c r="B200" s="1">
        <f>N200</f>
        <v/>
      </c>
      <c r="C200">
        <f>M200&amp;"/"&amp;O200</f>
        <v/>
      </c>
      <c r="D200">
        <f>K200</f>
        <v/>
      </c>
      <c r="E200">
        <f>L200</f>
        <v/>
      </c>
      <c r="F200" s="236">
        <f>Z200</f>
        <v/>
      </c>
      <c r="G200">
        <f>U200&amp;"%"</f>
        <v/>
      </c>
      <c r="I200" s="53" t="n">
        <v>2023</v>
      </c>
      <c r="J200" s="53" t="n">
        <v>199</v>
      </c>
      <c r="K200" s="71" t="inlineStr">
        <is>
          <t>Ausgaben</t>
        </is>
      </c>
      <c r="L200" t="inlineStr">
        <is>
          <t>Büromaterial</t>
        </is>
      </c>
      <c r="N200" s="1" t="n">
        <v>45287</v>
      </c>
      <c r="O200" t="inlineStr">
        <is>
          <t>Amazon EU S. à r.l., 38 avenue John F. Kennedy, L-1855 Luxembourg</t>
        </is>
      </c>
      <c r="Q200" s="76" t="n"/>
      <c r="R200" t="b">
        <v>0</v>
      </c>
      <c r="S200" s="214" t="n">
        <v>14.11</v>
      </c>
      <c r="T200" s="159" t="n">
        <v>1</v>
      </c>
      <c r="U200" t="n">
        <v>20</v>
      </c>
      <c r="V200" s="237" t="n">
        <v>2.822</v>
      </c>
      <c r="W200" s="237" t="n">
        <v>2.822</v>
      </c>
      <c r="X200" s="208" t="n">
        <v>14.11</v>
      </c>
      <c r="Y200" s="251" t="n">
        <v>16.932</v>
      </c>
      <c r="Z200" s="251" t="n">
        <v>16.932</v>
      </c>
      <c r="AA200" s="35" t="n">
        <v>45337</v>
      </c>
      <c r="AB200" s="27" t="n"/>
      <c r="AC200" s="27" t="n"/>
      <c r="AD200" s="210" t="n">
        <v>14.11</v>
      </c>
      <c r="AE200" s="237" t="n">
        <v>0</v>
      </c>
      <c r="AF200" t="b">
        <v>0</v>
      </c>
      <c r="AG200" s="228" t="n">
        <v>-14.11</v>
      </c>
    </row>
    <row r="201">
      <c r="F201" s="236" t="n"/>
      <c r="I201" s="53" t="n">
        <v>2022</v>
      </c>
      <c r="J201" s="53" t="n">
        <v>200</v>
      </c>
      <c r="K201" s="71" t="inlineStr">
        <is>
          <t>Ausgaben</t>
        </is>
      </c>
      <c r="L201" t="inlineStr">
        <is>
          <t>sonstige Betriebsausgaben</t>
        </is>
      </c>
      <c r="M201" s="9" t="n"/>
      <c r="N201" s="1" t="n">
        <v>44918</v>
      </c>
      <c r="O201" t="inlineStr">
        <is>
          <t>Hetzner Online GmbH</t>
        </is>
      </c>
      <c r="Q201" s="76" t="n"/>
      <c r="R201" t="b">
        <v>0</v>
      </c>
      <c r="S201" s="214" t="n">
        <v>10</v>
      </c>
      <c r="T201" s="159" t="n">
        <v>1</v>
      </c>
      <c r="U201" t="n">
        <v>0</v>
      </c>
      <c r="V201" s="237" t="n">
        <v>0</v>
      </c>
      <c r="W201" s="237" t="n">
        <v>0</v>
      </c>
      <c r="X201" s="208" t="n">
        <v>10</v>
      </c>
      <c r="Y201" s="251" t="n">
        <v>10</v>
      </c>
      <c r="Z201" s="251" t="n">
        <v>10</v>
      </c>
      <c r="AA201" s="35" t="n">
        <v>44972</v>
      </c>
      <c r="AB201" s="27" t="n"/>
      <c r="AC201" s="27" t="n">
        <v>20</v>
      </c>
      <c r="AD201" s="210" t="n">
        <v>10</v>
      </c>
      <c r="AE201" s="237" t="n">
        <v>2</v>
      </c>
      <c r="AF201" t="b">
        <v>0</v>
      </c>
      <c r="AG201" s="228" t="n">
        <v>-10</v>
      </c>
    </row>
    <row r="202">
      <c r="F202" s="236" t="n"/>
      <c r="I202" s="53" t="n">
        <v>2022</v>
      </c>
      <c r="J202" s="53" t="n">
        <v>201</v>
      </c>
      <c r="K202" s="71" t="inlineStr">
        <is>
          <t>Ausgaben</t>
        </is>
      </c>
      <c r="L202" t="inlineStr">
        <is>
          <t>sonstige Betriebsausgaben</t>
        </is>
      </c>
      <c r="M202" s="61" t="inlineStr">
        <is>
          <t>BELEG FEHLT</t>
        </is>
      </c>
      <c r="N202" s="1" t="n">
        <v>44922</v>
      </c>
      <c r="O202" t="inlineStr">
        <is>
          <t>Wiener Netze GmbH, Erdbergstraße 236, 1110 Wien, Postfach 422; Jahresabrechnung vom 17.12.20: GUTSCHRIFT</t>
        </is>
      </c>
      <c r="Q202" s="76" t="n"/>
      <c r="R202" t="b">
        <v>0</v>
      </c>
      <c r="S202" s="214" t="n">
        <v>6.15</v>
      </c>
      <c r="T202" s="159" t="n">
        <v>1</v>
      </c>
      <c r="U202" t="n">
        <v>20</v>
      </c>
      <c r="V202" s="237" t="n">
        <v>1.23</v>
      </c>
      <c r="W202" s="237" t="n">
        <v>1.23</v>
      </c>
      <c r="X202" s="208" t="n">
        <v>6.15</v>
      </c>
      <c r="Y202" s="251" t="n">
        <v>7.380000000000001</v>
      </c>
      <c r="Z202" s="251" t="n">
        <v>7.380000000000001</v>
      </c>
      <c r="AA202" s="35" t="n">
        <v>44972</v>
      </c>
      <c r="AB202" s="27" t="n"/>
      <c r="AC202" s="27" t="n"/>
      <c r="AD202" s="210" t="n">
        <v>6.15</v>
      </c>
      <c r="AE202" s="237" t="n">
        <v>0</v>
      </c>
      <c r="AF202" t="b">
        <v>0</v>
      </c>
      <c r="AG202" s="228" t="n">
        <v>-6.15</v>
      </c>
    </row>
    <row r="203">
      <c r="F203" s="236" t="n"/>
      <c r="I203" s="53" t="n">
        <v>2022</v>
      </c>
      <c r="J203" s="53" t="n">
        <v>202</v>
      </c>
      <c r="K203" s="71" t="inlineStr">
        <is>
          <t>Ausgaben</t>
        </is>
      </c>
      <c r="L203" t="inlineStr">
        <is>
          <t>Pflichversicherungsbeiträge</t>
        </is>
      </c>
      <c r="M203" s="9" t="inlineStr">
        <is>
          <t>1561270283</t>
        </is>
      </c>
      <c r="N203" s="1" t="n">
        <v>44924</v>
      </c>
      <c r="O203" t="inlineStr">
        <is>
          <t>Sozialversicherung der gewerblichen Wirtshaft</t>
        </is>
      </c>
      <c r="Q203" s="76" t="n"/>
      <c r="R203" t="b">
        <v>0</v>
      </c>
      <c r="S203" s="214" t="n">
        <v>15000</v>
      </c>
      <c r="T203" s="159" t="n">
        <v>1</v>
      </c>
      <c r="U203" t="n">
        <v>0</v>
      </c>
      <c r="V203" s="237" t="n">
        <v>0</v>
      </c>
      <c r="W203" s="237" t="n">
        <v>0</v>
      </c>
      <c r="X203" s="208" t="n">
        <v>15000</v>
      </c>
      <c r="Y203" s="251" t="n">
        <v>15000</v>
      </c>
      <c r="Z203" s="251" t="n">
        <v>15000</v>
      </c>
      <c r="AA203" s="35" t="n">
        <v>44972</v>
      </c>
      <c r="AB203" s="27" t="n"/>
      <c r="AC203" s="27" t="n"/>
      <c r="AD203" s="210" t="n">
        <v>15000</v>
      </c>
      <c r="AE203" s="237" t="n">
        <v>0</v>
      </c>
      <c r="AF203" t="b">
        <v>0</v>
      </c>
      <c r="AG203" s="228" t="n">
        <v>-15000</v>
      </c>
    </row>
    <row r="204">
      <c r="F204" s="236" t="n"/>
      <c r="I204" s="53" t="n">
        <v>2022</v>
      </c>
      <c r="J204" s="53" t="n">
        <v>203</v>
      </c>
      <c r="K204" s="71" t="inlineStr">
        <is>
          <t>Ausgaben</t>
        </is>
      </c>
      <c r="L204" t="inlineStr">
        <is>
          <t>Lizenzgebühren</t>
        </is>
      </c>
      <c r="M204" s="6" t="n"/>
      <c r="N204" s="1" t="n">
        <v>44926</v>
      </c>
      <c r="O204" s="154" t="inlineStr">
        <is>
          <t>STORNO Adobe Systems Software Ireland Ltd., 4-6 Riverwalk, Citywest Business Park, Dublin 24, Ireland, VAT ID IE6364992H</t>
        </is>
      </c>
      <c r="Q204" s="76" t="n"/>
      <c r="S204" s="214" t="n">
        <v>-20.28</v>
      </c>
      <c r="T204" s="159" t="n">
        <v>1</v>
      </c>
      <c r="U204" t="n">
        <v>0</v>
      </c>
      <c r="V204" s="237" t="n">
        <v>0</v>
      </c>
      <c r="W204" s="237" t="n">
        <v>0</v>
      </c>
      <c r="X204" s="208" t="n">
        <v>-20.28</v>
      </c>
      <c r="Y204" s="251" t="n">
        <v>-20.28</v>
      </c>
      <c r="Z204" s="251" t="n">
        <v>-20.28</v>
      </c>
      <c r="AA204" s="35" t="n">
        <v>44972</v>
      </c>
      <c r="AB204" s="27" t="n"/>
      <c r="AC204" s="27" t="n"/>
      <c r="AD204" s="210" t="n">
        <v>-20.28</v>
      </c>
      <c r="AE204" s="237" t="n">
        <v>0</v>
      </c>
      <c r="AF204" t="b">
        <v>0</v>
      </c>
      <c r="AG204" s="228" t="n">
        <v>20.28</v>
      </c>
    </row>
    <row r="205">
      <c r="F205" s="236" t="n"/>
      <c r="I205" s="53" t="n">
        <v>2022</v>
      </c>
      <c r="J205" s="53" t="n">
        <v>204</v>
      </c>
      <c r="K205" s="71" t="inlineStr">
        <is>
          <t>Ausgaben</t>
        </is>
      </c>
      <c r="L205" t="inlineStr">
        <is>
          <t>Reise- und Fahrtspesen inkl. Kilometergeld und Diäten</t>
        </is>
      </c>
      <c r="M205" s="9" t="n"/>
      <c r="N205" s="1" t="n">
        <v>44926</v>
      </c>
      <c r="O205" s="154" t="inlineStr">
        <is>
          <t>STORNO car2go Österreich GmbH, Hintere Zollamtstraße 9, 1030 Wien</t>
        </is>
      </c>
      <c r="Q205" s="76" t="n"/>
      <c r="S205" s="214" t="n">
        <v>-18.98</v>
      </c>
      <c r="T205" s="159" t="n">
        <v>1</v>
      </c>
      <c r="U205" t="n">
        <v>20</v>
      </c>
      <c r="V205" s="237" t="n">
        <v>-3.796</v>
      </c>
      <c r="W205" s="237" t="n">
        <v>-3.796</v>
      </c>
      <c r="X205" s="208" t="n">
        <v>-18.98</v>
      </c>
      <c r="Y205" s="251" t="n">
        <v>-22.776</v>
      </c>
      <c r="Z205" s="251" t="n">
        <v>-22.776</v>
      </c>
      <c r="AA205" s="35" t="n">
        <v>44972</v>
      </c>
      <c r="AB205" s="27" t="n"/>
      <c r="AC205" s="27" t="n"/>
      <c r="AD205" s="210" t="n">
        <v>-18.98</v>
      </c>
      <c r="AE205" s="237" t="n">
        <v>0</v>
      </c>
      <c r="AF205" t="b">
        <v>0</v>
      </c>
      <c r="AG205" s="228" t="n">
        <v>18.98</v>
      </c>
    </row>
    <row r="206">
      <c r="F206" s="236" t="n"/>
      <c r="I206" s="53" t="n">
        <v>2022</v>
      </c>
      <c r="J206" s="53" t="n">
        <v>205</v>
      </c>
      <c r="K206" s="71" t="inlineStr">
        <is>
          <t>Ausgaben</t>
        </is>
      </c>
      <c r="L206" t="inlineStr">
        <is>
          <t>sonstige Betriebsausgaben</t>
        </is>
      </c>
      <c r="M206" s="9" t="n"/>
      <c r="N206" s="1" t="n">
        <v>44926</v>
      </c>
      <c r="O206" s="154" t="inlineStr">
        <is>
          <t>STORNO Google Ireland Ltd, Gordon House, Barrow Street, Dublin 4, Ireland; VAT number: IE 6388047V</t>
        </is>
      </c>
      <c r="Q206" s="76" t="n"/>
      <c r="S206" s="214" t="n">
        <v>-9.359999999999999</v>
      </c>
      <c r="T206" s="159" t="n">
        <v>1</v>
      </c>
      <c r="U206" t="n">
        <v>0</v>
      </c>
      <c r="V206" s="237" t="n">
        <v>0</v>
      </c>
      <c r="W206" s="237" t="n">
        <v>0</v>
      </c>
      <c r="X206" s="208" t="n">
        <v>-9.359999999999999</v>
      </c>
      <c r="Y206" s="251" t="n">
        <v>-9.359999999999999</v>
      </c>
      <c r="Z206" s="251" t="n">
        <v>-9.359999999999999</v>
      </c>
      <c r="AA206" s="35" t="n">
        <v>44972</v>
      </c>
      <c r="AB206" s="27" t="n"/>
      <c r="AC206" s="27" t="n"/>
      <c r="AD206" s="210" t="n">
        <v>-9.359999999999999</v>
      </c>
      <c r="AE206" s="237" t="n">
        <v>0</v>
      </c>
      <c r="AF206" t="b">
        <v>0</v>
      </c>
      <c r="AG206" s="228" t="n">
        <v>9.359999999999999</v>
      </c>
    </row>
    <row r="207">
      <c r="F207" s="236" t="n"/>
      <c r="I207" s="53" t="n">
        <v>2022</v>
      </c>
      <c r="J207" s="53" t="n">
        <v>206</v>
      </c>
      <c r="K207" s="71" t="inlineStr">
        <is>
          <t>Ausgaben</t>
        </is>
      </c>
      <c r="L207" t="inlineStr">
        <is>
          <t>Miet- und Pachtaufwand, Leasing</t>
        </is>
      </c>
      <c r="M207" s="9" t="n"/>
      <c r="N207" s="1" t="n">
        <v>44926</v>
      </c>
      <c r="O207" s="154" t="inlineStr">
        <is>
          <t>STORNO Bontus Immobilienverwaltung GmbH, 1010 Wien, Franz Josefs Kai 65</t>
        </is>
      </c>
      <c r="Q207" s="76" t="n"/>
      <c r="S207" s="214" t="n">
        <v>-505.65</v>
      </c>
      <c r="T207" s="159" t="n">
        <v>1</v>
      </c>
      <c r="U207" t="n">
        <v>20</v>
      </c>
      <c r="V207" s="237" t="n">
        <v>-101.13</v>
      </c>
      <c r="W207" s="237" t="n">
        <v>-101.13</v>
      </c>
      <c r="X207" s="208" t="n">
        <v>-505.65</v>
      </c>
      <c r="Y207" s="251" t="n">
        <v>-606.78</v>
      </c>
      <c r="Z207" s="251" t="n">
        <v>-606.78</v>
      </c>
      <c r="AA207" s="35" t="n">
        <v>44972</v>
      </c>
      <c r="AB207" s="27" t="n"/>
      <c r="AC207" s="27" t="n"/>
      <c r="AD207" s="210" t="n">
        <v>-505.65</v>
      </c>
      <c r="AE207" s="237" t="n">
        <v>0</v>
      </c>
      <c r="AF207" t="b">
        <v>0</v>
      </c>
      <c r="AG207" s="228" t="n">
        <v>505.65</v>
      </c>
    </row>
    <row r="208">
      <c r="F208" s="236" t="n"/>
      <c r="I208" s="53" t="n">
        <v>2022</v>
      </c>
      <c r="J208" s="53" t="n">
        <v>207</v>
      </c>
      <c r="K208" s="71" t="inlineStr">
        <is>
          <t>Ausgaben</t>
        </is>
      </c>
      <c r="L208" t="inlineStr">
        <is>
          <t>Telefon/Internet</t>
        </is>
      </c>
      <c r="M208" s="9" t="n"/>
      <c r="N208" s="1" t="n">
        <v>44926</v>
      </c>
      <c r="O208" s="154" t="inlineStr">
        <is>
          <t>STORNO Hutchison Drei Austria GmbH, Brünner Straße 52, 1210 Wien, Österreich</t>
        </is>
      </c>
      <c r="Q208" s="76" t="n"/>
      <c r="S208" s="214" t="n">
        <v>-15</v>
      </c>
      <c r="T208" s="159" t="n">
        <v>1</v>
      </c>
      <c r="U208" t="n">
        <v>20</v>
      </c>
      <c r="V208" s="237" t="n">
        <v>-3</v>
      </c>
      <c r="W208" s="237" t="n">
        <v>-3</v>
      </c>
      <c r="X208" s="208" t="n">
        <v>-15</v>
      </c>
      <c r="Y208" s="251" t="n">
        <v>-18</v>
      </c>
      <c r="Z208" s="251" t="n">
        <v>-18</v>
      </c>
      <c r="AA208" s="35" t="n">
        <v>44972</v>
      </c>
      <c r="AB208" s="27" t="n"/>
      <c r="AC208" s="27" t="n"/>
      <c r="AD208" s="210" t="n">
        <v>-15</v>
      </c>
      <c r="AE208" s="237" t="n">
        <v>0</v>
      </c>
      <c r="AF208" t="b">
        <v>0</v>
      </c>
      <c r="AG208" s="228" t="n">
        <v>15</v>
      </c>
    </row>
    <row r="209">
      <c r="F209" s="236" t="n"/>
      <c r="I209" s="53" t="n">
        <v>2022</v>
      </c>
      <c r="J209" s="53" t="n">
        <v>208</v>
      </c>
      <c r="K209" s="71" t="inlineStr">
        <is>
          <t>Ausgaben</t>
        </is>
      </c>
      <c r="L209" t="inlineStr">
        <is>
          <t>Büromaterial</t>
        </is>
      </c>
      <c r="M209" s="9" t="inlineStr">
        <is>
          <t>071149</t>
        </is>
      </c>
      <c r="N209" s="1" t="n">
        <v>44909</v>
      </c>
      <c r="O209" t="inlineStr">
        <is>
          <t>"Libro" PL Handelsgesellschaft mbH, 1080 Wien, Josefstädter Straße 105, ATU 56240311 (aus 2023 verschoben - 2023-25)</t>
        </is>
      </c>
      <c r="Q209" s="76" t="n"/>
      <c r="R209" t="b">
        <v>0</v>
      </c>
      <c r="S209" s="214" t="n">
        <v>7.233333333333333</v>
      </c>
      <c r="T209" s="159" t="n">
        <v>1</v>
      </c>
      <c r="U209" t="n">
        <v>20</v>
      </c>
      <c r="V209" s="237" t="n">
        <v>1.446666666666667</v>
      </c>
      <c r="W209" s="237" t="n">
        <v>1.446666666666667</v>
      </c>
      <c r="X209" s="208" t="n">
        <v>7.233333333333333</v>
      </c>
      <c r="Y209" s="251" t="n">
        <v>8.68</v>
      </c>
      <c r="Z209" s="251" t="n">
        <v>8.68</v>
      </c>
      <c r="AA209" s="35" t="n">
        <v>44972</v>
      </c>
      <c r="AB209" s="27" t="n"/>
      <c r="AC209" s="27" t="n"/>
      <c r="AD209" s="210" t="n">
        <v>7.233333333333333</v>
      </c>
      <c r="AE209" s="237" t="n">
        <v>0</v>
      </c>
      <c r="AF209" t="b">
        <v>0</v>
      </c>
      <c r="AG209" s="228" t="n">
        <v>-7.233333333333333</v>
      </c>
    </row>
    <row r="210">
      <c r="F210" s="236" t="n"/>
    </row>
    <row r="211">
      <c r="F211" s="236" t="n"/>
    </row>
    <row r="212">
      <c r="F212" s="236" t="n"/>
    </row>
    <row r="213">
      <c r="F213" s="236" t="n"/>
    </row>
    <row r="214">
      <c r="F214" s="236" t="n"/>
    </row>
    <row r="215">
      <c r="F215" s="236" t="n"/>
    </row>
    <row r="216">
      <c r="F216" s="236" t="n"/>
    </row>
    <row r="217">
      <c r="F217" s="236" t="n"/>
    </row>
    <row r="218">
      <c r="F218" s="236" t="n"/>
    </row>
    <row r="219">
      <c r="F219" s="236" t="n"/>
    </row>
    <row r="220">
      <c r="F220" s="236" t="n"/>
    </row>
    <row r="221">
      <c r="F221" s="236" t="n"/>
    </row>
  </sheetData>
  <autoFilter ref="A1:XEK221"/>
  <conditionalFormatting sqref="D1">
    <cfRule type="containsText" priority="8610" operator="containsText" dxfId="1" text="Einnahmen">
      <formula>NOT(ISERROR(SEARCH("Einnahmen",D1)))</formula>
    </cfRule>
    <cfRule type="containsText" priority="8611" operator="containsText" dxfId="0" text="Ausgaben">
      <formula>NOT(ISERROR(SEARCH("Ausgaben",D1)))</formula>
    </cfRule>
  </conditionalFormatting>
  <conditionalFormatting sqref="B1">
    <cfRule type="expression" priority="8609" dxfId="2">
      <formula>ISBLANK(#REF!)</formula>
    </cfRule>
  </conditionalFormatting>
  <conditionalFormatting sqref="K206 K208">
    <cfRule type="containsText" priority="8359" operator="containsText" dxfId="1" text="Einnahmen">
      <formula>NOT(ISERROR(SEARCH("Einnahmen",K206)))</formula>
    </cfRule>
    <cfRule type="containsText" priority="8360" operator="containsText" dxfId="0" text="Ausgaben">
      <formula>NOT(ISERROR(SEARCH("Ausgaben",K206)))</formula>
    </cfRule>
  </conditionalFormatting>
  <conditionalFormatting sqref="K201 K205 K207">
    <cfRule type="containsText" priority="8357" operator="containsText" dxfId="1" text="Einnahmen">
      <formula>NOT(ISERROR(SEARCH("Einnahmen",K201)))</formula>
    </cfRule>
    <cfRule type="containsText" priority="8358" operator="containsText" dxfId="0" text="Ausgaben">
      <formula>NOT(ISERROR(SEARCH("Ausgaben",K201)))</formula>
    </cfRule>
  </conditionalFormatting>
  <conditionalFormatting sqref="K202">
    <cfRule type="containsText" priority="8197" operator="containsText" dxfId="1" text="Einnahmen">
      <formula>NOT(ISERROR(SEARCH("Einnahmen",K202)))</formula>
    </cfRule>
    <cfRule type="containsText" priority="8198" operator="containsText" dxfId="0" text="Ausgaben">
      <formula>NOT(ISERROR(SEARCH("Ausgaben",K202)))</formula>
    </cfRule>
  </conditionalFormatting>
  <conditionalFormatting sqref="K203:K204">
    <cfRule type="containsText" priority="8195" operator="containsText" dxfId="1" text="Einnahmen">
      <formula>NOT(ISERROR(SEARCH("Einnahmen",K203)))</formula>
    </cfRule>
    <cfRule type="containsText" priority="8196" operator="containsText" dxfId="0" text="Ausgaben">
      <formula>NOT(ISERROR(SEARCH("Ausgaben",K203)))</formula>
    </cfRule>
  </conditionalFormatting>
  <conditionalFormatting sqref="K209">
    <cfRule type="containsText" priority="8193" operator="containsText" dxfId="1" text="Einnahmen">
      <formula>NOT(ISERROR(SEARCH("Einnahmen",K209)))</formula>
    </cfRule>
    <cfRule type="containsText" priority="8194" operator="containsText" dxfId="0" text="Ausgaben">
      <formula>NOT(ISERROR(SEARCH("Ausgaben",K209)))</formula>
    </cfRule>
  </conditionalFormatting>
  <conditionalFormatting sqref="Q205:Q209">
    <cfRule type="cellIs" priority="8192" operator="equal" dxfId="2034">
      <formula>"ja"</formula>
    </cfRule>
  </conditionalFormatting>
  <conditionalFormatting sqref="Q201">
    <cfRule type="cellIs" priority="6976" operator="equal" dxfId="2034">
      <formula>"ja"</formula>
    </cfRule>
    <cfRule type="cellIs" priority="6971" operator="equal" dxfId="2034">
      <formula>"ja"</formula>
    </cfRule>
  </conditionalFormatting>
  <conditionalFormatting sqref="AA201">
    <cfRule type="expression" priority="6975" dxfId="2">
      <formula>AND(AND($W201&lt;TODAY(),$W201&lt;&gt;""),$X201="")</formula>
    </cfRule>
    <cfRule type="expression" priority="6972" dxfId="2">
      <formula>AND(AND($W201&lt;TODAY(),$W201&lt;&gt;""),$X201="")</formula>
    </cfRule>
  </conditionalFormatting>
  <conditionalFormatting sqref="AG201">
    <cfRule type="dataBar" priority="6974">
      <dataBar>
        <cfvo type="min"/>
        <cfvo type="max"/>
        <color rgb="FF63C384"/>
      </dataBar>
    </cfRule>
    <cfRule type="dataBar" priority="6973">
      <dataBar>
        <cfvo type="min"/>
        <cfvo type="max"/>
        <color rgb="FF63C384"/>
      </dataBar>
    </cfRule>
    <cfRule type="dataBar" priority="6970">
      <dataBar>
        <cfvo type="min"/>
        <cfvo type="max"/>
        <color rgb="FF63C384"/>
      </dataBar>
    </cfRule>
    <cfRule type="dataBar" priority="6969">
      <dataBar>
        <cfvo type="min"/>
        <cfvo type="max"/>
        <color rgb="FF63C384"/>
      </dataBar>
    </cfRule>
  </conditionalFormatting>
  <conditionalFormatting sqref="Q202">
    <cfRule type="cellIs" priority="6968" operator="equal" dxfId="2034">
      <formula>"ja"</formula>
    </cfRule>
  </conditionalFormatting>
  <conditionalFormatting sqref="AA202">
    <cfRule type="expression" priority="6967" dxfId="2">
      <formula>AND(AND($W202&lt;TODAY(),$W202&lt;&gt;""),$X202="")</formula>
    </cfRule>
  </conditionalFormatting>
  <conditionalFormatting sqref="AG202">
    <cfRule type="dataBar" priority="6966">
      <dataBar>
        <cfvo type="min"/>
        <cfvo type="max"/>
        <color rgb="FF63C384"/>
      </dataBar>
    </cfRule>
    <cfRule type="dataBar" priority="6965">
      <dataBar>
        <cfvo type="min"/>
        <cfvo type="max"/>
        <color rgb="FF63C384"/>
      </dataBar>
    </cfRule>
  </conditionalFormatting>
  <conditionalFormatting sqref="AA203">
    <cfRule type="expression" priority="6964" dxfId="2">
      <formula>AND(AND($W203&lt;TODAY(),$W203&lt;&gt;""),$X203="")</formula>
    </cfRule>
  </conditionalFormatting>
  <conditionalFormatting sqref="Q203">
    <cfRule type="cellIs" priority="6963" operator="equal" dxfId="2034">
      <formula>"ja"</formula>
    </cfRule>
  </conditionalFormatting>
  <conditionalFormatting sqref="AG203">
    <cfRule type="dataBar" priority="6962">
      <dataBar>
        <cfvo type="min"/>
        <cfvo type="max"/>
        <color rgb="FF63C384"/>
      </dataBar>
    </cfRule>
    <cfRule type="dataBar" priority="6961">
      <dataBar>
        <cfvo type="min"/>
        <cfvo type="max"/>
        <color rgb="FF63C384"/>
      </dataBar>
    </cfRule>
  </conditionalFormatting>
  <conditionalFormatting sqref="Q204">
    <cfRule type="cellIs" priority="6960" operator="equal" dxfId="2034">
      <formula>"ja"</formula>
    </cfRule>
    <cfRule type="cellIs" priority="6959" operator="equal" dxfId="2034">
      <formula>"ja"</formula>
    </cfRule>
  </conditionalFormatting>
  <conditionalFormatting sqref="AA204:AA209">
    <cfRule type="expression" priority="6958" dxfId="2">
      <formula>AND(AND($W204&lt;TODAY(),$W204&lt;&gt;""),$X204="")</formula>
    </cfRule>
  </conditionalFormatting>
  <conditionalFormatting sqref="AG204:AG208">
    <cfRule type="dataBar" priority="6957">
      <dataBar>
        <cfvo type="min"/>
        <cfvo type="max"/>
        <color rgb="FF63C384"/>
      </dataBar>
    </cfRule>
    <cfRule type="dataBar" priority="6956">
      <dataBar>
        <cfvo type="min"/>
        <cfvo type="max"/>
        <color rgb="FF63C384"/>
      </dataBar>
    </cfRule>
  </conditionalFormatting>
  <conditionalFormatting sqref="AG209">
    <cfRule type="dataBar" priority="6955">
      <dataBar>
        <cfvo type="min"/>
        <cfvo type="max"/>
        <color rgb="FF63C384"/>
      </dataBar>
    </cfRule>
    <cfRule type="dataBar" priority="6954">
      <dataBar>
        <cfvo type="min"/>
        <cfvo type="max"/>
        <color rgb="FF63C384"/>
      </dataBar>
    </cfRule>
    <cfRule type="dataBar" priority="6953">
      <dataBar>
        <cfvo type="min"/>
        <cfvo type="max"/>
        <color rgb="FF63C384"/>
      </dataBar>
    </cfRule>
    <cfRule type="dataBar" priority="6952">
      <dataBar>
        <cfvo type="min"/>
        <cfvo type="max"/>
        <color rgb="FF63C384"/>
      </dataBar>
    </cfRule>
  </conditionalFormatting>
  <conditionalFormatting sqref="K55 K138 K141 K171 K182 K191">
    <cfRule type="containsText" priority="1425" operator="containsText" dxfId="1" text="Einnahmen">
      <formula>NOT(ISERROR(SEARCH("Einnahmen",K55)))</formula>
    </cfRule>
    <cfRule type="containsText" priority="1426" operator="containsText" dxfId="0" text="Ausgaben">
      <formula>NOT(ISERROR(SEARCH("Ausgaben",K55)))</formula>
    </cfRule>
  </conditionalFormatting>
  <conditionalFormatting sqref="K15 K25">
    <cfRule type="containsText" priority="1423" operator="containsText" dxfId="1" text="Einnahmen">
      <formula>NOT(ISERROR(SEARCH("Einnahmen",K15)))</formula>
    </cfRule>
    <cfRule type="containsText" priority="1424" operator="containsText" dxfId="0" text="Ausgaben">
      <formula>NOT(ISERROR(SEARCH("Ausgaben",K15)))</formula>
    </cfRule>
  </conditionalFormatting>
  <conditionalFormatting sqref="K11 K13">
    <cfRule type="containsText" priority="1421" operator="containsText" dxfId="1" text="Einnahmen">
      <formula>NOT(ISERROR(SEARCH("Einnahmen",K11)))</formula>
    </cfRule>
    <cfRule type="containsText" priority="1422" operator="containsText" dxfId="0" text="Ausgaben">
      <formula>NOT(ISERROR(SEARCH("Ausgaben",K11)))</formula>
    </cfRule>
  </conditionalFormatting>
  <conditionalFormatting sqref="K2">
    <cfRule type="containsText" priority="1419" operator="containsText" dxfId="1" text="Einnahmen">
      <formula>NOT(ISERROR(SEARCH("Einnahmen",K2)))</formula>
    </cfRule>
    <cfRule type="containsText" priority="1420" operator="containsText" dxfId="0" text="Ausgaben">
      <formula>NOT(ISERROR(SEARCH("Ausgaben",K2)))</formula>
    </cfRule>
  </conditionalFormatting>
  <conditionalFormatting sqref="K3">
    <cfRule type="containsText" priority="1417" operator="containsText" dxfId="1" text="Einnahmen">
      <formula>NOT(ISERROR(SEARCH("Einnahmen",K3)))</formula>
    </cfRule>
    <cfRule type="containsText" priority="1418" operator="containsText" dxfId="0" text="Ausgaben">
      <formula>NOT(ISERROR(SEARCH("Ausgaben",K3)))</formula>
    </cfRule>
  </conditionalFormatting>
  <conditionalFormatting sqref="K4">
    <cfRule type="containsText" priority="1415" operator="containsText" dxfId="1" text="Einnahmen">
      <formula>NOT(ISERROR(SEARCH("Einnahmen",K4)))</formula>
    </cfRule>
    <cfRule type="containsText" priority="1416" operator="containsText" dxfId="0" text="Ausgaben">
      <formula>NOT(ISERROR(SEARCH("Ausgaben",K4)))</formula>
    </cfRule>
  </conditionalFormatting>
  <conditionalFormatting sqref="K5">
    <cfRule type="containsText" priority="1413" operator="containsText" dxfId="1" text="Einnahmen">
      <formula>NOT(ISERROR(SEARCH("Einnahmen",K5)))</formula>
    </cfRule>
    <cfRule type="containsText" priority="1414" operator="containsText" dxfId="0" text="Ausgaben">
      <formula>NOT(ISERROR(SEARCH("Ausgaben",K5)))</formula>
    </cfRule>
  </conditionalFormatting>
  <conditionalFormatting sqref="K6">
    <cfRule type="containsText" priority="1411" operator="containsText" dxfId="1" text="Einnahmen">
      <formula>NOT(ISERROR(SEARCH("Einnahmen",K6)))</formula>
    </cfRule>
    <cfRule type="containsText" priority="1412" operator="containsText" dxfId="0" text="Ausgaben">
      <formula>NOT(ISERROR(SEARCH("Ausgaben",K6)))</formula>
    </cfRule>
  </conditionalFormatting>
  <conditionalFormatting sqref="K7">
    <cfRule type="containsText" priority="1409" operator="containsText" dxfId="1" text="Einnahmen">
      <formula>NOT(ISERROR(SEARCH("Einnahmen",K7)))</formula>
    </cfRule>
    <cfRule type="containsText" priority="1410" operator="containsText" dxfId="0" text="Ausgaben">
      <formula>NOT(ISERROR(SEARCH("Ausgaben",K7)))</formula>
    </cfRule>
  </conditionalFormatting>
  <conditionalFormatting sqref="K8">
    <cfRule type="containsText" priority="1407" operator="containsText" dxfId="1" text="Einnahmen">
      <formula>NOT(ISERROR(SEARCH("Einnahmen",K8)))</formula>
    </cfRule>
    <cfRule type="containsText" priority="1408" operator="containsText" dxfId="0" text="Ausgaben">
      <formula>NOT(ISERROR(SEARCH("Ausgaben",K8)))</formula>
    </cfRule>
    <cfRule type="containsText" priority="1405" operator="containsText" dxfId="1" text="Einnahmen">
      <formula>NOT(ISERROR(SEARCH("Einnahmen",K8)))</formula>
    </cfRule>
    <cfRule type="containsText" priority="1406" operator="containsText" dxfId="0" text="Ausgaben">
      <formula>NOT(ISERROR(SEARCH("Ausgaben",K8)))</formula>
    </cfRule>
  </conditionalFormatting>
  <conditionalFormatting sqref="K9:K10">
    <cfRule type="containsText" priority="1403" operator="containsText" dxfId="1" text="Einnahmen">
      <formula>NOT(ISERROR(SEARCH("Einnahmen",K9)))</formula>
    </cfRule>
    <cfRule type="containsText" priority="1404" operator="containsText" dxfId="0" text="Ausgaben">
      <formula>NOT(ISERROR(SEARCH("Ausgaben",K9)))</formula>
    </cfRule>
  </conditionalFormatting>
  <conditionalFormatting sqref="K12">
    <cfRule type="containsText" priority="1401" operator="containsText" dxfId="1" text="Einnahmen">
      <formula>NOT(ISERROR(SEARCH("Einnahmen",K12)))</formula>
    </cfRule>
    <cfRule type="containsText" priority="1402" operator="containsText" dxfId="0" text="Ausgaben">
      <formula>NOT(ISERROR(SEARCH("Ausgaben",K12)))</formula>
    </cfRule>
    <cfRule type="containsText" priority="1399" operator="containsText" dxfId="1" text="Einnahmen">
      <formula>NOT(ISERROR(SEARCH("Einnahmen",K12)))</formula>
    </cfRule>
    <cfRule type="containsText" priority="1400" operator="containsText" dxfId="0" text="Ausgaben">
      <formula>NOT(ISERROR(SEARCH("Ausgaben",K12)))</formula>
    </cfRule>
  </conditionalFormatting>
  <conditionalFormatting sqref="K14">
    <cfRule type="containsText" priority="1397" operator="containsText" dxfId="1" text="Einnahmen">
      <formula>NOT(ISERROR(SEARCH("Einnahmen",K14)))</formula>
    </cfRule>
    <cfRule type="containsText" priority="1398" operator="containsText" dxfId="0" text="Ausgaben">
      <formula>NOT(ISERROR(SEARCH("Ausgaben",K14)))</formula>
    </cfRule>
  </conditionalFormatting>
  <conditionalFormatting sqref="K16">
    <cfRule type="containsText" priority="1395" operator="containsText" dxfId="1" text="Einnahmen">
      <formula>NOT(ISERROR(SEARCH("Einnahmen",K16)))</formula>
    </cfRule>
    <cfRule type="containsText" priority="1396" operator="containsText" dxfId="0" text="Ausgaben">
      <formula>NOT(ISERROR(SEARCH("Ausgaben",K16)))</formula>
    </cfRule>
  </conditionalFormatting>
  <conditionalFormatting sqref="K17">
    <cfRule type="containsText" priority="1393" operator="containsText" dxfId="1" text="Einnahmen">
      <formula>NOT(ISERROR(SEARCH("Einnahmen",K17)))</formula>
    </cfRule>
    <cfRule type="containsText" priority="1394" operator="containsText" dxfId="0" text="Ausgaben">
      <formula>NOT(ISERROR(SEARCH("Ausgaben",K17)))</formula>
    </cfRule>
  </conditionalFormatting>
  <conditionalFormatting sqref="K18">
    <cfRule type="containsText" priority="1391" operator="containsText" dxfId="1" text="Einnahmen">
      <formula>NOT(ISERROR(SEARCH("Einnahmen",K18)))</formula>
    </cfRule>
    <cfRule type="containsText" priority="1392" operator="containsText" dxfId="0" text="Ausgaben">
      <formula>NOT(ISERROR(SEARCH("Ausgaben",K18)))</formula>
    </cfRule>
  </conditionalFormatting>
  <conditionalFormatting sqref="K19">
    <cfRule type="containsText" priority="1389" operator="containsText" dxfId="1" text="Einnahmen">
      <formula>NOT(ISERROR(SEARCH("Einnahmen",K19)))</formula>
    </cfRule>
    <cfRule type="containsText" priority="1390" operator="containsText" dxfId="0" text="Ausgaben">
      <formula>NOT(ISERROR(SEARCH("Ausgaben",K19)))</formula>
    </cfRule>
    <cfRule type="containsText" priority="1387" operator="containsText" dxfId="1" text="Einnahmen">
      <formula>NOT(ISERROR(SEARCH("Einnahmen",K19)))</formula>
    </cfRule>
    <cfRule type="containsText" priority="1388" operator="containsText" dxfId="0" text="Ausgaben">
      <formula>NOT(ISERROR(SEARCH("Ausgaben",K19)))</formula>
    </cfRule>
  </conditionalFormatting>
  <conditionalFormatting sqref="K20">
    <cfRule type="containsText" priority="1385" operator="containsText" dxfId="1" text="Einnahmen">
      <formula>NOT(ISERROR(SEARCH("Einnahmen",K20)))</formula>
    </cfRule>
    <cfRule type="containsText" priority="1386" operator="containsText" dxfId="0" text="Ausgaben">
      <formula>NOT(ISERROR(SEARCH("Ausgaben",K20)))</formula>
    </cfRule>
  </conditionalFormatting>
  <conditionalFormatting sqref="K21">
    <cfRule type="containsText" priority="1383" operator="containsText" dxfId="1" text="Einnahmen">
      <formula>NOT(ISERROR(SEARCH("Einnahmen",K21)))</formula>
    </cfRule>
    <cfRule type="containsText" priority="1384" operator="containsText" dxfId="0" text="Ausgaben">
      <formula>NOT(ISERROR(SEARCH("Ausgaben",K21)))</formula>
    </cfRule>
  </conditionalFormatting>
  <conditionalFormatting sqref="K22">
    <cfRule type="containsText" priority="1381" operator="containsText" dxfId="1" text="Einnahmen">
      <formula>NOT(ISERROR(SEARCH("Einnahmen",K22)))</formula>
    </cfRule>
    <cfRule type="containsText" priority="1382" operator="containsText" dxfId="0" text="Ausgaben">
      <formula>NOT(ISERROR(SEARCH("Ausgaben",K22)))</formula>
    </cfRule>
  </conditionalFormatting>
  <conditionalFormatting sqref="K23">
    <cfRule type="containsText" priority="1379" operator="containsText" dxfId="1" text="Einnahmen">
      <formula>NOT(ISERROR(SEARCH("Einnahmen",K23)))</formula>
    </cfRule>
    <cfRule type="containsText" priority="1380" operator="containsText" dxfId="0" text="Ausgaben">
      <formula>NOT(ISERROR(SEARCH("Ausgaben",K23)))</formula>
    </cfRule>
  </conditionalFormatting>
  <conditionalFormatting sqref="K24">
    <cfRule type="containsText" priority="1377" operator="containsText" dxfId="1" text="Einnahmen">
      <formula>NOT(ISERROR(SEARCH("Einnahmen",K24)))</formula>
    </cfRule>
    <cfRule type="containsText" priority="1378" operator="containsText" dxfId="0" text="Ausgaben">
      <formula>NOT(ISERROR(SEARCH("Ausgaben",K24)))</formula>
    </cfRule>
  </conditionalFormatting>
  <conditionalFormatting sqref="K26">
    <cfRule type="containsText" priority="1375" operator="containsText" dxfId="1" text="Einnahmen">
      <formula>NOT(ISERROR(SEARCH("Einnahmen",K26)))</formula>
    </cfRule>
    <cfRule type="containsText" priority="1376" operator="containsText" dxfId="0" text="Ausgaben">
      <formula>NOT(ISERROR(SEARCH("Ausgaben",K26)))</formula>
    </cfRule>
  </conditionalFormatting>
  <conditionalFormatting sqref="K27:K28">
    <cfRule type="containsText" priority="1373" operator="containsText" dxfId="1" text="Einnahmen">
      <formula>NOT(ISERROR(SEARCH("Einnahmen",K27)))</formula>
    </cfRule>
    <cfRule type="containsText" priority="1374" operator="containsText" dxfId="0" text="Ausgaben">
      <formula>NOT(ISERROR(SEARCH("Ausgaben",K27)))</formula>
    </cfRule>
    <cfRule type="containsText" priority="1371" operator="containsText" dxfId="1" text="Einnahmen">
      <formula>NOT(ISERROR(SEARCH("Einnahmen",K27)))</formula>
    </cfRule>
    <cfRule type="containsText" priority="1372" operator="containsText" dxfId="0" text="Ausgaben">
      <formula>NOT(ISERROR(SEARCH("Ausgaben",K27)))</formula>
    </cfRule>
  </conditionalFormatting>
  <conditionalFormatting sqref="K29">
    <cfRule type="containsText" priority="1369" operator="containsText" dxfId="1" text="Einnahmen">
      <formula>NOT(ISERROR(SEARCH("Einnahmen",K29)))</formula>
    </cfRule>
    <cfRule type="containsText" priority="1370" operator="containsText" dxfId="0" text="Ausgaben">
      <formula>NOT(ISERROR(SEARCH("Ausgaben",K29)))</formula>
    </cfRule>
    <cfRule type="containsText" priority="1367" operator="containsText" dxfId="1" text="Einnahmen">
      <formula>NOT(ISERROR(SEARCH("Einnahmen",K29)))</formula>
    </cfRule>
    <cfRule type="containsText" priority="1368" operator="containsText" dxfId="0" text="Ausgaben">
      <formula>NOT(ISERROR(SEARCH("Ausgaben",K29)))</formula>
    </cfRule>
  </conditionalFormatting>
  <conditionalFormatting sqref="K30">
    <cfRule type="containsText" priority="1365" operator="containsText" dxfId="1" text="Einnahmen">
      <formula>NOT(ISERROR(SEARCH("Einnahmen",K30)))</formula>
    </cfRule>
    <cfRule type="containsText" priority="1366" operator="containsText" dxfId="0" text="Ausgaben">
      <formula>NOT(ISERROR(SEARCH("Ausgaben",K30)))</formula>
    </cfRule>
  </conditionalFormatting>
  <conditionalFormatting sqref="K31:K32">
    <cfRule type="containsText" priority="1363" operator="containsText" dxfId="1" text="Einnahmen">
      <formula>NOT(ISERROR(SEARCH("Einnahmen",K31)))</formula>
    </cfRule>
    <cfRule type="containsText" priority="1364" operator="containsText" dxfId="0" text="Ausgaben">
      <formula>NOT(ISERROR(SEARCH("Ausgaben",K31)))</formula>
    </cfRule>
    <cfRule type="containsText" priority="1361" operator="containsText" dxfId="1" text="Einnahmen">
      <formula>NOT(ISERROR(SEARCH("Einnahmen",K31)))</formula>
    </cfRule>
    <cfRule type="containsText" priority="1362" operator="containsText" dxfId="0" text="Ausgaben">
      <formula>NOT(ISERROR(SEARCH("Ausgaben",K31)))</formula>
    </cfRule>
  </conditionalFormatting>
  <conditionalFormatting sqref="K33">
    <cfRule type="containsText" priority="1359" operator="containsText" dxfId="1" text="Einnahmen">
      <formula>NOT(ISERROR(SEARCH("Einnahmen",K33)))</formula>
    </cfRule>
    <cfRule type="containsText" priority="1360" operator="containsText" dxfId="0" text="Ausgaben">
      <formula>NOT(ISERROR(SEARCH("Ausgaben",K33)))</formula>
    </cfRule>
  </conditionalFormatting>
  <conditionalFormatting sqref="K32">
    <cfRule type="containsText" priority="1357" operator="containsText" dxfId="1" text="Einnahmen">
      <formula>NOT(ISERROR(SEARCH("Einnahmen",K32)))</formula>
    </cfRule>
    <cfRule type="containsText" priority="1358" operator="containsText" dxfId="0" text="Ausgaben">
      <formula>NOT(ISERROR(SEARCH("Ausgaben",K32)))</formula>
    </cfRule>
  </conditionalFormatting>
  <conditionalFormatting sqref="K34">
    <cfRule type="containsText" priority="1355" operator="containsText" dxfId="1" text="Einnahmen">
      <formula>NOT(ISERROR(SEARCH("Einnahmen",K34)))</formula>
    </cfRule>
    <cfRule type="containsText" priority="1356" operator="containsText" dxfId="0" text="Ausgaben">
      <formula>NOT(ISERROR(SEARCH("Ausgaben",K34)))</formula>
    </cfRule>
    <cfRule type="containsText" priority="1353" operator="containsText" dxfId="1" text="Einnahmen">
      <formula>NOT(ISERROR(SEARCH("Einnahmen",K34)))</formula>
    </cfRule>
    <cfRule type="containsText" priority="1354" operator="containsText" dxfId="0" text="Ausgaben">
      <formula>NOT(ISERROR(SEARCH("Ausgaben",K34)))</formula>
    </cfRule>
  </conditionalFormatting>
  <conditionalFormatting sqref="K35">
    <cfRule type="containsText" priority="1351" operator="containsText" dxfId="1" text="Einnahmen">
      <formula>NOT(ISERROR(SEARCH("Einnahmen",K35)))</formula>
    </cfRule>
    <cfRule type="containsText" priority="1352" operator="containsText" dxfId="0" text="Ausgaben">
      <formula>NOT(ISERROR(SEARCH("Ausgaben",K35)))</formula>
    </cfRule>
  </conditionalFormatting>
  <conditionalFormatting sqref="K36">
    <cfRule type="containsText" priority="1349" operator="containsText" dxfId="1" text="Einnahmen">
      <formula>NOT(ISERROR(SEARCH("Einnahmen",K36)))</formula>
    </cfRule>
    <cfRule type="containsText" priority="1350" operator="containsText" dxfId="0" text="Ausgaben">
      <formula>NOT(ISERROR(SEARCH("Ausgaben",K36)))</formula>
    </cfRule>
  </conditionalFormatting>
  <conditionalFormatting sqref="K37">
    <cfRule type="containsText" priority="1347" operator="containsText" dxfId="1" text="Einnahmen">
      <formula>NOT(ISERROR(SEARCH("Einnahmen",K37)))</formula>
    </cfRule>
    <cfRule type="containsText" priority="1348" operator="containsText" dxfId="0" text="Ausgaben">
      <formula>NOT(ISERROR(SEARCH("Ausgaben",K37)))</formula>
    </cfRule>
  </conditionalFormatting>
  <conditionalFormatting sqref="K38:K39">
    <cfRule type="containsText" priority="1345" operator="containsText" dxfId="1" text="Einnahmen">
      <formula>NOT(ISERROR(SEARCH("Einnahmen",K38)))</formula>
    </cfRule>
    <cfRule type="containsText" priority="1346" operator="containsText" dxfId="0" text="Ausgaben">
      <formula>NOT(ISERROR(SEARCH("Ausgaben",K38)))</formula>
    </cfRule>
    <cfRule type="containsText" priority="1343" operator="containsText" dxfId="1" text="Einnahmen">
      <formula>NOT(ISERROR(SEARCH("Einnahmen",K38)))</formula>
    </cfRule>
    <cfRule type="containsText" priority="1344" operator="containsText" dxfId="0" text="Ausgaben">
      <formula>NOT(ISERROR(SEARCH("Ausgaben",K38)))</formula>
    </cfRule>
  </conditionalFormatting>
  <conditionalFormatting sqref="K40">
    <cfRule type="containsText" priority="1341" operator="containsText" dxfId="1" text="Einnahmen">
      <formula>NOT(ISERROR(SEARCH("Einnahmen",K40)))</formula>
    </cfRule>
    <cfRule type="containsText" priority="1342" operator="containsText" dxfId="0" text="Ausgaben">
      <formula>NOT(ISERROR(SEARCH("Ausgaben",K40)))</formula>
    </cfRule>
  </conditionalFormatting>
  <conditionalFormatting sqref="K41">
    <cfRule type="containsText" priority="1339" operator="containsText" dxfId="1" text="Einnahmen">
      <formula>NOT(ISERROR(SEARCH("Einnahmen",K41)))</formula>
    </cfRule>
    <cfRule type="containsText" priority="1340" operator="containsText" dxfId="0" text="Ausgaben">
      <formula>NOT(ISERROR(SEARCH("Ausgaben",K41)))</formula>
    </cfRule>
  </conditionalFormatting>
  <conditionalFormatting sqref="K42">
    <cfRule type="containsText" priority="1337" operator="containsText" dxfId="1" text="Einnahmen">
      <formula>NOT(ISERROR(SEARCH("Einnahmen",K42)))</formula>
    </cfRule>
    <cfRule type="containsText" priority="1338" operator="containsText" dxfId="0" text="Ausgaben">
      <formula>NOT(ISERROR(SEARCH("Ausgaben",K42)))</formula>
    </cfRule>
  </conditionalFormatting>
  <conditionalFormatting sqref="K43">
    <cfRule type="containsText" priority="1335" operator="containsText" dxfId="1" text="Einnahmen">
      <formula>NOT(ISERROR(SEARCH("Einnahmen",K43)))</formula>
    </cfRule>
    <cfRule type="containsText" priority="1336" operator="containsText" dxfId="0" text="Ausgaben">
      <formula>NOT(ISERROR(SEARCH("Ausgaben",K43)))</formula>
    </cfRule>
  </conditionalFormatting>
  <conditionalFormatting sqref="K45">
    <cfRule type="containsText" priority="1333" operator="containsText" dxfId="1" text="Einnahmen">
      <formula>NOT(ISERROR(SEARCH("Einnahmen",K45)))</formula>
    </cfRule>
    <cfRule type="containsText" priority="1334" operator="containsText" dxfId="0" text="Ausgaben">
      <formula>NOT(ISERROR(SEARCH("Ausgaben",K45)))</formula>
    </cfRule>
  </conditionalFormatting>
  <conditionalFormatting sqref="K44:K45">
    <cfRule type="containsText" priority="1331" operator="containsText" dxfId="1" text="Einnahmen">
      <formula>NOT(ISERROR(SEARCH("Einnahmen",K44)))</formula>
    </cfRule>
    <cfRule type="containsText" priority="1332" operator="containsText" dxfId="0" text="Ausgaben">
      <formula>NOT(ISERROR(SEARCH("Ausgaben",K44)))</formula>
    </cfRule>
    <cfRule type="containsText" priority="1329" operator="containsText" dxfId="1" text="Einnahmen">
      <formula>NOT(ISERROR(SEARCH("Einnahmen",K44)))</formula>
    </cfRule>
    <cfRule type="containsText" priority="1330" operator="containsText" dxfId="0" text="Ausgaben">
      <formula>NOT(ISERROR(SEARCH("Ausgaben",K44)))</formula>
    </cfRule>
  </conditionalFormatting>
  <conditionalFormatting sqref="K46:K47">
    <cfRule type="containsText" priority="1327" operator="containsText" dxfId="1" text="Einnahmen">
      <formula>NOT(ISERROR(SEARCH("Einnahmen",K46)))</formula>
    </cfRule>
    <cfRule type="containsText" priority="1328" operator="containsText" dxfId="0" text="Ausgaben">
      <formula>NOT(ISERROR(SEARCH("Ausgaben",K46)))</formula>
    </cfRule>
  </conditionalFormatting>
  <conditionalFormatting sqref="K48">
    <cfRule type="containsText" priority="1325" operator="containsText" dxfId="1" text="Einnahmen">
      <formula>NOT(ISERROR(SEARCH("Einnahmen",K48)))</formula>
    </cfRule>
    <cfRule type="containsText" priority="1326" operator="containsText" dxfId="0" text="Ausgaben">
      <formula>NOT(ISERROR(SEARCH("Ausgaben",K48)))</formula>
    </cfRule>
  </conditionalFormatting>
  <conditionalFormatting sqref="K47">
    <cfRule type="containsText" priority="1323" operator="containsText" dxfId="1" text="Einnahmen">
      <formula>NOT(ISERROR(SEARCH("Einnahmen",K47)))</formula>
    </cfRule>
    <cfRule type="containsText" priority="1324" operator="containsText" dxfId="0" text="Ausgaben">
      <formula>NOT(ISERROR(SEARCH("Ausgaben",K47)))</formula>
    </cfRule>
  </conditionalFormatting>
  <conditionalFormatting sqref="K49">
    <cfRule type="containsText" priority="1321" operator="containsText" dxfId="1" text="Einnahmen">
      <formula>NOT(ISERROR(SEARCH("Einnahmen",K49)))</formula>
    </cfRule>
    <cfRule type="containsText" priority="1322" operator="containsText" dxfId="0" text="Ausgaben">
      <formula>NOT(ISERROR(SEARCH("Ausgaben",K49)))</formula>
    </cfRule>
  </conditionalFormatting>
  <conditionalFormatting sqref="K52:K54">
    <cfRule type="containsText" priority="1319" operator="containsText" dxfId="1" text="Einnahmen">
      <formula>NOT(ISERROR(SEARCH("Einnahmen",K52)))</formula>
    </cfRule>
    <cfRule type="containsText" priority="1320" operator="containsText" dxfId="0" text="Ausgaben">
      <formula>NOT(ISERROR(SEARCH("Ausgaben",K52)))</formula>
    </cfRule>
    <cfRule type="containsText" priority="1317" operator="containsText" dxfId="1" text="Einnahmen">
      <formula>NOT(ISERROR(SEARCH("Einnahmen",K52)))</formula>
    </cfRule>
    <cfRule type="containsText" priority="1318" operator="containsText" dxfId="0" text="Ausgaben">
      <formula>NOT(ISERROR(SEARCH("Ausgaben",K52)))</formula>
    </cfRule>
  </conditionalFormatting>
  <conditionalFormatting sqref="K50:K51">
    <cfRule type="containsText" priority="1315" operator="containsText" dxfId="1" text="Einnahmen">
      <formula>NOT(ISERROR(SEARCH("Einnahmen",K50)))</formula>
    </cfRule>
    <cfRule type="containsText" priority="1316" operator="containsText" dxfId="0" text="Ausgaben">
      <formula>NOT(ISERROR(SEARCH("Ausgaben",K50)))</formula>
    </cfRule>
    <cfRule type="containsText" priority="1313" operator="containsText" dxfId="1" text="Einnahmen">
      <formula>NOT(ISERROR(SEARCH("Einnahmen",K50)))</formula>
    </cfRule>
    <cfRule type="containsText" priority="1314" operator="containsText" dxfId="0" text="Ausgaben">
      <formula>NOT(ISERROR(SEARCH("Ausgaben",K50)))</formula>
    </cfRule>
  </conditionalFormatting>
  <conditionalFormatting sqref="K56">
    <cfRule type="containsText" priority="1311" operator="containsText" dxfId="1" text="Einnahmen">
      <formula>NOT(ISERROR(SEARCH("Einnahmen",K56)))</formula>
    </cfRule>
    <cfRule type="containsText" priority="1312" operator="containsText" dxfId="0" text="Ausgaben">
      <formula>NOT(ISERROR(SEARCH("Ausgaben",K56)))</formula>
    </cfRule>
  </conditionalFormatting>
  <conditionalFormatting sqref="K57">
    <cfRule type="containsText" priority="1309" operator="containsText" dxfId="1" text="Einnahmen">
      <formula>NOT(ISERROR(SEARCH("Einnahmen",K57)))</formula>
    </cfRule>
    <cfRule type="containsText" priority="1310" operator="containsText" dxfId="0" text="Ausgaben">
      <formula>NOT(ISERROR(SEARCH("Ausgaben",K57)))</formula>
    </cfRule>
  </conditionalFormatting>
  <conditionalFormatting sqref="K58 K66 K85">
    <cfRule type="containsText" priority="1307" operator="containsText" dxfId="1" text="Einnahmen">
      <formula>NOT(ISERROR(SEARCH("Einnahmen",K58)))</formula>
    </cfRule>
    <cfRule type="containsText" priority="1308" operator="containsText" dxfId="0" text="Ausgaben">
      <formula>NOT(ISERROR(SEARCH("Ausgaben",K58)))</formula>
    </cfRule>
  </conditionalFormatting>
  <conditionalFormatting sqref="K59">
    <cfRule type="containsText" priority="1305" operator="containsText" dxfId="1" text="Einnahmen">
      <formula>NOT(ISERROR(SEARCH("Einnahmen",K59)))</formula>
    </cfRule>
    <cfRule type="containsText" priority="1306" operator="containsText" dxfId="0" text="Ausgaben">
      <formula>NOT(ISERROR(SEARCH("Ausgaben",K59)))</formula>
    </cfRule>
  </conditionalFormatting>
  <conditionalFormatting sqref="K60">
    <cfRule type="containsText" priority="1303" operator="containsText" dxfId="1" text="Einnahmen">
      <formula>NOT(ISERROR(SEARCH("Einnahmen",K60)))</formula>
    </cfRule>
    <cfRule type="containsText" priority="1304" operator="containsText" dxfId="0" text="Ausgaben">
      <formula>NOT(ISERROR(SEARCH("Ausgaben",K60)))</formula>
    </cfRule>
  </conditionalFormatting>
  <conditionalFormatting sqref="K61">
    <cfRule type="containsText" priority="1301" operator="containsText" dxfId="1" text="Einnahmen">
      <formula>NOT(ISERROR(SEARCH("Einnahmen",K61)))</formula>
    </cfRule>
    <cfRule type="containsText" priority="1302" operator="containsText" dxfId="0" text="Ausgaben">
      <formula>NOT(ISERROR(SEARCH("Ausgaben",K61)))</formula>
    </cfRule>
    <cfRule type="containsText" priority="1299" operator="containsText" dxfId="1" text="Einnahmen">
      <formula>NOT(ISERROR(SEARCH("Einnahmen",K61)))</formula>
    </cfRule>
    <cfRule type="containsText" priority="1300" operator="containsText" dxfId="0" text="Ausgaben">
      <formula>NOT(ISERROR(SEARCH("Ausgaben",K61)))</formula>
    </cfRule>
  </conditionalFormatting>
  <conditionalFormatting sqref="K62">
    <cfRule type="containsText" priority="1297" operator="containsText" dxfId="1" text="Einnahmen">
      <formula>NOT(ISERROR(SEARCH("Einnahmen",K62)))</formula>
    </cfRule>
    <cfRule type="containsText" priority="1298" operator="containsText" dxfId="0" text="Ausgaben">
      <formula>NOT(ISERROR(SEARCH("Ausgaben",K62)))</formula>
    </cfRule>
  </conditionalFormatting>
  <conditionalFormatting sqref="K63">
    <cfRule type="containsText" priority="1295" operator="containsText" dxfId="1" text="Einnahmen">
      <formula>NOT(ISERROR(SEARCH("Einnahmen",K63)))</formula>
    </cfRule>
    <cfRule type="containsText" priority="1296" operator="containsText" dxfId="0" text="Ausgaben">
      <formula>NOT(ISERROR(SEARCH("Ausgaben",K63)))</formula>
    </cfRule>
  </conditionalFormatting>
  <conditionalFormatting sqref="K64">
    <cfRule type="containsText" priority="1293" operator="containsText" dxfId="1" text="Einnahmen">
      <formula>NOT(ISERROR(SEARCH("Einnahmen",K64)))</formula>
    </cfRule>
    <cfRule type="containsText" priority="1294" operator="containsText" dxfId="0" text="Ausgaben">
      <formula>NOT(ISERROR(SEARCH("Ausgaben",K64)))</formula>
    </cfRule>
  </conditionalFormatting>
  <conditionalFormatting sqref="K65">
    <cfRule type="containsText" priority="1291" operator="containsText" dxfId="1" text="Einnahmen">
      <formula>NOT(ISERROR(SEARCH("Einnahmen",K65)))</formula>
    </cfRule>
    <cfRule type="containsText" priority="1292" operator="containsText" dxfId="0" text="Ausgaben">
      <formula>NOT(ISERROR(SEARCH("Ausgaben",K65)))</formula>
    </cfRule>
  </conditionalFormatting>
  <conditionalFormatting sqref="K67">
    <cfRule type="containsText" priority="1289" operator="containsText" dxfId="1" text="Einnahmen">
      <formula>NOT(ISERROR(SEARCH("Einnahmen",K67)))</formula>
    </cfRule>
    <cfRule type="containsText" priority="1290" operator="containsText" dxfId="0" text="Ausgaben">
      <formula>NOT(ISERROR(SEARCH("Ausgaben",K67)))</formula>
    </cfRule>
    <cfRule type="containsText" priority="1287" operator="containsText" dxfId="1" text="Einnahmen">
      <formula>NOT(ISERROR(SEARCH("Einnahmen",K67)))</formula>
    </cfRule>
    <cfRule type="containsText" priority="1288" operator="containsText" dxfId="0" text="Ausgaben">
      <formula>NOT(ISERROR(SEARCH("Ausgaben",K67)))</formula>
    </cfRule>
    <cfRule type="containsText" priority="1285" operator="containsText" dxfId="1" text="Einnahmen">
      <formula>NOT(ISERROR(SEARCH("Einnahmen",K67)))</formula>
    </cfRule>
    <cfRule type="containsText" priority="1286" operator="containsText" dxfId="0" text="Ausgaben">
      <formula>NOT(ISERROR(SEARCH("Ausgaben",K67)))</formula>
    </cfRule>
  </conditionalFormatting>
  <conditionalFormatting sqref="K68">
    <cfRule type="containsText" priority="1283" operator="containsText" dxfId="1" text="Einnahmen">
      <formula>NOT(ISERROR(SEARCH("Einnahmen",K68)))</formula>
    </cfRule>
    <cfRule type="containsText" priority="1284" operator="containsText" dxfId="0" text="Ausgaben">
      <formula>NOT(ISERROR(SEARCH("Ausgaben",K68)))</formula>
    </cfRule>
  </conditionalFormatting>
  <conditionalFormatting sqref="K69">
    <cfRule type="containsText" priority="1281" operator="containsText" dxfId="1" text="Einnahmen">
      <formula>NOT(ISERROR(SEARCH("Einnahmen",K69)))</formula>
    </cfRule>
    <cfRule type="containsText" priority="1282" operator="containsText" dxfId="0" text="Ausgaben">
      <formula>NOT(ISERROR(SEARCH("Ausgaben",K69)))</formula>
    </cfRule>
  </conditionalFormatting>
  <conditionalFormatting sqref="K70">
    <cfRule type="containsText" priority="1279" operator="containsText" dxfId="1" text="Einnahmen">
      <formula>NOT(ISERROR(SEARCH("Einnahmen",K70)))</formula>
    </cfRule>
    <cfRule type="containsText" priority="1280" operator="containsText" dxfId="0" text="Ausgaben">
      <formula>NOT(ISERROR(SEARCH("Ausgaben",K70)))</formula>
    </cfRule>
    <cfRule type="containsText" priority="1277" operator="containsText" dxfId="1" text="Einnahmen">
      <formula>NOT(ISERROR(SEARCH("Einnahmen",K70)))</formula>
    </cfRule>
    <cfRule type="containsText" priority="1278" operator="containsText" dxfId="0" text="Ausgaben">
      <formula>NOT(ISERROR(SEARCH("Ausgaben",K70)))</formula>
    </cfRule>
  </conditionalFormatting>
  <conditionalFormatting sqref="K71">
    <cfRule type="containsText" priority="1275" operator="containsText" dxfId="1" text="Einnahmen">
      <formula>NOT(ISERROR(SEARCH("Einnahmen",K71)))</formula>
    </cfRule>
    <cfRule type="containsText" priority="1276" operator="containsText" dxfId="0" text="Ausgaben">
      <formula>NOT(ISERROR(SEARCH("Ausgaben",K71)))</formula>
    </cfRule>
  </conditionalFormatting>
  <conditionalFormatting sqref="K72">
    <cfRule type="containsText" priority="1273" operator="containsText" dxfId="1" text="Einnahmen">
      <formula>NOT(ISERROR(SEARCH("Einnahmen",K72)))</formula>
    </cfRule>
    <cfRule type="containsText" priority="1274" operator="containsText" dxfId="0" text="Ausgaben">
      <formula>NOT(ISERROR(SEARCH("Ausgaben",K72)))</formula>
    </cfRule>
    <cfRule type="containsText" priority="1271" operator="containsText" dxfId="1" text="Einnahmen">
      <formula>NOT(ISERROR(SEARCH("Einnahmen",K72)))</formula>
    </cfRule>
    <cfRule type="containsText" priority="1272" operator="containsText" dxfId="0" text="Ausgaben">
      <formula>NOT(ISERROR(SEARCH("Ausgaben",K72)))</formula>
    </cfRule>
  </conditionalFormatting>
  <conditionalFormatting sqref="K73">
    <cfRule type="containsText" priority="1269" operator="containsText" dxfId="1" text="Einnahmen">
      <formula>NOT(ISERROR(SEARCH("Einnahmen",K73)))</formula>
    </cfRule>
    <cfRule type="containsText" priority="1270" operator="containsText" dxfId="0" text="Ausgaben">
      <formula>NOT(ISERROR(SEARCH("Ausgaben",K73)))</formula>
    </cfRule>
  </conditionalFormatting>
  <conditionalFormatting sqref="K74">
    <cfRule type="containsText" priority="1267" operator="containsText" dxfId="1" text="Einnahmen">
      <formula>NOT(ISERROR(SEARCH("Einnahmen",K74)))</formula>
    </cfRule>
    <cfRule type="containsText" priority="1268" operator="containsText" dxfId="0" text="Ausgaben">
      <formula>NOT(ISERROR(SEARCH("Ausgaben",K74)))</formula>
    </cfRule>
    <cfRule type="containsText" priority="1265" operator="containsText" dxfId="1" text="Einnahmen">
      <formula>NOT(ISERROR(SEARCH("Einnahmen",K74)))</formula>
    </cfRule>
    <cfRule type="containsText" priority="1266" operator="containsText" dxfId="0" text="Ausgaben">
      <formula>NOT(ISERROR(SEARCH("Ausgaben",K74)))</formula>
    </cfRule>
  </conditionalFormatting>
  <conditionalFormatting sqref="K75">
    <cfRule type="containsText" priority="1263" operator="containsText" dxfId="1" text="Einnahmen">
      <formula>NOT(ISERROR(SEARCH("Einnahmen",K75)))</formula>
    </cfRule>
    <cfRule type="containsText" priority="1264" operator="containsText" dxfId="0" text="Ausgaben">
      <formula>NOT(ISERROR(SEARCH("Ausgaben",K75)))</formula>
    </cfRule>
  </conditionalFormatting>
  <conditionalFormatting sqref="K76">
    <cfRule type="containsText" priority="1261" operator="containsText" dxfId="1" text="Einnahmen">
      <formula>NOT(ISERROR(SEARCH("Einnahmen",K76)))</formula>
    </cfRule>
    <cfRule type="containsText" priority="1262" operator="containsText" dxfId="0" text="Ausgaben">
      <formula>NOT(ISERROR(SEARCH("Ausgaben",K76)))</formula>
    </cfRule>
  </conditionalFormatting>
  <conditionalFormatting sqref="K77">
    <cfRule type="containsText" priority="1259" operator="containsText" dxfId="1" text="Einnahmen">
      <formula>NOT(ISERROR(SEARCH("Einnahmen",K77)))</formula>
    </cfRule>
    <cfRule type="containsText" priority="1260" operator="containsText" dxfId="0" text="Ausgaben">
      <formula>NOT(ISERROR(SEARCH("Ausgaben",K77)))</formula>
    </cfRule>
  </conditionalFormatting>
  <conditionalFormatting sqref="K78">
    <cfRule type="containsText" priority="1257" operator="containsText" dxfId="1" text="Einnahmen">
      <formula>NOT(ISERROR(SEARCH("Einnahmen",K78)))</formula>
    </cfRule>
    <cfRule type="containsText" priority="1258" operator="containsText" dxfId="0" text="Ausgaben">
      <formula>NOT(ISERROR(SEARCH("Ausgaben",K78)))</formula>
    </cfRule>
  </conditionalFormatting>
  <conditionalFormatting sqref="K79">
    <cfRule type="containsText" priority="1255" operator="containsText" dxfId="1" text="Einnahmen">
      <formula>NOT(ISERROR(SEARCH("Einnahmen",K79)))</formula>
    </cfRule>
    <cfRule type="containsText" priority="1256" operator="containsText" dxfId="0" text="Ausgaben">
      <formula>NOT(ISERROR(SEARCH("Ausgaben",K79)))</formula>
    </cfRule>
  </conditionalFormatting>
  <conditionalFormatting sqref="K80">
    <cfRule type="containsText" priority="1253" operator="containsText" dxfId="1" text="Einnahmen">
      <formula>NOT(ISERROR(SEARCH("Einnahmen",K80)))</formula>
    </cfRule>
    <cfRule type="containsText" priority="1254" operator="containsText" dxfId="0" text="Ausgaben">
      <formula>NOT(ISERROR(SEARCH("Ausgaben",K80)))</formula>
    </cfRule>
  </conditionalFormatting>
  <conditionalFormatting sqref="K81">
    <cfRule type="containsText" priority="1251" operator="containsText" dxfId="1" text="Einnahmen">
      <formula>NOT(ISERROR(SEARCH("Einnahmen",K81)))</formula>
    </cfRule>
    <cfRule type="containsText" priority="1252" operator="containsText" dxfId="0" text="Ausgaben">
      <formula>NOT(ISERROR(SEARCH("Ausgaben",K81)))</formula>
    </cfRule>
    <cfRule type="containsText" priority="1249" operator="containsText" dxfId="1" text="Einnahmen">
      <formula>NOT(ISERROR(SEARCH("Einnahmen",K81)))</formula>
    </cfRule>
    <cfRule type="containsText" priority="1250" operator="containsText" dxfId="0" text="Ausgaben">
      <formula>NOT(ISERROR(SEARCH("Ausgaben",K81)))</formula>
    </cfRule>
  </conditionalFormatting>
  <conditionalFormatting sqref="K82">
    <cfRule type="containsText" priority="1247" operator="containsText" dxfId="1" text="Einnahmen">
      <formula>NOT(ISERROR(SEARCH("Einnahmen",K82)))</formula>
    </cfRule>
    <cfRule type="containsText" priority="1248" operator="containsText" dxfId="0" text="Ausgaben">
      <formula>NOT(ISERROR(SEARCH("Ausgaben",K82)))</formula>
    </cfRule>
  </conditionalFormatting>
  <conditionalFormatting sqref="K83">
    <cfRule type="containsText" priority="1245" operator="containsText" dxfId="1" text="Einnahmen">
      <formula>NOT(ISERROR(SEARCH("Einnahmen",K83)))</formula>
    </cfRule>
    <cfRule type="containsText" priority="1246" operator="containsText" dxfId="0" text="Ausgaben">
      <formula>NOT(ISERROR(SEARCH("Ausgaben",K83)))</formula>
    </cfRule>
    <cfRule type="containsText" priority="1243" operator="containsText" dxfId="1" text="Einnahmen">
      <formula>NOT(ISERROR(SEARCH("Einnahmen",K83)))</formula>
    </cfRule>
    <cfRule type="containsText" priority="1244" operator="containsText" dxfId="0" text="Ausgaben">
      <formula>NOT(ISERROR(SEARCH("Ausgaben",K83)))</formula>
    </cfRule>
    <cfRule type="containsText" priority="1241" operator="containsText" dxfId="1" text="Einnahmen">
      <formula>NOT(ISERROR(SEARCH("Einnahmen",K83)))</formula>
    </cfRule>
    <cfRule type="containsText" priority="1242" operator="containsText" dxfId="0" text="Ausgaben">
      <formula>NOT(ISERROR(SEARCH("Ausgaben",K83)))</formula>
    </cfRule>
  </conditionalFormatting>
  <conditionalFormatting sqref="K84 K96 K115">
    <cfRule type="containsText" priority="1239" operator="containsText" dxfId="1" text="Einnahmen">
      <formula>NOT(ISERROR(SEARCH("Einnahmen",K84)))</formula>
    </cfRule>
    <cfRule type="containsText" priority="1240" operator="containsText" dxfId="0" text="Ausgaben">
      <formula>NOT(ISERROR(SEARCH("Ausgaben",K84)))</formula>
    </cfRule>
  </conditionalFormatting>
  <conditionalFormatting sqref="K86">
    <cfRule type="containsText" priority="1237" operator="containsText" dxfId="1" text="Einnahmen">
      <formula>NOT(ISERROR(SEARCH("Einnahmen",K86)))</formula>
    </cfRule>
    <cfRule type="containsText" priority="1238" operator="containsText" dxfId="0" text="Ausgaben">
      <formula>NOT(ISERROR(SEARCH("Ausgaben",K86)))</formula>
    </cfRule>
  </conditionalFormatting>
  <conditionalFormatting sqref="K87">
    <cfRule type="containsText" priority="1235" operator="containsText" dxfId="1" text="Einnahmen">
      <formula>NOT(ISERROR(SEARCH("Einnahmen",K87)))</formula>
    </cfRule>
    <cfRule type="containsText" priority="1236" operator="containsText" dxfId="0" text="Ausgaben">
      <formula>NOT(ISERROR(SEARCH("Ausgaben",K87)))</formula>
    </cfRule>
    <cfRule type="containsText" priority="1233" operator="containsText" dxfId="1" text="Einnahmen">
      <formula>NOT(ISERROR(SEARCH("Einnahmen",K87)))</formula>
    </cfRule>
    <cfRule type="containsText" priority="1234" operator="containsText" dxfId="0" text="Ausgaben">
      <formula>NOT(ISERROR(SEARCH("Ausgaben",K87)))</formula>
    </cfRule>
  </conditionalFormatting>
  <conditionalFormatting sqref="K88">
    <cfRule type="containsText" priority="1231" operator="containsText" dxfId="1" text="Einnahmen">
      <formula>NOT(ISERROR(SEARCH("Einnahmen",K88)))</formula>
    </cfRule>
    <cfRule type="containsText" priority="1232" operator="containsText" dxfId="0" text="Ausgaben">
      <formula>NOT(ISERROR(SEARCH("Ausgaben",K88)))</formula>
    </cfRule>
  </conditionalFormatting>
  <conditionalFormatting sqref="K89">
    <cfRule type="containsText" priority="1229" operator="containsText" dxfId="1" text="Einnahmen">
      <formula>NOT(ISERROR(SEARCH("Einnahmen",K89)))</formula>
    </cfRule>
    <cfRule type="containsText" priority="1230" operator="containsText" dxfId="0" text="Ausgaben">
      <formula>NOT(ISERROR(SEARCH("Ausgaben",K89)))</formula>
    </cfRule>
    <cfRule type="containsText" priority="1227" operator="containsText" dxfId="1" text="Einnahmen">
      <formula>NOT(ISERROR(SEARCH("Einnahmen",K89)))</formula>
    </cfRule>
    <cfRule type="containsText" priority="1228" operator="containsText" dxfId="0" text="Ausgaben">
      <formula>NOT(ISERROR(SEARCH("Ausgaben",K89)))</formula>
    </cfRule>
  </conditionalFormatting>
  <conditionalFormatting sqref="K90">
    <cfRule type="containsText" priority="1225" operator="containsText" dxfId="1" text="Einnahmen">
      <formula>NOT(ISERROR(SEARCH("Einnahmen",K90)))</formula>
    </cfRule>
    <cfRule type="containsText" priority="1226" operator="containsText" dxfId="0" text="Ausgaben">
      <formula>NOT(ISERROR(SEARCH("Ausgaben",K90)))</formula>
    </cfRule>
    <cfRule type="containsText" priority="1223" operator="containsText" dxfId="1" text="Einnahmen">
      <formula>NOT(ISERROR(SEARCH("Einnahmen",K90)))</formula>
    </cfRule>
    <cfRule type="containsText" priority="1224" operator="containsText" dxfId="0" text="Ausgaben">
      <formula>NOT(ISERROR(SEARCH("Ausgaben",K90)))</formula>
    </cfRule>
  </conditionalFormatting>
  <conditionalFormatting sqref="K91">
    <cfRule type="containsText" priority="1221" operator="containsText" dxfId="1" text="Einnahmen">
      <formula>NOT(ISERROR(SEARCH("Einnahmen",K91)))</formula>
    </cfRule>
    <cfRule type="containsText" priority="1222" operator="containsText" dxfId="0" text="Ausgaben">
      <formula>NOT(ISERROR(SEARCH("Ausgaben",K91)))</formula>
    </cfRule>
  </conditionalFormatting>
  <conditionalFormatting sqref="K92">
    <cfRule type="containsText" priority="1219" operator="containsText" dxfId="1" text="Einnahmen">
      <formula>NOT(ISERROR(SEARCH("Einnahmen",K92)))</formula>
    </cfRule>
    <cfRule type="containsText" priority="1220" operator="containsText" dxfId="0" text="Ausgaben">
      <formula>NOT(ISERROR(SEARCH("Ausgaben",K92)))</formula>
    </cfRule>
  </conditionalFormatting>
  <conditionalFormatting sqref="K93">
    <cfRule type="containsText" priority="1217" operator="containsText" dxfId="1" text="Einnahmen">
      <formula>NOT(ISERROR(SEARCH("Einnahmen",K93)))</formula>
    </cfRule>
    <cfRule type="containsText" priority="1218" operator="containsText" dxfId="0" text="Ausgaben">
      <formula>NOT(ISERROR(SEARCH("Ausgaben",K93)))</formula>
    </cfRule>
  </conditionalFormatting>
  <conditionalFormatting sqref="K94">
    <cfRule type="containsText" priority="1215" operator="containsText" dxfId="1" text="Einnahmen">
      <formula>NOT(ISERROR(SEARCH("Einnahmen",K94)))</formula>
    </cfRule>
    <cfRule type="containsText" priority="1216" operator="containsText" dxfId="0" text="Ausgaben">
      <formula>NOT(ISERROR(SEARCH("Ausgaben",K94)))</formula>
    </cfRule>
  </conditionalFormatting>
  <conditionalFormatting sqref="K95">
    <cfRule type="containsText" priority="1213" operator="containsText" dxfId="1" text="Einnahmen">
      <formula>NOT(ISERROR(SEARCH("Einnahmen",K95)))</formula>
    </cfRule>
    <cfRule type="containsText" priority="1214" operator="containsText" dxfId="0" text="Ausgaben">
      <formula>NOT(ISERROR(SEARCH("Ausgaben",K95)))</formula>
    </cfRule>
  </conditionalFormatting>
  <conditionalFormatting sqref="K97">
    <cfRule type="containsText" priority="1211" operator="containsText" dxfId="1" text="Einnahmen">
      <formula>NOT(ISERROR(SEARCH("Einnahmen",K97)))</formula>
    </cfRule>
    <cfRule type="containsText" priority="1212" operator="containsText" dxfId="0" text="Ausgaben">
      <formula>NOT(ISERROR(SEARCH("Ausgaben",K97)))</formula>
    </cfRule>
    <cfRule type="containsText" priority="1209" operator="containsText" dxfId="1" text="Einnahmen">
      <formula>NOT(ISERROR(SEARCH("Einnahmen",K97)))</formula>
    </cfRule>
    <cfRule type="containsText" priority="1210" operator="containsText" dxfId="0" text="Ausgaben">
      <formula>NOT(ISERROR(SEARCH("Ausgaben",K97)))</formula>
    </cfRule>
    <cfRule type="containsText" priority="1207" operator="containsText" dxfId="1" text="Einnahmen">
      <formula>NOT(ISERROR(SEARCH("Einnahmen",K97)))</formula>
    </cfRule>
    <cfRule type="containsText" priority="1208" operator="containsText" dxfId="0" text="Ausgaben">
      <formula>NOT(ISERROR(SEARCH("Ausgaben",K97)))</formula>
    </cfRule>
  </conditionalFormatting>
  <conditionalFormatting sqref="K98">
    <cfRule type="containsText" priority="1205" operator="containsText" dxfId="1" text="Einnahmen">
      <formula>NOT(ISERROR(SEARCH("Einnahmen",K98)))</formula>
    </cfRule>
    <cfRule type="containsText" priority="1206" operator="containsText" dxfId="0" text="Ausgaben">
      <formula>NOT(ISERROR(SEARCH("Ausgaben",K98)))</formula>
    </cfRule>
    <cfRule type="containsText" priority="1203" operator="containsText" dxfId="1" text="Einnahmen">
      <formula>NOT(ISERROR(SEARCH("Einnahmen",K98)))</formula>
    </cfRule>
    <cfRule type="containsText" priority="1204" operator="containsText" dxfId="0" text="Ausgaben">
      <formula>NOT(ISERROR(SEARCH("Ausgaben",K98)))</formula>
    </cfRule>
  </conditionalFormatting>
  <conditionalFormatting sqref="K99">
    <cfRule type="containsText" priority="1201" operator="containsText" dxfId="1" text="Einnahmen">
      <formula>NOT(ISERROR(SEARCH("Einnahmen",K99)))</formula>
    </cfRule>
    <cfRule type="containsText" priority="1202" operator="containsText" dxfId="0" text="Ausgaben">
      <formula>NOT(ISERROR(SEARCH("Ausgaben",K99)))</formula>
    </cfRule>
    <cfRule type="containsText" priority="1199" operator="containsText" dxfId="1" text="Einnahmen">
      <formula>NOT(ISERROR(SEARCH("Einnahmen",K99)))</formula>
    </cfRule>
    <cfRule type="containsText" priority="1200" operator="containsText" dxfId="0" text="Ausgaben">
      <formula>NOT(ISERROR(SEARCH("Ausgaben",K99)))</formula>
    </cfRule>
  </conditionalFormatting>
  <conditionalFormatting sqref="K100">
    <cfRule type="containsText" priority="1197" operator="containsText" dxfId="1" text="Einnahmen">
      <formula>NOT(ISERROR(SEARCH("Einnahmen",K100)))</formula>
    </cfRule>
    <cfRule type="containsText" priority="1198" operator="containsText" dxfId="0" text="Ausgaben">
      <formula>NOT(ISERROR(SEARCH("Ausgaben",K100)))</formula>
    </cfRule>
    <cfRule type="containsText" priority="1195" operator="containsText" dxfId="1" text="Einnahmen">
      <formula>NOT(ISERROR(SEARCH("Einnahmen",K100)))</formula>
    </cfRule>
    <cfRule type="containsText" priority="1196" operator="containsText" dxfId="0" text="Ausgaben">
      <formula>NOT(ISERROR(SEARCH("Ausgaben",K100)))</formula>
    </cfRule>
  </conditionalFormatting>
  <conditionalFormatting sqref="K101">
    <cfRule type="containsText" priority="1193" operator="containsText" dxfId="1" text="Einnahmen">
      <formula>NOT(ISERROR(SEARCH("Einnahmen",K101)))</formula>
    </cfRule>
    <cfRule type="containsText" priority="1194" operator="containsText" dxfId="0" text="Ausgaben">
      <formula>NOT(ISERROR(SEARCH("Ausgaben",K101)))</formula>
    </cfRule>
  </conditionalFormatting>
  <conditionalFormatting sqref="K102">
    <cfRule type="containsText" priority="1191" operator="containsText" dxfId="1" text="Einnahmen">
      <formula>NOT(ISERROR(SEARCH("Einnahmen",K102)))</formula>
    </cfRule>
    <cfRule type="containsText" priority="1192" operator="containsText" dxfId="0" text="Ausgaben">
      <formula>NOT(ISERROR(SEARCH("Ausgaben",K102)))</formula>
    </cfRule>
  </conditionalFormatting>
  <conditionalFormatting sqref="K103">
    <cfRule type="containsText" priority="1189" operator="containsText" dxfId="1" text="Einnahmen">
      <formula>NOT(ISERROR(SEARCH("Einnahmen",K103)))</formula>
    </cfRule>
    <cfRule type="containsText" priority="1190" operator="containsText" dxfId="0" text="Ausgaben">
      <formula>NOT(ISERROR(SEARCH("Ausgaben",K103)))</formula>
    </cfRule>
    <cfRule type="containsText" priority="1187" operator="containsText" dxfId="1" text="Einnahmen">
      <formula>NOT(ISERROR(SEARCH("Einnahmen",K103)))</formula>
    </cfRule>
    <cfRule type="containsText" priority="1188" operator="containsText" dxfId="0" text="Ausgaben">
      <formula>NOT(ISERROR(SEARCH("Ausgaben",K103)))</formula>
    </cfRule>
  </conditionalFormatting>
  <conditionalFormatting sqref="K104">
    <cfRule type="containsText" priority="1185" operator="containsText" dxfId="1" text="Einnahmen">
      <formula>NOT(ISERROR(SEARCH("Einnahmen",K104)))</formula>
    </cfRule>
    <cfRule type="containsText" priority="1186" operator="containsText" dxfId="0" text="Ausgaben">
      <formula>NOT(ISERROR(SEARCH("Ausgaben",K104)))</formula>
    </cfRule>
  </conditionalFormatting>
  <conditionalFormatting sqref="K105">
    <cfRule type="containsText" priority="1183" operator="containsText" dxfId="1" text="Einnahmen">
      <formula>NOT(ISERROR(SEARCH("Einnahmen",K105)))</formula>
    </cfRule>
    <cfRule type="containsText" priority="1184" operator="containsText" dxfId="0" text="Ausgaben">
      <formula>NOT(ISERROR(SEARCH("Ausgaben",K105)))</formula>
    </cfRule>
  </conditionalFormatting>
  <conditionalFormatting sqref="K106">
    <cfRule type="containsText" priority="1181" operator="containsText" dxfId="1" text="Einnahmen">
      <formula>NOT(ISERROR(SEARCH("Einnahmen",K106)))</formula>
    </cfRule>
    <cfRule type="containsText" priority="1182" operator="containsText" dxfId="0" text="Ausgaben">
      <formula>NOT(ISERROR(SEARCH("Ausgaben",K106)))</formula>
    </cfRule>
  </conditionalFormatting>
  <conditionalFormatting sqref="K107">
    <cfRule type="containsText" priority="1179" operator="containsText" dxfId="1" text="Einnahmen">
      <formula>NOT(ISERROR(SEARCH("Einnahmen",K107)))</formula>
    </cfRule>
    <cfRule type="containsText" priority="1180" operator="containsText" dxfId="0" text="Ausgaben">
      <formula>NOT(ISERROR(SEARCH("Ausgaben",K107)))</formula>
    </cfRule>
    <cfRule type="containsText" priority="1177" operator="containsText" dxfId="1" text="Einnahmen">
      <formula>NOT(ISERROR(SEARCH("Einnahmen",K107)))</formula>
    </cfRule>
    <cfRule type="containsText" priority="1178" operator="containsText" dxfId="0" text="Ausgaben">
      <formula>NOT(ISERROR(SEARCH("Ausgaben",K107)))</formula>
    </cfRule>
  </conditionalFormatting>
  <conditionalFormatting sqref="K108">
    <cfRule type="containsText" priority="1175" operator="containsText" dxfId="1" text="Einnahmen">
      <formula>NOT(ISERROR(SEARCH("Einnahmen",K108)))</formula>
    </cfRule>
    <cfRule type="containsText" priority="1176" operator="containsText" dxfId="0" text="Ausgaben">
      <formula>NOT(ISERROR(SEARCH("Ausgaben",K108)))</formula>
    </cfRule>
  </conditionalFormatting>
  <conditionalFormatting sqref="K109:K110">
    <cfRule type="containsText" priority="1173" operator="containsText" dxfId="1" text="Einnahmen">
      <formula>NOT(ISERROR(SEARCH("Einnahmen",K109)))</formula>
    </cfRule>
    <cfRule type="containsText" priority="1174" operator="containsText" dxfId="0" text="Ausgaben">
      <formula>NOT(ISERROR(SEARCH("Ausgaben",K109)))</formula>
    </cfRule>
    <cfRule type="containsText" priority="1171" operator="containsText" dxfId="1" text="Einnahmen">
      <formula>NOT(ISERROR(SEARCH("Einnahmen",K109)))</formula>
    </cfRule>
    <cfRule type="containsText" priority="1172" operator="containsText" dxfId="0" text="Ausgaben">
      <formula>NOT(ISERROR(SEARCH("Ausgaben",K109)))</formula>
    </cfRule>
  </conditionalFormatting>
  <conditionalFormatting sqref="K111">
    <cfRule type="containsText" priority="1169" operator="containsText" dxfId="1" text="Einnahmen">
      <formula>NOT(ISERROR(SEARCH("Einnahmen",K111)))</formula>
    </cfRule>
    <cfRule type="containsText" priority="1170" operator="containsText" dxfId="0" text="Ausgaben">
      <formula>NOT(ISERROR(SEARCH("Ausgaben",K111)))</formula>
    </cfRule>
  </conditionalFormatting>
  <conditionalFormatting sqref="K112">
    <cfRule type="containsText" priority="1167" operator="containsText" dxfId="1" text="Einnahmen">
      <formula>NOT(ISERROR(SEARCH("Einnahmen",K112)))</formula>
    </cfRule>
    <cfRule type="containsText" priority="1168" operator="containsText" dxfId="0" text="Ausgaben">
      <formula>NOT(ISERROR(SEARCH("Ausgaben",K112)))</formula>
    </cfRule>
  </conditionalFormatting>
  <conditionalFormatting sqref="K113">
    <cfRule type="containsText" priority="1165" operator="containsText" dxfId="1" text="Einnahmen">
      <formula>NOT(ISERROR(SEARCH("Einnahmen",K113)))</formula>
    </cfRule>
    <cfRule type="containsText" priority="1166" operator="containsText" dxfId="0" text="Ausgaben">
      <formula>NOT(ISERROR(SEARCH("Ausgaben",K113)))</formula>
    </cfRule>
  </conditionalFormatting>
  <conditionalFormatting sqref="K114">
    <cfRule type="containsText" priority="1163" operator="containsText" dxfId="1" text="Einnahmen">
      <formula>NOT(ISERROR(SEARCH("Einnahmen",K114)))</formula>
    </cfRule>
    <cfRule type="containsText" priority="1164" operator="containsText" dxfId="0" text="Ausgaben">
      <formula>NOT(ISERROR(SEARCH("Ausgaben",K114)))</formula>
    </cfRule>
  </conditionalFormatting>
  <conditionalFormatting sqref="K116">
    <cfRule type="containsText" priority="1161" operator="containsText" dxfId="1" text="Einnahmen">
      <formula>NOT(ISERROR(SEARCH("Einnahmen",K116)))</formula>
    </cfRule>
    <cfRule type="containsText" priority="1162" operator="containsText" dxfId="0" text="Ausgaben">
      <formula>NOT(ISERROR(SEARCH("Ausgaben",K116)))</formula>
    </cfRule>
    <cfRule type="containsText" priority="1159" operator="containsText" dxfId="1" text="Einnahmen">
      <formula>NOT(ISERROR(SEARCH("Einnahmen",K116)))</formula>
    </cfRule>
    <cfRule type="containsText" priority="1160" operator="containsText" dxfId="0" text="Ausgaben">
      <formula>NOT(ISERROR(SEARCH("Ausgaben",K116)))</formula>
    </cfRule>
    <cfRule type="containsText" priority="1157" operator="containsText" dxfId="1" text="Einnahmen">
      <formula>NOT(ISERROR(SEARCH("Einnahmen",K116)))</formula>
    </cfRule>
    <cfRule type="containsText" priority="1158" operator="containsText" dxfId="0" text="Ausgaben">
      <formula>NOT(ISERROR(SEARCH("Ausgaben",K116)))</formula>
    </cfRule>
  </conditionalFormatting>
  <conditionalFormatting sqref="K117">
    <cfRule type="containsText" priority="1155" operator="containsText" dxfId="1" text="Einnahmen">
      <formula>NOT(ISERROR(SEARCH("Einnahmen",K117)))</formula>
    </cfRule>
    <cfRule type="containsText" priority="1156" operator="containsText" dxfId="0" text="Ausgaben">
      <formula>NOT(ISERROR(SEARCH("Ausgaben",K117)))</formula>
    </cfRule>
  </conditionalFormatting>
  <conditionalFormatting sqref="K118">
    <cfRule type="containsText" priority="1153" operator="containsText" dxfId="1" text="Einnahmen">
      <formula>NOT(ISERROR(SEARCH("Einnahmen",K118)))</formula>
    </cfRule>
    <cfRule type="containsText" priority="1154" operator="containsText" dxfId="0" text="Ausgaben">
      <formula>NOT(ISERROR(SEARCH("Ausgaben",K118)))</formula>
    </cfRule>
    <cfRule type="containsText" priority="1151" operator="containsText" dxfId="1" text="Einnahmen">
      <formula>NOT(ISERROR(SEARCH("Einnahmen",K118)))</formula>
    </cfRule>
    <cfRule type="containsText" priority="1152" operator="containsText" dxfId="0" text="Ausgaben">
      <formula>NOT(ISERROR(SEARCH("Ausgaben",K118)))</formula>
    </cfRule>
  </conditionalFormatting>
  <conditionalFormatting sqref="K119">
    <cfRule type="containsText" priority="1149" operator="containsText" dxfId="1" text="Einnahmen">
      <formula>NOT(ISERROR(SEARCH("Einnahmen",K119)))</formula>
    </cfRule>
    <cfRule type="containsText" priority="1150" operator="containsText" dxfId="0" text="Ausgaben">
      <formula>NOT(ISERROR(SEARCH("Ausgaben",K119)))</formula>
    </cfRule>
  </conditionalFormatting>
  <conditionalFormatting sqref="K120">
    <cfRule type="containsText" priority="1147" operator="containsText" dxfId="1" text="Einnahmen">
      <formula>NOT(ISERROR(SEARCH("Einnahmen",K120)))</formula>
    </cfRule>
    <cfRule type="containsText" priority="1148" operator="containsText" dxfId="0" text="Ausgaben">
      <formula>NOT(ISERROR(SEARCH("Ausgaben",K120)))</formula>
    </cfRule>
  </conditionalFormatting>
  <conditionalFormatting sqref="K121">
    <cfRule type="containsText" priority="1145" operator="containsText" dxfId="1" text="Einnahmen">
      <formula>NOT(ISERROR(SEARCH("Einnahmen",K121)))</formula>
    </cfRule>
    <cfRule type="containsText" priority="1146" operator="containsText" dxfId="0" text="Ausgaben">
      <formula>NOT(ISERROR(SEARCH("Ausgaben",K121)))</formula>
    </cfRule>
    <cfRule type="containsText" priority="1143" operator="containsText" dxfId="1" text="Einnahmen">
      <formula>NOT(ISERROR(SEARCH("Einnahmen",K121)))</formula>
    </cfRule>
    <cfRule type="containsText" priority="1144" operator="containsText" dxfId="0" text="Ausgaben">
      <formula>NOT(ISERROR(SEARCH("Ausgaben",K121)))</formula>
    </cfRule>
  </conditionalFormatting>
  <conditionalFormatting sqref="K122">
    <cfRule type="containsText" priority="1141" operator="containsText" dxfId="1" text="Einnahmen">
      <formula>NOT(ISERROR(SEARCH("Einnahmen",K122)))</formula>
    </cfRule>
    <cfRule type="containsText" priority="1142" operator="containsText" dxfId="0" text="Ausgaben">
      <formula>NOT(ISERROR(SEARCH("Ausgaben",K122)))</formula>
    </cfRule>
    <cfRule type="containsText" priority="1139" operator="containsText" dxfId="1" text="Einnahmen">
      <formula>NOT(ISERROR(SEARCH("Einnahmen",K122)))</formula>
    </cfRule>
    <cfRule type="containsText" priority="1140" operator="containsText" dxfId="0" text="Ausgaben">
      <formula>NOT(ISERROR(SEARCH("Ausgaben",K122)))</formula>
    </cfRule>
  </conditionalFormatting>
  <conditionalFormatting sqref="K123">
    <cfRule type="containsText" priority="1137" operator="containsText" dxfId="1" text="Einnahmen">
      <formula>NOT(ISERROR(SEARCH("Einnahmen",K123)))</formula>
    </cfRule>
    <cfRule type="containsText" priority="1138" operator="containsText" dxfId="0" text="Ausgaben">
      <formula>NOT(ISERROR(SEARCH("Ausgaben",K123)))</formula>
    </cfRule>
  </conditionalFormatting>
  <conditionalFormatting sqref="K124">
    <cfRule type="containsText" priority="1135" operator="containsText" dxfId="1" text="Einnahmen">
      <formula>NOT(ISERROR(SEARCH("Einnahmen",K124)))</formula>
    </cfRule>
    <cfRule type="containsText" priority="1136" operator="containsText" dxfId="0" text="Ausgaben">
      <formula>NOT(ISERROR(SEARCH("Ausgaben",K124)))</formula>
    </cfRule>
  </conditionalFormatting>
  <conditionalFormatting sqref="K125">
    <cfRule type="containsText" priority="1133" operator="containsText" dxfId="1" text="Einnahmen">
      <formula>NOT(ISERROR(SEARCH("Einnahmen",K125)))</formula>
    </cfRule>
    <cfRule type="containsText" priority="1134" operator="containsText" dxfId="0" text="Ausgaben">
      <formula>NOT(ISERROR(SEARCH("Ausgaben",K125)))</formula>
    </cfRule>
  </conditionalFormatting>
  <conditionalFormatting sqref="K126">
    <cfRule type="containsText" priority="1131" operator="containsText" dxfId="1" text="Einnahmen">
      <formula>NOT(ISERROR(SEARCH("Einnahmen",K126)))</formula>
    </cfRule>
    <cfRule type="containsText" priority="1132" operator="containsText" dxfId="0" text="Ausgaben">
      <formula>NOT(ISERROR(SEARCH("Ausgaben",K126)))</formula>
    </cfRule>
  </conditionalFormatting>
  <conditionalFormatting sqref="K127">
    <cfRule type="containsText" priority="1129" operator="containsText" dxfId="1" text="Einnahmen">
      <formula>NOT(ISERROR(SEARCH("Einnahmen",K127)))</formula>
    </cfRule>
    <cfRule type="containsText" priority="1130" operator="containsText" dxfId="0" text="Ausgaben">
      <formula>NOT(ISERROR(SEARCH("Ausgaben",K127)))</formula>
    </cfRule>
  </conditionalFormatting>
  <conditionalFormatting sqref="K128">
    <cfRule type="containsText" priority="1127" operator="containsText" dxfId="1" text="Einnahmen">
      <formula>NOT(ISERROR(SEARCH("Einnahmen",K128)))</formula>
    </cfRule>
    <cfRule type="containsText" priority="1128" operator="containsText" dxfId="0" text="Ausgaben">
      <formula>NOT(ISERROR(SEARCH("Ausgaben",K128)))</formula>
    </cfRule>
  </conditionalFormatting>
  <conditionalFormatting sqref="K129">
    <cfRule type="containsText" priority="1125" operator="containsText" dxfId="1" text="Einnahmen">
      <formula>NOT(ISERROR(SEARCH("Einnahmen",K129)))</formula>
    </cfRule>
    <cfRule type="containsText" priority="1126" operator="containsText" dxfId="0" text="Ausgaben">
      <formula>NOT(ISERROR(SEARCH("Ausgaben",K129)))</formula>
    </cfRule>
    <cfRule type="containsText" priority="1123" operator="containsText" dxfId="1" text="Einnahmen">
      <formula>NOT(ISERROR(SEARCH("Einnahmen",K129)))</formula>
    </cfRule>
    <cfRule type="containsText" priority="1124" operator="containsText" dxfId="0" text="Ausgaben">
      <formula>NOT(ISERROR(SEARCH("Ausgaben",K129)))</formula>
    </cfRule>
    <cfRule type="containsText" priority="1121" operator="containsText" dxfId="1" text="Einnahmen">
      <formula>NOT(ISERROR(SEARCH("Einnahmen",K129)))</formula>
    </cfRule>
    <cfRule type="containsText" priority="1122" operator="containsText" dxfId="0" text="Ausgaben">
      <formula>NOT(ISERROR(SEARCH("Ausgaben",K129)))</formula>
    </cfRule>
  </conditionalFormatting>
  <conditionalFormatting sqref="K130">
    <cfRule type="containsText" priority="1119" operator="containsText" dxfId="1" text="Einnahmen">
      <formula>NOT(ISERROR(SEARCH("Einnahmen",K130)))</formula>
    </cfRule>
    <cfRule type="containsText" priority="1120" operator="containsText" dxfId="0" text="Ausgaben">
      <formula>NOT(ISERROR(SEARCH("Ausgaben",K130)))</formula>
    </cfRule>
  </conditionalFormatting>
  <conditionalFormatting sqref="K131">
    <cfRule type="containsText" priority="1117" operator="containsText" dxfId="1" text="Einnahmen">
      <formula>NOT(ISERROR(SEARCH("Einnahmen",K131)))</formula>
    </cfRule>
    <cfRule type="containsText" priority="1118" operator="containsText" dxfId="0" text="Ausgaben">
      <formula>NOT(ISERROR(SEARCH("Ausgaben",K131)))</formula>
    </cfRule>
    <cfRule type="containsText" priority="1115" operator="containsText" dxfId="1" text="Einnahmen">
      <formula>NOT(ISERROR(SEARCH("Einnahmen",K131)))</formula>
    </cfRule>
    <cfRule type="containsText" priority="1116" operator="containsText" dxfId="0" text="Ausgaben">
      <formula>NOT(ISERROR(SEARCH("Ausgaben",K131)))</formula>
    </cfRule>
  </conditionalFormatting>
  <conditionalFormatting sqref="K132">
    <cfRule type="containsText" priority="1113" operator="containsText" dxfId="1" text="Einnahmen">
      <formula>NOT(ISERROR(SEARCH("Einnahmen",K132)))</formula>
    </cfRule>
    <cfRule type="containsText" priority="1114" operator="containsText" dxfId="0" text="Ausgaben">
      <formula>NOT(ISERROR(SEARCH("Ausgaben",K132)))</formula>
    </cfRule>
  </conditionalFormatting>
  <conditionalFormatting sqref="K133">
    <cfRule type="containsText" priority="1111" operator="containsText" dxfId="1" text="Einnahmen">
      <formula>NOT(ISERROR(SEARCH("Einnahmen",K133)))</formula>
    </cfRule>
    <cfRule type="containsText" priority="1112" operator="containsText" dxfId="0" text="Ausgaben">
      <formula>NOT(ISERROR(SEARCH("Ausgaben",K133)))</formula>
    </cfRule>
    <cfRule type="containsText" priority="1109" operator="containsText" dxfId="1" text="Einnahmen">
      <formula>NOT(ISERROR(SEARCH("Einnahmen",K133)))</formula>
    </cfRule>
    <cfRule type="containsText" priority="1110" operator="containsText" dxfId="0" text="Ausgaben">
      <formula>NOT(ISERROR(SEARCH("Ausgaben",K133)))</formula>
    </cfRule>
  </conditionalFormatting>
  <conditionalFormatting sqref="K134">
    <cfRule type="containsText" priority="1107" operator="containsText" dxfId="1" text="Einnahmen">
      <formula>NOT(ISERROR(SEARCH("Einnahmen",K134)))</formula>
    </cfRule>
    <cfRule type="containsText" priority="1108" operator="containsText" dxfId="0" text="Ausgaben">
      <formula>NOT(ISERROR(SEARCH("Ausgaben",K134)))</formula>
    </cfRule>
    <cfRule type="containsText" priority="1105" operator="containsText" dxfId="1" text="Einnahmen">
      <formula>NOT(ISERROR(SEARCH("Einnahmen",K134)))</formula>
    </cfRule>
    <cfRule type="containsText" priority="1106" operator="containsText" dxfId="0" text="Ausgaben">
      <formula>NOT(ISERROR(SEARCH("Ausgaben",K134)))</formula>
    </cfRule>
  </conditionalFormatting>
  <conditionalFormatting sqref="K135">
    <cfRule type="containsText" priority="1103" operator="containsText" dxfId="1" text="Einnahmen">
      <formula>NOT(ISERROR(SEARCH("Einnahmen",K135)))</formula>
    </cfRule>
    <cfRule type="containsText" priority="1104" operator="containsText" dxfId="0" text="Ausgaben">
      <formula>NOT(ISERROR(SEARCH("Ausgaben",K135)))</formula>
    </cfRule>
  </conditionalFormatting>
  <conditionalFormatting sqref="K136">
    <cfRule type="containsText" priority="1101" operator="containsText" dxfId="1" text="Einnahmen">
      <formula>NOT(ISERROR(SEARCH("Einnahmen",K136)))</formula>
    </cfRule>
    <cfRule type="containsText" priority="1102" operator="containsText" dxfId="0" text="Ausgaben">
      <formula>NOT(ISERROR(SEARCH("Ausgaben",K136)))</formula>
    </cfRule>
  </conditionalFormatting>
  <conditionalFormatting sqref="K137">
    <cfRule type="containsText" priority="1099" operator="containsText" dxfId="1" text="Einnahmen">
      <formula>NOT(ISERROR(SEARCH("Einnahmen",K137)))</formula>
    </cfRule>
    <cfRule type="containsText" priority="1100" operator="containsText" dxfId="0" text="Ausgaben">
      <formula>NOT(ISERROR(SEARCH("Ausgaben",K137)))</formula>
    </cfRule>
  </conditionalFormatting>
  <conditionalFormatting sqref="K139">
    <cfRule type="containsText" priority="1097" operator="containsText" dxfId="1" text="Einnahmen">
      <formula>NOT(ISERROR(SEARCH("Einnahmen",K139)))</formula>
    </cfRule>
    <cfRule type="containsText" priority="1098" operator="containsText" dxfId="0" text="Ausgaben">
      <formula>NOT(ISERROR(SEARCH("Ausgaben",K139)))</formula>
    </cfRule>
    <cfRule type="containsText" priority="1095" operator="containsText" dxfId="1" text="Einnahmen">
      <formula>NOT(ISERROR(SEARCH("Einnahmen",K139)))</formula>
    </cfRule>
    <cfRule type="containsText" priority="1096" operator="containsText" dxfId="0" text="Ausgaben">
      <formula>NOT(ISERROR(SEARCH("Ausgaben",K139)))</formula>
    </cfRule>
  </conditionalFormatting>
  <conditionalFormatting sqref="K140">
    <cfRule type="containsText" priority="1093" operator="containsText" dxfId="1" text="Einnahmen">
      <formula>NOT(ISERROR(SEARCH("Einnahmen",K140)))</formula>
    </cfRule>
    <cfRule type="containsText" priority="1094" operator="containsText" dxfId="0" text="Ausgaben">
      <formula>NOT(ISERROR(SEARCH("Ausgaben",K140)))</formula>
    </cfRule>
  </conditionalFormatting>
  <conditionalFormatting sqref="K142">
    <cfRule type="containsText" priority="1091" operator="containsText" dxfId="1" text="Einnahmen">
      <formula>NOT(ISERROR(SEARCH("Einnahmen",K142)))</formula>
    </cfRule>
    <cfRule type="containsText" priority="1092" operator="containsText" dxfId="0" text="Ausgaben">
      <formula>NOT(ISERROR(SEARCH("Ausgaben",K142)))</formula>
    </cfRule>
  </conditionalFormatting>
  <conditionalFormatting sqref="K143">
    <cfRule type="containsText" priority="1089" operator="containsText" dxfId="1" text="Einnahmen">
      <formula>NOT(ISERROR(SEARCH("Einnahmen",K143)))</formula>
    </cfRule>
    <cfRule type="containsText" priority="1090" operator="containsText" dxfId="0" text="Ausgaben">
      <formula>NOT(ISERROR(SEARCH("Ausgaben",K143)))</formula>
    </cfRule>
  </conditionalFormatting>
  <conditionalFormatting sqref="K144">
    <cfRule type="containsText" priority="1087" operator="containsText" dxfId="1" text="Einnahmen">
      <formula>NOT(ISERROR(SEARCH("Einnahmen",K144)))</formula>
    </cfRule>
    <cfRule type="containsText" priority="1088" operator="containsText" dxfId="0" text="Ausgaben">
      <formula>NOT(ISERROR(SEARCH("Ausgaben",K144)))</formula>
    </cfRule>
  </conditionalFormatting>
  <conditionalFormatting sqref="K145">
    <cfRule type="containsText" priority="1085" operator="containsText" dxfId="1" text="Einnahmen">
      <formula>NOT(ISERROR(SEARCH("Einnahmen",K145)))</formula>
    </cfRule>
    <cfRule type="containsText" priority="1086" operator="containsText" dxfId="0" text="Ausgaben">
      <formula>NOT(ISERROR(SEARCH("Ausgaben",K145)))</formula>
    </cfRule>
    <cfRule type="containsText" priority="1083" operator="containsText" dxfId="1" text="Einnahmen">
      <formula>NOT(ISERROR(SEARCH("Einnahmen",K145)))</formula>
    </cfRule>
    <cfRule type="containsText" priority="1084" operator="containsText" dxfId="0" text="Ausgaben">
      <formula>NOT(ISERROR(SEARCH("Ausgaben",K145)))</formula>
    </cfRule>
    <cfRule type="containsText" priority="1081" operator="containsText" dxfId="1" text="Einnahmen">
      <formula>NOT(ISERROR(SEARCH("Einnahmen",K145)))</formula>
    </cfRule>
    <cfRule type="containsText" priority="1082" operator="containsText" dxfId="0" text="Ausgaben">
      <formula>NOT(ISERROR(SEARCH("Ausgaben",K145)))</formula>
    </cfRule>
  </conditionalFormatting>
  <conditionalFormatting sqref="K146">
    <cfRule type="containsText" priority="1079" operator="containsText" dxfId="1" text="Einnahmen">
      <formula>NOT(ISERROR(SEARCH("Einnahmen",K146)))</formula>
    </cfRule>
    <cfRule type="containsText" priority="1080" operator="containsText" dxfId="0" text="Ausgaben">
      <formula>NOT(ISERROR(SEARCH("Ausgaben",K146)))</formula>
    </cfRule>
    <cfRule type="containsText" priority="1077" operator="containsText" dxfId="1" text="Einnahmen">
      <formula>NOT(ISERROR(SEARCH("Einnahmen",K146)))</formula>
    </cfRule>
    <cfRule type="containsText" priority="1078" operator="containsText" dxfId="0" text="Ausgaben">
      <formula>NOT(ISERROR(SEARCH("Ausgaben",K146)))</formula>
    </cfRule>
  </conditionalFormatting>
  <conditionalFormatting sqref="K147">
    <cfRule type="containsText" priority="1075" operator="containsText" dxfId="1" text="Einnahmen">
      <formula>NOT(ISERROR(SEARCH("Einnahmen",K147)))</formula>
    </cfRule>
    <cfRule type="containsText" priority="1076" operator="containsText" dxfId="0" text="Ausgaben">
      <formula>NOT(ISERROR(SEARCH("Ausgaben",K147)))</formula>
    </cfRule>
  </conditionalFormatting>
  <conditionalFormatting sqref="K148">
    <cfRule type="containsText" priority="1073" operator="containsText" dxfId="1" text="Einnahmen">
      <formula>NOT(ISERROR(SEARCH("Einnahmen",K148)))</formula>
    </cfRule>
    <cfRule type="containsText" priority="1074" operator="containsText" dxfId="0" text="Ausgaben">
      <formula>NOT(ISERROR(SEARCH("Ausgaben",K148)))</formula>
    </cfRule>
    <cfRule type="containsText" priority="1071" operator="containsText" dxfId="1" text="Einnahmen">
      <formula>NOT(ISERROR(SEARCH("Einnahmen",K148)))</formula>
    </cfRule>
    <cfRule type="containsText" priority="1072" operator="containsText" dxfId="0" text="Ausgaben">
      <formula>NOT(ISERROR(SEARCH("Ausgaben",K148)))</formula>
    </cfRule>
  </conditionalFormatting>
  <conditionalFormatting sqref="K149">
    <cfRule type="containsText" priority="1069" operator="containsText" dxfId="1" text="Einnahmen">
      <formula>NOT(ISERROR(SEARCH("Einnahmen",K149)))</formula>
    </cfRule>
    <cfRule type="containsText" priority="1070" operator="containsText" dxfId="0" text="Ausgaben">
      <formula>NOT(ISERROR(SEARCH("Ausgaben",K149)))</formula>
    </cfRule>
    <cfRule type="containsText" priority="1067" operator="containsText" dxfId="1" text="Einnahmen">
      <formula>NOT(ISERROR(SEARCH("Einnahmen",K149)))</formula>
    </cfRule>
    <cfRule type="containsText" priority="1068" operator="containsText" dxfId="0" text="Ausgaben">
      <formula>NOT(ISERROR(SEARCH("Ausgaben",K149)))</formula>
    </cfRule>
  </conditionalFormatting>
  <conditionalFormatting sqref="K150">
    <cfRule type="containsText" priority="1065" operator="containsText" dxfId="1" text="Einnahmen">
      <formula>NOT(ISERROR(SEARCH("Einnahmen",K150)))</formula>
    </cfRule>
    <cfRule type="containsText" priority="1066" operator="containsText" dxfId="0" text="Ausgaben">
      <formula>NOT(ISERROR(SEARCH("Ausgaben",K150)))</formula>
    </cfRule>
  </conditionalFormatting>
  <conditionalFormatting sqref="K151">
    <cfRule type="containsText" priority="1063" operator="containsText" dxfId="1" text="Einnahmen">
      <formula>NOT(ISERROR(SEARCH("Einnahmen",K151)))</formula>
    </cfRule>
    <cfRule type="containsText" priority="1064" operator="containsText" dxfId="0" text="Ausgaben">
      <formula>NOT(ISERROR(SEARCH("Ausgaben",K151)))</formula>
    </cfRule>
  </conditionalFormatting>
  <conditionalFormatting sqref="K152">
    <cfRule type="containsText" priority="1061" operator="containsText" dxfId="1" text="Einnahmen">
      <formula>NOT(ISERROR(SEARCH("Einnahmen",K152)))</formula>
    </cfRule>
    <cfRule type="containsText" priority="1062" operator="containsText" dxfId="0" text="Ausgaben">
      <formula>NOT(ISERROR(SEARCH("Ausgaben",K152)))</formula>
    </cfRule>
  </conditionalFormatting>
  <conditionalFormatting sqref="K153">
    <cfRule type="containsText" priority="1059" operator="containsText" dxfId="1" text="Einnahmen">
      <formula>NOT(ISERROR(SEARCH("Einnahmen",K153)))</formula>
    </cfRule>
    <cfRule type="containsText" priority="1060" operator="containsText" dxfId="0" text="Ausgaben">
      <formula>NOT(ISERROR(SEARCH("Ausgaben",K153)))</formula>
    </cfRule>
  </conditionalFormatting>
  <conditionalFormatting sqref="K154">
    <cfRule type="containsText" priority="1057" operator="containsText" dxfId="1" text="Einnahmen">
      <formula>NOT(ISERROR(SEARCH("Einnahmen",K154)))</formula>
    </cfRule>
    <cfRule type="containsText" priority="1058" operator="containsText" dxfId="0" text="Ausgaben">
      <formula>NOT(ISERROR(SEARCH("Ausgaben",K154)))</formula>
    </cfRule>
  </conditionalFormatting>
  <conditionalFormatting sqref="K155">
    <cfRule type="containsText" priority="1055" operator="containsText" dxfId="1" text="Einnahmen">
      <formula>NOT(ISERROR(SEARCH("Einnahmen",K155)))</formula>
    </cfRule>
    <cfRule type="containsText" priority="1056" operator="containsText" dxfId="0" text="Ausgaben">
      <formula>NOT(ISERROR(SEARCH("Ausgaben",K155)))</formula>
    </cfRule>
  </conditionalFormatting>
  <conditionalFormatting sqref="K156">
    <cfRule type="containsText" priority="1053" operator="containsText" dxfId="1" text="Einnahmen">
      <formula>NOT(ISERROR(SEARCH("Einnahmen",K156)))</formula>
    </cfRule>
    <cfRule type="containsText" priority="1054" operator="containsText" dxfId="0" text="Ausgaben">
      <formula>NOT(ISERROR(SEARCH("Ausgaben",K156)))</formula>
    </cfRule>
    <cfRule type="containsText" priority="1051" operator="containsText" dxfId="1" text="Einnahmen">
      <formula>NOT(ISERROR(SEARCH("Einnahmen",K156)))</formula>
    </cfRule>
    <cfRule type="containsText" priority="1052" operator="containsText" dxfId="0" text="Ausgaben">
      <formula>NOT(ISERROR(SEARCH("Ausgaben",K156)))</formula>
    </cfRule>
  </conditionalFormatting>
  <conditionalFormatting sqref="K157">
    <cfRule type="containsText" priority="1049" operator="containsText" dxfId="1" text="Einnahmen">
      <formula>NOT(ISERROR(SEARCH("Einnahmen",K157)))</formula>
    </cfRule>
    <cfRule type="containsText" priority="1050" operator="containsText" dxfId="0" text="Ausgaben">
      <formula>NOT(ISERROR(SEARCH("Ausgaben",K157)))</formula>
    </cfRule>
  </conditionalFormatting>
  <conditionalFormatting sqref="K158">
    <cfRule type="containsText" priority="1047" operator="containsText" dxfId="1" text="Einnahmen">
      <formula>NOT(ISERROR(SEARCH("Einnahmen",K158)))</formula>
    </cfRule>
    <cfRule type="containsText" priority="1048" operator="containsText" dxfId="0" text="Ausgaben">
      <formula>NOT(ISERROR(SEARCH("Ausgaben",K158)))</formula>
    </cfRule>
    <cfRule type="containsText" priority="1045" operator="containsText" dxfId="1" text="Einnahmen">
      <formula>NOT(ISERROR(SEARCH("Einnahmen",K158)))</formula>
    </cfRule>
    <cfRule type="containsText" priority="1046" operator="containsText" dxfId="0" text="Ausgaben">
      <formula>NOT(ISERROR(SEARCH("Ausgaben",K158)))</formula>
    </cfRule>
    <cfRule type="containsText" priority="1043" operator="containsText" dxfId="1" text="Einnahmen">
      <formula>NOT(ISERROR(SEARCH("Einnahmen",K158)))</formula>
    </cfRule>
    <cfRule type="containsText" priority="1044" operator="containsText" dxfId="0" text="Ausgaben">
      <formula>NOT(ISERROR(SEARCH("Ausgaben",K158)))</formula>
    </cfRule>
  </conditionalFormatting>
  <conditionalFormatting sqref="K159">
    <cfRule type="containsText" priority="1041" operator="containsText" dxfId="1" text="Einnahmen">
      <formula>NOT(ISERROR(SEARCH("Einnahmen",K159)))</formula>
    </cfRule>
    <cfRule type="containsText" priority="1042" operator="containsText" dxfId="0" text="Ausgaben">
      <formula>NOT(ISERROR(SEARCH("Ausgaben",K159)))</formula>
    </cfRule>
  </conditionalFormatting>
  <conditionalFormatting sqref="K160">
    <cfRule type="containsText" priority="1039" operator="containsText" dxfId="1" text="Einnahmen">
      <formula>NOT(ISERROR(SEARCH("Einnahmen",K160)))</formula>
    </cfRule>
    <cfRule type="containsText" priority="1040" operator="containsText" dxfId="0" text="Ausgaben">
      <formula>NOT(ISERROR(SEARCH("Ausgaben",K160)))</formula>
    </cfRule>
    <cfRule type="containsText" priority="1037" operator="containsText" dxfId="1" text="Einnahmen">
      <formula>NOT(ISERROR(SEARCH("Einnahmen",K160)))</formula>
    </cfRule>
    <cfRule type="containsText" priority="1038" operator="containsText" dxfId="0" text="Ausgaben">
      <formula>NOT(ISERROR(SEARCH("Ausgaben",K160)))</formula>
    </cfRule>
  </conditionalFormatting>
  <conditionalFormatting sqref="K161">
    <cfRule type="containsText" priority="1035" operator="containsText" dxfId="1" text="Einnahmen">
      <formula>NOT(ISERROR(SEARCH("Einnahmen",K161)))</formula>
    </cfRule>
    <cfRule type="containsText" priority="1036" operator="containsText" dxfId="0" text="Ausgaben">
      <formula>NOT(ISERROR(SEARCH("Ausgaben",K161)))</formula>
    </cfRule>
  </conditionalFormatting>
  <conditionalFormatting sqref="K162">
    <cfRule type="containsText" priority="1033" operator="containsText" dxfId="1" text="Einnahmen">
      <formula>NOT(ISERROR(SEARCH("Einnahmen",K162)))</formula>
    </cfRule>
    <cfRule type="containsText" priority="1034" operator="containsText" dxfId="0" text="Ausgaben">
      <formula>NOT(ISERROR(SEARCH("Ausgaben",K162)))</formula>
    </cfRule>
  </conditionalFormatting>
  <conditionalFormatting sqref="K163">
    <cfRule type="containsText" priority="1031" operator="containsText" dxfId="1" text="Einnahmen">
      <formula>NOT(ISERROR(SEARCH("Einnahmen",K163)))</formula>
    </cfRule>
    <cfRule type="containsText" priority="1032" operator="containsText" dxfId="0" text="Ausgaben">
      <formula>NOT(ISERROR(SEARCH("Ausgaben",K163)))</formula>
    </cfRule>
  </conditionalFormatting>
  <conditionalFormatting sqref="K164">
    <cfRule type="containsText" priority="1029" operator="containsText" dxfId="1" text="Einnahmen">
      <formula>NOT(ISERROR(SEARCH("Einnahmen",K164)))</formula>
    </cfRule>
    <cfRule type="containsText" priority="1030" operator="containsText" dxfId="0" text="Ausgaben">
      <formula>NOT(ISERROR(SEARCH("Ausgaben",K164)))</formula>
    </cfRule>
    <cfRule type="containsText" priority="1027" operator="containsText" dxfId="1" text="Einnahmen">
      <formula>NOT(ISERROR(SEARCH("Einnahmen",K164)))</formula>
    </cfRule>
    <cfRule type="containsText" priority="1028" operator="containsText" dxfId="0" text="Ausgaben">
      <formula>NOT(ISERROR(SEARCH("Ausgaben",K164)))</formula>
    </cfRule>
  </conditionalFormatting>
  <conditionalFormatting sqref="K165">
    <cfRule type="containsText" priority="1025" operator="containsText" dxfId="1" text="Einnahmen">
      <formula>NOT(ISERROR(SEARCH("Einnahmen",K165)))</formula>
    </cfRule>
    <cfRule type="containsText" priority="1026" operator="containsText" dxfId="0" text="Ausgaben">
      <formula>NOT(ISERROR(SEARCH("Ausgaben",K165)))</formula>
    </cfRule>
  </conditionalFormatting>
  <conditionalFormatting sqref="K166">
    <cfRule type="containsText" priority="1023" operator="containsText" dxfId="1" text="Einnahmen">
      <formula>NOT(ISERROR(SEARCH("Einnahmen",K166)))</formula>
    </cfRule>
    <cfRule type="containsText" priority="1024" operator="containsText" dxfId="0" text="Ausgaben">
      <formula>NOT(ISERROR(SEARCH("Ausgaben",K166)))</formula>
    </cfRule>
  </conditionalFormatting>
  <conditionalFormatting sqref="K167">
    <cfRule type="containsText" priority="1021" operator="containsText" dxfId="1" text="Einnahmen">
      <formula>NOT(ISERROR(SEARCH("Einnahmen",K167)))</formula>
    </cfRule>
    <cfRule type="containsText" priority="1022" operator="containsText" dxfId="0" text="Ausgaben">
      <formula>NOT(ISERROR(SEARCH("Ausgaben",K167)))</formula>
    </cfRule>
  </conditionalFormatting>
  <conditionalFormatting sqref="K168:K169">
    <cfRule type="containsText" priority="1019" operator="containsText" dxfId="1" text="Einnahmen">
      <formula>NOT(ISERROR(SEARCH("Einnahmen",K168)))</formula>
    </cfRule>
    <cfRule type="containsText" priority="1020" operator="containsText" dxfId="0" text="Ausgaben">
      <formula>NOT(ISERROR(SEARCH("Ausgaben",K168)))</formula>
    </cfRule>
  </conditionalFormatting>
  <conditionalFormatting sqref="K169:K170">
    <cfRule type="containsText" priority="1017" operator="containsText" dxfId="1" text="Einnahmen">
      <formula>NOT(ISERROR(SEARCH("Einnahmen",K169)))</formula>
    </cfRule>
    <cfRule type="containsText" priority="1018" operator="containsText" dxfId="0" text="Ausgaben">
      <formula>NOT(ISERROR(SEARCH("Ausgaben",K169)))</formula>
    </cfRule>
  </conditionalFormatting>
  <conditionalFormatting sqref="K170:K171">
    <cfRule type="containsText" priority="1015" operator="containsText" dxfId="1" text="Einnahmen">
      <formula>NOT(ISERROR(SEARCH("Einnahmen",K170)))</formula>
    </cfRule>
    <cfRule type="containsText" priority="1016" operator="containsText" dxfId="0" text="Ausgaben">
      <formula>NOT(ISERROR(SEARCH("Ausgaben",K170)))</formula>
    </cfRule>
    <cfRule type="containsText" priority="1013" operator="containsText" dxfId="1" text="Einnahmen">
      <formula>NOT(ISERROR(SEARCH("Einnahmen",K170)))</formula>
    </cfRule>
    <cfRule type="containsText" priority="1014" operator="containsText" dxfId="0" text="Ausgaben">
      <formula>NOT(ISERROR(SEARCH("Ausgaben",K170)))</formula>
    </cfRule>
  </conditionalFormatting>
  <conditionalFormatting sqref="K172">
    <cfRule type="containsText" priority="1011" operator="containsText" dxfId="1" text="Einnahmen">
      <formula>NOT(ISERROR(SEARCH("Einnahmen",K172)))</formula>
    </cfRule>
    <cfRule type="containsText" priority="1012" operator="containsText" dxfId="0" text="Ausgaben">
      <formula>NOT(ISERROR(SEARCH("Ausgaben",K172)))</formula>
    </cfRule>
    <cfRule type="containsText" priority="1009" operator="containsText" dxfId="1" text="Einnahmen">
      <formula>NOT(ISERROR(SEARCH("Einnahmen",K172)))</formula>
    </cfRule>
    <cfRule type="containsText" priority="1010" operator="containsText" dxfId="0" text="Ausgaben">
      <formula>NOT(ISERROR(SEARCH("Ausgaben",K172)))</formula>
    </cfRule>
    <cfRule type="containsText" priority="1007" operator="containsText" dxfId="1" text="Einnahmen">
      <formula>NOT(ISERROR(SEARCH("Einnahmen",K172)))</formula>
    </cfRule>
    <cfRule type="containsText" priority="1008" operator="containsText" dxfId="0" text="Ausgaben">
      <formula>NOT(ISERROR(SEARCH("Ausgaben",K172)))</formula>
    </cfRule>
  </conditionalFormatting>
  <conditionalFormatting sqref="K173:K175">
    <cfRule type="containsText" priority="1005" operator="containsText" dxfId="1" text="Einnahmen">
      <formula>NOT(ISERROR(SEARCH("Einnahmen",K173)))</formula>
    </cfRule>
    <cfRule type="containsText" priority="1006" operator="containsText" dxfId="0" text="Ausgaben">
      <formula>NOT(ISERROR(SEARCH("Ausgaben",K173)))</formula>
    </cfRule>
    <cfRule type="containsText" priority="1003" operator="containsText" dxfId="1" text="Einnahmen">
      <formula>NOT(ISERROR(SEARCH("Einnahmen",K173)))</formula>
    </cfRule>
    <cfRule type="containsText" priority="1004" operator="containsText" dxfId="0" text="Ausgaben">
      <formula>NOT(ISERROR(SEARCH("Ausgaben",K173)))</formula>
    </cfRule>
  </conditionalFormatting>
  <conditionalFormatting sqref="K176">
    <cfRule type="containsText" priority="1001" operator="containsText" dxfId="1" text="Einnahmen">
      <formula>NOT(ISERROR(SEARCH("Einnahmen",K176)))</formula>
    </cfRule>
    <cfRule type="containsText" priority="1002" operator="containsText" dxfId="0" text="Ausgaben">
      <formula>NOT(ISERROR(SEARCH("Ausgaben",K176)))</formula>
    </cfRule>
    <cfRule type="containsText" priority="999" operator="containsText" dxfId="1" text="Einnahmen">
      <formula>NOT(ISERROR(SEARCH("Einnahmen",K176)))</formula>
    </cfRule>
    <cfRule type="containsText" priority="1000" operator="containsText" dxfId="0" text="Ausgaben">
      <formula>NOT(ISERROR(SEARCH("Ausgaben",K176)))</formula>
    </cfRule>
  </conditionalFormatting>
  <conditionalFormatting sqref="K177">
    <cfRule type="containsText" priority="997" operator="containsText" dxfId="1" text="Einnahmen">
      <formula>NOT(ISERROR(SEARCH("Einnahmen",K177)))</formula>
    </cfRule>
    <cfRule type="containsText" priority="998" operator="containsText" dxfId="0" text="Ausgaben">
      <formula>NOT(ISERROR(SEARCH("Ausgaben",K177)))</formula>
    </cfRule>
    <cfRule type="containsText" priority="995" operator="containsText" dxfId="1" text="Einnahmen">
      <formula>NOT(ISERROR(SEARCH("Einnahmen",K177)))</formula>
    </cfRule>
    <cfRule type="containsText" priority="996" operator="containsText" dxfId="0" text="Ausgaben">
      <formula>NOT(ISERROR(SEARCH("Ausgaben",K177)))</formula>
    </cfRule>
  </conditionalFormatting>
  <conditionalFormatting sqref="K178">
    <cfRule type="containsText" priority="993" operator="containsText" dxfId="1" text="Einnahmen">
      <formula>NOT(ISERROR(SEARCH("Einnahmen",K178)))</formula>
    </cfRule>
    <cfRule type="containsText" priority="994" operator="containsText" dxfId="0" text="Ausgaben">
      <formula>NOT(ISERROR(SEARCH("Ausgaben",K178)))</formula>
    </cfRule>
  </conditionalFormatting>
  <conditionalFormatting sqref="K179">
    <cfRule type="containsText" priority="991" operator="containsText" dxfId="1" text="Einnahmen">
      <formula>NOT(ISERROR(SEARCH("Einnahmen",K179)))</formula>
    </cfRule>
    <cfRule type="containsText" priority="992" operator="containsText" dxfId="0" text="Ausgaben">
      <formula>NOT(ISERROR(SEARCH("Ausgaben",K179)))</formula>
    </cfRule>
  </conditionalFormatting>
  <conditionalFormatting sqref="K180:K181">
    <cfRule type="containsText" priority="989" operator="containsText" dxfId="1" text="Einnahmen">
      <formula>NOT(ISERROR(SEARCH("Einnahmen",K180)))</formula>
    </cfRule>
    <cfRule type="containsText" priority="990" operator="containsText" dxfId="0" text="Ausgaben">
      <formula>NOT(ISERROR(SEARCH("Ausgaben",K180)))</formula>
    </cfRule>
    <cfRule type="containsText" priority="987" operator="containsText" dxfId="1" text="Einnahmen">
      <formula>NOT(ISERROR(SEARCH("Einnahmen",K180)))</formula>
    </cfRule>
    <cfRule type="containsText" priority="988" operator="containsText" dxfId="0" text="Ausgaben">
      <formula>NOT(ISERROR(SEARCH("Ausgaben",K180)))</formula>
    </cfRule>
  </conditionalFormatting>
  <conditionalFormatting sqref="K183:K184">
    <cfRule type="containsText" priority="985" operator="containsText" dxfId="1" text="Einnahmen">
      <formula>NOT(ISERROR(SEARCH("Einnahmen",K183)))</formula>
    </cfRule>
    <cfRule type="containsText" priority="986" operator="containsText" dxfId="0" text="Ausgaben">
      <formula>NOT(ISERROR(SEARCH("Ausgaben",K183)))</formula>
    </cfRule>
  </conditionalFormatting>
  <conditionalFormatting sqref="K185">
    <cfRule type="containsText" priority="983" operator="containsText" dxfId="1" text="Einnahmen">
      <formula>NOT(ISERROR(SEARCH("Einnahmen",K185)))</formula>
    </cfRule>
    <cfRule type="containsText" priority="984" operator="containsText" dxfId="0" text="Ausgaben">
      <formula>NOT(ISERROR(SEARCH("Ausgaben",K185)))</formula>
    </cfRule>
  </conditionalFormatting>
  <conditionalFormatting sqref="K186">
    <cfRule type="containsText" priority="981" operator="containsText" dxfId="1" text="Einnahmen">
      <formula>NOT(ISERROR(SEARCH("Einnahmen",K186)))</formula>
    </cfRule>
    <cfRule type="containsText" priority="982" operator="containsText" dxfId="0" text="Ausgaben">
      <formula>NOT(ISERROR(SEARCH("Ausgaben",K186)))</formula>
    </cfRule>
  </conditionalFormatting>
  <conditionalFormatting sqref="K187:K188">
    <cfRule type="containsText" priority="979" operator="containsText" dxfId="1" text="Einnahmen">
      <formula>NOT(ISERROR(SEARCH("Einnahmen",K187)))</formula>
    </cfRule>
    <cfRule type="containsText" priority="980" operator="containsText" dxfId="0" text="Ausgaben">
      <formula>NOT(ISERROR(SEARCH("Ausgaben",K187)))</formula>
    </cfRule>
    <cfRule type="containsText" priority="977" operator="containsText" dxfId="1" text="Einnahmen">
      <formula>NOT(ISERROR(SEARCH("Einnahmen",K187)))</formula>
    </cfRule>
    <cfRule type="containsText" priority="978" operator="containsText" dxfId="0" text="Ausgaben">
      <formula>NOT(ISERROR(SEARCH("Ausgaben",K187)))</formula>
    </cfRule>
  </conditionalFormatting>
  <conditionalFormatting sqref="K189">
    <cfRule type="containsText" priority="975" operator="containsText" dxfId="1" text="Einnahmen">
      <formula>NOT(ISERROR(SEARCH("Einnahmen",K189)))</formula>
    </cfRule>
    <cfRule type="containsText" priority="976" operator="containsText" dxfId="0" text="Ausgaben">
      <formula>NOT(ISERROR(SEARCH("Ausgaben",K189)))</formula>
    </cfRule>
    <cfRule type="containsText" priority="973" operator="containsText" dxfId="1" text="Einnahmen">
      <formula>NOT(ISERROR(SEARCH("Einnahmen",K189)))</formula>
    </cfRule>
    <cfRule type="containsText" priority="974" operator="containsText" dxfId="0" text="Ausgaben">
      <formula>NOT(ISERROR(SEARCH("Ausgaben",K189)))</formula>
    </cfRule>
  </conditionalFormatting>
  <conditionalFormatting sqref="K190">
    <cfRule type="containsText" priority="971" operator="containsText" dxfId="1" text="Einnahmen">
      <formula>NOT(ISERROR(SEARCH("Einnahmen",K190)))</formula>
    </cfRule>
    <cfRule type="containsText" priority="972" operator="containsText" dxfId="0" text="Ausgaben">
      <formula>NOT(ISERROR(SEARCH("Ausgaben",K190)))</formula>
    </cfRule>
  </conditionalFormatting>
  <conditionalFormatting sqref="K191">
    <cfRule type="containsText" priority="969" operator="containsText" dxfId="1" text="Einnahmen">
      <formula>NOT(ISERROR(SEARCH("Einnahmen",K191)))</formula>
    </cfRule>
    <cfRule type="containsText" priority="970" operator="containsText" dxfId="0" text="Ausgaben">
      <formula>NOT(ISERROR(SEARCH("Ausgaben",K191)))</formula>
    </cfRule>
    <cfRule type="containsText" priority="967" operator="containsText" dxfId="1" text="Einnahmen">
      <formula>NOT(ISERROR(SEARCH("Einnahmen",K191)))</formula>
    </cfRule>
    <cfRule type="containsText" priority="968" operator="containsText" dxfId="0" text="Ausgaben">
      <formula>NOT(ISERROR(SEARCH("Ausgaben",K191)))</formula>
    </cfRule>
  </conditionalFormatting>
  <conditionalFormatting sqref="K192">
    <cfRule type="containsText" priority="965" operator="containsText" dxfId="1" text="Einnahmen">
      <formula>NOT(ISERROR(SEARCH("Einnahmen",K192)))</formula>
    </cfRule>
    <cfRule type="containsText" priority="966" operator="containsText" dxfId="0" text="Ausgaben">
      <formula>NOT(ISERROR(SEARCH("Ausgaben",K192)))</formula>
    </cfRule>
    <cfRule type="containsText" priority="963" operator="containsText" dxfId="1" text="Einnahmen">
      <formula>NOT(ISERROR(SEARCH("Einnahmen",K192)))</formula>
    </cfRule>
    <cfRule type="containsText" priority="964" operator="containsText" dxfId="0" text="Ausgaben">
      <formula>NOT(ISERROR(SEARCH("Ausgaben",K192)))</formula>
    </cfRule>
    <cfRule type="containsText" priority="961" operator="containsText" dxfId="1" text="Einnahmen">
      <formula>NOT(ISERROR(SEARCH("Einnahmen",K192)))</formula>
    </cfRule>
    <cfRule type="containsText" priority="962" operator="containsText" dxfId="0" text="Ausgaben">
      <formula>NOT(ISERROR(SEARCH("Ausgaben",K192)))</formula>
    </cfRule>
  </conditionalFormatting>
  <conditionalFormatting sqref="K193">
    <cfRule type="containsText" priority="959" operator="containsText" dxfId="1" text="Einnahmen">
      <formula>NOT(ISERROR(SEARCH("Einnahmen",K193)))</formula>
    </cfRule>
    <cfRule type="containsText" priority="960" operator="containsText" dxfId="0" text="Ausgaben">
      <formula>NOT(ISERROR(SEARCH("Ausgaben",K193)))</formula>
    </cfRule>
    <cfRule type="containsText" priority="957" operator="containsText" dxfId="1" text="Einnahmen">
      <formula>NOT(ISERROR(SEARCH("Einnahmen",K193)))</formula>
    </cfRule>
    <cfRule type="containsText" priority="958" operator="containsText" dxfId="0" text="Ausgaben">
      <formula>NOT(ISERROR(SEARCH("Ausgaben",K193)))</formula>
    </cfRule>
  </conditionalFormatting>
  <conditionalFormatting sqref="K194">
    <cfRule type="containsText" priority="955" operator="containsText" dxfId="1" text="Einnahmen">
      <formula>NOT(ISERROR(SEARCH("Einnahmen",K194)))</formula>
    </cfRule>
    <cfRule type="containsText" priority="956" operator="containsText" dxfId="0" text="Ausgaben">
      <formula>NOT(ISERROR(SEARCH("Ausgaben",K194)))</formula>
    </cfRule>
    <cfRule type="containsText" priority="953" operator="containsText" dxfId="1" text="Einnahmen">
      <formula>NOT(ISERROR(SEARCH("Einnahmen",K194)))</formula>
    </cfRule>
    <cfRule type="containsText" priority="954" operator="containsText" dxfId="0" text="Ausgaben">
      <formula>NOT(ISERROR(SEARCH("Ausgaben",K194)))</formula>
    </cfRule>
  </conditionalFormatting>
  <conditionalFormatting sqref="K195">
    <cfRule type="containsText" priority="951" operator="containsText" dxfId="1" text="Einnahmen">
      <formula>NOT(ISERROR(SEARCH("Einnahmen",K195)))</formula>
    </cfRule>
    <cfRule type="containsText" priority="952" operator="containsText" dxfId="0" text="Ausgaben">
      <formula>NOT(ISERROR(SEARCH("Ausgaben",K195)))</formula>
    </cfRule>
  </conditionalFormatting>
  <conditionalFormatting sqref="K196">
    <cfRule type="containsText" priority="949" operator="containsText" dxfId="1" text="Einnahmen">
      <formula>NOT(ISERROR(SEARCH("Einnahmen",K196)))</formula>
    </cfRule>
    <cfRule type="containsText" priority="950" operator="containsText" dxfId="0" text="Ausgaben">
      <formula>NOT(ISERROR(SEARCH("Ausgaben",K196)))</formula>
    </cfRule>
  </conditionalFormatting>
  <conditionalFormatting sqref="K197">
    <cfRule type="containsText" priority="947" operator="containsText" dxfId="1" text="Einnahmen">
      <formula>NOT(ISERROR(SEARCH("Einnahmen",K197)))</formula>
    </cfRule>
    <cfRule type="containsText" priority="948" operator="containsText" dxfId="0" text="Ausgaben">
      <formula>NOT(ISERROR(SEARCH("Ausgaben",K197)))</formula>
    </cfRule>
    <cfRule type="containsText" priority="945" operator="containsText" dxfId="1" text="Einnahmen">
      <formula>NOT(ISERROR(SEARCH("Einnahmen",K197)))</formula>
    </cfRule>
    <cfRule type="containsText" priority="946" operator="containsText" dxfId="0" text="Ausgaben">
      <formula>NOT(ISERROR(SEARCH("Ausgaben",K197)))</formula>
    </cfRule>
  </conditionalFormatting>
  <conditionalFormatting sqref="K198">
    <cfRule type="containsText" priority="943" operator="containsText" dxfId="1" text="Einnahmen">
      <formula>NOT(ISERROR(SEARCH("Einnahmen",K198)))</formula>
    </cfRule>
    <cfRule type="containsText" priority="944" operator="containsText" dxfId="0" text="Ausgaben">
      <formula>NOT(ISERROR(SEARCH("Ausgaben",K198)))</formula>
    </cfRule>
    <cfRule type="containsText" priority="941" operator="containsText" dxfId="1" text="Einnahmen">
      <formula>NOT(ISERROR(SEARCH("Einnahmen",K198)))</formula>
    </cfRule>
    <cfRule type="containsText" priority="942" operator="containsText" dxfId="0" text="Ausgaben">
      <formula>NOT(ISERROR(SEARCH("Ausgaben",K198)))</formula>
    </cfRule>
  </conditionalFormatting>
  <conditionalFormatting sqref="K199">
    <cfRule type="containsText" priority="939" operator="containsText" dxfId="1" text="Einnahmen">
      <formula>NOT(ISERROR(SEARCH("Einnahmen",K199)))</formula>
    </cfRule>
    <cfRule type="containsText" priority="940" operator="containsText" dxfId="0" text="Ausgaben">
      <formula>NOT(ISERROR(SEARCH("Ausgaben",K199)))</formula>
    </cfRule>
    <cfRule type="containsText" priority="937" operator="containsText" dxfId="1" text="Einnahmen">
      <formula>NOT(ISERROR(SEARCH("Einnahmen",K199)))</formula>
    </cfRule>
    <cfRule type="containsText" priority="938" operator="containsText" dxfId="0" text="Ausgaben">
      <formula>NOT(ISERROR(SEARCH("Ausgaben",K199)))</formula>
    </cfRule>
  </conditionalFormatting>
  <conditionalFormatting sqref="K200">
    <cfRule type="containsText" priority="935" operator="containsText" dxfId="1" text="Einnahmen">
      <formula>NOT(ISERROR(SEARCH("Einnahmen",K200)))</formula>
    </cfRule>
    <cfRule type="containsText" priority="936" operator="containsText" dxfId="0" text="Ausgaben">
      <formula>NOT(ISERROR(SEARCH("Ausgaben",K200)))</formula>
    </cfRule>
    <cfRule type="containsText" priority="933" operator="containsText" dxfId="1" text="Einnahmen">
      <formula>NOT(ISERROR(SEARCH("Einnahmen",K200)))</formula>
    </cfRule>
    <cfRule type="containsText" priority="934" operator="containsText" dxfId="0" text="Ausgaben">
      <formula>NOT(ISERROR(SEARCH("Ausgaben",K200)))</formula>
    </cfRule>
  </conditionalFormatting>
  <conditionalFormatting sqref="AA109:AA110">
    <cfRule type="expression" priority="931" dxfId="2">
      <formula>AND(AND($W109&lt;TODAY(),$W109&lt;&gt;""),$X109="")</formula>
    </cfRule>
  </conditionalFormatting>
  <conditionalFormatting sqref="Q10 Q13 Q15 Q17 Q19 Q25:Q28 Q34:Q35 Q37:Q39 Q49 Q52:Q56 Q59 Q61 Q66 Q73 Q75:Q76 Q81 Q85 Q88 Q92 Q98 Q100:Q101 Q105:Q106 Q109:Q110 Q123:Q124 Q126 Q135 Q137:Q138 Q140:Q141 Q150:Q151 Q161:Q162 Q165:Q166 Q171 Q173:Q175 Q178:Q184 Q188:Q191 Q193 Q195:Q197 Q200">
    <cfRule type="cellIs" priority="930" operator="equal" dxfId="2034">
      <formula>"ja"</formula>
    </cfRule>
  </conditionalFormatting>
  <conditionalFormatting sqref="AG17 AG55 AG59 AG126 AG138 AG141 AG171 AG182 AG190:AG191">
    <cfRule type="dataBar" priority="929">
      <dataBar>
        <cfvo type="min"/>
        <cfvo type="max"/>
        <color rgb="FF63C384"/>
      </dataBar>
    </cfRule>
    <cfRule type="dataBar" priority="928">
      <dataBar>
        <cfvo type="min"/>
        <cfvo type="max"/>
        <color rgb="FF63C384"/>
      </dataBar>
    </cfRule>
  </conditionalFormatting>
  <conditionalFormatting sqref="AA2:AA57">
    <cfRule type="expression" priority="927" dxfId="2">
      <formula>AND(AND($W2&lt;TODAY(),$W2&lt;&gt;""),$X2="")</formula>
    </cfRule>
  </conditionalFormatting>
  <conditionalFormatting sqref="Q2">
    <cfRule type="cellIs" priority="926" operator="equal" dxfId="2034">
      <formula>"ja"</formula>
    </cfRule>
    <cfRule type="cellIs" priority="923" operator="equal" dxfId="2034">
      <formula>"ja"</formula>
    </cfRule>
  </conditionalFormatting>
  <conditionalFormatting sqref="AG2">
    <cfRule type="dataBar" priority="925">
      <dataBar>
        <cfvo type="min"/>
        <cfvo type="max"/>
        <color rgb="FF63C384"/>
      </dataBar>
    </cfRule>
    <cfRule type="dataBar" priority="924">
      <dataBar>
        <cfvo type="min"/>
        <cfvo type="max"/>
        <color rgb="FF63C384"/>
      </dataBar>
    </cfRule>
    <cfRule type="dataBar" priority="922">
      <dataBar>
        <cfvo type="min"/>
        <cfvo type="max"/>
        <color rgb="FF63C384"/>
      </dataBar>
    </cfRule>
    <cfRule type="dataBar" priority="921">
      <dataBar>
        <cfvo type="min"/>
        <cfvo type="max"/>
        <color rgb="FF63C384"/>
      </dataBar>
    </cfRule>
  </conditionalFormatting>
  <conditionalFormatting sqref="Q3">
    <cfRule type="cellIs" priority="920" operator="equal" dxfId="2034">
      <formula>"ja"</formula>
    </cfRule>
  </conditionalFormatting>
  <conditionalFormatting sqref="AG3">
    <cfRule type="dataBar" priority="919">
      <dataBar>
        <cfvo type="min"/>
        <cfvo type="max"/>
        <color rgb="FF63C384"/>
      </dataBar>
    </cfRule>
    <cfRule type="dataBar" priority="918">
      <dataBar>
        <cfvo type="min"/>
        <cfvo type="max"/>
        <color rgb="FF63C384"/>
      </dataBar>
    </cfRule>
  </conditionalFormatting>
  <conditionalFormatting sqref="Q4">
    <cfRule type="cellIs" priority="917" operator="equal" dxfId="2034">
      <formula>"ja"</formula>
    </cfRule>
  </conditionalFormatting>
  <conditionalFormatting sqref="AG4">
    <cfRule type="dataBar" priority="916">
      <dataBar>
        <cfvo type="min"/>
        <cfvo type="max"/>
        <color rgb="FF63C384"/>
      </dataBar>
    </cfRule>
    <cfRule type="dataBar" priority="915">
      <dataBar>
        <cfvo type="min"/>
        <cfvo type="max"/>
        <color rgb="FF63C384"/>
      </dataBar>
    </cfRule>
  </conditionalFormatting>
  <conditionalFormatting sqref="AG5">
    <cfRule type="dataBar" priority="914">
      <dataBar>
        <cfvo type="min"/>
        <cfvo type="max"/>
        <color rgb="FF63C384"/>
      </dataBar>
    </cfRule>
    <cfRule type="dataBar" priority="913">
      <dataBar>
        <cfvo type="min"/>
        <cfvo type="max"/>
        <color rgb="FF63C384"/>
      </dataBar>
    </cfRule>
  </conditionalFormatting>
  <conditionalFormatting sqref="Q5">
    <cfRule type="cellIs" priority="912" operator="equal" dxfId="2034">
      <formula>"ja"</formula>
    </cfRule>
  </conditionalFormatting>
  <conditionalFormatting sqref="Q6">
    <cfRule type="cellIs" priority="911" operator="equal" dxfId="2034">
      <formula>"ja"</formula>
    </cfRule>
    <cfRule type="cellIs" priority="908" operator="equal" dxfId="2034">
      <formula>"ja"</formula>
    </cfRule>
  </conditionalFormatting>
  <conditionalFormatting sqref="AG6">
    <cfRule type="dataBar" priority="910">
      <dataBar>
        <cfvo type="min"/>
        <cfvo type="max"/>
        <color rgb="FF63C384"/>
      </dataBar>
    </cfRule>
    <cfRule type="dataBar" priority="909">
      <dataBar>
        <cfvo type="min"/>
        <cfvo type="max"/>
        <color rgb="FF63C384"/>
      </dataBar>
    </cfRule>
    <cfRule type="dataBar" priority="907">
      <dataBar>
        <cfvo type="min"/>
        <cfvo type="max"/>
        <color rgb="FF63C384"/>
      </dataBar>
    </cfRule>
    <cfRule type="dataBar" priority="906">
      <dataBar>
        <cfvo type="min"/>
        <cfvo type="max"/>
        <color rgb="FF63C384"/>
      </dataBar>
    </cfRule>
  </conditionalFormatting>
  <conditionalFormatting sqref="Q7">
    <cfRule type="cellIs" priority="905" operator="equal" dxfId="2034">
      <formula>"ja"</formula>
    </cfRule>
    <cfRule type="cellIs" priority="896" operator="equal" dxfId="2034">
      <formula>"ja"</formula>
    </cfRule>
    <cfRule type="cellIs" priority="902" operator="equal" dxfId="2034">
      <formula>"ja"</formula>
    </cfRule>
    <cfRule type="cellIs" priority="899" operator="equal" dxfId="2034">
      <formula>"ja"</formula>
    </cfRule>
  </conditionalFormatting>
  <conditionalFormatting sqref="AG7">
    <cfRule type="dataBar" priority="904">
      <dataBar>
        <cfvo type="min"/>
        <cfvo type="max"/>
        <color rgb="FF63C384"/>
      </dataBar>
    </cfRule>
    <cfRule type="dataBar" priority="903">
      <dataBar>
        <cfvo type="min"/>
        <cfvo type="max"/>
        <color rgb="FF63C384"/>
      </dataBar>
    </cfRule>
    <cfRule type="dataBar" priority="901">
      <dataBar>
        <cfvo type="min"/>
        <cfvo type="max"/>
        <color rgb="FF63C384"/>
      </dataBar>
    </cfRule>
    <cfRule type="dataBar" priority="900">
      <dataBar>
        <cfvo type="min"/>
        <cfvo type="max"/>
        <color rgb="FF63C384"/>
      </dataBar>
    </cfRule>
    <cfRule type="dataBar" priority="898">
      <dataBar>
        <cfvo type="min"/>
        <cfvo type="max"/>
        <color rgb="FF63C384"/>
      </dataBar>
    </cfRule>
    <cfRule type="dataBar" priority="897">
      <dataBar>
        <cfvo type="min"/>
        <cfvo type="max"/>
        <color rgb="FF63C384"/>
      </dataBar>
    </cfRule>
    <cfRule type="dataBar" priority="895">
      <dataBar>
        <cfvo type="min"/>
        <cfvo type="max"/>
        <color rgb="FF63C384"/>
      </dataBar>
    </cfRule>
    <cfRule type="dataBar" priority="894">
      <dataBar>
        <cfvo type="min"/>
        <cfvo type="max"/>
        <color rgb="FF63C384"/>
      </dataBar>
    </cfRule>
  </conditionalFormatting>
  <conditionalFormatting sqref="Q8">
    <cfRule type="cellIs" priority="893" operator="equal" dxfId="2034">
      <formula>"ja"</formula>
    </cfRule>
    <cfRule type="cellIs" priority="888" operator="equal" dxfId="2034">
      <formula>"ja"</formula>
    </cfRule>
  </conditionalFormatting>
  <conditionalFormatting sqref="AG8">
    <cfRule type="dataBar" priority="892">
      <dataBar>
        <cfvo type="min"/>
        <cfvo type="max"/>
        <color rgb="FF63C384"/>
      </dataBar>
    </cfRule>
    <cfRule type="dataBar" priority="891">
      <dataBar>
        <cfvo type="min"/>
        <cfvo type="max"/>
        <color rgb="FF63C384"/>
      </dataBar>
    </cfRule>
    <cfRule type="dataBar" priority="890">
      <dataBar>
        <cfvo type="min"/>
        <cfvo type="max"/>
        <color rgb="FF63C384"/>
      </dataBar>
    </cfRule>
    <cfRule type="dataBar" priority="889">
      <dataBar>
        <cfvo type="min"/>
        <cfvo type="max"/>
        <color rgb="FF63C384"/>
      </dataBar>
    </cfRule>
  </conditionalFormatting>
  <conditionalFormatting sqref="Q9">
    <cfRule type="cellIs" priority="887" operator="equal" dxfId="2034">
      <formula>"ja"</formula>
    </cfRule>
    <cfRule type="cellIs" priority="878" operator="equal" dxfId="2034">
      <formula>"ja"</formula>
    </cfRule>
    <cfRule type="cellIs" priority="884" operator="equal" dxfId="2034">
      <formula>"ja"</formula>
    </cfRule>
    <cfRule type="cellIs" priority="881" operator="equal" dxfId="2034">
      <formula>"ja"</formula>
    </cfRule>
  </conditionalFormatting>
  <conditionalFormatting sqref="AG9">
    <cfRule type="dataBar" priority="886">
      <dataBar>
        <cfvo type="min"/>
        <cfvo type="max"/>
        <color rgb="FF63C384"/>
      </dataBar>
    </cfRule>
    <cfRule type="dataBar" priority="885">
      <dataBar>
        <cfvo type="min"/>
        <cfvo type="max"/>
        <color rgb="FF63C384"/>
      </dataBar>
    </cfRule>
    <cfRule type="dataBar" priority="883">
      <dataBar>
        <cfvo type="min"/>
        <cfvo type="max"/>
        <color rgb="FF63C384"/>
      </dataBar>
    </cfRule>
    <cfRule type="dataBar" priority="882">
      <dataBar>
        <cfvo type="min"/>
        <cfvo type="max"/>
        <color rgb="FF63C384"/>
      </dataBar>
    </cfRule>
    <cfRule type="dataBar" priority="880">
      <dataBar>
        <cfvo type="min"/>
        <cfvo type="max"/>
        <color rgb="FF63C384"/>
      </dataBar>
    </cfRule>
    <cfRule type="dataBar" priority="879">
      <dataBar>
        <cfvo type="min"/>
        <cfvo type="max"/>
        <color rgb="FF63C384"/>
      </dataBar>
    </cfRule>
    <cfRule type="dataBar" priority="877">
      <dataBar>
        <cfvo type="min"/>
        <cfvo type="max"/>
        <color rgb="FF63C384"/>
      </dataBar>
    </cfRule>
    <cfRule type="dataBar" priority="876">
      <dataBar>
        <cfvo type="min"/>
        <cfvo type="max"/>
        <color rgb="FF63C384"/>
      </dataBar>
    </cfRule>
  </conditionalFormatting>
  <conditionalFormatting sqref="AG10">
    <cfRule type="dataBar" priority="875">
      <dataBar>
        <cfvo type="min"/>
        <cfvo type="max"/>
        <color rgb="FF63C384"/>
      </dataBar>
    </cfRule>
    <cfRule type="dataBar" priority="874">
      <dataBar>
        <cfvo type="min"/>
        <cfvo type="max"/>
        <color rgb="FF63C384"/>
      </dataBar>
    </cfRule>
    <cfRule type="dataBar" priority="872">
      <dataBar>
        <cfvo type="min"/>
        <cfvo type="max"/>
        <color rgb="FF63C384"/>
      </dataBar>
    </cfRule>
    <cfRule type="dataBar" priority="871">
      <dataBar>
        <cfvo type="min"/>
        <cfvo type="max"/>
        <color rgb="FF63C384"/>
      </dataBar>
    </cfRule>
  </conditionalFormatting>
  <conditionalFormatting sqref="Q10">
    <cfRule type="cellIs" priority="873" operator="equal" dxfId="2034">
      <formula>"ja"</formula>
    </cfRule>
  </conditionalFormatting>
  <conditionalFormatting sqref="Q11">
    <cfRule type="cellIs" priority="870" operator="equal" dxfId="2034">
      <formula>"ja"</formula>
    </cfRule>
    <cfRule type="cellIs" priority="867" operator="equal" dxfId="2034">
      <formula>"ja"</formula>
    </cfRule>
  </conditionalFormatting>
  <conditionalFormatting sqref="AG11">
    <cfRule type="dataBar" priority="869">
      <dataBar>
        <cfvo type="min"/>
        <cfvo type="max"/>
        <color rgb="FF63C384"/>
      </dataBar>
    </cfRule>
    <cfRule type="dataBar" priority="868">
      <dataBar>
        <cfvo type="min"/>
        <cfvo type="max"/>
        <color rgb="FF63C384"/>
      </dataBar>
    </cfRule>
    <cfRule type="dataBar" priority="866">
      <dataBar>
        <cfvo type="min"/>
        <cfvo type="max"/>
        <color rgb="FF63C384"/>
      </dataBar>
    </cfRule>
    <cfRule type="dataBar" priority="865">
      <dataBar>
        <cfvo type="min"/>
        <cfvo type="max"/>
        <color rgb="FF63C384"/>
      </dataBar>
    </cfRule>
  </conditionalFormatting>
  <conditionalFormatting sqref="Q12">
    <cfRule type="cellIs" priority="864" operator="equal" dxfId="2034">
      <formula>"ja"</formula>
    </cfRule>
    <cfRule type="cellIs" priority="861" operator="equal" dxfId="2034">
      <formula>"ja"</formula>
    </cfRule>
    <cfRule type="cellIs" priority="858" operator="equal" dxfId="2034">
      <formula>"ja"</formula>
    </cfRule>
  </conditionalFormatting>
  <conditionalFormatting sqref="AG12">
    <cfRule type="dataBar" priority="863">
      <dataBar>
        <cfvo type="min"/>
        <cfvo type="max"/>
        <color rgb="FF63C384"/>
      </dataBar>
    </cfRule>
    <cfRule type="dataBar" priority="862">
      <dataBar>
        <cfvo type="min"/>
        <cfvo type="max"/>
        <color rgb="FF63C384"/>
      </dataBar>
    </cfRule>
    <cfRule type="dataBar" priority="860">
      <dataBar>
        <cfvo type="min"/>
        <cfvo type="max"/>
        <color rgb="FF63C384"/>
      </dataBar>
    </cfRule>
    <cfRule type="dataBar" priority="859">
      <dataBar>
        <cfvo type="min"/>
        <cfvo type="max"/>
        <color rgb="FF63C384"/>
      </dataBar>
    </cfRule>
    <cfRule type="dataBar" priority="857">
      <dataBar>
        <cfvo type="min"/>
        <cfvo type="max"/>
        <color rgb="FF63C384"/>
      </dataBar>
    </cfRule>
    <cfRule type="dataBar" priority="856">
      <dataBar>
        <cfvo type="min"/>
        <cfvo type="max"/>
        <color rgb="FF63C384"/>
      </dataBar>
    </cfRule>
  </conditionalFormatting>
  <conditionalFormatting sqref="AG13">
    <cfRule type="dataBar" priority="855">
      <dataBar>
        <cfvo type="min"/>
        <cfvo type="max"/>
        <color rgb="FF63C384"/>
      </dataBar>
    </cfRule>
    <cfRule type="dataBar" priority="854">
      <dataBar>
        <cfvo type="min"/>
        <cfvo type="max"/>
        <color rgb="FF63C384"/>
      </dataBar>
    </cfRule>
    <cfRule type="dataBar" priority="853">
      <dataBar>
        <cfvo type="min"/>
        <cfvo type="max"/>
        <color rgb="FF63C384"/>
      </dataBar>
    </cfRule>
    <cfRule type="dataBar" priority="852">
      <dataBar>
        <cfvo type="min"/>
        <cfvo type="max"/>
        <color rgb="FF63C384"/>
      </dataBar>
    </cfRule>
  </conditionalFormatting>
  <conditionalFormatting sqref="Q14">
    <cfRule type="cellIs" priority="851" operator="equal" dxfId="2034">
      <formula>"ja"</formula>
    </cfRule>
  </conditionalFormatting>
  <conditionalFormatting sqref="AG14:AG15">
    <cfRule type="dataBar" priority="850">
      <dataBar>
        <cfvo type="min"/>
        <cfvo type="max"/>
        <color rgb="FF63C384"/>
      </dataBar>
    </cfRule>
    <cfRule type="dataBar" priority="849">
      <dataBar>
        <cfvo type="min"/>
        <cfvo type="max"/>
        <color rgb="FF63C384"/>
      </dataBar>
    </cfRule>
  </conditionalFormatting>
  <conditionalFormatting sqref="Q15">
    <cfRule type="cellIs" priority="848" operator="equal" dxfId="2034">
      <formula>"ja"</formula>
    </cfRule>
    <cfRule type="cellIs" priority="847" operator="equal" dxfId="2034">
      <formula>"ja"</formula>
    </cfRule>
  </conditionalFormatting>
  <conditionalFormatting sqref="Q16">
    <cfRule type="cellIs" priority="846" operator="equal" dxfId="2034">
      <formula>"ja"</formula>
    </cfRule>
    <cfRule type="cellIs" priority="841" operator="equal" dxfId="2034">
      <formula>"ja"</formula>
    </cfRule>
  </conditionalFormatting>
  <conditionalFormatting sqref="AG16">
    <cfRule type="dataBar" priority="845">
      <dataBar>
        <cfvo type="min"/>
        <cfvo type="max"/>
        <color rgb="FF63C384"/>
      </dataBar>
    </cfRule>
    <cfRule type="dataBar" priority="844">
      <dataBar>
        <cfvo type="min"/>
        <cfvo type="max"/>
        <color rgb="FF63C384"/>
      </dataBar>
    </cfRule>
    <cfRule type="dataBar" priority="843">
      <dataBar>
        <cfvo type="min"/>
        <cfvo type="max"/>
        <color rgb="FF63C384"/>
      </dataBar>
    </cfRule>
    <cfRule type="dataBar" priority="842">
      <dataBar>
        <cfvo type="min"/>
        <cfvo type="max"/>
        <color rgb="FF63C384"/>
      </dataBar>
    </cfRule>
  </conditionalFormatting>
  <conditionalFormatting sqref="Q18">
    <cfRule type="cellIs" priority="840" operator="equal" dxfId="2034">
      <formula>"ja"</formula>
    </cfRule>
  </conditionalFormatting>
  <conditionalFormatting sqref="AG18">
    <cfRule type="dataBar" priority="839">
      <dataBar>
        <cfvo type="min"/>
        <cfvo type="max"/>
        <color rgb="FF63C384"/>
      </dataBar>
    </cfRule>
    <cfRule type="dataBar" priority="838">
      <dataBar>
        <cfvo type="min"/>
        <cfvo type="max"/>
        <color rgb="FF63C384"/>
      </dataBar>
    </cfRule>
  </conditionalFormatting>
  <conditionalFormatting sqref="AG19">
    <cfRule type="dataBar" priority="837">
      <dataBar>
        <cfvo type="min"/>
        <cfvo type="max"/>
        <color rgb="FF63C384"/>
      </dataBar>
    </cfRule>
    <cfRule type="dataBar" priority="836">
      <dataBar>
        <cfvo type="min"/>
        <cfvo type="max"/>
        <color rgb="FF63C384"/>
      </dataBar>
    </cfRule>
  </conditionalFormatting>
  <conditionalFormatting sqref="AG20">
    <cfRule type="dataBar" priority="835">
      <dataBar>
        <cfvo type="min"/>
        <cfvo type="max"/>
        <color rgb="FF63C384"/>
      </dataBar>
    </cfRule>
    <cfRule type="dataBar" priority="834">
      <dataBar>
        <cfvo type="min"/>
        <cfvo type="max"/>
        <color rgb="FF63C384"/>
      </dataBar>
    </cfRule>
  </conditionalFormatting>
  <conditionalFormatting sqref="Q20">
    <cfRule type="cellIs" priority="833" operator="equal" dxfId="2034">
      <formula>"ja"</formula>
    </cfRule>
  </conditionalFormatting>
  <conditionalFormatting sqref="Q21">
    <cfRule type="cellIs" priority="832" operator="equal" dxfId="2034">
      <formula>"ja"</formula>
    </cfRule>
  </conditionalFormatting>
  <conditionalFormatting sqref="AG21">
    <cfRule type="dataBar" priority="831">
      <dataBar>
        <cfvo type="min"/>
        <cfvo type="max"/>
        <color rgb="FF63C384"/>
      </dataBar>
    </cfRule>
    <cfRule type="dataBar" priority="830">
      <dataBar>
        <cfvo type="min"/>
        <cfvo type="max"/>
        <color rgb="FF63C384"/>
      </dataBar>
    </cfRule>
  </conditionalFormatting>
  <conditionalFormatting sqref="Q22">
    <cfRule type="cellIs" priority="829" operator="equal" dxfId="2034">
      <formula>"ja"</formula>
    </cfRule>
  </conditionalFormatting>
  <conditionalFormatting sqref="AG22">
    <cfRule type="dataBar" priority="828">
      <dataBar>
        <cfvo type="min"/>
        <cfvo type="max"/>
        <color rgb="FF63C384"/>
      </dataBar>
    </cfRule>
    <cfRule type="dataBar" priority="827">
      <dataBar>
        <cfvo type="min"/>
        <cfvo type="max"/>
        <color rgb="FF63C384"/>
      </dataBar>
    </cfRule>
  </conditionalFormatting>
  <conditionalFormatting sqref="Q23">
    <cfRule type="cellIs" priority="826" operator="equal" dxfId="2034">
      <formula>"ja"</formula>
    </cfRule>
    <cfRule type="cellIs" priority="823" operator="equal" dxfId="2034">
      <formula>"ja"</formula>
    </cfRule>
  </conditionalFormatting>
  <conditionalFormatting sqref="AG23">
    <cfRule type="dataBar" priority="825">
      <dataBar>
        <cfvo type="min"/>
        <cfvo type="max"/>
        <color rgb="FF63C384"/>
      </dataBar>
    </cfRule>
    <cfRule type="dataBar" priority="824">
      <dataBar>
        <cfvo type="min"/>
        <cfvo type="max"/>
        <color rgb="FF63C384"/>
      </dataBar>
    </cfRule>
    <cfRule type="dataBar" priority="822">
      <dataBar>
        <cfvo type="min"/>
        <cfvo type="max"/>
        <color rgb="FF63C384"/>
      </dataBar>
    </cfRule>
    <cfRule type="dataBar" priority="821">
      <dataBar>
        <cfvo type="min"/>
        <cfvo type="max"/>
        <color rgb="FF63C384"/>
      </dataBar>
    </cfRule>
  </conditionalFormatting>
  <conditionalFormatting sqref="Q24">
    <cfRule type="cellIs" priority="820" operator="equal" dxfId="2034">
      <formula>"ja"</formula>
    </cfRule>
    <cfRule type="cellIs" priority="811" operator="equal" dxfId="2034">
      <formula>"ja"</formula>
    </cfRule>
    <cfRule type="cellIs" priority="817" operator="equal" dxfId="2034">
      <formula>"ja"</formula>
    </cfRule>
    <cfRule type="cellIs" priority="814" operator="equal" dxfId="2034">
      <formula>"ja"</formula>
    </cfRule>
  </conditionalFormatting>
  <conditionalFormatting sqref="AG24:AG25">
    <cfRule type="dataBar" priority="819">
      <dataBar>
        <cfvo type="min"/>
        <cfvo type="max"/>
        <color rgb="FF63C384"/>
      </dataBar>
    </cfRule>
    <cfRule type="dataBar" priority="818">
      <dataBar>
        <cfvo type="min"/>
        <cfvo type="max"/>
        <color rgb="FF63C384"/>
      </dataBar>
    </cfRule>
    <cfRule type="dataBar" priority="816">
      <dataBar>
        <cfvo type="min"/>
        <cfvo type="max"/>
        <color rgb="FF63C384"/>
      </dataBar>
    </cfRule>
    <cfRule type="dataBar" priority="815">
      <dataBar>
        <cfvo type="min"/>
        <cfvo type="max"/>
        <color rgb="FF63C384"/>
      </dataBar>
    </cfRule>
    <cfRule type="dataBar" priority="813">
      <dataBar>
        <cfvo type="min"/>
        <cfvo type="max"/>
        <color rgb="FF63C384"/>
      </dataBar>
    </cfRule>
    <cfRule type="dataBar" priority="812">
      <dataBar>
        <cfvo type="min"/>
        <cfvo type="max"/>
        <color rgb="FF63C384"/>
      </dataBar>
    </cfRule>
    <cfRule type="dataBar" priority="810">
      <dataBar>
        <cfvo type="min"/>
        <cfvo type="max"/>
        <color rgb="FF63C384"/>
      </dataBar>
    </cfRule>
    <cfRule type="dataBar" priority="809">
      <dataBar>
        <cfvo type="min"/>
        <cfvo type="max"/>
        <color rgb="FF63C384"/>
      </dataBar>
    </cfRule>
  </conditionalFormatting>
  <conditionalFormatting sqref="AG26">
    <cfRule type="dataBar" priority="808">
      <dataBar>
        <cfvo type="min"/>
        <cfvo type="max"/>
        <color rgb="FF63C384"/>
      </dataBar>
    </cfRule>
    <cfRule type="dataBar" priority="807">
      <dataBar>
        <cfvo type="min"/>
        <cfvo type="max"/>
        <color rgb="FF63C384"/>
      </dataBar>
    </cfRule>
    <cfRule type="dataBar" priority="806">
      <dataBar>
        <cfvo type="min"/>
        <cfvo type="max"/>
        <color rgb="FF63C384"/>
      </dataBar>
    </cfRule>
    <cfRule type="dataBar" priority="805">
      <dataBar>
        <cfvo type="min"/>
        <cfvo type="max"/>
        <color rgb="FF63C384"/>
      </dataBar>
    </cfRule>
  </conditionalFormatting>
  <conditionalFormatting sqref="AG27:AG28">
    <cfRule type="dataBar" priority="804">
      <dataBar>
        <cfvo type="min"/>
        <cfvo type="max"/>
        <color rgb="FF63C384"/>
      </dataBar>
    </cfRule>
    <cfRule type="dataBar" priority="803">
      <dataBar>
        <cfvo type="min"/>
        <cfvo type="max"/>
        <color rgb="FF63C384"/>
      </dataBar>
    </cfRule>
  </conditionalFormatting>
  <conditionalFormatting sqref="Q29">
    <cfRule type="cellIs" priority="802" operator="equal" dxfId="2034">
      <formula>"ja"</formula>
    </cfRule>
    <cfRule type="cellIs" priority="797" operator="equal" dxfId="2034">
      <formula>"ja"</formula>
    </cfRule>
  </conditionalFormatting>
  <conditionalFormatting sqref="AG29">
    <cfRule type="dataBar" priority="801">
      <dataBar>
        <cfvo type="min"/>
        <cfvo type="max"/>
        <color rgb="FF63C384"/>
      </dataBar>
    </cfRule>
    <cfRule type="dataBar" priority="800">
      <dataBar>
        <cfvo type="min"/>
        <cfvo type="max"/>
        <color rgb="FF63C384"/>
      </dataBar>
    </cfRule>
    <cfRule type="dataBar" priority="799">
      <dataBar>
        <cfvo type="min"/>
        <cfvo type="max"/>
        <color rgb="FF63C384"/>
      </dataBar>
    </cfRule>
    <cfRule type="dataBar" priority="798">
      <dataBar>
        <cfvo type="min"/>
        <cfvo type="max"/>
        <color rgb="FF63C384"/>
      </dataBar>
    </cfRule>
  </conditionalFormatting>
  <conditionalFormatting sqref="Q30">
    <cfRule type="cellIs" priority="796" operator="equal" dxfId="2034">
      <formula>"ja"</formula>
    </cfRule>
  </conditionalFormatting>
  <conditionalFormatting sqref="AG30">
    <cfRule type="dataBar" priority="795">
      <dataBar>
        <cfvo type="min"/>
        <cfvo type="max"/>
        <color rgb="FF63C384"/>
      </dataBar>
    </cfRule>
    <cfRule type="dataBar" priority="794">
      <dataBar>
        <cfvo type="min"/>
        <cfvo type="max"/>
        <color rgb="FF63C384"/>
      </dataBar>
    </cfRule>
  </conditionalFormatting>
  <conditionalFormatting sqref="Q31:Q32">
    <cfRule type="cellIs" priority="793" operator="equal" dxfId="2034">
      <formula>"ja"</formula>
    </cfRule>
    <cfRule type="cellIs" priority="791" operator="equal" dxfId="2034">
      <formula>"ja"</formula>
    </cfRule>
    <cfRule type="cellIs" priority="790" operator="equal" dxfId="2034">
      <formula>"ja"</formula>
    </cfRule>
  </conditionalFormatting>
  <conditionalFormatting sqref="AG31">
    <cfRule type="dataBar" priority="792">
      <dataBar>
        <cfvo type="min"/>
        <cfvo type="max"/>
        <color rgb="FF63C384"/>
      </dataBar>
    </cfRule>
  </conditionalFormatting>
  <conditionalFormatting sqref="Q33">
    <cfRule type="cellIs" priority="789" operator="equal" dxfId="2034">
      <formula>"ja"</formula>
    </cfRule>
  </conditionalFormatting>
  <conditionalFormatting sqref="AG33">
    <cfRule type="dataBar" priority="788">
      <dataBar>
        <cfvo type="min"/>
        <cfvo type="max"/>
        <color rgb="FF63C384"/>
      </dataBar>
    </cfRule>
    <cfRule type="dataBar" priority="787">
      <dataBar>
        <cfvo type="min"/>
        <cfvo type="max"/>
        <color rgb="FF63C384"/>
      </dataBar>
    </cfRule>
  </conditionalFormatting>
  <conditionalFormatting sqref="Q32">
    <cfRule type="cellIs" priority="786" operator="equal" dxfId="2034">
      <formula>"ja"</formula>
    </cfRule>
    <cfRule type="cellIs" priority="783" operator="equal" dxfId="2034">
      <formula>"ja"</formula>
    </cfRule>
  </conditionalFormatting>
  <conditionalFormatting sqref="AG32">
    <cfRule type="dataBar" priority="785">
      <dataBar>
        <cfvo type="min"/>
        <cfvo type="max"/>
        <color rgb="FF63C384"/>
      </dataBar>
    </cfRule>
    <cfRule type="dataBar" priority="784">
      <dataBar>
        <cfvo type="min"/>
        <cfvo type="max"/>
        <color rgb="FF63C384"/>
      </dataBar>
    </cfRule>
    <cfRule type="dataBar" priority="782">
      <dataBar>
        <cfvo type="min"/>
        <cfvo type="max"/>
        <color rgb="FF63C384"/>
      </dataBar>
    </cfRule>
    <cfRule type="dataBar" priority="781">
      <dataBar>
        <cfvo type="min"/>
        <cfvo type="max"/>
        <color rgb="FF63C384"/>
      </dataBar>
    </cfRule>
  </conditionalFormatting>
  <conditionalFormatting sqref="AG34">
    <cfRule type="dataBar" priority="780">
      <dataBar>
        <cfvo type="min"/>
        <cfvo type="max"/>
        <color rgb="FF63C384"/>
      </dataBar>
    </cfRule>
    <cfRule type="dataBar" priority="779">
      <dataBar>
        <cfvo type="min"/>
        <cfvo type="max"/>
        <color rgb="FF63C384"/>
      </dataBar>
    </cfRule>
  </conditionalFormatting>
  <conditionalFormatting sqref="AG35">
    <cfRule type="dataBar" priority="778">
      <dataBar>
        <cfvo type="min"/>
        <cfvo type="max"/>
        <color rgb="FF63C384"/>
      </dataBar>
    </cfRule>
    <cfRule type="dataBar" priority="777">
      <dataBar>
        <cfvo type="min"/>
        <cfvo type="max"/>
        <color rgb="FF63C384"/>
      </dataBar>
    </cfRule>
    <cfRule type="dataBar" priority="776">
      <dataBar>
        <cfvo type="min"/>
        <cfvo type="max"/>
        <color rgb="FF63C384"/>
      </dataBar>
    </cfRule>
    <cfRule type="dataBar" priority="775">
      <dataBar>
        <cfvo type="min"/>
        <cfvo type="max"/>
        <color rgb="FF63C384"/>
      </dataBar>
    </cfRule>
  </conditionalFormatting>
  <conditionalFormatting sqref="Q36">
    <cfRule type="cellIs" priority="774" operator="equal" dxfId="2034">
      <formula>"ja"</formula>
    </cfRule>
  </conditionalFormatting>
  <conditionalFormatting sqref="AG36">
    <cfRule type="dataBar" priority="773">
      <dataBar>
        <cfvo type="min"/>
        <cfvo type="max"/>
        <color rgb="FF63C384"/>
      </dataBar>
    </cfRule>
    <cfRule type="dataBar" priority="772">
      <dataBar>
        <cfvo type="min"/>
        <cfvo type="max"/>
        <color rgb="FF63C384"/>
      </dataBar>
    </cfRule>
  </conditionalFormatting>
  <conditionalFormatting sqref="AG37">
    <cfRule type="dataBar" priority="771">
      <dataBar>
        <cfvo type="min"/>
        <cfvo type="max"/>
        <color rgb="FF63C384"/>
      </dataBar>
    </cfRule>
    <cfRule type="dataBar" priority="770">
      <dataBar>
        <cfvo type="min"/>
        <cfvo type="max"/>
        <color rgb="FF63C384"/>
      </dataBar>
    </cfRule>
  </conditionalFormatting>
  <conditionalFormatting sqref="Q37">
    <cfRule type="cellIs" priority="769" operator="equal" dxfId="2034">
      <formula>"ja"</formula>
    </cfRule>
    <cfRule type="cellIs" priority="768" operator="equal" dxfId="2034">
      <formula>"ja"</formula>
    </cfRule>
  </conditionalFormatting>
  <conditionalFormatting sqref="AG38:AG39">
    <cfRule type="dataBar" priority="767">
      <dataBar>
        <cfvo type="min"/>
        <cfvo type="max"/>
        <color rgb="FF63C384"/>
      </dataBar>
    </cfRule>
    <cfRule type="dataBar" priority="766">
      <dataBar>
        <cfvo type="min"/>
        <cfvo type="max"/>
        <color rgb="FF63C384"/>
      </dataBar>
    </cfRule>
  </conditionalFormatting>
  <conditionalFormatting sqref="Q40">
    <cfRule type="cellIs" priority="765" operator="equal" dxfId="2034">
      <formula>"ja"</formula>
    </cfRule>
    <cfRule type="cellIs" priority="760" operator="equal" dxfId="2034">
      <formula>"ja"</formula>
    </cfRule>
  </conditionalFormatting>
  <conditionalFormatting sqref="AG40">
    <cfRule type="dataBar" priority="764">
      <dataBar>
        <cfvo type="min"/>
        <cfvo type="max"/>
        <color rgb="FF63C384"/>
      </dataBar>
    </cfRule>
    <cfRule type="dataBar" priority="763">
      <dataBar>
        <cfvo type="min"/>
        <cfvo type="max"/>
        <color rgb="FF63C384"/>
      </dataBar>
    </cfRule>
    <cfRule type="dataBar" priority="762">
      <dataBar>
        <cfvo type="min"/>
        <cfvo type="max"/>
        <color rgb="FF63C384"/>
      </dataBar>
    </cfRule>
    <cfRule type="dataBar" priority="761">
      <dataBar>
        <cfvo type="min"/>
        <cfvo type="max"/>
        <color rgb="FF63C384"/>
      </dataBar>
    </cfRule>
  </conditionalFormatting>
  <conditionalFormatting sqref="AG41">
    <cfRule type="dataBar" priority="759">
      <dataBar>
        <cfvo type="min"/>
        <cfvo type="max"/>
        <color rgb="FF63C384"/>
      </dataBar>
    </cfRule>
    <cfRule type="dataBar" priority="758">
      <dataBar>
        <cfvo type="min"/>
        <cfvo type="max"/>
        <color rgb="FF63C384"/>
      </dataBar>
    </cfRule>
  </conditionalFormatting>
  <conditionalFormatting sqref="Q41">
    <cfRule type="cellIs" priority="757" operator="equal" dxfId="2034">
      <formula>"ja"</formula>
    </cfRule>
  </conditionalFormatting>
  <conditionalFormatting sqref="Q42">
    <cfRule type="cellIs" priority="756" operator="equal" dxfId="2034">
      <formula>"ja"</formula>
    </cfRule>
  </conditionalFormatting>
  <conditionalFormatting sqref="AG42">
    <cfRule type="dataBar" priority="755">
      <dataBar>
        <cfvo type="min"/>
        <cfvo type="max"/>
        <color rgb="FF63C384"/>
      </dataBar>
    </cfRule>
    <cfRule type="dataBar" priority="754">
      <dataBar>
        <cfvo type="min"/>
        <cfvo type="max"/>
        <color rgb="FF63C384"/>
      </dataBar>
    </cfRule>
  </conditionalFormatting>
  <conditionalFormatting sqref="Q43">
    <cfRule type="cellIs" priority="753" operator="equal" dxfId="2034">
      <formula>"ja"</formula>
    </cfRule>
  </conditionalFormatting>
  <conditionalFormatting sqref="AG43">
    <cfRule type="dataBar" priority="752">
      <dataBar>
        <cfvo type="min"/>
        <cfvo type="max"/>
        <color rgb="FF63C384"/>
      </dataBar>
    </cfRule>
    <cfRule type="dataBar" priority="751">
      <dataBar>
        <cfvo type="min"/>
        <cfvo type="max"/>
        <color rgb="FF63C384"/>
      </dataBar>
    </cfRule>
  </conditionalFormatting>
  <conditionalFormatting sqref="Q45">
    <cfRule type="cellIs" priority="750" operator="equal" dxfId="2034">
      <formula>"ja"</formula>
    </cfRule>
    <cfRule type="cellIs" priority="741" operator="equal" dxfId="2034">
      <formula>"ja"</formula>
    </cfRule>
    <cfRule type="cellIs" priority="747" operator="equal" dxfId="2034">
      <formula>"ja"</formula>
    </cfRule>
    <cfRule type="cellIs" priority="744" operator="equal" dxfId="2034">
      <formula>"ja"</formula>
    </cfRule>
  </conditionalFormatting>
  <conditionalFormatting sqref="AG45">
    <cfRule type="dataBar" priority="749">
      <dataBar>
        <cfvo type="min"/>
        <cfvo type="max"/>
        <color rgb="FF63C384"/>
      </dataBar>
    </cfRule>
    <cfRule type="dataBar" priority="748">
      <dataBar>
        <cfvo type="min"/>
        <cfvo type="max"/>
        <color rgb="FF63C384"/>
      </dataBar>
    </cfRule>
    <cfRule type="dataBar" priority="746">
      <dataBar>
        <cfvo type="min"/>
        <cfvo type="max"/>
        <color rgb="FF63C384"/>
      </dataBar>
    </cfRule>
    <cfRule type="dataBar" priority="745">
      <dataBar>
        <cfvo type="min"/>
        <cfvo type="max"/>
        <color rgb="FF63C384"/>
      </dataBar>
    </cfRule>
    <cfRule type="dataBar" priority="743">
      <dataBar>
        <cfvo type="min"/>
        <cfvo type="max"/>
        <color rgb="FF63C384"/>
      </dataBar>
    </cfRule>
    <cfRule type="dataBar" priority="742">
      <dataBar>
        <cfvo type="min"/>
        <cfvo type="max"/>
        <color rgb="FF63C384"/>
      </dataBar>
    </cfRule>
    <cfRule type="dataBar" priority="740">
      <dataBar>
        <cfvo type="min"/>
        <cfvo type="max"/>
        <color rgb="FF63C384"/>
      </dataBar>
    </cfRule>
    <cfRule type="dataBar" priority="739">
      <dataBar>
        <cfvo type="min"/>
        <cfvo type="max"/>
        <color rgb="FF63C384"/>
      </dataBar>
    </cfRule>
  </conditionalFormatting>
  <conditionalFormatting sqref="Q44:Q45">
    <cfRule type="cellIs" priority="738" operator="equal" dxfId="2034">
      <formula>"ja"</formula>
    </cfRule>
    <cfRule type="cellIs" priority="736" operator="equal" dxfId="2034">
      <formula>"ja"</formula>
    </cfRule>
  </conditionalFormatting>
  <conditionalFormatting sqref="AG44">
    <cfRule type="dataBar" priority="737">
      <dataBar>
        <cfvo type="min"/>
        <cfvo type="max"/>
        <color rgb="FF63C384"/>
      </dataBar>
    </cfRule>
  </conditionalFormatting>
  <conditionalFormatting sqref="Q46:Q47">
    <cfRule type="cellIs" priority="735" operator="equal" dxfId="2034">
      <formula>"ja"</formula>
    </cfRule>
    <cfRule type="cellIs" priority="733" operator="equal" dxfId="2034">
      <formula>"ja"</formula>
    </cfRule>
  </conditionalFormatting>
  <conditionalFormatting sqref="AG46">
    <cfRule type="dataBar" priority="734">
      <dataBar>
        <cfvo type="min"/>
        <cfvo type="max"/>
        <color rgb="FF63C384"/>
      </dataBar>
    </cfRule>
  </conditionalFormatting>
  <conditionalFormatting sqref="Q48">
    <cfRule type="cellIs" priority="732" operator="equal" dxfId="2034">
      <formula>"ja"</formula>
    </cfRule>
  </conditionalFormatting>
  <conditionalFormatting sqref="AG48">
    <cfRule type="dataBar" priority="731">
      <dataBar>
        <cfvo type="min"/>
        <cfvo type="max"/>
        <color rgb="FF63C384"/>
      </dataBar>
    </cfRule>
    <cfRule type="dataBar" priority="730">
      <dataBar>
        <cfvo type="min"/>
        <cfvo type="max"/>
        <color rgb="FF63C384"/>
      </dataBar>
    </cfRule>
  </conditionalFormatting>
  <conditionalFormatting sqref="Q47">
    <cfRule type="cellIs" priority="729" operator="equal" dxfId="2034">
      <formula>"ja"</formula>
    </cfRule>
    <cfRule type="cellIs" priority="726" operator="equal" dxfId="2034">
      <formula>"ja"</formula>
    </cfRule>
  </conditionalFormatting>
  <conditionalFormatting sqref="AG47">
    <cfRule type="dataBar" priority="728">
      <dataBar>
        <cfvo type="min"/>
        <cfvo type="max"/>
        <color rgb="FF63C384"/>
      </dataBar>
    </cfRule>
    <cfRule type="dataBar" priority="727">
      <dataBar>
        <cfvo type="min"/>
        <cfvo type="max"/>
        <color rgb="FF63C384"/>
      </dataBar>
    </cfRule>
    <cfRule type="dataBar" priority="725">
      <dataBar>
        <cfvo type="min"/>
        <cfvo type="max"/>
        <color rgb="FF63C384"/>
      </dataBar>
    </cfRule>
    <cfRule type="dataBar" priority="724">
      <dataBar>
        <cfvo type="min"/>
        <cfvo type="max"/>
        <color rgb="FF63C384"/>
      </dataBar>
    </cfRule>
  </conditionalFormatting>
  <conditionalFormatting sqref="AG49">
    <cfRule type="dataBar" priority="723">
      <dataBar>
        <cfvo type="min"/>
        <cfvo type="max"/>
        <color rgb="FF63C384"/>
      </dataBar>
    </cfRule>
    <cfRule type="dataBar" priority="722">
      <dataBar>
        <cfvo type="min"/>
        <cfvo type="max"/>
        <color rgb="FF63C384"/>
      </dataBar>
    </cfRule>
    <cfRule type="dataBar" priority="721">
      <dataBar>
        <cfvo type="min"/>
        <cfvo type="max"/>
        <color rgb="FF63C384"/>
      </dataBar>
    </cfRule>
    <cfRule type="dataBar" priority="720">
      <dataBar>
        <cfvo type="min"/>
        <cfvo type="max"/>
        <color rgb="FF63C384"/>
      </dataBar>
    </cfRule>
  </conditionalFormatting>
  <conditionalFormatting sqref="AG52:AG54">
    <cfRule type="dataBar" priority="719">
      <dataBar>
        <cfvo type="min"/>
        <cfvo type="max"/>
        <color rgb="FF63C384"/>
      </dataBar>
    </cfRule>
    <cfRule type="dataBar" priority="718">
      <dataBar>
        <cfvo type="min"/>
        <cfvo type="max"/>
        <color rgb="FF63C384"/>
      </dataBar>
    </cfRule>
  </conditionalFormatting>
  <conditionalFormatting sqref="Q50:Q51">
    <cfRule type="cellIs" priority="717" operator="equal" dxfId="2034">
      <formula>"ja"</formula>
    </cfRule>
    <cfRule type="cellIs" priority="715" operator="equal" dxfId="2034">
      <formula>"ja"</formula>
    </cfRule>
    <cfRule type="cellIs" priority="714" operator="equal" dxfId="2034">
      <formula>"ja"</formula>
    </cfRule>
  </conditionalFormatting>
  <conditionalFormatting sqref="AG50:AG51">
    <cfRule type="dataBar" priority="716">
      <dataBar>
        <cfvo type="min"/>
        <cfvo type="max"/>
        <color rgb="FF63C384"/>
      </dataBar>
    </cfRule>
  </conditionalFormatting>
  <conditionalFormatting sqref="AG56">
    <cfRule type="dataBar" priority="713">
      <dataBar>
        <cfvo type="min"/>
        <cfvo type="max"/>
        <color rgb="FF63C384"/>
      </dataBar>
    </cfRule>
    <cfRule type="dataBar" priority="712">
      <dataBar>
        <cfvo type="min"/>
        <cfvo type="max"/>
        <color rgb="FF63C384"/>
      </dataBar>
    </cfRule>
  </conditionalFormatting>
  <conditionalFormatting sqref="Q56">
    <cfRule type="cellIs" priority="711" operator="equal" dxfId="2034">
      <formula>"ja"</formula>
    </cfRule>
    <cfRule type="cellIs" priority="710" operator="equal" dxfId="2034">
      <formula>"ja"</formula>
    </cfRule>
  </conditionalFormatting>
  <conditionalFormatting sqref="Q57">
    <cfRule type="cellIs" priority="709" operator="equal" dxfId="2034">
      <formula>"ja"</formula>
    </cfRule>
    <cfRule type="cellIs" priority="704" operator="equal" dxfId="2034">
      <formula>"ja"</formula>
    </cfRule>
  </conditionalFormatting>
  <conditionalFormatting sqref="AG57">
    <cfRule type="dataBar" priority="708">
      <dataBar>
        <cfvo type="min"/>
        <cfvo type="max"/>
        <color rgb="FF63C384"/>
      </dataBar>
    </cfRule>
    <cfRule type="dataBar" priority="707">
      <dataBar>
        <cfvo type="min"/>
        <cfvo type="max"/>
        <color rgb="FF63C384"/>
      </dataBar>
    </cfRule>
    <cfRule type="dataBar" priority="706">
      <dataBar>
        <cfvo type="min"/>
        <cfvo type="max"/>
        <color rgb="FF63C384"/>
      </dataBar>
    </cfRule>
    <cfRule type="dataBar" priority="705">
      <dataBar>
        <cfvo type="min"/>
        <cfvo type="max"/>
        <color rgb="FF63C384"/>
      </dataBar>
    </cfRule>
  </conditionalFormatting>
  <conditionalFormatting sqref="AA58">
    <cfRule type="expression" priority="703" dxfId="2">
      <formula>AND(AND($W58&lt;TODAY(),$W58&lt;&gt;""),$X58="")</formula>
    </cfRule>
  </conditionalFormatting>
  <conditionalFormatting sqref="Q58">
    <cfRule type="cellIs" priority="702" operator="equal" dxfId="2034">
      <formula>"ja"</formula>
    </cfRule>
  </conditionalFormatting>
  <conditionalFormatting sqref="AG58">
    <cfRule type="dataBar" priority="701">
      <dataBar>
        <cfvo type="min"/>
        <cfvo type="max"/>
        <color rgb="FF63C384"/>
      </dataBar>
    </cfRule>
    <cfRule type="dataBar" priority="700">
      <dataBar>
        <cfvo type="min"/>
        <cfvo type="max"/>
        <color rgb="FF63C384"/>
      </dataBar>
    </cfRule>
  </conditionalFormatting>
  <conditionalFormatting sqref="Q59">
    <cfRule type="cellIs" priority="699" operator="equal" dxfId="2034">
      <formula>"ja"</formula>
    </cfRule>
  </conditionalFormatting>
  <conditionalFormatting sqref="AA59">
    <cfRule type="expression" priority="698" dxfId="2">
      <formula>AND(AND($W59&lt;TODAY(),$W59&lt;&gt;""),$X59="")</formula>
    </cfRule>
  </conditionalFormatting>
  <conditionalFormatting sqref="AG59">
    <cfRule type="dataBar" priority="697">
      <dataBar>
        <cfvo type="min"/>
        <cfvo type="max"/>
        <color rgb="FF63C384"/>
      </dataBar>
    </cfRule>
    <cfRule type="dataBar" priority="696">
      <dataBar>
        <cfvo type="min"/>
        <cfvo type="max"/>
        <color rgb="FF63C384"/>
      </dataBar>
    </cfRule>
  </conditionalFormatting>
  <conditionalFormatting sqref="AA60">
    <cfRule type="expression" priority="695" dxfId="2">
      <formula>AND(AND($W60&lt;TODAY(),$W60&lt;&gt;""),$X60="")</formula>
    </cfRule>
  </conditionalFormatting>
  <conditionalFormatting sqref="Q60">
    <cfRule type="cellIs" priority="694" operator="equal" dxfId="2034">
      <formula>"ja"</formula>
    </cfRule>
  </conditionalFormatting>
  <conditionalFormatting sqref="AG60">
    <cfRule type="dataBar" priority="693">
      <dataBar>
        <cfvo type="min"/>
        <cfvo type="max"/>
        <color rgb="FF63C384"/>
      </dataBar>
    </cfRule>
    <cfRule type="dataBar" priority="692">
      <dataBar>
        <cfvo type="min"/>
        <cfvo type="max"/>
        <color rgb="FF63C384"/>
      </dataBar>
    </cfRule>
  </conditionalFormatting>
  <conditionalFormatting sqref="AA61">
    <cfRule type="expression" priority="691" dxfId="2">
      <formula>AND(AND($W61&lt;TODAY(),$W61&lt;&gt;""),$X61="")</formula>
    </cfRule>
  </conditionalFormatting>
  <conditionalFormatting sqref="AG61">
    <cfRule type="dataBar" priority="690">
      <dataBar>
        <cfvo type="min"/>
        <cfvo type="max"/>
        <color rgb="FF63C384"/>
      </dataBar>
    </cfRule>
    <cfRule type="dataBar" priority="689">
      <dataBar>
        <cfvo type="min"/>
        <cfvo type="max"/>
        <color rgb="FF63C384"/>
      </dataBar>
    </cfRule>
    <cfRule type="dataBar" priority="687">
      <dataBar>
        <cfvo type="min"/>
        <cfvo type="max"/>
        <color rgb="FF63C384"/>
      </dataBar>
    </cfRule>
    <cfRule type="dataBar" priority="686">
      <dataBar>
        <cfvo type="min"/>
        <cfvo type="max"/>
        <color rgb="FF63C384"/>
      </dataBar>
    </cfRule>
  </conditionalFormatting>
  <conditionalFormatting sqref="Q61">
    <cfRule type="cellIs" priority="688" operator="equal" dxfId="2034">
      <formula>"ja"</formula>
    </cfRule>
  </conditionalFormatting>
  <conditionalFormatting sqref="Q62">
    <cfRule type="cellIs" priority="685" operator="equal" dxfId="2034">
      <formula>"ja"</formula>
    </cfRule>
    <cfRule type="cellIs" priority="681" operator="equal" dxfId="2034">
      <formula>"ja"</formula>
    </cfRule>
  </conditionalFormatting>
  <conditionalFormatting sqref="AA62">
    <cfRule type="expression" priority="684" dxfId="2">
      <formula>AND(AND($W62&lt;TODAY(),$W62&lt;&gt;""),$X62="")</formula>
    </cfRule>
    <cfRule type="expression" priority="680" dxfId="2">
      <formula>AND(AND($W62&lt;TODAY(),$W62&lt;&gt;""),$X62="")</formula>
    </cfRule>
  </conditionalFormatting>
  <conditionalFormatting sqref="AG62">
    <cfRule type="dataBar" priority="683">
      <dataBar>
        <cfvo type="min"/>
        <cfvo type="max"/>
        <color rgb="FF63C384"/>
      </dataBar>
    </cfRule>
    <cfRule type="dataBar" priority="682">
      <dataBar>
        <cfvo type="min"/>
        <cfvo type="max"/>
        <color rgb="FF63C384"/>
      </dataBar>
    </cfRule>
    <cfRule type="dataBar" priority="679">
      <dataBar>
        <cfvo type="min"/>
        <cfvo type="max"/>
        <color rgb="FF63C384"/>
      </dataBar>
    </cfRule>
    <cfRule type="dataBar" priority="678">
      <dataBar>
        <cfvo type="min"/>
        <cfvo type="max"/>
        <color rgb="FF63C384"/>
      </dataBar>
    </cfRule>
  </conditionalFormatting>
  <conditionalFormatting sqref="Q63">
    <cfRule type="cellIs" priority="677" operator="equal" dxfId="2034">
      <formula>"ja"</formula>
    </cfRule>
  </conditionalFormatting>
  <conditionalFormatting sqref="AA63">
    <cfRule type="expression" priority="676" dxfId="2">
      <formula>AND(AND($W63&lt;TODAY(),$W63&lt;&gt;""),$X63="")</formula>
    </cfRule>
  </conditionalFormatting>
  <conditionalFormatting sqref="AG63">
    <cfRule type="dataBar" priority="675">
      <dataBar>
        <cfvo type="min"/>
        <cfvo type="max"/>
        <color rgb="FF63C384"/>
      </dataBar>
    </cfRule>
    <cfRule type="dataBar" priority="674">
      <dataBar>
        <cfvo type="min"/>
        <cfvo type="max"/>
        <color rgb="FF63C384"/>
      </dataBar>
    </cfRule>
  </conditionalFormatting>
  <conditionalFormatting sqref="AA64">
    <cfRule type="expression" priority="673" dxfId="2">
      <formula>AND(AND($W64&lt;TODAY(),$W64&lt;&gt;""),$X64="")</formula>
    </cfRule>
  </conditionalFormatting>
  <conditionalFormatting sqref="AG64">
    <cfRule type="dataBar" priority="672">
      <dataBar>
        <cfvo type="min"/>
        <cfvo type="max"/>
        <color rgb="FF63C384"/>
      </dataBar>
    </cfRule>
    <cfRule type="dataBar" priority="671">
      <dataBar>
        <cfvo type="min"/>
        <cfvo type="max"/>
        <color rgb="FF63C384"/>
      </dataBar>
    </cfRule>
  </conditionalFormatting>
  <conditionalFormatting sqref="Q64">
    <cfRule type="cellIs" priority="670" operator="equal" dxfId="2034">
      <formula>"ja"</formula>
    </cfRule>
  </conditionalFormatting>
  <conditionalFormatting sqref="AA65:AA66">
    <cfRule type="expression" priority="669" dxfId="2">
      <formula>AND(AND($W65&lt;TODAY(),$W65&lt;&gt;""),$X65="")</formula>
    </cfRule>
  </conditionalFormatting>
  <conditionalFormatting sqref="Q65">
    <cfRule type="cellIs" priority="668" operator="equal" dxfId="2034">
      <formula>"ja"</formula>
    </cfRule>
  </conditionalFormatting>
  <conditionalFormatting sqref="AG65:AG66">
    <cfRule type="dataBar" priority="667">
      <dataBar>
        <cfvo type="min"/>
        <cfvo type="max"/>
        <color rgb="FF63C384"/>
      </dataBar>
    </cfRule>
    <cfRule type="dataBar" priority="666">
      <dataBar>
        <cfvo type="min"/>
        <cfvo type="max"/>
        <color rgb="FF63C384"/>
      </dataBar>
    </cfRule>
  </conditionalFormatting>
  <conditionalFormatting sqref="AA67">
    <cfRule type="expression" priority="665" dxfId="2">
      <formula>AND(AND($W67&lt;TODAY(),$W67&lt;&gt;""),$X67="")</formula>
    </cfRule>
  </conditionalFormatting>
  <conditionalFormatting sqref="Q67">
    <cfRule type="cellIs" priority="664" operator="equal" dxfId="2034">
      <formula>"ja"</formula>
    </cfRule>
    <cfRule type="cellIs" priority="655" operator="equal" dxfId="2034">
      <formula>"ja"</formula>
    </cfRule>
    <cfRule type="cellIs" priority="661" operator="equal" dxfId="2034">
      <formula>"ja"</formula>
    </cfRule>
    <cfRule type="cellIs" priority="658" operator="equal" dxfId="2034">
      <formula>"ja"</formula>
    </cfRule>
    <cfRule type="cellIs" priority="652" operator="equal" dxfId="2034">
      <formula>"ja"</formula>
    </cfRule>
    <cfRule type="cellIs" priority="651" operator="equal" dxfId="2034">
      <formula>"ja"</formula>
    </cfRule>
  </conditionalFormatting>
  <conditionalFormatting sqref="AG67">
    <cfRule type="dataBar" priority="663">
      <dataBar>
        <cfvo type="min"/>
        <cfvo type="max"/>
        <color rgb="FF63C384"/>
      </dataBar>
    </cfRule>
    <cfRule type="dataBar" priority="662">
      <dataBar>
        <cfvo type="min"/>
        <cfvo type="max"/>
        <color rgb="FF63C384"/>
      </dataBar>
    </cfRule>
    <cfRule type="dataBar" priority="660">
      <dataBar>
        <cfvo type="min"/>
        <cfvo type="max"/>
        <color rgb="FF63C384"/>
      </dataBar>
    </cfRule>
    <cfRule type="dataBar" priority="659">
      <dataBar>
        <cfvo type="min"/>
        <cfvo type="max"/>
        <color rgb="FF63C384"/>
      </dataBar>
    </cfRule>
    <cfRule type="dataBar" priority="657">
      <dataBar>
        <cfvo type="min"/>
        <cfvo type="max"/>
        <color rgb="FF63C384"/>
      </dataBar>
    </cfRule>
    <cfRule type="dataBar" priority="656">
      <dataBar>
        <cfvo type="min"/>
        <cfvo type="max"/>
        <color rgb="FF63C384"/>
      </dataBar>
    </cfRule>
    <cfRule type="dataBar" priority="654">
      <dataBar>
        <cfvo type="min"/>
        <cfvo type="max"/>
        <color rgb="FF63C384"/>
      </dataBar>
    </cfRule>
    <cfRule type="dataBar" priority="653">
      <dataBar>
        <cfvo type="min"/>
        <cfvo type="max"/>
        <color rgb="FF63C384"/>
      </dataBar>
    </cfRule>
  </conditionalFormatting>
  <conditionalFormatting sqref="AA68">
    <cfRule type="expression" priority="650" dxfId="2">
      <formula>AND(AND($W68&lt;TODAY(),$W68&lt;&gt;""),$X68="")</formula>
    </cfRule>
  </conditionalFormatting>
  <conditionalFormatting sqref="Q68">
    <cfRule type="cellIs" priority="649" operator="equal" dxfId="2034">
      <formula>"ja"</formula>
    </cfRule>
  </conditionalFormatting>
  <conditionalFormatting sqref="AG68">
    <cfRule type="dataBar" priority="648">
      <dataBar>
        <cfvo type="min"/>
        <cfvo type="max"/>
        <color rgb="FF63C384"/>
      </dataBar>
    </cfRule>
    <cfRule type="dataBar" priority="647">
      <dataBar>
        <cfvo type="min"/>
        <cfvo type="max"/>
        <color rgb="FF63C384"/>
      </dataBar>
    </cfRule>
  </conditionalFormatting>
  <conditionalFormatting sqref="AA69">
    <cfRule type="expression" priority="646" dxfId="2">
      <formula>AND(AND($W69&lt;TODAY(),$W69&lt;&gt;""),$X69="")</formula>
    </cfRule>
  </conditionalFormatting>
  <conditionalFormatting sqref="Q69">
    <cfRule type="cellIs" priority="645" operator="equal" dxfId="2034">
      <formula>"ja"</formula>
    </cfRule>
    <cfRule type="cellIs" priority="643" operator="equal" dxfId="2034">
      <formula>"ja"</formula>
    </cfRule>
  </conditionalFormatting>
  <conditionalFormatting sqref="AG69">
    <cfRule type="dataBar" priority="644">
      <dataBar>
        <cfvo type="min"/>
        <cfvo type="max"/>
        <color rgb="FF63C384"/>
      </dataBar>
    </cfRule>
  </conditionalFormatting>
  <conditionalFormatting sqref="AA70">
    <cfRule type="expression" priority="642" dxfId="2">
      <formula>AND(AND($W70&lt;TODAY(),$W70&lt;&gt;""),$X70="")</formula>
    </cfRule>
  </conditionalFormatting>
  <conditionalFormatting sqref="Q70">
    <cfRule type="cellIs" priority="641" operator="equal" dxfId="2034">
      <formula>"ja"</formula>
    </cfRule>
    <cfRule type="cellIs" priority="639" operator="equal" dxfId="2034">
      <formula>"ja"</formula>
    </cfRule>
  </conditionalFormatting>
  <conditionalFormatting sqref="AG70">
    <cfRule type="dataBar" priority="640">
      <dataBar>
        <cfvo type="min"/>
        <cfvo type="max"/>
        <color rgb="FF63C384"/>
      </dataBar>
    </cfRule>
  </conditionalFormatting>
  <conditionalFormatting sqref="AA71">
    <cfRule type="expression" priority="638" dxfId="2">
      <formula>AND(AND($W71&lt;TODAY(),$W71&lt;&gt;""),$X71="")</formula>
    </cfRule>
  </conditionalFormatting>
  <conditionalFormatting sqref="Q71">
    <cfRule type="cellIs" priority="637" operator="equal" dxfId="2034">
      <formula>"ja"</formula>
    </cfRule>
  </conditionalFormatting>
  <conditionalFormatting sqref="AG71">
    <cfRule type="dataBar" priority="636">
      <dataBar>
        <cfvo type="min"/>
        <cfvo type="max"/>
        <color rgb="FF63C384"/>
      </dataBar>
    </cfRule>
    <cfRule type="dataBar" priority="635">
      <dataBar>
        <cfvo type="min"/>
        <cfvo type="max"/>
        <color rgb="FF63C384"/>
      </dataBar>
    </cfRule>
  </conditionalFormatting>
  <conditionalFormatting sqref="AA72">
    <cfRule type="expression" priority="634" dxfId="2">
      <formula>AND(AND($W72&lt;TODAY(),$W72&lt;&gt;""),$X72="")</formula>
    </cfRule>
  </conditionalFormatting>
  <conditionalFormatting sqref="Q72">
    <cfRule type="cellIs" priority="633" operator="equal" dxfId="2034">
      <formula>"ja"</formula>
    </cfRule>
    <cfRule type="cellIs" priority="631" operator="equal" dxfId="2034">
      <formula>"ja"</formula>
    </cfRule>
    <cfRule type="cellIs" priority="630" operator="equal" dxfId="2034">
      <formula>"ja"</formula>
    </cfRule>
  </conditionalFormatting>
  <conditionalFormatting sqref="AG72">
    <cfRule type="dataBar" priority="632">
      <dataBar>
        <cfvo type="min"/>
        <cfvo type="max"/>
        <color rgb="FF63C384"/>
      </dataBar>
    </cfRule>
  </conditionalFormatting>
  <conditionalFormatting sqref="AA73">
    <cfRule type="expression" priority="629" dxfId="2">
      <formula>AND(AND($W73&lt;TODAY(),$W73&lt;&gt;""),$X73="")</formula>
    </cfRule>
  </conditionalFormatting>
  <conditionalFormatting sqref="AG73">
    <cfRule type="dataBar" priority="628">
      <dataBar>
        <cfvo type="min"/>
        <cfvo type="max"/>
        <color rgb="FF63C384"/>
      </dataBar>
    </cfRule>
    <cfRule type="dataBar" priority="627">
      <dataBar>
        <cfvo type="min"/>
        <cfvo type="max"/>
        <color rgb="FF63C384"/>
      </dataBar>
    </cfRule>
  </conditionalFormatting>
  <conditionalFormatting sqref="AA74">
    <cfRule type="expression" priority="626" dxfId="2">
      <formula>AND(AND($W74&lt;TODAY(),$W74&lt;&gt;""),$X74="")</formula>
    </cfRule>
  </conditionalFormatting>
  <conditionalFormatting sqref="Q74">
    <cfRule type="cellIs" priority="625" operator="equal" dxfId="2034">
      <formula>"ja"</formula>
    </cfRule>
    <cfRule type="cellIs" priority="624" operator="equal" dxfId="2034">
      <formula>"ja"</formula>
    </cfRule>
    <cfRule type="cellIs" priority="623" operator="equal" dxfId="2034">
      <formula>"ja"</formula>
    </cfRule>
    <cfRule type="cellIs" priority="620" operator="equal" dxfId="2034">
      <formula>"ja"</formula>
    </cfRule>
  </conditionalFormatting>
  <conditionalFormatting sqref="AG74">
    <cfRule type="dataBar" priority="622">
      <dataBar>
        <cfvo type="min"/>
        <cfvo type="max"/>
        <color rgb="FF63C384"/>
      </dataBar>
    </cfRule>
    <cfRule type="dataBar" priority="621">
      <dataBar>
        <cfvo type="min"/>
        <cfvo type="max"/>
        <color rgb="FF63C384"/>
      </dataBar>
    </cfRule>
    <cfRule type="dataBar" priority="619">
      <dataBar>
        <cfvo type="min"/>
        <cfvo type="max"/>
        <color rgb="FF63C384"/>
      </dataBar>
    </cfRule>
    <cfRule type="dataBar" priority="618">
      <dataBar>
        <cfvo type="min"/>
        <cfvo type="max"/>
        <color rgb="FF63C384"/>
      </dataBar>
    </cfRule>
  </conditionalFormatting>
  <conditionalFormatting sqref="AA75">
    <cfRule type="expression" priority="617" dxfId="2">
      <formula>AND(AND($W75&lt;TODAY(),$W75&lt;&gt;""),$X75="")</formula>
    </cfRule>
  </conditionalFormatting>
  <conditionalFormatting sqref="AG75">
    <cfRule type="dataBar" priority="616">
      <dataBar>
        <cfvo type="min"/>
        <cfvo type="max"/>
        <color rgb="FF63C384"/>
      </dataBar>
    </cfRule>
    <cfRule type="dataBar" priority="615">
      <dataBar>
        <cfvo type="min"/>
        <cfvo type="max"/>
        <color rgb="FF63C384"/>
      </dataBar>
    </cfRule>
    <cfRule type="dataBar" priority="614">
      <dataBar>
        <cfvo type="min"/>
        <cfvo type="max"/>
        <color rgb="FF63C384"/>
      </dataBar>
    </cfRule>
    <cfRule type="dataBar" priority="613">
      <dataBar>
        <cfvo type="min"/>
        <cfvo type="max"/>
        <color rgb="FF63C384"/>
      </dataBar>
    </cfRule>
  </conditionalFormatting>
  <conditionalFormatting sqref="AA76">
    <cfRule type="expression" priority="612" dxfId="2">
      <formula>AND(AND($W76&lt;TODAY(),$W76&lt;&gt;""),$X76="")</formula>
    </cfRule>
  </conditionalFormatting>
  <conditionalFormatting sqref="AG76">
    <cfRule type="dataBar" priority="611">
      <dataBar>
        <cfvo type="min"/>
        <cfvo type="max"/>
        <color rgb="FF63C384"/>
      </dataBar>
    </cfRule>
    <cfRule type="dataBar" priority="610">
      <dataBar>
        <cfvo type="min"/>
        <cfvo type="max"/>
        <color rgb="FF63C384"/>
      </dataBar>
    </cfRule>
  </conditionalFormatting>
  <conditionalFormatting sqref="Q76">
    <cfRule type="cellIs" priority="609" operator="equal" dxfId="2034">
      <formula>"ja"</formula>
    </cfRule>
    <cfRule type="cellIs" priority="608" operator="equal" dxfId="2034">
      <formula>"ja"</formula>
    </cfRule>
  </conditionalFormatting>
  <conditionalFormatting sqref="AA77">
    <cfRule type="expression" priority="607" dxfId="2">
      <formula>AND(AND($W77&lt;TODAY(),$W77&lt;&gt;""),$X77="")</formula>
    </cfRule>
  </conditionalFormatting>
  <conditionalFormatting sqref="Q77">
    <cfRule type="cellIs" priority="606" operator="equal" dxfId="2034">
      <formula>"ja"</formula>
    </cfRule>
    <cfRule type="cellIs" priority="601" operator="equal" dxfId="2034">
      <formula>"ja"</formula>
    </cfRule>
  </conditionalFormatting>
  <conditionalFormatting sqref="AG77">
    <cfRule type="dataBar" priority="605">
      <dataBar>
        <cfvo type="min"/>
        <cfvo type="max"/>
        <color rgb="FF63C384"/>
      </dataBar>
    </cfRule>
    <cfRule type="dataBar" priority="604">
      <dataBar>
        <cfvo type="min"/>
        <cfvo type="max"/>
        <color rgb="FF63C384"/>
      </dataBar>
    </cfRule>
    <cfRule type="dataBar" priority="603">
      <dataBar>
        <cfvo type="min"/>
        <cfvo type="max"/>
        <color rgb="FF63C384"/>
      </dataBar>
    </cfRule>
    <cfRule type="dataBar" priority="602">
      <dataBar>
        <cfvo type="min"/>
        <cfvo type="max"/>
        <color rgb="FF63C384"/>
      </dataBar>
    </cfRule>
  </conditionalFormatting>
  <conditionalFormatting sqref="AA78">
    <cfRule type="expression" priority="600" dxfId="2">
      <formula>AND(AND($W78&lt;TODAY(),$W78&lt;&gt;""),$X78="")</formula>
    </cfRule>
  </conditionalFormatting>
  <conditionalFormatting sqref="Q78">
    <cfRule type="cellIs" priority="599" operator="equal" dxfId="2034">
      <formula>"ja"</formula>
    </cfRule>
  </conditionalFormatting>
  <conditionalFormatting sqref="AG78">
    <cfRule type="dataBar" priority="598">
      <dataBar>
        <cfvo type="min"/>
        <cfvo type="max"/>
        <color rgb="FF63C384"/>
      </dataBar>
    </cfRule>
    <cfRule type="dataBar" priority="597">
      <dataBar>
        <cfvo type="min"/>
        <cfvo type="max"/>
        <color rgb="FF63C384"/>
      </dataBar>
    </cfRule>
  </conditionalFormatting>
  <conditionalFormatting sqref="AA79">
    <cfRule type="expression" priority="596" dxfId="2">
      <formula>AND(AND($W79&lt;TODAY(),$W79&lt;&gt;""),$X79="")</formula>
    </cfRule>
  </conditionalFormatting>
  <conditionalFormatting sqref="Q79">
    <cfRule type="cellIs" priority="595" operator="equal" dxfId="2034">
      <formula>"ja"</formula>
    </cfRule>
  </conditionalFormatting>
  <conditionalFormatting sqref="AG79">
    <cfRule type="dataBar" priority="594">
      <dataBar>
        <cfvo type="min"/>
        <cfvo type="max"/>
        <color rgb="FF63C384"/>
      </dataBar>
    </cfRule>
    <cfRule type="dataBar" priority="593">
      <dataBar>
        <cfvo type="min"/>
        <cfvo type="max"/>
        <color rgb="FF63C384"/>
      </dataBar>
    </cfRule>
  </conditionalFormatting>
  <conditionalFormatting sqref="AA80">
    <cfRule type="expression" priority="592" dxfId="2">
      <formula>AND(AND($W80&lt;TODAY(),$W80&lt;&gt;""),$X80="")</formula>
    </cfRule>
  </conditionalFormatting>
  <conditionalFormatting sqref="AG80">
    <cfRule type="dataBar" priority="591">
      <dataBar>
        <cfvo type="min"/>
        <cfvo type="max"/>
        <color rgb="FF63C384"/>
      </dataBar>
    </cfRule>
    <cfRule type="dataBar" priority="590">
      <dataBar>
        <cfvo type="min"/>
        <cfvo type="max"/>
        <color rgb="FF63C384"/>
      </dataBar>
    </cfRule>
  </conditionalFormatting>
  <conditionalFormatting sqref="Q80">
    <cfRule type="cellIs" priority="589" operator="equal" dxfId="2034">
      <formula>"ja"</formula>
    </cfRule>
  </conditionalFormatting>
  <conditionalFormatting sqref="AA81">
    <cfRule type="expression" priority="588" dxfId="2">
      <formula>AND(AND($W81&lt;TODAY(),$W81&lt;&gt;""),$X81="")</formula>
    </cfRule>
  </conditionalFormatting>
  <conditionalFormatting sqref="AG81">
    <cfRule type="dataBar" priority="587">
      <dataBar>
        <cfvo type="min"/>
        <cfvo type="max"/>
        <color rgb="FF63C384"/>
      </dataBar>
    </cfRule>
    <cfRule type="dataBar" priority="586">
      <dataBar>
        <cfvo type="min"/>
        <cfvo type="max"/>
        <color rgb="FF63C384"/>
      </dataBar>
    </cfRule>
  </conditionalFormatting>
  <conditionalFormatting sqref="AA82">
    <cfRule type="expression" priority="585" dxfId="2">
      <formula>AND(AND($W82&lt;TODAY(),$W82&lt;&gt;""),$X82="")</formula>
    </cfRule>
  </conditionalFormatting>
  <conditionalFormatting sqref="Q82">
    <cfRule type="cellIs" priority="584" operator="equal" dxfId="2034">
      <formula>"ja"</formula>
    </cfRule>
  </conditionalFormatting>
  <conditionalFormatting sqref="AG82">
    <cfRule type="dataBar" priority="583">
      <dataBar>
        <cfvo type="min"/>
        <cfvo type="max"/>
        <color rgb="FF63C384"/>
      </dataBar>
    </cfRule>
    <cfRule type="dataBar" priority="582">
      <dataBar>
        <cfvo type="min"/>
        <cfvo type="max"/>
        <color rgb="FF63C384"/>
      </dataBar>
    </cfRule>
  </conditionalFormatting>
  <conditionalFormatting sqref="AA83">
    <cfRule type="expression" priority="581" dxfId="2">
      <formula>AND(AND($W83&lt;TODAY(),$W83&lt;&gt;""),$X83="")</formula>
    </cfRule>
  </conditionalFormatting>
  <conditionalFormatting sqref="Q83">
    <cfRule type="cellIs" priority="580" operator="equal" dxfId="2034">
      <formula>"ja"</formula>
    </cfRule>
    <cfRule type="cellIs" priority="571" operator="equal" dxfId="2034">
      <formula>"ja"</formula>
    </cfRule>
    <cfRule type="cellIs" priority="577" operator="equal" dxfId="2034">
      <formula>"ja"</formula>
    </cfRule>
    <cfRule type="cellIs" priority="574" operator="equal" dxfId="2034">
      <formula>"ja"</formula>
    </cfRule>
    <cfRule type="cellIs" priority="568" operator="equal" dxfId="2034">
      <formula>"ja"</formula>
    </cfRule>
    <cfRule type="cellIs" priority="567" operator="equal" dxfId="2034">
      <formula>"ja"</formula>
    </cfRule>
  </conditionalFormatting>
  <conditionalFormatting sqref="AG83">
    <cfRule type="dataBar" priority="579">
      <dataBar>
        <cfvo type="min"/>
        <cfvo type="max"/>
        <color rgb="FF63C384"/>
      </dataBar>
    </cfRule>
    <cfRule type="dataBar" priority="578">
      <dataBar>
        <cfvo type="min"/>
        <cfvo type="max"/>
        <color rgb="FF63C384"/>
      </dataBar>
    </cfRule>
    <cfRule type="dataBar" priority="576">
      <dataBar>
        <cfvo type="min"/>
        <cfvo type="max"/>
        <color rgb="FF63C384"/>
      </dataBar>
    </cfRule>
    <cfRule type="dataBar" priority="575">
      <dataBar>
        <cfvo type="min"/>
        <cfvo type="max"/>
        <color rgb="FF63C384"/>
      </dataBar>
    </cfRule>
    <cfRule type="dataBar" priority="573">
      <dataBar>
        <cfvo type="min"/>
        <cfvo type="max"/>
        <color rgb="FF63C384"/>
      </dataBar>
    </cfRule>
    <cfRule type="dataBar" priority="572">
      <dataBar>
        <cfvo type="min"/>
        <cfvo type="max"/>
        <color rgb="FF63C384"/>
      </dataBar>
    </cfRule>
    <cfRule type="dataBar" priority="570">
      <dataBar>
        <cfvo type="min"/>
        <cfvo type="max"/>
        <color rgb="FF63C384"/>
      </dataBar>
    </cfRule>
    <cfRule type="dataBar" priority="569">
      <dataBar>
        <cfvo type="min"/>
        <cfvo type="max"/>
        <color rgb="FF63C384"/>
      </dataBar>
    </cfRule>
  </conditionalFormatting>
  <conditionalFormatting sqref="AA84:AA85">
    <cfRule type="expression" priority="566" dxfId="2">
      <formula>AND(AND($W84&lt;TODAY(),$W84&lt;&gt;""),$X84="")</formula>
    </cfRule>
  </conditionalFormatting>
  <conditionalFormatting sqref="Q84">
    <cfRule type="cellIs" priority="565" operator="equal" dxfId="2034">
      <formula>"ja"</formula>
    </cfRule>
    <cfRule type="cellIs" priority="563" operator="equal" dxfId="2034">
      <formula>"ja"</formula>
    </cfRule>
  </conditionalFormatting>
  <conditionalFormatting sqref="AG84:AG85">
    <cfRule type="dataBar" priority="564">
      <dataBar>
        <cfvo type="min"/>
        <cfvo type="max"/>
        <color rgb="FF63C384"/>
      </dataBar>
    </cfRule>
  </conditionalFormatting>
  <conditionalFormatting sqref="AA86">
    <cfRule type="expression" priority="562" dxfId="2">
      <formula>AND(AND($W86&lt;TODAY(),$W86&lt;&gt;""),$X86="")</formula>
    </cfRule>
  </conditionalFormatting>
  <conditionalFormatting sqref="Q86">
    <cfRule type="cellIs" priority="561" operator="equal" dxfId="2034">
      <formula>"ja"</formula>
    </cfRule>
  </conditionalFormatting>
  <conditionalFormatting sqref="AG86">
    <cfRule type="dataBar" priority="560">
      <dataBar>
        <cfvo type="min"/>
        <cfvo type="max"/>
        <color rgb="FF63C384"/>
      </dataBar>
    </cfRule>
    <cfRule type="dataBar" priority="559">
      <dataBar>
        <cfvo type="min"/>
        <cfvo type="max"/>
        <color rgb="FF63C384"/>
      </dataBar>
    </cfRule>
  </conditionalFormatting>
  <conditionalFormatting sqref="AA87">
    <cfRule type="expression" priority="558" dxfId="2">
      <formula>AND(AND($W87&lt;TODAY(),$W87&lt;&gt;""),$X87="")</formula>
    </cfRule>
  </conditionalFormatting>
  <conditionalFormatting sqref="Q87">
    <cfRule type="cellIs" priority="557" operator="equal" dxfId="2034">
      <formula>"ja"</formula>
    </cfRule>
    <cfRule type="cellIs" priority="556" operator="equal" dxfId="2034">
      <formula>"ja"</formula>
    </cfRule>
    <cfRule type="cellIs" priority="555" operator="equal" dxfId="2034">
      <formula>"ja"</formula>
    </cfRule>
    <cfRule type="cellIs" priority="552" operator="equal" dxfId="2034">
      <formula>"ja"</formula>
    </cfRule>
  </conditionalFormatting>
  <conditionalFormatting sqref="AG87">
    <cfRule type="dataBar" priority="554">
      <dataBar>
        <cfvo type="min"/>
        <cfvo type="max"/>
        <color rgb="FF63C384"/>
      </dataBar>
    </cfRule>
    <cfRule type="dataBar" priority="553">
      <dataBar>
        <cfvo type="min"/>
        <cfvo type="max"/>
        <color rgb="FF63C384"/>
      </dataBar>
    </cfRule>
    <cfRule type="dataBar" priority="551">
      <dataBar>
        <cfvo type="min"/>
        <cfvo type="max"/>
        <color rgb="FF63C384"/>
      </dataBar>
    </cfRule>
    <cfRule type="dataBar" priority="550">
      <dataBar>
        <cfvo type="min"/>
        <cfvo type="max"/>
        <color rgb="FF63C384"/>
      </dataBar>
    </cfRule>
  </conditionalFormatting>
  <conditionalFormatting sqref="AA88">
    <cfRule type="expression" priority="549" dxfId="2">
      <formula>AND(AND($W88&lt;TODAY(),$W88&lt;&gt;""),$X88="")</formula>
    </cfRule>
  </conditionalFormatting>
  <conditionalFormatting sqref="AG88">
    <cfRule type="dataBar" priority="548">
      <dataBar>
        <cfvo type="min"/>
        <cfvo type="max"/>
        <color rgb="FF63C384"/>
      </dataBar>
    </cfRule>
    <cfRule type="dataBar" priority="547">
      <dataBar>
        <cfvo type="min"/>
        <cfvo type="max"/>
        <color rgb="FF63C384"/>
      </dataBar>
    </cfRule>
    <cfRule type="dataBar" priority="546">
      <dataBar>
        <cfvo type="min"/>
        <cfvo type="max"/>
        <color rgb="FF63C384"/>
      </dataBar>
    </cfRule>
    <cfRule type="dataBar" priority="545">
      <dataBar>
        <cfvo type="min"/>
        <cfvo type="max"/>
        <color rgb="FF63C384"/>
      </dataBar>
    </cfRule>
  </conditionalFormatting>
  <conditionalFormatting sqref="AA89">
    <cfRule type="expression" priority="544" dxfId="2">
      <formula>AND(AND($W89&lt;TODAY(),$W89&lt;&gt;""),$X89="")</formula>
    </cfRule>
  </conditionalFormatting>
  <conditionalFormatting sqref="Q89">
    <cfRule type="cellIs" priority="543" operator="equal" dxfId="2034">
      <formula>"ja"</formula>
    </cfRule>
    <cfRule type="cellIs" priority="541" operator="equal" dxfId="2034">
      <formula>"ja"</formula>
    </cfRule>
  </conditionalFormatting>
  <conditionalFormatting sqref="AG89">
    <cfRule type="dataBar" priority="542">
      <dataBar>
        <cfvo type="min"/>
        <cfvo type="max"/>
        <color rgb="FF63C384"/>
      </dataBar>
    </cfRule>
  </conditionalFormatting>
  <conditionalFormatting sqref="AA90">
    <cfRule type="expression" priority="540" dxfId="2">
      <formula>AND(AND($W90&lt;TODAY(),$W90&lt;&gt;""),$X90="")</formula>
    </cfRule>
  </conditionalFormatting>
  <conditionalFormatting sqref="Q90">
    <cfRule type="cellIs" priority="539" operator="equal" dxfId="2034">
      <formula>"ja"</formula>
    </cfRule>
    <cfRule type="cellIs" priority="537" operator="equal" dxfId="2034">
      <formula>"ja"</formula>
    </cfRule>
    <cfRule type="cellIs" priority="536" operator="equal" dxfId="2034">
      <formula>"ja"</formula>
    </cfRule>
  </conditionalFormatting>
  <conditionalFormatting sqref="AG90">
    <cfRule type="dataBar" priority="538">
      <dataBar>
        <cfvo type="min"/>
        <cfvo type="max"/>
        <color rgb="FF63C384"/>
      </dataBar>
    </cfRule>
  </conditionalFormatting>
  <conditionalFormatting sqref="AA91">
    <cfRule type="expression" priority="535" dxfId="2">
      <formula>AND(AND($W91&lt;TODAY(),$W91&lt;&gt;""),$X91="")</formula>
    </cfRule>
  </conditionalFormatting>
  <conditionalFormatting sqref="Q91">
    <cfRule type="cellIs" priority="534" operator="equal" dxfId="2034">
      <formula>"ja"</formula>
    </cfRule>
    <cfRule type="cellIs" priority="529" operator="equal" dxfId="2034">
      <formula>"ja"</formula>
    </cfRule>
  </conditionalFormatting>
  <conditionalFormatting sqref="AG91">
    <cfRule type="dataBar" priority="533">
      <dataBar>
        <cfvo type="min"/>
        <cfvo type="max"/>
        <color rgb="FF63C384"/>
      </dataBar>
    </cfRule>
    <cfRule type="dataBar" priority="532">
      <dataBar>
        <cfvo type="min"/>
        <cfvo type="max"/>
        <color rgb="FF63C384"/>
      </dataBar>
    </cfRule>
    <cfRule type="dataBar" priority="531">
      <dataBar>
        <cfvo type="min"/>
        <cfvo type="max"/>
        <color rgb="FF63C384"/>
      </dataBar>
    </cfRule>
    <cfRule type="dataBar" priority="530">
      <dataBar>
        <cfvo type="min"/>
        <cfvo type="max"/>
        <color rgb="FF63C384"/>
      </dataBar>
    </cfRule>
  </conditionalFormatting>
  <conditionalFormatting sqref="AA92">
    <cfRule type="expression" priority="528" dxfId="2">
      <formula>AND(AND($W92&lt;TODAY(),$W92&lt;&gt;""),$X92="")</formula>
    </cfRule>
  </conditionalFormatting>
  <conditionalFormatting sqref="AG92">
    <cfRule type="dataBar" priority="527">
      <dataBar>
        <cfvo type="min"/>
        <cfvo type="max"/>
        <color rgb="FF63C384"/>
      </dataBar>
    </cfRule>
    <cfRule type="dataBar" priority="526">
      <dataBar>
        <cfvo type="min"/>
        <cfvo type="max"/>
        <color rgb="FF63C384"/>
      </dataBar>
    </cfRule>
  </conditionalFormatting>
  <conditionalFormatting sqref="Q92">
    <cfRule type="cellIs" priority="525" operator="equal" dxfId="2034">
      <formula>"ja"</formula>
    </cfRule>
    <cfRule type="cellIs" priority="524" operator="equal" dxfId="2034">
      <formula>"ja"</formula>
    </cfRule>
  </conditionalFormatting>
  <conditionalFormatting sqref="AA93">
    <cfRule type="expression" priority="523" dxfId="2">
      <formula>AND(AND($W93&lt;TODAY(),$W93&lt;&gt;""),$X93="")</formula>
    </cfRule>
  </conditionalFormatting>
  <conditionalFormatting sqref="Q93">
    <cfRule type="cellIs" priority="522" operator="equal" dxfId="2034">
      <formula>"ja"</formula>
    </cfRule>
  </conditionalFormatting>
  <conditionalFormatting sqref="AG93">
    <cfRule type="dataBar" priority="521">
      <dataBar>
        <cfvo type="min"/>
        <cfvo type="max"/>
        <color rgb="FF63C384"/>
      </dataBar>
    </cfRule>
    <cfRule type="dataBar" priority="520">
      <dataBar>
        <cfvo type="min"/>
        <cfvo type="max"/>
        <color rgb="FF63C384"/>
      </dataBar>
    </cfRule>
  </conditionalFormatting>
  <conditionalFormatting sqref="AA94">
    <cfRule type="expression" priority="519" dxfId="2">
      <formula>AND(AND($W94&lt;TODAY(),$W94&lt;&gt;""),$X94="")</formula>
    </cfRule>
  </conditionalFormatting>
  <conditionalFormatting sqref="AG94">
    <cfRule type="dataBar" priority="518">
      <dataBar>
        <cfvo type="min"/>
        <cfvo type="max"/>
        <color rgb="FF63C384"/>
      </dataBar>
    </cfRule>
    <cfRule type="dataBar" priority="517">
      <dataBar>
        <cfvo type="min"/>
        <cfvo type="max"/>
        <color rgb="FF63C384"/>
      </dataBar>
    </cfRule>
  </conditionalFormatting>
  <conditionalFormatting sqref="Q94">
    <cfRule type="cellIs" priority="516" operator="equal" dxfId="2034">
      <formula>"ja"</formula>
    </cfRule>
  </conditionalFormatting>
  <conditionalFormatting sqref="AA95">
    <cfRule type="expression" priority="515" dxfId="2">
      <formula>AND(AND($W95&lt;TODAY(),$W95&lt;&gt;""),$X95="")</formula>
    </cfRule>
  </conditionalFormatting>
  <conditionalFormatting sqref="Q95">
    <cfRule type="cellIs" priority="514" operator="equal" dxfId="2034">
      <formula>"ja"</formula>
    </cfRule>
  </conditionalFormatting>
  <conditionalFormatting sqref="AG95">
    <cfRule type="dataBar" priority="513">
      <dataBar>
        <cfvo type="min"/>
        <cfvo type="max"/>
        <color rgb="FF63C384"/>
      </dataBar>
    </cfRule>
    <cfRule type="dataBar" priority="512">
      <dataBar>
        <cfvo type="min"/>
        <cfvo type="max"/>
        <color rgb="FF63C384"/>
      </dataBar>
    </cfRule>
  </conditionalFormatting>
  <conditionalFormatting sqref="AA96">
    <cfRule type="expression" priority="511" dxfId="2">
      <formula>AND(AND($W96&lt;TODAY(),$W96&lt;&gt;""),$X96="")</formula>
    </cfRule>
  </conditionalFormatting>
  <conditionalFormatting sqref="Q96">
    <cfRule type="cellIs" priority="510" operator="equal" dxfId="2034">
      <formula>"ja"</formula>
    </cfRule>
    <cfRule type="cellIs" priority="508" operator="equal" dxfId="2034">
      <formula>"ja"</formula>
    </cfRule>
  </conditionalFormatting>
  <conditionalFormatting sqref="AG96">
    <cfRule type="dataBar" priority="509">
      <dataBar>
        <cfvo type="min"/>
        <cfvo type="max"/>
        <color rgb="FF63C384"/>
      </dataBar>
    </cfRule>
  </conditionalFormatting>
  <conditionalFormatting sqref="AA97">
    <cfRule type="expression" priority="507" dxfId="2">
      <formula>AND(AND($W97&lt;TODAY(),$W97&lt;&gt;""),$X97="")</formula>
    </cfRule>
  </conditionalFormatting>
  <conditionalFormatting sqref="Q97">
    <cfRule type="cellIs" priority="506" operator="equal" dxfId="2034">
      <formula>"ja"</formula>
    </cfRule>
    <cfRule type="cellIs" priority="497" operator="equal" dxfId="2034">
      <formula>"ja"</formula>
    </cfRule>
    <cfRule type="cellIs" priority="503" operator="equal" dxfId="2034">
      <formula>"ja"</formula>
    </cfRule>
    <cfRule type="cellIs" priority="500" operator="equal" dxfId="2034">
      <formula>"ja"</formula>
    </cfRule>
    <cfRule type="cellIs" priority="494" operator="equal" dxfId="2034">
      <formula>"ja"</formula>
    </cfRule>
    <cfRule type="cellIs" priority="493" operator="equal" dxfId="2034">
      <formula>"ja"</formula>
    </cfRule>
  </conditionalFormatting>
  <conditionalFormatting sqref="AG97">
    <cfRule type="dataBar" priority="505">
      <dataBar>
        <cfvo type="min"/>
        <cfvo type="max"/>
        <color rgb="FF63C384"/>
      </dataBar>
    </cfRule>
    <cfRule type="dataBar" priority="504">
      <dataBar>
        <cfvo type="min"/>
        <cfvo type="max"/>
        <color rgb="FF63C384"/>
      </dataBar>
    </cfRule>
    <cfRule type="dataBar" priority="502">
      <dataBar>
        <cfvo type="min"/>
        <cfvo type="max"/>
        <color rgb="FF63C384"/>
      </dataBar>
    </cfRule>
    <cfRule type="dataBar" priority="501">
      <dataBar>
        <cfvo type="min"/>
        <cfvo type="max"/>
        <color rgb="FF63C384"/>
      </dataBar>
    </cfRule>
    <cfRule type="dataBar" priority="499">
      <dataBar>
        <cfvo type="min"/>
        <cfvo type="max"/>
        <color rgb="FF63C384"/>
      </dataBar>
    </cfRule>
    <cfRule type="dataBar" priority="498">
      <dataBar>
        <cfvo type="min"/>
        <cfvo type="max"/>
        <color rgb="FF63C384"/>
      </dataBar>
    </cfRule>
    <cfRule type="dataBar" priority="496">
      <dataBar>
        <cfvo type="min"/>
        <cfvo type="max"/>
        <color rgb="FF63C384"/>
      </dataBar>
    </cfRule>
    <cfRule type="dataBar" priority="495">
      <dataBar>
        <cfvo type="min"/>
        <cfvo type="max"/>
        <color rgb="FF63C384"/>
      </dataBar>
    </cfRule>
  </conditionalFormatting>
  <conditionalFormatting sqref="AA98">
    <cfRule type="expression" priority="492" dxfId="2">
      <formula>AND(AND($W98&lt;TODAY(),$W98&lt;&gt;""),$X98="")</formula>
    </cfRule>
  </conditionalFormatting>
  <conditionalFormatting sqref="AG98">
    <cfRule type="dataBar" priority="491">
      <dataBar>
        <cfvo type="min"/>
        <cfvo type="max"/>
        <color rgb="FF63C384"/>
      </dataBar>
    </cfRule>
    <cfRule type="dataBar" priority="490">
      <dataBar>
        <cfvo type="min"/>
        <cfvo type="max"/>
        <color rgb="FF63C384"/>
      </dataBar>
    </cfRule>
  </conditionalFormatting>
  <conditionalFormatting sqref="AA99">
    <cfRule type="expression" priority="489" dxfId="2">
      <formula>AND(AND($W99&lt;TODAY(),$W99&lt;&gt;""),$X99="")</formula>
    </cfRule>
  </conditionalFormatting>
  <conditionalFormatting sqref="Q99">
    <cfRule type="cellIs" priority="488" operator="equal" dxfId="2034">
      <formula>"ja"</formula>
    </cfRule>
    <cfRule type="cellIs" priority="486" operator="equal" dxfId="2034">
      <formula>"ja"</formula>
    </cfRule>
  </conditionalFormatting>
  <conditionalFormatting sqref="AG99">
    <cfRule type="dataBar" priority="487">
      <dataBar>
        <cfvo type="min"/>
        <cfvo type="max"/>
        <color rgb="FF63C384"/>
      </dataBar>
    </cfRule>
  </conditionalFormatting>
  <conditionalFormatting sqref="AA100">
    <cfRule type="expression" priority="485" dxfId="2">
      <formula>AND(AND($W100&lt;TODAY(),$W100&lt;&gt;""),$X100="")</formula>
    </cfRule>
  </conditionalFormatting>
  <conditionalFormatting sqref="AG100">
    <cfRule type="dataBar" priority="484">
      <dataBar>
        <cfvo type="min"/>
        <cfvo type="max"/>
        <color rgb="FF63C384"/>
      </dataBar>
    </cfRule>
    <cfRule type="dataBar" priority="483">
      <dataBar>
        <cfvo type="min"/>
        <cfvo type="max"/>
        <color rgb="FF63C384"/>
      </dataBar>
    </cfRule>
  </conditionalFormatting>
  <conditionalFormatting sqref="AA101">
    <cfRule type="expression" priority="482" dxfId="2">
      <formula>AND(AND($W101&lt;TODAY(),$W101&lt;&gt;""),$X101="")</formula>
    </cfRule>
  </conditionalFormatting>
  <conditionalFormatting sqref="AG101">
    <cfRule type="dataBar" priority="481">
      <dataBar>
        <cfvo type="min"/>
        <cfvo type="max"/>
        <color rgb="FF63C384"/>
      </dataBar>
    </cfRule>
    <cfRule type="dataBar" priority="480">
      <dataBar>
        <cfvo type="min"/>
        <cfvo type="max"/>
        <color rgb="FF63C384"/>
      </dataBar>
    </cfRule>
  </conditionalFormatting>
  <conditionalFormatting sqref="AA102">
    <cfRule type="expression" priority="479" dxfId="2">
      <formula>AND(AND($W102&lt;TODAY(),$W102&lt;&gt;""),$X102="")</formula>
    </cfRule>
  </conditionalFormatting>
  <conditionalFormatting sqref="Q102">
    <cfRule type="cellIs" priority="478" operator="equal" dxfId="2034">
      <formula>"ja"</formula>
    </cfRule>
  </conditionalFormatting>
  <conditionalFormatting sqref="AG102">
    <cfRule type="dataBar" priority="477">
      <dataBar>
        <cfvo type="min"/>
        <cfvo type="max"/>
        <color rgb="FF63C384"/>
      </dataBar>
    </cfRule>
    <cfRule type="dataBar" priority="476">
      <dataBar>
        <cfvo type="min"/>
        <cfvo type="max"/>
        <color rgb="FF63C384"/>
      </dataBar>
    </cfRule>
  </conditionalFormatting>
  <conditionalFormatting sqref="AA103">
    <cfRule type="expression" priority="475" dxfId="2">
      <formula>AND(AND($W103&lt;TODAY(),$W103&lt;&gt;""),$X103="")</formula>
    </cfRule>
  </conditionalFormatting>
  <conditionalFormatting sqref="Q103">
    <cfRule type="cellIs" priority="474" operator="equal" dxfId="2034">
      <formula>"ja"</formula>
    </cfRule>
    <cfRule type="cellIs" priority="473" operator="equal" dxfId="2034">
      <formula>"ja"</formula>
    </cfRule>
    <cfRule type="cellIs" priority="472" operator="equal" dxfId="2034">
      <formula>"ja"</formula>
    </cfRule>
    <cfRule type="cellIs" priority="469" operator="equal" dxfId="2034">
      <formula>"ja"</formula>
    </cfRule>
  </conditionalFormatting>
  <conditionalFormatting sqref="AG103">
    <cfRule type="dataBar" priority="471">
      <dataBar>
        <cfvo type="min"/>
        <cfvo type="max"/>
        <color rgb="FF63C384"/>
      </dataBar>
    </cfRule>
    <cfRule type="dataBar" priority="470">
      <dataBar>
        <cfvo type="min"/>
        <cfvo type="max"/>
        <color rgb="FF63C384"/>
      </dataBar>
    </cfRule>
    <cfRule type="dataBar" priority="468">
      <dataBar>
        <cfvo type="min"/>
        <cfvo type="max"/>
        <color rgb="FF63C384"/>
      </dataBar>
    </cfRule>
    <cfRule type="dataBar" priority="467">
      <dataBar>
        <cfvo type="min"/>
        <cfvo type="max"/>
        <color rgb="FF63C384"/>
      </dataBar>
    </cfRule>
  </conditionalFormatting>
  <conditionalFormatting sqref="AA104">
    <cfRule type="expression" priority="466" dxfId="2">
      <formula>AND(AND($W104&lt;TODAY(),$W104&lt;&gt;""),$X104="")</formula>
    </cfRule>
  </conditionalFormatting>
  <conditionalFormatting sqref="Q104">
    <cfRule type="cellIs" priority="465" operator="equal" dxfId="2034">
      <formula>"ja"</formula>
    </cfRule>
  </conditionalFormatting>
  <conditionalFormatting sqref="AG104">
    <cfRule type="dataBar" priority="464">
      <dataBar>
        <cfvo type="min"/>
        <cfvo type="max"/>
        <color rgb="FF63C384"/>
      </dataBar>
    </cfRule>
    <cfRule type="dataBar" priority="463">
      <dataBar>
        <cfvo type="min"/>
        <cfvo type="max"/>
        <color rgb="FF63C384"/>
      </dataBar>
    </cfRule>
  </conditionalFormatting>
  <conditionalFormatting sqref="AA105">
    <cfRule type="expression" priority="462" dxfId="2">
      <formula>AND(AND($W105&lt;TODAY(),$W105&lt;&gt;""),$X105="")</formula>
    </cfRule>
  </conditionalFormatting>
  <conditionalFormatting sqref="AG105">
    <cfRule type="dataBar" priority="461">
      <dataBar>
        <cfvo type="min"/>
        <cfvo type="max"/>
        <color rgb="FF63C384"/>
      </dataBar>
    </cfRule>
    <cfRule type="dataBar" priority="460">
      <dataBar>
        <cfvo type="min"/>
        <cfvo type="max"/>
        <color rgb="FF63C384"/>
      </dataBar>
    </cfRule>
  </conditionalFormatting>
  <conditionalFormatting sqref="Q105">
    <cfRule type="cellIs" priority="459" operator="equal" dxfId="2034">
      <formula>"ja"</formula>
    </cfRule>
    <cfRule type="cellIs" priority="458" operator="equal" dxfId="2034">
      <formula>"ja"</formula>
    </cfRule>
  </conditionalFormatting>
  <conditionalFormatting sqref="AA106">
    <cfRule type="expression" priority="457" dxfId="2">
      <formula>AND(AND($W106&lt;TODAY(),$W106&lt;&gt;""),$X106="")</formula>
    </cfRule>
  </conditionalFormatting>
  <conditionalFormatting sqref="AG106">
    <cfRule type="dataBar" priority="456">
      <dataBar>
        <cfvo type="min"/>
        <cfvo type="max"/>
        <color rgb="FF63C384"/>
      </dataBar>
    </cfRule>
    <cfRule type="dataBar" priority="455">
      <dataBar>
        <cfvo type="min"/>
        <cfvo type="max"/>
        <color rgb="FF63C384"/>
      </dataBar>
    </cfRule>
    <cfRule type="dataBar" priority="454">
      <dataBar>
        <cfvo type="min"/>
        <cfvo type="max"/>
        <color rgb="FF63C384"/>
      </dataBar>
    </cfRule>
    <cfRule type="dataBar" priority="453">
      <dataBar>
        <cfvo type="min"/>
        <cfvo type="max"/>
        <color rgb="FF63C384"/>
      </dataBar>
    </cfRule>
  </conditionalFormatting>
  <conditionalFormatting sqref="AA107">
    <cfRule type="expression" priority="452" dxfId="2">
      <formula>AND(AND($W107&lt;TODAY(),$W107&lt;&gt;""),$X107="")</formula>
    </cfRule>
  </conditionalFormatting>
  <conditionalFormatting sqref="Q107">
    <cfRule type="cellIs" priority="451" operator="equal" dxfId="2034">
      <formula>"ja"</formula>
    </cfRule>
    <cfRule type="cellIs" priority="449" operator="equal" dxfId="2034">
      <formula>"ja"</formula>
    </cfRule>
    <cfRule type="cellIs" priority="448" operator="equal" dxfId="2034">
      <formula>"ja"</formula>
    </cfRule>
  </conditionalFormatting>
  <conditionalFormatting sqref="AG107">
    <cfRule type="dataBar" priority="450">
      <dataBar>
        <cfvo type="min"/>
        <cfvo type="max"/>
        <color rgb="FF63C384"/>
      </dataBar>
    </cfRule>
  </conditionalFormatting>
  <conditionalFormatting sqref="AA108">
    <cfRule type="expression" priority="447" dxfId="2">
      <formula>AND(AND($W108&lt;TODAY(),$W108&lt;&gt;""),$X108="")</formula>
    </cfRule>
  </conditionalFormatting>
  <conditionalFormatting sqref="Q108">
    <cfRule type="cellIs" priority="446" operator="equal" dxfId="2034">
      <formula>"ja"</formula>
    </cfRule>
    <cfRule type="cellIs" priority="441" operator="equal" dxfId="2034">
      <formula>"ja"</formula>
    </cfRule>
  </conditionalFormatting>
  <conditionalFormatting sqref="AG108">
    <cfRule type="dataBar" priority="445">
      <dataBar>
        <cfvo type="min"/>
        <cfvo type="max"/>
        <color rgb="FF63C384"/>
      </dataBar>
    </cfRule>
    <cfRule type="dataBar" priority="444">
      <dataBar>
        <cfvo type="min"/>
        <cfvo type="max"/>
        <color rgb="FF63C384"/>
      </dataBar>
    </cfRule>
    <cfRule type="dataBar" priority="443">
      <dataBar>
        <cfvo type="min"/>
        <cfvo type="max"/>
        <color rgb="FF63C384"/>
      </dataBar>
    </cfRule>
    <cfRule type="dataBar" priority="442">
      <dataBar>
        <cfvo type="min"/>
        <cfvo type="max"/>
        <color rgb="FF63C384"/>
      </dataBar>
    </cfRule>
  </conditionalFormatting>
  <conditionalFormatting sqref="AA111">
    <cfRule type="expression" priority="440" dxfId="2">
      <formula>AND(AND($W111&lt;TODAY(),$W111&lt;&gt;""),$X111="")</formula>
    </cfRule>
  </conditionalFormatting>
  <conditionalFormatting sqref="Q111">
    <cfRule type="cellIs" priority="439" operator="equal" dxfId="2034">
      <formula>"ja"</formula>
    </cfRule>
  </conditionalFormatting>
  <conditionalFormatting sqref="AG111">
    <cfRule type="dataBar" priority="438">
      <dataBar>
        <cfvo type="min"/>
        <cfvo type="max"/>
        <color rgb="FF63C384"/>
      </dataBar>
    </cfRule>
    <cfRule type="dataBar" priority="437">
      <dataBar>
        <cfvo type="min"/>
        <cfvo type="max"/>
        <color rgb="FF63C384"/>
      </dataBar>
    </cfRule>
  </conditionalFormatting>
  <conditionalFormatting sqref="AA112">
    <cfRule type="expression" priority="436" dxfId="2">
      <formula>AND(AND($W112&lt;TODAY(),$W112&lt;&gt;""),$X112="")</formula>
    </cfRule>
  </conditionalFormatting>
  <conditionalFormatting sqref="Q112">
    <cfRule type="cellIs" priority="435" operator="equal" dxfId="2034">
      <formula>"ja"</formula>
    </cfRule>
  </conditionalFormatting>
  <conditionalFormatting sqref="AG112">
    <cfRule type="dataBar" priority="434">
      <dataBar>
        <cfvo type="min"/>
        <cfvo type="max"/>
        <color rgb="FF63C384"/>
      </dataBar>
    </cfRule>
    <cfRule type="dataBar" priority="433">
      <dataBar>
        <cfvo type="min"/>
        <cfvo type="max"/>
        <color rgb="FF63C384"/>
      </dataBar>
    </cfRule>
  </conditionalFormatting>
  <conditionalFormatting sqref="Q113">
    <cfRule type="cellIs" priority="432" operator="equal" dxfId="2034">
      <formula>"ja"</formula>
    </cfRule>
    <cfRule type="cellIs" priority="428" operator="equal" dxfId="2034">
      <formula>"ja"</formula>
    </cfRule>
  </conditionalFormatting>
  <conditionalFormatting sqref="AA113">
    <cfRule type="expression" priority="431" dxfId="2">
      <formula>AND(AND($W113&lt;TODAY(),$W113&lt;&gt;""),$X113="")</formula>
    </cfRule>
    <cfRule type="expression" priority="427" dxfId="2">
      <formula>AND(AND($W113&lt;TODAY(),$W113&lt;&gt;""),$X113="")</formula>
    </cfRule>
  </conditionalFormatting>
  <conditionalFormatting sqref="AG113">
    <cfRule type="dataBar" priority="430">
      <dataBar>
        <cfvo type="min"/>
        <cfvo type="max"/>
        <color rgb="FF63C384"/>
      </dataBar>
    </cfRule>
    <cfRule type="dataBar" priority="429">
      <dataBar>
        <cfvo type="min"/>
        <cfvo type="max"/>
        <color rgb="FF63C384"/>
      </dataBar>
    </cfRule>
    <cfRule type="dataBar" priority="426">
      <dataBar>
        <cfvo type="min"/>
        <cfvo type="max"/>
        <color rgb="FF63C384"/>
      </dataBar>
    </cfRule>
    <cfRule type="dataBar" priority="425">
      <dataBar>
        <cfvo type="min"/>
        <cfvo type="max"/>
        <color rgb="FF63C384"/>
      </dataBar>
    </cfRule>
  </conditionalFormatting>
  <conditionalFormatting sqref="AA114">
    <cfRule type="expression" priority="424" dxfId="2">
      <formula>AND(AND($W114&lt;TODAY(),$W114&lt;&gt;""),$X114="")</formula>
    </cfRule>
  </conditionalFormatting>
  <conditionalFormatting sqref="AG114">
    <cfRule type="dataBar" priority="423">
      <dataBar>
        <cfvo type="min"/>
        <cfvo type="max"/>
        <color rgb="FF63C384"/>
      </dataBar>
    </cfRule>
    <cfRule type="dataBar" priority="422">
      <dataBar>
        <cfvo type="min"/>
        <cfvo type="max"/>
        <color rgb="FF63C384"/>
      </dataBar>
    </cfRule>
  </conditionalFormatting>
  <conditionalFormatting sqref="Q114">
    <cfRule type="cellIs" priority="421" operator="equal" dxfId="2034">
      <formula>"ja"</formula>
    </cfRule>
  </conditionalFormatting>
  <conditionalFormatting sqref="AA115">
    <cfRule type="expression" priority="420" dxfId="2">
      <formula>AND(AND($W115&lt;TODAY(),$W115&lt;&gt;""),$X115="")</formula>
    </cfRule>
  </conditionalFormatting>
  <conditionalFormatting sqref="Q115">
    <cfRule type="cellIs" priority="419" operator="equal" dxfId="2034">
      <formula>"ja"</formula>
    </cfRule>
    <cfRule type="cellIs" priority="417" operator="equal" dxfId="2034">
      <formula>"ja"</formula>
    </cfRule>
  </conditionalFormatting>
  <conditionalFormatting sqref="AG115">
    <cfRule type="dataBar" priority="418">
      <dataBar>
        <cfvo type="min"/>
        <cfvo type="max"/>
        <color rgb="FF63C384"/>
      </dataBar>
    </cfRule>
  </conditionalFormatting>
  <conditionalFormatting sqref="AA116">
    <cfRule type="expression" priority="416" dxfId="2">
      <formula>AND(AND($W116&lt;TODAY(),$W116&lt;&gt;""),$X116="")</formula>
    </cfRule>
  </conditionalFormatting>
  <conditionalFormatting sqref="Q116">
    <cfRule type="cellIs" priority="415" operator="equal" dxfId="2034">
      <formula>"ja"</formula>
    </cfRule>
    <cfRule type="cellIs" priority="406" operator="equal" dxfId="2034">
      <formula>"ja"</formula>
    </cfRule>
    <cfRule type="cellIs" priority="412" operator="equal" dxfId="2034">
      <formula>"ja"</formula>
    </cfRule>
    <cfRule type="cellIs" priority="409" operator="equal" dxfId="2034">
      <formula>"ja"</formula>
    </cfRule>
    <cfRule type="cellIs" priority="403" operator="equal" dxfId="2034">
      <formula>"ja"</formula>
    </cfRule>
    <cfRule type="cellIs" priority="402" operator="equal" dxfId="2034">
      <formula>"ja"</formula>
    </cfRule>
  </conditionalFormatting>
  <conditionalFormatting sqref="AG116">
    <cfRule type="dataBar" priority="414">
      <dataBar>
        <cfvo type="min"/>
        <cfvo type="max"/>
        <color rgb="FF63C384"/>
      </dataBar>
    </cfRule>
    <cfRule type="dataBar" priority="413">
      <dataBar>
        <cfvo type="min"/>
        <cfvo type="max"/>
        <color rgb="FF63C384"/>
      </dataBar>
    </cfRule>
    <cfRule type="dataBar" priority="411">
      <dataBar>
        <cfvo type="min"/>
        <cfvo type="max"/>
        <color rgb="FF63C384"/>
      </dataBar>
    </cfRule>
    <cfRule type="dataBar" priority="410">
      <dataBar>
        <cfvo type="min"/>
        <cfvo type="max"/>
        <color rgb="FF63C384"/>
      </dataBar>
    </cfRule>
    <cfRule type="dataBar" priority="408">
      <dataBar>
        <cfvo type="min"/>
        <cfvo type="max"/>
        <color rgb="FF63C384"/>
      </dataBar>
    </cfRule>
    <cfRule type="dataBar" priority="407">
      <dataBar>
        <cfvo type="min"/>
        <cfvo type="max"/>
        <color rgb="FF63C384"/>
      </dataBar>
    </cfRule>
    <cfRule type="dataBar" priority="405">
      <dataBar>
        <cfvo type="min"/>
        <cfvo type="max"/>
        <color rgb="FF63C384"/>
      </dataBar>
    </cfRule>
    <cfRule type="dataBar" priority="404">
      <dataBar>
        <cfvo type="min"/>
        <cfvo type="max"/>
        <color rgb="FF63C384"/>
      </dataBar>
    </cfRule>
  </conditionalFormatting>
  <conditionalFormatting sqref="Q117">
    <cfRule type="cellIs" priority="401" operator="equal" dxfId="2034">
      <formula>"ja"</formula>
    </cfRule>
  </conditionalFormatting>
  <conditionalFormatting sqref="AA117">
    <cfRule type="expression" priority="400" dxfId="2">
      <formula>AND(AND($W117&lt;TODAY(),$W117&lt;&gt;""),$X117="")</formula>
    </cfRule>
  </conditionalFormatting>
  <conditionalFormatting sqref="AG117">
    <cfRule type="dataBar" priority="399">
      <dataBar>
        <cfvo type="min"/>
        <cfvo type="max"/>
        <color rgb="FF63C384"/>
      </dataBar>
    </cfRule>
    <cfRule type="dataBar" priority="398">
      <dataBar>
        <cfvo type="min"/>
        <cfvo type="max"/>
        <color rgb="FF63C384"/>
      </dataBar>
    </cfRule>
  </conditionalFormatting>
  <conditionalFormatting sqref="AA118">
    <cfRule type="expression" priority="397" dxfId="2">
      <formula>AND(AND($W118&lt;TODAY(),$W118&lt;&gt;""),$X118="")</formula>
    </cfRule>
  </conditionalFormatting>
  <conditionalFormatting sqref="Q118">
    <cfRule type="cellIs" priority="396" operator="equal" dxfId="2034">
      <formula>"ja"</formula>
    </cfRule>
    <cfRule type="cellIs" priority="394" operator="equal" dxfId="2034">
      <formula>"ja"</formula>
    </cfRule>
  </conditionalFormatting>
  <conditionalFormatting sqref="AG118">
    <cfRule type="dataBar" priority="395">
      <dataBar>
        <cfvo type="min"/>
        <cfvo type="max"/>
        <color rgb="FF63C384"/>
      </dataBar>
    </cfRule>
  </conditionalFormatting>
  <conditionalFormatting sqref="AA119">
    <cfRule type="expression" priority="393" dxfId="2">
      <formula>AND(AND($W119&lt;TODAY(),$W119&lt;&gt;""),$X119="")</formula>
    </cfRule>
  </conditionalFormatting>
  <conditionalFormatting sqref="Q119">
    <cfRule type="cellIs" priority="392" operator="equal" dxfId="2034">
      <formula>"ja"</formula>
    </cfRule>
  </conditionalFormatting>
  <conditionalFormatting sqref="AG119">
    <cfRule type="dataBar" priority="391">
      <dataBar>
        <cfvo type="min"/>
        <cfvo type="max"/>
        <color rgb="FF63C384"/>
      </dataBar>
    </cfRule>
    <cfRule type="dataBar" priority="390">
      <dataBar>
        <cfvo type="min"/>
        <cfvo type="max"/>
        <color rgb="FF63C384"/>
      </dataBar>
    </cfRule>
  </conditionalFormatting>
  <conditionalFormatting sqref="AA120">
    <cfRule type="expression" priority="389" dxfId="2">
      <formula>AND(AND($W120&lt;TODAY(),$W120&lt;&gt;""),$X120="")</formula>
    </cfRule>
  </conditionalFormatting>
  <conditionalFormatting sqref="Q120">
    <cfRule type="cellIs" priority="388" operator="equal" dxfId="2034">
      <formula>"ja"</formula>
    </cfRule>
  </conditionalFormatting>
  <conditionalFormatting sqref="AG120">
    <cfRule type="dataBar" priority="387">
      <dataBar>
        <cfvo type="min"/>
        <cfvo type="max"/>
        <color rgb="FF63C384"/>
      </dataBar>
    </cfRule>
    <cfRule type="dataBar" priority="386">
      <dataBar>
        <cfvo type="min"/>
        <cfvo type="max"/>
        <color rgb="FF63C384"/>
      </dataBar>
    </cfRule>
  </conditionalFormatting>
  <conditionalFormatting sqref="AA121">
    <cfRule type="expression" priority="385" dxfId="2">
      <formula>AND(AND($W121&lt;TODAY(),$W121&lt;&gt;""),$X121="")</formula>
    </cfRule>
  </conditionalFormatting>
  <conditionalFormatting sqref="Q121">
    <cfRule type="cellIs" priority="384" operator="equal" dxfId="2034">
      <formula>"ja"</formula>
    </cfRule>
    <cfRule type="cellIs" priority="383" operator="equal" dxfId="2034">
      <formula>"ja"</formula>
    </cfRule>
    <cfRule type="cellIs" priority="382" operator="equal" dxfId="2034">
      <formula>"ja"</formula>
    </cfRule>
    <cfRule type="cellIs" priority="379" operator="equal" dxfId="2034">
      <formula>"ja"</formula>
    </cfRule>
  </conditionalFormatting>
  <conditionalFormatting sqref="AG121">
    <cfRule type="dataBar" priority="381">
      <dataBar>
        <cfvo type="min"/>
        <cfvo type="max"/>
        <color rgb="FF63C384"/>
      </dataBar>
    </cfRule>
    <cfRule type="dataBar" priority="380">
      <dataBar>
        <cfvo type="min"/>
        <cfvo type="max"/>
        <color rgb="FF63C384"/>
      </dataBar>
    </cfRule>
    <cfRule type="dataBar" priority="378">
      <dataBar>
        <cfvo type="min"/>
        <cfvo type="max"/>
        <color rgb="FF63C384"/>
      </dataBar>
    </cfRule>
    <cfRule type="dataBar" priority="377">
      <dataBar>
        <cfvo type="min"/>
        <cfvo type="max"/>
        <color rgb="FF63C384"/>
      </dataBar>
    </cfRule>
  </conditionalFormatting>
  <conditionalFormatting sqref="AA122">
    <cfRule type="expression" priority="376" dxfId="2">
      <formula>AND(AND($W122&lt;TODAY(),$W122&lt;&gt;""),$X122="")</formula>
    </cfRule>
  </conditionalFormatting>
  <conditionalFormatting sqref="Q122">
    <cfRule type="cellIs" priority="375" operator="equal" dxfId="2034">
      <formula>"ja"</formula>
    </cfRule>
    <cfRule type="cellIs" priority="373" operator="equal" dxfId="2034">
      <formula>"ja"</formula>
    </cfRule>
    <cfRule type="cellIs" priority="372" operator="equal" dxfId="2034">
      <formula>"ja"</formula>
    </cfRule>
  </conditionalFormatting>
  <conditionalFormatting sqref="AG122">
    <cfRule type="dataBar" priority="374">
      <dataBar>
        <cfvo type="min"/>
        <cfvo type="max"/>
        <color rgb="FF63C384"/>
      </dataBar>
    </cfRule>
  </conditionalFormatting>
  <conditionalFormatting sqref="AA123">
    <cfRule type="expression" priority="371" dxfId="2">
      <formula>AND(AND($W123&lt;TODAY(),$W123&lt;&gt;""),$X123="")</formula>
    </cfRule>
  </conditionalFormatting>
  <conditionalFormatting sqref="AG123">
    <cfRule type="dataBar" priority="370">
      <dataBar>
        <cfvo type="min"/>
        <cfvo type="max"/>
        <color rgb="FF63C384"/>
      </dataBar>
    </cfRule>
    <cfRule type="dataBar" priority="369">
      <dataBar>
        <cfvo type="min"/>
        <cfvo type="max"/>
        <color rgb="FF63C384"/>
      </dataBar>
    </cfRule>
    <cfRule type="dataBar" priority="368">
      <dataBar>
        <cfvo type="min"/>
        <cfvo type="max"/>
        <color rgb="FF63C384"/>
      </dataBar>
    </cfRule>
    <cfRule type="dataBar" priority="367">
      <dataBar>
        <cfvo type="min"/>
        <cfvo type="max"/>
        <color rgb="FF63C384"/>
      </dataBar>
    </cfRule>
  </conditionalFormatting>
  <conditionalFormatting sqref="AA124">
    <cfRule type="expression" priority="366" dxfId="2">
      <formula>AND(AND($W124&lt;TODAY(),$W124&lt;&gt;""),$X124="")</formula>
    </cfRule>
  </conditionalFormatting>
  <conditionalFormatting sqref="AG124">
    <cfRule type="dataBar" priority="365">
      <dataBar>
        <cfvo type="min"/>
        <cfvo type="max"/>
        <color rgb="FF63C384"/>
      </dataBar>
    </cfRule>
    <cfRule type="dataBar" priority="364">
      <dataBar>
        <cfvo type="min"/>
        <cfvo type="max"/>
        <color rgb="FF63C384"/>
      </dataBar>
    </cfRule>
  </conditionalFormatting>
  <conditionalFormatting sqref="Q124">
    <cfRule type="cellIs" priority="363" operator="equal" dxfId="2034">
      <formula>"ja"</formula>
    </cfRule>
    <cfRule type="cellIs" priority="362" operator="equal" dxfId="2034">
      <formula>"ja"</formula>
    </cfRule>
  </conditionalFormatting>
  <conditionalFormatting sqref="AA125">
    <cfRule type="expression" priority="361" dxfId="2">
      <formula>AND(AND($W125&lt;TODAY(),$W125&lt;&gt;""),$X125="")</formula>
    </cfRule>
  </conditionalFormatting>
  <conditionalFormatting sqref="Q125">
    <cfRule type="cellIs" priority="360" operator="equal" dxfId="2034">
      <formula>"ja"</formula>
    </cfRule>
    <cfRule type="cellIs" priority="355" operator="equal" dxfId="2034">
      <formula>"ja"</formula>
    </cfRule>
  </conditionalFormatting>
  <conditionalFormatting sqref="AG125">
    <cfRule type="dataBar" priority="359">
      <dataBar>
        <cfvo type="min"/>
        <cfvo type="max"/>
        <color rgb="FF63C384"/>
      </dataBar>
    </cfRule>
    <cfRule type="dataBar" priority="358">
      <dataBar>
        <cfvo type="min"/>
        <cfvo type="max"/>
        <color rgb="FF63C384"/>
      </dataBar>
    </cfRule>
    <cfRule type="dataBar" priority="357">
      <dataBar>
        <cfvo type="min"/>
        <cfvo type="max"/>
        <color rgb="FF63C384"/>
      </dataBar>
    </cfRule>
    <cfRule type="dataBar" priority="356">
      <dataBar>
        <cfvo type="min"/>
        <cfvo type="max"/>
        <color rgb="FF63C384"/>
      </dataBar>
    </cfRule>
  </conditionalFormatting>
  <conditionalFormatting sqref="AA126">
    <cfRule type="expression" priority="354" dxfId="2">
      <formula>AND(AND($W126&lt;TODAY(),$W126&lt;&gt;""),$X126="")</formula>
    </cfRule>
  </conditionalFormatting>
  <conditionalFormatting sqref="AA127">
    <cfRule type="expression" priority="353" dxfId="2">
      <formula>AND(AND($W127&lt;TODAY(),$W127&lt;&gt;""),$X127="")</formula>
    </cfRule>
  </conditionalFormatting>
  <conditionalFormatting sqref="AG127">
    <cfRule type="dataBar" priority="352">
      <dataBar>
        <cfvo type="min"/>
        <cfvo type="max"/>
        <color rgb="FF63C384"/>
      </dataBar>
    </cfRule>
    <cfRule type="dataBar" priority="351">
      <dataBar>
        <cfvo type="min"/>
        <cfvo type="max"/>
        <color rgb="FF63C384"/>
      </dataBar>
    </cfRule>
  </conditionalFormatting>
  <conditionalFormatting sqref="Q127">
    <cfRule type="cellIs" priority="350" operator="equal" dxfId="2034">
      <formula>"ja"</formula>
    </cfRule>
  </conditionalFormatting>
  <conditionalFormatting sqref="AA128">
    <cfRule type="expression" priority="349" dxfId="2">
      <formula>AND(AND($W128&lt;TODAY(),$W128&lt;&gt;""),$X128="")</formula>
    </cfRule>
  </conditionalFormatting>
  <conditionalFormatting sqref="Q128">
    <cfRule type="cellIs" priority="348" operator="equal" dxfId="2034">
      <formula>"ja"</formula>
    </cfRule>
  </conditionalFormatting>
  <conditionalFormatting sqref="AG128">
    <cfRule type="dataBar" priority="347">
      <dataBar>
        <cfvo type="min"/>
        <cfvo type="max"/>
        <color rgb="FF63C384"/>
      </dataBar>
    </cfRule>
    <cfRule type="dataBar" priority="346">
      <dataBar>
        <cfvo type="min"/>
        <cfvo type="max"/>
        <color rgb="FF63C384"/>
      </dataBar>
    </cfRule>
  </conditionalFormatting>
  <conditionalFormatting sqref="AA129">
    <cfRule type="expression" priority="345" dxfId="2">
      <formula>AND(AND($W129&lt;TODAY(),$W129&lt;&gt;""),$X129="")</formula>
    </cfRule>
  </conditionalFormatting>
  <conditionalFormatting sqref="Q129">
    <cfRule type="cellIs" priority="344" operator="equal" dxfId="2034">
      <formula>"ja"</formula>
    </cfRule>
    <cfRule type="cellIs" priority="335" operator="equal" dxfId="2034">
      <formula>"ja"</formula>
    </cfRule>
    <cfRule type="cellIs" priority="341" operator="equal" dxfId="2034">
      <formula>"ja"</formula>
    </cfRule>
    <cfRule type="cellIs" priority="338" operator="equal" dxfId="2034">
      <formula>"ja"</formula>
    </cfRule>
    <cfRule type="cellIs" priority="332" operator="equal" dxfId="2034">
      <formula>"ja"</formula>
    </cfRule>
    <cfRule type="cellIs" priority="331" operator="equal" dxfId="2034">
      <formula>"ja"</formula>
    </cfRule>
  </conditionalFormatting>
  <conditionalFormatting sqref="AG129">
    <cfRule type="dataBar" priority="343">
      <dataBar>
        <cfvo type="min"/>
        <cfvo type="max"/>
        <color rgb="FF63C384"/>
      </dataBar>
    </cfRule>
    <cfRule type="dataBar" priority="342">
      <dataBar>
        <cfvo type="min"/>
        <cfvo type="max"/>
        <color rgb="FF63C384"/>
      </dataBar>
    </cfRule>
    <cfRule type="dataBar" priority="340">
      <dataBar>
        <cfvo type="min"/>
        <cfvo type="max"/>
        <color rgb="FF63C384"/>
      </dataBar>
    </cfRule>
    <cfRule type="dataBar" priority="339">
      <dataBar>
        <cfvo type="min"/>
        <cfvo type="max"/>
        <color rgb="FF63C384"/>
      </dataBar>
    </cfRule>
    <cfRule type="dataBar" priority="337">
      <dataBar>
        <cfvo type="min"/>
        <cfvo type="max"/>
        <color rgb="FF63C384"/>
      </dataBar>
    </cfRule>
    <cfRule type="dataBar" priority="336">
      <dataBar>
        <cfvo type="min"/>
        <cfvo type="max"/>
        <color rgb="FF63C384"/>
      </dataBar>
    </cfRule>
    <cfRule type="dataBar" priority="334">
      <dataBar>
        <cfvo type="min"/>
        <cfvo type="max"/>
        <color rgb="FF63C384"/>
      </dataBar>
    </cfRule>
    <cfRule type="dataBar" priority="333">
      <dataBar>
        <cfvo type="min"/>
        <cfvo type="max"/>
        <color rgb="FF63C384"/>
      </dataBar>
    </cfRule>
  </conditionalFormatting>
  <conditionalFormatting sqref="AA130">
    <cfRule type="expression" priority="330" dxfId="2">
      <formula>AND(AND($W130&lt;TODAY(),$W130&lt;&gt;""),$X130="")</formula>
    </cfRule>
  </conditionalFormatting>
  <conditionalFormatting sqref="Q130">
    <cfRule type="cellIs" priority="329" operator="equal" dxfId="2034">
      <formula>"ja"</formula>
    </cfRule>
    <cfRule type="cellIs" priority="327" operator="equal" dxfId="2034">
      <formula>"ja"</formula>
    </cfRule>
  </conditionalFormatting>
  <conditionalFormatting sqref="AG130">
    <cfRule type="dataBar" priority="328">
      <dataBar>
        <cfvo type="min"/>
        <cfvo type="max"/>
        <color rgb="FF63C384"/>
      </dataBar>
    </cfRule>
  </conditionalFormatting>
  <conditionalFormatting sqref="AA131">
    <cfRule type="expression" priority="326" dxfId="2">
      <formula>AND(AND($W131&lt;TODAY(),$W131&lt;&gt;""),$X131="")</formula>
    </cfRule>
  </conditionalFormatting>
  <conditionalFormatting sqref="Q131">
    <cfRule type="cellIs" priority="325" operator="equal" dxfId="2034">
      <formula>"ja"</formula>
    </cfRule>
    <cfRule type="cellIs" priority="323" operator="equal" dxfId="2034">
      <formula>"ja"</formula>
    </cfRule>
  </conditionalFormatting>
  <conditionalFormatting sqref="AG131">
    <cfRule type="dataBar" priority="324">
      <dataBar>
        <cfvo type="min"/>
        <cfvo type="max"/>
        <color rgb="FF63C384"/>
      </dataBar>
    </cfRule>
  </conditionalFormatting>
  <conditionalFormatting sqref="AA132">
    <cfRule type="expression" priority="322" dxfId="2">
      <formula>AND(AND($W132&lt;TODAY(),$W132&lt;&gt;""),$X132="")</formula>
    </cfRule>
  </conditionalFormatting>
  <conditionalFormatting sqref="Q132">
    <cfRule type="cellIs" priority="321" operator="equal" dxfId="2034">
      <formula>"ja"</formula>
    </cfRule>
  </conditionalFormatting>
  <conditionalFormatting sqref="AG132">
    <cfRule type="dataBar" priority="320">
      <dataBar>
        <cfvo type="min"/>
        <cfvo type="max"/>
        <color rgb="FF63C384"/>
      </dataBar>
    </cfRule>
    <cfRule type="dataBar" priority="319">
      <dataBar>
        <cfvo type="min"/>
        <cfvo type="max"/>
        <color rgb="FF63C384"/>
      </dataBar>
    </cfRule>
  </conditionalFormatting>
  <conditionalFormatting sqref="AA133">
    <cfRule type="expression" priority="318" dxfId="2">
      <formula>AND(AND($W133&lt;TODAY(),$W133&lt;&gt;""),$X133="")</formula>
    </cfRule>
  </conditionalFormatting>
  <conditionalFormatting sqref="Q133">
    <cfRule type="cellIs" priority="317" operator="equal" dxfId="2034">
      <formula>"ja"</formula>
    </cfRule>
    <cfRule type="cellIs" priority="316" operator="equal" dxfId="2034">
      <formula>"ja"</formula>
    </cfRule>
    <cfRule type="cellIs" priority="315" operator="equal" dxfId="2034">
      <formula>"ja"</formula>
    </cfRule>
    <cfRule type="cellIs" priority="312" operator="equal" dxfId="2034">
      <formula>"ja"</formula>
    </cfRule>
  </conditionalFormatting>
  <conditionalFormatting sqref="AG133">
    <cfRule type="dataBar" priority="314">
      <dataBar>
        <cfvo type="min"/>
        <cfvo type="max"/>
        <color rgb="FF63C384"/>
      </dataBar>
    </cfRule>
    <cfRule type="dataBar" priority="313">
      <dataBar>
        <cfvo type="min"/>
        <cfvo type="max"/>
        <color rgb="FF63C384"/>
      </dataBar>
    </cfRule>
    <cfRule type="dataBar" priority="311">
      <dataBar>
        <cfvo type="min"/>
        <cfvo type="max"/>
        <color rgb="FF63C384"/>
      </dataBar>
    </cfRule>
    <cfRule type="dataBar" priority="310">
      <dataBar>
        <cfvo type="min"/>
        <cfvo type="max"/>
        <color rgb="FF63C384"/>
      </dataBar>
    </cfRule>
  </conditionalFormatting>
  <conditionalFormatting sqref="AA134">
    <cfRule type="expression" priority="309" dxfId="2">
      <formula>AND(AND($W134&lt;TODAY(),$W134&lt;&gt;""),$X134="")</formula>
    </cfRule>
  </conditionalFormatting>
  <conditionalFormatting sqref="Q134">
    <cfRule type="cellIs" priority="308" operator="equal" dxfId="2034">
      <formula>"ja"</formula>
    </cfRule>
    <cfRule type="cellIs" priority="306" operator="equal" dxfId="2034">
      <formula>"ja"</formula>
    </cfRule>
    <cfRule type="cellIs" priority="305" operator="equal" dxfId="2034">
      <formula>"ja"</formula>
    </cfRule>
  </conditionalFormatting>
  <conditionalFormatting sqref="AG134">
    <cfRule type="dataBar" priority="307">
      <dataBar>
        <cfvo type="min"/>
        <cfvo type="max"/>
        <color rgb="FF63C384"/>
      </dataBar>
    </cfRule>
  </conditionalFormatting>
  <conditionalFormatting sqref="AA135">
    <cfRule type="expression" priority="304" dxfId="2">
      <formula>AND(AND($W135&lt;TODAY(),$W135&lt;&gt;""),$X135="")</formula>
    </cfRule>
  </conditionalFormatting>
  <conditionalFormatting sqref="AG135">
    <cfRule type="dataBar" priority="303">
      <dataBar>
        <cfvo type="min"/>
        <cfvo type="max"/>
        <color rgb="FF63C384"/>
      </dataBar>
    </cfRule>
    <cfRule type="dataBar" priority="302">
      <dataBar>
        <cfvo type="min"/>
        <cfvo type="max"/>
        <color rgb="FF63C384"/>
      </dataBar>
    </cfRule>
    <cfRule type="dataBar" priority="301">
      <dataBar>
        <cfvo type="min"/>
        <cfvo type="max"/>
        <color rgb="FF63C384"/>
      </dataBar>
    </cfRule>
    <cfRule type="dataBar" priority="300">
      <dataBar>
        <cfvo type="min"/>
        <cfvo type="max"/>
        <color rgb="FF63C384"/>
      </dataBar>
    </cfRule>
  </conditionalFormatting>
  <conditionalFormatting sqref="AA136">
    <cfRule type="expression" priority="299" dxfId="2">
      <formula>AND(AND($W136&lt;TODAY(),$W136&lt;&gt;""),$X136="")</formula>
    </cfRule>
  </conditionalFormatting>
  <conditionalFormatting sqref="Q136">
    <cfRule type="cellIs" priority="298" operator="equal" dxfId="2034">
      <formula>"ja"</formula>
    </cfRule>
    <cfRule type="cellIs" priority="293" operator="equal" dxfId="2034">
      <formula>"ja"</formula>
    </cfRule>
  </conditionalFormatting>
  <conditionalFormatting sqref="AG136">
    <cfRule type="dataBar" priority="297">
      <dataBar>
        <cfvo type="min"/>
        <cfvo type="max"/>
        <color rgb="FF63C384"/>
      </dataBar>
    </cfRule>
    <cfRule type="dataBar" priority="296">
      <dataBar>
        <cfvo type="min"/>
        <cfvo type="max"/>
        <color rgb="FF63C384"/>
      </dataBar>
    </cfRule>
    <cfRule type="dataBar" priority="295">
      <dataBar>
        <cfvo type="min"/>
        <cfvo type="max"/>
        <color rgb="FF63C384"/>
      </dataBar>
    </cfRule>
    <cfRule type="dataBar" priority="294">
      <dataBar>
        <cfvo type="min"/>
        <cfvo type="max"/>
        <color rgb="FF63C384"/>
      </dataBar>
    </cfRule>
  </conditionalFormatting>
  <conditionalFormatting sqref="AA137">
    <cfRule type="expression" priority="292" dxfId="2">
      <formula>AND(AND($W137&lt;TODAY(),$W137&lt;&gt;""),$X137="")</formula>
    </cfRule>
  </conditionalFormatting>
  <conditionalFormatting sqref="AG137">
    <cfRule type="dataBar" priority="291">
      <dataBar>
        <cfvo type="min"/>
        <cfvo type="max"/>
        <color rgb="FF63C384"/>
      </dataBar>
    </cfRule>
    <cfRule type="dataBar" priority="290">
      <dataBar>
        <cfvo type="min"/>
        <cfvo type="max"/>
        <color rgb="FF63C384"/>
      </dataBar>
    </cfRule>
  </conditionalFormatting>
  <conditionalFormatting sqref="Q137">
    <cfRule type="cellIs" priority="289" operator="equal" dxfId="2034">
      <formula>"ja"</formula>
    </cfRule>
    <cfRule type="cellIs" priority="288" operator="equal" dxfId="2034">
      <formula>"ja"</formula>
    </cfRule>
  </conditionalFormatting>
  <conditionalFormatting sqref="AA138">
    <cfRule type="expression" priority="287" dxfId="2">
      <formula>AND(AND($W138&lt;TODAY(),$W138&lt;&gt;""),$X138="")</formula>
    </cfRule>
  </conditionalFormatting>
  <conditionalFormatting sqref="AA139">
    <cfRule type="expression" priority="286" dxfId="2">
      <formula>AND(AND($W139&lt;TODAY(),$W139&lt;&gt;""),$X139="")</formula>
    </cfRule>
  </conditionalFormatting>
  <conditionalFormatting sqref="Q139">
    <cfRule type="cellIs" priority="285" operator="equal" dxfId="2034">
      <formula>"ja"</formula>
    </cfRule>
    <cfRule type="cellIs" priority="283" operator="equal" dxfId="2034">
      <formula>"ja"</formula>
    </cfRule>
  </conditionalFormatting>
  <conditionalFormatting sqref="AG139">
    <cfRule type="dataBar" priority="284">
      <dataBar>
        <cfvo type="min"/>
        <cfvo type="max"/>
        <color rgb="FF63C384"/>
      </dataBar>
    </cfRule>
  </conditionalFormatting>
  <conditionalFormatting sqref="AG109:AG110">
    <cfRule type="dataBar" priority="932">
      <dataBar>
        <cfvo type="min"/>
        <cfvo type="max"/>
        <color rgb="FF63C384"/>
      </dataBar>
    </cfRule>
  </conditionalFormatting>
  <conditionalFormatting sqref="AA140">
    <cfRule type="expression" priority="282" dxfId="2">
      <formula>AND(AND($W140&lt;TODAY(),$W140&lt;&gt;""),$X140="")</formula>
    </cfRule>
  </conditionalFormatting>
  <conditionalFormatting sqref="AG140">
    <cfRule type="dataBar" priority="281">
      <dataBar>
        <cfvo type="min"/>
        <cfvo type="max"/>
        <color rgb="FF63C384"/>
      </dataBar>
    </cfRule>
    <cfRule type="dataBar" priority="280">
      <dataBar>
        <cfvo type="min"/>
        <cfvo type="max"/>
        <color rgb="FF63C384"/>
      </dataBar>
    </cfRule>
    <cfRule type="dataBar" priority="279">
      <dataBar>
        <cfvo type="min"/>
        <cfvo type="max"/>
        <color rgb="FF63C384"/>
      </dataBar>
    </cfRule>
    <cfRule type="dataBar" priority="278">
      <dataBar>
        <cfvo type="min"/>
        <cfvo type="max"/>
        <color rgb="FF63C384"/>
      </dataBar>
    </cfRule>
  </conditionalFormatting>
  <conditionalFormatting sqref="AA141">
    <cfRule type="expression" priority="277" dxfId="2">
      <formula>AND(AND($W141&lt;TODAY(),$W141&lt;&gt;""),$X141="")</formula>
    </cfRule>
  </conditionalFormatting>
  <conditionalFormatting sqref="AA142">
    <cfRule type="expression" priority="276" dxfId="2">
      <formula>AND(AND($W142&lt;TODAY(),$W142&lt;&gt;""),$X142="")</formula>
    </cfRule>
  </conditionalFormatting>
  <conditionalFormatting sqref="AG142">
    <cfRule type="dataBar" priority="275">
      <dataBar>
        <cfvo type="min"/>
        <cfvo type="max"/>
        <color rgb="FF63C384"/>
      </dataBar>
    </cfRule>
    <cfRule type="dataBar" priority="274">
      <dataBar>
        <cfvo type="min"/>
        <cfvo type="max"/>
        <color rgb="FF63C384"/>
      </dataBar>
    </cfRule>
  </conditionalFormatting>
  <conditionalFormatting sqref="Q142">
    <cfRule type="cellIs" priority="273" operator="equal" dxfId="2034">
      <formula>"ja"</formula>
    </cfRule>
  </conditionalFormatting>
  <conditionalFormatting sqref="AA143">
    <cfRule type="expression" priority="272" dxfId="2">
      <formula>AND(AND($W143&lt;TODAY(),$W143&lt;&gt;""),$X143="")</formula>
    </cfRule>
  </conditionalFormatting>
  <conditionalFormatting sqref="Q143">
    <cfRule type="cellIs" priority="271" operator="equal" dxfId="2034">
      <formula>"ja"</formula>
    </cfRule>
    <cfRule type="cellIs" priority="269" operator="equal" dxfId="2034">
      <formula>"ja"</formula>
    </cfRule>
  </conditionalFormatting>
  <conditionalFormatting sqref="AG143">
    <cfRule type="dataBar" priority="270">
      <dataBar>
        <cfvo type="min"/>
        <cfvo type="max"/>
        <color rgb="FF63C384"/>
      </dataBar>
    </cfRule>
  </conditionalFormatting>
  <conditionalFormatting sqref="AA144">
    <cfRule type="expression" priority="268" dxfId="2">
      <formula>AND(AND($W144&lt;TODAY(),$W144&lt;&gt;""),$X144="")</formula>
    </cfRule>
  </conditionalFormatting>
  <conditionalFormatting sqref="Q144">
    <cfRule type="cellIs" priority="267" operator="equal" dxfId="2034">
      <formula>"ja"</formula>
    </cfRule>
  </conditionalFormatting>
  <conditionalFormatting sqref="AG144">
    <cfRule type="dataBar" priority="266">
      <dataBar>
        <cfvo type="min"/>
        <cfvo type="max"/>
        <color rgb="FF63C384"/>
      </dataBar>
    </cfRule>
    <cfRule type="dataBar" priority="265">
      <dataBar>
        <cfvo type="min"/>
        <cfvo type="max"/>
        <color rgb="FF63C384"/>
      </dataBar>
    </cfRule>
  </conditionalFormatting>
  <conditionalFormatting sqref="AA145">
    <cfRule type="expression" priority="264" dxfId="2">
      <formula>AND(AND($W145&lt;TODAY(),$W145&lt;&gt;""),$X145="")</formula>
    </cfRule>
  </conditionalFormatting>
  <conditionalFormatting sqref="Q145">
    <cfRule type="cellIs" priority="263" operator="equal" dxfId="2034">
      <formula>"ja"</formula>
    </cfRule>
    <cfRule type="cellIs" priority="254" operator="equal" dxfId="2034">
      <formula>"ja"</formula>
    </cfRule>
    <cfRule type="cellIs" priority="260" operator="equal" dxfId="2034">
      <formula>"ja"</formula>
    </cfRule>
    <cfRule type="cellIs" priority="257" operator="equal" dxfId="2034">
      <formula>"ja"</formula>
    </cfRule>
    <cfRule type="cellIs" priority="251" operator="equal" dxfId="2034">
      <formula>"ja"</formula>
    </cfRule>
    <cfRule type="cellIs" priority="250" operator="equal" dxfId="2034">
      <formula>"ja"</formula>
    </cfRule>
  </conditionalFormatting>
  <conditionalFormatting sqref="AG145">
    <cfRule type="dataBar" priority="262">
      <dataBar>
        <cfvo type="min"/>
        <cfvo type="max"/>
        <color rgb="FF63C384"/>
      </dataBar>
    </cfRule>
    <cfRule type="dataBar" priority="261">
      <dataBar>
        <cfvo type="min"/>
        <cfvo type="max"/>
        <color rgb="FF63C384"/>
      </dataBar>
    </cfRule>
    <cfRule type="dataBar" priority="259">
      <dataBar>
        <cfvo type="min"/>
        <cfvo type="max"/>
        <color rgb="FF63C384"/>
      </dataBar>
    </cfRule>
    <cfRule type="dataBar" priority="258">
      <dataBar>
        <cfvo type="min"/>
        <cfvo type="max"/>
        <color rgb="FF63C384"/>
      </dataBar>
    </cfRule>
    <cfRule type="dataBar" priority="256">
      <dataBar>
        <cfvo type="min"/>
        <cfvo type="max"/>
        <color rgb="FF63C384"/>
      </dataBar>
    </cfRule>
    <cfRule type="dataBar" priority="255">
      <dataBar>
        <cfvo type="min"/>
        <cfvo type="max"/>
        <color rgb="FF63C384"/>
      </dataBar>
    </cfRule>
    <cfRule type="dataBar" priority="253">
      <dataBar>
        <cfvo type="min"/>
        <cfvo type="max"/>
        <color rgb="FF63C384"/>
      </dataBar>
    </cfRule>
    <cfRule type="dataBar" priority="252">
      <dataBar>
        <cfvo type="min"/>
        <cfvo type="max"/>
        <color rgb="FF63C384"/>
      </dataBar>
    </cfRule>
  </conditionalFormatting>
  <conditionalFormatting sqref="AA146">
    <cfRule type="expression" priority="249" dxfId="2">
      <formula>AND(AND($W146&lt;TODAY(),$W146&lt;&gt;""),$X146="")</formula>
    </cfRule>
  </conditionalFormatting>
  <conditionalFormatting sqref="Q146">
    <cfRule type="cellIs" priority="248" operator="equal" dxfId="2034">
      <formula>"ja"</formula>
    </cfRule>
    <cfRule type="cellIs" priority="246" operator="equal" dxfId="2034">
      <formula>"ja"</formula>
    </cfRule>
  </conditionalFormatting>
  <conditionalFormatting sqref="AG146">
    <cfRule type="dataBar" priority="247">
      <dataBar>
        <cfvo type="min"/>
        <cfvo type="max"/>
        <color rgb="FF63C384"/>
      </dataBar>
    </cfRule>
  </conditionalFormatting>
  <conditionalFormatting sqref="AA147">
    <cfRule type="expression" priority="245" dxfId="2">
      <formula>AND(AND($W147&lt;TODAY(),$W147&lt;&gt;""),$X147="")</formula>
    </cfRule>
  </conditionalFormatting>
  <conditionalFormatting sqref="Q147">
    <cfRule type="cellIs" priority="244" operator="equal" dxfId="2034">
      <formula>"ja"</formula>
    </cfRule>
  </conditionalFormatting>
  <conditionalFormatting sqref="AG147">
    <cfRule type="dataBar" priority="243">
      <dataBar>
        <cfvo type="min"/>
        <cfvo type="max"/>
        <color rgb="FF63C384"/>
      </dataBar>
    </cfRule>
    <cfRule type="dataBar" priority="242">
      <dataBar>
        <cfvo type="min"/>
        <cfvo type="max"/>
        <color rgb="FF63C384"/>
      </dataBar>
    </cfRule>
  </conditionalFormatting>
  <conditionalFormatting sqref="AA148">
    <cfRule type="expression" priority="241" dxfId="2">
      <formula>AND(AND($W148&lt;TODAY(),$W148&lt;&gt;""),$X148="")</formula>
    </cfRule>
  </conditionalFormatting>
  <conditionalFormatting sqref="Q148">
    <cfRule type="cellIs" priority="240" operator="equal" dxfId="2034">
      <formula>"ja"</formula>
    </cfRule>
    <cfRule type="cellIs" priority="238" operator="equal" dxfId="2034">
      <formula>"ja"</formula>
    </cfRule>
    <cfRule type="cellIs" priority="237" operator="equal" dxfId="2034">
      <formula>"ja"</formula>
    </cfRule>
  </conditionalFormatting>
  <conditionalFormatting sqref="AG148">
    <cfRule type="dataBar" priority="239">
      <dataBar>
        <cfvo type="min"/>
        <cfvo type="max"/>
        <color rgb="FF63C384"/>
      </dataBar>
    </cfRule>
  </conditionalFormatting>
  <conditionalFormatting sqref="AA149">
    <cfRule type="expression" priority="236" dxfId="2">
      <formula>AND(AND($W149&lt;TODAY(),$W149&lt;&gt;""),$X149="")</formula>
    </cfRule>
  </conditionalFormatting>
  <conditionalFormatting sqref="Q149">
    <cfRule type="cellIs" priority="235" operator="equal" dxfId="2034">
      <formula>"ja"</formula>
    </cfRule>
    <cfRule type="cellIs" priority="234" operator="equal" dxfId="2034">
      <formula>"ja"</formula>
    </cfRule>
    <cfRule type="cellIs" priority="233" operator="equal" dxfId="2034">
      <formula>"ja"</formula>
    </cfRule>
    <cfRule type="cellIs" priority="230" operator="equal" dxfId="2034">
      <formula>"ja"</formula>
    </cfRule>
  </conditionalFormatting>
  <conditionalFormatting sqref="AG149">
    <cfRule type="dataBar" priority="232">
      <dataBar>
        <cfvo type="min"/>
        <cfvo type="max"/>
        <color rgb="FF63C384"/>
      </dataBar>
    </cfRule>
    <cfRule type="dataBar" priority="231">
      <dataBar>
        <cfvo type="min"/>
        <cfvo type="max"/>
        <color rgb="FF63C384"/>
      </dataBar>
    </cfRule>
    <cfRule type="dataBar" priority="229">
      <dataBar>
        <cfvo type="min"/>
        <cfvo type="max"/>
        <color rgb="FF63C384"/>
      </dataBar>
    </cfRule>
    <cfRule type="dataBar" priority="228">
      <dataBar>
        <cfvo type="min"/>
        <cfvo type="max"/>
        <color rgb="FF63C384"/>
      </dataBar>
    </cfRule>
  </conditionalFormatting>
  <conditionalFormatting sqref="AA150">
    <cfRule type="expression" priority="227" dxfId="2">
      <formula>AND(AND($W150&lt;TODAY(),$W150&lt;&gt;""),$X150="")</formula>
    </cfRule>
  </conditionalFormatting>
  <conditionalFormatting sqref="AG150">
    <cfRule type="dataBar" priority="226">
      <dataBar>
        <cfvo type="min"/>
        <cfvo type="max"/>
        <color rgb="FF63C384"/>
      </dataBar>
    </cfRule>
    <cfRule type="dataBar" priority="225">
      <dataBar>
        <cfvo type="min"/>
        <cfvo type="max"/>
        <color rgb="FF63C384"/>
      </dataBar>
    </cfRule>
    <cfRule type="dataBar" priority="224">
      <dataBar>
        <cfvo type="min"/>
        <cfvo type="max"/>
        <color rgb="FF63C384"/>
      </dataBar>
    </cfRule>
    <cfRule type="dataBar" priority="223">
      <dataBar>
        <cfvo type="min"/>
        <cfvo type="max"/>
        <color rgb="FF63C384"/>
      </dataBar>
    </cfRule>
  </conditionalFormatting>
  <conditionalFormatting sqref="AA151">
    <cfRule type="expression" priority="222" dxfId="2">
      <formula>AND(AND($W151&lt;TODAY(),$W151&lt;&gt;""),$X151="")</formula>
    </cfRule>
  </conditionalFormatting>
  <conditionalFormatting sqref="AG151">
    <cfRule type="dataBar" priority="221">
      <dataBar>
        <cfvo type="min"/>
        <cfvo type="max"/>
        <color rgb="FF63C384"/>
      </dataBar>
    </cfRule>
    <cfRule type="dataBar" priority="220">
      <dataBar>
        <cfvo type="min"/>
        <cfvo type="max"/>
        <color rgb="FF63C384"/>
      </dataBar>
    </cfRule>
  </conditionalFormatting>
  <conditionalFormatting sqref="Q151">
    <cfRule type="cellIs" priority="219" operator="equal" dxfId="2034">
      <formula>"ja"</formula>
    </cfRule>
    <cfRule type="cellIs" priority="218" operator="equal" dxfId="2034">
      <formula>"ja"</formula>
    </cfRule>
  </conditionalFormatting>
  <conditionalFormatting sqref="AA152">
    <cfRule type="expression" priority="217" dxfId="2">
      <formula>AND(AND($W152&lt;TODAY(),$W152&lt;&gt;""),$X152="")</formula>
    </cfRule>
  </conditionalFormatting>
  <conditionalFormatting sqref="Q152">
    <cfRule type="cellIs" priority="216" operator="equal" dxfId="2034">
      <formula>"ja"</formula>
    </cfRule>
    <cfRule type="cellIs" priority="211" operator="equal" dxfId="2034">
      <formula>"ja"</formula>
    </cfRule>
  </conditionalFormatting>
  <conditionalFormatting sqref="AG152">
    <cfRule type="dataBar" priority="215">
      <dataBar>
        <cfvo type="min"/>
        <cfvo type="max"/>
        <color rgb="FF63C384"/>
      </dataBar>
    </cfRule>
    <cfRule type="dataBar" priority="214">
      <dataBar>
        <cfvo type="min"/>
        <cfvo type="max"/>
        <color rgb="FF63C384"/>
      </dataBar>
    </cfRule>
    <cfRule type="dataBar" priority="213">
      <dataBar>
        <cfvo type="min"/>
        <cfvo type="max"/>
        <color rgb="FF63C384"/>
      </dataBar>
    </cfRule>
    <cfRule type="dataBar" priority="212">
      <dataBar>
        <cfvo type="min"/>
        <cfvo type="max"/>
        <color rgb="FF63C384"/>
      </dataBar>
    </cfRule>
  </conditionalFormatting>
  <conditionalFormatting sqref="AA153">
    <cfRule type="expression" priority="210" dxfId="2">
      <formula>AND(AND($W153&lt;TODAY(),$W153&lt;&gt;""),$X153="")</formula>
    </cfRule>
  </conditionalFormatting>
  <conditionalFormatting sqref="Q153">
    <cfRule type="cellIs" priority="209" operator="equal" dxfId="2034">
      <formula>"ja"</formula>
    </cfRule>
  </conditionalFormatting>
  <conditionalFormatting sqref="AG153">
    <cfRule type="dataBar" priority="208">
      <dataBar>
        <cfvo type="min"/>
        <cfvo type="max"/>
        <color rgb="FF63C384"/>
      </dataBar>
    </cfRule>
    <cfRule type="dataBar" priority="207">
      <dataBar>
        <cfvo type="min"/>
        <cfvo type="max"/>
        <color rgb="FF63C384"/>
      </dataBar>
    </cfRule>
  </conditionalFormatting>
  <conditionalFormatting sqref="AA154">
    <cfRule type="expression" priority="206" dxfId="2">
      <formula>AND(AND($W154&lt;TODAY(),$W154&lt;&gt;""),$X154="")</formula>
    </cfRule>
  </conditionalFormatting>
  <conditionalFormatting sqref="Q154">
    <cfRule type="cellIs" priority="205" operator="equal" dxfId="2034">
      <formula>"ja"</formula>
    </cfRule>
  </conditionalFormatting>
  <conditionalFormatting sqref="AG154">
    <cfRule type="dataBar" priority="204">
      <dataBar>
        <cfvo type="min"/>
        <cfvo type="max"/>
        <color rgb="FF63C384"/>
      </dataBar>
    </cfRule>
    <cfRule type="dataBar" priority="203">
      <dataBar>
        <cfvo type="min"/>
        <cfvo type="max"/>
        <color rgb="FF63C384"/>
      </dataBar>
    </cfRule>
  </conditionalFormatting>
  <conditionalFormatting sqref="AA155">
    <cfRule type="expression" priority="202" dxfId="2">
      <formula>AND(AND($W155&lt;TODAY(),$W155&lt;&gt;""),$X155="")</formula>
    </cfRule>
  </conditionalFormatting>
  <conditionalFormatting sqref="AG155">
    <cfRule type="dataBar" priority="201">
      <dataBar>
        <cfvo type="min"/>
        <cfvo type="max"/>
        <color rgb="FF63C384"/>
      </dataBar>
    </cfRule>
    <cfRule type="dataBar" priority="200">
      <dataBar>
        <cfvo type="min"/>
        <cfvo type="max"/>
        <color rgb="FF63C384"/>
      </dataBar>
    </cfRule>
  </conditionalFormatting>
  <conditionalFormatting sqref="Q155">
    <cfRule type="cellIs" priority="199" operator="equal" dxfId="2034">
      <formula>"ja"</formula>
    </cfRule>
  </conditionalFormatting>
  <conditionalFormatting sqref="AA156">
    <cfRule type="expression" priority="198" dxfId="2">
      <formula>AND(AND($W156&lt;TODAY(),$W156&lt;&gt;""),$X156="")</formula>
    </cfRule>
  </conditionalFormatting>
  <conditionalFormatting sqref="Q156">
    <cfRule type="cellIs" priority="197" operator="equal" dxfId="2034">
      <formula>"ja"</formula>
    </cfRule>
    <cfRule type="cellIs" priority="195" operator="equal" dxfId="2034">
      <formula>"ja"</formula>
    </cfRule>
  </conditionalFormatting>
  <conditionalFormatting sqref="AG156">
    <cfRule type="dataBar" priority="196">
      <dataBar>
        <cfvo type="min"/>
        <cfvo type="max"/>
        <color rgb="FF63C384"/>
      </dataBar>
    </cfRule>
  </conditionalFormatting>
  <conditionalFormatting sqref="AA157">
    <cfRule type="expression" priority="194" dxfId="2">
      <formula>AND(AND($W157&lt;TODAY(),$W157&lt;&gt;""),$X157="")</formula>
    </cfRule>
  </conditionalFormatting>
  <conditionalFormatting sqref="Q157">
    <cfRule type="cellIs" priority="193" operator="equal" dxfId="2034">
      <formula>"ja"</formula>
    </cfRule>
    <cfRule type="cellIs" priority="191" operator="equal" dxfId="2034">
      <formula>"ja"</formula>
    </cfRule>
  </conditionalFormatting>
  <conditionalFormatting sqref="AG157">
    <cfRule type="dataBar" priority="192">
      <dataBar>
        <cfvo type="min"/>
        <cfvo type="max"/>
        <color rgb="FF63C384"/>
      </dataBar>
    </cfRule>
  </conditionalFormatting>
  <conditionalFormatting sqref="AA158">
    <cfRule type="expression" priority="190" dxfId="2">
      <formula>AND(AND($W158&lt;TODAY(),$W158&lt;&gt;""),$X158="")</formula>
    </cfRule>
  </conditionalFormatting>
  <conditionalFormatting sqref="Q158">
    <cfRule type="cellIs" priority="189" operator="equal" dxfId="2034">
      <formula>"ja"</formula>
    </cfRule>
    <cfRule type="cellIs" priority="180" operator="equal" dxfId="2034">
      <formula>"ja"</formula>
    </cfRule>
    <cfRule type="cellIs" priority="186" operator="equal" dxfId="2034">
      <formula>"ja"</formula>
    </cfRule>
    <cfRule type="cellIs" priority="183" operator="equal" dxfId="2034">
      <formula>"ja"</formula>
    </cfRule>
    <cfRule type="cellIs" priority="177" operator="equal" dxfId="2034">
      <formula>"ja"</formula>
    </cfRule>
    <cfRule type="cellIs" priority="176" operator="equal" dxfId="2034">
      <formula>"ja"</formula>
    </cfRule>
  </conditionalFormatting>
  <conditionalFormatting sqref="AG158">
    <cfRule type="dataBar" priority="188">
      <dataBar>
        <cfvo type="min"/>
        <cfvo type="max"/>
        <color rgb="FF63C384"/>
      </dataBar>
    </cfRule>
    <cfRule type="dataBar" priority="187">
      <dataBar>
        <cfvo type="min"/>
        <cfvo type="max"/>
        <color rgb="FF63C384"/>
      </dataBar>
    </cfRule>
    <cfRule type="dataBar" priority="185">
      <dataBar>
        <cfvo type="min"/>
        <cfvo type="max"/>
        <color rgb="FF63C384"/>
      </dataBar>
    </cfRule>
    <cfRule type="dataBar" priority="184">
      <dataBar>
        <cfvo type="min"/>
        <cfvo type="max"/>
        <color rgb="FF63C384"/>
      </dataBar>
    </cfRule>
    <cfRule type="dataBar" priority="182">
      <dataBar>
        <cfvo type="min"/>
        <cfvo type="max"/>
        <color rgb="FF63C384"/>
      </dataBar>
    </cfRule>
    <cfRule type="dataBar" priority="181">
      <dataBar>
        <cfvo type="min"/>
        <cfvo type="max"/>
        <color rgb="FF63C384"/>
      </dataBar>
    </cfRule>
    <cfRule type="dataBar" priority="179">
      <dataBar>
        <cfvo type="min"/>
        <cfvo type="max"/>
        <color rgb="FF63C384"/>
      </dataBar>
    </cfRule>
    <cfRule type="dataBar" priority="178">
      <dataBar>
        <cfvo type="min"/>
        <cfvo type="max"/>
        <color rgb="FF63C384"/>
      </dataBar>
    </cfRule>
  </conditionalFormatting>
  <conditionalFormatting sqref="AA159">
    <cfRule type="expression" priority="175" dxfId="2">
      <formula>AND(AND($W159&lt;TODAY(),$W159&lt;&gt;""),$X159="")</formula>
    </cfRule>
  </conditionalFormatting>
  <conditionalFormatting sqref="Q159">
    <cfRule type="cellIs" priority="174" operator="equal" dxfId="2034">
      <formula>"ja"</formula>
    </cfRule>
  </conditionalFormatting>
  <conditionalFormatting sqref="AG159">
    <cfRule type="dataBar" priority="173">
      <dataBar>
        <cfvo type="min"/>
        <cfvo type="max"/>
        <color rgb="FF63C384"/>
      </dataBar>
    </cfRule>
    <cfRule type="dataBar" priority="172">
      <dataBar>
        <cfvo type="min"/>
        <cfvo type="max"/>
        <color rgb="FF63C384"/>
      </dataBar>
    </cfRule>
  </conditionalFormatting>
  <conditionalFormatting sqref="AA160">
    <cfRule type="expression" priority="171" dxfId="2">
      <formula>AND(AND($W160&lt;TODAY(),$W160&lt;&gt;""),$X160="")</formula>
    </cfRule>
  </conditionalFormatting>
  <conditionalFormatting sqref="Q160">
    <cfRule type="cellIs" priority="170" operator="equal" dxfId="2034">
      <formula>"ja"</formula>
    </cfRule>
    <cfRule type="cellIs" priority="169" operator="equal" dxfId="2034">
      <formula>"ja"</formula>
    </cfRule>
    <cfRule type="cellIs" priority="168" operator="equal" dxfId="2034">
      <formula>"ja"</formula>
    </cfRule>
    <cfRule type="cellIs" priority="165" operator="equal" dxfId="2034">
      <formula>"ja"</formula>
    </cfRule>
  </conditionalFormatting>
  <conditionalFormatting sqref="AG160">
    <cfRule type="dataBar" priority="167">
      <dataBar>
        <cfvo type="min"/>
        <cfvo type="max"/>
        <color rgb="FF63C384"/>
      </dataBar>
    </cfRule>
    <cfRule type="dataBar" priority="166">
      <dataBar>
        <cfvo type="min"/>
        <cfvo type="max"/>
        <color rgb="FF63C384"/>
      </dataBar>
    </cfRule>
    <cfRule type="dataBar" priority="164">
      <dataBar>
        <cfvo type="min"/>
        <cfvo type="max"/>
        <color rgb="FF63C384"/>
      </dataBar>
    </cfRule>
    <cfRule type="dataBar" priority="163">
      <dataBar>
        <cfvo type="min"/>
        <cfvo type="max"/>
        <color rgb="FF63C384"/>
      </dataBar>
    </cfRule>
  </conditionalFormatting>
  <conditionalFormatting sqref="AA161">
    <cfRule type="expression" priority="162" dxfId="2">
      <formula>AND(AND($W161&lt;TODAY(),$W161&lt;&gt;""),$X161="")</formula>
    </cfRule>
  </conditionalFormatting>
  <conditionalFormatting sqref="AG161">
    <cfRule type="dataBar" priority="161">
      <dataBar>
        <cfvo type="min"/>
        <cfvo type="max"/>
        <color rgb="FF63C384"/>
      </dataBar>
    </cfRule>
    <cfRule type="dataBar" priority="160">
      <dataBar>
        <cfvo type="min"/>
        <cfvo type="max"/>
        <color rgb="FF63C384"/>
      </dataBar>
    </cfRule>
    <cfRule type="dataBar" priority="159">
      <dataBar>
        <cfvo type="min"/>
        <cfvo type="max"/>
        <color rgb="FF63C384"/>
      </dataBar>
    </cfRule>
    <cfRule type="dataBar" priority="158">
      <dataBar>
        <cfvo type="min"/>
        <cfvo type="max"/>
        <color rgb="FF63C384"/>
      </dataBar>
    </cfRule>
  </conditionalFormatting>
  <conditionalFormatting sqref="AA162">
    <cfRule type="expression" priority="157" dxfId="2">
      <formula>AND(AND($W162&lt;TODAY(),$W162&lt;&gt;""),$X162="")</formula>
    </cfRule>
  </conditionalFormatting>
  <conditionalFormatting sqref="AG162">
    <cfRule type="dataBar" priority="156">
      <dataBar>
        <cfvo type="min"/>
        <cfvo type="max"/>
        <color rgb="FF63C384"/>
      </dataBar>
    </cfRule>
    <cfRule type="dataBar" priority="155">
      <dataBar>
        <cfvo type="min"/>
        <cfvo type="max"/>
        <color rgb="FF63C384"/>
      </dataBar>
    </cfRule>
  </conditionalFormatting>
  <conditionalFormatting sqref="Q162">
    <cfRule type="cellIs" priority="154" operator="equal" dxfId="2034">
      <formula>"ja"</formula>
    </cfRule>
    <cfRule type="cellIs" priority="153" operator="equal" dxfId="2034">
      <formula>"ja"</formula>
    </cfRule>
  </conditionalFormatting>
  <conditionalFormatting sqref="AA163">
    <cfRule type="expression" priority="152" dxfId="2">
      <formula>AND(AND($W163&lt;TODAY(),$W163&lt;&gt;""),$X163="")</formula>
    </cfRule>
  </conditionalFormatting>
  <conditionalFormatting sqref="Q163">
    <cfRule type="cellIs" priority="151" operator="equal" dxfId="2034">
      <formula>"ja"</formula>
    </cfRule>
    <cfRule type="cellIs" priority="146" operator="equal" dxfId="2034">
      <formula>"ja"</formula>
    </cfRule>
  </conditionalFormatting>
  <conditionalFormatting sqref="AG163">
    <cfRule type="dataBar" priority="150">
      <dataBar>
        <cfvo type="min"/>
        <cfvo type="max"/>
        <color rgb="FF63C384"/>
      </dataBar>
    </cfRule>
    <cfRule type="dataBar" priority="149">
      <dataBar>
        <cfvo type="min"/>
        <cfvo type="max"/>
        <color rgb="FF63C384"/>
      </dataBar>
    </cfRule>
    <cfRule type="dataBar" priority="148">
      <dataBar>
        <cfvo type="min"/>
        <cfvo type="max"/>
        <color rgb="FF63C384"/>
      </dataBar>
    </cfRule>
    <cfRule type="dataBar" priority="147">
      <dataBar>
        <cfvo type="min"/>
        <cfvo type="max"/>
        <color rgb="FF63C384"/>
      </dataBar>
    </cfRule>
  </conditionalFormatting>
  <conditionalFormatting sqref="AA164">
    <cfRule type="expression" priority="145" dxfId="2">
      <formula>AND(AND($W164&lt;TODAY(),$W164&lt;&gt;""),$X164="")</formula>
    </cfRule>
  </conditionalFormatting>
  <conditionalFormatting sqref="Q164">
    <cfRule type="cellIs" priority="144" operator="equal" dxfId="2034">
      <formula>"ja"</formula>
    </cfRule>
    <cfRule type="cellIs" priority="142" operator="equal" dxfId="2034">
      <formula>"ja"</formula>
    </cfRule>
    <cfRule type="cellIs" priority="141" operator="equal" dxfId="2034">
      <formula>"ja"</formula>
    </cfRule>
  </conditionalFormatting>
  <conditionalFormatting sqref="AG164">
    <cfRule type="dataBar" priority="143">
      <dataBar>
        <cfvo type="min"/>
        <cfvo type="max"/>
        <color rgb="FF63C384"/>
      </dataBar>
    </cfRule>
  </conditionalFormatting>
  <conditionalFormatting sqref="AA165:AA166">
    <cfRule type="expression" priority="140" dxfId="2">
      <formula>AND(AND($W165&lt;TODAY(),$W165&lt;&gt;""),$X165="")</formula>
    </cfRule>
  </conditionalFormatting>
  <conditionalFormatting sqref="AG165:AG166">
    <cfRule type="dataBar" priority="139">
      <dataBar>
        <cfvo type="min"/>
        <cfvo type="max"/>
        <color rgb="FF63C384"/>
      </dataBar>
    </cfRule>
    <cfRule type="dataBar" priority="138">
      <dataBar>
        <cfvo type="min"/>
        <cfvo type="max"/>
        <color rgb="FF63C384"/>
      </dataBar>
    </cfRule>
  </conditionalFormatting>
  <conditionalFormatting sqref="AA167">
    <cfRule type="expression" priority="137" dxfId="2">
      <formula>AND(AND($W167&lt;TODAY(),$W167&lt;&gt;""),$X167="")</formula>
    </cfRule>
  </conditionalFormatting>
  <conditionalFormatting sqref="Q167">
    <cfRule type="cellIs" priority="136" operator="equal" dxfId="2034">
      <formula>"ja"</formula>
    </cfRule>
  </conditionalFormatting>
  <conditionalFormatting sqref="AG167">
    <cfRule type="dataBar" priority="135">
      <dataBar>
        <cfvo type="min"/>
        <cfvo type="max"/>
        <color rgb="FF63C384"/>
      </dataBar>
    </cfRule>
    <cfRule type="dataBar" priority="134">
      <dataBar>
        <cfvo type="min"/>
        <cfvo type="max"/>
        <color rgb="FF63C384"/>
      </dataBar>
    </cfRule>
  </conditionalFormatting>
  <conditionalFormatting sqref="AA169">
    <cfRule type="expression" priority="133" dxfId="2">
      <formula>AND(AND($W169&lt;TODAY(),$W169&lt;&gt;""),$X169="")</formula>
    </cfRule>
  </conditionalFormatting>
  <conditionalFormatting sqref="Q169">
    <cfRule type="cellIs" priority="132" operator="equal" dxfId="2034">
      <formula>"ja"</formula>
    </cfRule>
  </conditionalFormatting>
  <conditionalFormatting sqref="AG169">
    <cfRule type="dataBar" priority="131">
      <dataBar>
        <cfvo type="min"/>
        <cfvo type="max"/>
        <color rgb="FF63C384"/>
      </dataBar>
    </cfRule>
    <cfRule type="dataBar" priority="130">
      <dataBar>
        <cfvo type="min"/>
        <cfvo type="max"/>
        <color rgb="FF63C384"/>
      </dataBar>
    </cfRule>
  </conditionalFormatting>
  <conditionalFormatting sqref="AA169:AA170">
    <cfRule type="expression" priority="129" dxfId="2">
      <formula>AND(AND($W169&lt;TODAY(),$W169&lt;&gt;""),$X169="")</formula>
    </cfRule>
  </conditionalFormatting>
  <conditionalFormatting sqref="Q169:Q170">
    <cfRule type="cellIs" priority="128" operator="equal" dxfId="2034">
      <formula>"ja"</formula>
    </cfRule>
    <cfRule type="cellIs" priority="126" operator="equal" dxfId="2034">
      <formula>"ja"</formula>
    </cfRule>
  </conditionalFormatting>
  <conditionalFormatting sqref="AG169:AG170">
    <cfRule type="dataBar" priority="127">
      <dataBar>
        <cfvo type="min"/>
        <cfvo type="max"/>
        <color rgb="FF63C384"/>
      </dataBar>
    </cfRule>
  </conditionalFormatting>
  <conditionalFormatting sqref="AA170:AA171">
    <cfRule type="expression" priority="125" dxfId="2">
      <formula>AND(AND($W170&lt;TODAY(),$W170&lt;&gt;""),$X170="")</formula>
    </cfRule>
  </conditionalFormatting>
  <conditionalFormatting sqref="Q170:Q171">
    <cfRule type="cellIs" priority="124" operator="equal" dxfId="2034">
      <formula>"ja"</formula>
    </cfRule>
    <cfRule type="cellIs" priority="122" operator="equal" dxfId="2034">
      <formula>"ja"</formula>
    </cfRule>
  </conditionalFormatting>
  <conditionalFormatting sqref="AG170:AG171">
    <cfRule type="dataBar" priority="123">
      <dataBar>
        <cfvo type="min"/>
        <cfvo type="max"/>
        <color rgb="FF63C384"/>
      </dataBar>
    </cfRule>
  </conditionalFormatting>
  <conditionalFormatting sqref="AA168">
    <cfRule type="expression" priority="121" dxfId="2">
      <formula>AND(AND($W168&lt;TODAY(),$W168&lt;&gt;""),$X168="")</formula>
    </cfRule>
  </conditionalFormatting>
  <conditionalFormatting sqref="AG168">
    <cfRule type="dataBar" priority="120">
      <dataBar>
        <cfvo type="min"/>
        <cfvo type="max"/>
        <color rgb="FF63C384"/>
      </dataBar>
    </cfRule>
    <cfRule type="dataBar" priority="119">
      <dataBar>
        <cfvo type="min"/>
        <cfvo type="max"/>
        <color rgb="FF63C384"/>
      </dataBar>
    </cfRule>
  </conditionalFormatting>
  <conditionalFormatting sqref="Q168">
    <cfRule type="cellIs" priority="118" operator="equal" dxfId="2034">
      <formula>"ja"</formula>
    </cfRule>
  </conditionalFormatting>
  <conditionalFormatting sqref="AA172">
    <cfRule type="expression" priority="117" dxfId="2">
      <formula>AND(AND($W172&lt;TODAY(),$W172&lt;&gt;""),$X172="")</formula>
    </cfRule>
  </conditionalFormatting>
  <conditionalFormatting sqref="Q172">
    <cfRule type="cellIs" priority="116" operator="equal" dxfId="2034">
      <formula>"ja"</formula>
    </cfRule>
    <cfRule type="cellIs" priority="107" operator="equal" dxfId="2034">
      <formula>"ja"</formula>
    </cfRule>
    <cfRule type="cellIs" priority="113" operator="equal" dxfId="2034">
      <formula>"ja"</formula>
    </cfRule>
    <cfRule type="cellIs" priority="110" operator="equal" dxfId="2034">
      <formula>"ja"</formula>
    </cfRule>
    <cfRule type="cellIs" priority="104" operator="equal" dxfId="2034">
      <formula>"ja"</formula>
    </cfRule>
    <cfRule type="cellIs" priority="103" operator="equal" dxfId="2034">
      <formula>"ja"</formula>
    </cfRule>
  </conditionalFormatting>
  <conditionalFormatting sqref="AG172">
    <cfRule type="dataBar" priority="115">
      <dataBar>
        <cfvo type="min"/>
        <cfvo type="max"/>
        <color rgb="FF63C384"/>
      </dataBar>
    </cfRule>
    <cfRule type="dataBar" priority="114">
      <dataBar>
        <cfvo type="min"/>
        <cfvo type="max"/>
        <color rgb="FF63C384"/>
      </dataBar>
    </cfRule>
    <cfRule type="dataBar" priority="112">
      <dataBar>
        <cfvo type="min"/>
        <cfvo type="max"/>
        <color rgb="FF63C384"/>
      </dataBar>
    </cfRule>
    <cfRule type="dataBar" priority="111">
      <dataBar>
        <cfvo type="min"/>
        <cfvo type="max"/>
        <color rgb="FF63C384"/>
      </dataBar>
    </cfRule>
    <cfRule type="dataBar" priority="109">
      <dataBar>
        <cfvo type="min"/>
        <cfvo type="max"/>
        <color rgb="FF63C384"/>
      </dataBar>
    </cfRule>
    <cfRule type="dataBar" priority="108">
      <dataBar>
        <cfvo type="min"/>
        <cfvo type="max"/>
        <color rgb="FF63C384"/>
      </dataBar>
    </cfRule>
    <cfRule type="dataBar" priority="106">
      <dataBar>
        <cfvo type="min"/>
        <cfvo type="max"/>
        <color rgb="FF63C384"/>
      </dataBar>
    </cfRule>
    <cfRule type="dataBar" priority="105">
      <dataBar>
        <cfvo type="min"/>
        <cfvo type="max"/>
        <color rgb="FF63C384"/>
      </dataBar>
    </cfRule>
  </conditionalFormatting>
  <conditionalFormatting sqref="AA173:AA175">
    <cfRule type="expression" priority="101" dxfId="2">
      <formula>AND(AND($W173&lt;TODAY(),$W173&lt;&gt;""),$X173="")</formula>
    </cfRule>
  </conditionalFormatting>
  <conditionalFormatting sqref="AG173:AG175">
    <cfRule type="dataBar" priority="102">
      <dataBar>
        <cfvo type="min"/>
        <cfvo type="max"/>
        <color rgb="FF63C384"/>
      </dataBar>
    </cfRule>
  </conditionalFormatting>
  <conditionalFormatting sqref="AA176">
    <cfRule type="expression" priority="100" dxfId="2">
      <formula>AND(AND($W176&lt;TODAY(),$W176&lt;&gt;""),$X176="")</formula>
    </cfRule>
  </conditionalFormatting>
  <conditionalFormatting sqref="Q176">
    <cfRule type="cellIs" priority="99" operator="equal" dxfId="2034">
      <formula>"ja"</formula>
    </cfRule>
    <cfRule type="cellIs" priority="98" operator="equal" dxfId="2034">
      <formula>"ja"</formula>
    </cfRule>
    <cfRule type="cellIs" priority="97" operator="equal" dxfId="2034">
      <formula>"ja"</formula>
    </cfRule>
    <cfRule type="cellIs" priority="94" operator="equal" dxfId="2034">
      <formula>"ja"</formula>
    </cfRule>
  </conditionalFormatting>
  <conditionalFormatting sqref="AG176">
    <cfRule type="dataBar" priority="96">
      <dataBar>
        <cfvo type="min"/>
        <cfvo type="max"/>
        <color rgb="FF63C384"/>
      </dataBar>
    </cfRule>
    <cfRule type="dataBar" priority="95">
      <dataBar>
        <cfvo type="min"/>
        <cfvo type="max"/>
        <color rgb="FF63C384"/>
      </dataBar>
    </cfRule>
    <cfRule type="dataBar" priority="93">
      <dataBar>
        <cfvo type="min"/>
        <cfvo type="max"/>
        <color rgb="FF63C384"/>
      </dataBar>
    </cfRule>
    <cfRule type="dataBar" priority="92">
      <dataBar>
        <cfvo type="min"/>
        <cfvo type="max"/>
        <color rgb="FF63C384"/>
      </dataBar>
    </cfRule>
  </conditionalFormatting>
  <conditionalFormatting sqref="AA177">
    <cfRule type="expression" priority="91" dxfId="2">
      <formula>AND(AND($W177&lt;TODAY(),$W177&lt;&gt;""),$X177="")</formula>
    </cfRule>
  </conditionalFormatting>
  <conditionalFormatting sqref="Q177">
    <cfRule type="cellIs" priority="90" operator="equal" dxfId="2034">
      <formula>"ja"</formula>
    </cfRule>
    <cfRule type="cellIs" priority="88" operator="equal" dxfId="2034">
      <formula>"ja"</formula>
    </cfRule>
    <cfRule type="cellIs" priority="87" operator="equal" dxfId="2034">
      <formula>"ja"</formula>
    </cfRule>
  </conditionalFormatting>
  <conditionalFormatting sqref="AG177">
    <cfRule type="dataBar" priority="89">
      <dataBar>
        <cfvo type="min"/>
        <cfvo type="max"/>
        <color rgb="FF63C384"/>
      </dataBar>
    </cfRule>
  </conditionalFormatting>
  <conditionalFormatting sqref="AA178">
    <cfRule type="expression" priority="86" dxfId="2">
      <formula>AND(AND($W178&lt;TODAY(),$W178&lt;&gt;""),$X178="")</formula>
    </cfRule>
  </conditionalFormatting>
  <conditionalFormatting sqref="AG178">
    <cfRule type="dataBar" priority="85">
      <dataBar>
        <cfvo type="min"/>
        <cfvo type="max"/>
        <color rgb="FF63C384"/>
      </dataBar>
    </cfRule>
    <cfRule type="dataBar" priority="84">
      <dataBar>
        <cfvo type="min"/>
        <cfvo type="max"/>
        <color rgb="FF63C384"/>
      </dataBar>
    </cfRule>
    <cfRule type="dataBar" priority="83">
      <dataBar>
        <cfvo type="min"/>
        <cfvo type="max"/>
        <color rgb="FF63C384"/>
      </dataBar>
    </cfRule>
    <cfRule type="dataBar" priority="82">
      <dataBar>
        <cfvo type="min"/>
        <cfvo type="max"/>
        <color rgb="FF63C384"/>
      </dataBar>
    </cfRule>
  </conditionalFormatting>
  <conditionalFormatting sqref="AA179">
    <cfRule type="expression" priority="81" dxfId="2">
      <formula>AND(AND($W179&lt;TODAY(),$W179&lt;&gt;""),$X179="")</formula>
    </cfRule>
  </conditionalFormatting>
  <conditionalFormatting sqref="AG179">
    <cfRule type="dataBar" priority="80">
      <dataBar>
        <cfvo type="min"/>
        <cfvo type="max"/>
        <color rgb="FF63C384"/>
      </dataBar>
    </cfRule>
    <cfRule type="dataBar" priority="79">
      <dataBar>
        <cfvo type="min"/>
        <cfvo type="max"/>
        <color rgb="FF63C384"/>
      </dataBar>
    </cfRule>
  </conditionalFormatting>
  <conditionalFormatting sqref="Q179">
    <cfRule type="cellIs" priority="78" operator="equal" dxfId="2034">
      <formula>"ja"</formula>
    </cfRule>
    <cfRule type="cellIs" priority="77" operator="equal" dxfId="2034">
      <formula>"ja"</formula>
    </cfRule>
  </conditionalFormatting>
  <conditionalFormatting sqref="AA180:AA181">
    <cfRule type="expression" priority="75" dxfId="2">
      <formula>AND(AND($W180&lt;TODAY(),$W180&lt;&gt;""),$X180="")</formula>
    </cfRule>
  </conditionalFormatting>
  <conditionalFormatting sqref="AG180:AG181">
    <cfRule type="dataBar" priority="76">
      <dataBar>
        <cfvo type="min"/>
        <cfvo type="max"/>
        <color rgb="FF63C384"/>
      </dataBar>
    </cfRule>
  </conditionalFormatting>
  <conditionalFormatting sqref="AA182">
    <cfRule type="expression" priority="74" dxfId="2">
      <formula>AND(AND($W182&lt;TODAY(),$W182&lt;&gt;""),$X182="")</formula>
    </cfRule>
  </conditionalFormatting>
  <conditionalFormatting sqref="AA183:AA184">
    <cfRule type="expression" priority="73" dxfId="2">
      <formula>AND(AND($W183&lt;TODAY(),$W183&lt;&gt;""),$X183="")</formula>
    </cfRule>
  </conditionalFormatting>
  <conditionalFormatting sqref="AG183:AG184">
    <cfRule type="dataBar" priority="72">
      <dataBar>
        <cfvo type="min"/>
        <cfvo type="max"/>
        <color rgb="FF63C384"/>
      </dataBar>
    </cfRule>
    <cfRule type="dataBar" priority="71">
      <dataBar>
        <cfvo type="min"/>
        <cfvo type="max"/>
        <color rgb="FF63C384"/>
      </dataBar>
    </cfRule>
  </conditionalFormatting>
  <conditionalFormatting sqref="AA185">
    <cfRule type="expression" priority="70" dxfId="2">
      <formula>AND(AND($W185&lt;TODAY(),$W185&lt;&gt;""),$X185="")</formula>
    </cfRule>
  </conditionalFormatting>
  <conditionalFormatting sqref="AG185">
    <cfRule type="dataBar" priority="69">
      <dataBar>
        <cfvo type="min"/>
        <cfvo type="max"/>
        <color rgb="FF63C384"/>
      </dataBar>
    </cfRule>
    <cfRule type="dataBar" priority="68">
      <dataBar>
        <cfvo type="min"/>
        <cfvo type="max"/>
        <color rgb="FF63C384"/>
      </dataBar>
    </cfRule>
  </conditionalFormatting>
  <conditionalFormatting sqref="Q185">
    <cfRule type="cellIs" priority="67" operator="equal" dxfId="2034">
      <formula>"ja"</formula>
    </cfRule>
  </conditionalFormatting>
  <conditionalFormatting sqref="AA186">
    <cfRule type="expression" priority="66" dxfId="2">
      <formula>AND(AND($W186&lt;TODAY(),$W186&lt;&gt;""),$X186="")</formula>
    </cfRule>
  </conditionalFormatting>
  <conditionalFormatting sqref="AG186">
    <cfRule type="dataBar" priority="65">
      <dataBar>
        <cfvo type="min"/>
        <cfvo type="max"/>
        <color rgb="FF63C384"/>
      </dataBar>
    </cfRule>
    <cfRule type="dataBar" priority="64">
      <dataBar>
        <cfvo type="min"/>
        <cfvo type="max"/>
        <color rgb="FF63C384"/>
      </dataBar>
    </cfRule>
  </conditionalFormatting>
  <conditionalFormatting sqref="Q186">
    <cfRule type="cellIs" priority="63" operator="equal" dxfId="2034">
      <formula>"ja"</formula>
    </cfRule>
  </conditionalFormatting>
  <conditionalFormatting sqref="AA187:AA188">
    <cfRule type="expression" priority="62" dxfId="2">
      <formula>AND(AND($W187&lt;TODAY(),$W187&lt;&gt;""),$X187="")</formula>
    </cfRule>
    <cfRule type="expression" priority="58" dxfId="2">
      <formula>AND(AND($W187&lt;TODAY(),$W187&lt;&gt;""),$X187="")</formula>
    </cfRule>
  </conditionalFormatting>
  <conditionalFormatting sqref="Q187">
    <cfRule type="cellIs" priority="61" operator="equal" dxfId="2034">
      <formula>"ja"</formula>
    </cfRule>
    <cfRule type="cellIs" priority="57" operator="equal" dxfId="2034">
      <formula>"ja"</formula>
    </cfRule>
    <cfRule type="cellIs" priority="55" operator="equal" dxfId="2034">
      <formula>"ja"</formula>
    </cfRule>
  </conditionalFormatting>
  <conditionalFormatting sqref="AG187:AG188">
    <cfRule type="dataBar" priority="60">
      <dataBar>
        <cfvo type="min"/>
        <cfvo type="max"/>
        <color rgb="FF63C384"/>
      </dataBar>
    </cfRule>
    <cfRule type="dataBar" priority="59">
      <dataBar>
        <cfvo type="min"/>
        <cfvo type="max"/>
        <color rgb="FF63C384"/>
      </dataBar>
    </cfRule>
    <cfRule type="dataBar" priority="56">
      <dataBar>
        <cfvo type="min"/>
        <cfvo type="max"/>
        <color rgb="FF63C384"/>
      </dataBar>
    </cfRule>
  </conditionalFormatting>
  <conditionalFormatting sqref="AA189">
    <cfRule type="expression" priority="53" dxfId="2">
      <formula>AND(AND($W189&lt;TODAY(),$W189&lt;&gt;""),$X189="")</formula>
    </cfRule>
  </conditionalFormatting>
  <conditionalFormatting sqref="AG189">
    <cfRule type="dataBar" priority="54">
      <dataBar>
        <cfvo type="min"/>
        <cfvo type="max"/>
        <color rgb="FF63C384"/>
      </dataBar>
    </cfRule>
  </conditionalFormatting>
  <conditionalFormatting sqref="AA190">
    <cfRule type="expression" priority="52" dxfId="2">
      <formula>AND(AND($W190&lt;TODAY(),$W190&lt;&gt;""),$X190="")</formula>
    </cfRule>
  </conditionalFormatting>
  <conditionalFormatting sqref="AA191">
    <cfRule type="expression" priority="51" dxfId="2">
      <formula>AND(AND($W191&lt;TODAY(),$W191&lt;&gt;""),$X191="")</formula>
    </cfRule>
  </conditionalFormatting>
  <conditionalFormatting sqref="Q191">
    <cfRule type="cellIs" priority="50" operator="equal" dxfId="2034">
      <formula>"ja"</formula>
    </cfRule>
    <cfRule type="cellIs" priority="48" operator="equal" dxfId="2034">
      <formula>"ja"</formula>
    </cfRule>
  </conditionalFormatting>
  <conditionalFormatting sqref="AG191">
    <cfRule type="dataBar" priority="49">
      <dataBar>
        <cfvo type="min"/>
        <cfvo type="max"/>
        <color rgb="FF63C384"/>
      </dataBar>
    </cfRule>
  </conditionalFormatting>
  <conditionalFormatting sqref="AA192">
    <cfRule type="expression" priority="47" dxfId="2">
      <formula>AND(AND($W192&lt;TODAY(),$W192&lt;&gt;""),$X192="")</formula>
    </cfRule>
    <cfRule type="expression" priority="43" dxfId="2">
      <formula>AND(AND($W192&lt;TODAY(),$W192&lt;&gt;""),$X192="")</formula>
    </cfRule>
  </conditionalFormatting>
  <conditionalFormatting sqref="Q192">
    <cfRule type="cellIs" priority="46" operator="equal" dxfId="2034">
      <formula>"ja"</formula>
    </cfRule>
    <cfRule type="cellIs" priority="44" operator="equal" dxfId="2034">
      <formula>"ja"</formula>
    </cfRule>
    <cfRule type="cellIs" priority="42" operator="equal" dxfId="2034">
      <formula>"ja"</formula>
    </cfRule>
    <cfRule type="cellIs" priority="40" operator="equal" dxfId="2034">
      <formula>"ja"</formula>
    </cfRule>
  </conditionalFormatting>
  <conditionalFormatting sqref="AG192">
    <cfRule type="dataBar" priority="45">
      <dataBar>
        <cfvo type="min"/>
        <cfvo type="max"/>
        <color rgb="FF63C384"/>
      </dataBar>
    </cfRule>
    <cfRule type="dataBar" priority="41">
      <dataBar>
        <cfvo type="min"/>
        <cfvo type="max"/>
        <color rgb="FF63C384"/>
      </dataBar>
    </cfRule>
  </conditionalFormatting>
  <conditionalFormatting sqref="AA193">
    <cfRule type="expression" priority="38" dxfId="2">
      <formula>AND(AND($W193&lt;TODAY(),$W193&lt;&gt;""),$X193="")</formula>
    </cfRule>
  </conditionalFormatting>
  <conditionalFormatting sqref="AG193">
    <cfRule type="dataBar" priority="39">
      <dataBar>
        <cfvo type="min"/>
        <cfvo type="max"/>
        <color rgb="FF63C384"/>
      </dataBar>
    </cfRule>
  </conditionalFormatting>
  <conditionalFormatting sqref="AA194">
    <cfRule type="expression" priority="37" dxfId="2">
      <formula>AND(AND($W194&lt;TODAY(),$W194&lt;&gt;""),$X194="")</formula>
    </cfRule>
  </conditionalFormatting>
  <conditionalFormatting sqref="Q194">
    <cfRule type="cellIs" priority="36" operator="equal" dxfId="2034">
      <formula>"ja"</formula>
    </cfRule>
    <cfRule type="cellIs" priority="35" operator="equal" dxfId="2034">
      <formula>"ja"</formula>
    </cfRule>
    <cfRule type="cellIs" priority="34" operator="equal" dxfId="2034">
      <formula>"ja"</formula>
    </cfRule>
    <cfRule type="cellIs" priority="31" operator="equal" dxfId="2034">
      <formula>"ja"</formula>
    </cfRule>
  </conditionalFormatting>
  <conditionalFormatting sqref="AG194">
    <cfRule type="dataBar" priority="33">
      <dataBar>
        <cfvo type="min"/>
        <cfvo type="max"/>
        <color rgb="FF63C384"/>
      </dataBar>
    </cfRule>
    <cfRule type="dataBar" priority="32">
      <dataBar>
        <cfvo type="min"/>
        <cfvo type="max"/>
        <color rgb="FF63C384"/>
      </dataBar>
    </cfRule>
    <cfRule type="dataBar" priority="30">
      <dataBar>
        <cfvo type="min"/>
        <cfvo type="max"/>
        <color rgb="FF63C384"/>
      </dataBar>
    </cfRule>
    <cfRule type="dataBar" priority="29">
      <dataBar>
        <cfvo type="min"/>
        <cfvo type="max"/>
        <color rgb="FF63C384"/>
      </dataBar>
    </cfRule>
  </conditionalFormatting>
  <conditionalFormatting sqref="AA195">
    <cfRule type="expression" priority="28" dxfId="2">
      <formula>AND(AND($W195&lt;TODAY(),$W195&lt;&gt;""),$X195="")</formula>
    </cfRule>
  </conditionalFormatting>
  <conditionalFormatting sqref="AG195">
    <cfRule type="dataBar" priority="27">
      <dataBar>
        <cfvo type="min"/>
        <cfvo type="max"/>
        <color rgb="FF63C384"/>
      </dataBar>
    </cfRule>
    <cfRule type="dataBar" priority="26">
      <dataBar>
        <cfvo type="min"/>
        <cfvo type="max"/>
        <color rgb="FF63C384"/>
      </dataBar>
    </cfRule>
    <cfRule type="dataBar" priority="25">
      <dataBar>
        <cfvo type="min"/>
        <cfvo type="max"/>
        <color rgb="FF63C384"/>
      </dataBar>
    </cfRule>
    <cfRule type="dataBar" priority="24">
      <dataBar>
        <cfvo type="min"/>
        <cfvo type="max"/>
        <color rgb="FF63C384"/>
      </dataBar>
    </cfRule>
  </conditionalFormatting>
  <conditionalFormatting sqref="AA196">
    <cfRule type="expression" priority="23" dxfId="2">
      <formula>AND(AND($W196&lt;TODAY(),$W196&lt;&gt;""),$X196="")</formula>
    </cfRule>
  </conditionalFormatting>
  <conditionalFormatting sqref="AG196">
    <cfRule type="dataBar" priority="22">
      <dataBar>
        <cfvo type="min"/>
        <cfvo type="max"/>
        <color rgb="FF63C384"/>
      </dataBar>
    </cfRule>
    <cfRule type="dataBar" priority="21">
      <dataBar>
        <cfvo type="min"/>
        <cfvo type="max"/>
        <color rgb="FF63C384"/>
      </dataBar>
    </cfRule>
  </conditionalFormatting>
  <conditionalFormatting sqref="Q196">
    <cfRule type="cellIs" priority="20" operator="equal" dxfId="2034">
      <formula>"ja"</formula>
    </cfRule>
    <cfRule type="cellIs" priority="19" operator="equal" dxfId="2034">
      <formula>"ja"</formula>
    </cfRule>
  </conditionalFormatting>
  <conditionalFormatting sqref="AA197">
    <cfRule type="expression" priority="17" dxfId="2">
      <formula>AND(AND($W197&lt;TODAY(),$W197&lt;&gt;""),$X197="")</formula>
    </cfRule>
  </conditionalFormatting>
  <conditionalFormatting sqref="AG197">
    <cfRule type="dataBar" priority="18">
      <dataBar>
        <cfvo type="min"/>
        <cfvo type="max"/>
        <color rgb="FF63C384"/>
      </dataBar>
    </cfRule>
  </conditionalFormatting>
  <conditionalFormatting sqref="AA198">
    <cfRule type="expression" priority="16" dxfId="2">
      <formula>AND(AND($W198&lt;TODAY(),$W198&lt;&gt;""),$X198="")</formula>
    </cfRule>
  </conditionalFormatting>
  <conditionalFormatting sqref="Q198">
    <cfRule type="cellIs" priority="15" operator="equal" dxfId="2034">
      <formula>"ja"</formula>
    </cfRule>
    <cfRule type="cellIs" priority="13" operator="equal" dxfId="2034">
      <formula>"ja"</formula>
    </cfRule>
    <cfRule type="cellIs" priority="12" operator="equal" dxfId="2034">
      <formula>"ja"</formula>
    </cfRule>
  </conditionalFormatting>
  <conditionalFormatting sqref="AG198">
    <cfRule type="dataBar" priority="14">
      <dataBar>
        <cfvo type="min"/>
        <cfvo type="max"/>
        <color rgb="FF63C384"/>
      </dataBar>
    </cfRule>
  </conditionalFormatting>
  <conditionalFormatting sqref="AA199">
    <cfRule type="expression" priority="11" dxfId="2">
      <formula>AND(AND($W199&lt;TODAY(),$W199&lt;&gt;""),$X199="")</formula>
    </cfRule>
  </conditionalFormatting>
  <conditionalFormatting sqref="Q199">
    <cfRule type="cellIs" priority="10" operator="equal" dxfId="2034">
      <formula>"ja"</formula>
    </cfRule>
    <cfRule type="cellIs" priority="9" operator="equal" dxfId="2034">
      <formula>"ja"</formula>
    </cfRule>
    <cfRule type="cellIs" priority="8" operator="equal" dxfId="2034">
      <formula>"ja"</formula>
    </cfRule>
    <cfRule type="cellIs" priority="5" operator="equal" dxfId="2034">
      <formula>"ja"</formula>
    </cfRule>
  </conditionalFormatting>
  <conditionalFormatting sqref="AG199">
    <cfRule type="dataBar" priority="7">
      <dataBar>
        <cfvo type="min"/>
        <cfvo type="max"/>
        <color rgb="FF63C384"/>
      </dataBar>
    </cfRule>
    <cfRule type="dataBar" priority="6">
      <dataBar>
        <cfvo type="min"/>
        <cfvo type="max"/>
        <color rgb="FF63C384"/>
      </dataBar>
    </cfRule>
    <cfRule type="dataBar" priority="4">
      <dataBar>
        <cfvo type="min"/>
        <cfvo type="max"/>
        <color rgb="FF63C384"/>
      </dataBar>
    </cfRule>
    <cfRule type="dataBar" priority="3">
      <dataBar>
        <cfvo type="min"/>
        <cfvo type="max"/>
        <color rgb="FF63C384"/>
      </dataBar>
    </cfRule>
  </conditionalFormatting>
  <conditionalFormatting sqref="AA200">
    <cfRule type="expression" priority="1" dxfId="2">
      <formula>AND(AND($W200&lt;TODAY(),$W200&lt;&gt;""),$X200="")</formula>
    </cfRule>
  </conditionalFormatting>
  <conditionalFormatting sqref="AG200">
    <cfRule type="dataBar" priority="2">
      <dataBar>
        <cfvo type="min"/>
        <cfvo type="max"/>
        <color rgb="FF63C384"/>
      </dataBar>
    </cfRule>
  </conditionalFormatting>
  <dataValidations count="3">
    <dataValidation sqref="Q6 Q23 Q46:Q47 Q68:Q69 Q74 Q84 Q87 Q96 Q103 Q115 Q121 Q126 Q130 Q133 Q143 Q149 Q157 Q160 Q170 Q176 Q190 Q192 Q194 Q199" showDropDown="0" showInputMessage="1" showErrorMessage="1" allowBlank="1" type="list">
      <formula1>"Weiterverkauf,"</formula1>
    </dataValidation>
    <dataValidation sqref="K11:K13 K17:K18 K31:K32 K35 K47 K49:K51 K55 K58 K61 K66 K68 K72 K74:K75 K85 K87:K88 K90 K103 K106:K107 K121:K123 K126 K133:K135 K138 K141 K148:K150 K160:K161 K164 K176:K178 K182 K190 K194:K195 K198:K199 K201 K203:K205 K207" showDropDown="0" showInputMessage="1" showErrorMessage="1" allowBlank="1" type="list">
      <formula1>"Einnahmen,Ausgaben"</formula1>
    </dataValidation>
    <dataValidation sqref="L2:L209" showDropDown="0" showInputMessage="1" showErrorMessage="1" allowBlank="1" type="list">
      <formula1>Spesenart</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20.xml><?xml version="1.0" encoding="utf-8"?>
<worksheet xmlns="http://schemas.openxmlformats.org/spreadsheetml/2006/main">
  <sheetPr codeName="Tabelle29">
    <outlinePr summaryBelow="1" summaryRight="1"/>
    <pageSetUpPr/>
  </sheetPr>
  <dimension ref="A1:XEK221"/>
  <sheetViews>
    <sheetView topLeftCell="A184" zoomScaleNormal="100" workbookViewId="0">
      <selection activeCell="A2" sqref="A2:G209"/>
    </sheetView>
  </sheetViews>
  <sheetFormatPr baseColWidth="10" defaultColWidth="11.42578125" defaultRowHeight="15"/>
  <cols>
    <col width="11.42578125" customWidth="1" style="1" min="2" max="2"/>
    <col width="35.7109375" customWidth="1" min="3" max="3"/>
    <col width="11.42578125" customWidth="1" style="214" min="6" max="6"/>
    <col width="13.85546875" customWidth="1" min="14" max="14"/>
    <col width="11.85546875" bestFit="1" customWidth="1" min="19" max="19"/>
  </cols>
  <sheetData>
    <row r="1">
      <c r="A1" s="63" t="inlineStr">
        <is>
          <t>lfd. Nr.</t>
        </is>
      </c>
      <c r="B1" s="96" t="inlineStr">
        <is>
          <t>Datum</t>
        </is>
      </c>
      <c r="C1" s="63" t="inlineStr">
        <is>
          <t>Text</t>
        </is>
      </c>
      <c r="D1" s="63" t="inlineStr">
        <is>
          <t>Kategorie</t>
        </is>
      </c>
      <c r="E1" s="63" t="inlineStr">
        <is>
          <t>Spesenart</t>
        </is>
      </c>
      <c r="F1" s="235" t="inlineStr">
        <is>
          <t>Bruttobetrag</t>
        </is>
      </c>
      <c r="G1" s="63" t="inlineStr">
        <is>
          <t>Steuersatz</t>
        </is>
      </c>
      <c r="H1" s="87" t="n"/>
      <c r="I1" s="87" t="inlineStr">
        <is>
          <t>Jahr</t>
        </is>
      </c>
      <c r="J1" s="87" t="inlineStr">
        <is>
          <t>LFD NR</t>
        </is>
      </c>
      <c r="K1" s="87" t="inlineStr">
        <is>
          <t>E/A</t>
        </is>
      </c>
      <c r="L1" s="87" t="inlineStr">
        <is>
          <t>Spesenart</t>
        </is>
      </c>
      <c r="M1" s="87" t="inlineStr">
        <is>
          <t>RNR</t>
        </is>
      </c>
      <c r="N1" s="87" t="inlineStr">
        <is>
          <t>ZahlDat</t>
        </is>
      </c>
      <c r="O1" s="87" t="inlineStr">
        <is>
          <t>Bez</t>
        </is>
      </c>
      <c r="P1" s="87" t="n"/>
      <c r="Q1" s="87" t="n"/>
      <c r="R1" s="87" t="inlineStr">
        <is>
          <t>Weiterverk</t>
        </is>
      </c>
      <c r="S1" s="87" t="inlineStr">
        <is>
          <t>Netto EP</t>
        </is>
      </c>
      <c r="T1" s="87" t="inlineStr">
        <is>
          <t>T</t>
        </is>
      </c>
      <c r="U1" s="87" t="inlineStr">
        <is>
          <t>U</t>
        </is>
      </c>
      <c r="V1" s="87" t="inlineStr">
        <is>
          <t>V</t>
        </is>
      </c>
      <c r="W1" s="87" t="inlineStr">
        <is>
          <t>W</t>
        </is>
      </c>
      <c r="X1" s="87" t="inlineStr">
        <is>
          <t>Netto antlg</t>
        </is>
      </c>
      <c r="Y1" s="87" t="inlineStr">
        <is>
          <t>Brutto 100</t>
        </is>
      </c>
      <c r="Z1" s="87" t="inlineStr">
        <is>
          <t>Brutto antlg</t>
        </is>
      </c>
      <c r="AA1" s="87" t="inlineStr">
        <is>
          <t>AA</t>
        </is>
      </c>
      <c r="AB1" s="87" t="inlineStr">
        <is>
          <t>AB</t>
        </is>
      </c>
      <c r="AC1" s="87" t="inlineStr">
        <is>
          <t>AC</t>
        </is>
      </c>
      <c r="AD1" s="87" t="inlineStr">
        <is>
          <t>AD</t>
        </is>
      </c>
      <c r="AE1" s="87" t="inlineStr">
        <is>
          <t>AE</t>
        </is>
      </c>
      <c r="AF1" s="87" t="inlineStr">
        <is>
          <t>AF</t>
        </is>
      </c>
      <c r="AG1" s="87" t="inlineStr">
        <is>
          <t>AG</t>
        </is>
      </c>
      <c r="AH1" s="87" t="n"/>
      <c r="AI1" s="87" t="n"/>
      <c r="AJ1" s="87" t="n"/>
      <c r="AK1" s="87" t="n"/>
      <c r="AL1" s="87" t="n"/>
      <c r="AM1" s="87" t="n"/>
      <c r="AN1" s="87" t="n"/>
      <c r="AO1" s="87" t="n"/>
      <c r="AP1" s="87" t="n"/>
      <c r="AQ1" s="87" t="n"/>
      <c r="AR1" s="87" t="n"/>
      <c r="AS1" s="87" t="n"/>
      <c r="AT1" s="87" t="n"/>
      <c r="AU1" s="87" t="n"/>
      <c r="AV1" s="87" t="n"/>
      <c r="AW1" s="87" t="n"/>
      <c r="AX1" s="87" t="n"/>
      <c r="AY1" s="87" t="n"/>
      <c r="AZ1" s="87" t="n"/>
      <c r="BA1" s="87" t="n"/>
      <c r="BB1" s="87" t="n"/>
      <c r="BC1" s="87" t="n"/>
      <c r="BD1" s="87" t="n"/>
      <c r="BE1" s="87" t="n"/>
      <c r="BF1" s="87" t="n"/>
      <c r="BG1" s="87" t="n"/>
      <c r="BH1" s="87" t="n"/>
      <c r="BI1" s="87" t="n"/>
      <c r="BJ1" s="87" t="n"/>
      <c r="BK1" s="87" t="n"/>
      <c r="BL1" s="87" t="n"/>
      <c r="BM1" s="87" t="n"/>
      <c r="BN1" s="87" t="n"/>
      <c r="BO1" s="87" t="n"/>
      <c r="BP1" s="87" t="n"/>
      <c r="BQ1" s="87" t="n"/>
      <c r="BR1" s="87" t="n"/>
      <c r="BS1" s="87" t="n"/>
      <c r="BT1" s="87" t="n"/>
      <c r="BU1" s="87" t="n"/>
      <c r="BV1" s="87" t="n"/>
      <c r="BW1" s="87" t="n"/>
      <c r="BX1" s="87" t="n"/>
      <c r="BY1" s="87" t="n"/>
      <c r="BZ1" s="87" t="n"/>
      <c r="CA1" s="87" t="n"/>
      <c r="CB1" s="87" t="n"/>
      <c r="CC1" s="87" t="n"/>
      <c r="CD1" s="87" t="n"/>
      <c r="CE1" s="87" t="n"/>
      <c r="CF1" s="87" t="n"/>
      <c r="CG1" s="87" t="n"/>
      <c r="CH1" s="87" t="n"/>
      <c r="CI1" s="87" t="n"/>
      <c r="CJ1" s="87" t="n"/>
      <c r="CK1" s="87" t="n"/>
      <c r="CL1" s="87" t="n"/>
      <c r="CM1" s="87" t="n"/>
      <c r="CN1" s="87" t="n"/>
      <c r="CO1" s="87" t="n"/>
      <c r="CP1" s="87" t="n"/>
      <c r="CQ1" s="87" t="n"/>
      <c r="CR1" s="87" t="n"/>
      <c r="CS1" s="87" t="n"/>
      <c r="CT1" s="87" t="n"/>
      <c r="CU1" s="87" t="n"/>
      <c r="CV1" s="87" t="n"/>
      <c r="CW1" s="87" t="n"/>
      <c r="CX1" s="87" t="n"/>
      <c r="CY1" s="87" t="n"/>
      <c r="CZ1" s="87" t="n"/>
      <c r="DA1" s="87" t="n"/>
      <c r="DB1" s="87" t="n"/>
      <c r="DC1" s="87" t="n"/>
      <c r="DD1" s="87" t="n"/>
      <c r="DE1" s="87" t="n"/>
      <c r="DF1" s="87" t="n"/>
      <c r="DG1" s="87" t="n"/>
      <c r="DH1" s="87" t="n"/>
      <c r="DI1" s="87" t="n"/>
      <c r="DJ1" s="87" t="n"/>
      <c r="DK1" s="87" t="n"/>
      <c r="DL1" s="87" t="n"/>
      <c r="DM1" s="87" t="n"/>
      <c r="DN1" s="87" t="n"/>
      <c r="DO1" s="87" t="n"/>
      <c r="DP1" s="87" t="n"/>
      <c r="DQ1" s="87" t="n"/>
      <c r="DR1" s="87" t="n"/>
      <c r="DS1" s="87" t="n"/>
      <c r="DT1" s="87" t="n"/>
      <c r="DU1" s="87" t="n"/>
      <c r="DV1" s="87" t="n"/>
      <c r="DW1" s="87" t="n"/>
      <c r="DX1" s="87" t="n"/>
      <c r="DY1" s="87" t="n"/>
      <c r="DZ1" s="87" t="n"/>
      <c r="EA1" s="87" t="n"/>
      <c r="EB1" s="87" t="n"/>
      <c r="EC1" s="87" t="n"/>
      <c r="ED1" s="87" t="n"/>
      <c r="EE1" s="87" t="n"/>
      <c r="EF1" s="87" t="n"/>
      <c r="EG1" s="87" t="n"/>
      <c r="EH1" s="87" t="n"/>
      <c r="EI1" s="87" t="n"/>
      <c r="EJ1" s="87" t="n"/>
      <c r="EK1" s="87" t="n"/>
      <c r="EL1" s="87" t="n"/>
      <c r="EM1" s="87" t="n"/>
      <c r="EN1" s="87" t="n"/>
      <c r="EO1" s="87" t="n"/>
      <c r="EP1" s="87" t="n"/>
      <c r="EQ1" s="87" t="n"/>
      <c r="ER1" s="87" t="n"/>
      <c r="ES1" s="87" t="n"/>
      <c r="ET1" s="87" t="n"/>
      <c r="EU1" s="87" t="n"/>
      <c r="EV1" s="87" t="n"/>
      <c r="EW1" s="87" t="n"/>
      <c r="EX1" s="87" t="n"/>
      <c r="EY1" s="87" t="n"/>
      <c r="EZ1" s="87" t="n"/>
      <c r="FA1" s="87" t="n"/>
      <c r="FB1" s="87" t="n"/>
      <c r="FC1" s="87" t="n"/>
      <c r="FD1" s="87" t="n"/>
      <c r="FE1" s="87" t="n"/>
      <c r="FF1" s="87" t="n"/>
      <c r="FG1" s="87" t="n"/>
      <c r="FH1" s="87" t="n"/>
      <c r="FI1" s="87" t="n"/>
      <c r="FJ1" s="87" t="n"/>
      <c r="FK1" s="87" t="n"/>
      <c r="FL1" s="87" t="n"/>
      <c r="FM1" s="87" t="n"/>
      <c r="FN1" s="87" t="n"/>
      <c r="FO1" s="87" t="n"/>
      <c r="FP1" s="87" t="n"/>
      <c r="FQ1" s="87" t="n"/>
      <c r="FR1" s="87" t="n"/>
      <c r="FS1" s="87" t="n"/>
      <c r="FT1" s="87" t="n"/>
      <c r="FU1" s="87" t="n"/>
      <c r="FV1" s="87" t="n"/>
      <c r="FW1" s="87" t="n"/>
      <c r="FX1" s="87" t="n"/>
      <c r="FY1" s="87" t="n"/>
      <c r="FZ1" s="87" t="n"/>
      <c r="GA1" s="87" t="n"/>
      <c r="GB1" s="87" t="n"/>
      <c r="GC1" s="87" t="n"/>
      <c r="GD1" s="87" t="n"/>
      <c r="GE1" s="87" t="n"/>
      <c r="GF1" s="87" t="n"/>
      <c r="GG1" s="87" t="n"/>
      <c r="GH1" s="87" t="n"/>
      <c r="GI1" s="87" t="n"/>
      <c r="GJ1" s="87" t="n"/>
      <c r="GK1" s="87" t="n"/>
      <c r="GL1" s="87" t="n"/>
      <c r="GM1" s="87" t="n"/>
      <c r="GN1" s="87" t="n"/>
      <c r="GO1" s="87" t="n"/>
      <c r="GP1" s="87" t="n"/>
      <c r="GQ1" s="87" t="n"/>
      <c r="GR1" s="87" t="n"/>
      <c r="GS1" s="87" t="n"/>
      <c r="GT1" s="87" t="n"/>
      <c r="GU1" s="87" t="n"/>
      <c r="GV1" s="87" t="n"/>
      <c r="GW1" s="87" t="n"/>
      <c r="GX1" s="87" t="n"/>
      <c r="GY1" s="87" t="n"/>
      <c r="GZ1" s="87" t="n"/>
      <c r="HA1" s="87" t="n"/>
      <c r="HB1" s="87" t="n"/>
      <c r="HC1" s="87" t="n"/>
      <c r="HD1" s="87" t="n"/>
      <c r="HE1" s="87" t="n"/>
      <c r="HF1" s="87" t="n"/>
      <c r="HG1" s="87" t="n"/>
      <c r="HH1" s="87" t="n"/>
      <c r="HI1" s="87" t="n"/>
      <c r="HJ1" s="87" t="n"/>
      <c r="HK1" s="87" t="n"/>
      <c r="HL1" s="87" t="n"/>
      <c r="HM1" s="87" t="n"/>
      <c r="HN1" s="87" t="n"/>
      <c r="HO1" s="87" t="n"/>
      <c r="HP1" s="87" t="n"/>
      <c r="HQ1" s="87" t="n"/>
      <c r="HR1" s="87" t="n"/>
      <c r="HS1" s="87" t="n"/>
      <c r="HT1" s="87" t="n"/>
      <c r="HU1" s="87" t="n"/>
      <c r="HV1" s="87" t="n"/>
      <c r="HW1" s="87" t="n"/>
      <c r="HX1" s="87" t="n"/>
      <c r="HY1" s="87" t="n"/>
      <c r="HZ1" s="87" t="n"/>
      <c r="IA1" s="87" t="n"/>
      <c r="IB1" s="87" t="n"/>
      <c r="IC1" s="87" t="n"/>
      <c r="ID1" s="87" t="n"/>
      <c r="IE1" s="87" t="n"/>
      <c r="IF1" s="87" t="n"/>
      <c r="IG1" s="87" t="n"/>
      <c r="IH1" s="87" t="n"/>
      <c r="II1" s="87" t="n"/>
      <c r="IJ1" s="87" t="n"/>
      <c r="IK1" s="87" t="n"/>
      <c r="IL1" s="87" t="n"/>
      <c r="IM1" s="87" t="n"/>
      <c r="IN1" s="87" t="n"/>
      <c r="IO1" s="87" t="n"/>
      <c r="IP1" s="87" t="n"/>
      <c r="IQ1" s="87" t="n"/>
      <c r="IR1" s="87" t="n"/>
      <c r="IS1" s="87" t="n"/>
      <c r="IT1" s="87" t="n"/>
      <c r="IU1" s="87" t="n"/>
      <c r="IV1" s="87" t="n"/>
      <c r="IW1" s="87" t="n"/>
      <c r="IX1" s="87" t="n"/>
      <c r="IY1" s="87" t="n"/>
      <c r="IZ1" s="87" t="n"/>
      <c r="JA1" s="87" t="n"/>
      <c r="JB1" s="87" t="n"/>
      <c r="JC1" s="87" t="n"/>
      <c r="JD1" s="87" t="n"/>
      <c r="JE1" s="87" t="n"/>
      <c r="JF1" s="87" t="n"/>
      <c r="JG1" s="87" t="n"/>
      <c r="JH1" s="87" t="n"/>
      <c r="JI1" s="87" t="n"/>
      <c r="JJ1" s="87" t="n"/>
      <c r="JK1" s="87" t="n"/>
      <c r="JL1" s="87" t="n"/>
      <c r="JM1" s="87" t="n"/>
      <c r="JN1" s="87" t="n"/>
      <c r="JO1" s="87" t="n"/>
      <c r="JP1" s="87" t="n"/>
      <c r="JQ1" s="87" t="n"/>
      <c r="JR1" s="87" t="n"/>
      <c r="JS1" s="87" t="n"/>
      <c r="JT1" s="87" t="n"/>
      <c r="JU1" s="87" t="n"/>
      <c r="JV1" s="87" t="n"/>
      <c r="JW1" s="87" t="n"/>
      <c r="JX1" s="87" t="n"/>
      <c r="JY1" s="87" t="n"/>
      <c r="JZ1" s="87" t="n"/>
      <c r="KA1" s="87" t="n"/>
      <c r="KB1" s="87" t="n"/>
      <c r="KC1" s="87" t="n"/>
      <c r="KD1" s="87" t="n"/>
      <c r="KE1" s="87" t="n"/>
      <c r="KF1" s="87" t="n"/>
      <c r="KG1" s="87" t="n"/>
      <c r="KH1" s="87" t="n"/>
      <c r="KI1" s="87" t="n"/>
      <c r="KJ1" s="87" t="n"/>
      <c r="KK1" s="87" t="n"/>
      <c r="KL1" s="87" t="n"/>
      <c r="KM1" s="87" t="n"/>
      <c r="KN1" s="87" t="n"/>
      <c r="KO1" s="87" t="n"/>
      <c r="KP1" s="87" t="n"/>
      <c r="KQ1" s="87" t="n"/>
      <c r="KR1" s="87" t="n"/>
      <c r="KS1" s="87" t="n"/>
      <c r="KT1" s="87" t="n"/>
      <c r="KU1" s="87" t="n"/>
      <c r="KV1" s="87" t="n"/>
      <c r="KW1" s="87" t="n"/>
      <c r="KX1" s="87" t="n"/>
      <c r="KY1" s="87" t="n"/>
      <c r="KZ1" s="87" t="n"/>
      <c r="LA1" s="87" t="n"/>
      <c r="LB1" s="87" t="n"/>
      <c r="LC1" s="87" t="n"/>
      <c r="LD1" s="87" t="n"/>
      <c r="LE1" s="87" t="n"/>
      <c r="LF1" s="87" t="n"/>
      <c r="LG1" s="87" t="n"/>
      <c r="LH1" s="87" t="n"/>
      <c r="LI1" s="87" t="n"/>
      <c r="LJ1" s="87" t="n"/>
      <c r="LK1" s="87" t="n"/>
      <c r="LL1" s="87" t="n"/>
      <c r="LM1" s="87" t="n"/>
      <c r="LN1" s="87" t="n"/>
      <c r="LO1" s="87" t="n"/>
      <c r="LP1" s="87" t="n"/>
      <c r="LQ1" s="87" t="n"/>
      <c r="LR1" s="87" t="n"/>
      <c r="LS1" s="87" t="n"/>
      <c r="LT1" s="87" t="n"/>
      <c r="LU1" s="87" t="n"/>
      <c r="LV1" s="87" t="n"/>
      <c r="LW1" s="87" t="n"/>
      <c r="LX1" s="87" t="n"/>
      <c r="LY1" s="87" t="n"/>
      <c r="LZ1" s="87" t="n"/>
      <c r="MA1" s="87" t="n"/>
      <c r="MB1" s="87" t="n"/>
      <c r="MC1" s="87" t="n"/>
      <c r="MD1" s="87" t="n"/>
      <c r="ME1" s="87" t="n"/>
      <c r="MF1" s="87" t="n"/>
      <c r="MG1" s="87" t="n"/>
      <c r="MH1" s="87" t="n"/>
      <c r="MI1" s="87" t="n"/>
      <c r="MJ1" s="87" t="n"/>
      <c r="MK1" s="87" t="n"/>
      <c r="ML1" s="87" t="n"/>
      <c r="MM1" s="87" t="n"/>
      <c r="MN1" s="87" t="n"/>
      <c r="MO1" s="87" t="n"/>
      <c r="MP1" s="87" t="n"/>
      <c r="MQ1" s="87" t="n"/>
      <c r="MR1" s="87" t="n"/>
      <c r="MS1" s="87" t="n"/>
      <c r="MT1" s="87" t="n"/>
      <c r="MU1" s="87" t="n"/>
      <c r="MV1" s="87" t="n"/>
      <c r="MW1" s="87" t="n"/>
      <c r="MX1" s="87" t="n"/>
      <c r="MY1" s="87" t="n"/>
      <c r="MZ1" s="87" t="n"/>
      <c r="NA1" s="87" t="n"/>
      <c r="NB1" s="87" t="n"/>
      <c r="NC1" s="87" t="n"/>
      <c r="ND1" s="87" t="n"/>
      <c r="NE1" s="87" t="n"/>
      <c r="NF1" s="87" t="n"/>
      <c r="NG1" s="87" t="n"/>
      <c r="NH1" s="87" t="n"/>
      <c r="NI1" s="87" t="n"/>
      <c r="NJ1" s="87" t="n"/>
      <c r="NK1" s="87" t="n"/>
      <c r="NL1" s="87" t="n"/>
      <c r="NM1" s="87" t="n"/>
      <c r="NN1" s="87" t="n"/>
      <c r="NO1" s="87" t="n"/>
      <c r="NP1" s="87" t="n"/>
      <c r="NQ1" s="87" t="n"/>
      <c r="NR1" s="87" t="n"/>
      <c r="NS1" s="87" t="n"/>
      <c r="NT1" s="87" t="n"/>
      <c r="NU1" s="87" t="n"/>
      <c r="NV1" s="87" t="n"/>
      <c r="NW1" s="87" t="n"/>
      <c r="NX1" s="87" t="n"/>
      <c r="NY1" s="87" t="n"/>
      <c r="NZ1" s="87" t="n"/>
      <c r="OA1" s="87" t="n"/>
      <c r="OB1" s="87" t="n"/>
      <c r="OC1" s="87" t="n"/>
      <c r="OD1" s="87" t="n"/>
      <c r="OE1" s="87" t="n"/>
      <c r="OF1" s="87" t="n"/>
      <c r="OG1" s="87" t="n"/>
      <c r="OH1" s="87" t="n"/>
      <c r="OI1" s="87" t="n"/>
      <c r="OJ1" s="87" t="n"/>
      <c r="OK1" s="87" t="n"/>
      <c r="OL1" s="87" t="n"/>
      <c r="OM1" s="87" t="n"/>
      <c r="ON1" s="87" t="n"/>
      <c r="OO1" s="87" t="n"/>
      <c r="OP1" s="87" t="n"/>
      <c r="OQ1" s="87" t="n"/>
      <c r="OR1" s="87" t="n"/>
      <c r="OS1" s="87" t="n"/>
      <c r="OT1" s="87" t="n"/>
      <c r="OU1" s="87" t="n"/>
      <c r="OV1" s="87" t="n"/>
      <c r="OW1" s="87" t="n"/>
      <c r="OX1" s="87" t="n"/>
      <c r="OY1" s="87" t="n"/>
      <c r="OZ1" s="87" t="n"/>
      <c r="PA1" s="87" t="n"/>
      <c r="PB1" s="87" t="n"/>
      <c r="PC1" s="87" t="n"/>
      <c r="PD1" s="87" t="n"/>
      <c r="PE1" s="87" t="n"/>
      <c r="PF1" s="87" t="n"/>
      <c r="PG1" s="87" t="n"/>
      <c r="PH1" s="87" t="n"/>
      <c r="PI1" s="87" t="n"/>
      <c r="PJ1" s="87" t="n"/>
      <c r="PK1" s="87" t="n"/>
      <c r="PL1" s="87" t="n"/>
      <c r="PM1" s="87" t="n"/>
      <c r="PN1" s="87" t="n"/>
      <c r="PO1" s="87" t="n"/>
      <c r="PP1" s="87" t="n"/>
      <c r="PQ1" s="87" t="n"/>
      <c r="PR1" s="87" t="n"/>
      <c r="PS1" s="87" t="n"/>
      <c r="PT1" s="87" t="n"/>
      <c r="PU1" s="87" t="n"/>
      <c r="PV1" s="87" t="n"/>
      <c r="PW1" s="87" t="n"/>
      <c r="PX1" s="87" t="n"/>
      <c r="PY1" s="87" t="n"/>
      <c r="PZ1" s="87" t="n"/>
      <c r="QA1" s="87" t="n"/>
      <c r="QB1" s="87" t="n"/>
      <c r="QC1" s="87" t="n"/>
      <c r="QD1" s="87" t="n"/>
      <c r="QE1" s="87" t="n"/>
      <c r="QF1" s="87" t="n"/>
      <c r="QG1" s="87" t="n"/>
      <c r="QH1" s="87" t="n"/>
      <c r="QI1" s="87" t="n"/>
      <c r="QJ1" s="87" t="n"/>
      <c r="QK1" s="87" t="n"/>
      <c r="QL1" s="87" t="n"/>
      <c r="QM1" s="87" t="n"/>
      <c r="QN1" s="87" t="n"/>
      <c r="QO1" s="87" t="n"/>
      <c r="QP1" s="87" t="n"/>
      <c r="QQ1" s="87" t="n"/>
      <c r="QR1" s="87" t="n"/>
      <c r="QS1" s="87" t="n"/>
      <c r="QT1" s="87" t="n"/>
      <c r="QU1" s="87" t="n"/>
      <c r="QV1" s="87" t="n"/>
      <c r="QW1" s="87" t="n"/>
      <c r="QX1" s="87" t="n"/>
      <c r="QY1" s="87" t="n"/>
      <c r="QZ1" s="87" t="n"/>
      <c r="RA1" s="87" t="n"/>
      <c r="RB1" s="87" t="n"/>
      <c r="RC1" s="87" t="n"/>
      <c r="RD1" s="87" t="n"/>
      <c r="RE1" s="87" t="n"/>
      <c r="RF1" s="87" t="n"/>
      <c r="RG1" s="87" t="n"/>
      <c r="RH1" s="87" t="n"/>
      <c r="RI1" s="87" t="n"/>
      <c r="RJ1" s="87" t="n"/>
      <c r="RK1" s="87" t="n"/>
      <c r="RL1" s="87" t="n"/>
      <c r="RM1" s="87" t="n"/>
      <c r="RN1" s="87" t="n"/>
      <c r="RO1" s="87" t="n"/>
      <c r="RP1" s="87" t="n"/>
      <c r="RQ1" s="87" t="n"/>
      <c r="RR1" s="87" t="n"/>
      <c r="RS1" s="87" t="n"/>
      <c r="RT1" s="87" t="n"/>
      <c r="RU1" s="87" t="n"/>
      <c r="RV1" s="87" t="n"/>
      <c r="RW1" s="87" t="n"/>
      <c r="RX1" s="87" t="n"/>
      <c r="RY1" s="87" t="n"/>
      <c r="RZ1" s="87" t="n"/>
      <c r="SA1" s="87" t="n"/>
      <c r="SB1" s="87" t="n"/>
      <c r="SC1" s="87" t="n"/>
      <c r="SD1" s="87" t="n"/>
      <c r="SE1" s="87" t="n"/>
      <c r="SF1" s="87" t="n"/>
      <c r="SG1" s="87" t="n"/>
      <c r="SH1" s="87" t="n"/>
      <c r="SI1" s="87" t="n"/>
      <c r="SJ1" s="87" t="n"/>
      <c r="SK1" s="87" t="n"/>
      <c r="SL1" s="87" t="n"/>
      <c r="SM1" s="87" t="n"/>
      <c r="SN1" s="87" t="n"/>
      <c r="SO1" s="87" t="n"/>
      <c r="SP1" s="87" t="n"/>
      <c r="SQ1" s="87" t="n"/>
      <c r="SR1" s="87" t="n"/>
      <c r="SS1" s="87" t="n"/>
      <c r="ST1" s="87" t="n"/>
      <c r="SU1" s="87" t="n"/>
      <c r="SV1" s="87" t="n"/>
      <c r="SW1" s="87" t="n"/>
      <c r="SX1" s="87" t="n"/>
      <c r="SY1" s="87" t="n"/>
      <c r="SZ1" s="87" t="n"/>
      <c r="TA1" s="87" t="n"/>
      <c r="TB1" s="87" t="n"/>
      <c r="TC1" s="87" t="n"/>
      <c r="TD1" s="87" t="n"/>
      <c r="TE1" s="87" t="n"/>
      <c r="TF1" s="87" t="n"/>
      <c r="TG1" s="87" t="n"/>
      <c r="TH1" s="87" t="n"/>
      <c r="TI1" s="87" t="n"/>
      <c r="TJ1" s="87" t="n"/>
      <c r="TK1" s="87" t="n"/>
      <c r="TL1" s="87" t="n"/>
      <c r="TM1" s="87" t="n"/>
      <c r="TN1" s="87" t="n"/>
      <c r="TO1" s="87" t="n"/>
      <c r="TP1" s="87" t="n"/>
      <c r="TQ1" s="87" t="n"/>
      <c r="TR1" s="87" t="n"/>
      <c r="TS1" s="87" t="n"/>
      <c r="TT1" s="87" t="n"/>
      <c r="TU1" s="87" t="n"/>
      <c r="TV1" s="87" t="n"/>
      <c r="TW1" s="87" t="n"/>
      <c r="TX1" s="87" t="n"/>
      <c r="TY1" s="87" t="n"/>
      <c r="TZ1" s="87" t="n"/>
      <c r="UA1" s="87" t="n"/>
      <c r="UB1" s="87" t="n"/>
      <c r="UC1" s="87" t="n"/>
      <c r="UD1" s="87" t="n"/>
      <c r="UE1" s="87" t="n"/>
      <c r="UF1" s="87" t="n"/>
      <c r="UG1" s="87" t="n"/>
      <c r="UH1" s="87" t="n"/>
      <c r="UI1" s="87" t="n"/>
      <c r="UJ1" s="87" t="n"/>
      <c r="UK1" s="87" t="n"/>
      <c r="UL1" s="87" t="n"/>
      <c r="UM1" s="87" t="n"/>
      <c r="UN1" s="87" t="n"/>
      <c r="UO1" s="87" t="n"/>
      <c r="UP1" s="87" t="n"/>
      <c r="UQ1" s="87" t="n"/>
      <c r="UR1" s="87" t="n"/>
      <c r="US1" s="87" t="n"/>
      <c r="UT1" s="87" t="n"/>
      <c r="UU1" s="87" t="n"/>
      <c r="UV1" s="87" t="n"/>
      <c r="UW1" s="87" t="n"/>
      <c r="UX1" s="87" t="n"/>
      <c r="UY1" s="87" t="n"/>
      <c r="UZ1" s="87" t="n"/>
      <c r="VA1" s="87" t="n"/>
      <c r="VB1" s="87" t="n"/>
      <c r="VC1" s="87" t="n"/>
      <c r="VD1" s="87" t="n"/>
      <c r="VE1" s="87" t="n"/>
      <c r="VF1" s="87" t="n"/>
      <c r="VG1" s="87" t="n"/>
      <c r="VH1" s="87" t="n"/>
      <c r="VI1" s="87" t="n"/>
      <c r="VJ1" s="87" t="n"/>
      <c r="VK1" s="87" t="n"/>
      <c r="VL1" s="87" t="n"/>
      <c r="VM1" s="87" t="n"/>
      <c r="VN1" s="87" t="n"/>
      <c r="VO1" s="87" t="n"/>
      <c r="VP1" s="87" t="n"/>
      <c r="VQ1" s="87" t="n"/>
      <c r="VR1" s="87" t="n"/>
      <c r="VS1" s="87" t="n"/>
      <c r="VT1" s="87" t="n"/>
      <c r="VU1" s="87" t="n"/>
      <c r="VV1" s="87" t="n"/>
      <c r="VW1" s="87" t="n"/>
      <c r="VX1" s="87" t="n"/>
      <c r="VY1" s="87" t="n"/>
      <c r="VZ1" s="87" t="n"/>
      <c r="WA1" s="87" t="n"/>
      <c r="WB1" s="87" t="n"/>
      <c r="WC1" s="87" t="n"/>
      <c r="WD1" s="87" t="n"/>
      <c r="WE1" s="87" t="n"/>
      <c r="WF1" s="87" t="n"/>
      <c r="WG1" s="87" t="n"/>
      <c r="WH1" s="87" t="n"/>
      <c r="WI1" s="87" t="n"/>
      <c r="WJ1" s="87" t="n"/>
      <c r="WK1" s="87" t="n"/>
      <c r="WL1" s="87" t="n"/>
      <c r="WM1" s="87" t="n"/>
      <c r="WN1" s="87" t="n"/>
      <c r="WO1" s="87" t="n"/>
      <c r="WP1" s="87" t="n"/>
      <c r="WQ1" s="87" t="n"/>
      <c r="WR1" s="87" t="n"/>
      <c r="WS1" s="87" t="n"/>
      <c r="WT1" s="87" t="n"/>
      <c r="WU1" s="87" t="n"/>
      <c r="WV1" s="87" t="n"/>
      <c r="WW1" s="87" t="n"/>
      <c r="WX1" s="87" t="n"/>
      <c r="WY1" s="87" t="n"/>
      <c r="WZ1" s="87" t="n"/>
      <c r="XA1" s="87" t="n"/>
      <c r="XB1" s="87" t="n"/>
      <c r="XC1" s="87" t="n"/>
      <c r="XD1" s="87" t="n"/>
      <c r="XE1" s="87" t="n"/>
      <c r="XF1" s="87" t="n"/>
      <c r="XG1" s="87" t="n"/>
      <c r="XH1" s="87" t="n"/>
      <c r="XI1" s="87" t="n"/>
      <c r="XJ1" s="87" t="n"/>
      <c r="XK1" s="87" t="n"/>
      <c r="XL1" s="87" t="n"/>
      <c r="XM1" s="87" t="n"/>
      <c r="XN1" s="87" t="n"/>
      <c r="XO1" s="87" t="n"/>
      <c r="XP1" s="87" t="n"/>
      <c r="XQ1" s="87" t="n"/>
      <c r="XR1" s="87" t="n"/>
      <c r="XS1" s="87" t="n"/>
      <c r="XT1" s="87" t="n"/>
      <c r="XU1" s="87" t="n"/>
      <c r="XV1" s="87" t="n"/>
      <c r="XW1" s="87" t="n"/>
      <c r="XX1" s="87" t="n"/>
      <c r="XY1" s="87" t="n"/>
      <c r="XZ1" s="87" t="n"/>
      <c r="YA1" s="87" t="n"/>
      <c r="YB1" s="87" t="n"/>
      <c r="YC1" s="87" t="n"/>
      <c r="YD1" s="87" t="n"/>
      <c r="YE1" s="87" t="n"/>
      <c r="YF1" s="87" t="n"/>
      <c r="YG1" s="87" t="n"/>
      <c r="YH1" s="87" t="n"/>
      <c r="YI1" s="87" t="n"/>
      <c r="YJ1" s="87" t="n"/>
      <c r="YK1" s="87" t="n"/>
      <c r="YL1" s="87" t="n"/>
      <c r="YM1" s="87" t="n"/>
      <c r="YN1" s="87" t="n"/>
      <c r="YO1" s="87" t="n"/>
      <c r="YP1" s="87" t="n"/>
      <c r="YQ1" s="87" t="n"/>
      <c r="YR1" s="87" t="n"/>
      <c r="YS1" s="87" t="n"/>
      <c r="YT1" s="87" t="n"/>
      <c r="YU1" s="87" t="n"/>
      <c r="YV1" s="87" t="n"/>
      <c r="YW1" s="87" t="n"/>
      <c r="YX1" s="87" t="n"/>
      <c r="YY1" s="87" t="n"/>
      <c r="YZ1" s="87" t="n"/>
      <c r="ZA1" s="87" t="n"/>
      <c r="ZB1" s="87" t="n"/>
      <c r="ZC1" s="87" t="n"/>
      <c r="ZD1" s="87" t="n"/>
      <c r="ZE1" s="87" t="n"/>
      <c r="ZF1" s="87" t="n"/>
      <c r="ZG1" s="87" t="n"/>
      <c r="ZH1" s="87" t="n"/>
      <c r="ZI1" s="87" t="n"/>
      <c r="ZJ1" s="87" t="n"/>
      <c r="ZK1" s="87" t="n"/>
      <c r="ZL1" s="87" t="n"/>
      <c r="ZM1" s="87" t="n"/>
      <c r="ZN1" s="87" t="n"/>
      <c r="ZO1" s="87" t="n"/>
      <c r="ZP1" s="87" t="n"/>
      <c r="ZQ1" s="87" t="n"/>
      <c r="ZR1" s="87" t="n"/>
      <c r="ZS1" s="87" t="n"/>
      <c r="ZT1" s="87" t="n"/>
      <c r="ZU1" s="87" t="n"/>
      <c r="ZV1" s="87" t="n"/>
      <c r="ZW1" s="87" t="n"/>
      <c r="ZX1" s="87" t="n"/>
      <c r="ZY1" s="87" t="n"/>
      <c r="ZZ1" s="87" t="n"/>
      <c r="AAA1" s="87" t="n"/>
      <c r="AAB1" s="87" t="n"/>
      <c r="AAC1" s="87" t="n"/>
      <c r="AAD1" s="87" t="n"/>
      <c r="AAE1" s="87" t="n"/>
      <c r="AAF1" s="87" t="n"/>
      <c r="AAG1" s="87" t="n"/>
      <c r="AAH1" s="87" t="n"/>
      <c r="AAI1" s="87" t="n"/>
      <c r="AAJ1" s="87" t="n"/>
      <c r="AAK1" s="87" t="n"/>
      <c r="AAL1" s="87" t="n"/>
      <c r="AAM1" s="87" t="n"/>
      <c r="AAN1" s="87" t="n"/>
      <c r="AAO1" s="87" t="n"/>
      <c r="AAP1" s="87" t="n"/>
      <c r="AAQ1" s="87" t="n"/>
      <c r="AAR1" s="87" t="n"/>
      <c r="AAS1" s="87" t="n"/>
      <c r="AAT1" s="87" t="n"/>
      <c r="AAU1" s="87" t="n"/>
      <c r="AAV1" s="87" t="n"/>
      <c r="AAW1" s="87" t="n"/>
      <c r="AAX1" s="87" t="n"/>
      <c r="AAY1" s="87" t="n"/>
      <c r="AAZ1" s="87" t="n"/>
      <c r="ABA1" s="87" t="n"/>
      <c r="ABB1" s="87" t="n"/>
      <c r="ABC1" s="87" t="n"/>
      <c r="ABD1" s="87" t="n"/>
      <c r="ABE1" s="87" t="n"/>
      <c r="ABF1" s="87" t="n"/>
      <c r="ABG1" s="87" t="n"/>
      <c r="ABH1" s="87" t="n"/>
      <c r="ABI1" s="87" t="n"/>
      <c r="ABJ1" s="87" t="n"/>
      <c r="ABK1" s="87" t="n"/>
      <c r="ABL1" s="87" t="n"/>
      <c r="ABM1" s="87" t="n"/>
      <c r="ABN1" s="87" t="n"/>
      <c r="ABO1" s="87" t="n"/>
      <c r="ABP1" s="87" t="n"/>
      <c r="ABQ1" s="87" t="n"/>
      <c r="ABR1" s="87" t="n"/>
      <c r="ABS1" s="87" t="n"/>
      <c r="ABT1" s="87" t="n"/>
      <c r="ABU1" s="87" t="n"/>
      <c r="ABV1" s="87" t="n"/>
      <c r="ABW1" s="87" t="n"/>
      <c r="ABX1" s="87" t="n"/>
      <c r="ABY1" s="87" t="n"/>
      <c r="ABZ1" s="87" t="n"/>
      <c r="ACA1" s="87" t="n"/>
      <c r="ACB1" s="87" t="n"/>
      <c r="ACC1" s="87" t="n"/>
      <c r="ACD1" s="87" t="n"/>
      <c r="ACE1" s="87" t="n"/>
      <c r="ACF1" s="87" t="n"/>
      <c r="ACG1" s="87" t="n"/>
      <c r="ACH1" s="87" t="n"/>
      <c r="ACI1" s="87" t="n"/>
      <c r="ACJ1" s="87" t="n"/>
      <c r="ACK1" s="87" t="n"/>
      <c r="ACL1" s="87" t="n"/>
      <c r="ACM1" s="87" t="n"/>
      <c r="ACN1" s="87" t="n"/>
      <c r="ACO1" s="87" t="n"/>
      <c r="ACP1" s="87" t="n"/>
      <c r="ACQ1" s="87" t="n"/>
      <c r="ACR1" s="87" t="n"/>
      <c r="ACS1" s="87" t="n"/>
      <c r="ACT1" s="87" t="n"/>
      <c r="ACU1" s="87" t="n"/>
      <c r="ACV1" s="87" t="n"/>
      <c r="ACW1" s="87" t="n"/>
      <c r="ACX1" s="87" t="n"/>
      <c r="ACY1" s="87" t="n"/>
      <c r="ACZ1" s="87" t="n"/>
      <c r="ADA1" s="87" t="n"/>
      <c r="ADB1" s="87" t="n"/>
      <c r="ADC1" s="87" t="n"/>
      <c r="ADD1" s="87" t="n"/>
      <c r="ADE1" s="87" t="n"/>
      <c r="ADF1" s="87" t="n"/>
      <c r="ADG1" s="87" t="n"/>
      <c r="ADH1" s="87" t="n"/>
      <c r="ADI1" s="87" t="n"/>
      <c r="ADJ1" s="87" t="n"/>
      <c r="ADK1" s="87" t="n"/>
      <c r="ADL1" s="87" t="n"/>
      <c r="ADM1" s="87" t="n"/>
      <c r="ADN1" s="87" t="n"/>
      <c r="ADO1" s="87" t="n"/>
      <c r="ADP1" s="87" t="n"/>
      <c r="ADQ1" s="87" t="n"/>
      <c r="ADR1" s="87" t="n"/>
      <c r="ADS1" s="87" t="n"/>
      <c r="ADT1" s="87" t="n"/>
      <c r="ADU1" s="87" t="n"/>
      <c r="ADV1" s="87" t="n"/>
      <c r="ADW1" s="87" t="n"/>
      <c r="ADX1" s="87" t="n"/>
      <c r="ADY1" s="87" t="n"/>
      <c r="ADZ1" s="87" t="n"/>
      <c r="AEA1" s="87" t="n"/>
      <c r="AEB1" s="87" t="n"/>
      <c r="AEC1" s="87" t="n"/>
      <c r="AED1" s="87" t="n"/>
      <c r="AEE1" s="87" t="n"/>
      <c r="AEF1" s="87" t="n"/>
      <c r="AEG1" s="87" t="n"/>
      <c r="AEH1" s="87" t="n"/>
      <c r="AEI1" s="87" t="n"/>
      <c r="AEJ1" s="87" t="n"/>
      <c r="AEK1" s="87" t="n"/>
      <c r="AEL1" s="87" t="n"/>
      <c r="AEM1" s="87" t="n"/>
      <c r="AEN1" s="87" t="n"/>
      <c r="AEO1" s="87" t="n"/>
      <c r="AEP1" s="87" t="n"/>
      <c r="AEQ1" s="87" t="n"/>
      <c r="AER1" s="87" t="n"/>
      <c r="AES1" s="87" t="n"/>
      <c r="AET1" s="87" t="n"/>
      <c r="AEU1" s="87" t="n"/>
      <c r="AEV1" s="87" t="n"/>
      <c r="AEW1" s="87" t="n"/>
      <c r="AEX1" s="87" t="n"/>
      <c r="AEY1" s="87" t="n"/>
      <c r="AEZ1" s="87" t="n"/>
      <c r="AFA1" s="87" t="n"/>
      <c r="AFB1" s="87" t="n"/>
      <c r="AFC1" s="87" t="n"/>
      <c r="AFD1" s="87" t="n"/>
      <c r="AFE1" s="87" t="n"/>
      <c r="AFF1" s="87" t="n"/>
      <c r="AFG1" s="87" t="n"/>
      <c r="AFH1" s="87" t="n"/>
      <c r="AFI1" s="87" t="n"/>
      <c r="AFJ1" s="87" t="n"/>
      <c r="AFK1" s="87" t="n"/>
      <c r="AFL1" s="87" t="n"/>
      <c r="AFM1" s="87" t="n"/>
      <c r="AFN1" s="87" t="n"/>
      <c r="AFO1" s="87" t="n"/>
      <c r="AFP1" s="87" t="n"/>
      <c r="AFQ1" s="87" t="n"/>
      <c r="AFR1" s="87" t="n"/>
      <c r="AFS1" s="87" t="n"/>
      <c r="AFT1" s="87" t="n"/>
      <c r="AFU1" s="87" t="n"/>
      <c r="AFV1" s="87" t="n"/>
      <c r="AFW1" s="87" t="n"/>
      <c r="AFX1" s="87" t="n"/>
      <c r="AFY1" s="87" t="n"/>
      <c r="AFZ1" s="87" t="n"/>
      <c r="AGA1" s="87" t="n"/>
      <c r="AGB1" s="87" t="n"/>
      <c r="AGC1" s="87" t="n"/>
      <c r="AGD1" s="87" t="n"/>
      <c r="AGE1" s="87" t="n"/>
      <c r="AGF1" s="87" t="n"/>
      <c r="AGG1" s="87" t="n"/>
      <c r="AGH1" s="87" t="n"/>
      <c r="AGI1" s="87" t="n"/>
      <c r="AGJ1" s="87" t="n"/>
      <c r="AGK1" s="87" t="n"/>
      <c r="AGL1" s="87" t="n"/>
      <c r="AGM1" s="87" t="n"/>
      <c r="AGN1" s="87" t="n"/>
      <c r="AGO1" s="87" t="n"/>
      <c r="AGP1" s="87" t="n"/>
      <c r="AGQ1" s="87" t="n"/>
      <c r="AGR1" s="87" t="n"/>
      <c r="AGS1" s="87" t="n"/>
      <c r="AGT1" s="87" t="n"/>
      <c r="AGU1" s="87" t="n"/>
      <c r="AGV1" s="87" t="n"/>
      <c r="AGW1" s="87" t="n"/>
      <c r="AGX1" s="87" t="n"/>
      <c r="AGY1" s="87" t="n"/>
      <c r="AGZ1" s="87" t="n"/>
      <c r="AHA1" s="87" t="n"/>
      <c r="AHB1" s="87" t="n"/>
      <c r="AHC1" s="87" t="n"/>
      <c r="AHD1" s="87" t="n"/>
      <c r="AHE1" s="87" t="n"/>
      <c r="AHF1" s="87" t="n"/>
      <c r="AHG1" s="87" t="n"/>
      <c r="AHH1" s="87" t="n"/>
      <c r="AHI1" s="87" t="n"/>
      <c r="AHJ1" s="87" t="n"/>
      <c r="AHK1" s="87" t="n"/>
      <c r="AHL1" s="87" t="n"/>
      <c r="AHM1" s="87" t="n"/>
      <c r="AHN1" s="87" t="n"/>
      <c r="AHO1" s="87" t="n"/>
      <c r="AHP1" s="87" t="n"/>
      <c r="AHQ1" s="87" t="n"/>
      <c r="AHR1" s="87" t="n"/>
      <c r="AHS1" s="87" t="n"/>
      <c r="AHT1" s="87" t="n"/>
      <c r="AHU1" s="87" t="n"/>
      <c r="AHV1" s="87" t="n"/>
      <c r="AHW1" s="87" t="n"/>
      <c r="AHX1" s="87" t="n"/>
      <c r="AHY1" s="87" t="n"/>
      <c r="AHZ1" s="87" t="n"/>
      <c r="AIA1" s="87" t="n"/>
      <c r="AIB1" s="87" t="n"/>
      <c r="AIC1" s="87" t="n"/>
      <c r="AID1" s="87" t="n"/>
      <c r="AIE1" s="87" t="n"/>
      <c r="AIF1" s="87" t="n"/>
      <c r="AIG1" s="87" t="n"/>
      <c r="AIH1" s="87" t="n"/>
      <c r="AII1" s="87" t="n"/>
      <c r="AIJ1" s="87" t="n"/>
      <c r="AIK1" s="87" t="n"/>
      <c r="AIL1" s="87" t="n"/>
      <c r="AIM1" s="87" t="n"/>
      <c r="AIN1" s="87" t="n"/>
      <c r="AIO1" s="87" t="n"/>
      <c r="AIP1" s="87" t="n"/>
      <c r="AIQ1" s="87" t="n"/>
      <c r="AIR1" s="87" t="n"/>
      <c r="AIS1" s="87" t="n"/>
      <c r="AIT1" s="87" t="n"/>
      <c r="AIU1" s="87" t="n"/>
      <c r="AIV1" s="87" t="n"/>
      <c r="AIW1" s="87" t="n"/>
      <c r="AIX1" s="87" t="n"/>
      <c r="AIY1" s="87" t="n"/>
      <c r="AIZ1" s="87" t="n"/>
      <c r="AJA1" s="87" t="n"/>
      <c r="AJB1" s="87" t="n"/>
      <c r="AJC1" s="87" t="n"/>
      <c r="AJD1" s="87" t="n"/>
      <c r="AJE1" s="87" t="n"/>
      <c r="AJF1" s="87" t="n"/>
      <c r="AJG1" s="87" t="n"/>
      <c r="AJH1" s="87" t="n"/>
      <c r="AJI1" s="87" t="n"/>
      <c r="AJJ1" s="87" t="n"/>
      <c r="AJK1" s="87" t="n"/>
      <c r="AJL1" s="87" t="n"/>
      <c r="AJM1" s="87" t="n"/>
      <c r="AJN1" s="87" t="n"/>
      <c r="AJO1" s="87" t="n"/>
      <c r="AJP1" s="87" t="n"/>
      <c r="AJQ1" s="87" t="n"/>
      <c r="AJR1" s="87" t="n"/>
      <c r="AJS1" s="87" t="n"/>
      <c r="AJT1" s="87" t="n"/>
      <c r="AJU1" s="87" t="n"/>
      <c r="AJV1" s="87" t="n"/>
      <c r="AJW1" s="87" t="n"/>
      <c r="AJX1" s="87" t="n"/>
      <c r="AJY1" s="87" t="n"/>
      <c r="AJZ1" s="87" t="n"/>
      <c r="AKA1" s="87" t="n"/>
      <c r="AKB1" s="87" t="n"/>
      <c r="AKC1" s="87" t="n"/>
      <c r="AKD1" s="87" t="n"/>
      <c r="AKE1" s="87" t="n"/>
      <c r="AKF1" s="87" t="n"/>
      <c r="AKG1" s="87" t="n"/>
      <c r="AKH1" s="87" t="n"/>
      <c r="AKI1" s="87" t="n"/>
      <c r="AKJ1" s="87" t="n"/>
      <c r="AKK1" s="87" t="n"/>
      <c r="AKL1" s="87" t="n"/>
      <c r="AKM1" s="87" t="n"/>
      <c r="AKN1" s="87" t="n"/>
      <c r="AKO1" s="87" t="n"/>
      <c r="AKP1" s="87" t="n"/>
      <c r="AKQ1" s="87" t="n"/>
      <c r="AKR1" s="87" t="n"/>
      <c r="AKS1" s="87" t="n"/>
      <c r="AKT1" s="87" t="n"/>
      <c r="AKU1" s="87" t="n"/>
      <c r="AKV1" s="87" t="n"/>
      <c r="AKW1" s="87" t="n"/>
      <c r="AKX1" s="87" t="n"/>
      <c r="AKY1" s="87" t="n"/>
      <c r="AKZ1" s="87" t="n"/>
      <c r="ALA1" s="87" t="n"/>
      <c r="ALB1" s="87" t="n"/>
      <c r="ALC1" s="87" t="n"/>
      <c r="ALD1" s="87" t="n"/>
      <c r="ALE1" s="87" t="n"/>
      <c r="ALF1" s="87" t="n"/>
      <c r="ALG1" s="87" t="n"/>
      <c r="ALH1" s="87" t="n"/>
      <c r="ALI1" s="87" t="n"/>
      <c r="ALJ1" s="87" t="n"/>
      <c r="ALK1" s="87" t="n"/>
      <c r="ALL1" s="87" t="n"/>
      <c r="ALM1" s="87" t="n"/>
      <c r="ALN1" s="87" t="n"/>
      <c r="ALO1" s="87" t="n"/>
      <c r="ALP1" s="87" t="n"/>
      <c r="ALQ1" s="87" t="n"/>
      <c r="ALR1" s="87" t="n"/>
      <c r="ALS1" s="87" t="n"/>
      <c r="ALT1" s="87" t="n"/>
      <c r="ALU1" s="87" t="n"/>
      <c r="ALV1" s="87" t="n"/>
      <c r="ALW1" s="87" t="n"/>
      <c r="ALX1" s="87" t="n"/>
      <c r="ALY1" s="87" t="n"/>
      <c r="ALZ1" s="87" t="n"/>
      <c r="AMA1" s="87" t="n"/>
      <c r="AMB1" s="87" t="n"/>
      <c r="AMC1" s="87" t="n"/>
      <c r="AMD1" s="87" t="n"/>
      <c r="AME1" s="87" t="n"/>
      <c r="AMF1" s="87" t="n"/>
      <c r="AMG1" s="87" t="n"/>
      <c r="AMH1" s="87" t="n"/>
      <c r="AMI1" s="87" t="n"/>
      <c r="AMJ1" s="87" t="n"/>
      <c r="AMK1" s="87" t="n"/>
      <c r="AML1" s="87" t="n"/>
      <c r="AMM1" s="87" t="n"/>
      <c r="AMN1" s="87" t="n"/>
      <c r="AMO1" s="87" t="n"/>
      <c r="AMP1" s="87" t="n"/>
      <c r="AMQ1" s="87" t="n"/>
      <c r="AMR1" s="87" t="n"/>
      <c r="AMS1" s="87" t="n"/>
      <c r="AMT1" s="87" t="n"/>
      <c r="AMU1" s="87" t="n"/>
      <c r="AMV1" s="87" t="n"/>
      <c r="AMW1" s="87" t="n"/>
      <c r="AMX1" s="87" t="n"/>
      <c r="AMY1" s="87" t="n"/>
      <c r="AMZ1" s="87" t="n"/>
      <c r="ANA1" s="87" t="n"/>
      <c r="ANB1" s="87" t="n"/>
      <c r="ANC1" s="87" t="n"/>
      <c r="AND1" s="87" t="n"/>
      <c r="ANE1" s="87" t="n"/>
      <c r="ANF1" s="87" t="n"/>
      <c r="ANG1" s="87" t="n"/>
      <c r="ANH1" s="87" t="n"/>
      <c r="ANI1" s="87" t="n"/>
      <c r="ANJ1" s="87" t="n"/>
      <c r="ANK1" s="87" t="n"/>
      <c r="ANL1" s="87" t="n"/>
      <c r="ANM1" s="87" t="n"/>
      <c r="ANN1" s="87" t="n"/>
      <c r="ANO1" s="87" t="n"/>
      <c r="ANP1" s="87" t="n"/>
      <c r="ANQ1" s="87" t="n"/>
      <c r="ANR1" s="87" t="n"/>
      <c r="ANS1" s="87" t="n"/>
      <c r="ANT1" s="87" t="n"/>
      <c r="ANU1" s="87" t="n"/>
      <c r="ANV1" s="87" t="n"/>
      <c r="ANW1" s="87" t="n"/>
      <c r="ANX1" s="87" t="n"/>
      <c r="ANY1" s="87" t="n"/>
      <c r="ANZ1" s="87" t="n"/>
      <c r="AOA1" s="87" t="n"/>
      <c r="AOB1" s="87" t="n"/>
      <c r="AOC1" s="87" t="n"/>
      <c r="AOD1" s="87" t="n"/>
      <c r="AOE1" s="87" t="n"/>
      <c r="AOF1" s="87" t="n"/>
      <c r="AOG1" s="87" t="n"/>
      <c r="AOH1" s="87" t="n"/>
      <c r="AOI1" s="87" t="n"/>
      <c r="AOJ1" s="87" t="n"/>
      <c r="AOK1" s="87" t="n"/>
      <c r="AOL1" s="87" t="n"/>
      <c r="AOM1" s="87" t="n"/>
      <c r="AON1" s="87" t="n"/>
      <c r="AOO1" s="87" t="n"/>
      <c r="AOP1" s="87" t="n"/>
      <c r="AOQ1" s="87" t="n"/>
      <c r="AOR1" s="87" t="n"/>
      <c r="AOS1" s="87" t="n"/>
      <c r="AOT1" s="87" t="n"/>
      <c r="AOU1" s="87" t="n"/>
      <c r="AOV1" s="87" t="n"/>
      <c r="AOW1" s="87" t="n"/>
      <c r="AOX1" s="87" t="n"/>
      <c r="AOY1" s="87" t="n"/>
      <c r="AOZ1" s="87" t="n"/>
      <c r="APA1" s="87" t="n"/>
      <c r="APB1" s="87" t="n"/>
      <c r="APC1" s="87" t="n"/>
      <c r="APD1" s="87" t="n"/>
      <c r="APE1" s="87" t="n"/>
      <c r="APF1" s="87" t="n"/>
      <c r="APG1" s="87" t="n"/>
      <c r="APH1" s="87" t="n"/>
      <c r="API1" s="87" t="n"/>
      <c r="APJ1" s="87" t="n"/>
      <c r="APK1" s="87" t="n"/>
      <c r="APL1" s="87" t="n"/>
      <c r="APM1" s="87" t="n"/>
      <c r="APN1" s="87" t="n"/>
      <c r="APO1" s="87" t="n"/>
      <c r="APP1" s="87" t="n"/>
      <c r="APQ1" s="87" t="n"/>
      <c r="APR1" s="87" t="n"/>
      <c r="APS1" s="87" t="n"/>
      <c r="APT1" s="87" t="n"/>
      <c r="APU1" s="87" t="n"/>
      <c r="APV1" s="87" t="n"/>
      <c r="APW1" s="87" t="n"/>
      <c r="APX1" s="87" t="n"/>
      <c r="APY1" s="87" t="n"/>
      <c r="APZ1" s="87" t="n"/>
      <c r="AQA1" s="87" t="n"/>
      <c r="AQB1" s="87" t="n"/>
      <c r="AQC1" s="87" t="n"/>
      <c r="AQD1" s="87" t="n"/>
      <c r="AQE1" s="87" t="n"/>
      <c r="AQF1" s="87" t="n"/>
      <c r="AQG1" s="87" t="n"/>
      <c r="AQH1" s="87" t="n"/>
      <c r="AQI1" s="87" t="n"/>
      <c r="AQJ1" s="87" t="n"/>
      <c r="AQK1" s="87" t="n"/>
      <c r="AQL1" s="87" t="n"/>
      <c r="AQM1" s="87" t="n"/>
      <c r="AQN1" s="87" t="n"/>
      <c r="AQO1" s="87" t="n"/>
      <c r="AQP1" s="87" t="n"/>
      <c r="AQQ1" s="87" t="n"/>
      <c r="AQR1" s="87" t="n"/>
      <c r="AQS1" s="87" t="n"/>
      <c r="AQT1" s="87" t="n"/>
      <c r="AQU1" s="87" t="n"/>
      <c r="AQV1" s="87" t="n"/>
      <c r="AQW1" s="87" t="n"/>
      <c r="AQX1" s="87" t="n"/>
      <c r="AQY1" s="87" t="n"/>
      <c r="AQZ1" s="87" t="n"/>
      <c r="ARA1" s="87" t="n"/>
      <c r="ARB1" s="87" t="n"/>
      <c r="ARC1" s="87" t="n"/>
      <c r="ARD1" s="87" t="n"/>
      <c r="ARE1" s="87" t="n"/>
      <c r="ARF1" s="87" t="n"/>
      <c r="ARG1" s="87" t="n"/>
      <c r="ARH1" s="87" t="n"/>
      <c r="ARI1" s="87" t="n"/>
      <c r="ARJ1" s="87" t="n"/>
      <c r="ARK1" s="87" t="n"/>
      <c r="ARL1" s="87" t="n"/>
      <c r="ARM1" s="87" t="n"/>
      <c r="ARN1" s="87" t="n"/>
      <c r="ARO1" s="87" t="n"/>
      <c r="ARP1" s="87" t="n"/>
      <c r="ARQ1" s="87" t="n"/>
      <c r="ARR1" s="87" t="n"/>
      <c r="ARS1" s="87" t="n"/>
      <c r="ART1" s="87" t="n"/>
      <c r="ARU1" s="87" t="n"/>
      <c r="ARV1" s="87" t="n"/>
      <c r="ARW1" s="87" t="n"/>
      <c r="ARX1" s="87" t="n"/>
      <c r="ARY1" s="87" t="n"/>
      <c r="ARZ1" s="87" t="n"/>
      <c r="ASA1" s="87" t="n"/>
      <c r="ASB1" s="87" t="n"/>
      <c r="ASC1" s="87" t="n"/>
      <c r="ASD1" s="87" t="n"/>
      <c r="ASE1" s="87" t="n"/>
      <c r="ASF1" s="87" t="n"/>
      <c r="ASG1" s="87" t="n"/>
      <c r="ASH1" s="87" t="n"/>
      <c r="ASI1" s="87" t="n"/>
      <c r="ASJ1" s="87" t="n"/>
      <c r="ASK1" s="87" t="n"/>
      <c r="ASL1" s="87" t="n"/>
      <c r="ASM1" s="87" t="n"/>
      <c r="ASN1" s="87" t="n"/>
      <c r="ASO1" s="87" t="n"/>
      <c r="ASP1" s="87" t="n"/>
      <c r="ASQ1" s="87" t="n"/>
      <c r="ASR1" s="87" t="n"/>
      <c r="ASS1" s="87" t="n"/>
      <c r="AST1" s="87" t="n"/>
      <c r="ASU1" s="87" t="n"/>
      <c r="ASV1" s="87" t="n"/>
      <c r="ASW1" s="87" t="n"/>
      <c r="ASX1" s="87" t="n"/>
      <c r="ASY1" s="87" t="n"/>
      <c r="ASZ1" s="87" t="n"/>
      <c r="ATA1" s="87" t="n"/>
      <c r="ATB1" s="87" t="n"/>
      <c r="ATC1" s="87" t="n"/>
      <c r="ATD1" s="87" t="n"/>
      <c r="ATE1" s="87" t="n"/>
      <c r="ATF1" s="87" t="n"/>
      <c r="ATG1" s="87" t="n"/>
      <c r="ATH1" s="87" t="n"/>
      <c r="ATI1" s="87" t="n"/>
      <c r="ATJ1" s="87" t="n"/>
      <c r="ATK1" s="87" t="n"/>
      <c r="ATL1" s="87" t="n"/>
      <c r="ATM1" s="87" t="n"/>
      <c r="ATN1" s="87" t="n"/>
      <c r="ATO1" s="87" t="n"/>
      <c r="ATP1" s="87" t="n"/>
      <c r="ATQ1" s="87" t="n"/>
      <c r="ATR1" s="87" t="n"/>
      <c r="ATS1" s="87" t="n"/>
      <c r="ATT1" s="87" t="n"/>
      <c r="ATU1" s="87" t="n"/>
      <c r="ATV1" s="87" t="n"/>
      <c r="ATW1" s="87" t="n"/>
      <c r="ATX1" s="87" t="n"/>
      <c r="ATY1" s="87" t="n"/>
      <c r="ATZ1" s="87" t="n"/>
      <c r="AUA1" s="87" t="n"/>
      <c r="AUB1" s="87" t="n"/>
      <c r="AUC1" s="87" t="n"/>
      <c r="AUD1" s="87" t="n"/>
      <c r="AUE1" s="87" t="n"/>
      <c r="AUF1" s="87" t="n"/>
      <c r="AUG1" s="87" t="n"/>
      <c r="AUH1" s="87" t="n"/>
      <c r="AUI1" s="87" t="n"/>
      <c r="AUJ1" s="87" t="n"/>
      <c r="AUK1" s="87" t="n"/>
      <c r="AUL1" s="87" t="n"/>
      <c r="AUM1" s="87" t="n"/>
      <c r="AUN1" s="87" t="n"/>
      <c r="AUO1" s="87" t="n"/>
      <c r="AUP1" s="87" t="n"/>
      <c r="AUQ1" s="87" t="n"/>
      <c r="AUR1" s="87" t="n"/>
      <c r="AUS1" s="87" t="n"/>
      <c r="AUT1" s="87" t="n"/>
      <c r="AUU1" s="87" t="n"/>
      <c r="AUV1" s="87" t="n"/>
      <c r="AUW1" s="87" t="n"/>
      <c r="AUX1" s="87" t="n"/>
      <c r="AUY1" s="87" t="n"/>
      <c r="AUZ1" s="87" t="n"/>
      <c r="AVA1" s="87" t="n"/>
      <c r="AVB1" s="87" t="n"/>
      <c r="AVC1" s="87" t="n"/>
      <c r="AVD1" s="87" t="n"/>
      <c r="AVE1" s="87" t="n"/>
      <c r="AVF1" s="87" t="n"/>
      <c r="AVG1" s="87" t="n"/>
      <c r="AVH1" s="87" t="n"/>
      <c r="AVI1" s="87" t="n"/>
      <c r="AVJ1" s="87" t="n"/>
      <c r="AVK1" s="87" t="n"/>
      <c r="AVL1" s="87" t="n"/>
      <c r="AVM1" s="87" t="n"/>
      <c r="AVN1" s="87" t="n"/>
      <c r="AVO1" s="87" t="n"/>
      <c r="AVP1" s="87" t="n"/>
      <c r="AVQ1" s="87" t="n"/>
      <c r="AVR1" s="87" t="n"/>
      <c r="AVS1" s="87" t="n"/>
      <c r="AVT1" s="87" t="n"/>
      <c r="AVU1" s="87" t="n"/>
      <c r="AVV1" s="87" t="n"/>
      <c r="AVW1" s="87" t="n"/>
      <c r="AVX1" s="87" t="n"/>
      <c r="AVY1" s="87" t="n"/>
      <c r="AVZ1" s="87" t="n"/>
      <c r="AWA1" s="87" t="n"/>
      <c r="AWB1" s="87" t="n"/>
      <c r="AWC1" s="87" t="n"/>
      <c r="AWD1" s="87" t="n"/>
      <c r="AWE1" s="87" t="n"/>
      <c r="AWF1" s="87" t="n"/>
      <c r="AWG1" s="87" t="n"/>
      <c r="AWH1" s="87" t="n"/>
      <c r="AWI1" s="87" t="n"/>
      <c r="AWJ1" s="87" t="n"/>
      <c r="AWK1" s="87" t="n"/>
      <c r="AWL1" s="87" t="n"/>
      <c r="AWM1" s="87" t="n"/>
      <c r="AWN1" s="87" t="n"/>
      <c r="AWO1" s="87" t="n"/>
      <c r="AWP1" s="87" t="n"/>
      <c r="AWQ1" s="87" t="n"/>
      <c r="AWR1" s="87" t="n"/>
      <c r="AWS1" s="87" t="n"/>
      <c r="AWT1" s="87" t="n"/>
      <c r="AWU1" s="87" t="n"/>
      <c r="AWV1" s="87" t="n"/>
      <c r="AWW1" s="87" t="n"/>
      <c r="AWX1" s="87" t="n"/>
      <c r="AWY1" s="87" t="n"/>
      <c r="AWZ1" s="87" t="n"/>
      <c r="AXA1" s="87" t="n"/>
      <c r="AXB1" s="87" t="n"/>
      <c r="AXC1" s="87" t="n"/>
      <c r="AXD1" s="87" t="n"/>
      <c r="AXE1" s="87" t="n"/>
      <c r="AXF1" s="87" t="n"/>
      <c r="AXG1" s="87" t="n"/>
      <c r="AXH1" s="87" t="n"/>
      <c r="AXI1" s="87" t="n"/>
      <c r="AXJ1" s="87" t="n"/>
      <c r="AXK1" s="87" t="n"/>
      <c r="AXL1" s="87" t="n"/>
      <c r="AXM1" s="87" t="n"/>
      <c r="AXN1" s="87" t="n"/>
      <c r="AXO1" s="87" t="n"/>
      <c r="AXP1" s="87" t="n"/>
      <c r="AXQ1" s="87" t="n"/>
      <c r="AXR1" s="87" t="n"/>
      <c r="AXS1" s="87" t="n"/>
      <c r="AXT1" s="87" t="n"/>
      <c r="AXU1" s="87" t="n"/>
      <c r="AXV1" s="87" t="n"/>
      <c r="AXW1" s="87" t="n"/>
      <c r="AXX1" s="87" t="n"/>
      <c r="AXY1" s="87" t="n"/>
      <c r="AXZ1" s="87" t="n"/>
      <c r="AYA1" s="87" t="n"/>
      <c r="AYB1" s="87" t="n"/>
      <c r="AYC1" s="87" t="n"/>
      <c r="AYD1" s="87" t="n"/>
      <c r="AYE1" s="87" t="n"/>
      <c r="AYF1" s="87" t="n"/>
      <c r="AYG1" s="87" t="n"/>
      <c r="AYH1" s="87" t="n"/>
      <c r="AYI1" s="87" t="n"/>
      <c r="AYJ1" s="87" t="n"/>
      <c r="AYK1" s="87" t="n"/>
      <c r="AYL1" s="87" t="n"/>
      <c r="AYM1" s="87" t="n"/>
      <c r="AYN1" s="87" t="n"/>
      <c r="AYO1" s="87" t="n"/>
      <c r="AYP1" s="87" t="n"/>
      <c r="AYQ1" s="87" t="n"/>
      <c r="AYR1" s="87" t="n"/>
      <c r="AYS1" s="87" t="n"/>
      <c r="AYT1" s="87" t="n"/>
      <c r="AYU1" s="87" t="n"/>
      <c r="AYV1" s="87" t="n"/>
      <c r="AYW1" s="87" t="n"/>
      <c r="AYX1" s="87" t="n"/>
      <c r="AYY1" s="87" t="n"/>
      <c r="AYZ1" s="87" t="n"/>
      <c r="AZA1" s="87" t="n"/>
      <c r="AZB1" s="87" t="n"/>
      <c r="AZC1" s="87" t="n"/>
      <c r="AZD1" s="87" t="n"/>
      <c r="AZE1" s="87" t="n"/>
      <c r="AZF1" s="87" t="n"/>
      <c r="AZG1" s="87" t="n"/>
      <c r="AZH1" s="87" t="n"/>
      <c r="AZI1" s="87" t="n"/>
      <c r="AZJ1" s="87" t="n"/>
      <c r="AZK1" s="87" t="n"/>
      <c r="AZL1" s="87" t="n"/>
      <c r="AZM1" s="87" t="n"/>
      <c r="AZN1" s="87" t="n"/>
      <c r="AZO1" s="87" t="n"/>
      <c r="AZP1" s="87" t="n"/>
      <c r="AZQ1" s="87" t="n"/>
      <c r="AZR1" s="87" t="n"/>
      <c r="AZS1" s="87" t="n"/>
      <c r="AZT1" s="87" t="n"/>
      <c r="AZU1" s="87" t="n"/>
      <c r="AZV1" s="87" t="n"/>
      <c r="AZW1" s="87" t="n"/>
      <c r="AZX1" s="87" t="n"/>
      <c r="AZY1" s="87" t="n"/>
      <c r="AZZ1" s="87" t="n"/>
      <c r="BAA1" s="87" t="n"/>
      <c r="BAB1" s="87" t="n"/>
      <c r="BAC1" s="87" t="n"/>
      <c r="BAD1" s="87" t="n"/>
      <c r="BAE1" s="87" t="n"/>
      <c r="BAF1" s="87" t="n"/>
      <c r="BAG1" s="87" t="n"/>
      <c r="BAH1" s="87" t="n"/>
      <c r="BAI1" s="87" t="n"/>
      <c r="BAJ1" s="87" t="n"/>
      <c r="BAK1" s="87" t="n"/>
      <c r="BAL1" s="87" t="n"/>
      <c r="BAM1" s="87" t="n"/>
      <c r="BAN1" s="87" t="n"/>
      <c r="BAO1" s="87" t="n"/>
      <c r="BAP1" s="87" t="n"/>
      <c r="BAQ1" s="87" t="n"/>
      <c r="BAR1" s="87" t="n"/>
      <c r="BAS1" s="87" t="n"/>
      <c r="BAT1" s="87" t="n"/>
      <c r="BAU1" s="87" t="n"/>
      <c r="BAV1" s="87" t="n"/>
      <c r="BAW1" s="87" t="n"/>
      <c r="BAX1" s="87" t="n"/>
      <c r="BAY1" s="87" t="n"/>
      <c r="BAZ1" s="87" t="n"/>
      <c r="BBA1" s="87" t="n"/>
      <c r="BBB1" s="87" t="n"/>
      <c r="BBC1" s="87" t="n"/>
      <c r="BBD1" s="87" t="n"/>
      <c r="BBE1" s="87" t="n"/>
      <c r="BBF1" s="87" t="n"/>
      <c r="BBG1" s="87" t="n"/>
      <c r="BBH1" s="87" t="n"/>
      <c r="BBI1" s="87" t="n"/>
      <c r="BBJ1" s="87" t="n"/>
      <c r="BBK1" s="87" t="n"/>
      <c r="BBL1" s="87" t="n"/>
      <c r="BBM1" s="87" t="n"/>
      <c r="BBN1" s="87" t="n"/>
      <c r="BBO1" s="87" t="n"/>
      <c r="BBP1" s="87" t="n"/>
      <c r="BBQ1" s="87" t="n"/>
      <c r="BBR1" s="87" t="n"/>
      <c r="BBS1" s="87" t="n"/>
      <c r="BBT1" s="87" t="n"/>
      <c r="BBU1" s="87" t="n"/>
      <c r="BBV1" s="87" t="n"/>
      <c r="BBW1" s="87" t="n"/>
      <c r="BBX1" s="87" t="n"/>
      <c r="BBY1" s="87" t="n"/>
      <c r="BBZ1" s="87" t="n"/>
      <c r="BCA1" s="87" t="n"/>
      <c r="BCB1" s="87" t="n"/>
      <c r="BCC1" s="87" t="n"/>
      <c r="BCD1" s="87" t="n"/>
      <c r="BCE1" s="87" t="n"/>
      <c r="BCF1" s="87" t="n"/>
      <c r="BCG1" s="87" t="n"/>
      <c r="BCH1" s="87" t="n"/>
      <c r="BCI1" s="87" t="n"/>
      <c r="BCJ1" s="87" t="n"/>
      <c r="BCK1" s="87" t="n"/>
      <c r="BCL1" s="87" t="n"/>
      <c r="BCM1" s="87" t="n"/>
      <c r="BCN1" s="87" t="n"/>
      <c r="BCO1" s="87" t="n"/>
      <c r="BCP1" s="87" t="n"/>
      <c r="BCQ1" s="87" t="n"/>
      <c r="BCR1" s="87" t="n"/>
      <c r="BCS1" s="87" t="n"/>
      <c r="BCT1" s="87" t="n"/>
      <c r="BCU1" s="87" t="n"/>
      <c r="BCV1" s="87" t="n"/>
      <c r="BCW1" s="87" t="n"/>
      <c r="BCX1" s="87" t="n"/>
      <c r="BCY1" s="87" t="n"/>
      <c r="BCZ1" s="87" t="n"/>
      <c r="BDA1" s="87" t="n"/>
      <c r="BDB1" s="87" t="n"/>
      <c r="BDC1" s="87" t="n"/>
      <c r="BDD1" s="87" t="n"/>
      <c r="BDE1" s="87" t="n"/>
      <c r="BDF1" s="87" t="n"/>
      <c r="BDG1" s="87" t="n"/>
      <c r="BDH1" s="87" t="n"/>
      <c r="BDI1" s="87" t="n"/>
      <c r="BDJ1" s="87" t="n"/>
      <c r="BDK1" s="87" t="n"/>
      <c r="BDL1" s="87" t="n"/>
      <c r="BDM1" s="87" t="n"/>
      <c r="BDN1" s="87" t="n"/>
      <c r="BDO1" s="87" t="n"/>
      <c r="BDP1" s="87" t="n"/>
      <c r="BDQ1" s="87" t="n"/>
      <c r="BDR1" s="87" t="n"/>
      <c r="BDS1" s="87" t="n"/>
      <c r="BDT1" s="87" t="n"/>
      <c r="BDU1" s="87" t="n"/>
      <c r="BDV1" s="87" t="n"/>
      <c r="BDW1" s="87" t="n"/>
      <c r="BDX1" s="87" t="n"/>
      <c r="BDY1" s="87" t="n"/>
      <c r="BDZ1" s="87" t="n"/>
      <c r="BEA1" s="87" t="n"/>
      <c r="BEB1" s="87" t="n"/>
      <c r="BEC1" s="87" t="n"/>
      <c r="BED1" s="87" t="n"/>
      <c r="BEE1" s="87" t="n"/>
      <c r="BEF1" s="87" t="n"/>
      <c r="BEG1" s="87" t="n"/>
      <c r="BEH1" s="87" t="n"/>
      <c r="BEI1" s="87" t="n"/>
      <c r="BEJ1" s="87" t="n"/>
      <c r="BEK1" s="87" t="n"/>
      <c r="BEL1" s="87" t="n"/>
      <c r="BEM1" s="87" t="n"/>
      <c r="BEN1" s="87" t="n"/>
      <c r="BEO1" s="87" t="n"/>
      <c r="BEP1" s="87" t="n"/>
      <c r="BEQ1" s="87" t="n"/>
      <c r="BER1" s="87" t="n"/>
      <c r="BES1" s="87" t="n"/>
      <c r="BET1" s="87" t="n"/>
      <c r="BEU1" s="87" t="n"/>
      <c r="BEV1" s="87" t="n"/>
      <c r="BEW1" s="87" t="n"/>
      <c r="BEX1" s="87" t="n"/>
      <c r="BEY1" s="87" t="n"/>
      <c r="BEZ1" s="87" t="n"/>
      <c r="BFA1" s="87" t="n"/>
      <c r="BFB1" s="87" t="n"/>
      <c r="BFC1" s="87" t="n"/>
      <c r="BFD1" s="87" t="n"/>
      <c r="BFE1" s="87" t="n"/>
      <c r="BFF1" s="87" t="n"/>
      <c r="BFG1" s="87" t="n"/>
      <c r="BFH1" s="87" t="n"/>
      <c r="BFI1" s="87" t="n"/>
      <c r="BFJ1" s="87" t="n"/>
      <c r="BFK1" s="87" t="n"/>
      <c r="BFL1" s="87" t="n"/>
      <c r="BFM1" s="87" t="n"/>
      <c r="BFN1" s="87" t="n"/>
      <c r="BFO1" s="87" t="n"/>
      <c r="BFP1" s="87" t="n"/>
      <c r="BFQ1" s="87" t="n"/>
      <c r="BFR1" s="87" t="n"/>
      <c r="BFS1" s="87" t="n"/>
      <c r="BFT1" s="87" t="n"/>
      <c r="BFU1" s="87" t="n"/>
      <c r="BFV1" s="87" t="n"/>
      <c r="BFW1" s="87" t="n"/>
      <c r="BFX1" s="87" t="n"/>
      <c r="BFY1" s="87" t="n"/>
      <c r="BFZ1" s="87" t="n"/>
      <c r="BGA1" s="87" t="n"/>
      <c r="BGB1" s="87" t="n"/>
      <c r="BGC1" s="87" t="n"/>
      <c r="BGD1" s="87" t="n"/>
      <c r="BGE1" s="87" t="n"/>
      <c r="BGF1" s="87" t="n"/>
      <c r="BGG1" s="87" t="n"/>
      <c r="BGH1" s="87" t="n"/>
      <c r="BGI1" s="87" t="n"/>
      <c r="BGJ1" s="87" t="n"/>
      <c r="BGK1" s="87" t="n"/>
      <c r="BGL1" s="87" t="n"/>
      <c r="BGM1" s="87" t="n"/>
      <c r="BGN1" s="87" t="n"/>
      <c r="BGO1" s="87" t="n"/>
      <c r="BGP1" s="87" t="n"/>
      <c r="BGQ1" s="87" t="n"/>
      <c r="BGR1" s="87" t="n"/>
      <c r="BGS1" s="87" t="n"/>
      <c r="BGT1" s="87" t="n"/>
      <c r="BGU1" s="87" t="n"/>
      <c r="BGV1" s="87" t="n"/>
      <c r="BGW1" s="87" t="n"/>
      <c r="BGX1" s="87" t="n"/>
      <c r="BGY1" s="87" t="n"/>
      <c r="BGZ1" s="87" t="n"/>
      <c r="BHA1" s="87" t="n"/>
      <c r="BHB1" s="87" t="n"/>
      <c r="BHC1" s="87" t="n"/>
      <c r="BHD1" s="87" t="n"/>
      <c r="BHE1" s="87" t="n"/>
      <c r="BHF1" s="87" t="n"/>
      <c r="BHG1" s="87" t="n"/>
      <c r="BHH1" s="87" t="n"/>
      <c r="BHI1" s="87" t="n"/>
      <c r="BHJ1" s="87" t="n"/>
      <c r="BHK1" s="87" t="n"/>
      <c r="BHL1" s="87" t="n"/>
      <c r="BHM1" s="87" t="n"/>
      <c r="BHN1" s="87" t="n"/>
      <c r="BHO1" s="87" t="n"/>
      <c r="BHP1" s="87" t="n"/>
      <c r="BHQ1" s="87" t="n"/>
      <c r="BHR1" s="87" t="n"/>
      <c r="BHS1" s="87" t="n"/>
      <c r="BHT1" s="87" t="n"/>
      <c r="BHU1" s="87" t="n"/>
      <c r="BHV1" s="87" t="n"/>
      <c r="BHW1" s="87" t="n"/>
      <c r="BHX1" s="87" t="n"/>
      <c r="BHY1" s="87" t="n"/>
      <c r="BHZ1" s="87" t="n"/>
      <c r="BIA1" s="87" t="n"/>
      <c r="BIB1" s="87" t="n"/>
      <c r="BIC1" s="87" t="n"/>
      <c r="BID1" s="87" t="n"/>
      <c r="BIE1" s="87" t="n"/>
      <c r="BIF1" s="87" t="n"/>
      <c r="BIG1" s="87" t="n"/>
      <c r="BIH1" s="87" t="n"/>
      <c r="BII1" s="87" t="n"/>
      <c r="BIJ1" s="87" t="n"/>
      <c r="BIK1" s="87" t="n"/>
      <c r="BIL1" s="87" t="n"/>
      <c r="BIM1" s="87" t="n"/>
      <c r="BIN1" s="87" t="n"/>
      <c r="BIO1" s="87" t="n"/>
      <c r="BIP1" s="87" t="n"/>
      <c r="BIQ1" s="87" t="n"/>
      <c r="BIR1" s="87" t="n"/>
      <c r="BIS1" s="87" t="n"/>
      <c r="BIT1" s="87" t="n"/>
      <c r="BIU1" s="87" t="n"/>
      <c r="BIV1" s="87" t="n"/>
      <c r="BIW1" s="87" t="n"/>
      <c r="BIX1" s="87" t="n"/>
      <c r="BIY1" s="87" t="n"/>
      <c r="BIZ1" s="87" t="n"/>
      <c r="BJA1" s="87" t="n"/>
      <c r="BJB1" s="87" t="n"/>
      <c r="BJC1" s="87" t="n"/>
      <c r="BJD1" s="87" t="n"/>
      <c r="BJE1" s="87" t="n"/>
      <c r="BJF1" s="87" t="n"/>
      <c r="BJG1" s="87" t="n"/>
      <c r="BJH1" s="87" t="n"/>
      <c r="BJI1" s="87" t="n"/>
      <c r="BJJ1" s="87" t="n"/>
      <c r="BJK1" s="87" t="n"/>
      <c r="BJL1" s="87" t="n"/>
      <c r="BJM1" s="87" t="n"/>
      <c r="BJN1" s="87" t="n"/>
      <c r="BJO1" s="87" t="n"/>
      <c r="BJP1" s="87" t="n"/>
      <c r="BJQ1" s="87" t="n"/>
      <c r="BJR1" s="87" t="n"/>
      <c r="BJS1" s="87" t="n"/>
      <c r="BJT1" s="87" t="n"/>
      <c r="BJU1" s="87" t="n"/>
      <c r="BJV1" s="87" t="n"/>
      <c r="BJW1" s="87" t="n"/>
      <c r="BJX1" s="87" t="n"/>
      <c r="BJY1" s="87" t="n"/>
      <c r="BJZ1" s="87" t="n"/>
      <c r="BKA1" s="87" t="n"/>
      <c r="BKB1" s="87" t="n"/>
      <c r="BKC1" s="87" t="n"/>
      <c r="BKD1" s="87" t="n"/>
      <c r="BKE1" s="87" t="n"/>
      <c r="BKF1" s="87" t="n"/>
      <c r="BKG1" s="87" t="n"/>
      <c r="BKH1" s="87" t="n"/>
      <c r="BKI1" s="87" t="n"/>
      <c r="BKJ1" s="87" t="n"/>
      <c r="BKK1" s="87" t="n"/>
      <c r="BKL1" s="87" t="n"/>
      <c r="BKM1" s="87" t="n"/>
      <c r="BKN1" s="87" t="n"/>
      <c r="BKO1" s="87" t="n"/>
      <c r="BKP1" s="87" t="n"/>
      <c r="BKQ1" s="87" t="n"/>
      <c r="BKR1" s="87" t="n"/>
      <c r="BKS1" s="87" t="n"/>
      <c r="BKT1" s="87" t="n"/>
      <c r="BKU1" s="87" t="n"/>
      <c r="BKV1" s="87" t="n"/>
      <c r="BKW1" s="87" t="n"/>
      <c r="BKX1" s="87" t="n"/>
      <c r="BKY1" s="87" t="n"/>
      <c r="BKZ1" s="87" t="n"/>
      <c r="BLA1" s="87" t="n"/>
      <c r="BLB1" s="87" t="n"/>
      <c r="BLC1" s="87" t="n"/>
      <c r="BLD1" s="87" t="n"/>
      <c r="BLE1" s="87" t="n"/>
      <c r="BLF1" s="87" t="n"/>
      <c r="BLG1" s="87" t="n"/>
      <c r="BLH1" s="87" t="n"/>
      <c r="BLI1" s="87" t="n"/>
      <c r="BLJ1" s="87" t="n"/>
      <c r="BLK1" s="87" t="n"/>
      <c r="BLL1" s="87" t="n"/>
      <c r="BLM1" s="87" t="n"/>
      <c r="BLN1" s="87" t="n"/>
      <c r="BLO1" s="87" t="n"/>
      <c r="BLP1" s="87" t="n"/>
      <c r="BLQ1" s="87" t="n"/>
      <c r="BLR1" s="87" t="n"/>
      <c r="BLS1" s="87" t="n"/>
      <c r="BLT1" s="87" t="n"/>
      <c r="BLU1" s="87" t="n"/>
      <c r="BLV1" s="87" t="n"/>
      <c r="BLW1" s="87" t="n"/>
      <c r="BLX1" s="87" t="n"/>
      <c r="BLY1" s="87" t="n"/>
      <c r="BLZ1" s="87" t="n"/>
      <c r="BMA1" s="87" t="n"/>
      <c r="BMB1" s="87" t="n"/>
      <c r="BMC1" s="87" t="n"/>
      <c r="BMD1" s="87" t="n"/>
      <c r="BME1" s="87" t="n"/>
      <c r="BMF1" s="87" t="n"/>
      <c r="BMG1" s="87" t="n"/>
      <c r="BMH1" s="87" t="n"/>
      <c r="BMI1" s="87" t="n"/>
      <c r="BMJ1" s="87" t="n"/>
      <c r="BMK1" s="87" t="n"/>
      <c r="BML1" s="87" t="n"/>
      <c r="BMM1" s="87" t="n"/>
      <c r="BMN1" s="87" t="n"/>
      <c r="BMO1" s="87" t="n"/>
      <c r="BMP1" s="87" t="n"/>
      <c r="BMQ1" s="87" t="n"/>
      <c r="BMR1" s="87" t="n"/>
      <c r="BMS1" s="87" t="n"/>
      <c r="BMT1" s="87" t="n"/>
      <c r="BMU1" s="87" t="n"/>
      <c r="BMV1" s="87" t="n"/>
      <c r="BMW1" s="87" t="n"/>
      <c r="BMX1" s="87" t="n"/>
      <c r="BMY1" s="87" t="n"/>
      <c r="BMZ1" s="87" t="n"/>
      <c r="BNA1" s="87" t="n"/>
      <c r="BNB1" s="87" t="n"/>
      <c r="BNC1" s="87" t="n"/>
      <c r="BND1" s="87" t="n"/>
      <c r="BNE1" s="87" t="n"/>
      <c r="BNF1" s="87" t="n"/>
      <c r="BNG1" s="87" t="n"/>
      <c r="BNH1" s="87" t="n"/>
      <c r="BNI1" s="87" t="n"/>
      <c r="BNJ1" s="87" t="n"/>
      <c r="BNK1" s="87" t="n"/>
      <c r="BNL1" s="87" t="n"/>
      <c r="BNM1" s="87" t="n"/>
      <c r="BNN1" s="87" t="n"/>
      <c r="BNO1" s="87" t="n"/>
      <c r="BNP1" s="87" t="n"/>
      <c r="BNQ1" s="87" t="n"/>
      <c r="BNR1" s="87" t="n"/>
      <c r="BNS1" s="87" t="n"/>
      <c r="BNT1" s="87" t="n"/>
      <c r="BNU1" s="87" t="n"/>
      <c r="BNV1" s="87" t="n"/>
      <c r="BNW1" s="87" t="n"/>
      <c r="BNX1" s="87" t="n"/>
      <c r="BNY1" s="87" t="n"/>
      <c r="BNZ1" s="87" t="n"/>
      <c r="BOA1" s="87" t="n"/>
      <c r="BOB1" s="87" t="n"/>
      <c r="BOC1" s="87" t="n"/>
      <c r="BOD1" s="87" t="n"/>
      <c r="BOE1" s="87" t="n"/>
      <c r="BOF1" s="87" t="n"/>
      <c r="BOG1" s="87" t="n"/>
      <c r="BOH1" s="87" t="n"/>
      <c r="BOI1" s="87" t="n"/>
      <c r="BOJ1" s="87" t="n"/>
      <c r="BOK1" s="87" t="n"/>
      <c r="BOL1" s="87" t="n"/>
      <c r="BOM1" s="87" t="n"/>
      <c r="BON1" s="87" t="n"/>
      <c r="BOO1" s="87" t="n"/>
      <c r="BOP1" s="87" t="n"/>
      <c r="BOQ1" s="87" t="n"/>
      <c r="BOR1" s="87" t="n"/>
      <c r="BOS1" s="87" t="n"/>
      <c r="BOT1" s="87" t="n"/>
      <c r="BOU1" s="87" t="n"/>
      <c r="BOV1" s="87" t="n"/>
      <c r="BOW1" s="87" t="n"/>
      <c r="BOX1" s="87" t="n"/>
      <c r="BOY1" s="87" t="n"/>
      <c r="BOZ1" s="87" t="n"/>
      <c r="BPA1" s="87" t="n"/>
      <c r="BPB1" s="87" t="n"/>
      <c r="BPC1" s="87" t="n"/>
      <c r="BPD1" s="87" t="n"/>
      <c r="BPE1" s="87" t="n"/>
      <c r="BPF1" s="87" t="n"/>
      <c r="BPG1" s="87" t="n"/>
      <c r="BPH1" s="87" t="n"/>
      <c r="BPI1" s="87" t="n"/>
      <c r="BPJ1" s="87" t="n"/>
      <c r="BPK1" s="87" t="n"/>
      <c r="BPL1" s="87" t="n"/>
      <c r="BPM1" s="87" t="n"/>
      <c r="BPN1" s="87" t="n"/>
      <c r="BPO1" s="87" t="n"/>
      <c r="BPP1" s="87" t="n"/>
      <c r="BPQ1" s="87" t="n"/>
      <c r="BPR1" s="87" t="n"/>
      <c r="BPS1" s="87" t="n"/>
      <c r="BPT1" s="87" t="n"/>
      <c r="BPU1" s="87" t="n"/>
      <c r="BPV1" s="87" t="n"/>
      <c r="BPW1" s="87" t="n"/>
      <c r="BPX1" s="87" t="n"/>
      <c r="BPY1" s="87" t="n"/>
      <c r="BPZ1" s="87" t="n"/>
      <c r="BQA1" s="87" t="n"/>
      <c r="BQB1" s="87" t="n"/>
      <c r="BQC1" s="87" t="n"/>
      <c r="BQD1" s="87" t="n"/>
      <c r="BQE1" s="87" t="n"/>
      <c r="BQF1" s="87" t="n"/>
      <c r="BQG1" s="87" t="n"/>
      <c r="BQH1" s="87" t="n"/>
      <c r="BQI1" s="87" t="n"/>
      <c r="BQJ1" s="87" t="n"/>
      <c r="BQK1" s="87" t="n"/>
      <c r="BQL1" s="87" t="n"/>
      <c r="BQM1" s="87" t="n"/>
      <c r="BQN1" s="87" t="n"/>
      <c r="BQO1" s="87" t="n"/>
      <c r="BQP1" s="87" t="n"/>
      <c r="BQQ1" s="87" t="n"/>
      <c r="BQR1" s="87" t="n"/>
      <c r="BQS1" s="87" t="n"/>
      <c r="BQT1" s="87" t="n"/>
      <c r="BQU1" s="87" t="n"/>
      <c r="BQV1" s="87" t="n"/>
      <c r="BQW1" s="87" t="n"/>
      <c r="BQX1" s="87" t="n"/>
      <c r="BQY1" s="87" t="n"/>
      <c r="BQZ1" s="87" t="n"/>
      <c r="BRA1" s="87" t="n"/>
      <c r="BRB1" s="87" t="n"/>
      <c r="BRC1" s="87" t="n"/>
      <c r="BRD1" s="87" t="n"/>
      <c r="BRE1" s="87" t="n"/>
      <c r="BRF1" s="87" t="n"/>
      <c r="BRG1" s="87" t="n"/>
      <c r="BRH1" s="87" t="n"/>
      <c r="BRI1" s="87" t="n"/>
      <c r="BRJ1" s="87" t="n"/>
      <c r="BRK1" s="87" t="n"/>
      <c r="BRL1" s="87" t="n"/>
      <c r="BRM1" s="87" t="n"/>
      <c r="BRN1" s="87" t="n"/>
      <c r="BRO1" s="87" t="n"/>
      <c r="BRP1" s="87" t="n"/>
      <c r="BRQ1" s="87" t="n"/>
      <c r="BRR1" s="87" t="n"/>
      <c r="BRS1" s="87" t="n"/>
      <c r="BRT1" s="87" t="n"/>
      <c r="BRU1" s="87" t="n"/>
      <c r="BRV1" s="87" t="n"/>
      <c r="BRW1" s="87" t="n"/>
      <c r="BRX1" s="87" t="n"/>
      <c r="BRY1" s="87" t="n"/>
      <c r="BRZ1" s="87" t="n"/>
      <c r="BSA1" s="87" t="n"/>
      <c r="BSB1" s="87" t="n"/>
      <c r="BSC1" s="87" t="n"/>
      <c r="BSD1" s="87" t="n"/>
      <c r="BSE1" s="87" t="n"/>
      <c r="BSF1" s="87" t="n"/>
      <c r="BSG1" s="87" t="n"/>
      <c r="BSH1" s="87" t="n"/>
      <c r="BSI1" s="87" t="n"/>
      <c r="BSJ1" s="87" t="n"/>
      <c r="BSK1" s="87" t="n"/>
      <c r="BSL1" s="87" t="n"/>
      <c r="BSM1" s="87" t="n"/>
      <c r="BSN1" s="87" t="n"/>
      <c r="BSO1" s="87" t="n"/>
      <c r="BSP1" s="87" t="n"/>
      <c r="BSQ1" s="87" t="n"/>
      <c r="BSR1" s="87" t="n"/>
      <c r="BSS1" s="87" t="n"/>
      <c r="BST1" s="87" t="n"/>
      <c r="BSU1" s="87" t="n"/>
      <c r="BSV1" s="87" t="n"/>
      <c r="BSW1" s="87" t="n"/>
      <c r="BSX1" s="87" t="n"/>
      <c r="BSY1" s="87" t="n"/>
      <c r="BSZ1" s="87" t="n"/>
      <c r="BTA1" s="87" t="n"/>
      <c r="BTB1" s="87" t="n"/>
      <c r="BTC1" s="87" t="n"/>
      <c r="BTD1" s="87" t="n"/>
      <c r="BTE1" s="87" t="n"/>
      <c r="BTF1" s="87" t="n"/>
      <c r="BTG1" s="87" t="n"/>
      <c r="BTH1" s="87" t="n"/>
      <c r="BTI1" s="87" t="n"/>
      <c r="BTJ1" s="87" t="n"/>
      <c r="BTK1" s="87" t="n"/>
      <c r="BTL1" s="87" t="n"/>
      <c r="BTM1" s="87" t="n"/>
      <c r="BTN1" s="87" t="n"/>
      <c r="BTO1" s="87" t="n"/>
      <c r="BTP1" s="87" t="n"/>
      <c r="BTQ1" s="87" t="n"/>
      <c r="BTR1" s="87" t="n"/>
      <c r="BTS1" s="87" t="n"/>
      <c r="BTT1" s="87" t="n"/>
      <c r="BTU1" s="87" t="n"/>
      <c r="BTV1" s="87" t="n"/>
      <c r="BTW1" s="87" t="n"/>
      <c r="BTX1" s="87" t="n"/>
      <c r="BTY1" s="87" t="n"/>
      <c r="BTZ1" s="87" t="n"/>
      <c r="BUA1" s="87" t="n"/>
      <c r="BUB1" s="87" t="n"/>
      <c r="BUC1" s="87" t="n"/>
      <c r="BUD1" s="87" t="n"/>
      <c r="BUE1" s="87" t="n"/>
      <c r="BUF1" s="87" t="n"/>
      <c r="BUG1" s="87" t="n"/>
      <c r="BUH1" s="87" t="n"/>
      <c r="BUI1" s="87" t="n"/>
      <c r="BUJ1" s="87" t="n"/>
      <c r="BUK1" s="87" t="n"/>
      <c r="BUL1" s="87" t="n"/>
      <c r="BUM1" s="87" t="n"/>
      <c r="BUN1" s="87" t="n"/>
      <c r="BUO1" s="87" t="n"/>
      <c r="BUP1" s="87" t="n"/>
      <c r="BUQ1" s="87" t="n"/>
      <c r="BUR1" s="87" t="n"/>
      <c r="BUS1" s="87" t="n"/>
      <c r="BUT1" s="87" t="n"/>
      <c r="BUU1" s="87" t="n"/>
      <c r="BUV1" s="87" t="n"/>
      <c r="BUW1" s="87" t="n"/>
      <c r="BUX1" s="87" t="n"/>
      <c r="BUY1" s="87" t="n"/>
      <c r="BUZ1" s="87" t="n"/>
      <c r="BVA1" s="87" t="n"/>
      <c r="BVB1" s="87" t="n"/>
      <c r="BVC1" s="87" t="n"/>
      <c r="BVD1" s="87" t="n"/>
      <c r="BVE1" s="87" t="n"/>
      <c r="BVF1" s="87" t="n"/>
      <c r="BVG1" s="87" t="n"/>
      <c r="BVH1" s="87" t="n"/>
      <c r="BVI1" s="87" t="n"/>
      <c r="BVJ1" s="87" t="n"/>
      <c r="BVK1" s="87" t="n"/>
      <c r="BVL1" s="87" t="n"/>
      <c r="BVM1" s="87" t="n"/>
      <c r="BVN1" s="87" t="n"/>
      <c r="BVO1" s="87" t="n"/>
      <c r="BVP1" s="87" t="n"/>
      <c r="BVQ1" s="87" t="n"/>
      <c r="BVR1" s="87" t="n"/>
      <c r="BVS1" s="87" t="n"/>
      <c r="BVT1" s="87" t="n"/>
      <c r="BVU1" s="87" t="n"/>
      <c r="BVV1" s="87" t="n"/>
      <c r="BVW1" s="87" t="n"/>
      <c r="BVX1" s="87" t="n"/>
      <c r="BVY1" s="87" t="n"/>
      <c r="BVZ1" s="87" t="n"/>
      <c r="BWA1" s="87" t="n"/>
      <c r="BWB1" s="87" t="n"/>
      <c r="BWC1" s="87" t="n"/>
      <c r="BWD1" s="87" t="n"/>
      <c r="BWE1" s="87" t="n"/>
      <c r="BWF1" s="87" t="n"/>
      <c r="BWG1" s="87" t="n"/>
      <c r="BWH1" s="87" t="n"/>
      <c r="BWI1" s="87" t="n"/>
      <c r="BWJ1" s="87" t="n"/>
      <c r="BWK1" s="87" t="n"/>
      <c r="BWL1" s="87" t="n"/>
      <c r="BWM1" s="87" t="n"/>
      <c r="BWN1" s="87" t="n"/>
      <c r="BWO1" s="87" t="n"/>
      <c r="BWP1" s="87" t="n"/>
      <c r="BWQ1" s="87" t="n"/>
      <c r="BWR1" s="87" t="n"/>
      <c r="BWS1" s="87" t="n"/>
      <c r="BWT1" s="87" t="n"/>
      <c r="BWU1" s="87" t="n"/>
      <c r="BWV1" s="87" t="n"/>
      <c r="BWW1" s="87" t="n"/>
      <c r="BWX1" s="87" t="n"/>
      <c r="BWY1" s="87" t="n"/>
      <c r="BWZ1" s="87" t="n"/>
      <c r="BXA1" s="87" t="n"/>
      <c r="BXB1" s="87" t="n"/>
      <c r="BXC1" s="87" t="n"/>
      <c r="BXD1" s="87" t="n"/>
      <c r="BXE1" s="87" t="n"/>
      <c r="BXF1" s="87" t="n"/>
      <c r="BXG1" s="87" t="n"/>
      <c r="BXH1" s="87" t="n"/>
      <c r="BXI1" s="87" t="n"/>
      <c r="BXJ1" s="87" t="n"/>
      <c r="BXK1" s="87" t="n"/>
      <c r="BXL1" s="87" t="n"/>
      <c r="BXM1" s="87" t="n"/>
      <c r="BXN1" s="87" t="n"/>
      <c r="BXO1" s="87" t="n"/>
      <c r="BXP1" s="87" t="n"/>
      <c r="BXQ1" s="87" t="n"/>
      <c r="BXR1" s="87" t="n"/>
      <c r="BXS1" s="87" t="n"/>
      <c r="BXT1" s="87" t="n"/>
      <c r="BXU1" s="87" t="n"/>
      <c r="BXV1" s="87" t="n"/>
      <c r="BXW1" s="87" t="n"/>
      <c r="BXX1" s="87" t="n"/>
      <c r="BXY1" s="87" t="n"/>
      <c r="BXZ1" s="87" t="n"/>
      <c r="BYA1" s="87" t="n"/>
      <c r="BYB1" s="87" t="n"/>
      <c r="BYC1" s="87" t="n"/>
      <c r="BYD1" s="87" t="n"/>
      <c r="BYE1" s="87" t="n"/>
      <c r="BYF1" s="87" t="n"/>
      <c r="BYG1" s="87" t="n"/>
      <c r="BYH1" s="87" t="n"/>
      <c r="BYI1" s="87" t="n"/>
      <c r="BYJ1" s="87" t="n"/>
      <c r="BYK1" s="87" t="n"/>
      <c r="BYL1" s="87" t="n"/>
      <c r="BYM1" s="87" t="n"/>
      <c r="BYN1" s="87" t="n"/>
      <c r="BYO1" s="87" t="n"/>
      <c r="BYP1" s="87" t="n"/>
      <c r="BYQ1" s="87" t="n"/>
      <c r="BYR1" s="87" t="n"/>
      <c r="BYS1" s="87" t="n"/>
      <c r="BYT1" s="87" t="n"/>
      <c r="BYU1" s="87" t="n"/>
      <c r="BYV1" s="87" t="n"/>
      <c r="BYW1" s="87" t="n"/>
      <c r="BYX1" s="87" t="n"/>
      <c r="BYY1" s="87" t="n"/>
      <c r="BYZ1" s="87" t="n"/>
      <c r="BZA1" s="87" t="n"/>
      <c r="BZB1" s="87" t="n"/>
      <c r="BZC1" s="87" t="n"/>
      <c r="BZD1" s="87" t="n"/>
      <c r="BZE1" s="87" t="n"/>
      <c r="BZF1" s="87" t="n"/>
      <c r="BZG1" s="87" t="n"/>
      <c r="BZH1" s="87" t="n"/>
      <c r="BZI1" s="87" t="n"/>
      <c r="BZJ1" s="87" t="n"/>
      <c r="BZK1" s="87" t="n"/>
      <c r="BZL1" s="87" t="n"/>
      <c r="BZM1" s="87" t="n"/>
      <c r="BZN1" s="87" t="n"/>
      <c r="BZO1" s="87" t="n"/>
      <c r="BZP1" s="87" t="n"/>
      <c r="BZQ1" s="87" t="n"/>
      <c r="BZR1" s="87" t="n"/>
      <c r="BZS1" s="87" t="n"/>
      <c r="BZT1" s="87" t="n"/>
      <c r="BZU1" s="87" t="n"/>
      <c r="BZV1" s="87" t="n"/>
      <c r="BZW1" s="87" t="n"/>
      <c r="BZX1" s="87" t="n"/>
      <c r="BZY1" s="87" t="n"/>
      <c r="BZZ1" s="87" t="n"/>
      <c r="CAA1" s="87" t="n"/>
      <c r="CAB1" s="87" t="n"/>
      <c r="CAC1" s="87" t="n"/>
      <c r="CAD1" s="87" t="n"/>
      <c r="CAE1" s="87" t="n"/>
      <c r="CAF1" s="87" t="n"/>
      <c r="CAG1" s="87" t="n"/>
      <c r="CAH1" s="87" t="n"/>
      <c r="CAI1" s="87" t="n"/>
      <c r="CAJ1" s="87" t="n"/>
      <c r="CAK1" s="87" t="n"/>
      <c r="CAL1" s="87" t="n"/>
      <c r="CAM1" s="87" t="n"/>
      <c r="CAN1" s="87" t="n"/>
      <c r="CAO1" s="87" t="n"/>
      <c r="CAP1" s="87" t="n"/>
      <c r="CAQ1" s="87" t="n"/>
      <c r="CAR1" s="87" t="n"/>
      <c r="CAS1" s="87" t="n"/>
      <c r="CAT1" s="87" t="n"/>
      <c r="CAU1" s="87" t="n"/>
      <c r="CAV1" s="87" t="n"/>
      <c r="CAW1" s="87" t="n"/>
      <c r="CAX1" s="87" t="n"/>
      <c r="CAY1" s="87" t="n"/>
      <c r="CAZ1" s="87" t="n"/>
      <c r="CBA1" s="87" t="n"/>
      <c r="CBB1" s="87" t="n"/>
      <c r="CBC1" s="87" t="n"/>
      <c r="CBD1" s="87" t="n"/>
      <c r="CBE1" s="87" t="n"/>
      <c r="CBF1" s="87" t="n"/>
      <c r="CBG1" s="87" t="n"/>
      <c r="CBH1" s="87" t="n"/>
      <c r="CBI1" s="87" t="n"/>
      <c r="CBJ1" s="87" t="n"/>
      <c r="CBK1" s="87" t="n"/>
      <c r="CBL1" s="87" t="n"/>
      <c r="CBM1" s="87" t="n"/>
      <c r="CBN1" s="87" t="n"/>
      <c r="CBO1" s="87" t="n"/>
      <c r="CBP1" s="87" t="n"/>
      <c r="CBQ1" s="87" t="n"/>
      <c r="CBR1" s="87" t="n"/>
      <c r="CBS1" s="87" t="n"/>
      <c r="CBT1" s="87" t="n"/>
      <c r="CBU1" s="87" t="n"/>
      <c r="CBV1" s="87" t="n"/>
      <c r="CBW1" s="87" t="n"/>
      <c r="CBX1" s="87" t="n"/>
      <c r="CBY1" s="87" t="n"/>
      <c r="CBZ1" s="87" t="n"/>
      <c r="CCA1" s="87" t="n"/>
      <c r="CCB1" s="87" t="n"/>
      <c r="CCC1" s="87" t="n"/>
      <c r="CCD1" s="87" t="n"/>
      <c r="CCE1" s="87" t="n"/>
      <c r="CCF1" s="87" t="n"/>
      <c r="CCG1" s="87" t="n"/>
      <c r="CCH1" s="87" t="n"/>
      <c r="CCI1" s="87" t="n"/>
      <c r="CCJ1" s="87" t="n"/>
      <c r="CCK1" s="87" t="n"/>
      <c r="CCL1" s="87" t="n"/>
      <c r="CCM1" s="87" t="n"/>
      <c r="CCN1" s="87" t="n"/>
      <c r="CCO1" s="87" t="n"/>
      <c r="CCP1" s="87" t="n"/>
      <c r="CCQ1" s="87" t="n"/>
      <c r="CCR1" s="87" t="n"/>
      <c r="CCS1" s="87" t="n"/>
      <c r="CCT1" s="87" t="n"/>
      <c r="CCU1" s="87" t="n"/>
      <c r="CCV1" s="87" t="n"/>
      <c r="CCW1" s="87" t="n"/>
      <c r="CCX1" s="87" t="n"/>
      <c r="CCY1" s="87" t="n"/>
      <c r="CCZ1" s="87" t="n"/>
      <c r="CDA1" s="87" t="n"/>
      <c r="CDB1" s="87" t="n"/>
      <c r="CDC1" s="87" t="n"/>
      <c r="CDD1" s="87" t="n"/>
      <c r="CDE1" s="87" t="n"/>
      <c r="CDF1" s="87" t="n"/>
      <c r="CDG1" s="87" t="n"/>
      <c r="CDH1" s="87" t="n"/>
      <c r="CDI1" s="87" t="n"/>
      <c r="CDJ1" s="87" t="n"/>
      <c r="CDK1" s="87" t="n"/>
      <c r="CDL1" s="87" t="n"/>
      <c r="CDM1" s="87" t="n"/>
      <c r="CDN1" s="87" t="n"/>
      <c r="CDO1" s="87" t="n"/>
      <c r="CDP1" s="87" t="n"/>
      <c r="CDQ1" s="87" t="n"/>
      <c r="CDR1" s="87" t="n"/>
      <c r="CDS1" s="87" t="n"/>
      <c r="CDT1" s="87" t="n"/>
      <c r="CDU1" s="87" t="n"/>
      <c r="CDV1" s="87" t="n"/>
      <c r="CDW1" s="87" t="n"/>
      <c r="CDX1" s="87" t="n"/>
      <c r="CDY1" s="87" t="n"/>
      <c r="CDZ1" s="87" t="n"/>
      <c r="CEA1" s="87" t="n"/>
      <c r="CEB1" s="87" t="n"/>
      <c r="CEC1" s="87" t="n"/>
      <c r="CED1" s="87" t="n"/>
      <c r="CEE1" s="87" t="n"/>
      <c r="CEF1" s="87" t="n"/>
      <c r="CEG1" s="87" t="n"/>
      <c r="CEH1" s="87" t="n"/>
      <c r="CEI1" s="87" t="n"/>
      <c r="CEJ1" s="87" t="n"/>
      <c r="CEK1" s="87" t="n"/>
      <c r="CEL1" s="87" t="n"/>
      <c r="CEM1" s="87" t="n"/>
      <c r="CEN1" s="87" t="n"/>
      <c r="CEO1" s="87" t="n"/>
      <c r="CEP1" s="87" t="n"/>
      <c r="CEQ1" s="87" t="n"/>
      <c r="CER1" s="87" t="n"/>
      <c r="CES1" s="87" t="n"/>
      <c r="CET1" s="87" t="n"/>
      <c r="CEU1" s="87" t="n"/>
      <c r="CEV1" s="87" t="n"/>
      <c r="CEW1" s="87" t="n"/>
      <c r="CEX1" s="87" t="n"/>
      <c r="CEY1" s="87" t="n"/>
      <c r="CEZ1" s="87" t="n"/>
      <c r="CFA1" s="87" t="n"/>
      <c r="CFB1" s="87" t="n"/>
      <c r="CFC1" s="87" t="n"/>
      <c r="CFD1" s="87" t="n"/>
      <c r="CFE1" s="87" t="n"/>
      <c r="CFF1" s="87" t="n"/>
      <c r="CFG1" s="87" t="n"/>
      <c r="CFH1" s="87" t="n"/>
      <c r="CFI1" s="87" t="n"/>
      <c r="CFJ1" s="87" t="n"/>
      <c r="CFK1" s="87" t="n"/>
      <c r="CFL1" s="87" t="n"/>
      <c r="CFM1" s="87" t="n"/>
      <c r="CFN1" s="87" t="n"/>
      <c r="CFO1" s="87" t="n"/>
      <c r="CFP1" s="87" t="n"/>
      <c r="CFQ1" s="87" t="n"/>
      <c r="CFR1" s="87" t="n"/>
      <c r="CFS1" s="87" t="n"/>
      <c r="CFT1" s="87" t="n"/>
      <c r="CFU1" s="87" t="n"/>
      <c r="CFV1" s="87" t="n"/>
      <c r="CFW1" s="87" t="n"/>
      <c r="CFX1" s="87" t="n"/>
      <c r="CFY1" s="87" t="n"/>
      <c r="CFZ1" s="87" t="n"/>
      <c r="CGA1" s="87" t="n"/>
      <c r="CGB1" s="87" t="n"/>
      <c r="CGC1" s="87" t="n"/>
      <c r="CGD1" s="87" t="n"/>
      <c r="CGE1" s="87" t="n"/>
      <c r="CGF1" s="87" t="n"/>
      <c r="CGG1" s="87" t="n"/>
      <c r="CGH1" s="87" t="n"/>
      <c r="CGI1" s="87" t="n"/>
      <c r="CGJ1" s="87" t="n"/>
      <c r="CGK1" s="87" t="n"/>
      <c r="CGL1" s="87" t="n"/>
      <c r="CGM1" s="87" t="n"/>
      <c r="CGN1" s="87" t="n"/>
      <c r="CGO1" s="87" t="n"/>
      <c r="CGP1" s="87" t="n"/>
      <c r="CGQ1" s="87" t="n"/>
      <c r="CGR1" s="87" t="n"/>
      <c r="CGS1" s="87" t="n"/>
      <c r="CGT1" s="87" t="n"/>
      <c r="CGU1" s="87" t="n"/>
      <c r="CGV1" s="87" t="n"/>
      <c r="CGW1" s="87" t="n"/>
      <c r="CGX1" s="87" t="n"/>
      <c r="CGY1" s="87" t="n"/>
      <c r="CGZ1" s="87" t="n"/>
      <c r="CHA1" s="87" t="n"/>
      <c r="CHB1" s="87" t="n"/>
      <c r="CHC1" s="87" t="n"/>
      <c r="CHD1" s="87" t="n"/>
      <c r="CHE1" s="87" t="n"/>
      <c r="CHF1" s="87" t="n"/>
      <c r="CHG1" s="87" t="n"/>
      <c r="CHH1" s="87" t="n"/>
      <c r="CHI1" s="87" t="n"/>
      <c r="CHJ1" s="87" t="n"/>
      <c r="CHK1" s="87" t="n"/>
      <c r="CHL1" s="87" t="n"/>
      <c r="CHM1" s="87" t="n"/>
      <c r="CHN1" s="87" t="n"/>
      <c r="CHO1" s="87" t="n"/>
      <c r="CHP1" s="87" t="n"/>
      <c r="CHQ1" s="87" t="n"/>
      <c r="CHR1" s="87" t="n"/>
      <c r="CHS1" s="87" t="n"/>
      <c r="CHT1" s="87" t="n"/>
      <c r="CHU1" s="87" t="n"/>
      <c r="CHV1" s="87" t="n"/>
      <c r="CHW1" s="87" t="n"/>
      <c r="CHX1" s="87" t="n"/>
      <c r="CHY1" s="87" t="n"/>
      <c r="CHZ1" s="87" t="n"/>
      <c r="CIA1" s="87" t="n"/>
      <c r="CIB1" s="87" t="n"/>
      <c r="CIC1" s="87" t="n"/>
      <c r="CID1" s="87" t="n"/>
      <c r="CIE1" s="87" t="n"/>
      <c r="CIF1" s="87" t="n"/>
      <c r="CIG1" s="87" t="n"/>
      <c r="CIH1" s="87" t="n"/>
      <c r="CII1" s="87" t="n"/>
      <c r="CIJ1" s="87" t="n"/>
      <c r="CIK1" s="87" t="n"/>
      <c r="CIL1" s="87" t="n"/>
      <c r="CIM1" s="87" t="n"/>
      <c r="CIN1" s="87" t="n"/>
      <c r="CIO1" s="87" t="n"/>
      <c r="CIP1" s="87" t="n"/>
      <c r="CIQ1" s="87" t="n"/>
      <c r="CIR1" s="87" t="n"/>
      <c r="CIS1" s="87" t="n"/>
      <c r="CIT1" s="87" t="n"/>
      <c r="CIU1" s="87" t="n"/>
      <c r="CIV1" s="87" t="n"/>
      <c r="CIW1" s="87" t="n"/>
      <c r="CIX1" s="87" t="n"/>
      <c r="CIY1" s="87" t="n"/>
      <c r="CIZ1" s="87" t="n"/>
      <c r="CJA1" s="87" t="n"/>
      <c r="CJB1" s="87" t="n"/>
      <c r="CJC1" s="87" t="n"/>
      <c r="CJD1" s="87" t="n"/>
      <c r="CJE1" s="87" t="n"/>
      <c r="CJF1" s="87" t="n"/>
      <c r="CJG1" s="87" t="n"/>
      <c r="CJH1" s="87" t="n"/>
      <c r="CJI1" s="87" t="n"/>
      <c r="CJJ1" s="87" t="n"/>
      <c r="CJK1" s="87" t="n"/>
      <c r="CJL1" s="87" t="n"/>
      <c r="CJM1" s="87" t="n"/>
      <c r="CJN1" s="87" t="n"/>
      <c r="CJO1" s="87" t="n"/>
      <c r="CJP1" s="87" t="n"/>
      <c r="CJQ1" s="87" t="n"/>
      <c r="CJR1" s="87" t="n"/>
      <c r="CJS1" s="87" t="n"/>
      <c r="CJT1" s="87" t="n"/>
      <c r="CJU1" s="87" t="n"/>
      <c r="CJV1" s="87" t="n"/>
      <c r="CJW1" s="87" t="n"/>
      <c r="CJX1" s="87" t="n"/>
      <c r="CJY1" s="87" t="n"/>
      <c r="CJZ1" s="87" t="n"/>
      <c r="CKA1" s="87" t="n"/>
      <c r="CKB1" s="87" t="n"/>
      <c r="CKC1" s="87" t="n"/>
      <c r="CKD1" s="87" t="n"/>
      <c r="CKE1" s="87" t="n"/>
      <c r="CKF1" s="87" t="n"/>
      <c r="CKG1" s="87" t="n"/>
      <c r="CKH1" s="87" t="n"/>
      <c r="CKI1" s="87" t="n"/>
      <c r="CKJ1" s="87" t="n"/>
      <c r="CKK1" s="87" t="n"/>
      <c r="CKL1" s="87" t="n"/>
      <c r="CKM1" s="87" t="n"/>
      <c r="CKN1" s="87" t="n"/>
      <c r="CKO1" s="87" t="n"/>
      <c r="CKP1" s="87" t="n"/>
      <c r="CKQ1" s="87" t="n"/>
      <c r="CKR1" s="87" t="n"/>
      <c r="CKS1" s="87" t="n"/>
      <c r="CKT1" s="87" t="n"/>
      <c r="CKU1" s="87" t="n"/>
      <c r="CKV1" s="87" t="n"/>
      <c r="CKW1" s="87" t="n"/>
      <c r="CKX1" s="87" t="n"/>
      <c r="CKY1" s="87" t="n"/>
      <c r="CKZ1" s="87" t="n"/>
      <c r="CLA1" s="87" t="n"/>
      <c r="CLB1" s="87" t="n"/>
      <c r="CLC1" s="87" t="n"/>
      <c r="CLD1" s="87" t="n"/>
      <c r="CLE1" s="87" t="n"/>
      <c r="CLF1" s="87" t="n"/>
      <c r="CLG1" s="87" t="n"/>
      <c r="CLH1" s="87" t="n"/>
      <c r="CLI1" s="87" t="n"/>
      <c r="CLJ1" s="87" t="n"/>
      <c r="CLK1" s="87" t="n"/>
      <c r="CLL1" s="87" t="n"/>
      <c r="CLM1" s="87" t="n"/>
      <c r="CLN1" s="87" t="n"/>
      <c r="CLO1" s="87" t="n"/>
      <c r="CLP1" s="87" t="n"/>
      <c r="CLQ1" s="87" t="n"/>
      <c r="CLR1" s="87" t="n"/>
      <c r="CLS1" s="87" t="n"/>
      <c r="CLT1" s="87" t="n"/>
      <c r="CLU1" s="87" t="n"/>
      <c r="CLV1" s="87" t="n"/>
      <c r="CLW1" s="87" t="n"/>
      <c r="CLX1" s="87" t="n"/>
      <c r="CLY1" s="87" t="n"/>
      <c r="CLZ1" s="87" t="n"/>
      <c r="CMA1" s="87" t="n"/>
      <c r="CMB1" s="87" t="n"/>
      <c r="CMC1" s="87" t="n"/>
      <c r="CMD1" s="87" t="n"/>
      <c r="CME1" s="87" t="n"/>
      <c r="CMF1" s="87" t="n"/>
      <c r="CMG1" s="87" t="n"/>
      <c r="CMH1" s="87" t="n"/>
      <c r="CMI1" s="87" t="n"/>
      <c r="CMJ1" s="87" t="n"/>
      <c r="CMK1" s="87" t="n"/>
      <c r="CML1" s="87" t="n"/>
      <c r="CMM1" s="87" t="n"/>
      <c r="CMN1" s="87" t="n"/>
      <c r="CMO1" s="87" t="n"/>
      <c r="CMP1" s="87" t="n"/>
      <c r="CMQ1" s="87" t="n"/>
      <c r="CMR1" s="87" t="n"/>
      <c r="CMS1" s="87" t="n"/>
      <c r="CMT1" s="87" t="n"/>
      <c r="CMU1" s="87" t="n"/>
      <c r="CMV1" s="87" t="n"/>
      <c r="CMW1" s="87" t="n"/>
      <c r="CMX1" s="87" t="n"/>
      <c r="CMY1" s="87" t="n"/>
      <c r="CMZ1" s="87" t="n"/>
      <c r="CNA1" s="87" t="n"/>
      <c r="CNB1" s="87" t="n"/>
      <c r="CNC1" s="87" t="n"/>
      <c r="CND1" s="87" t="n"/>
      <c r="CNE1" s="87" t="n"/>
      <c r="CNF1" s="87" t="n"/>
      <c r="CNG1" s="87" t="n"/>
      <c r="CNH1" s="87" t="n"/>
      <c r="CNI1" s="87" t="n"/>
      <c r="CNJ1" s="87" t="n"/>
      <c r="CNK1" s="87" t="n"/>
      <c r="CNL1" s="87" t="n"/>
      <c r="CNM1" s="87" t="n"/>
      <c r="CNN1" s="87" t="n"/>
      <c r="CNO1" s="87" t="n"/>
      <c r="CNP1" s="87" t="n"/>
      <c r="CNQ1" s="87" t="n"/>
      <c r="CNR1" s="87" t="n"/>
      <c r="CNS1" s="87" t="n"/>
      <c r="CNT1" s="87" t="n"/>
      <c r="CNU1" s="87" t="n"/>
      <c r="CNV1" s="87" t="n"/>
      <c r="CNW1" s="87" t="n"/>
      <c r="CNX1" s="87" t="n"/>
      <c r="CNY1" s="87" t="n"/>
      <c r="CNZ1" s="87" t="n"/>
      <c r="COA1" s="87" t="n"/>
      <c r="COB1" s="87" t="n"/>
      <c r="COC1" s="87" t="n"/>
      <c r="COD1" s="87" t="n"/>
      <c r="COE1" s="87" t="n"/>
      <c r="COF1" s="87" t="n"/>
      <c r="COG1" s="87" t="n"/>
      <c r="COH1" s="87" t="n"/>
      <c r="COI1" s="87" t="n"/>
      <c r="COJ1" s="87" t="n"/>
      <c r="COK1" s="87" t="n"/>
      <c r="COL1" s="87" t="n"/>
      <c r="COM1" s="87" t="n"/>
      <c r="CON1" s="87" t="n"/>
      <c r="COO1" s="87" t="n"/>
      <c r="COP1" s="87" t="n"/>
      <c r="COQ1" s="87" t="n"/>
      <c r="COR1" s="87" t="n"/>
      <c r="COS1" s="87" t="n"/>
      <c r="COT1" s="87" t="n"/>
      <c r="COU1" s="87" t="n"/>
      <c r="COV1" s="87" t="n"/>
      <c r="COW1" s="87" t="n"/>
      <c r="COX1" s="87" t="n"/>
      <c r="COY1" s="87" t="n"/>
      <c r="COZ1" s="87" t="n"/>
      <c r="CPA1" s="87" t="n"/>
      <c r="CPB1" s="87" t="n"/>
      <c r="CPC1" s="87" t="n"/>
      <c r="CPD1" s="87" t="n"/>
      <c r="CPE1" s="87" t="n"/>
      <c r="CPF1" s="87" t="n"/>
      <c r="CPG1" s="87" t="n"/>
      <c r="CPH1" s="87" t="n"/>
      <c r="CPI1" s="87" t="n"/>
      <c r="CPJ1" s="87" t="n"/>
      <c r="CPK1" s="87" t="n"/>
      <c r="CPL1" s="87" t="n"/>
      <c r="CPM1" s="87" t="n"/>
      <c r="CPN1" s="87" t="n"/>
      <c r="CPO1" s="87" t="n"/>
      <c r="CPP1" s="87" t="n"/>
      <c r="CPQ1" s="87" t="n"/>
      <c r="CPR1" s="87" t="n"/>
      <c r="CPS1" s="87" t="n"/>
      <c r="CPT1" s="87" t="n"/>
      <c r="CPU1" s="87" t="n"/>
      <c r="CPV1" s="87" t="n"/>
      <c r="CPW1" s="87" t="n"/>
      <c r="CPX1" s="87" t="n"/>
      <c r="CPY1" s="87" t="n"/>
      <c r="CPZ1" s="87" t="n"/>
      <c r="CQA1" s="87" t="n"/>
      <c r="CQB1" s="87" t="n"/>
      <c r="CQC1" s="87" t="n"/>
      <c r="CQD1" s="87" t="n"/>
      <c r="CQE1" s="87" t="n"/>
      <c r="CQF1" s="87" t="n"/>
      <c r="CQG1" s="87" t="n"/>
      <c r="CQH1" s="87" t="n"/>
      <c r="CQI1" s="87" t="n"/>
      <c r="CQJ1" s="87" t="n"/>
      <c r="CQK1" s="87" t="n"/>
      <c r="CQL1" s="87" t="n"/>
      <c r="CQM1" s="87" t="n"/>
      <c r="CQN1" s="87" t="n"/>
      <c r="CQO1" s="87" t="n"/>
      <c r="CQP1" s="87" t="n"/>
      <c r="CQQ1" s="87" t="n"/>
      <c r="CQR1" s="87" t="n"/>
      <c r="CQS1" s="87" t="n"/>
      <c r="CQT1" s="87" t="n"/>
      <c r="CQU1" s="87" t="n"/>
      <c r="CQV1" s="87" t="n"/>
      <c r="CQW1" s="87" t="n"/>
      <c r="CQX1" s="87" t="n"/>
      <c r="CQY1" s="87" t="n"/>
      <c r="CQZ1" s="87" t="n"/>
      <c r="CRA1" s="87" t="n"/>
      <c r="CRB1" s="87" t="n"/>
      <c r="CRC1" s="87" t="n"/>
      <c r="CRD1" s="87" t="n"/>
      <c r="CRE1" s="87" t="n"/>
      <c r="CRF1" s="87" t="n"/>
      <c r="CRG1" s="87" t="n"/>
      <c r="CRH1" s="87" t="n"/>
      <c r="CRI1" s="87" t="n"/>
      <c r="CRJ1" s="87" t="n"/>
      <c r="CRK1" s="87" t="n"/>
      <c r="CRL1" s="87" t="n"/>
      <c r="CRM1" s="87" t="n"/>
      <c r="CRN1" s="87" t="n"/>
      <c r="CRO1" s="87" t="n"/>
      <c r="CRP1" s="87" t="n"/>
      <c r="CRQ1" s="87" t="n"/>
      <c r="CRR1" s="87" t="n"/>
      <c r="CRS1" s="87" t="n"/>
      <c r="CRT1" s="87" t="n"/>
      <c r="CRU1" s="87" t="n"/>
      <c r="CRV1" s="87" t="n"/>
      <c r="CRW1" s="87" t="n"/>
      <c r="CRX1" s="87" t="n"/>
      <c r="CRY1" s="87" t="n"/>
      <c r="CRZ1" s="87" t="n"/>
      <c r="CSA1" s="87" t="n"/>
      <c r="CSB1" s="87" t="n"/>
      <c r="CSC1" s="87" t="n"/>
      <c r="CSD1" s="87" t="n"/>
      <c r="CSE1" s="87" t="n"/>
      <c r="CSF1" s="87" t="n"/>
      <c r="CSG1" s="87" t="n"/>
      <c r="CSH1" s="87" t="n"/>
      <c r="CSI1" s="87" t="n"/>
      <c r="CSJ1" s="87" t="n"/>
      <c r="CSK1" s="87" t="n"/>
      <c r="CSL1" s="87" t="n"/>
      <c r="CSM1" s="87" t="n"/>
      <c r="CSN1" s="87" t="n"/>
      <c r="CSO1" s="87" t="n"/>
      <c r="CSP1" s="87" t="n"/>
      <c r="CSQ1" s="87" t="n"/>
      <c r="CSR1" s="87" t="n"/>
      <c r="CSS1" s="87" t="n"/>
      <c r="CST1" s="87" t="n"/>
      <c r="CSU1" s="87" t="n"/>
      <c r="CSV1" s="87" t="n"/>
      <c r="CSW1" s="87" t="n"/>
      <c r="CSX1" s="87" t="n"/>
      <c r="CSY1" s="87" t="n"/>
      <c r="CSZ1" s="87" t="n"/>
      <c r="CTA1" s="87" t="n"/>
      <c r="CTB1" s="87" t="n"/>
      <c r="CTC1" s="87" t="n"/>
      <c r="CTD1" s="87" t="n"/>
      <c r="CTE1" s="87" t="n"/>
      <c r="CTF1" s="87" t="n"/>
      <c r="CTG1" s="87" t="n"/>
      <c r="CTH1" s="87" t="n"/>
      <c r="CTI1" s="87" t="n"/>
      <c r="CTJ1" s="87" t="n"/>
      <c r="CTK1" s="87" t="n"/>
      <c r="CTL1" s="87" t="n"/>
      <c r="CTM1" s="87" t="n"/>
      <c r="CTN1" s="87" t="n"/>
      <c r="CTO1" s="87" t="n"/>
      <c r="CTP1" s="87" t="n"/>
      <c r="CTQ1" s="87" t="n"/>
      <c r="CTR1" s="87" t="n"/>
      <c r="CTS1" s="87" t="n"/>
      <c r="CTT1" s="87" t="n"/>
      <c r="CTU1" s="87" t="n"/>
      <c r="CTV1" s="87" t="n"/>
      <c r="CTW1" s="87" t="n"/>
      <c r="CTX1" s="87" t="n"/>
      <c r="CTY1" s="87" t="n"/>
      <c r="CTZ1" s="87" t="n"/>
      <c r="CUA1" s="87" t="n"/>
      <c r="CUB1" s="87" t="n"/>
      <c r="CUC1" s="87" t="n"/>
      <c r="CUD1" s="87" t="n"/>
      <c r="CUE1" s="87" t="n"/>
      <c r="CUF1" s="87" t="n"/>
      <c r="CUG1" s="87" t="n"/>
      <c r="CUH1" s="87" t="n"/>
      <c r="CUI1" s="87" t="n"/>
      <c r="CUJ1" s="87" t="n"/>
      <c r="CUK1" s="87" t="n"/>
      <c r="CUL1" s="87" t="n"/>
      <c r="CUM1" s="87" t="n"/>
      <c r="CUN1" s="87" t="n"/>
      <c r="CUO1" s="87" t="n"/>
      <c r="CUP1" s="87" t="n"/>
      <c r="CUQ1" s="87" t="n"/>
      <c r="CUR1" s="87" t="n"/>
      <c r="CUS1" s="87" t="n"/>
      <c r="CUT1" s="87" t="n"/>
      <c r="CUU1" s="87" t="n"/>
      <c r="CUV1" s="87" t="n"/>
      <c r="CUW1" s="87" t="n"/>
      <c r="CUX1" s="87" t="n"/>
      <c r="CUY1" s="87" t="n"/>
      <c r="CUZ1" s="87" t="n"/>
      <c r="CVA1" s="87" t="n"/>
      <c r="CVB1" s="87" t="n"/>
      <c r="CVC1" s="87" t="n"/>
      <c r="CVD1" s="87" t="n"/>
      <c r="CVE1" s="87" t="n"/>
      <c r="CVF1" s="87" t="n"/>
      <c r="CVG1" s="87" t="n"/>
      <c r="CVH1" s="87" t="n"/>
      <c r="CVI1" s="87" t="n"/>
      <c r="CVJ1" s="87" t="n"/>
      <c r="CVK1" s="87" t="n"/>
      <c r="CVL1" s="87" t="n"/>
      <c r="CVM1" s="87" t="n"/>
      <c r="CVN1" s="87" t="n"/>
      <c r="CVO1" s="87" t="n"/>
      <c r="CVP1" s="87" t="n"/>
      <c r="CVQ1" s="87" t="n"/>
      <c r="CVR1" s="87" t="n"/>
      <c r="CVS1" s="87" t="n"/>
      <c r="CVT1" s="87" t="n"/>
      <c r="CVU1" s="87" t="n"/>
      <c r="CVV1" s="87" t="n"/>
      <c r="CVW1" s="87" t="n"/>
      <c r="CVX1" s="87" t="n"/>
      <c r="CVY1" s="87" t="n"/>
      <c r="CVZ1" s="87" t="n"/>
      <c r="CWA1" s="87" t="n"/>
      <c r="CWB1" s="87" t="n"/>
      <c r="CWC1" s="87" t="n"/>
      <c r="CWD1" s="87" t="n"/>
      <c r="CWE1" s="87" t="n"/>
      <c r="CWF1" s="87" t="n"/>
      <c r="CWG1" s="87" t="n"/>
      <c r="CWH1" s="87" t="n"/>
      <c r="CWI1" s="87" t="n"/>
      <c r="CWJ1" s="87" t="n"/>
      <c r="CWK1" s="87" t="n"/>
      <c r="CWL1" s="87" t="n"/>
      <c r="CWM1" s="87" t="n"/>
      <c r="CWN1" s="87" t="n"/>
      <c r="CWO1" s="87" t="n"/>
      <c r="CWP1" s="87" t="n"/>
      <c r="CWQ1" s="87" t="n"/>
      <c r="CWR1" s="87" t="n"/>
      <c r="CWS1" s="87" t="n"/>
      <c r="CWT1" s="87" t="n"/>
      <c r="CWU1" s="87" t="n"/>
      <c r="CWV1" s="87" t="n"/>
      <c r="CWW1" s="87" t="n"/>
      <c r="CWX1" s="87" t="n"/>
      <c r="CWY1" s="87" t="n"/>
      <c r="CWZ1" s="87" t="n"/>
      <c r="CXA1" s="87" t="n"/>
      <c r="CXB1" s="87" t="n"/>
      <c r="CXC1" s="87" t="n"/>
      <c r="CXD1" s="87" t="n"/>
      <c r="CXE1" s="87" t="n"/>
      <c r="CXF1" s="87" t="n"/>
      <c r="CXG1" s="87" t="n"/>
      <c r="CXH1" s="87" t="n"/>
      <c r="CXI1" s="87" t="n"/>
      <c r="CXJ1" s="87" t="n"/>
      <c r="CXK1" s="87" t="n"/>
      <c r="CXL1" s="87" t="n"/>
      <c r="CXM1" s="87" t="n"/>
      <c r="CXN1" s="87" t="n"/>
      <c r="CXO1" s="87" t="n"/>
      <c r="CXP1" s="87" t="n"/>
      <c r="CXQ1" s="87" t="n"/>
      <c r="CXR1" s="87" t="n"/>
      <c r="CXS1" s="87" t="n"/>
      <c r="CXT1" s="87" t="n"/>
      <c r="CXU1" s="87" t="n"/>
      <c r="CXV1" s="87" t="n"/>
      <c r="CXW1" s="87" t="n"/>
      <c r="CXX1" s="87" t="n"/>
      <c r="CXY1" s="87" t="n"/>
      <c r="CXZ1" s="87" t="n"/>
      <c r="CYA1" s="87" t="n"/>
      <c r="CYB1" s="87" t="n"/>
      <c r="CYC1" s="87" t="n"/>
      <c r="CYD1" s="87" t="n"/>
      <c r="CYE1" s="87" t="n"/>
      <c r="CYF1" s="87" t="n"/>
      <c r="CYG1" s="87" t="n"/>
      <c r="CYH1" s="87" t="n"/>
      <c r="CYI1" s="87" t="n"/>
      <c r="CYJ1" s="87" t="n"/>
      <c r="CYK1" s="87" t="n"/>
      <c r="CYL1" s="87" t="n"/>
      <c r="CYM1" s="87" t="n"/>
      <c r="CYN1" s="87" t="n"/>
      <c r="CYO1" s="87" t="n"/>
      <c r="CYP1" s="87" t="n"/>
      <c r="CYQ1" s="87" t="n"/>
      <c r="CYR1" s="87" t="n"/>
      <c r="CYS1" s="87" t="n"/>
      <c r="CYT1" s="87" t="n"/>
      <c r="CYU1" s="87" t="n"/>
      <c r="CYV1" s="87" t="n"/>
      <c r="CYW1" s="87" t="n"/>
      <c r="CYX1" s="87" t="n"/>
      <c r="CYY1" s="87" t="n"/>
      <c r="CYZ1" s="87" t="n"/>
      <c r="CZA1" s="87" t="n"/>
      <c r="CZB1" s="87" t="n"/>
      <c r="CZC1" s="87" t="n"/>
      <c r="CZD1" s="87" t="n"/>
      <c r="CZE1" s="87" t="n"/>
      <c r="CZF1" s="87" t="n"/>
      <c r="CZG1" s="87" t="n"/>
      <c r="CZH1" s="87" t="n"/>
      <c r="CZI1" s="87" t="n"/>
      <c r="CZJ1" s="87" t="n"/>
      <c r="CZK1" s="87" t="n"/>
      <c r="CZL1" s="87" t="n"/>
      <c r="CZM1" s="87" t="n"/>
      <c r="CZN1" s="87" t="n"/>
      <c r="CZO1" s="87" t="n"/>
      <c r="CZP1" s="87" t="n"/>
      <c r="CZQ1" s="87" t="n"/>
      <c r="CZR1" s="87" t="n"/>
      <c r="CZS1" s="87" t="n"/>
      <c r="CZT1" s="87" t="n"/>
      <c r="CZU1" s="87" t="n"/>
      <c r="CZV1" s="87" t="n"/>
      <c r="CZW1" s="87" t="n"/>
      <c r="CZX1" s="87" t="n"/>
      <c r="CZY1" s="87" t="n"/>
      <c r="CZZ1" s="87" t="n"/>
      <c r="DAA1" s="87" t="n"/>
      <c r="DAB1" s="87" t="n"/>
      <c r="DAC1" s="87" t="n"/>
      <c r="DAD1" s="87" t="n"/>
      <c r="DAE1" s="87" t="n"/>
      <c r="DAF1" s="87" t="n"/>
      <c r="DAG1" s="87" t="n"/>
      <c r="DAH1" s="87" t="n"/>
      <c r="DAI1" s="87" t="n"/>
      <c r="DAJ1" s="87" t="n"/>
      <c r="DAK1" s="87" t="n"/>
      <c r="DAL1" s="87" t="n"/>
      <c r="DAM1" s="87" t="n"/>
      <c r="DAN1" s="87" t="n"/>
      <c r="DAO1" s="87" t="n"/>
      <c r="DAP1" s="87" t="n"/>
      <c r="DAQ1" s="87" t="n"/>
      <c r="DAR1" s="87" t="n"/>
      <c r="DAS1" s="87" t="n"/>
      <c r="DAT1" s="87" t="n"/>
      <c r="DAU1" s="87" t="n"/>
      <c r="DAV1" s="87" t="n"/>
      <c r="DAW1" s="87" t="n"/>
      <c r="DAX1" s="87" t="n"/>
      <c r="DAY1" s="87" t="n"/>
      <c r="DAZ1" s="87" t="n"/>
      <c r="DBA1" s="87" t="n"/>
      <c r="DBB1" s="87" t="n"/>
      <c r="DBC1" s="87" t="n"/>
      <c r="DBD1" s="87" t="n"/>
      <c r="DBE1" s="87" t="n"/>
      <c r="DBF1" s="87" t="n"/>
      <c r="DBG1" s="87" t="n"/>
      <c r="DBH1" s="87" t="n"/>
      <c r="DBI1" s="87" t="n"/>
      <c r="DBJ1" s="87" t="n"/>
      <c r="DBK1" s="87" t="n"/>
      <c r="DBL1" s="87" t="n"/>
      <c r="DBM1" s="87" t="n"/>
      <c r="DBN1" s="87" t="n"/>
      <c r="DBO1" s="87" t="n"/>
      <c r="DBP1" s="87" t="n"/>
      <c r="DBQ1" s="87" t="n"/>
      <c r="DBR1" s="87" t="n"/>
      <c r="DBS1" s="87" t="n"/>
      <c r="DBT1" s="87" t="n"/>
      <c r="DBU1" s="87" t="n"/>
      <c r="DBV1" s="87" t="n"/>
      <c r="DBW1" s="87" t="n"/>
      <c r="DBX1" s="87" t="n"/>
      <c r="DBY1" s="87" t="n"/>
      <c r="DBZ1" s="87" t="n"/>
      <c r="DCA1" s="87" t="n"/>
      <c r="DCB1" s="87" t="n"/>
      <c r="DCC1" s="87" t="n"/>
      <c r="DCD1" s="87" t="n"/>
      <c r="DCE1" s="87" t="n"/>
      <c r="DCF1" s="87" t="n"/>
      <c r="DCG1" s="87" t="n"/>
      <c r="DCH1" s="87" t="n"/>
      <c r="DCI1" s="87" t="n"/>
      <c r="DCJ1" s="87" t="n"/>
      <c r="DCK1" s="87" t="n"/>
      <c r="DCL1" s="87" t="n"/>
      <c r="DCM1" s="87" t="n"/>
      <c r="DCN1" s="87" t="n"/>
      <c r="DCO1" s="87" t="n"/>
      <c r="DCP1" s="87" t="n"/>
      <c r="DCQ1" s="87" t="n"/>
      <c r="DCR1" s="87" t="n"/>
      <c r="DCS1" s="87" t="n"/>
      <c r="DCT1" s="87" t="n"/>
      <c r="DCU1" s="87" t="n"/>
      <c r="DCV1" s="87" t="n"/>
      <c r="DCW1" s="87" t="n"/>
      <c r="DCX1" s="87" t="n"/>
      <c r="DCY1" s="87" t="n"/>
      <c r="DCZ1" s="87" t="n"/>
      <c r="DDA1" s="87" t="n"/>
      <c r="DDB1" s="87" t="n"/>
      <c r="DDC1" s="87" t="n"/>
      <c r="DDD1" s="87" t="n"/>
      <c r="DDE1" s="87" t="n"/>
      <c r="DDF1" s="87" t="n"/>
      <c r="DDG1" s="87" t="n"/>
      <c r="DDH1" s="87" t="n"/>
      <c r="DDI1" s="87" t="n"/>
      <c r="DDJ1" s="87" t="n"/>
      <c r="DDK1" s="87" t="n"/>
      <c r="DDL1" s="87" t="n"/>
      <c r="DDM1" s="87" t="n"/>
      <c r="DDN1" s="87" t="n"/>
      <c r="DDO1" s="87" t="n"/>
      <c r="DDP1" s="87" t="n"/>
      <c r="DDQ1" s="87" t="n"/>
      <c r="DDR1" s="87" t="n"/>
      <c r="DDS1" s="87" t="n"/>
      <c r="DDT1" s="87" t="n"/>
      <c r="DDU1" s="87" t="n"/>
      <c r="DDV1" s="87" t="n"/>
      <c r="DDW1" s="87" t="n"/>
      <c r="DDX1" s="87" t="n"/>
      <c r="DDY1" s="87" t="n"/>
      <c r="DDZ1" s="87" t="n"/>
      <c r="DEA1" s="87" t="n"/>
      <c r="DEB1" s="87" t="n"/>
      <c r="DEC1" s="87" t="n"/>
      <c r="DED1" s="87" t="n"/>
      <c r="DEE1" s="87" t="n"/>
      <c r="DEF1" s="87" t="n"/>
      <c r="DEG1" s="87" t="n"/>
      <c r="DEH1" s="87" t="n"/>
      <c r="DEI1" s="87" t="n"/>
      <c r="DEJ1" s="87" t="n"/>
      <c r="DEK1" s="87" t="n"/>
      <c r="DEL1" s="87" t="n"/>
      <c r="DEM1" s="87" t="n"/>
      <c r="DEN1" s="87" t="n"/>
      <c r="DEO1" s="87" t="n"/>
      <c r="DEP1" s="87" t="n"/>
      <c r="DEQ1" s="87" t="n"/>
      <c r="DER1" s="87" t="n"/>
      <c r="DES1" s="87" t="n"/>
      <c r="DET1" s="87" t="n"/>
      <c r="DEU1" s="87" t="n"/>
      <c r="DEV1" s="87" t="n"/>
      <c r="DEW1" s="87" t="n"/>
      <c r="DEX1" s="87" t="n"/>
      <c r="DEY1" s="87" t="n"/>
      <c r="DEZ1" s="87" t="n"/>
      <c r="DFA1" s="87" t="n"/>
      <c r="DFB1" s="87" t="n"/>
      <c r="DFC1" s="87" t="n"/>
      <c r="DFD1" s="87" t="n"/>
      <c r="DFE1" s="87" t="n"/>
      <c r="DFF1" s="87" t="n"/>
      <c r="DFG1" s="87" t="n"/>
      <c r="DFH1" s="87" t="n"/>
      <c r="DFI1" s="87" t="n"/>
      <c r="DFJ1" s="87" t="n"/>
      <c r="DFK1" s="87" t="n"/>
      <c r="DFL1" s="87" t="n"/>
      <c r="DFM1" s="87" t="n"/>
      <c r="DFN1" s="87" t="n"/>
      <c r="DFO1" s="87" t="n"/>
      <c r="DFP1" s="87" t="n"/>
      <c r="DFQ1" s="87" t="n"/>
      <c r="DFR1" s="87" t="n"/>
      <c r="DFS1" s="87" t="n"/>
      <c r="DFT1" s="87" t="n"/>
      <c r="DFU1" s="87" t="n"/>
      <c r="DFV1" s="87" t="n"/>
      <c r="DFW1" s="87" t="n"/>
      <c r="DFX1" s="87" t="n"/>
      <c r="DFY1" s="87" t="n"/>
      <c r="DFZ1" s="87" t="n"/>
      <c r="DGA1" s="87" t="n"/>
      <c r="DGB1" s="87" t="n"/>
      <c r="DGC1" s="87" t="n"/>
      <c r="DGD1" s="87" t="n"/>
      <c r="DGE1" s="87" t="n"/>
      <c r="DGF1" s="87" t="n"/>
      <c r="DGG1" s="87" t="n"/>
      <c r="DGH1" s="87" t="n"/>
      <c r="DGI1" s="87" t="n"/>
      <c r="DGJ1" s="87" t="n"/>
      <c r="DGK1" s="87" t="n"/>
      <c r="DGL1" s="87" t="n"/>
      <c r="DGM1" s="87" t="n"/>
      <c r="DGN1" s="87" t="n"/>
      <c r="DGO1" s="87" t="n"/>
      <c r="DGP1" s="87" t="n"/>
      <c r="DGQ1" s="87" t="n"/>
      <c r="DGR1" s="87" t="n"/>
      <c r="DGS1" s="87" t="n"/>
      <c r="DGT1" s="87" t="n"/>
      <c r="DGU1" s="87" t="n"/>
      <c r="DGV1" s="87" t="n"/>
      <c r="DGW1" s="87" t="n"/>
      <c r="DGX1" s="87" t="n"/>
      <c r="DGY1" s="87" t="n"/>
      <c r="DGZ1" s="87" t="n"/>
      <c r="DHA1" s="87" t="n"/>
      <c r="DHB1" s="87" t="n"/>
      <c r="DHC1" s="87" t="n"/>
      <c r="DHD1" s="87" t="n"/>
      <c r="DHE1" s="87" t="n"/>
      <c r="DHF1" s="87" t="n"/>
      <c r="DHG1" s="87" t="n"/>
      <c r="DHH1" s="87" t="n"/>
      <c r="DHI1" s="87" t="n"/>
      <c r="DHJ1" s="87" t="n"/>
      <c r="DHK1" s="87" t="n"/>
      <c r="DHL1" s="87" t="n"/>
      <c r="DHM1" s="87" t="n"/>
      <c r="DHN1" s="87" t="n"/>
      <c r="DHO1" s="87" t="n"/>
      <c r="DHP1" s="87" t="n"/>
      <c r="DHQ1" s="87" t="n"/>
      <c r="DHR1" s="87" t="n"/>
      <c r="DHS1" s="87" t="n"/>
      <c r="DHT1" s="87" t="n"/>
      <c r="DHU1" s="87" t="n"/>
      <c r="DHV1" s="87" t="n"/>
      <c r="DHW1" s="87" t="n"/>
      <c r="DHX1" s="87" t="n"/>
      <c r="DHY1" s="87" t="n"/>
      <c r="DHZ1" s="87" t="n"/>
      <c r="DIA1" s="87" t="n"/>
      <c r="DIB1" s="87" t="n"/>
      <c r="DIC1" s="87" t="n"/>
      <c r="DID1" s="87" t="n"/>
      <c r="DIE1" s="87" t="n"/>
      <c r="DIF1" s="87" t="n"/>
      <c r="DIG1" s="87" t="n"/>
      <c r="DIH1" s="87" t="n"/>
      <c r="DII1" s="87" t="n"/>
      <c r="DIJ1" s="87" t="n"/>
      <c r="DIK1" s="87" t="n"/>
      <c r="DIL1" s="87" t="n"/>
      <c r="DIM1" s="87" t="n"/>
      <c r="DIN1" s="87" t="n"/>
      <c r="DIO1" s="87" t="n"/>
      <c r="DIP1" s="87" t="n"/>
      <c r="DIQ1" s="87" t="n"/>
      <c r="DIR1" s="87" t="n"/>
      <c r="DIS1" s="87" t="n"/>
      <c r="DIT1" s="87" t="n"/>
      <c r="DIU1" s="87" t="n"/>
      <c r="DIV1" s="87" t="n"/>
      <c r="DIW1" s="87" t="n"/>
      <c r="DIX1" s="87" t="n"/>
      <c r="DIY1" s="87" t="n"/>
      <c r="DIZ1" s="87" t="n"/>
      <c r="DJA1" s="87" t="n"/>
      <c r="DJB1" s="87" t="n"/>
      <c r="DJC1" s="87" t="n"/>
      <c r="DJD1" s="87" t="n"/>
      <c r="DJE1" s="87" t="n"/>
      <c r="DJF1" s="87" t="n"/>
      <c r="DJG1" s="87" t="n"/>
      <c r="DJH1" s="87" t="n"/>
      <c r="DJI1" s="87" t="n"/>
      <c r="DJJ1" s="87" t="n"/>
      <c r="DJK1" s="87" t="n"/>
      <c r="DJL1" s="87" t="n"/>
      <c r="DJM1" s="87" t="n"/>
      <c r="DJN1" s="87" t="n"/>
      <c r="DJO1" s="87" t="n"/>
      <c r="DJP1" s="87" t="n"/>
      <c r="DJQ1" s="87" t="n"/>
      <c r="DJR1" s="87" t="n"/>
      <c r="DJS1" s="87" t="n"/>
      <c r="DJT1" s="87" t="n"/>
      <c r="DJU1" s="87" t="n"/>
      <c r="DJV1" s="87" t="n"/>
      <c r="DJW1" s="87" t="n"/>
      <c r="DJX1" s="87" t="n"/>
      <c r="DJY1" s="87" t="n"/>
      <c r="DJZ1" s="87" t="n"/>
      <c r="DKA1" s="87" t="n"/>
      <c r="DKB1" s="87" t="n"/>
      <c r="DKC1" s="87" t="n"/>
      <c r="DKD1" s="87" t="n"/>
      <c r="DKE1" s="87" t="n"/>
      <c r="DKF1" s="87" t="n"/>
      <c r="DKG1" s="87" t="n"/>
      <c r="DKH1" s="87" t="n"/>
      <c r="DKI1" s="87" t="n"/>
      <c r="DKJ1" s="87" t="n"/>
      <c r="DKK1" s="87" t="n"/>
      <c r="DKL1" s="87" t="n"/>
      <c r="DKM1" s="87" t="n"/>
      <c r="DKN1" s="87" t="n"/>
      <c r="DKO1" s="87" t="n"/>
      <c r="DKP1" s="87" t="n"/>
      <c r="DKQ1" s="87" t="n"/>
      <c r="DKR1" s="87" t="n"/>
      <c r="DKS1" s="87" t="n"/>
      <c r="DKT1" s="87" t="n"/>
      <c r="DKU1" s="87" t="n"/>
      <c r="DKV1" s="87" t="n"/>
      <c r="DKW1" s="87" t="n"/>
      <c r="DKX1" s="87" t="n"/>
      <c r="DKY1" s="87" t="n"/>
      <c r="DKZ1" s="87" t="n"/>
      <c r="DLA1" s="87" t="n"/>
      <c r="DLB1" s="87" t="n"/>
      <c r="DLC1" s="87" t="n"/>
      <c r="DLD1" s="87" t="n"/>
      <c r="DLE1" s="87" t="n"/>
      <c r="DLF1" s="87" t="n"/>
      <c r="DLG1" s="87" t="n"/>
      <c r="DLH1" s="87" t="n"/>
      <c r="DLI1" s="87" t="n"/>
      <c r="DLJ1" s="87" t="n"/>
      <c r="DLK1" s="87" t="n"/>
      <c r="DLL1" s="87" t="n"/>
      <c r="DLM1" s="87" t="n"/>
      <c r="DLN1" s="87" t="n"/>
      <c r="DLO1" s="87" t="n"/>
      <c r="DLP1" s="87" t="n"/>
      <c r="DLQ1" s="87" t="n"/>
      <c r="DLR1" s="87" t="n"/>
      <c r="DLS1" s="87" t="n"/>
      <c r="DLT1" s="87" t="n"/>
      <c r="DLU1" s="87" t="n"/>
      <c r="DLV1" s="87" t="n"/>
      <c r="DLW1" s="87" t="n"/>
      <c r="DLX1" s="87" t="n"/>
      <c r="DLY1" s="87" t="n"/>
      <c r="DLZ1" s="87" t="n"/>
      <c r="DMA1" s="87" t="n"/>
      <c r="DMB1" s="87" t="n"/>
      <c r="DMC1" s="87" t="n"/>
      <c r="DMD1" s="87" t="n"/>
      <c r="DME1" s="87" t="n"/>
      <c r="DMF1" s="87" t="n"/>
      <c r="DMG1" s="87" t="n"/>
      <c r="DMH1" s="87" t="n"/>
      <c r="DMI1" s="87" t="n"/>
      <c r="DMJ1" s="87" t="n"/>
      <c r="DMK1" s="87" t="n"/>
      <c r="DML1" s="87" t="n"/>
      <c r="DMM1" s="87" t="n"/>
      <c r="DMN1" s="87" t="n"/>
      <c r="DMO1" s="87" t="n"/>
      <c r="DMP1" s="87" t="n"/>
      <c r="DMQ1" s="87" t="n"/>
      <c r="DMR1" s="87" t="n"/>
      <c r="DMS1" s="87" t="n"/>
      <c r="DMT1" s="87" t="n"/>
      <c r="DMU1" s="87" t="n"/>
      <c r="DMV1" s="87" t="n"/>
      <c r="DMW1" s="87" t="n"/>
      <c r="DMX1" s="87" t="n"/>
      <c r="DMY1" s="87" t="n"/>
      <c r="DMZ1" s="87" t="n"/>
      <c r="DNA1" s="87" t="n"/>
      <c r="DNB1" s="87" t="n"/>
      <c r="DNC1" s="87" t="n"/>
      <c r="DND1" s="87" t="n"/>
      <c r="DNE1" s="87" t="n"/>
      <c r="DNF1" s="87" t="n"/>
      <c r="DNG1" s="87" t="n"/>
      <c r="DNH1" s="87" t="n"/>
      <c r="DNI1" s="87" t="n"/>
      <c r="DNJ1" s="87" t="n"/>
      <c r="DNK1" s="87" t="n"/>
      <c r="DNL1" s="87" t="n"/>
      <c r="DNM1" s="87" t="n"/>
      <c r="DNN1" s="87" t="n"/>
      <c r="DNO1" s="87" t="n"/>
      <c r="DNP1" s="87" t="n"/>
      <c r="DNQ1" s="87" t="n"/>
      <c r="DNR1" s="87" t="n"/>
      <c r="DNS1" s="87" t="n"/>
      <c r="DNT1" s="87" t="n"/>
      <c r="DNU1" s="87" t="n"/>
      <c r="DNV1" s="87" t="n"/>
      <c r="DNW1" s="87" t="n"/>
      <c r="DNX1" s="87" t="n"/>
      <c r="DNY1" s="87" t="n"/>
      <c r="DNZ1" s="87" t="n"/>
      <c r="DOA1" s="87" t="n"/>
      <c r="DOB1" s="87" t="n"/>
      <c r="DOC1" s="87" t="n"/>
      <c r="DOD1" s="87" t="n"/>
      <c r="DOE1" s="87" t="n"/>
      <c r="DOF1" s="87" t="n"/>
      <c r="DOG1" s="87" t="n"/>
      <c r="DOH1" s="87" t="n"/>
      <c r="DOI1" s="87" t="n"/>
      <c r="DOJ1" s="87" t="n"/>
      <c r="DOK1" s="87" t="n"/>
      <c r="DOL1" s="87" t="n"/>
      <c r="DOM1" s="87" t="n"/>
      <c r="DON1" s="87" t="n"/>
      <c r="DOO1" s="87" t="n"/>
      <c r="DOP1" s="87" t="n"/>
      <c r="DOQ1" s="87" t="n"/>
      <c r="DOR1" s="87" t="n"/>
      <c r="DOS1" s="87" t="n"/>
      <c r="DOT1" s="87" t="n"/>
      <c r="DOU1" s="87" t="n"/>
      <c r="DOV1" s="87" t="n"/>
      <c r="DOW1" s="87" t="n"/>
      <c r="DOX1" s="87" t="n"/>
      <c r="DOY1" s="87" t="n"/>
      <c r="DOZ1" s="87" t="n"/>
      <c r="DPA1" s="87" t="n"/>
      <c r="DPB1" s="87" t="n"/>
      <c r="DPC1" s="87" t="n"/>
      <c r="DPD1" s="87" t="n"/>
      <c r="DPE1" s="87" t="n"/>
      <c r="DPF1" s="87" t="n"/>
      <c r="DPG1" s="87" t="n"/>
      <c r="DPH1" s="87" t="n"/>
      <c r="DPI1" s="87" t="n"/>
      <c r="DPJ1" s="87" t="n"/>
      <c r="DPK1" s="87" t="n"/>
      <c r="DPL1" s="87" t="n"/>
      <c r="DPM1" s="87" t="n"/>
      <c r="DPN1" s="87" t="n"/>
      <c r="DPO1" s="87" t="n"/>
      <c r="DPP1" s="87" t="n"/>
      <c r="DPQ1" s="87" t="n"/>
      <c r="DPR1" s="87" t="n"/>
      <c r="DPS1" s="87" t="n"/>
      <c r="DPT1" s="87" t="n"/>
      <c r="DPU1" s="87" t="n"/>
      <c r="DPV1" s="87" t="n"/>
      <c r="DPW1" s="87" t="n"/>
      <c r="DPX1" s="87" t="n"/>
      <c r="DPY1" s="87" t="n"/>
      <c r="DPZ1" s="87" t="n"/>
      <c r="DQA1" s="87" t="n"/>
      <c r="DQB1" s="87" t="n"/>
      <c r="DQC1" s="87" t="n"/>
      <c r="DQD1" s="87" t="n"/>
      <c r="DQE1" s="87" t="n"/>
      <c r="DQF1" s="87" t="n"/>
      <c r="DQG1" s="87" t="n"/>
      <c r="DQH1" s="87" t="n"/>
      <c r="DQI1" s="87" t="n"/>
      <c r="DQJ1" s="87" t="n"/>
      <c r="DQK1" s="87" t="n"/>
      <c r="DQL1" s="87" t="n"/>
      <c r="DQM1" s="87" t="n"/>
      <c r="DQN1" s="87" t="n"/>
      <c r="DQO1" s="87" t="n"/>
      <c r="DQP1" s="87" t="n"/>
      <c r="DQQ1" s="87" t="n"/>
      <c r="DQR1" s="87" t="n"/>
      <c r="DQS1" s="87" t="n"/>
      <c r="DQT1" s="87" t="n"/>
      <c r="DQU1" s="87" t="n"/>
      <c r="DQV1" s="87" t="n"/>
      <c r="DQW1" s="87" t="n"/>
      <c r="DQX1" s="87" t="n"/>
      <c r="DQY1" s="87" t="n"/>
      <c r="DQZ1" s="87" t="n"/>
      <c r="DRA1" s="87" t="n"/>
      <c r="DRB1" s="87" t="n"/>
      <c r="DRC1" s="87" t="n"/>
      <c r="DRD1" s="87" t="n"/>
      <c r="DRE1" s="87" t="n"/>
      <c r="DRF1" s="87" t="n"/>
      <c r="DRG1" s="87" t="n"/>
      <c r="DRH1" s="87" t="n"/>
      <c r="DRI1" s="87" t="n"/>
      <c r="DRJ1" s="87" t="n"/>
      <c r="DRK1" s="87" t="n"/>
      <c r="DRL1" s="87" t="n"/>
      <c r="DRM1" s="87" t="n"/>
      <c r="DRN1" s="87" t="n"/>
      <c r="DRO1" s="87" t="n"/>
      <c r="DRP1" s="87" t="n"/>
      <c r="DRQ1" s="87" t="n"/>
      <c r="DRR1" s="87" t="n"/>
      <c r="DRS1" s="87" t="n"/>
      <c r="DRT1" s="87" t="n"/>
      <c r="DRU1" s="87" t="n"/>
      <c r="DRV1" s="87" t="n"/>
      <c r="DRW1" s="87" t="n"/>
      <c r="DRX1" s="87" t="n"/>
      <c r="DRY1" s="87" t="n"/>
      <c r="DRZ1" s="87" t="n"/>
      <c r="DSA1" s="87" t="n"/>
      <c r="DSB1" s="87" t="n"/>
      <c r="DSC1" s="87" t="n"/>
      <c r="DSD1" s="87" t="n"/>
      <c r="DSE1" s="87" t="n"/>
      <c r="DSF1" s="87" t="n"/>
      <c r="DSG1" s="87" t="n"/>
      <c r="DSH1" s="87" t="n"/>
      <c r="DSI1" s="87" t="n"/>
      <c r="DSJ1" s="87" t="n"/>
      <c r="DSK1" s="87" t="n"/>
      <c r="DSL1" s="87" t="n"/>
      <c r="DSM1" s="87" t="n"/>
      <c r="DSN1" s="87" t="n"/>
      <c r="DSO1" s="87" t="n"/>
      <c r="DSP1" s="87" t="n"/>
      <c r="DSQ1" s="87" t="n"/>
      <c r="DSR1" s="87" t="n"/>
      <c r="DSS1" s="87" t="n"/>
      <c r="DST1" s="87" t="n"/>
      <c r="DSU1" s="87" t="n"/>
      <c r="DSV1" s="87" t="n"/>
      <c r="DSW1" s="87" t="n"/>
      <c r="DSX1" s="87" t="n"/>
      <c r="DSY1" s="87" t="n"/>
      <c r="DSZ1" s="87" t="n"/>
      <c r="DTA1" s="87" t="n"/>
      <c r="DTB1" s="87" t="n"/>
      <c r="DTC1" s="87" t="n"/>
      <c r="DTD1" s="87" t="n"/>
      <c r="DTE1" s="87" t="n"/>
      <c r="DTF1" s="87" t="n"/>
      <c r="DTG1" s="87" t="n"/>
      <c r="DTH1" s="87" t="n"/>
      <c r="DTI1" s="87" t="n"/>
      <c r="DTJ1" s="87" t="n"/>
      <c r="DTK1" s="87" t="n"/>
      <c r="DTL1" s="87" t="n"/>
      <c r="DTM1" s="87" t="n"/>
      <c r="DTN1" s="87" t="n"/>
      <c r="DTO1" s="87" t="n"/>
      <c r="DTP1" s="87" t="n"/>
      <c r="DTQ1" s="87" t="n"/>
      <c r="DTR1" s="87" t="n"/>
      <c r="DTS1" s="87" t="n"/>
      <c r="DTT1" s="87" t="n"/>
      <c r="DTU1" s="87" t="n"/>
      <c r="DTV1" s="87" t="n"/>
      <c r="DTW1" s="87" t="n"/>
      <c r="DTX1" s="87" t="n"/>
      <c r="DTY1" s="87" t="n"/>
      <c r="DTZ1" s="87" t="n"/>
      <c r="DUA1" s="87" t="n"/>
      <c r="DUB1" s="87" t="n"/>
      <c r="DUC1" s="87" t="n"/>
      <c r="DUD1" s="87" t="n"/>
      <c r="DUE1" s="87" t="n"/>
      <c r="DUF1" s="87" t="n"/>
      <c r="DUG1" s="87" t="n"/>
      <c r="DUH1" s="87" t="n"/>
      <c r="DUI1" s="87" t="n"/>
      <c r="DUJ1" s="87" t="n"/>
      <c r="DUK1" s="87" t="n"/>
      <c r="DUL1" s="87" t="n"/>
      <c r="DUM1" s="87" t="n"/>
      <c r="DUN1" s="87" t="n"/>
      <c r="DUO1" s="87" t="n"/>
      <c r="DUP1" s="87" t="n"/>
      <c r="DUQ1" s="87" t="n"/>
      <c r="DUR1" s="87" t="n"/>
      <c r="DUS1" s="87" t="n"/>
      <c r="DUT1" s="87" t="n"/>
      <c r="DUU1" s="87" t="n"/>
      <c r="DUV1" s="87" t="n"/>
      <c r="DUW1" s="87" t="n"/>
      <c r="DUX1" s="87" t="n"/>
      <c r="DUY1" s="87" t="n"/>
      <c r="DUZ1" s="87" t="n"/>
      <c r="DVA1" s="87" t="n"/>
      <c r="DVB1" s="87" t="n"/>
      <c r="DVC1" s="87" t="n"/>
      <c r="DVD1" s="87" t="n"/>
      <c r="DVE1" s="87" t="n"/>
      <c r="DVF1" s="87" t="n"/>
      <c r="DVG1" s="87" t="n"/>
      <c r="DVH1" s="87" t="n"/>
      <c r="DVI1" s="87" t="n"/>
      <c r="DVJ1" s="87" t="n"/>
      <c r="DVK1" s="87" t="n"/>
      <c r="DVL1" s="87" t="n"/>
      <c r="DVM1" s="87" t="n"/>
      <c r="DVN1" s="87" t="n"/>
      <c r="DVO1" s="87" t="n"/>
      <c r="DVP1" s="87" t="n"/>
      <c r="DVQ1" s="87" t="n"/>
      <c r="DVR1" s="87" t="n"/>
      <c r="DVS1" s="87" t="n"/>
      <c r="DVT1" s="87" t="n"/>
      <c r="DVU1" s="87" t="n"/>
      <c r="DVV1" s="87" t="n"/>
      <c r="DVW1" s="87" t="n"/>
      <c r="DVX1" s="87" t="n"/>
      <c r="DVY1" s="87" t="n"/>
      <c r="DVZ1" s="87" t="n"/>
      <c r="DWA1" s="87" t="n"/>
      <c r="DWB1" s="87" t="n"/>
      <c r="DWC1" s="87" t="n"/>
      <c r="DWD1" s="87" t="n"/>
      <c r="DWE1" s="87" t="n"/>
      <c r="DWF1" s="87" t="n"/>
      <c r="DWG1" s="87" t="n"/>
      <c r="DWH1" s="87" t="n"/>
      <c r="DWI1" s="87" t="n"/>
      <c r="DWJ1" s="87" t="n"/>
      <c r="DWK1" s="87" t="n"/>
      <c r="DWL1" s="87" t="n"/>
      <c r="DWM1" s="87" t="n"/>
      <c r="DWN1" s="87" t="n"/>
      <c r="DWO1" s="87" t="n"/>
      <c r="DWP1" s="87" t="n"/>
      <c r="DWQ1" s="87" t="n"/>
      <c r="DWR1" s="87" t="n"/>
      <c r="DWS1" s="87" t="n"/>
      <c r="DWT1" s="87" t="n"/>
      <c r="DWU1" s="87" t="n"/>
      <c r="DWV1" s="87" t="n"/>
      <c r="DWW1" s="87" t="n"/>
      <c r="DWX1" s="87" t="n"/>
      <c r="DWY1" s="87" t="n"/>
      <c r="DWZ1" s="87" t="n"/>
      <c r="DXA1" s="87" t="n"/>
      <c r="DXB1" s="87" t="n"/>
      <c r="DXC1" s="87" t="n"/>
      <c r="DXD1" s="87" t="n"/>
      <c r="DXE1" s="87" t="n"/>
      <c r="DXF1" s="87" t="n"/>
      <c r="DXG1" s="87" t="n"/>
      <c r="DXH1" s="87" t="n"/>
      <c r="DXI1" s="87" t="n"/>
      <c r="DXJ1" s="87" t="n"/>
      <c r="DXK1" s="87" t="n"/>
      <c r="DXL1" s="87" t="n"/>
      <c r="DXM1" s="87" t="n"/>
      <c r="DXN1" s="87" t="n"/>
      <c r="DXO1" s="87" t="n"/>
      <c r="DXP1" s="87" t="n"/>
      <c r="DXQ1" s="87" t="n"/>
      <c r="DXR1" s="87" t="n"/>
      <c r="DXS1" s="87" t="n"/>
      <c r="DXT1" s="87" t="n"/>
      <c r="DXU1" s="87" t="n"/>
      <c r="DXV1" s="87" t="n"/>
      <c r="DXW1" s="87" t="n"/>
      <c r="DXX1" s="87" t="n"/>
      <c r="DXY1" s="87" t="n"/>
      <c r="DXZ1" s="87" t="n"/>
      <c r="DYA1" s="87" t="n"/>
      <c r="DYB1" s="87" t="n"/>
      <c r="DYC1" s="87" t="n"/>
      <c r="DYD1" s="87" t="n"/>
      <c r="DYE1" s="87" t="n"/>
      <c r="DYF1" s="87" t="n"/>
      <c r="DYG1" s="87" t="n"/>
      <c r="DYH1" s="87" t="n"/>
      <c r="DYI1" s="87" t="n"/>
      <c r="DYJ1" s="87" t="n"/>
      <c r="DYK1" s="87" t="n"/>
      <c r="DYL1" s="87" t="n"/>
      <c r="DYM1" s="87" t="n"/>
      <c r="DYN1" s="87" t="n"/>
      <c r="DYO1" s="87" t="n"/>
      <c r="DYP1" s="87" t="n"/>
      <c r="DYQ1" s="87" t="n"/>
      <c r="DYR1" s="87" t="n"/>
      <c r="DYS1" s="87" t="n"/>
      <c r="DYT1" s="87" t="n"/>
      <c r="DYU1" s="87" t="n"/>
      <c r="DYV1" s="87" t="n"/>
      <c r="DYW1" s="87" t="n"/>
      <c r="DYX1" s="87" t="n"/>
      <c r="DYY1" s="87" t="n"/>
      <c r="DYZ1" s="87" t="n"/>
      <c r="DZA1" s="87" t="n"/>
      <c r="DZB1" s="87" t="n"/>
      <c r="DZC1" s="87" t="n"/>
      <c r="DZD1" s="87" t="n"/>
      <c r="DZE1" s="87" t="n"/>
      <c r="DZF1" s="87" t="n"/>
      <c r="DZG1" s="87" t="n"/>
      <c r="DZH1" s="87" t="n"/>
      <c r="DZI1" s="87" t="n"/>
      <c r="DZJ1" s="87" t="n"/>
      <c r="DZK1" s="87" t="n"/>
      <c r="DZL1" s="87" t="n"/>
      <c r="DZM1" s="87" t="n"/>
      <c r="DZN1" s="87" t="n"/>
      <c r="DZO1" s="87" t="n"/>
      <c r="DZP1" s="87" t="n"/>
      <c r="DZQ1" s="87" t="n"/>
      <c r="DZR1" s="87" t="n"/>
      <c r="DZS1" s="87" t="n"/>
      <c r="DZT1" s="87" t="n"/>
      <c r="DZU1" s="87" t="n"/>
      <c r="DZV1" s="87" t="n"/>
      <c r="DZW1" s="87" t="n"/>
      <c r="DZX1" s="87" t="n"/>
      <c r="DZY1" s="87" t="n"/>
      <c r="DZZ1" s="87" t="n"/>
      <c r="EAA1" s="87" t="n"/>
      <c r="EAB1" s="87" t="n"/>
      <c r="EAC1" s="87" t="n"/>
      <c r="EAD1" s="87" t="n"/>
      <c r="EAE1" s="87" t="n"/>
      <c r="EAF1" s="87" t="n"/>
      <c r="EAG1" s="87" t="n"/>
      <c r="EAH1" s="87" t="n"/>
      <c r="EAI1" s="87" t="n"/>
      <c r="EAJ1" s="87" t="n"/>
      <c r="EAK1" s="87" t="n"/>
      <c r="EAL1" s="87" t="n"/>
      <c r="EAM1" s="87" t="n"/>
      <c r="EAN1" s="87" t="n"/>
      <c r="EAO1" s="87" t="n"/>
      <c r="EAP1" s="87" t="n"/>
      <c r="EAQ1" s="87" t="n"/>
      <c r="EAR1" s="87" t="n"/>
      <c r="EAS1" s="87" t="n"/>
      <c r="EAT1" s="87" t="n"/>
      <c r="EAU1" s="87" t="n"/>
      <c r="EAV1" s="87" t="n"/>
      <c r="EAW1" s="87" t="n"/>
      <c r="EAX1" s="87" t="n"/>
      <c r="EAY1" s="87" t="n"/>
      <c r="EAZ1" s="87" t="n"/>
      <c r="EBA1" s="87" t="n"/>
      <c r="EBB1" s="87" t="n"/>
      <c r="EBC1" s="87" t="n"/>
      <c r="EBD1" s="87" t="n"/>
      <c r="EBE1" s="87" t="n"/>
      <c r="EBF1" s="87" t="n"/>
      <c r="EBG1" s="87" t="n"/>
      <c r="EBH1" s="87" t="n"/>
      <c r="EBI1" s="87" t="n"/>
      <c r="EBJ1" s="87" t="n"/>
      <c r="EBK1" s="87" t="n"/>
      <c r="EBL1" s="87" t="n"/>
      <c r="EBM1" s="87" t="n"/>
      <c r="EBN1" s="87" t="n"/>
      <c r="EBO1" s="87" t="n"/>
      <c r="EBP1" s="87" t="n"/>
      <c r="EBQ1" s="87" t="n"/>
      <c r="EBR1" s="87" t="n"/>
      <c r="EBS1" s="87" t="n"/>
      <c r="EBT1" s="87" t="n"/>
      <c r="EBU1" s="87" t="n"/>
      <c r="EBV1" s="87" t="n"/>
      <c r="EBW1" s="87" t="n"/>
      <c r="EBX1" s="87" t="n"/>
      <c r="EBY1" s="87" t="n"/>
      <c r="EBZ1" s="87" t="n"/>
      <c r="ECA1" s="87" t="n"/>
      <c r="ECB1" s="87" t="n"/>
      <c r="ECC1" s="87" t="n"/>
      <c r="ECD1" s="87" t="n"/>
      <c r="ECE1" s="87" t="n"/>
      <c r="ECF1" s="87" t="n"/>
      <c r="ECG1" s="87" t="n"/>
      <c r="ECH1" s="87" t="n"/>
      <c r="ECI1" s="87" t="n"/>
      <c r="ECJ1" s="87" t="n"/>
      <c r="ECK1" s="87" t="n"/>
      <c r="ECL1" s="87" t="n"/>
      <c r="ECM1" s="87" t="n"/>
      <c r="ECN1" s="87" t="n"/>
      <c r="ECO1" s="87" t="n"/>
      <c r="ECP1" s="87" t="n"/>
      <c r="ECQ1" s="87" t="n"/>
      <c r="ECR1" s="87" t="n"/>
      <c r="ECS1" s="87" t="n"/>
      <c r="ECT1" s="87" t="n"/>
      <c r="ECU1" s="87" t="n"/>
      <c r="ECV1" s="87" t="n"/>
      <c r="ECW1" s="87" t="n"/>
      <c r="ECX1" s="87" t="n"/>
      <c r="ECY1" s="87" t="n"/>
      <c r="ECZ1" s="87" t="n"/>
      <c r="EDA1" s="87" t="n"/>
      <c r="EDB1" s="87" t="n"/>
      <c r="EDC1" s="87" t="n"/>
      <c r="EDD1" s="87" t="n"/>
      <c r="EDE1" s="87" t="n"/>
      <c r="EDF1" s="87" t="n"/>
      <c r="EDG1" s="87" t="n"/>
      <c r="EDH1" s="87" t="n"/>
      <c r="EDI1" s="87" t="n"/>
      <c r="EDJ1" s="87" t="n"/>
      <c r="EDK1" s="87" t="n"/>
      <c r="EDL1" s="87" t="n"/>
      <c r="EDM1" s="87" t="n"/>
      <c r="EDN1" s="87" t="n"/>
      <c r="EDO1" s="87" t="n"/>
      <c r="EDP1" s="87" t="n"/>
      <c r="EDQ1" s="87" t="n"/>
      <c r="EDR1" s="87" t="n"/>
      <c r="EDS1" s="87" t="n"/>
      <c r="EDT1" s="87" t="n"/>
      <c r="EDU1" s="87" t="n"/>
      <c r="EDV1" s="87" t="n"/>
      <c r="EDW1" s="87" t="n"/>
      <c r="EDX1" s="87" t="n"/>
      <c r="EDY1" s="87" t="n"/>
      <c r="EDZ1" s="87" t="n"/>
      <c r="EEA1" s="87" t="n"/>
      <c r="EEB1" s="87" t="n"/>
      <c r="EEC1" s="87" t="n"/>
      <c r="EED1" s="87" t="n"/>
      <c r="EEE1" s="87" t="n"/>
      <c r="EEF1" s="87" t="n"/>
      <c r="EEG1" s="87" t="n"/>
      <c r="EEH1" s="87" t="n"/>
      <c r="EEI1" s="87" t="n"/>
      <c r="EEJ1" s="87" t="n"/>
      <c r="EEK1" s="87" t="n"/>
      <c r="EEL1" s="87" t="n"/>
      <c r="EEM1" s="87" t="n"/>
      <c r="EEN1" s="87" t="n"/>
      <c r="EEO1" s="87" t="n"/>
      <c r="EEP1" s="87" t="n"/>
      <c r="EEQ1" s="87" t="n"/>
      <c r="EER1" s="87" t="n"/>
      <c r="EES1" s="87" t="n"/>
      <c r="EET1" s="87" t="n"/>
      <c r="EEU1" s="87" t="n"/>
      <c r="EEV1" s="87" t="n"/>
      <c r="EEW1" s="87" t="n"/>
      <c r="EEX1" s="87" t="n"/>
      <c r="EEY1" s="87" t="n"/>
      <c r="EEZ1" s="87" t="n"/>
      <c r="EFA1" s="87" t="n"/>
      <c r="EFB1" s="87" t="n"/>
      <c r="EFC1" s="87" t="n"/>
      <c r="EFD1" s="87" t="n"/>
      <c r="EFE1" s="87" t="n"/>
      <c r="EFF1" s="87" t="n"/>
      <c r="EFG1" s="87" t="n"/>
      <c r="EFH1" s="87" t="n"/>
      <c r="EFI1" s="87" t="n"/>
      <c r="EFJ1" s="87" t="n"/>
      <c r="EFK1" s="87" t="n"/>
      <c r="EFL1" s="87" t="n"/>
      <c r="EFM1" s="87" t="n"/>
      <c r="EFN1" s="87" t="n"/>
      <c r="EFO1" s="87" t="n"/>
      <c r="EFP1" s="87" t="n"/>
      <c r="EFQ1" s="87" t="n"/>
      <c r="EFR1" s="87" t="n"/>
      <c r="EFS1" s="87" t="n"/>
      <c r="EFT1" s="87" t="n"/>
      <c r="EFU1" s="87" t="n"/>
      <c r="EFV1" s="87" t="n"/>
      <c r="EFW1" s="87" t="n"/>
      <c r="EFX1" s="87" t="n"/>
      <c r="EFY1" s="87" t="n"/>
      <c r="EFZ1" s="87" t="n"/>
      <c r="EGA1" s="87" t="n"/>
      <c r="EGB1" s="87" t="n"/>
      <c r="EGC1" s="87" t="n"/>
      <c r="EGD1" s="87" t="n"/>
      <c r="EGE1" s="87" t="n"/>
      <c r="EGF1" s="87" t="n"/>
      <c r="EGG1" s="87" t="n"/>
      <c r="EGH1" s="87" t="n"/>
      <c r="EGI1" s="87" t="n"/>
      <c r="EGJ1" s="87" t="n"/>
      <c r="EGK1" s="87" t="n"/>
      <c r="EGL1" s="87" t="n"/>
      <c r="EGM1" s="87" t="n"/>
      <c r="EGN1" s="87" t="n"/>
      <c r="EGO1" s="87" t="n"/>
      <c r="EGP1" s="87" t="n"/>
      <c r="EGQ1" s="87" t="n"/>
      <c r="EGR1" s="87" t="n"/>
      <c r="EGS1" s="87" t="n"/>
      <c r="EGT1" s="87" t="n"/>
      <c r="EGU1" s="87" t="n"/>
      <c r="EGV1" s="87" t="n"/>
      <c r="EGW1" s="87" t="n"/>
      <c r="EGX1" s="87" t="n"/>
      <c r="EGY1" s="87" t="n"/>
      <c r="EGZ1" s="87" t="n"/>
      <c r="EHA1" s="87" t="n"/>
      <c r="EHB1" s="87" t="n"/>
      <c r="EHC1" s="87" t="n"/>
      <c r="EHD1" s="87" t="n"/>
      <c r="EHE1" s="87" t="n"/>
      <c r="EHF1" s="87" t="n"/>
      <c r="EHG1" s="87" t="n"/>
      <c r="EHH1" s="87" t="n"/>
      <c r="EHI1" s="87" t="n"/>
      <c r="EHJ1" s="87" t="n"/>
      <c r="EHK1" s="87" t="n"/>
      <c r="EHL1" s="87" t="n"/>
      <c r="EHM1" s="87" t="n"/>
      <c r="EHN1" s="87" t="n"/>
      <c r="EHO1" s="87" t="n"/>
      <c r="EHP1" s="87" t="n"/>
      <c r="EHQ1" s="87" t="n"/>
      <c r="EHR1" s="87" t="n"/>
      <c r="EHS1" s="87" t="n"/>
      <c r="EHT1" s="87" t="n"/>
      <c r="EHU1" s="87" t="n"/>
      <c r="EHV1" s="87" t="n"/>
      <c r="EHW1" s="87" t="n"/>
      <c r="EHX1" s="87" t="n"/>
      <c r="EHY1" s="87" t="n"/>
      <c r="EHZ1" s="87" t="n"/>
      <c r="EIA1" s="87" t="n"/>
      <c r="EIB1" s="87" t="n"/>
      <c r="EIC1" s="87" t="n"/>
      <c r="EID1" s="87" t="n"/>
      <c r="EIE1" s="87" t="n"/>
      <c r="EIF1" s="87" t="n"/>
      <c r="EIG1" s="87" t="n"/>
      <c r="EIH1" s="87" t="n"/>
      <c r="EII1" s="87" t="n"/>
      <c r="EIJ1" s="87" t="n"/>
      <c r="EIK1" s="87" t="n"/>
      <c r="EIL1" s="87" t="n"/>
      <c r="EIM1" s="87" t="n"/>
      <c r="EIN1" s="87" t="n"/>
      <c r="EIO1" s="87" t="n"/>
      <c r="EIP1" s="87" t="n"/>
      <c r="EIQ1" s="87" t="n"/>
      <c r="EIR1" s="87" t="n"/>
      <c r="EIS1" s="87" t="n"/>
      <c r="EIT1" s="87" t="n"/>
      <c r="EIU1" s="87" t="n"/>
      <c r="EIV1" s="87" t="n"/>
      <c r="EIW1" s="87" t="n"/>
      <c r="EIX1" s="87" t="n"/>
      <c r="EIY1" s="87" t="n"/>
      <c r="EIZ1" s="87" t="n"/>
      <c r="EJA1" s="87" t="n"/>
      <c r="EJB1" s="87" t="n"/>
      <c r="EJC1" s="87" t="n"/>
      <c r="EJD1" s="87" t="n"/>
      <c r="EJE1" s="87" t="n"/>
      <c r="EJF1" s="87" t="n"/>
      <c r="EJG1" s="87" t="n"/>
      <c r="EJH1" s="87" t="n"/>
      <c r="EJI1" s="87" t="n"/>
      <c r="EJJ1" s="87" t="n"/>
      <c r="EJK1" s="87" t="n"/>
      <c r="EJL1" s="87" t="n"/>
      <c r="EJM1" s="87" t="n"/>
      <c r="EJN1" s="87" t="n"/>
      <c r="EJO1" s="87" t="n"/>
      <c r="EJP1" s="87" t="n"/>
      <c r="EJQ1" s="87" t="n"/>
      <c r="EJR1" s="87" t="n"/>
      <c r="EJS1" s="87" t="n"/>
      <c r="EJT1" s="87" t="n"/>
      <c r="EJU1" s="87" t="n"/>
      <c r="EJV1" s="87" t="n"/>
      <c r="EJW1" s="87" t="n"/>
      <c r="EJX1" s="87" t="n"/>
      <c r="EJY1" s="87" t="n"/>
      <c r="EJZ1" s="87" t="n"/>
      <c r="EKA1" s="87" t="n"/>
      <c r="EKB1" s="87" t="n"/>
      <c r="EKC1" s="87" t="n"/>
      <c r="EKD1" s="87" t="n"/>
      <c r="EKE1" s="87" t="n"/>
      <c r="EKF1" s="87" t="n"/>
      <c r="EKG1" s="87" t="n"/>
      <c r="EKH1" s="87" t="n"/>
      <c r="EKI1" s="87" t="n"/>
      <c r="EKJ1" s="87" t="n"/>
      <c r="EKK1" s="87" t="n"/>
      <c r="EKL1" s="87" t="n"/>
      <c r="EKM1" s="87" t="n"/>
      <c r="EKN1" s="87" t="n"/>
      <c r="EKO1" s="87" t="n"/>
      <c r="EKP1" s="87" t="n"/>
      <c r="EKQ1" s="87" t="n"/>
      <c r="EKR1" s="87" t="n"/>
      <c r="EKS1" s="87" t="n"/>
      <c r="EKT1" s="87" t="n"/>
      <c r="EKU1" s="87" t="n"/>
      <c r="EKV1" s="87" t="n"/>
      <c r="EKW1" s="87" t="n"/>
      <c r="EKX1" s="87" t="n"/>
      <c r="EKY1" s="87" t="n"/>
      <c r="EKZ1" s="87" t="n"/>
      <c r="ELA1" s="87" t="n"/>
      <c r="ELB1" s="87" t="n"/>
      <c r="ELC1" s="87" t="n"/>
      <c r="ELD1" s="87" t="n"/>
      <c r="ELE1" s="87" t="n"/>
      <c r="ELF1" s="87" t="n"/>
      <c r="ELG1" s="87" t="n"/>
      <c r="ELH1" s="87" t="n"/>
      <c r="ELI1" s="87" t="n"/>
      <c r="ELJ1" s="87" t="n"/>
      <c r="ELK1" s="87" t="n"/>
      <c r="ELL1" s="87" t="n"/>
      <c r="ELM1" s="87" t="n"/>
      <c r="ELN1" s="87" t="n"/>
      <c r="ELO1" s="87" t="n"/>
      <c r="ELP1" s="87" t="n"/>
      <c r="ELQ1" s="87" t="n"/>
      <c r="ELR1" s="87" t="n"/>
      <c r="ELS1" s="87" t="n"/>
      <c r="ELT1" s="87" t="n"/>
      <c r="ELU1" s="87" t="n"/>
      <c r="ELV1" s="87" t="n"/>
      <c r="ELW1" s="87" t="n"/>
      <c r="ELX1" s="87" t="n"/>
      <c r="ELY1" s="87" t="n"/>
      <c r="ELZ1" s="87" t="n"/>
      <c r="EMA1" s="87" t="n"/>
      <c r="EMB1" s="87" t="n"/>
      <c r="EMC1" s="87" t="n"/>
      <c r="EMD1" s="87" t="n"/>
      <c r="EME1" s="87" t="n"/>
      <c r="EMF1" s="87" t="n"/>
      <c r="EMG1" s="87" t="n"/>
      <c r="EMH1" s="87" t="n"/>
      <c r="EMI1" s="87" t="n"/>
      <c r="EMJ1" s="87" t="n"/>
      <c r="EMK1" s="87" t="n"/>
      <c r="EML1" s="87" t="n"/>
      <c r="EMM1" s="87" t="n"/>
      <c r="EMN1" s="87" t="n"/>
      <c r="EMO1" s="87" t="n"/>
      <c r="EMP1" s="87" t="n"/>
      <c r="EMQ1" s="87" t="n"/>
      <c r="EMR1" s="87" t="n"/>
      <c r="EMS1" s="87" t="n"/>
      <c r="EMT1" s="87" t="n"/>
      <c r="EMU1" s="87" t="n"/>
      <c r="EMV1" s="87" t="n"/>
      <c r="EMW1" s="87" t="n"/>
      <c r="EMX1" s="87" t="n"/>
      <c r="EMY1" s="87" t="n"/>
      <c r="EMZ1" s="87" t="n"/>
      <c r="ENA1" s="87" t="n"/>
      <c r="ENB1" s="87" t="n"/>
      <c r="ENC1" s="87" t="n"/>
      <c r="END1" s="87" t="n"/>
      <c r="ENE1" s="87" t="n"/>
      <c r="ENF1" s="87" t="n"/>
      <c r="ENG1" s="87" t="n"/>
      <c r="ENH1" s="87" t="n"/>
      <c r="ENI1" s="87" t="n"/>
      <c r="ENJ1" s="87" t="n"/>
      <c r="ENK1" s="87" t="n"/>
      <c r="ENL1" s="87" t="n"/>
      <c r="ENM1" s="87" t="n"/>
      <c r="ENN1" s="87" t="n"/>
      <c r="ENO1" s="87" t="n"/>
      <c r="ENP1" s="87" t="n"/>
      <c r="ENQ1" s="87" t="n"/>
      <c r="ENR1" s="87" t="n"/>
      <c r="ENS1" s="87" t="n"/>
      <c r="ENT1" s="87" t="n"/>
      <c r="ENU1" s="87" t="n"/>
      <c r="ENV1" s="87" t="n"/>
      <c r="ENW1" s="87" t="n"/>
      <c r="ENX1" s="87" t="n"/>
      <c r="ENY1" s="87" t="n"/>
      <c r="ENZ1" s="87" t="n"/>
      <c r="EOA1" s="87" t="n"/>
      <c r="EOB1" s="87" t="n"/>
      <c r="EOC1" s="87" t="n"/>
      <c r="EOD1" s="87" t="n"/>
      <c r="EOE1" s="87" t="n"/>
      <c r="EOF1" s="87" t="n"/>
      <c r="EOG1" s="87" t="n"/>
      <c r="EOH1" s="87" t="n"/>
      <c r="EOI1" s="87" t="n"/>
      <c r="EOJ1" s="87" t="n"/>
      <c r="EOK1" s="87" t="n"/>
      <c r="EOL1" s="87" t="n"/>
      <c r="EOM1" s="87" t="n"/>
      <c r="EON1" s="87" t="n"/>
      <c r="EOO1" s="87" t="n"/>
      <c r="EOP1" s="87" t="n"/>
      <c r="EOQ1" s="87" t="n"/>
      <c r="EOR1" s="87" t="n"/>
      <c r="EOS1" s="87" t="n"/>
      <c r="EOT1" s="87" t="n"/>
      <c r="EOU1" s="87" t="n"/>
      <c r="EOV1" s="87" t="n"/>
      <c r="EOW1" s="87" t="n"/>
      <c r="EOX1" s="87" t="n"/>
      <c r="EOY1" s="87" t="n"/>
      <c r="EOZ1" s="87" t="n"/>
      <c r="EPA1" s="87" t="n"/>
      <c r="EPB1" s="87" t="n"/>
      <c r="EPC1" s="87" t="n"/>
      <c r="EPD1" s="87" t="n"/>
      <c r="EPE1" s="87" t="n"/>
      <c r="EPF1" s="87" t="n"/>
      <c r="EPG1" s="87" t="n"/>
      <c r="EPH1" s="87" t="n"/>
      <c r="EPI1" s="87" t="n"/>
      <c r="EPJ1" s="87" t="n"/>
      <c r="EPK1" s="87" t="n"/>
      <c r="EPL1" s="87" t="n"/>
      <c r="EPM1" s="87" t="n"/>
      <c r="EPN1" s="87" t="n"/>
      <c r="EPO1" s="87" t="n"/>
      <c r="EPP1" s="87" t="n"/>
      <c r="EPQ1" s="87" t="n"/>
      <c r="EPR1" s="87" t="n"/>
      <c r="EPS1" s="87" t="n"/>
      <c r="EPT1" s="87" t="n"/>
      <c r="EPU1" s="87" t="n"/>
      <c r="EPV1" s="87" t="n"/>
      <c r="EPW1" s="87" t="n"/>
      <c r="EPX1" s="87" t="n"/>
      <c r="EPY1" s="87" t="n"/>
      <c r="EPZ1" s="87" t="n"/>
      <c r="EQA1" s="87" t="n"/>
      <c r="EQB1" s="87" t="n"/>
      <c r="EQC1" s="87" t="n"/>
      <c r="EQD1" s="87" t="n"/>
      <c r="EQE1" s="87" t="n"/>
      <c r="EQF1" s="87" t="n"/>
      <c r="EQG1" s="87" t="n"/>
      <c r="EQH1" s="87" t="n"/>
      <c r="EQI1" s="87" t="n"/>
      <c r="EQJ1" s="87" t="n"/>
      <c r="EQK1" s="87" t="n"/>
      <c r="EQL1" s="87" t="n"/>
      <c r="EQM1" s="87" t="n"/>
      <c r="EQN1" s="87" t="n"/>
      <c r="EQO1" s="87" t="n"/>
      <c r="EQP1" s="87" t="n"/>
      <c r="EQQ1" s="87" t="n"/>
      <c r="EQR1" s="87" t="n"/>
      <c r="EQS1" s="87" t="n"/>
      <c r="EQT1" s="87" t="n"/>
      <c r="EQU1" s="87" t="n"/>
      <c r="EQV1" s="87" t="n"/>
      <c r="EQW1" s="87" t="n"/>
      <c r="EQX1" s="87" t="n"/>
      <c r="EQY1" s="87" t="n"/>
      <c r="EQZ1" s="87" t="n"/>
      <c r="ERA1" s="87" t="n"/>
      <c r="ERB1" s="87" t="n"/>
      <c r="ERC1" s="87" t="n"/>
      <c r="ERD1" s="87" t="n"/>
      <c r="ERE1" s="87" t="n"/>
      <c r="ERF1" s="87" t="n"/>
      <c r="ERG1" s="87" t="n"/>
      <c r="ERH1" s="87" t="n"/>
      <c r="ERI1" s="87" t="n"/>
      <c r="ERJ1" s="87" t="n"/>
      <c r="ERK1" s="87" t="n"/>
      <c r="ERL1" s="87" t="n"/>
      <c r="ERM1" s="87" t="n"/>
      <c r="ERN1" s="87" t="n"/>
      <c r="ERO1" s="87" t="n"/>
      <c r="ERP1" s="87" t="n"/>
      <c r="ERQ1" s="87" t="n"/>
      <c r="ERR1" s="87" t="n"/>
      <c r="ERS1" s="87" t="n"/>
      <c r="ERT1" s="87" t="n"/>
      <c r="ERU1" s="87" t="n"/>
      <c r="ERV1" s="87" t="n"/>
      <c r="ERW1" s="87" t="n"/>
      <c r="ERX1" s="87" t="n"/>
      <c r="ERY1" s="87" t="n"/>
      <c r="ERZ1" s="87" t="n"/>
      <c r="ESA1" s="87" t="n"/>
      <c r="ESB1" s="87" t="n"/>
      <c r="ESC1" s="87" t="n"/>
      <c r="ESD1" s="87" t="n"/>
      <c r="ESE1" s="87" t="n"/>
      <c r="ESF1" s="87" t="n"/>
      <c r="ESG1" s="87" t="n"/>
      <c r="ESH1" s="87" t="n"/>
      <c r="ESI1" s="87" t="n"/>
      <c r="ESJ1" s="87" t="n"/>
      <c r="ESK1" s="87" t="n"/>
      <c r="ESL1" s="87" t="n"/>
      <c r="ESM1" s="87" t="n"/>
      <c r="ESN1" s="87" t="n"/>
      <c r="ESO1" s="87" t="n"/>
      <c r="ESP1" s="87" t="n"/>
      <c r="ESQ1" s="87" t="n"/>
      <c r="ESR1" s="87" t="n"/>
      <c r="ESS1" s="87" t="n"/>
      <c r="EST1" s="87" t="n"/>
      <c r="ESU1" s="87" t="n"/>
      <c r="ESV1" s="87" t="n"/>
      <c r="ESW1" s="87" t="n"/>
      <c r="ESX1" s="87" t="n"/>
      <c r="ESY1" s="87" t="n"/>
      <c r="ESZ1" s="87" t="n"/>
      <c r="ETA1" s="87" t="n"/>
      <c r="ETB1" s="87" t="n"/>
      <c r="ETC1" s="87" t="n"/>
      <c r="ETD1" s="87" t="n"/>
      <c r="ETE1" s="87" t="n"/>
      <c r="ETF1" s="87" t="n"/>
      <c r="ETG1" s="87" t="n"/>
      <c r="ETH1" s="87" t="n"/>
      <c r="ETI1" s="87" t="n"/>
      <c r="ETJ1" s="87" t="n"/>
      <c r="ETK1" s="87" t="n"/>
      <c r="ETL1" s="87" t="n"/>
      <c r="ETM1" s="87" t="n"/>
      <c r="ETN1" s="87" t="n"/>
      <c r="ETO1" s="87" t="n"/>
      <c r="ETP1" s="87" t="n"/>
      <c r="ETQ1" s="87" t="n"/>
      <c r="ETR1" s="87" t="n"/>
      <c r="ETS1" s="87" t="n"/>
      <c r="ETT1" s="87" t="n"/>
      <c r="ETU1" s="87" t="n"/>
      <c r="ETV1" s="87" t="n"/>
      <c r="ETW1" s="87" t="n"/>
      <c r="ETX1" s="87" t="n"/>
      <c r="ETY1" s="87" t="n"/>
      <c r="ETZ1" s="87" t="n"/>
      <c r="EUA1" s="87" t="n"/>
      <c r="EUB1" s="87" t="n"/>
      <c r="EUC1" s="87" t="n"/>
      <c r="EUD1" s="87" t="n"/>
      <c r="EUE1" s="87" t="n"/>
      <c r="EUF1" s="87" t="n"/>
      <c r="EUG1" s="87" t="n"/>
      <c r="EUH1" s="87" t="n"/>
      <c r="EUI1" s="87" t="n"/>
      <c r="EUJ1" s="87" t="n"/>
      <c r="EUK1" s="87" t="n"/>
      <c r="EUL1" s="87" t="n"/>
      <c r="EUM1" s="87" t="n"/>
      <c r="EUN1" s="87" t="n"/>
      <c r="EUO1" s="87" t="n"/>
      <c r="EUP1" s="87" t="n"/>
      <c r="EUQ1" s="87" t="n"/>
      <c r="EUR1" s="87" t="n"/>
      <c r="EUS1" s="87" t="n"/>
      <c r="EUT1" s="87" t="n"/>
      <c r="EUU1" s="87" t="n"/>
      <c r="EUV1" s="87" t="n"/>
      <c r="EUW1" s="87" t="n"/>
      <c r="EUX1" s="87" t="n"/>
      <c r="EUY1" s="87" t="n"/>
      <c r="EUZ1" s="87" t="n"/>
      <c r="EVA1" s="87" t="n"/>
      <c r="EVB1" s="87" t="n"/>
      <c r="EVC1" s="87" t="n"/>
      <c r="EVD1" s="87" t="n"/>
      <c r="EVE1" s="87" t="n"/>
      <c r="EVF1" s="87" t="n"/>
      <c r="EVG1" s="87" t="n"/>
      <c r="EVH1" s="87" t="n"/>
      <c r="EVI1" s="87" t="n"/>
      <c r="EVJ1" s="87" t="n"/>
      <c r="EVK1" s="87" t="n"/>
      <c r="EVL1" s="87" t="n"/>
      <c r="EVM1" s="87" t="n"/>
      <c r="EVN1" s="87" t="n"/>
      <c r="EVO1" s="87" t="n"/>
      <c r="EVP1" s="87" t="n"/>
      <c r="EVQ1" s="87" t="n"/>
      <c r="EVR1" s="87" t="n"/>
      <c r="EVS1" s="87" t="n"/>
      <c r="EVT1" s="87" t="n"/>
      <c r="EVU1" s="87" t="n"/>
      <c r="EVV1" s="87" t="n"/>
      <c r="EVW1" s="87" t="n"/>
      <c r="EVX1" s="87" t="n"/>
      <c r="EVY1" s="87" t="n"/>
      <c r="EVZ1" s="87" t="n"/>
      <c r="EWA1" s="87" t="n"/>
      <c r="EWB1" s="87" t="n"/>
      <c r="EWC1" s="87" t="n"/>
      <c r="EWD1" s="87" t="n"/>
      <c r="EWE1" s="87" t="n"/>
      <c r="EWF1" s="87" t="n"/>
      <c r="EWG1" s="87" t="n"/>
      <c r="EWH1" s="87" t="n"/>
      <c r="EWI1" s="87" t="n"/>
      <c r="EWJ1" s="87" t="n"/>
      <c r="EWK1" s="87" t="n"/>
      <c r="EWL1" s="87" t="n"/>
      <c r="EWM1" s="87" t="n"/>
      <c r="EWN1" s="87" t="n"/>
      <c r="EWO1" s="87" t="n"/>
      <c r="EWP1" s="87" t="n"/>
      <c r="EWQ1" s="87" t="n"/>
      <c r="EWR1" s="87" t="n"/>
      <c r="EWS1" s="87" t="n"/>
      <c r="EWT1" s="87" t="n"/>
      <c r="EWU1" s="87" t="n"/>
      <c r="EWV1" s="87" t="n"/>
      <c r="EWW1" s="87" t="n"/>
      <c r="EWX1" s="87" t="n"/>
      <c r="EWY1" s="87" t="n"/>
      <c r="EWZ1" s="87" t="n"/>
      <c r="EXA1" s="87" t="n"/>
      <c r="EXB1" s="87" t="n"/>
      <c r="EXC1" s="87" t="n"/>
      <c r="EXD1" s="87" t="n"/>
      <c r="EXE1" s="87" t="n"/>
      <c r="EXF1" s="87" t="n"/>
      <c r="EXG1" s="87" t="n"/>
      <c r="EXH1" s="87" t="n"/>
      <c r="EXI1" s="87" t="n"/>
      <c r="EXJ1" s="87" t="n"/>
      <c r="EXK1" s="87" t="n"/>
      <c r="EXL1" s="87" t="n"/>
      <c r="EXM1" s="87" t="n"/>
      <c r="EXN1" s="87" t="n"/>
      <c r="EXO1" s="87" t="n"/>
      <c r="EXP1" s="87" t="n"/>
      <c r="EXQ1" s="87" t="n"/>
      <c r="EXR1" s="87" t="n"/>
      <c r="EXS1" s="87" t="n"/>
      <c r="EXT1" s="87" t="n"/>
      <c r="EXU1" s="87" t="n"/>
      <c r="EXV1" s="87" t="n"/>
      <c r="EXW1" s="87" t="n"/>
      <c r="EXX1" s="87" t="n"/>
      <c r="EXY1" s="87" t="n"/>
      <c r="EXZ1" s="87" t="n"/>
      <c r="EYA1" s="87" t="n"/>
      <c r="EYB1" s="87" t="n"/>
      <c r="EYC1" s="87" t="n"/>
      <c r="EYD1" s="87" t="n"/>
      <c r="EYE1" s="87" t="n"/>
      <c r="EYF1" s="87" t="n"/>
      <c r="EYG1" s="87" t="n"/>
      <c r="EYH1" s="87" t="n"/>
      <c r="EYI1" s="87" t="n"/>
      <c r="EYJ1" s="87" t="n"/>
      <c r="EYK1" s="87" t="n"/>
      <c r="EYL1" s="87" t="n"/>
      <c r="EYM1" s="87" t="n"/>
      <c r="EYN1" s="87" t="n"/>
      <c r="EYO1" s="87" t="n"/>
      <c r="EYP1" s="87" t="n"/>
      <c r="EYQ1" s="87" t="n"/>
      <c r="EYR1" s="87" t="n"/>
      <c r="EYS1" s="87" t="n"/>
      <c r="EYT1" s="87" t="n"/>
      <c r="EYU1" s="87" t="n"/>
      <c r="EYV1" s="87" t="n"/>
      <c r="EYW1" s="87" t="n"/>
      <c r="EYX1" s="87" t="n"/>
      <c r="EYY1" s="87" t="n"/>
      <c r="EYZ1" s="87" t="n"/>
      <c r="EZA1" s="87" t="n"/>
      <c r="EZB1" s="87" t="n"/>
      <c r="EZC1" s="87" t="n"/>
      <c r="EZD1" s="87" t="n"/>
      <c r="EZE1" s="87" t="n"/>
      <c r="EZF1" s="87" t="n"/>
      <c r="EZG1" s="87" t="n"/>
      <c r="EZH1" s="87" t="n"/>
      <c r="EZI1" s="87" t="n"/>
      <c r="EZJ1" s="87" t="n"/>
      <c r="EZK1" s="87" t="n"/>
      <c r="EZL1" s="87" t="n"/>
      <c r="EZM1" s="87" t="n"/>
      <c r="EZN1" s="87" t="n"/>
      <c r="EZO1" s="87" t="n"/>
      <c r="EZP1" s="87" t="n"/>
      <c r="EZQ1" s="87" t="n"/>
      <c r="EZR1" s="87" t="n"/>
      <c r="EZS1" s="87" t="n"/>
      <c r="EZT1" s="87" t="n"/>
      <c r="EZU1" s="87" t="n"/>
      <c r="EZV1" s="87" t="n"/>
      <c r="EZW1" s="87" t="n"/>
      <c r="EZX1" s="87" t="n"/>
      <c r="EZY1" s="87" t="n"/>
      <c r="EZZ1" s="87" t="n"/>
      <c r="FAA1" s="87" t="n"/>
      <c r="FAB1" s="87" t="n"/>
      <c r="FAC1" s="87" t="n"/>
      <c r="FAD1" s="87" t="n"/>
      <c r="FAE1" s="87" t="n"/>
      <c r="FAF1" s="87" t="n"/>
      <c r="FAG1" s="87" t="n"/>
      <c r="FAH1" s="87" t="n"/>
      <c r="FAI1" s="87" t="n"/>
      <c r="FAJ1" s="87" t="n"/>
      <c r="FAK1" s="87" t="n"/>
      <c r="FAL1" s="87" t="n"/>
      <c r="FAM1" s="87" t="n"/>
      <c r="FAN1" s="87" t="n"/>
      <c r="FAO1" s="87" t="n"/>
      <c r="FAP1" s="87" t="n"/>
      <c r="FAQ1" s="87" t="n"/>
      <c r="FAR1" s="87" t="n"/>
      <c r="FAS1" s="87" t="n"/>
      <c r="FAT1" s="87" t="n"/>
      <c r="FAU1" s="87" t="n"/>
      <c r="FAV1" s="87" t="n"/>
      <c r="FAW1" s="87" t="n"/>
      <c r="FAX1" s="87" t="n"/>
      <c r="FAY1" s="87" t="n"/>
      <c r="FAZ1" s="87" t="n"/>
      <c r="FBA1" s="87" t="n"/>
      <c r="FBB1" s="87" t="n"/>
      <c r="FBC1" s="87" t="n"/>
      <c r="FBD1" s="87" t="n"/>
      <c r="FBE1" s="87" t="n"/>
      <c r="FBF1" s="87" t="n"/>
      <c r="FBG1" s="87" t="n"/>
      <c r="FBH1" s="87" t="n"/>
      <c r="FBI1" s="87" t="n"/>
      <c r="FBJ1" s="87" t="n"/>
      <c r="FBK1" s="87" t="n"/>
      <c r="FBL1" s="87" t="n"/>
      <c r="FBM1" s="87" t="n"/>
      <c r="FBN1" s="87" t="n"/>
      <c r="FBO1" s="87" t="n"/>
      <c r="FBP1" s="87" t="n"/>
      <c r="FBQ1" s="87" t="n"/>
      <c r="FBR1" s="87" t="n"/>
      <c r="FBS1" s="87" t="n"/>
      <c r="FBT1" s="87" t="n"/>
      <c r="FBU1" s="87" t="n"/>
      <c r="FBV1" s="87" t="n"/>
      <c r="FBW1" s="87" t="n"/>
      <c r="FBX1" s="87" t="n"/>
      <c r="FBY1" s="87" t="n"/>
      <c r="FBZ1" s="87" t="n"/>
      <c r="FCA1" s="87" t="n"/>
      <c r="FCB1" s="87" t="n"/>
      <c r="FCC1" s="87" t="n"/>
      <c r="FCD1" s="87" t="n"/>
      <c r="FCE1" s="87" t="n"/>
      <c r="FCF1" s="87" t="n"/>
      <c r="FCG1" s="87" t="n"/>
      <c r="FCH1" s="87" t="n"/>
      <c r="FCI1" s="87" t="n"/>
      <c r="FCJ1" s="87" t="n"/>
      <c r="FCK1" s="87" t="n"/>
      <c r="FCL1" s="87" t="n"/>
      <c r="FCM1" s="87" t="n"/>
      <c r="FCN1" s="87" t="n"/>
      <c r="FCO1" s="87" t="n"/>
      <c r="FCP1" s="87" t="n"/>
      <c r="FCQ1" s="87" t="n"/>
      <c r="FCR1" s="87" t="n"/>
      <c r="FCS1" s="87" t="n"/>
      <c r="FCT1" s="87" t="n"/>
      <c r="FCU1" s="87" t="n"/>
      <c r="FCV1" s="87" t="n"/>
      <c r="FCW1" s="87" t="n"/>
      <c r="FCX1" s="87" t="n"/>
      <c r="FCY1" s="87" t="n"/>
      <c r="FCZ1" s="87" t="n"/>
      <c r="FDA1" s="87" t="n"/>
      <c r="FDB1" s="87" t="n"/>
      <c r="FDC1" s="87" t="n"/>
      <c r="FDD1" s="87" t="n"/>
      <c r="FDE1" s="87" t="n"/>
      <c r="FDF1" s="87" t="n"/>
      <c r="FDG1" s="87" t="n"/>
      <c r="FDH1" s="87" t="n"/>
      <c r="FDI1" s="87" t="n"/>
      <c r="FDJ1" s="87" t="n"/>
      <c r="FDK1" s="87" t="n"/>
      <c r="FDL1" s="87" t="n"/>
      <c r="FDM1" s="87" t="n"/>
      <c r="FDN1" s="87" t="n"/>
      <c r="FDO1" s="87" t="n"/>
      <c r="FDP1" s="87" t="n"/>
      <c r="FDQ1" s="87" t="n"/>
      <c r="FDR1" s="87" t="n"/>
      <c r="FDS1" s="87" t="n"/>
      <c r="FDT1" s="87" t="n"/>
      <c r="FDU1" s="87" t="n"/>
      <c r="FDV1" s="87" t="n"/>
      <c r="FDW1" s="87" t="n"/>
      <c r="FDX1" s="87" t="n"/>
      <c r="FDY1" s="87" t="n"/>
      <c r="FDZ1" s="87" t="n"/>
      <c r="FEA1" s="87" t="n"/>
      <c r="FEB1" s="87" t="n"/>
      <c r="FEC1" s="87" t="n"/>
      <c r="FED1" s="87" t="n"/>
      <c r="FEE1" s="87" t="n"/>
      <c r="FEF1" s="87" t="n"/>
      <c r="FEG1" s="87" t="n"/>
      <c r="FEH1" s="87" t="n"/>
      <c r="FEI1" s="87" t="n"/>
      <c r="FEJ1" s="87" t="n"/>
      <c r="FEK1" s="87" t="n"/>
      <c r="FEL1" s="87" t="n"/>
      <c r="FEM1" s="87" t="n"/>
      <c r="FEN1" s="87" t="n"/>
      <c r="FEO1" s="87" t="n"/>
      <c r="FEP1" s="87" t="n"/>
      <c r="FEQ1" s="87" t="n"/>
      <c r="FER1" s="87" t="n"/>
      <c r="FES1" s="87" t="n"/>
      <c r="FET1" s="87" t="n"/>
      <c r="FEU1" s="87" t="n"/>
      <c r="FEV1" s="87" t="n"/>
      <c r="FEW1" s="87" t="n"/>
      <c r="FEX1" s="87" t="n"/>
      <c r="FEY1" s="87" t="n"/>
      <c r="FEZ1" s="87" t="n"/>
      <c r="FFA1" s="87" t="n"/>
      <c r="FFB1" s="87" t="n"/>
      <c r="FFC1" s="87" t="n"/>
      <c r="FFD1" s="87" t="n"/>
      <c r="FFE1" s="87" t="n"/>
      <c r="FFF1" s="87" t="n"/>
      <c r="FFG1" s="87" t="n"/>
      <c r="FFH1" s="87" t="n"/>
      <c r="FFI1" s="87" t="n"/>
      <c r="FFJ1" s="87" t="n"/>
      <c r="FFK1" s="87" t="n"/>
      <c r="FFL1" s="87" t="n"/>
      <c r="FFM1" s="87" t="n"/>
      <c r="FFN1" s="87" t="n"/>
      <c r="FFO1" s="87" t="n"/>
      <c r="FFP1" s="87" t="n"/>
      <c r="FFQ1" s="87" t="n"/>
      <c r="FFR1" s="87" t="n"/>
      <c r="FFS1" s="87" t="n"/>
      <c r="FFT1" s="87" t="n"/>
      <c r="FFU1" s="87" t="n"/>
      <c r="FFV1" s="87" t="n"/>
      <c r="FFW1" s="87" t="n"/>
      <c r="FFX1" s="87" t="n"/>
      <c r="FFY1" s="87" t="n"/>
      <c r="FFZ1" s="87" t="n"/>
      <c r="FGA1" s="87" t="n"/>
      <c r="FGB1" s="87" t="n"/>
      <c r="FGC1" s="87" t="n"/>
      <c r="FGD1" s="87" t="n"/>
      <c r="FGE1" s="87" t="n"/>
      <c r="FGF1" s="87" t="n"/>
      <c r="FGG1" s="87" t="n"/>
      <c r="FGH1" s="87" t="n"/>
      <c r="FGI1" s="87" t="n"/>
      <c r="FGJ1" s="87" t="n"/>
      <c r="FGK1" s="87" t="n"/>
      <c r="FGL1" s="87" t="n"/>
      <c r="FGM1" s="87" t="n"/>
      <c r="FGN1" s="87" t="n"/>
      <c r="FGO1" s="87" t="n"/>
      <c r="FGP1" s="87" t="n"/>
      <c r="FGQ1" s="87" t="n"/>
      <c r="FGR1" s="87" t="n"/>
      <c r="FGS1" s="87" t="n"/>
      <c r="FGT1" s="87" t="n"/>
      <c r="FGU1" s="87" t="n"/>
      <c r="FGV1" s="87" t="n"/>
      <c r="FGW1" s="87" t="n"/>
      <c r="FGX1" s="87" t="n"/>
      <c r="FGY1" s="87" t="n"/>
      <c r="FGZ1" s="87" t="n"/>
      <c r="FHA1" s="87" t="n"/>
      <c r="FHB1" s="87" t="n"/>
      <c r="FHC1" s="87" t="n"/>
      <c r="FHD1" s="87" t="n"/>
      <c r="FHE1" s="87" t="n"/>
      <c r="FHF1" s="87" t="n"/>
      <c r="FHG1" s="87" t="n"/>
      <c r="FHH1" s="87" t="n"/>
      <c r="FHI1" s="87" t="n"/>
      <c r="FHJ1" s="87" t="n"/>
      <c r="FHK1" s="87" t="n"/>
      <c r="FHL1" s="87" t="n"/>
      <c r="FHM1" s="87" t="n"/>
      <c r="FHN1" s="87" t="n"/>
      <c r="FHO1" s="87" t="n"/>
      <c r="FHP1" s="87" t="n"/>
      <c r="FHQ1" s="87" t="n"/>
      <c r="FHR1" s="87" t="n"/>
      <c r="FHS1" s="87" t="n"/>
      <c r="FHT1" s="87" t="n"/>
      <c r="FHU1" s="87" t="n"/>
      <c r="FHV1" s="87" t="n"/>
      <c r="FHW1" s="87" t="n"/>
      <c r="FHX1" s="87" t="n"/>
      <c r="FHY1" s="87" t="n"/>
      <c r="FHZ1" s="87" t="n"/>
      <c r="FIA1" s="87" t="n"/>
      <c r="FIB1" s="87" t="n"/>
      <c r="FIC1" s="87" t="n"/>
      <c r="FID1" s="87" t="n"/>
      <c r="FIE1" s="87" t="n"/>
      <c r="FIF1" s="87" t="n"/>
      <c r="FIG1" s="87" t="n"/>
      <c r="FIH1" s="87" t="n"/>
      <c r="FII1" s="87" t="n"/>
      <c r="FIJ1" s="87" t="n"/>
      <c r="FIK1" s="87" t="n"/>
      <c r="FIL1" s="87" t="n"/>
      <c r="FIM1" s="87" t="n"/>
      <c r="FIN1" s="87" t="n"/>
      <c r="FIO1" s="87" t="n"/>
      <c r="FIP1" s="87" t="n"/>
      <c r="FIQ1" s="87" t="n"/>
      <c r="FIR1" s="87" t="n"/>
      <c r="FIS1" s="87" t="n"/>
      <c r="FIT1" s="87" t="n"/>
      <c r="FIU1" s="87" t="n"/>
      <c r="FIV1" s="87" t="n"/>
      <c r="FIW1" s="87" t="n"/>
      <c r="FIX1" s="87" t="n"/>
      <c r="FIY1" s="87" t="n"/>
      <c r="FIZ1" s="87" t="n"/>
      <c r="FJA1" s="87" t="n"/>
      <c r="FJB1" s="87" t="n"/>
      <c r="FJC1" s="87" t="n"/>
      <c r="FJD1" s="87" t="n"/>
      <c r="FJE1" s="87" t="n"/>
      <c r="FJF1" s="87" t="n"/>
      <c r="FJG1" s="87" t="n"/>
      <c r="FJH1" s="87" t="n"/>
      <c r="FJI1" s="87" t="n"/>
      <c r="FJJ1" s="87" t="n"/>
      <c r="FJK1" s="87" t="n"/>
      <c r="FJL1" s="87" t="n"/>
      <c r="FJM1" s="87" t="n"/>
      <c r="FJN1" s="87" t="n"/>
      <c r="FJO1" s="87" t="n"/>
      <c r="FJP1" s="87" t="n"/>
      <c r="FJQ1" s="87" t="n"/>
      <c r="FJR1" s="87" t="n"/>
      <c r="FJS1" s="87" t="n"/>
      <c r="FJT1" s="87" t="n"/>
      <c r="FJU1" s="87" t="n"/>
      <c r="FJV1" s="87" t="n"/>
      <c r="FJW1" s="87" t="n"/>
      <c r="FJX1" s="87" t="n"/>
      <c r="FJY1" s="87" t="n"/>
      <c r="FJZ1" s="87" t="n"/>
      <c r="FKA1" s="87" t="n"/>
      <c r="FKB1" s="87" t="n"/>
      <c r="FKC1" s="87" t="n"/>
      <c r="FKD1" s="87" t="n"/>
      <c r="FKE1" s="87" t="n"/>
      <c r="FKF1" s="87" t="n"/>
      <c r="FKG1" s="87" t="n"/>
      <c r="FKH1" s="87" t="n"/>
      <c r="FKI1" s="87" t="n"/>
      <c r="FKJ1" s="87" t="n"/>
      <c r="FKK1" s="87" t="n"/>
      <c r="FKL1" s="87" t="n"/>
      <c r="FKM1" s="87" t="n"/>
      <c r="FKN1" s="87" t="n"/>
      <c r="FKO1" s="87" t="n"/>
      <c r="FKP1" s="87" t="n"/>
      <c r="FKQ1" s="87" t="n"/>
      <c r="FKR1" s="87" t="n"/>
      <c r="FKS1" s="87" t="n"/>
      <c r="FKT1" s="87" t="n"/>
      <c r="FKU1" s="87" t="n"/>
      <c r="FKV1" s="87" t="n"/>
      <c r="FKW1" s="87" t="n"/>
      <c r="FKX1" s="87" t="n"/>
      <c r="FKY1" s="87" t="n"/>
      <c r="FKZ1" s="87" t="n"/>
      <c r="FLA1" s="87" t="n"/>
      <c r="FLB1" s="87" t="n"/>
      <c r="FLC1" s="87" t="n"/>
      <c r="FLD1" s="87" t="n"/>
      <c r="FLE1" s="87" t="n"/>
      <c r="FLF1" s="87" t="n"/>
      <c r="FLG1" s="87" t="n"/>
      <c r="FLH1" s="87" t="n"/>
      <c r="FLI1" s="87" t="n"/>
      <c r="FLJ1" s="87" t="n"/>
      <c r="FLK1" s="87" t="n"/>
      <c r="FLL1" s="87" t="n"/>
      <c r="FLM1" s="87" t="n"/>
      <c r="FLN1" s="87" t="n"/>
      <c r="FLO1" s="87" t="n"/>
      <c r="FLP1" s="87" t="n"/>
      <c r="FLQ1" s="87" t="n"/>
      <c r="FLR1" s="87" t="n"/>
      <c r="FLS1" s="87" t="n"/>
      <c r="FLT1" s="87" t="n"/>
      <c r="FLU1" s="87" t="n"/>
      <c r="FLV1" s="87" t="n"/>
      <c r="FLW1" s="87" t="n"/>
      <c r="FLX1" s="87" t="n"/>
      <c r="FLY1" s="87" t="n"/>
      <c r="FLZ1" s="87" t="n"/>
      <c r="FMA1" s="87" t="n"/>
      <c r="FMB1" s="87" t="n"/>
      <c r="FMC1" s="87" t="n"/>
      <c r="FMD1" s="87" t="n"/>
      <c r="FME1" s="87" t="n"/>
      <c r="FMF1" s="87" t="n"/>
      <c r="FMG1" s="87" t="n"/>
      <c r="FMH1" s="87" t="n"/>
      <c r="FMI1" s="87" t="n"/>
      <c r="FMJ1" s="87" t="n"/>
      <c r="FMK1" s="87" t="n"/>
      <c r="FML1" s="87" t="n"/>
      <c r="FMM1" s="87" t="n"/>
      <c r="FMN1" s="87" t="n"/>
      <c r="FMO1" s="87" t="n"/>
      <c r="FMP1" s="87" t="n"/>
      <c r="FMQ1" s="87" t="n"/>
      <c r="FMR1" s="87" t="n"/>
      <c r="FMS1" s="87" t="n"/>
      <c r="FMT1" s="87" t="n"/>
      <c r="FMU1" s="87" t="n"/>
      <c r="FMV1" s="87" t="n"/>
      <c r="FMW1" s="87" t="n"/>
      <c r="FMX1" s="87" t="n"/>
      <c r="FMY1" s="87" t="n"/>
      <c r="FMZ1" s="87" t="n"/>
      <c r="FNA1" s="87" t="n"/>
      <c r="FNB1" s="87" t="n"/>
      <c r="FNC1" s="87" t="n"/>
      <c r="FND1" s="87" t="n"/>
      <c r="FNE1" s="87" t="n"/>
      <c r="FNF1" s="87" t="n"/>
      <c r="FNG1" s="87" t="n"/>
      <c r="FNH1" s="87" t="n"/>
      <c r="FNI1" s="87" t="n"/>
      <c r="FNJ1" s="87" t="n"/>
      <c r="FNK1" s="87" t="n"/>
      <c r="FNL1" s="87" t="n"/>
      <c r="FNM1" s="87" t="n"/>
      <c r="FNN1" s="87" t="n"/>
      <c r="FNO1" s="87" t="n"/>
      <c r="FNP1" s="87" t="n"/>
      <c r="FNQ1" s="87" t="n"/>
      <c r="FNR1" s="87" t="n"/>
      <c r="FNS1" s="87" t="n"/>
      <c r="FNT1" s="87" t="n"/>
      <c r="FNU1" s="87" t="n"/>
      <c r="FNV1" s="87" t="n"/>
      <c r="FNW1" s="87" t="n"/>
      <c r="FNX1" s="87" t="n"/>
      <c r="FNY1" s="87" t="n"/>
      <c r="FNZ1" s="87" t="n"/>
      <c r="FOA1" s="87" t="n"/>
      <c r="FOB1" s="87" t="n"/>
      <c r="FOC1" s="87" t="n"/>
      <c r="FOD1" s="87" t="n"/>
      <c r="FOE1" s="87" t="n"/>
      <c r="FOF1" s="87" t="n"/>
      <c r="FOG1" s="87" t="n"/>
      <c r="FOH1" s="87" t="n"/>
      <c r="FOI1" s="87" t="n"/>
      <c r="FOJ1" s="87" t="n"/>
      <c r="FOK1" s="87" t="n"/>
      <c r="FOL1" s="87" t="n"/>
      <c r="FOM1" s="87" t="n"/>
      <c r="FON1" s="87" t="n"/>
      <c r="FOO1" s="87" t="n"/>
      <c r="FOP1" s="87" t="n"/>
      <c r="FOQ1" s="87" t="n"/>
      <c r="FOR1" s="87" t="n"/>
      <c r="FOS1" s="87" t="n"/>
      <c r="FOT1" s="87" t="n"/>
      <c r="FOU1" s="87" t="n"/>
      <c r="FOV1" s="87" t="n"/>
      <c r="FOW1" s="87" t="n"/>
      <c r="FOX1" s="87" t="n"/>
      <c r="FOY1" s="87" t="n"/>
      <c r="FOZ1" s="87" t="n"/>
      <c r="FPA1" s="87" t="n"/>
      <c r="FPB1" s="87" t="n"/>
      <c r="FPC1" s="87" t="n"/>
      <c r="FPD1" s="87" t="n"/>
      <c r="FPE1" s="87" t="n"/>
      <c r="FPF1" s="87" t="n"/>
      <c r="FPG1" s="87" t="n"/>
      <c r="FPH1" s="87" t="n"/>
      <c r="FPI1" s="87" t="n"/>
      <c r="FPJ1" s="87" t="n"/>
      <c r="FPK1" s="87" t="n"/>
      <c r="FPL1" s="87" t="n"/>
      <c r="FPM1" s="87" t="n"/>
      <c r="FPN1" s="87" t="n"/>
      <c r="FPO1" s="87" t="n"/>
      <c r="FPP1" s="87" t="n"/>
      <c r="FPQ1" s="87" t="n"/>
      <c r="FPR1" s="87" t="n"/>
      <c r="FPS1" s="87" t="n"/>
      <c r="FPT1" s="87" t="n"/>
      <c r="FPU1" s="87" t="n"/>
      <c r="FPV1" s="87" t="n"/>
      <c r="FPW1" s="87" t="n"/>
      <c r="FPX1" s="87" t="n"/>
      <c r="FPY1" s="87" t="n"/>
      <c r="FPZ1" s="87" t="n"/>
      <c r="FQA1" s="87" t="n"/>
      <c r="FQB1" s="87" t="n"/>
      <c r="FQC1" s="87" t="n"/>
      <c r="FQD1" s="87" t="n"/>
      <c r="FQE1" s="87" t="n"/>
      <c r="FQF1" s="87" t="n"/>
      <c r="FQG1" s="87" t="n"/>
      <c r="FQH1" s="87" t="n"/>
      <c r="FQI1" s="87" t="n"/>
      <c r="FQJ1" s="87" t="n"/>
      <c r="FQK1" s="87" t="n"/>
      <c r="FQL1" s="87" t="n"/>
      <c r="FQM1" s="87" t="n"/>
      <c r="FQN1" s="87" t="n"/>
      <c r="FQO1" s="87" t="n"/>
      <c r="FQP1" s="87" t="n"/>
      <c r="FQQ1" s="87" t="n"/>
      <c r="FQR1" s="87" t="n"/>
      <c r="FQS1" s="87" t="n"/>
      <c r="FQT1" s="87" t="n"/>
      <c r="FQU1" s="87" t="n"/>
      <c r="FQV1" s="87" t="n"/>
      <c r="FQW1" s="87" t="n"/>
      <c r="FQX1" s="87" t="n"/>
      <c r="FQY1" s="87" t="n"/>
      <c r="FQZ1" s="87" t="n"/>
      <c r="FRA1" s="87" t="n"/>
      <c r="FRB1" s="87" t="n"/>
      <c r="FRC1" s="87" t="n"/>
      <c r="FRD1" s="87" t="n"/>
      <c r="FRE1" s="87" t="n"/>
      <c r="FRF1" s="87" t="n"/>
      <c r="FRG1" s="87" t="n"/>
      <c r="FRH1" s="87" t="n"/>
      <c r="FRI1" s="87" t="n"/>
      <c r="FRJ1" s="87" t="n"/>
      <c r="FRK1" s="87" t="n"/>
      <c r="FRL1" s="87" t="n"/>
      <c r="FRM1" s="87" t="n"/>
      <c r="FRN1" s="87" t="n"/>
      <c r="FRO1" s="87" t="n"/>
      <c r="FRP1" s="87" t="n"/>
      <c r="FRQ1" s="87" t="n"/>
      <c r="FRR1" s="87" t="n"/>
      <c r="FRS1" s="87" t="n"/>
      <c r="FRT1" s="87" t="n"/>
      <c r="FRU1" s="87" t="n"/>
      <c r="FRV1" s="87" t="n"/>
      <c r="FRW1" s="87" t="n"/>
      <c r="FRX1" s="87" t="n"/>
      <c r="FRY1" s="87" t="n"/>
      <c r="FRZ1" s="87" t="n"/>
      <c r="FSA1" s="87" t="n"/>
      <c r="FSB1" s="87" t="n"/>
      <c r="FSC1" s="87" t="n"/>
      <c r="FSD1" s="87" t="n"/>
      <c r="FSE1" s="87" t="n"/>
      <c r="FSF1" s="87" t="n"/>
      <c r="FSG1" s="87" t="n"/>
      <c r="FSH1" s="87" t="n"/>
      <c r="FSI1" s="87" t="n"/>
      <c r="FSJ1" s="87" t="n"/>
      <c r="FSK1" s="87" t="n"/>
      <c r="FSL1" s="87" t="n"/>
      <c r="FSM1" s="87" t="n"/>
      <c r="FSN1" s="87" t="n"/>
      <c r="FSO1" s="87" t="n"/>
      <c r="FSP1" s="87" t="n"/>
      <c r="FSQ1" s="87" t="n"/>
      <c r="FSR1" s="87" t="n"/>
      <c r="FSS1" s="87" t="n"/>
      <c r="FST1" s="87" t="n"/>
      <c r="FSU1" s="87" t="n"/>
      <c r="FSV1" s="87" t="n"/>
      <c r="FSW1" s="87" t="n"/>
      <c r="FSX1" s="87" t="n"/>
      <c r="FSY1" s="87" t="n"/>
      <c r="FSZ1" s="87" t="n"/>
      <c r="FTA1" s="87" t="n"/>
      <c r="FTB1" s="87" t="n"/>
      <c r="FTC1" s="87" t="n"/>
      <c r="FTD1" s="87" t="n"/>
      <c r="FTE1" s="87" t="n"/>
      <c r="FTF1" s="87" t="n"/>
      <c r="FTG1" s="87" t="n"/>
      <c r="FTH1" s="87" t="n"/>
      <c r="FTI1" s="87" t="n"/>
      <c r="FTJ1" s="87" t="n"/>
      <c r="FTK1" s="87" t="n"/>
      <c r="FTL1" s="87" t="n"/>
      <c r="FTM1" s="87" t="n"/>
      <c r="FTN1" s="87" t="n"/>
      <c r="FTO1" s="87" t="n"/>
      <c r="FTP1" s="87" t="n"/>
      <c r="FTQ1" s="87" t="n"/>
      <c r="FTR1" s="87" t="n"/>
      <c r="FTS1" s="87" t="n"/>
      <c r="FTT1" s="87" t="n"/>
      <c r="FTU1" s="87" t="n"/>
      <c r="FTV1" s="87" t="n"/>
      <c r="FTW1" s="87" t="n"/>
      <c r="FTX1" s="87" t="n"/>
      <c r="FTY1" s="87" t="n"/>
      <c r="FTZ1" s="87" t="n"/>
      <c r="FUA1" s="87" t="n"/>
      <c r="FUB1" s="87" t="n"/>
      <c r="FUC1" s="87" t="n"/>
      <c r="FUD1" s="87" t="n"/>
      <c r="FUE1" s="87" t="n"/>
      <c r="FUF1" s="87" t="n"/>
      <c r="FUG1" s="87" t="n"/>
      <c r="FUH1" s="87" t="n"/>
      <c r="FUI1" s="87" t="n"/>
      <c r="FUJ1" s="87" t="n"/>
      <c r="FUK1" s="87" t="n"/>
      <c r="FUL1" s="87" t="n"/>
      <c r="FUM1" s="87" t="n"/>
      <c r="FUN1" s="87" t="n"/>
      <c r="FUO1" s="87" t="n"/>
      <c r="FUP1" s="87" t="n"/>
      <c r="FUQ1" s="87" t="n"/>
      <c r="FUR1" s="87" t="n"/>
      <c r="FUS1" s="87" t="n"/>
      <c r="FUT1" s="87" t="n"/>
      <c r="FUU1" s="87" t="n"/>
      <c r="FUV1" s="87" t="n"/>
      <c r="FUW1" s="87" t="n"/>
      <c r="FUX1" s="87" t="n"/>
      <c r="FUY1" s="87" t="n"/>
      <c r="FUZ1" s="87" t="n"/>
      <c r="FVA1" s="87" t="n"/>
      <c r="FVB1" s="87" t="n"/>
      <c r="FVC1" s="87" t="n"/>
      <c r="FVD1" s="87" t="n"/>
      <c r="FVE1" s="87" t="n"/>
      <c r="FVF1" s="87" t="n"/>
      <c r="FVG1" s="87" t="n"/>
      <c r="FVH1" s="87" t="n"/>
      <c r="FVI1" s="87" t="n"/>
      <c r="FVJ1" s="87" t="n"/>
      <c r="FVK1" s="87" t="n"/>
      <c r="FVL1" s="87" t="n"/>
      <c r="FVM1" s="87" t="n"/>
      <c r="FVN1" s="87" t="n"/>
      <c r="FVO1" s="87" t="n"/>
      <c r="FVP1" s="87" t="n"/>
      <c r="FVQ1" s="87" t="n"/>
      <c r="FVR1" s="87" t="n"/>
      <c r="FVS1" s="87" t="n"/>
      <c r="FVT1" s="87" t="n"/>
      <c r="FVU1" s="87" t="n"/>
      <c r="FVV1" s="87" t="n"/>
      <c r="FVW1" s="87" t="n"/>
      <c r="FVX1" s="87" t="n"/>
      <c r="FVY1" s="87" t="n"/>
      <c r="FVZ1" s="87" t="n"/>
      <c r="FWA1" s="87" t="n"/>
      <c r="FWB1" s="87" t="n"/>
      <c r="FWC1" s="87" t="n"/>
      <c r="FWD1" s="87" t="n"/>
      <c r="FWE1" s="87" t="n"/>
      <c r="FWF1" s="87" t="n"/>
      <c r="FWG1" s="87" t="n"/>
      <c r="FWH1" s="87" t="n"/>
      <c r="FWI1" s="87" t="n"/>
      <c r="FWJ1" s="87" t="n"/>
      <c r="FWK1" s="87" t="n"/>
      <c r="FWL1" s="87" t="n"/>
      <c r="FWM1" s="87" t="n"/>
      <c r="FWN1" s="87" t="n"/>
      <c r="FWO1" s="87" t="n"/>
      <c r="FWP1" s="87" t="n"/>
      <c r="FWQ1" s="87" t="n"/>
      <c r="FWR1" s="87" t="n"/>
      <c r="FWS1" s="87" t="n"/>
      <c r="FWT1" s="87" t="n"/>
      <c r="FWU1" s="87" t="n"/>
      <c r="FWV1" s="87" t="n"/>
      <c r="FWW1" s="87" t="n"/>
      <c r="FWX1" s="87" t="n"/>
      <c r="FWY1" s="87" t="n"/>
      <c r="FWZ1" s="87" t="n"/>
      <c r="FXA1" s="87" t="n"/>
      <c r="FXB1" s="87" t="n"/>
      <c r="FXC1" s="87" t="n"/>
      <c r="FXD1" s="87" t="n"/>
      <c r="FXE1" s="87" t="n"/>
      <c r="FXF1" s="87" t="n"/>
      <c r="FXG1" s="87" t="n"/>
      <c r="FXH1" s="87" t="n"/>
      <c r="FXI1" s="87" t="n"/>
      <c r="FXJ1" s="87" t="n"/>
      <c r="FXK1" s="87" t="n"/>
      <c r="FXL1" s="87" t="n"/>
      <c r="FXM1" s="87" t="n"/>
      <c r="FXN1" s="87" t="n"/>
      <c r="FXO1" s="87" t="n"/>
      <c r="FXP1" s="87" t="n"/>
      <c r="FXQ1" s="87" t="n"/>
      <c r="FXR1" s="87" t="n"/>
      <c r="FXS1" s="87" t="n"/>
      <c r="FXT1" s="87" t="n"/>
      <c r="FXU1" s="87" t="n"/>
      <c r="FXV1" s="87" t="n"/>
      <c r="FXW1" s="87" t="n"/>
      <c r="FXX1" s="87" t="n"/>
      <c r="FXY1" s="87" t="n"/>
      <c r="FXZ1" s="87" t="n"/>
      <c r="FYA1" s="87" t="n"/>
      <c r="FYB1" s="87" t="n"/>
      <c r="FYC1" s="87" t="n"/>
      <c r="FYD1" s="87" t="n"/>
      <c r="FYE1" s="87" t="n"/>
      <c r="FYF1" s="87" t="n"/>
      <c r="FYG1" s="87" t="n"/>
      <c r="FYH1" s="87" t="n"/>
      <c r="FYI1" s="87" t="n"/>
      <c r="FYJ1" s="87" t="n"/>
      <c r="FYK1" s="87" t="n"/>
      <c r="FYL1" s="87" t="n"/>
      <c r="FYM1" s="87" t="n"/>
      <c r="FYN1" s="87" t="n"/>
      <c r="FYO1" s="87" t="n"/>
      <c r="FYP1" s="87" t="n"/>
      <c r="FYQ1" s="87" t="n"/>
      <c r="FYR1" s="87" t="n"/>
      <c r="FYS1" s="87" t="n"/>
      <c r="FYT1" s="87" t="n"/>
      <c r="FYU1" s="87" t="n"/>
      <c r="FYV1" s="87" t="n"/>
      <c r="FYW1" s="87" t="n"/>
      <c r="FYX1" s="87" t="n"/>
      <c r="FYY1" s="87" t="n"/>
      <c r="FYZ1" s="87" t="n"/>
      <c r="FZA1" s="87" t="n"/>
      <c r="FZB1" s="87" t="n"/>
      <c r="FZC1" s="87" t="n"/>
      <c r="FZD1" s="87" t="n"/>
      <c r="FZE1" s="87" t="n"/>
      <c r="FZF1" s="87" t="n"/>
      <c r="FZG1" s="87" t="n"/>
      <c r="FZH1" s="87" t="n"/>
      <c r="FZI1" s="87" t="n"/>
      <c r="FZJ1" s="87" t="n"/>
      <c r="FZK1" s="87" t="n"/>
      <c r="FZL1" s="87" t="n"/>
      <c r="FZM1" s="87" t="n"/>
      <c r="FZN1" s="87" t="n"/>
      <c r="FZO1" s="87" t="n"/>
      <c r="FZP1" s="87" t="n"/>
      <c r="FZQ1" s="87" t="n"/>
      <c r="FZR1" s="87" t="n"/>
      <c r="FZS1" s="87" t="n"/>
      <c r="FZT1" s="87" t="n"/>
      <c r="FZU1" s="87" t="n"/>
      <c r="FZV1" s="87" t="n"/>
      <c r="FZW1" s="87" t="n"/>
      <c r="FZX1" s="87" t="n"/>
      <c r="FZY1" s="87" t="n"/>
      <c r="FZZ1" s="87" t="n"/>
      <c r="GAA1" s="87" t="n"/>
      <c r="GAB1" s="87" t="n"/>
      <c r="GAC1" s="87" t="n"/>
      <c r="GAD1" s="87" t="n"/>
      <c r="GAE1" s="87" t="n"/>
      <c r="GAF1" s="87" t="n"/>
      <c r="GAG1" s="87" t="n"/>
      <c r="GAH1" s="87" t="n"/>
      <c r="GAI1" s="87" t="n"/>
      <c r="GAJ1" s="87" t="n"/>
      <c r="GAK1" s="87" t="n"/>
      <c r="GAL1" s="87" t="n"/>
      <c r="GAM1" s="87" t="n"/>
      <c r="GAN1" s="87" t="n"/>
      <c r="GAO1" s="87" t="n"/>
      <c r="GAP1" s="87" t="n"/>
      <c r="GAQ1" s="87" t="n"/>
      <c r="GAR1" s="87" t="n"/>
      <c r="GAS1" s="87" t="n"/>
      <c r="GAT1" s="87" t="n"/>
      <c r="GAU1" s="87" t="n"/>
      <c r="GAV1" s="87" t="n"/>
      <c r="GAW1" s="87" t="n"/>
      <c r="GAX1" s="87" t="n"/>
      <c r="GAY1" s="87" t="n"/>
      <c r="GAZ1" s="87" t="n"/>
      <c r="GBA1" s="87" t="n"/>
      <c r="GBB1" s="87" t="n"/>
      <c r="GBC1" s="87" t="n"/>
      <c r="GBD1" s="87" t="n"/>
      <c r="GBE1" s="87" t="n"/>
      <c r="GBF1" s="87" t="n"/>
      <c r="GBG1" s="87" t="n"/>
      <c r="GBH1" s="87" t="n"/>
      <c r="GBI1" s="87" t="n"/>
      <c r="GBJ1" s="87" t="n"/>
      <c r="GBK1" s="87" t="n"/>
      <c r="GBL1" s="87" t="n"/>
      <c r="GBM1" s="87" t="n"/>
      <c r="GBN1" s="87" t="n"/>
      <c r="GBO1" s="87" t="n"/>
      <c r="GBP1" s="87" t="n"/>
      <c r="GBQ1" s="87" t="n"/>
      <c r="GBR1" s="87" t="n"/>
      <c r="GBS1" s="87" t="n"/>
      <c r="GBT1" s="87" t="n"/>
      <c r="GBU1" s="87" t="n"/>
      <c r="GBV1" s="87" t="n"/>
      <c r="GBW1" s="87" t="n"/>
      <c r="GBX1" s="87" t="n"/>
      <c r="GBY1" s="87" t="n"/>
      <c r="GBZ1" s="87" t="n"/>
      <c r="GCA1" s="87" t="n"/>
      <c r="GCB1" s="87" t="n"/>
      <c r="GCC1" s="87" t="n"/>
      <c r="GCD1" s="87" t="n"/>
      <c r="GCE1" s="87" t="n"/>
      <c r="GCF1" s="87" t="n"/>
      <c r="GCG1" s="87" t="n"/>
      <c r="GCH1" s="87" t="n"/>
      <c r="GCI1" s="87" t="n"/>
      <c r="GCJ1" s="87" t="n"/>
      <c r="GCK1" s="87" t="n"/>
      <c r="GCL1" s="87" t="n"/>
      <c r="GCM1" s="87" t="n"/>
      <c r="GCN1" s="87" t="n"/>
      <c r="GCO1" s="87" t="n"/>
      <c r="GCP1" s="87" t="n"/>
      <c r="GCQ1" s="87" t="n"/>
      <c r="GCR1" s="87" t="n"/>
      <c r="GCS1" s="87" t="n"/>
      <c r="GCT1" s="87" t="n"/>
      <c r="GCU1" s="87" t="n"/>
      <c r="GCV1" s="87" t="n"/>
      <c r="GCW1" s="87" t="n"/>
      <c r="GCX1" s="87" t="n"/>
      <c r="GCY1" s="87" t="n"/>
      <c r="GCZ1" s="87" t="n"/>
      <c r="GDA1" s="87" t="n"/>
      <c r="GDB1" s="87" t="n"/>
      <c r="GDC1" s="87" t="n"/>
      <c r="GDD1" s="87" t="n"/>
      <c r="GDE1" s="87" t="n"/>
      <c r="GDF1" s="87" t="n"/>
      <c r="GDG1" s="87" t="n"/>
      <c r="GDH1" s="87" t="n"/>
      <c r="GDI1" s="87" t="n"/>
      <c r="GDJ1" s="87" t="n"/>
      <c r="GDK1" s="87" t="n"/>
      <c r="GDL1" s="87" t="n"/>
      <c r="GDM1" s="87" t="n"/>
      <c r="GDN1" s="87" t="n"/>
      <c r="GDO1" s="87" t="n"/>
      <c r="GDP1" s="87" t="n"/>
      <c r="GDQ1" s="87" t="n"/>
      <c r="GDR1" s="87" t="n"/>
      <c r="GDS1" s="87" t="n"/>
      <c r="GDT1" s="87" t="n"/>
      <c r="GDU1" s="87" t="n"/>
      <c r="GDV1" s="87" t="n"/>
      <c r="GDW1" s="87" t="n"/>
      <c r="GDX1" s="87" t="n"/>
      <c r="GDY1" s="87" t="n"/>
      <c r="GDZ1" s="87" t="n"/>
      <c r="GEA1" s="87" t="n"/>
      <c r="GEB1" s="87" t="n"/>
      <c r="GEC1" s="87" t="n"/>
      <c r="GED1" s="87" t="n"/>
      <c r="GEE1" s="87" t="n"/>
      <c r="GEF1" s="87" t="n"/>
      <c r="GEG1" s="87" t="n"/>
      <c r="GEH1" s="87" t="n"/>
      <c r="GEI1" s="87" t="n"/>
      <c r="GEJ1" s="87" t="n"/>
      <c r="GEK1" s="87" t="n"/>
      <c r="GEL1" s="87" t="n"/>
      <c r="GEM1" s="87" t="n"/>
      <c r="GEN1" s="87" t="n"/>
      <c r="GEO1" s="87" t="n"/>
      <c r="GEP1" s="87" t="n"/>
      <c r="GEQ1" s="87" t="n"/>
      <c r="GER1" s="87" t="n"/>
      <c r="GES1" s="87" t="n"/>
      <c r="GET1" s="87" t="n"/>
      <c r="GEU1" s="87" t="n"/>
      <c r="GEV1" s="87" t="n"/>
      <c r="GEW1" s="87" t="n"/>
      <c r="GEX1" s="87" t="n"/>
      <c r="GEY1" s="87" t="n"/>
      <c r="GEZ1" s="87" t="n"/>
      <c r="GFA1" s="87" t="n"/>
      <c r="GFB1" s="87" t="n"/>
      <c r="GFC1" s="87" t="n"/>
      <c r="GFD1" s="87" t="n"/>
      <c r="GFE1" s="87" t="n"/>
      <c r="GFF1" s="87" t="n"/>
      <c r="GFG1" s="87" t="n"/>
      <c r="GFH1" s="87" t="n"/>
      <c r="GFI1" s="87" t="n"/>
      <c r="GFJ1" s="87" t="n"/>
      <c r="GFK1" s="87" t="n"/>
      <c r="GFL1" s="87" t="n"/>
      <c r="GFM1" s="87" t="n"/>
      <c r="GFN1" s="87" t="n"/>
      <c r="GFO1" s="87" t="n"/>
      <c r="GFP1" s="87" t="n"/>
      <c r="GFQ1" s="87" t="n"/>
      <c r="GFR1" s="87" t="n"/>
      <c r="GFS1" s="87" t="n"/>
      <c r="GFT1" s="87" t="n"/>
      <c r="GFU1" s="87" t="n"/>
      <c r="GFV1" s="87" t="n"/>
      <c r="GFW1" s="87" t="n"/>
      <c r="GFX1" s="87" t="n"/>
      <c r="GFY1" s="87" t="n"/>
      <c r="GFZ1" s="87" t="n"/>
      <c r="GGA1" s="87" t="n"/>
      <c r="GGB1" s="87" t="n"/>
      <c r="GGC1" s="87" t="n"/>
      <c r="GGD1" s="87" t="n"/>
      <c r="GGE1" s="87" t="n"/>
      <c r="GGF1" s="87" t="n"/>
      <c r="GGG1" s="87" t="n"/>
      <c r="GGH1" s="87" t="n"/>
      <c r="GGI1" s="87" t="n"/>
      <c r="GGJ1" s="87" t="n"/>
      <c r="GGK1" s="87" t="n"/>
      <c r="GGL1" s="87" t="n"/>
      <c r="GGM1" s="87" t="n"/>
      <c r="GGN1" s="87" t="n"/>
      <c r="GGO1" s="87" t="n"/>
      <c r="GGP1" s="87" t="n"/>
      <c r="GGQ1" s="87" t="n"/>
      <c r="GGR1" s="87" t="n"/>
      <c r="GGS1" s="87" t="n"/>
      <c r="GGT1" s="87" t="n"/>
      <c r="GGU1" s="87" t="n"/>
      <c r="GGV1" s="87" t="n"/>
      <c r="GGW1" s="87" t="n"/>
      <c r="GGX1" s="87" t="n"/>
      <c r="GGY1" s="87" t="n"/>
      <c r="GGZ1" s="87" t="n"/>
      <c r="GHA1" s="87" t="n"/>
      <c r="GHB1" s="87" t="n"/>
      <c r="GHC1" s="87" t="n"/>
      <c r="GHD1" s="87" t="n"/>
      <c r="GHE1" s="87" t="n"/>
      <c r="GHF1" s="87" t="n"/>
      <c r="GHG1" s="87" t="n"/>
      <c r="GHH1" s="87" t="n"/>
      <c r="GHI1" s="87" t="n"/>
      <c r="GHJ1" s="87" t="n"/>
      <c r="GHK1" s="87" t="n"/>
      <c r="GHL1" s="87" t="n"/>
      <c r="GHM1" s="87" t="n"/>
      <c r="GHN1" s="87" t="n"/>
      <c r="GHO1" s="87" t="n"/>
      <c r="GHP1" s="87" t="n"/>
      <c r="GHQ1" s="87" t="n"/>
      <c r="GHR1" s="87" t="n"/>
      <c r="GHS1" s="87" t="n"/>
      <c r="GHT1" s="87" t="n"/>
      <c r="GHU1" s="87" t="n"/>
      <c r="GHV1" s="87" t="n"/>
      <c r="GHW1" s="87" t="n"/>
      <c r="GHX1" s="87" t="n"/>
      <c r="GHY1" s="87" t="n"/>
      <c r="GHZ1" s="87" t="n"/>
      <c r="GIA1" s="87" t="n"/>
      <c r="GIB1" s="87" t="n"/>
      <c r="GIC1" s="87" t="n"/>
      <c r="GID1" s="87" t="n"/>
      <c r="GIE1" s="87" t="n"/>
      <c r="GIF1" s="87" t="n"/>
      <c r="GIG1" s="87" t="n"/>
      <c r="GIH1" s="87" t="n"/>
      <c r="GII1" s="87" t="n"/>
      <c r="GIJ1" s="87" t="n"/>
      <c r="GIK1" s="87" t="n"/>
      <c r="GIL1" s="87" t="n"/>
      <c r="GIM1" s="87" t="n"/>
      <c r="GIN1" s="87" t="n"/>
      <c r="GIO1" s="87" t="n"/>
      <c r="GIP1" s="87" t="n"/>
      <c r="GIQ1" s="87" t="n"/>
      <c r="GIR1" s="87" t="n"/>
      <c r="GIS1" s="87" t="n"/>
      <c r="GIT1" s="87" t="n"/>
      <c r="GIU1" s="87" t="n"/>
      <c r="GIV1" s="87" t="n"/>
      <c r="GIW1" s="87" t="n"/>
      <c r="GIX1" s="87" t="n"/>
      <c r="GIY1" s="87" t="n"/>
      <c r="GIZ1" s="87" t="n"/>
      <c r="GJA1" s="87" t="n"/>
      <c r="GJB1" s="87" t="n"/>
      <c r="GJC1" s="87" t="n"/>
      <c r="GJD1" s="87" t="n"/>
      <c r="GJE1" s="87" t="n"/>
      <c r="GJF1" s="87" t="n"/>
      <c r="GJG1" s="87" t="n"/>
      <c r="GJH1" s="87" t="n"/>
      <c r="GJI1" s="87" t="n"/>
      <c r="GJJ1" s="87" t="n"/>
      <c r="GJK1" s="87" t="n"/>
      <c r="GJL1" s="87" t="n"/>
      <c r="GJM1" s="87" t="n"/>
      <c r="GJN1" s="87" t="n"/>
      <c r="GJO1" s="87" t="n"/>
      <c r="GJP1" s="87" t="n"/>
      <c r="GJQ1" s="87" t="n"/>
      <c r="GJR1" s="87" t="n"/>
      <c r="GJS1" s="87" t="n"/>
      <c r="GJT1" s="87" t="n"/>
      <c r="GJU1" s="87" t="n"/>
      <c r="GJV1" s="87" t="n"/>
      <c r="GJW1" s="87" t="n"/>
      <c r="GJX1" s="87" t="n"/>
      <c r="GJY1" s="87" t="n"/>
      <c r="GJZ1" s="87" t="n"/>
      <c r="GKA1" s="87" t="n"/>
      <c r="GKB1" s="87" t="n"/>
      <c r="GKC1" s="87" t="n"/>
      <c r="GKD1" s="87" t="n"/>
      <c r="GKE1" s="87" t="n"/>
      <c r="GKF1" s="87" t="n"/>
      <c r="GKG1" s="87" t="n"/>
      <c r="GKH1" s="87" t="n"/>
      <c r="GKI1" s="87" t="n"/>
      <c r="GKJ1" s="87" t="n"/>
      <c r="GKK1" s="87" t="n"/>
      <c r="GKL1" s="87" t="n"/>
      <c r="GKM1" s="87" t="n"/>
      <c r="GKN1" s="87" t="n"/>
      <c r="GKO1" s="87" t="n"/>
      <c r="GKP1" s="87" t="n"/>
      <c r="GKQ1" s="87" t="n"/>
      <c r="GKR1" s="87" t="n"/>
      <c r="GKS1" s="87" t="n"/>
      <c r="GKT1" s="87" t="n"/>
      <c r="GKU1" s="87" t="n"/>
      <c r="GKV1" s="87" t="n"/>
      <c r="GKW1" s="87" t="n"/>
      <c r="GKX1" s="87" t="n"/>
      <c r="GKY1" s="87" t="n"/>
      <c r="GKZ1" s="87" t="n"/>
      <c r="GLA1" s="87" t="n"/>
      <c r="GLB1" s="87" t="n"/>
      <c r="GLC1" s="87" t="n"/>
      <c r="GLD1" s="87" t="n"/>
      <c r="GLE1" s="87" t="n"/>
      <c r="GLF1" s="87" t="n"/>
      <c r="GLG1" s="87" t="n"/>
      <c r="GLH1" s="87" t="n"/>
      <c r="GLI1" s="87" t="n"/>
      <c r="GLJ1" s="87" t="n"/>
      <c r="GLK1" s="87" t="n"/>
      <c r="GLL1" s="87" t="n"/>
      <c r="GLM1" s="87" t="n"/>
      <c r="GLN1" s="87" t="n"/>
      <c r="GLO1" s="87" t="n"/>
      <c r="GLP1" s="87" t="n"/>
      <c r="GLQ1" s="87" t="n"/>
      <c r="GLR1" s="87" t="n"/>
      <c r="GLS1" s="87" t="n"/>
      <c r="GLT1" s="87" t="n"/>
      <c r="GLU1" s="87" t="n"/>
      <c r="GLV1" s="87" t="n"/>
      <c r="GLW1" s="87" t="n"/>
      <c r="GLX1" s="87" t="n"/>
      <c r="GLY1" s="87" t="n"/>
      <c r="GLZ1" s="87" t="n"/>
      <c r="GMA1" s="87" t="n"/>
      <c r="GMB1" s="87" t="n"/>
      <c r="GMC1" s="87" t="n"/>
      <c r="GMD1" s="87" t="n"/>
      <c r="GME1" s="87" t="n"/>
      <c r="GMF1" s="87" t="n"/>
      <c r="GMG1" s="87" t="n"/>
      <c r="GMH1" s="87" t="n"/>
      <c r="GMI1" s="87" t="n"/>
      <c r="GMJ1" s="87" t="n"/>
      <c r="GMK1" s="87" t="n"/>
      <c r="GML1" s="87" t="n"/>
      <c r="GMM1" s="87" t="n"/>
      <c r="GMN1" s="87" t="n"/>
      <c r="GMO1" s="87" t="n"/>
      <c r="GMP1" s="87" t="n"/>
      <c r="GMQ1" s="87" t="n"/>
      <c r="GMR1" s="87" t="n"/>
      <c r="GMS1" s="87" t="n"/>
      <c r="GMT1" s="87" t="n"/>
      <c r="GMU1" s="87" t="n"/>
      <c r="GMV1" s="87" t="n"/>
      <c r="GMW1" s="87" t="n"/>
      <c r="GMX1" s="87" t="n"/>
      <c r="GMY1" s="87" t="n"/>
      <c r="GMZ1" s="87" t="n"/>
      <c r="GNA1" s="87" t="n"/>
      <c r="GNB1" s="87" t="n"/>
      <c r="GNC1" s="87" t="n"/>
      <c r="GND1" s="87" t="n"/>
      <c r="GNE1" s="87" t="n"/>
      <c r="GNF1" s="87" t="n"/>
      <c r="GNG1" s="87" t="n"/>
      <c r="GNH1" s="87" t="n"/>
      <c r="GNI1" s="87" t="n"/>
      <c r="GNJ1" s="87" t="n"/>
      <c r="GNK1" s="87" t="n"/>
      <c r="GNL1" s="87" t="n"/>
      <c r="GNM1" s="87" t="n"/>
      <c r="GNN1" s="87" t="n"/>
      <c r="GNO1" s="87" t="n"/>
      <c r="GNP1" s="87" t="n"/>
      <c r="GNQ1" s="87" t="n"/>
      <c r="GNR1" s="87" t="n"/>
      <c r="GNS1" s="87" t="n"/>
      <c r="GNT1" s="87" t="n"/>
      <c r="GNU1" s="87" t="n"/>
      <c r="GNV1" s="87" t="n"/>
      <c r="GNW1" s="87" t="n"/>
      <c r="GNX1" s="87" t="n"/>
      <c r="GNY1" s="87" t="n"/>
      <c r="GNZ1" s="87" t="n"/>
      <c r="GOA1" s="87" t="n"/>
      <c r="GOB1" s="87" t="n"/>
      <c r="GOC1" s="87" t="n"/>
      <c r="GOD1" s="87" t="n"/>
      <c r="GOE1" s="87" t="n"/>
      <c r="GOF1" s="87" t="n"/>
      <c r="GOG1" s="87" t="n"/>
      <c r="GOH1" s="87" t="n"/>
      <c r="GOI1" s="87" t="n"/>
      <c r="GOJ1" s="87" t="n"/>
      <c r="GOK1" s="87" t="n"/>
      <c r="GOL1" s="87" t="n"/>
      <c r="GOM1" s="87" t="n"/>
      <c r="GON1" s="87" t="n"/>
      <c r="GOO1" s="87" t="n"/>
      <c r="GOP1" s="87" t="n"/>
      <c r="GOQ1" s="87" t="n"/>
      <c r="GOR1" s="87" t="n"/>
      <c r="GOS1" s="87" t="n"/>
      <c r="GOT1" s="87" t="n"/>
      <c r="GOU1" s="87" t="n"/>
      <c r="GOV1" s="87" t="n"/>
      <c r="GOW1" s="87" t="n"/>
      <c r="GOX1" s="87" t="n"/>
      <c r="GOY1" s="87" t="n"/>
      <c r="GOZ1" s="87" t="n"/>
      <c r="GPA1" s="87" t="n"/>
      <c r="GPB1" s="87" t="n"/>
      <c r="GPC1" s="87" t="n"/>
      <c r="GPD1" s="87" t="n"/>
      <c r="GPE1" s="87" t="n"/>
      <c r="GPF1" s="87" t="n"/>
      <c r="GPG1" s="87" t="n"/>
      <c r="GPH1" s="87" t="n"/>
      <c r="GPI1" s="87" t="n"/>
      <c r="GPJ1" s="87" t="n"/>
      <c r="GPK1" s="87" t="n"/>
      <c r="GPL1" s="87" t="n"/>
      <c r="GPM1" s="87" t="n"/>
      <c r="GPN1" s="87" t="n"/>
      <c r="GPO1" s="87" t="n"/>
      <c r="GPP1" s="87" t="n"/>
      <c r="GPQ1" s="87" t="n"/>
      <c r="GPR1" s="87" t="n"/>
      <c r="GPS1" s="87" t="n"/>
      <c r="GPT1" s="87" t="n"/>
      <c r="GPU1" s="87" t="n"/>
      <c r="GPV1" s="87" t="n"/>
      <c r="GPW1" s="87" t="n"/>
      <c r="GPX1" s="87" t="n"/>
      <c r="GPY1" s="87" t="n"/>
      <c r="GPZ1" s="87" t="n"/>
      <c r="GQA1" s="87" t="n"/>
      <c r="GQB1" s="87" t="n"/>
      <c r="GQC1" s="87" t="n"/>
      <c r="GQD1" s="87" t="n"/>
      <c r="GQE1" s="87" t="n"/>
      <c r="GQF1" s="87" t="n"/>
      <c r="GQG1" s="87" t="n"/>
      <c r="GQH1" s="87" t="n"/>
      <c r="GQI1" s="87" t="n"/>
      <c r="GQJ1" s="87" t="n"/>
      <c r="GQK1" s="87" t="n"/>
      <c r="GQL1" s="87" t="n"/>
      <c r="GQM1" s="87" t="n"/>
      <c r="GQN1" s="87" t="n"/>
      <c r="GQO1" s="87" t="n"/>
      <c r="GQP1" s="87" t="n"/>
      <c r="GQQ1" s="87" t="n"/>
      <c r="GQR1" s="87" t="n"/>
      <c r="GQS1" s="87" t="n"/>
      <c r="GQT1" s="87" t="n"/>
      <c r="GQU1" s="87" t="n"/>
      <c r="GQV1" s="87" t="n"/>
      <c r="GQW1" s="87" t="n"/>
      <c r="GQX1" s="87" t="n"/>
      <c r="GQY1" s="87" t="n"/>
      <c r="GQZ1" s="87" t="n"/>
      <c r="GRA1" s="87" t="n"/>
      <c r="GRB1" s="87" t="n"/>
      <c r="GRC1" s="87" t="n"/>
      <c r="GRD1" s="87" t="n"/>
      <c r="GRE1" s="87" t="n"/>
      <c r="GRF1" s="87" t="n"/>
      <c r="GRG1" s="87" t="n"/>
      <c r="GRH1" s="87" t="n"/>
      <c r="GRI1" s="87" t="n"/>
      <c r="GRJ1" s="87" t="n"/>
      <c r="GRK1" s="87" t="n"/>
      <c r="GRL1" s="87" t="n"/>
      <c r="GRM1" s="87" t="n"/>
      <c r="GRN1" s="87" t="n"/>
      <c r="GRO1" s="87" t="n"/>
      <c r="GRP1" s="87" t="n"/>
      <c r="GRQ1" s="87" t="n"/>
      <c r="GRR1" s="87" t="n"/>
      <c r="GRS1" s="87" t="n"/>
      <c r="GRT1" s="87" t="n"/>
      <c r="GRU1" s="87" t="n"/>
      <c r="GRV1" s="87" t="n"/>
      <c r="GRW1" s="87" t="n"/>
      <c r="GRX1" s="87" t="n"/>
      <c r="GRY1" s="87" t="n"/>
      <c r="GRZ1" s="87" t="n"/>
      <c r="GSA1" s="87" t="n"/>
      <c r="GSB1" s="87" t="n"/>
      <c r="GSC1" s="87" t="n"/>
      <c r="GSD1" s="87" t="n"/>
      <c r="GSE1" s="87" t="n"/>
      <c r="GSF1" s="87" t="n"/>
      <c r="GSG1" s="87" t="n"/>
      <c r="GSH1" s="87" t="n"/>
      <c r="GSI1" s="87" t="n"/>
      <c r="GSJ1" s="87" t="n"/>
      <c r="GSK1" s="87" t="n"/>
      <c r="GSL1" s="87" t="n"/>
      <c r="GSM1" s="87" t="n"/>
      <c r="GSN1" s="87" t="n"/>
      <c r="GSO1" s="87" t="n"/>
      <c r="GSP1" s="87" t="n"/>
      <c r="GSQ1" s="87" t="n"/>
      <c r="GSR1" s="87" t="n"/>
      <c r="GSS1" s="87" t="n"/>
      <c r="GST1" s="87" t="n"/>
      <c r="GSU1" s="87" t="n"/>
      <c r="GSV1" s="87" t="n"/>
      <c r="GSW1" s="87" t="n"/>
      <c r="GSX1" s="87" t="n"/>
      <c r="GSY1" s="87" t="n"/>
      <c r="GSZ1" s="87" t="n"/>
      <c r="GTA1" s="87" t="n"/>
      <c r="GTB1" s="87" t="n"/>
      <c r="GTC1" s="87" t="n"/>
      <c r="GTD1" s="87" t="n"/>
      <c r="GTE1" s="87" t="n"/>
      <c r="GTF1" s="87" t="n"/>
      <c r="GTG1" s="87" t="n"/>
      <c r="GTH1" s="87" t="n"/>
      <c r="GTI1" s="87" t="n"/>
      <c r="GTJ1" s="87" t="n"/>
      <c r="GTK1" s="87" t="n"/>
      <c r="GTL1" s="87" t="n"/>
      <c r="GTM1" s="87" t="n"/>
      <c r="GTN1" s="87" t="n"/>
      <c r="GTO1" s="87" t="n"/>
      <c r="GTP1" s="87" t="n"/>
      <c r="GTQ1" s="87" t="n"/>
      <c r="GTR1" s="87" t="n"/>
      <c r="GTS1" s="87" t="n"/>
      <c r="GTT1" s="87" t="n"/>
      <c r="GTU1" s="87" t="n"/>
      <c r="GTV1" s="87" t="n"/>
      <c r="GTW1" s="87" t="n"/>
      <c r="GTX1" s="87" t="n"/>
      <c r="GTY1" s="87" t="n"/>
      <c r="GTZ1" s="87" t="n"/>
      <c r="GUA1" s="87" t="n"/>
      <c r="GUB1" s="87" t="n"/>
      <c r="GUC1" s="87" t="n"/>
      <c r="GUD1" s="87" t="n"/>
      <c r="GUE1" s="87" t="n"/>
      <c r="GUF1" s="87" t="n"/>
      <c r="GUG1" s="87" t="n"/>
      <c r="GUH1" s="87" t="n"/>
      <c r="GUI1" s="87" t="n"/>
      <c r="GUJ1" s="87" t="n"/>
      <c r="GUK1" s="87" t="n"/>
      <c r="GUL1" s="87" t="n"/>
      <c r="GUM1" s="87" t="n"/>
      <c r="GUN1" s="87" t="n"/>
      <c r="GUO1" s="87" t="n"/>
      <c r="GUP1" s="87" t="n"/>
      <c r="GUQ1" s="87" t="n"/>
      <c r="GUR1" s="87" t="n"/>
      <c r="GUS1" s="87" t="n"/>
      <c r="GUT1" s="87" t="n"/>
      <c r="GUU1" s="87" t="n"/>
      <c r="GUV1" s="87" t="n"/>
      <c r="GUW1" s="87" t="n"/>
      <c r="GUX1" s="87" t="n"/>
      <c r="GUY1" s="87" t="n"/>
      <c r="GUZ1" s="87" t="n"/>
      <c r="GVA1" s="87" t="n"/>
      <c r="GVB1" s="87" t="n"/>
      <c r="GVC1" s="87" t="n"/>
      <c r="GVD1" s="87" t="n"/>
      <c r="GVE1" s="87" t="n"/>
      <c r="GVF1" s="87" t="n"/>
      <c r="GVG1" s="87" t="n"/>
      <c r="GVH1" s="87" t="n"/>
      <c r="GVI1" s="87" t="n"/>
      <c r="GVJ1" s="87" t="n"/>
      <c r="GVK1" s="87" t="n"/>
      <c r="GVL1" s="87" t="n"/>
      <c r="GVM1" s="87" t="n"/>
      <c r="GVN1" s="87" t="n"/>
      <c r="GVO1" s="87" t="n"/>
      <c r="GVP1" s="87" t="n"/>
      <c r="GVQ1" s="87" t="n"/>
      <c r="GVR1" s="87" t="n"/>
      <c r="GVS1" s="87" t="n"/>
      <c r="GVT1" s="87" t="n"/>
      <c r="GVU1" s="87" t="n"/>
      <c r="GVV1" s="87" t="n"/>
      <c r="GVW1" s="87" t="n"/>
      <c r="GVX1" s="87" t="n"/>
      <c r="GVY1" s="87" t="n"/>
      <c r="GVZ1" s="87" t="n"/>
      <c r="GWA1" s="87" t="n"/>
      <c r="GWB1" s="87" t="n"/>
      <c r="GWC1" s="87" t="n"/>
      <c r="GWD1" s="87" t="n"/>
      <c r="GWE1" s="87" t="n"/>
      <c r="GWF1" s="87" t="n"/>
      <c r="GWG1" s="87" t="n"/>
      <c r="GWH1" s="87" t="n"/>
      <c r="GWI1" s="87" t="n"/>
      <c r="GWJ1" s="87" t="n"/>
      <c r="GWK1" s="87" t="n"/>
      <c r="GWL1" s="87" t="n"/>
      <c r="GWM1" s="87" t="n"/>
      <c r="GWN1" s="87" t="n"/>
      <c r="GWO1" s="87" t="n"/>
      <c r="GWP1" s="87" t="n"/>
      <c r="GWQ1" s="87" t="n"/>
      <c r="GWR1" s="87" t="n"/>
      <c r="GWS1" s="87" t="n"/>
      <c r="GWT1" s="87" t="n"/>
      <c r="GWU1" s="87" t="n"/>
      <c r="GWV1" s="87" t="n"/>
      <c r="GWW1" s="87" t="n"/>
      <c r="GWX1" s="87" t="n"/>
      <c r="GWY1" s="87" t="n"/>
      <c r="GWZ1" s="87" t="n"/>
      <c r="GXA1" s="87" t="n"/>
      <c r="GXB1" s="87" t="n"/>
      <c r="GXC1" s="87" t="n"/>
      <c r="GXD1" s="87" t="n"/>
      <c r="GXE1" s="87" t="n"/>
      <c r="GXF1" s="87" t="n"/>
      <c r="GXG1" s="87" t="n"/>
      <c r="GXH1" s="87" t="n"/>
      <c r="GXI1" s="87" t="n"/>
      <c r="GXJ1" s="87" t="n"/>
      <c r="GXK1" s="87" t="n"/>
      <c r="GXL1" s="87" t="n"/>
      <c r="GXM1" s="87" t="n"/>
      <c r="GXN1" s="87" t="n"/>
      <c r="GXO1" s="87" t="n"/>
      <c r="GXP1" s="87" t="n"/>
      <c r="GXQ1" s="87" t="n"/>
      <c r="GXR1" s="87" t="n"/>
      <c r="GXS1" s="87" t="n"/>
      <c r="GXT1" s="87" t="n"/>
      <c r="GXU1" s="87" t="n"/>
      <c r="GXV1" s="87" t="n"/>
      <c r="GXW1" s="87" t="n"/>
      <c r="GXX1" s="87" t="n"/>
      <c r="GXY1" s="87" t="n"/>
      <c r="GXZ1" s="87" t="n"/>
      <c r="GYA1" s="87" t="n"/>
      <c r="GYB1" s="87" t="n"/>
      <c r="GYC1" s="87" t="n"/>
      <c r="GYD1" s="87" t="n"/>
      <c r="GYE1" s="87" t="n"/>
      <c r="GYF1" s="87" t="n"/>
      <c r="GYG1" s="87" t="n"/>
      <c r="GYH1" s="87" t="n"/>
      <c r="GYI1" s="87" t="n"/>
      <c r="GYJ1" s="87" t="n"/>
      <c r="GYK1" s="87" t="n"/>
      <c r="GYL1" s="87" t="n"/>
      <c r="GYM1" s="87" t="n"/>
      <c r="GYN1" s="87" t="n"/>
      <c r="GYO1" s="87" t="n"/>
      <c r="GYP1" s="87" t="n"/>
      <c r="GYQ1" s="87" t="n"/>
      <c r="GYR1" s="87" t="n"/>
      <c r="GYS1" s="87" t="n"/>
      <c r="GYT1" s="87" t="n"/>
      <c r="GYU1" s="87" t="n"/>
      <c r="GYV1" s="87" t="n"/>
      <c r="GYW1" s="87" t="n"/>
      <c r="GYX1" s="87" t="n"/>
      <c r="GYY1" s="87" t="n"/>
      <c r="GYZ1" s="87" t="n"/>
      <c r="GZA1" s="87" t="n"/>
      <c r="GZB1" s="87" t="n"/>
      <c r="GZC1" s="87" t="n"/>
      <c r="GZD1" s="87" t="n"/>
      <c r="GZE1" s="87" t="n"/>
      <c r="GZF1" s="87" t="n"/>
      <c r="GZG1" s="87" t="n"/>
      <c r="GZH1" s="87" t="n"/>
      <c r="GZI1" s="87" t="n"/>
      <c r="GZJ1" s="87" t="n"/>
      <c r="GZK1" s="87" t="n"/>
      <c r="GZL1" s="87" t="n"/>
      <c r="GZM1" s="87" t="n"/>
      <c r="GZN1" s="87" t="n"/>
      <c r="GZO1" s="87" t="n"/>
      <c r="GZP1" s="87" t="n"/>
      <c r="GZQ1" s="87" t="n"/>
      <c r="GZR1" s="87" t="n"/>
      <c r="GZS1" s="87" t="n"/>
      <c r="GZT1" s="87" t="n"/>
      <c r="GZU1" s="87" t="n"/>
      <c r="GZV1" s="87" t="n"/>
      <c r="GZW1" s="87" t="n"/>
      <c r="GZX1" s="87" t="n"/>
      <c r="GZY1" s="87" t="n"/>
      <c r="GZZ1" s="87" t="n"/>
      <c r="HAA1" s="87" t="n"/>
      <c r="HAB1" s="87" t="n"/>
      <c r="HAC1" s="87" t="n"/>
      <c r="HAD1" s="87" t="n"/>
      <c r="HAE1" s="87" t="n"/>
      <c r="HAF1" s="87" t="n"/>
      <c r="HAG1" s="87" t="n"/>
      <c r="HAH1" s="87" t="n"/>
      <c r="HAI1" s="87" t="n"/>
      <c r="HAJ1" s="87" t="n"/>
      <c r="HAK1" s="87" t="n"/>
      <c r="HAL1" s="87" t="n"/>
      <c r="HAM1" s="87" t="n"/>
      <c r="HAN1" s="87" t="n"/>
      <c r="HAO1" s="87" t="n"/>
      <c r="HAP1" s="87" t="n"/>
      <c r="HAQ1" s="87" t="n"/>
      <c r="HAR1" s="87" t="n"/>
      <c r="HAS1" s="87" t="n"/>
      <c r="HAT1" s="87" t="n"/>
      <c r="HAU1" s="87" t="n"/>
      <c r="HAV1" s="87" t="n"/>
      <c r="HAW1" s="87" t="n"/>
      <c r="HAX1" s="87" t="n"/>
      <c r="HAY1" s="87" t="n"/>
      <c r="HAZ1" s="87" t="n"/>
      <c r="HBA1" s="87" t="n"/>
      <c r="HBB1" s="87" t="n"/>
      <c r="HBC1" s="87" t="n"/>
      <c r="HBD1" s="87" t="n"/>
      <c r="HBE1" s="87" t="n"/>
      <c r="HBF1" s="87" t="n"/>
      <c r="HBG1" s="87" t="n"/>
      <c r="HBH1" s="87" t="n"/>
      <c r="HBI1" s="87" t="n"/>
      <c r="HBJ1" s="87" t="n"/>
      <c r="HBK1" s="87" t="n"/>
      <c r="HBL1" s="87" t="n"/>
      <c r="HBM1" s="87" t="n"/>
      <c r="HBN1" s="87" t="n"/>
      <c r="HBO1" s="87" t="n"/>
      <c r="HBP1" s="87" t="n"/>
      <c r="HBQ1" s="87" t="n"/>
      <c r="HBR1" s="87" t="n"/>
      <c r="HBS1" s="87" t="n"/>
      <c r="HBT1" s="87" t="n"/>
      <c r="HBU1" s="87" t="n"/>
      <c r="HBV1" s="87" t="n"/>
      <c r="HBW1" s="87" t="n"/>
      <c r="HBX1" s="87" t="n"/>
      <c r="HBY1" s="87" t="n"/>
      <c r="HBZ1" s="87" t="n"/>
      <c r="HCA1" s="87" t="n"/>
      <c r="HCB1" s="87" t="n"/>
      <c r="HCC1" s="87" t="n"/>
      <c r="HCD1" s="87" t="n"/>
      <c r="HCE1" s="87" t="n"/>
      <c r="HCF1" s="87" t="n"/>
      <c r="HCG1" s="87" t="n"/>
      <c r="HCH1" s="87" t="n"/>
      <c r="HCI1" s="87" t="n"/>
      <c r="HCJ1" s="87" t="n"/>
      <c r="HCK1" s="87" t="n"/>
      <c r="HCL1" s="87" t="n"/>
      <c r="HCM1" s="87" t="n"/>
      <c r="HCN1" s="87" t="n"/>
      <c r="HCO1" s="87" t="n"/>
      <c r="HCP1" s="87" t="n"/>
      <c r="HCQ1" s="87" t="n"/>
      <c r="HCR1" s="87" t="n"/>
      <c r="HCS1" s="87" t="n"/>
      <c r="HCT1" s="87" t="n"/>
      <c r="HCU1" s="87" t="n"/>
      <c r="HCV1" s="87" t="n"/>
      <c r="HCW1" s="87" t="n"/>
      <c r="HCX1" s="87" t="n"/>
      <c r="HCY1" s="87" t="n"/>
      <c r="HCZ1" s="87" t="n"/>
      <c r="HDA1" s="87" t="n"/>
      <c r="HDB1" s="87" t="n"/>
      <c r="HDC1" s="87" t="n"/>
      <c r="HDD1" s="87" t="n"/>
      <c r="HDE1" s="87" t="n"/>
      <c r="HDF1" s="87" t="n"/>
      <c r="HDG1" s="87" t="n"/>
      <c r="HDH1" s="87" t="n"/>
      <c r="HDI1" s="87" t="n"/>
      <c r="HDJ1" s="87" t="n"/>
      <c r="HDK1" s="87" t="n"/>
      <c r="HDL1" s="87" t="n"/>
      <c r="HDM1" s="87" t="n"/>
      <c r="HDN1" s="87" t="n"/>
      <c r="HDO1" s="87" t="n"/>
      <c r="HDP1" s="87" t="n"/>
      <c r="HDQ1" s="87" t="n"/>
      <c r="HDR1" s="87" t="n"/>
      <c r="HDS1" s="87" t="n"/>
      <c r="HDT1" s="87" t="n"/>
      <c r="HDU1" s="87" t="n"/>
      <c r="HDV1" s="87" t="n"/>
      <c r="HDW1" s="87" t="n"/>
      <c r="HDX1" s="87" t="n"/>
      <c r="HDY1" s="87" t="n"/>
      <c r="HDZ1" s="87" t="n"/>
      <c r="HEA1" s="87" t="n"/>
      <c r="HEB1" s="87" t="n"/>
      <c r="HEC1" s="87" t="n"/>
      <c r="HED1" s="87" t="n"/>
      <c r="HEE1" s="87" t="n"/>
      <c r="HEF1" s="87" t="n"/>
      <c r="HEG1" s="87" t="n"/>
      <c r="HEH1" s="87" t="n"/>
      <c r="HEI1" s="87" t="n"/>
      <c r="HEJ1" s="87" t="n"/>
      <c r="HEK1" s="87" t="n"/>
      <c r="HEL1" s="87" t="n"/>
      <c r="HEM1" s="87" t="n"/>
      <c r="HEN1" s="87" t="n"/>
      <c r="HEO1" s="87" t="n"/>
      <c r="HEP1" s="87" t="n"/>
      <c r="HEQ1" s="87" t="n"/>
      <c r="HER1" s="87" t="n"/>
      <c r="HES1" s="87" t="n"/>
      <c r="HET1" s="87" t="n"/>
      <c r="HEU1" s="87" t="n"/>
      <c r="HEV1" s="87" t="n"/>
      <c r="HEW1" s="87" t="n"/>
      <c r="HEX1" s="87" t="n"/>
      <c r="HEY1" s="87" t="n"/>
      <c r="HEZ1" s="87" t="n"/>
      <c r="HFA1" s="87" t="n"/>
      <c r="HFB1" s="87" t="n"/>
      <c r="HFC1" s="87" t="n"/>
      <c r="HFD1" s="87" t="n"/>
      <c r="HFE1" s="87" t="n"/>
      <c r="HFF1" s="87" t="n"/>
      <c r="HFG1" s="87" t="n"/>
      <c r="HFH1" s="87" t="n"/>
      <c r="HFI1" s="87" t="n"/>
      <c r="HFJ1" s="87" t="n"/>
      <c r="HFK1" s="87" t="n"/>
      <c r="HFL1" s="87" t="n"/>
      <c r="HFM1" s="87" t="n"/>
      <c r="HFN1" s="87" t="n"/>
      <c r="HFO1" s="87" t="n"/>
      <c r="HFP1" s="87" t="n"/>
      <c r="HFQ1" s="87" t="n"/>
      <c r="HFR1" s="87" t="n"/>
      <c r="HFS1" s="87" t="n"/>
      <c r="HFT1" s="87" t="n"/>
      <c r="HFU1" s="87" t="n"/>
      <c r="HFV1" s="87" t="n"/>
      <c r="HFW1" s="87" t="n"/>
      <c r="HFX1" s="87" t="n"/>
      <c r="HFY1" s="87" t="n"/>
      <c r="HFZ1" s="87" t="n"/>
      <c r="HGA1" s="87" t="n"/>
      <c r="HGB1" s="87" t="n"/>
      <c r="HGC1" s="87" t="n"/>
      <c r="HGD1" s="87" t="n"/>
      <c r="HGE1" s="87" t="n"/>
      <c r="HGF1" s="87" t="n"/>
      <c r="HGG1" s="87" t="n"/>
      <c r="HGH1" s="87" t="n"/>
      <c r="HGI1" s="87" t="n"/>
      <c r="HGJ1" s="87" t="n"/>
      <c r="HGK1" s="87" t="n"/>
      <c r="HGL1" s="87" t="n"/>
      <c r="HGM1" s="87" t="n"/>
      <c r="HGN1" s="87" t="n"/>
      <c r="HGO1" s="87" t="n"/>
      <c r="HGP1" s="87" t="n"/>
      <c r="HGQ1" s="87" t="n"/>
      <c r="HGR1" s="87" t="n"/>
      <c r="HGS1" s="87" t="n"/>
      <c r="HGT1" s="87" t="n"/>
      <c r="HGU1" s="87" t="n"/>
      <c r="HGV1" s="87" t="n"/>
      <c r="HGW1" s="87" t="n"/>
      <c r="HGX1" s="87" t="n"/>
      <c r="HGY1" s="87" t="n"/>
      <c r="HGZ1" s="87" t="n"/>
      <c r="HHA1" s="87" t="n"/>
      <c r="HHB1" s="87" t="n"/>
      <c r="HHC1" s="87" t="n"/>
      <c r="HHD1" s="87" t="n"/>
      <c r="HHE1" s="87" t="n"/>
      <c r="HHF1" s="87" t="n"/>
      <c r="HHG1" s="87" t="n"/>
      <c r="HHH1" s="87" t="n"/>
      <c r="HHI1" s="87" t="n"/>
      <c r="HHJ1" s="87" t="n"/>
      <c r="HHK1" s="87" t="n"/>
      <c r="HHL1" s="87" t="n"/>
      <c r="HHM1" s="87" t="n"/>
      <c r="HHN1" s="87" t="n"/>
      <c r="HHO1" s="87" t="n"/>
      <c r="HHP1" s="87" t="n"/>
      <c r="HHQ1" s="87" t="n"/>
      <c r="HHR1" s="87" t="n"/>
      <c r="HHS1" s="87" t="n"/>
      <c r="HHT1" s="87" t="n"/>
      <c r="HHU1" s="87" t="n"/>
      <c r="HHV1" s="87" t="n"/>
      <c r="HHW1" s="87" t="n"/>
      <c r="HHX1" s="87" t="n"/>
      <c r="HHY1" s="87" t="n"/>
      <c r="HHZ1" s="87" t="n"/>
      <c r="HIA1" s="87" t="n"/>
      <c r="HIB1" s="87" t="n"/>
      <c r="HIC1" s="87" t="n"/>
      <c r="HID1" s="87" t="n"/>
      <c r="HIE1" s="87" t="n"/>
      <c r="HIF1" s="87" t="n"/>
      <c r="HIG1" s="87" t="n"/>
      <c r="HIH1" s="87" t="n"/>
      <c r="HII1" s="87" t="n"/>
      <c r="HIJ1" s="87" t="n"/>
      <c r="HIK1" s="87" t="n"/>
      <c r="HIL1" s="87" t="n"/>
      <c r="HIM1" s="87" t="n"/>
      <c r="HIN1" s="87" t="n"/>
      <c r="HIO1" s="87" t="n"/>
      <c r="HIP1" s="87" t="n"/>
      <c r="HIQ1" s="87" t="n"/>
      <c r="HIR1" s="87" t="n"/>
      <c r="HIS1" s="87" t="n"/>
      <c r="HIT1" s="87" t="n"/>
      <c r="HIU1" s="87" t="n"/>
      <c r="HIV1" s="87" t="n"/>
      <c r="HIW1" s="87" t="n"/>
      <c r="HIX1" s="87" t="n"/>
      <c r="HIY1" s="87" t="n"/>
      <c r="HIZ1" s="87" t="n"/>
      <c r="HJA1" s="87" t="n"/>
      <c r="HJB1" s="87" t="n"/>
      <c r="HJC1" s="87" t="n"/>
      <c r="HJD1" s="87" t="n"/>
      <c r="HJE1" s="87" t="n"/>
      <c r="HJF1" s="87" t="n"/>
      <c r="HJG1" s="87" t="n"/>
      <c r="HJH1" s="87" t="n"/>
      <c r="HJI1" s="87" t="n"/>
      <c r="HJJ1" s="87" t="n"/>
      <c r="HJK1" s="87" t="n"/>
      <c r="HJL1" s="87" t="n"/>
      <c r="HJM1" s="87" t="n"/>
      <c r="HJN1" s="87" t="n"/>
      <c r="HJO1" s="87" t="n"/>
      <c r="HJP1" s="87" t="n"/>
      <c r="HJQ1" s="87" t="n"/>
      <c r="HJR1" s="87" t="n"/>
      <c r="HJS1" s="87" t="n"/>
      <c r="HJT1" s="87" t="n"/>
      <c r="HJU1" s="87" t="n"/>
      <c r="HJV1" s="87" t="n"/>
      <c r="HJW1" s="87" t="n"/>
      <c r="HJX1" s="87" t="n"/>
      <c r="HJY1" s="87" t="n"/>
      <c r="HJZ1" s="87" t="n"/>
      <c r="HKA1" s="87" t="n"/>
      <c r="HKB1" s="87" t="n"/>
      <c r="HKC1" s="87" t="n"/>
      <c r="HKD1" s="87" t="n"/>
      <c r="HKE1" s="87" t="n"/>
      <c r="HKF1" s="87" t="n"/>
      <c r="HKG1" s="87" t="n"/>
      <c r="HKH1" s="87" t="n"/>
      <c r="HKI1" s="87" t="n"/>
      <c r="HKJ1" s="87" t="n"/>
      <c r="HKK1" s="87" t="n"/>
      <c r="HKL1" s="87" t="n"/>
      <c r="HKM1" s="87" t="n"/>
      <c r="HKN1" s="87" t="n"/>
      <c r="HKO1" s="87" t="n"/>
      <c r="HKP1" s="87" t="n"/>
      <c r="HKQ1" s="87" t="n"/>
      <c r="HKR1" s="87" t="n"/>
      <c r="HKS1" s="87" t="n"/>
      <c r="HKT1" s="87" t="n"/>
      <c r="HKU1" s="87" t="n"/>
      <c r="HKV1" s="87" t="n"/>
      <c r="HKW1" s="87" t="n"/>
      <c r="HKX1" s="87" t="n"/>
      <c r="HKY1" s="87" t="n"/>
      <c r="HKZ1" s="87" t="n"/>
      <c r="HLA1" s="87" t="n"/>
      <c r="HLB1" s="87" t="n"/>
      <c r="HLC1" s="87" t="n"/>
      <c r="HLD1" s="87" t="n"/>
      <c r="HLE1" s="87" t="n"/>
      <c r="HLF1" s="87" t="n"/>
      <c r="HLG1" s="87" t="n"/>
      <c r="HLH1" s="87" t="n"/>
      <c r="HLI1" s="87" t="n"/>
      <c r="HLJ1" s="87" t="n"/>
      <c r="HLK1" s="87" t="n"/>
      <c r="HLL1" s="87" t="n"/>
      <c r="HLM1" s="87" t="n"/>
      <c r="HLN1" s="87" t="n"/>
      <c r="HLO1" s="87" t="n"/>
      <c r="HLP1" s="87" t="n"/>
      <c r="HLQ1" s="87" t="n"/>
      <c r="HLR1" s="87" t="n"/>
      <c r="HLS1" s="87" t="n"/>
      <c r="HLT1" s="87" t="n"/>
      <c r="HLU1" s="87" t="n"/>
      <c r="HLV1" s="87" t="n"/>
      <c r="HLW1" s="87" t="n"/>
      <c r="HLX1" s="87" t="n"/>
      <c r="HLY1" s="87" t="n"/>
      <c r="HLZ1" s="87" t="n"/>
      <c r="HMA1" s="87" t="n"/>
      <c r="HMB1" s="87" t="n"/>
      <c r="HMC1" s="87" t="n"/>
      <c r="HMD1" s="87" t="n"/>
      <c r="HME1" s="87" t="n"/>
      <c r="HMF1" s="87" t="n"/>
      <c r="HMG1" s="87" t="n"/>
      <c r="HMH1" s="87" t="n"/>
      <c r="HMI1" s="87" t="n"/>
      <c r="HMJ1" s="87" t="n"/>
      <c r="HMK1" s="87" t="n"/>
      <c r="HML1" s="87" t="n"/>
      <c r="HMM1" s="87" t="n"/>
      <c r="HMN1" s="87" t="n"/>
      <c r="HMO1" s="87" t="n"/>
      <c r="HMP1" s="87" t="n"/>
      <c r="HMQ1" s="87" t="n"/>
      <c r="HMR1" s="87" t="n"/>
      <c r="HMS1" s="87" t="n"/>
      <c r="HMT1" s="87" t="n"/>
      <c r="HMU1" s="87" t="n"/>
      <c r="HMV1" s="87" t="n"/>
      <c r="HMW1" s="87" t="n"/>
      <c r="HMX1" s="87" t="n"/>
      <c r="HMY1" s="87" t="n"/>
      <c r="HMZ1" s="87" t="n"/>
      <c r="HNA1" s="87" t="n"/>
      <c r="HNB1" s="87" t="n"/>
      <c r="HNC1" s="87" t="n"/>
      <c r="HND1" s="87" t="n"/>
      <c r="HNE1" s="87" t="n"/>
      <c r="HNF1" s="87" t="n"/>
      <c r="HNG1" s="87" t="n"/>
      <c r="HNH1" s="87" t="n"/>
      <c r="HNI1" s="87" t="n"/>
      <c r="HNJ1" s="87" t="n"/>
      <c r="HNK1" s="87" t="n"/>
      <c r="HNL1" s="87" t="n"/>
      <c r="HNM1" s="87" t="n"/>
      <c r="HNN1" s="87" t="n"/>
      <c r="HNO1" s="87" t="n"/>
      <c r="HNP1" s="87" t="n"/>
      <c r="HNQ1" s="87" t="n"/>
      <c r="HNR1" s="87" t="n"/>
      <c r="HNS1" s="87" t="n"/>
      <c r="HNT1" s="87" t="n"/>
      <c r="HNU1" s="87" t="n"/>
      <c r="HNV1" s="87" t="n"/>
      <c r="HNW1" s="87" t="n"/>
      <c r="HNX1" s="87" t="n"/>
      <c r="HNY1" s="87" t="n"/>
      <c r="HNZ1" s="87" t="n"/>
      <c r="HOA1" s="87" t="n"/>
      <c r="HOB1" s="87" t="n"/>
      <c r="HOC1" s="87" t="n"/>
      <c r="HOD1" s="87" t="n"/>
      <c r="HOE1" s="87" t="n"/>
      <c r="HOF1" s="87" t="n"/>
      <c r="HOG1" s="87" t="n"/>
      <c r="HOH1" s="87" t="n"/>
      <c r="HOI1" s="87" t="n"/>
      <c r="HOJ1" s="87" t="n"/>
      <c r="HOK1" s="87" t="n"/>
      <c r="HOL1" s="87" t="n"/>
      <c r="HOM1" s="87" t="n"/>
      <c r="HON1" s="87" t="n"/>
      <c r="HOO1" s="87" t="n"/>
      <c r="HOP1" s="87" t="n"/>
      <c r="HOQ1" s="87" t="n"/>
      <c r="HOR1" s="87" t="n"/>
      <c r="HOS1" s="87" t="n"/>
      <c r="HOT1" s="87" t="n"/>
      <c r="HOU1" s="87" t="n"/>
      <c r="HOV1" s="87" t="n"/>
      <c r="HOW1" s="87" t="n"/>
      <c r="HOX1" s="87" t="n"/>
      <c r="HOY1" s="87" t="n"/>
      <c r="HOZ1" s="87" t="n"/>
      <c r="HPA1" s="87" t="n"/>
      <c r="HPB1" s="87" t="n"/>
      <c r="HPC1" s="87" t="n"/>
      <c r="HPD1" s="87" t="n"/>
      <c r="HPE1" s="87" t="n"/>
      <c r="HPF1" s="87" t="n"/>
      <c r="HPG1" s="87" t="n"/>
      <c r="HPH1" s="87" t="n"/>
      <c r="HPI1" s="87" t="n"/>
      <c r="HPJ1" s="87" t="n"/>
      <c r="HPK1" s="87" t="n"/>
      <c r="HPL1" s="87" t="n"/>
      <c r="HPM1" s="87" t="n"/>
      <c r="HPN1" s="87" t="n"/>
      <c r="HPO1" s="87" t="n"/>
      <c r="HPP1" s="87" t="n"/>
      <c r="HPQ1" s="87" t="n"/>
      <c r="HPR1" s="87" t="n"/>
      <c r="HPS1" s="87" t="n"/>
      <c r="HPT1" s="87" t="n"/>
      <c r="HPU1" s="87" t="n"/>
      <c r="HPV1" s="87" t="n"/>
      <c r="HPW1" s="87" t="n"/>
      <c r="HPX1" s="87" t="n"/>
      <c r="HPY1" s="87" t="n"/>
      <c r="HPZ1" s="87" t="n"/>
      <c r="HQA1" s="87" t="n"/>
      <c r="HQB1" s="87" t="n"/>
      <c r="HQC1" s="87" t="n"/>
      <c r="HQD1" s="87" t="n"/>
      <c r="HQE1" s="87" t="n"/>
      <c r="HQF1" s="87" t="n"/>
      <c r="HQG1" s="87" t="n"/>
      <c r="HQH1" s="87" t="n"/>
      <c r="HQI1" s="87" t="n"/>
      <c r="HQJ1" s="87" t="n"/>
      <c r="HQK1" s="87" t="n"/>
      <c r="HQL1" s="87" t="n"/>
      <c r="HQM1" s="87" t="n"/>
      <c r="HQN1" s="87" t="n"/>
      <c r="HQO1" s="87" t="n"/>
      <c r="HQP1" s="87" t="n"/>
      <c r="HQQ1" s="87" t="n"/>
      <c r="HQR1" s="87" t="n"/>
      <c r="HQS1" s="87" t="n"/>
      <c r="HQT1" s="87" t="n"/>
      <c r="HQU1" s="87" t="n"/>
      <c r="HQV1" s="87" t="n"/>
      <c r="HQW1" s="87" t="n"/>
      <c r="HQX1" s="87" t="n"/>
      <c r="HQY1" s="87" t="n"/>
      <c r="HQZ1" s="87" t="n"/>
      <c r="HRA1" s="87" t="n"/>
      <c r="HRB1" s="87" t="n"/>
      <c r="HRC1" s="87" t="n"/>
      <c r="HRD1" s="87" t="n"/>
      <c r="HRE1" s="87" t="n"/>
      <c r="HRF1" s="87" t="n"/>
      <c r="HRG1" s="87" t="n"/>
      <c r="HRH1" s="87" t="n"/>
      <c r="HRI1" s="87" t="n"/>
      <c r="HRJ1" s="87" t="n"/>
      <c r="HRK1" s="87" t="n"/>
      <c r="HRL1" s="87" t="n"/>
      <c r="HRM1" s="87" t="n"/>
      <c r="HRN1" s="87" t="n"/>
      <c r="HRO1" s="87" t="n"/>
      <c r="HRP1" s="87" t="n"/>
      <c r="HRQ1" s="87" t="n"/>
      <c r="HRR1" s="87" t="n"/>
      <c r="HRS1" s="87" t="n"/>
      <c r="HRT1" s="87" t="n"/>
      <c r="HRU1" s="87" t="n"/>
      <c r="HRV1" s="87" t="n"/>
      <c r="HRW1" s="87" t="n"/>
      <c r="HRX1" s="87" t="n"/>
      <c r="HRY1" s="87" t="n"/>
      <c r="HRZ1" s="87" t="n"/>
      <c r="HSA1" s="87" t="n"/>
      <c r="HSB1" s="87" t="n"/>
      <c r="HSC1" s="87" t="n"/>
      <c r="HSD1" s="87" t="n"/>
      <c r="HSE1" s="87" t="n"/>
      <c r="HSF1" s="87" t="n"/>
      <c r="HSG1" s="87" t="n"/>
      <c r="HSH1" s="87" t="n"/>
      <c r="HSI1" s="87" t="n"/>
      <c r="HSJ1" s="87" t="n"/>
      <c r="HSK1" s="87" t="n"/>
      <c r="HSL1" s="87" t="n"/>
      <c r="HSM1" s="87" t="n"/>
      <c r="HSN1" s="87" t="n"/>
      <c r="HSO1" s="87" t="n"/>
      <c r="HSP1" s="87" t="n"/>
      <c r="HSQ1" s="87" t="n"/>
      <c r="HSR1" s="87" t="n"/>
      <c r="HSS1" s="87" t="n"/>
      <c r="HST1" s="87" t="n"/>
      <c r="HSU1" s="87" t="n"/>
      <c r="HSV1" s="87" t="n"/>
      <c r="HSW1" s="87" t="n"/>
      <c r="HSX1" s="87" t="n"/>
      <c r="HSY1" s="87" t="n"/>
      <c r="HSZ1" s="87" t="n"/>
      <c r="HTA1" s="87" t="n"/>
      <c r="HTB1" s="87" t="n"/>
      <c r="HTC1" s="87" t="n"/>
      <c r="HTD1" s="87" t="n"/>
      <c r="HTE1" s="87" t="n"/>
      <c r="HTF1" s="87" t="n"/>
      <c r="HTG1" s="87" t="n"/>
      <c r="HTH1" s="87" t="n"/>
      <c r="HTI1" s="87" t="n"/>
      <c r="HTJ1" s="87" t="n"/>
      <c r="HTK1" s="87" t="n"/>
      <c r="HTL1" s="87" t="n"/>
      <c r="HTM1" s="87" t="n"/>
      <c r="HTN1" s="87" t="n"/>
      <c r="HTO1" s="87" t="n"/>
      <c r="HTP1" s="87" t="n"/>
      <c r="HTQ1" s="87" t="n"/>
      <c r="HTR1" s="87" t="n"/>
      <c r="HTS1" s="87" t="n"/>
      <c r="HTT1" s="87" t="n"/>
      <c r="HTU1" s="87" t="n"/>
      <c r="HTV1" s="87" t="n"/>
      <c r="HTW1" s="87" t="n"/>
      <c r="HTX1" s="87" t="n"/>
      <c r="HTY1" s="87" t="n"/>
      <c r="HTZ1" s="87" t="n"/>
      <c r="HUA1" s="87" t="n"/>
      <c r="HUB1" s="87" t="n"/>
      <c r="HUC1" s="87" t="n"/>
      <c r="HUD1" s="87" t="n"/>
      <c r="HUE1" s="87" t="n"/>
      <c r="HUF1" s="87" t="n"/>
      <c r="HUG1" s="87" t="n"/>
      <c r="HUH1" s="87" t="n"/>
      <c r="HUI1" s="87" t="n"/>
      <c r="HUJ1" s="87" t="n"/>
      <c r="HUK1" s="87" t="n"/>
      <c r="HUL1" s="87" t="n"/>
      <c r="HUM1" s="87" t="n"/>
      <c r="HUN1" s="87" t="n"/>
      <c r="HUO1" s="87" t="n"/>
      <c r="HUP1" s="87" t="n"/>
      <c r="HUQ1" s="87" t="n"/>
      <c r="HUR1" s="87" t="n"/>
      <c r="HUS1" s="87" t="n"/>
      <c r="HUT1" s="87" t="n"/>
      <c r="HUU1" s="87" t="n"/>
      <c r="HUV1" s="87" t="n"/>
      <c r="HUW1" s="87" t="n"/>
      <c r="HUX1" s="87" t="n"/>
      <c r="HUY1" s="87" t="n"/>
      <c r="HUZ1" s="87" t="n"/>
      <c r="HVA1" s="87" t="n"/>
      <c r="HVB1" s="87" t="n"/>
      <c r="HVC1" s="87" t="n"/>
      <c r="HVD1" s="87" t="n"/>
      <c r="HVE1" s="87" t="n"/>
      <c r="HVF1" s="87" t="n"/>
      <c r="HVG1" s="87" t="n"/>
      <c r="HVH1" s="87" t="n"/>
      <c r="HVI1" s="87" t="n"/>
      <c r="HVJ1" s="87" t="n"/>
      <c r="HVK1" s="87" t="n"/>
      <c r="HVL1" s="87" t="n"/>
      <c r="HVM1" s="87" t="n"/>
      <c r="HVN1" s="87" t="n"/>
      <c r="HVO1" s="87" t="n"/>
      <c r="HVP1" s="87" t="n"/>
      <c r="HVQ1" s="87" t="n"/>
      <c r="HVR1" s="87" t="n"/>
      <c r="HVS1" s="87" t="n"/>
      <c r="HVT1" s="87" t="n"/>
      <c r="HVU1" s="87" t="n"/>
      <c r="HVV1" s="87" t="n"/>
      <c r="HVW1" s="87" t="n"/>
      <c r="HVX1" s="87" t="n"/>
      <c r="HVY1" s="87" t="n"/>
      <c r="HVZ1" s="87" t="n"/>
      <c r="HWA1" s="87" t="n"/>
      <c r="HWB1" s="87" t="n"/>
      <c r="HWC1" s="87" t="n"/>
      <c r="HWD1" s="87" t="n"/>
      <c r="HWE1" s="87" t="n"/>
      <c r="HWF1" s="87" t="n"/>
      <c r="HWG1" s="87" t="n"/>
      <c r="HWH1" s="87" t="n"/>
      <c r="HWI1" s="87" t="n"/>
      <c r="HWJ1" s="87" t="n"/>
      <c r="HWK1" s="87" t="n"/>
      <c r="HWL1" s="87" t="n"/>
      <c r="HWM1" s="87" t="n"/>
      <c r="HWN1" s="87" t="n"/>
      <c r="HWO1" s="87" t="n"/>
      <c r="HWP1" s="87" t="n"/>
      <c r="HWQ1" s="87" t="n"/>
      <c r="HWR1" s="87" t="n"/>
      <c r="HWS1" s="87" t="n"/>
      <c r="HWT1" s="87" t="n"/>
      <c r="HWU1" s="87" t="n"/>
      <c r="HWV1" s="87" t="n"/>
      <c r="HWW1" s="87" t="n"/>
      <c r="HWX1" s="87" t="n"/>
      <c r="HWY1" s="87" t="n"/>
      <c r="HWZ1" s="87" t="n"/>
      <c r="HXA1" s="87" t="n"/>
      <c r="HXB1" s="87" t="n"/>
      <c r="HXC1" s="87" t="n"/>
      <c r="HXD1" s="87" t="n"/>
      <c r="HXE1" s="87" t="n"/>
      <c r="HXF1" s="87" t="n"/>
      <c r="HXG1" s="87" t="n"/>
      <c r="HXH1" s="87" t="n"/>
      <c r="HXI1" s="87" t="n"/>
      <c r="HXJ1" s="87" t="n"/>
      <c r="HXK1" s="87" t="n"/>
      <c r="HXL1" s="87" t="n"/>
      <c r="HXM1" s="87" t="n"/>
      <c r="HXN1" s="87" t="n"/>
      <c r="HXO1" s="87" t="n"/>
      <c r="HXP1" s="87" t="n"/>
      <c r="HXQ1" s="87" t="n"/>
      <c r="HXR1" s="87" t="n"/>
      <c r="HXS1" s="87" t="n"/>
      <c r="HXT1" s="87" t="n"/>
      <c r="HXU1" s="87" t="n"/>
      <c r="HXV1" s="87" t="n"/>
      <c r="HXW1" s="87" t="n"/>
      <c r="HXX1" s="87" t="n"/>
      <c r="HXY1" s="87" t="n"/>
      <c r="HXZ1" s="87" t="n"/>
      <c r="HYA1" s="87" t="n"/>
      <c r="HYB1" s="87" t="n"/>
      <c r="HYC1" s="87" t="n"/>
      <c r="HYD1" s="87" t="n"/>
      <c r="HYE1" s="87" t="n"/>
      <c r="HYF1" s="87" t="n"/>
      <c r="HYG1" s="87" t="n"/>
      <c r="HYH1" s="87" t="n"/>
      <c r="HYI1" s="87" t="n"/>
      <c r="HYJ1" s="87" t="n"/>
      <c r="HYK1" s="87" t="n"/>
      <c r="HYL1" s="87" t="n"/>
      <c r="HYM1" s="87" t="n"/>
      <c r="HYN1" s="87" t="n"/>
      <c r="HYO1" s="87" t="n"/>
      <c r="HYP1" s="87" t="n"/>
      <c r="HYQ1" s="87" t="n"/>
      <c r="HYR1" s="87" t="n"/>
      <c r="HYS1" s="87" t="n"/>
      <c r="HYT1" s="87" t="n"/>
      <c r="HYU1" s="87" t="n"/>
      <c r="HYV1" s="87" t="n"/>
      <c r="HYW1" s="87" t="n"/>
      <c r="HYX1" s="87" t="n"/>
      <c r="HYY1" s="87" t="n"/>
      <c r="HYZ1" s="87" t="n"/>
      <c r="HZA1" s="87" t="n"/>
      <c r="HZB1" s="87" t="n"/>
      <c r="HZC1" s="87" t="n"/>
      <c r="HZD1" s="87" t="n"/>
      <c r="HZE1" s="87" t="n"/>
      <c r="HZF1" s="87" t="n"/>
      <c r="HZG1" s="87" t="n"/>
      <c r="HZH1" s="87" t="n"/>
      <c r="HZI1" s="87" t="n"/>
      <c r="HZJ1" s="87" t="n"/>
      <c r="HZK1" s="87" t="n"/>
      <c r="HZL1" s="87" t="n"/>
      <c r="HZM1" s="87" t="n"/>
      <c r="HZN1" s="87" t="n"/>
      <c r="HZO1" s="87" t="n"/>
      <c r="HZP1" s="87" t="n"/>
      <c r="HZQ1" s="87" t="n"/>
      <c r="HZR1" s="87" t="n"/>
      <c r="HZS1" s="87" t="n"/>
      <c r="HZT1" s="87" t="n"/>
      <c r="HZU1" s="87" t="n"/>
      <c r="HZV1" s="87" t="n"/>
      <c r="HZW1" s="87" t="n"/>
      <c r="HZX1" s="87" t="n"/>
      <c r="HZY1" s="87" t="n"/>
      <c r="HZZ1" s="87" t="n"/>
      <c r="IAA1" s="87" t="n"/>
      <c r="IAB1" s="87" t="n"/>
      <c r="IAC1" s="87" t="n"/>
      <c r="IAD1" s="87" t="n"/>
      <c r="IAE1" s="87" t="n"/>
      <c r="IAF1" s="87" t="n"/>
      <c r="IAG1" s="87" t="n"/>
      <c r="IAH1" s="87" t="n"/>
      <c r="IAI1" s="87" t="n"/>
      <c r="IAJ1" s="87" t="n"/>
      <c r="IAK1" s="87" t="n"/>
      <c r="IAL1" s="87" t="n"/>
      <c r="IAM1" s="87" t="n"/>
      <c r="IAN1" s="87" t="n"/>
      <c r="IAO1" s="87" t="n"/>
      <c r="IAP1" s="87" t="n"/>
      <c r="IAQ1" s="87" t="n"/>
      <c r="IAR1" s="87" t="n"/>
      <c r="IAS1" s="87" t="n"/>
      <c r="IAT1" s="87" t="n"/>
      <c r="IAU1" s="87" t="n"/>
      <c r="IAV1" s="87" t="n"/>
      <c r="IAW1" s="87" t="n"/>
      <c r="IAX1" s="87" t="n"/>
      <c r="IAY1" s="87" t="n"/>
      <c r="IAZ1" s="87" t="n"/>
      <c r="IBA1" s="87" t="n"/>
      <c r="IBB1" s="87" t="n"/>
      <c r="IBC1" s="87" t="n"/>
      <c r="IBD1" s="87" t="n"/>
      <c r="IBE1" s="87" t="n"/>
      <c r="IBF1" s="87" t="n"/>
      <c r="IBG1" s="87" t="n"/>
      <c r="IBH1" s="87" t="n"/>
      <c r="IBI1" s="87" t="n"/>
      <c r="IBJ1" s="87" t="n"/>
      <c r="IBK1" s="87" t="n"/>
      <c r="IBL1" s="87" t="n"/>
      <c r="IBM1" s="87" t="n"/>
      <c r="IBN1" s="87" t="n"/>
      <c r="IBO1" s="87" t="n"/>
      <c r="IBP1" s="87" t="n"/>
      <c r="IBQ1" s="87" t="n"/>
      <c r="IBR1" s="87" t="n"/>
      <c r="IBS1" s="87" t="n"/>
      <c r="IBT1" s="87" t="n"/>
      <c r="IBU1" s="87" t="n"/>
      <c r="IBV1" s="87" t="n"/>
      <c r="IBW1" s="87" t="n"/>
      <c r="IBX1" s="87" t="n"/>
      <c r="IBY1" s="87" t="n"/>
      <c r="IBZ1" s="87" t="n"/>
      <c r="ICA1" s="87" t="n"/>
      <c r="ICB1" s="87" t="n"/>
      <c r="ICC1" s="87" t="n"/>
      <c r="ICD1" s="87" t="n"/>
      <c r="ICE1" s="87" t="n"/>
      <c r="ICF1" s="87" t="n"/>
      <c r="ICG1" s="87" t="n"/>
      <c r="ICH1" s="87" t="n"/>
      <c r="ICI1" s="87" t="n"/>
      <c r="ICJ1" s="87" t="n"/>
      <c r="ICK1" s="87" t="n"/>
      <c r="ICL1" s="87" t="n"/>
      <c r="ICM1" s="87" t="n"/>
      <c r="ICN1" s="87" t="n"/>
      <c r="ICO1" s="87" t="n"/>
      <c r="ICP1" s="87" t="n"/>
      <c r="ICQ1" s="87" t="n"/>
      <c r="ICR1" s="87" t="n"/>
      <c r="ICS1" s="87" t="n"/>
      <c r="ICT1" s="87" t="n"/>
      <c r="ICU1" s="87" t="n"/>
      <c r="ICV1" s="87" t="n"/>
      <c r="ICW1" s="87" t="n"/>
      <c r="ICX1" s="87" t="n"/>
      <c r="ICY1" s="87" t="n"/>
      <c r="ICZ1" s="87" t="n"/>
      <c r="IDA1" s="87" t="n"/>
      <c r="IDB1" s="87" t="n"/>
      <c r="IDC1" s="87" t="n"/>
      <c r="IDD1" s="87" t="n"/>
      <c r="IDE1" s="87" t="n"/>
      <c r="IDF1" s="87" t="n"/>
      <c r="IDG1" s="87" t="n"/>
      <c r="IDH1" s="87" t="n"/>
      <c r="IDI1" s="87" t="n"/>
      <c r="IDJ1" s="87" t="n"/>
      <c r="IDK1" s="87" t="n"/>
      <c r="IDL1" s="87" t="n"/>
      <c r="IDM1" s="87" t="n"/>
      <c r="IDN1" s="87" t="n"/>
      <c r="IDO1" s="87" t="n"/>
      <c r="IDP1" s="87" t="n"/>
      <c r="IDQ1" s="87" t="n"/>
      <c r="IDR1" s="87" t="n"/>
      <c r="IDS1" s="87" t="n"/>
      <c r="IDT1" s="87" t="n"/>
      <c r="IDU1" s="87" t="n"/>
      <c r="IDV1" s="87" t="n"/>
      <c r="IDW1" s="87" t="n"/>
      <c r="IDX1" s="87" t="n"/>
      <c r="IDY1" s="87" t="n"/>
      <c r="IDZ1" s="87" t="n"/>
      <c r="IEA1" s="87" t="n"/>
      <c r="IEB1" s="87" t="n"/>
      <c r="IEC1" s="87" t="n"/>
      <c r="IED1" s="87" t="n"/>
      <c r="IEE1" s="87" t="n"/>
      <c r="IEF1" s="87" t="n"/>
      <c r="IEG1" s="87" t="n"/>
      <c r="IEH1" s="87" t="n"/>
      <c r="IEI1" s="87" t="n"/>
      <c r="IEJ1" s="87" t="n"/>
      <c r="IEK1" s="87" t="n"/>
      <c r="IEL1" s="87" t="n"/>
      <c r="IEM1" s="87" t="n"/>
      <c r="IEN1" s="87" t="n"/>
      <c r="IEO1" s="87" t="n"/>
      <c r="IEP1" s="87" t="n"/>
      <c r="IEQ1" s="87" t="n"/>
      <c r="IER1" s="87" t="n"/>
      <c r="IES1" s="87" t="n"/>
      <c r="IET1" s="87" t="n"/>
      <c r="IEU1" s="87" t="n"/>
      <c r="IEV1" s="87" t="n"/>
      <c r="IEW1" s="87" t="n"/>
      <c r="IEX1" s="87" t="n"/>
      <c r="IEY1" s="87" t="n"/>
      <c r="IEZ1" s="87" t="n"/>
      <c r="IFA1" s="87" t="n"/>
      <c r="IFB1" s="87" t="n"/>
      <c r="IFC1" s="87" t="n"/>
      <c r="IFD1" s="87" t="n"/>
      <c r="IFE1" s="87" t="n"/>
      <c r="IFF1" s="87" t="n"/>
      <c r="IFG1" s="87" t="n"/>
      <c r="IFH1" s="87" t="n"/>
      <c r="IFI1" s="87" t="n"/>
      <c r="IFJ1" s="87" t="n"/>
      <c r="IFK1" s="87" t="n"/>
      <c r="IFL1" s="87" t="n"/>
      <c r="IFM1" s="87" t="n"/>
      <c r="IFN1" s="87" t="n"/>
      <c r="IFO1" s="87" t="n"/>
      <c r="IFP1" s="87" t="n"/>
      <c r="IFQ1" s="87" t="n"/>
      <c r="IFR1" s="87" t="n"/>
      <c r="IFS1" s="87" t="n"/>
      <c r="IFT1" s="87" t="n"/>
      <c r="IFU1" s="87" t="n"/>
      <c r="IFV1" s="87" t="n"/>
      <c r="IFW1" s="87" t="n"/>
      <c r="IFX1" s="87" t="n"/>
      <c r="IFY1" s="87" t="n"/>
      <c r="IFZ1" s="87" t="n"/>
      <c r="IGA1" s="87" t="n"/>
      <c r="IGB1" s="87" t="n"/>
      <c r="IGC1" s="87" t="n"/>
      <c r="IGD1" s="87" t="n"/>
      <c r="IGE1" s="87" t="n"/>
      <c r="IGF1" s="87" t="n"/>
      <c r="IGG1" s="87" t="n"/>
      <c r="IGH1" s="87" t="n"/>
      <c r="IGI1" s="87" t="n"/>
      <c r="IGJ1" s="87" t="n"/>
      <c r="IGK1" s="87" t="n"/>
      <c r="IGL1" s="87" t="n"/>
      <c r="IGM1" s="87" t="n"/>
      <c r="IGN1" s="87" t="n"/>
      <c r="IGO1" s="87" t="n"/>
      <c r="IGP1" s="87" t="n"/>
      <c r="IGQ1" s="87" t="n"/>
      <c r="IGR1" s="87" t="n"/>
      <c r="IGS1" s="87" t="n"/>
      <c r="IGT1" s="87" t="n"/>
      <c r="IGU1" s="87" t="n"/>
      <c r="IGV1" s="87" t="n"/>
      <c r="IGW1" s="87" t="n"/>
      <c r="IGX1" s="87" t="n"/>
      <c r="IGY1" s="87" t="n"/>
      <c r="IGZ1" s="87" t="n"/>
      <c r="IHA1" s="87" t="n"/>
      <c r="IHB1" s="87" t="n"/>
      <c r="IHC1" s="87" t="n"/>
      <c r="IHD1" s="87" t="n"/>
      <c r="IHE1" s="87" t="n"/>
      <c r="IHF1" s="87" t="n"/>
      <c r="IHG1" s="87" t="n"/>
      <c r="IHH1" s="87" t="n"/>
      <c r="IHI1" s="87" t="n"/>
      <c r="IHJ1" s="87" t="n"/>
      <c r="IHK1" s="87" t="n"/>
      <c r="IHL1" s="87" t="n"/>
      <c r="IHM1" s="87" t="n"/>
      <c r="IHN1" s="87" t="n"/>
      <c r="IHO1" s="87" t="n"/>
      <c r="IHP1" s="87" t="n"/>
      <c r="IHQ1" s="87" t="n"/>
      <c r="IHR1" s="87" t="n"/>
      <c r="IHS1" s="87" t="n"/>
      <c r="IHT1" s="87" t="n"/>
      <c r="IHU1" s="87" t="n"/>
      <c r="IHV1" s="87" t="n"/>
      <c r="IHW1" s="87" t="n"/>
      <c r="IHX1" s="87" t="n"/>
      <c r="IHY1" s="87" t="n"/>
      <c r="IHZ1" s="87" t="n"/>
      <c r="IIA1" s="87" t="n"/>
      <c r="IIB1" s="87" t="n"/>
      <c r="IIC1" s="87" t="n"/>
      <c r="IID1" s="87" t="n"/>
      <c r="IIE1" s="87" t="n"/>
      <c r="IIF1" s="87" t="n"/>
      <c r="IIG1" s="87" t="n"/>
      <c r="IIH1" s="87" t="n"/>
      <c r="III1" s="87" t="n"/>
      <c r="IIJ1" s="87" t="n"/>
      <c r="IIK1" s="87" t="n"/>
      <c r="IIL1" s="87" t="n"/>
      <c r="IIM1" s="87" t="n"/>
      <c r="IIN1" s="87" t="n"/>
      <c r="IIO1" s="87" t="n"/>
      <c r="IIP1" s="87" t="n"/>
      <c r="IIQ1" s="87" t="n"/>
      <c r="IIR1" s="87" t="n"/>
      <c r="IIS1" s="87" t="n"/>
      <c r="IIT1" s="87" t="n"/>
      <c r="IIU1" s="87" t="n"/>
      <c r="IIV1" s="87" t="n"/>
      <c r="IIW1" s="87" t="n"/>
      <c r="IIX1" s="87" t="n"/>
      <c r="IIY1" s="87" t="n"/>
      <c r="IIZ1" s="87" t="n"/>
      <c r="IJA1" s="87" t="n"/>
      <c r="IJB1" s="87" t="n"/>
      <c r="IJC1" s="87" t="n"/>
      <c r="IJD1" s="87" t="n"/>
      <c r="IJE1" s="87" t="n"/>
      <c r="IJF1" s="87" t="n"/>
      <c r="IJG1" s="87" t="n"/>
      <c r="IJH1" s="87" t="n"/>
      <c r="IJI1" s="87" t="n"/>
      <c r="IJJ1" s="87" t="n"/>
      <c r="IJK1" s="87" t="n"/>
      <c r="IJL1" s="87" t="n"/>
      <c r="IJM1" s="87" t="n"/>
      <c r="IJN1" s="87" t="n"/>
      <c r="IJO1" s="87" t="n"/>
      <c r="IJP1" s="87" t="n"/>
      <c r="IJQ1" s="87" t="n"/>
      <c r="IJR1" s="87" t="n"/>
      <c r="IJS1" s="87" t="n"/>
      <c r="IJT1" s="87" t="n"/>
      <c r="IJU1" s="87" t="n"/>
      <c r="IJV1" s="87" t="n"/>
      <c r="IJW1" s="87" t="n"/>
      <c r="IJX1" s="87" t="n"/>
      <c r="IJY1" s="87" t="n"/>
      <c r="IJZ1" s="87" t="n"/>
      <c r="IKA1" s="87" t="n"/>
      <c r="IKB1" s="87" t="n"/>
      <c r="IKC1" s="87" t="n"/>
      <c r="IKD1" s="87" t="n"/>
      <c r="IKE1" s="87" t="n"/>
      <c r="IKF1" s="87" t="n"/>
      <c r="IKG1" s="87" t="n"/>
      <c r="IKH1" s="87" t="n"/>
      <c r="IKI1" s="87" t="n"/>
      <c r="IKJ1" s="87" t="n"/>
      <c r="IKK1" s="87" t="n"/>
      <c r="IKL1" s="87" t="n"/>
      <c r="IKM1" s="87" t="n"/>
      <c r="IKN1" s="87" t="n"/>
      <c r="IKO1" s="87" t="n"/>
      <c r="IKP1" s="87" t="n"/>
      <c r="IKQ1" s="87" t="n"/>
      <c r="IKR1" s="87" t="n"/>
      <c r="IKS1" s="87" t="n"/>
      <c r="IKT1" s="87" t="n"/>
      <c r="IKU1" s="87" t="n"/>
      <c r="IKV1" s="87" t="n"/>
      <c r="IKW1" s="87" t="n"/>
      <c r="IKX1" s="87" t="n"/>
      <c r="IKY1" s="87" t="n"/>
      <c r="IKZ1" s="87" t="n"/>
      <c r="ILA1" s="87" t="n"/>
      <c r="ILB1" s="87" t="n"/>
      <c r="ILC1" s="87" t="n"/>
      <c r="ILD1" s="87" t="n"/>
      <c r="ILE1" s="87" t="n"/>
      <c r="ILF1" s="87" t="n"/>
      <c r="ILG1" s="87" t="n"/>
      <c r="ILH1" s="87" t="n"/>
      <c r="ILI1" s="87" t="n"/>
      <c r="ILJ1" s="87" t="n"/>
      <c r="ILK1" s="87" t="n"/>
      <c r="ILL1" s="87" t="n"/>
      <c r="ILM1" s="87" t="n"/>
      <c r="ILN1" s="87" t="n"/>
      <c r="ILO1" s="87" t="n"/>
      <c r="ILP1" s="87" t="n"/>
      <c r="ILQ1" s="87" t="n"/>
      <c r="ILR1" s="87" t="n"/>
      <c r="ILS1" s="87" t="n"/>
      <c r="ILT1" s="87" t="n"/>
      <c r="ILU1" s="87" t="n"/>
      <c r="ILV1" s="87" t="n"/>
      <c r="ILW1" s="87" t="n"/>
      <c r="ILX1" s="87" t="n"/>
      <c r="ILY1" s="87" t="n"/>
      <c r="ILZ1" s="87" t="n"/>
      <c r="IMA1" s="87" t="n"/>
      <c r="IMB1" s="87" t="n"/>
      <c r="IMC1" s="87" t="n"/>
      <c r="IMD1" s="87" t="n"/>
      <c r="IME1" s="87" t="n"/>
      <c r="IMF1" s="87" t="n"/>
      <c r="IMG1" s="87" t="n"/>
      <c r="IMH1" s="87" t="n"/>
      <c r="IMI1" s="87" t="n"/>
      <c r="IMJ1" s="87" t="n"/>
      <c r="IMK1" s="87" t="n"/>
      <c r="IML1" s="87" t="n"/>
      <c r="IMM1" s="87" t="n"/>
      <c r="IMN1" s="87" t="n"/>
      <c r="IMO1" s="87" t="n"/>
      <c r="IMP1" s="87" t="n"/>
      <c r="IMQ1" s="87" t="n"/>
      <c r="IMR1" s="87" t="n"/>
      <c r="IMS1" s="87" t="n"/>
      <c r="IMT1" s="87" t="n"/>
      <c r="IMU1" s="87" t="n"/>
      <c r="IMV1" s="87" t="n"/>
      <c r="IMW1" s="87" t="n"/>
      <c r="IMX1" s="87" t="n"/>
      <c r="IMY1" s="87" t="n"/>
      <c r="IMZ1" s="87" t="n"/>
      <c r="INA1" s="87" t="n"/>
      <c r="INB1" s="87" t="n"/>
      <c r="INC1" s="87" t="n"/>
      <c r="IND1" s="87" t="n"/>
      <c r="INE1" s="87" t="n"/>
      <c r="INF1" s="87" t="n"/>
      <c r="ING1" s="87" t="n"/>
      <c r="INH1" s="87" t="n"/>
      <c r="INI1" s="87" t="n"/>
      <c r="INJ1" s="87" t="n"/>
      <c r="INK1" s="87" t="n"/>
      <c r="INL1" s="87" t="n"/>
      <c r="INM1" s="87" t="n"/>
      <c r="INN1" s="87" t="n"/>
      <c r="INO1" s="87" t="n"/>
      <c r="INP1" s="87" t="n"/>
      <c r="INQ1" s="87" t="n"/>
      <c r="INR1" s="87" t="n"/>
      <c r="INS1" s="87" t="n"/>
      <c r="INT1" s="87" t="n"/>
      <c r="INU1" s="87" t="n"/>
      <c r="INV1" s="87" t="n"/>
      <c r="INW1" s="87" t="n"/>
      <c r="INX1" s="87" t="n"/>
      <c r="INY1" s="87" t="n"/>
      <c r="INZ1" s="87" t="n"/>
      <c r="IOA1" s="87" t="n"/>
      <c r="IOB1" s="87" t="n"/>
      <c r="IOC1" s="87" t="n"/>
      <c r="IOD1" s="87" t="n"/>
      <c r="IOE1" s="87" t="n"/>
      <c r="IOF1" s="87" t="n"/>
      <c r="IOG1" s="87" t="n"/>
      <c r="IOH1" s="87" t="n"/>
      <c r="IOI1" s="87" t="n"/>
      <c r="IOJ1" s="87" t="n"/>
      <c r="IOK1" s="87" t="n"/>
      <c r="IOL1" s="87" t="n"/>
      <c r="IOM1" s="87" t="n"/>
      <c r="ION1" s="87" t="n"/>
      <c r="IOO1" s="87" t="n"/>
      <c r="IOP1" s="87" t="n"/>
      <c r="IOQ1" s="87" t="n"/>
      <c r="IOR1" s="87" t="n"/>
      <c r="IOS1" s="87" t="n"/>
      <c r="IOT1" s="87" t="n"/>
      <c r="IOU1" s="87" t="n"/>
      <c r="IOV1" s="87" t="n"/>
      <c r="IOW1" s="87" t="n"/>
      <c r="IOX1" s="87" t="n"/>
      <c r="IOY1" s="87" t="n"/>
      <c r="IOZ1" s="87" t="n"/>
      <c r="IPA1" s="87" t="n"/>
      <c r="IPB1" s="87" t="n"/>
      <c r="IPC1" s="87" t="n"/>
      <c r="IPD1" s="87" t="n"/>
      <c r="IPE1" s="87" t="n"/>
      <c r="IPF1" s="87" t="n"/>
      <c r="IPG1" s="87" t="n"/>
      <c r="IPH1" s="87" t="n"/>
      <c r="IPI1" s="87" t="n"/>
      <c r="IPJ1" s="87" t="n"/>
      <c r="IPK1" s="87" t="n"/>
      <c r="IPL1" s="87" t="n"/>
      <c r="IPM1" s="87" t="n"/>
      <c r="IPN1" s="87" t="n"/>
      <c r="IPO1" s="87" t="n"/>
      <c r="IPP1" s="87" t="n"/>
      <c r="IPQ1" s="87" t="n"/>
      <c r="IPR1" s="87" t="n"/>
      <c r="IPS1" s="87" t="n"/>
      <c r="IPT1" s="87" t="n"/>
      <c r="IPU1" s="87" t="n"/>
      <c r="IPV1" s="87" t="n"/>
      <c r="IPW1" s="87" t="n"/>
      <c r="IPX1" s="87" t="n"/>
      <c r="IPY1" s="87" t="n"/>
      <c r="IPZ1" s="87" t="n"/>
      <c r="IQA1" s="87" t="n"/>
      <c r="IQB1" s="87" t="n"/>
      <c r="IQC1" s="87" t="n"/>
      <c r="IQD1" s="87" t="n"/>
      <c r="IQE1" s="87" t="n"/>
      <c r="IQF1" s="87" t="n"/>
      <c r="IQG1" s="87" t="n"/>
      <c r="IQH1" s="87" t="n"/>
      <c r="IQI1" s="87" t="n"/>
      <c r="IQJ1" s="87" t="n"/>
      <c r="IQK1" s="87" t="n"/>
      <c r="IQL1" s="87" t="n"/>
      <c r="IQM1" s="87" t="n"/>
      <c r="IQN1" s="87" t="n"/>
      <c r="IQO1" s="87" t="n"/>
      <c r="IQP1" s="87" t="n"/>
      <c r="IQQ1" s="87" t="n"/>
      <c r="IQR1" s="87" t="n"/>
      <c r="IQS1" s="87" t="n"/>
      <c r="IQT1" s="87" t="n"/>
      <c r="IQU1" s="87" t="n"/>
      <c r="IQV1" s="87" t="n"/>
      <c r="IQW1" s="87" t="n"/>
      <c r="IQX1" s="87" t="n"/>
      <c r="IQY1" s="87" t="n"/>
      <c r="IQZ1" s="87" t="n"/>
      <c r="IRA1" s="87" t="n"/>
      <c r="IRB1" s="87" t="n"/>
      <c r="IRC1" s="87" t="n"/>
      <c r="IRD1" s="87" t="n"/>
      <c r="IRE1" s="87" t="n"/>
      <c r="IRF1" s="87" t="n"/>
      <c r="IRG1" s="87" t="n"/>
      <c r="IRH1" s="87" t="n"/>
      <c r="IRI1" s="87" t="n"/>
      <c r="IRJ1" s="87" t="n"/>
      <c r="IRK1" s="87" t="n"/>
      <c r="IRL1" s="87" t="n"/>
      <c r="IRM1" s="87" t="n"/>
      <c r="IRN1" s="87" t="n"/>
      <c r="IRO1" s="87" t="n"/>
      <c r="IRP1" s="87" t="n"/>
      <c r="IRQ1" s="87" t="n"/>
      <c r="IRR1" s="87" t="n"/>
      <c r="IRS1" s="87" t="n"/>
      <c r="IRT1" s="87" t="n"/>
      <c r="IRU1" s="87" t="n"/>
      <c r="IRV1" s="87" t="n"/>
      <c r="IRW1" s="87" t="n"/>
      <c r="IRX1" s="87" t="n"/>
      <c r="IRY1" s="87" t="n"/>
      <c r="IRZ1" s="87" t="n"/>
      <c r="ISA1" s="87" t="n"/>
      <c r="ISB1" s="87" t="n"/>
      <c r="ISC1" s="87" t="n"/>
      <c r="ISD1" s="87" t="n"/>
      <c r="ISE1" s="87" t="n"/>
      <c r="ISF1" s="87" t="n"/>
      <c r="ISG1" s="87" t="n"/>
      <c r="ISH1" s="87" t="n"/>
      <c r="ISI1" s="87" t="n"/>
      <c r="ISJ1" s="87" t="n"/>
      <c r="ISK1" s="87" t="n"/>
      <c r="ISL1" s="87" t="n"/>
      <c r="ISM1" s="87" t="n"/>
      <c r="ISN1" s="87" t="n"/>
      <c r="ISO1" s="87" t="n"/>
      <c r="ISP1" s="87" t="n"/>
      <c r="ISQ1" s="87" t="n"/>
      <c r="ISR1" s="87" t="n"/>
      <c r="ISS1" s="87" t="n"/>
      <c r="IST1" s="87" t="n"/>
      <c r="ISU1" s="87" t="n"/>
      <c r="ISV1" s="87" t="n"/>
      <c r="ISW1" s="87" t="n"/>
      <c r="ISX1" s="87" t="n"/>
      <c r="ISY1" s="87" t="n"/>
      <c r="ISZ1" s="87" t="n"/>
      <c r="ITA1" s="87" t="n"/>
      <c r="ITB1" s="87" t="n"/>
      <c r="ITC1" s="87" t="n"/>
      <c r="ITD1" s="87" t="n"/>
      <c r="ITE1" s="87" t="n"/>
      <c r="ITF1" s="87" t="n"/>
      <c r="ITG1" s="87" t="n"/>
      <c r="ITH1" s="87" t="n"/>
      <c r="ITI1" s="87" t="n"/>
      <c r="ITJ1" s="87" t="n"/>
      <c r="ITK1" s="87" t="n"/>
      <c r="ITL1" s="87" t="n"/>
      <c r="ITM1" s="87" t="n"/>
      <c r="ITN1" s="87" t="n"/>
      <c r="ITO1" s="87" t="n"/>
      <c r="ITP1" s="87" t="n"/>
      <c r="ITQ1" s="87" t="n"/>
      <c r="ITR1" s="87" t="n"/>
      <c r="ITS1" s="87" t="n"/>
      <c r="ITT1" s="87" t="n"/>
      <c r="ITU1" s="87" t="n"/>
      <c r="ITV1" s="87" t="n"/>
      <c r="ITW1" s="87" t="n"/>
      <c r="ITX1" s="87" t="n"/>
      <c r="ITY1" s="87" t="n"/>
      <c r="ITZ1" s="87" t="n"/>
      <c r="IUA1" s="87" t="n"/>
      <c r="IUB1" s="87" t="n"/>
      <c r="IUC1" s="87" t="n"/>
      <c r="IUD1" s="87" t="n"/>
      <c r="IUE1" s="87" t="n"/>
      <c r="IUF1" s="87" t="n"/>
      <c r="IUG1" s="87" t="n"/>
      <c r="IUH1" s="87" t="n"/>
      <c r="IUI1" s="87" t="n"/>
      <c r="IUJ1" s="87" t="n"/>
      <c r="IUK1" s="87" t="n"/>
      <c r="IUL1" s="87" t="n"/>
      <c r="IUM1" s="87" t="n"/>
      <c r="IUN1" s="87" t="n"/>
      <c r="IUO1" s="87" t="n"/>
      <c r="IUP1" s="87" t="n"/>
      <c r="IUQ1" s="87" t="n"/>
      <c r="IUR1" s="87" t="n"/>
      <c r="IUS1" s="87" t="n"/>
      <c r="IUT1" s="87" t="n"/>
      <c r="IUU1" s="87" t="n"/>
      <c r="IUV1" s="87" t="n"/>
      <c r="IUW1" s="87" t="n"/>
      <c r="IUX1" s="87" t="n"/>
      <c r="IUY1" s="87" t="n"/>
      <c r="IUZ1" s="87" t="n"/>
      <c r="IVA1" s="87" t="n"/>
      <c r="IVB1" s="87" t="n"/>
      <c r="IVC1" s="87" t="n"/>
      <c r="IVD1" s="87" t="n"/>
      <c r="IVE1" s="87" t="n"/>
      <c r="IVF1" s="87" t="n"/>
      <c r="IVG1" s="87" t="n"/>
      <c r="IVH1" s="87" t="n"/>
      <c r="IVI1" s="87" t="n"/>
      <c r="IVJ1" s="87" t="n"/>
      <c r="IVK1" s="87" t="n"/>
      <c r="IVL1" s="87" t="n"/>
      <c r="IVM1" s="87" t="n"/>
      <c r="IVN1" s="87" t="n"/>
      <c r="IVO1" s="87" t="n"/>
      <c r="IVP1" s="87" t="n"/>
      <c r="IVQ1" s="87" t="n"/>
      <c r="IVR1" s="87" t="n"/>
      <c r="IVS1" s="87" t="n"/>
      <c r="IVT1" s="87" t="n"/>
      <c r="IVU1" s="87" t="n"/>
      <c r="IVV1" s="87" t="n"/>
      <c r="IVW1" s="87" t="n"/>
      <c r="IVX1" s="87" t="n"/>
      <c r="IVY1" s="87" t="n"/>
      <c r="IVZ1" s="87" t="n"/>
      <c r="IWA1" s="87" t="n"/>
      <c r="IWB1" s="87" t="n"/>
      <c r="IWC1" s="87" t="n"/>
      <c r="IWD1" s="87" t="n"/>
      <c r="IWE1" s="87" t="n"/>
      <c r="IWF1" s="87" t="n"/>
      <c r="IWG1" s="87" t="n"/>
      <c r="IWH1" s="87" t="n"/>
      <c r="IWI1" s="87" t="n"/>
      <c r="IWJ1" s="87" t="n"/>
      <c r="IWK1" s="87" t="n"/>
      <c r="IWL1" s="87" t="n"/>
      <c r="IWM1" s="87" t="n"/>
      <c r="IWN1" s="87" t="n"/>
      <c r="IWO1" s="87" t="n"/>
      <c r="IWP1" s="87" t="n"/>
      <c r="IWQ1" s="87" t="n"/>
      <c r="IWR1" s="87" t="n"/>
      <c r="IWS1" s="87" t="n"/>
      <c r="IWT1" s="87" t="n"/>
      <c r="IWU1" s="87" t="n"/>
      <c r="IWV1" s="87" t="n"/>
      <c r="IWW1" s="87" t="n"/>
      <c r="IWX1" s="87" t="n"/>
      <c r="IWY1" s="87" t="n"/>
      <c r="IWZ1" s="87" t="n"/>
      <c r="IXA1" s="87" t="n"/>
      <c r="IXB1" s="87" t="n"/>
      <c r="IXC1" s="87" t="n"/>
      <c r="IXD1" s="87" t="n"/>
      <c r="IXE1" s="87" t="n"/>
      <c r="IXF1" s="87" t="n"/>
      <c r="IXG1" s="87" t="n"/>
      <c r="IXH1" s="87" t="n"/>
      <c r="IXI1" s="87" t="n"/>
      <c r="IXJ1" s="87" t="n"/>
      <c r="IXK1" s="87" t="n"/>
      <c r="IXL1" s="87" t="n"/>
      <c r="IXM1" s="87" t="n"/>
      <c r="IXN1" s="87" t="n"/>
      <c r="IXO1" s="87" t="n"/>
      <c r="IXP1" s="87" t="n"/>
      <c r="IXQ1" s="87" t="n"/>
      <c r="IXR1" s="87" t="n"/>
      <c r="IXS1" s="87" t="n"/>
      <c r="IXT1" s="87" t="n"/>
      <c r="IXU1" s="87" t="n"/>
      <c r="IXV1" s="87" t="n"/>
      <c r="IXW1" s="87" t="n"/>
      <c r="IXX1" s="87" t="n"/>
      <c r="IXY1" s="87" t="n"/>
      <c r="IXZ1" s="87" t="n"/>
      <c r="IYA1" s="87" t="n"/>
      <c r="IYB1" s="87" t="n"/>
      <c r="IYC1" s="87" t="n"/>
      <c r="IYD1" s="87" t="n"/>
      <c r="IYE1" s="87" t="n"/>
      <c r="IYF1" s="87" t="n"/>
      <c r="IYG1" s="87" t="n"/>
      <c r="IYH1" s="87" t="n"/>
      <c r="IYI1" s="87" t="n"/>
      <c r="IYJ1" s="87" t="n"/>
      <c r="IYK1" s="87" t="n"/>
      <c r="IYL1" s="87" t="n"/>
      <c r="IYM1" s="87" t="n"/>
      <c r="IYN1" s="87" t="n"/>
      <c r="IYO1" s="87" t="n"/>
      <c r="IYP1" s="87" t="n"/>
      <c r="IYQ1" s="87" t="n"/>
      <c r="IYR1" s="87" t="n"/>
      <c r="IYS1" s="87" t="n"/>
      <c r="IYT1" s="87" t="n"/>
      <c r="IYU1" s="87" t="n"/>
      <c r="IYV1" s="87" t="n"/>
      <c r="IYW1" s="87" t="n"/>
      <c r="IYX1" s="87" t="n"/>
      <c r="IYY1" s="87" t="n"/>
      <c r="IYZ1" s="87" t="n"/>
      <c r="IZA1" s="87" t="n"/>
      <c r="IZB1" s="87" t="n"/>
      <c r="IZC1" s="87" t="n"/>
      <c r="IZD1" s="87" t="n"/>
      <c r="IZE1" s="87" t="n"/>
      <c r="IZF1" s="87" t="n"/>
      <c r="IZG1" s="87" t="n"/>
      <c r="IZH1" s="87" t="n"/>
      <c r="IZI1" s="87" t="n"/>
      <c r="IZJ1" s="87" t="n"/>
      <c r="IZK1" s="87" t="n"/>
      <c r="IZL1" s="87" t="n"/>
      <c r="IZM1" s="87" t="n"/>
      <c r="IZN1" s="87" t="n"/>
      <c r="IZO1" s="87" t="n"/>
      <c r="IZP1" s="87" t="n"/>
      <c r="IZQ1" s="87" t="n"/>
      <c r="IZR1" s="87" t="n"/>
      <c r="IZS1" s="87" t="n"/>
      <c r="IZT1" s="87" t="n"/>
      <c r="IZU1" s="87" t="n"/>
      <c r="IZV1" s="87" t="n"/>
      <c r="IZW1" s="87" t="n"/>
      <c r="IZX1" s="87" t="n"/>
      <c r="IZY1" s="87" t="n"/>
      <c r="IZZ1" s="87" t="n"/>
      <c r="JAA1" s="87" t="n"/>
      <c r="JAB1" s="87" t="n"/>
      <c r="JAC1" s="87" t="n"/>
      <c r="JAD1" s="87" t="n"/>
      <c r="JAE1" s="87" t="n"/>
      <c r="JAF1" s="87" t="n"/>
      <c r="JAG1" s="87" t="n"/>
      <c r="JAH1" s="87" t="n"/>
      <c r="JAI1" s="87" t="n"/>
      <c r="JAJ1" s="87" t="n"/>
      <c r="JAK1" s="87" t="n"/>
      <c r="JAL1" s="87" t="n"/>
      <c r="JAM1" s="87" t="n"/>
      <c r="JAN1" s="87" t="n"/>
      <c r="JAO1" s="87" t="n"/>
      <c r="JAP1" s="87" t="n"/>
      <c r="JAQ1" s="87" t="n"/>
      <c r="JAR1" s="87" t="n"/>
      <c r="JAS1" s="87" t="n"/>
      <c r="JAT1" s="87" t="n"/>
      <c r="JAU1" s="87" t="n"/>
      <c r="JAV1" s="87" t="n"/>
      <c r="JAW1" s="87" t="n"/>
      <c r="JAX1" s="87" t="n"/>
      <c r="JAY1" s="87" t="n"/>
      <c r="JAZ1" s="87" t="n"/>
      <c r="JBA1" s="87" t="n"/>
      <c r="JBB1" s="87" t="n"/>
      <c r="JBC1" s="87" t="n"/>
      <c r="JBD1" s="87" t="n"/>
      <c r="JBE1" s="87" t="n"/>
      <c r="JBF1" s="87" t="n"/>
      <c r="JBG1" s="87" t="n"/>
      <c r="JBH1" s="87" t="n"/>
      <c r="JBI1" s="87" t="n"/>
      <c r="JBJ1" s="87" t="n"/>
      <c r="JBK1" s="87" t="n"/>
      <c r="JBL1" s="87" t="n"/>
      <c r="JBM1" s="87" t="n"/>
      <c r="JBN1" s="87" t="n"/>
      <c r="JBO1" s="87" t="n"/>
      <c r="JBP1" s="87" t="n"/>
      <c r="JBQ1" s="87" t="n"/>
      <c r="JBR1" s="87" t="n"/>
      <c r="JBS1" s="87" t="n"/>
      <c r="JBT1" s="87" t="n"/>
      <c r="JBU1" s="87" t="n"/>
      <c r="JBV1" s="87" t="n"/>
      <c r="JBW1" s="87" t="n"/>
      <c r="JBX1" s="87" t="n"/>
      <c r="JBY1" s="87" t="n"/>
      <c r="JBZ1" s="87" t="n"/>
      <c r="JCA1" s="87" t="n"/>
      <c r="JCB1" s="87" t="n"/>
      <c r="JCC1" s="87" t="n"/>
      <c r="JCD1" s="87" t="n"/>
      <c r="JCE1" s="87" t="n"/>
      <c r="JCF1" s="87" t="n"/>
      <c r="JCG1" s="87" t="n"/>
      <c r="JCH1" s="87" t="n"/>
      <c r="JCI1" s="87" t="n"/>
      <c r="JCJ1" s="87" t="n"/>
      <c r="JCK1" s="87" t="n"/>
      <c r="JCL1" s="87" t="n"/>
      <c r="JCM1" s="87" t="n"/>
      <c r="JCN1" s="87" t="n"/>
      <c r="JCO1" s="87" t="n"/>
      <c r="JCP1" s="87" t="n"/>
      <c r="JCQ1" s="87" t="n"/>
      <c r="JCR1" s="87" t="n"/>
      <c r="JCS1" s="87" t="n"/>
      <c r="JCT1" s="87" t="n"/>
      <c r="JCU1" s="87" t="n"/>
      <c r="JCV1" s="87" t="n"/>
      <c r="JCW1" s="87" t="n"/>
      <c r="JCX1" s="87" t="n"/>
      <c r="JCY1" s="87" t="n"/>
      <c r="JCZ1" s="87" t="n"/>
      <c r="JDA1" s="87" t="n"/>
      <c r="JDB1" s="87" t="n"/>
      <c r="JDC1" s="87" t="n"/>
      <c r="JDD1" s="87" t="n"/>
      <c r="JDE1" s="87" t="n"/>
      <c r="JDF1" s="87" t="n"/>
      <c r="JDG1" s="87" t="n"/>
      <c r="JDH1" s="87" t="n"/>
      <c r="JDI1" s="87" t="n"/>
      <c r="JDJ1" s="87" t="n"/>
      <c r="JDK1" s="87" t="n"/>
      <c r="JDL1" s="87" t="n"/>
      <c r="JDM1" s="87" t="n"/>
      <c r="JDN1" s="87" t="n"/>
      <c r="JDO1" s="87" t="n"/>
      <c r="JDP1" s="87" t="n"/>
      <c r="JDQ1" s="87" t="n"/>
      <c r="JDR1" s="87" t="n"/>
      <c r="JDS1" s="87" t="n"/>
      <c r="JDT1" s="87" t="n"/>
      <c r="JDU1" s="87" t="n"/>
      <c r="JDV1" s="87" t="n"/>
      <c r="JDW1" s="87" t="n"/>
      <c r="JDX1" s="87" t="n"/>
      <c r="JDY1" s="87" t="n"/>
      <c r="JDZ1" s="87" t="n"/>
      <c r="JEA1" s="87" t="n"/>
      <c r="JEB1" s="87" t="n"/>
      <c r="JEC1" s="87" t="n"/>
      <c r="JED1" s="87" t="n"/>
      <c r="JEE1" s="87" t="n"/>
      <c r="JEF1" s="87" t="n"/>
      <c r="JEG1" s="87" t="n"/>
      <c r="JEH1" s="87" t="n"/>
      <c r="JEI1" s="87" t="n"/>
      <c r="JEJ1" s="87" t="n"/>
      <c r="JEK1" s="87" t="n"/>
      <c r="JEL1" s="87" t="n"/>
      <c r="JEM1" s="87" t="n"/>
      <c r="JEN1" s="87" t="n"/>
      <c r="JEO1" s="87" t="n"/>
      <c r="JEP1" s="87" t="n"/>
      <c r="JEQ1" s="87" t="n"/>
      <c r="JER1" s="87" t="n"/>
      <c r="JES1" s="87" t="n"/>
      <c r="JET1" s="87" t="n"/>
      <c r="JEU1" s="87" t="n"/>
      <c r="JEV1" s="87" t="n"/>
      <c r="JEW1" s="87" t="n"/>
      <c r="JEX1" s="87" t="n"/>
      <c r="JEY1" s="87" t="n"/>
      <c r="JEZ1" s="87" t="n"/>
      <c r="JFA1" s="87" t="n"/>
      <c r="JFB1" s="87" t="n"/>
      <c r="JFC1" s="87" t="n"/>
      <c r="JFD1" s="87" t="n"/>
      <c r="JFE1" s="87" t="n"/>
      <c r="JFF1" s="87" t="n"/>
      <c r="JFG1" s="87" t="n"/>
      <c r="JFH1" s="87" t="n"/>
      <c r="JFI1" s="87" t="n"/>
      <c r="JFJ1" s="87" t="n"/>
      <c r="JFK1" s="87" t="n"/>
      <c r="JFL1" s="87" t="n"/>
      <c r="JFM1" s="87" t="n"/>
      <c r="JFN1" s="87" t="n"/>
      <c r="JFO1" s="87" t="n"/>
      <c r="JFP1" s="87" t="n"/>
      <c r="JFQ1" s="87" t="n"/>
      <c r="JFR1" s="87" t="n"/>
      <c r="JFS1" s="87" t="n"/>
      <c r="JFT1" s="87" t="n"/>
      <c r="JFU1" s="87" t="n"/>
      <c r="JFV1" s="87" t="n"/>
      <c r="JFW1" s="87" t="n"/>
      <c r="JFX1" s="87" t="n"/>
      <c r="JFY1" s="87" t="n"/>
      <c r="JFZ1" s="87" t="n"/>
      <c r="JGA1" s="87" t="n"/>
      <c r="JGB1" s="87" t="n"/>
      <c r="JGC1" s="87" t="n"/>
      <c r="JGD1" s="87" t="n"/>
      <c r="JGE1" s="87" t="n"/>
      <c r="JGF1" s="87" t="n"/>
      <c r="JGG1" s="87" t="n"/>
      <c r="JGH1" s="87" t="n"/>
      <c r="JGI1" s="87" t="n"/>
      <c r="JGJ1" s="87" t="n"/>
      <c r="JGK1" s="87" t="n"/>
      <c r="JGL1" s="87" t="n"/>
      <c r="JGM1" s="87" t="n"/>
      <c r="JGN1" s="87" t="n"/>
      <c r="JGO1" s="87" t="n"/>
      <c r="JGP1" s="87" t="n"/>
      <c r="JGQ1" s="87" t="n"/>
      <c r="JGR1" s="87" t="n"/>
      <c r="JGS1" s="87" t="n"/>
      <c r="JGT1" s="87" t="n"/>
      <c r="JGU1" s="87" t="n"/>
      <c r="JGV1" s="87" t="n"/>
      <c r="JGW1" s="87" t="n"/>
      <c r="JGX1" s="87" t="n"/>
      <c r="JGY1" s="87" t="n"/>
      <c r="JGZ1" s="87" t="n"/>
      <c r="JHA1" s="87" t="n"/>
      <c r="JHB1" s="87" t="n"/>
      <c r="JHC1" s="87" t="n"/>
      <c r="JHD1" s="87" t="n"/>
      <c r="JHE1" s="87" t="n"/>
      <c r="JHF1" s="87" t="n"/>
      <c r="JHG1" s="87" t="n"/>
      <c r="JHH1" s="87" t="n"/>
      <c r="JHI1" s="87" t="n"/>
      <c r="JHJ1" s="87" t="n"/>
      <c r="JHK1" s="87" t="n"/>
      <c r="JHL1" s="87" t="n"/>
      <c r="JHM1" s="87" t="n"/>
      <c r="JHN1" s="87" t="n"/>
      <c r="JHO1" s="87" t="n"/>
      <c r="JHP1" s="87" t="n"/>
      <c r="JHQ1" s="87" t="n"/>
      <c r="JHR1" s="87" t="n"/>
      <c r="JHS1" s="87" t="n"/>
      <c r="JHT1" s="87" t="n"/>
      <c r="JHU1" s="87" t="n"/>
      <c r="JHV1" s="87" t="n"/>
      <c r="JHW1" s="87" t="n"/>
      <c r="JHX1" s="87" t="n"/>
      <c r="JHY1" s="87" t="n"/>
      <c r="JHZ1" s="87" t="n"/>
      <c r="JIA1" s="87" t="n"/>
      <c r="JIB1" s="87" t="n"/>
      <c r="JIC1" s="87" t="n"/>
      <c r="JID1" s="87" t="n"/>
      <c r="JIE1" s="87" t="n"/>
      <c r="JIF1" s="87" t="n"/>
      <c r="JIG1" s="87" t="n"/>
      <c r="JIH1" s="87" t="n"/>
      <c r="JII1" s="87" t="n"/>
      <c r="JIJ1" s="87" t="n"/>
      <c r="JIK1" s="87" t="n"/>
      <c r="JIL1" s="87" t="n"/>
      <c r="JIM1" s="87" t="n"/>
      <c r="JIN1" s="87" t="n"/>
      <c r="JIO1" s="87" t="n"/>
      <c r="JIP1" s="87" t="n"/>
      <c r="JIQ1" s="87" t="n"/>
      <c r="JIR1" s="87" t="n"/>
      <c r="JIS1" s="87" t="n"/>
      <c r="JIT1" s="87" t="n"/>
      <c r="JIU1" s="87" t="n"/>
      <c r="JIV1" s="87" t="n"/>
      <c r="JIW1" s="87" t="n"/>
      <c r="JIX1" s="87" t="n"/>
      <c r="JIY1" s="87" t="n"/>
      <c r="JIZ1" s="87" t="n"/>
      <c r="JJA1" s="87" t="n"/>
      <c r="JJB1" s="87" t="n"/>
      <c r="JJC1" s="87" t="n"/>
      <c r="JJD1" s="87" t="n"/>
      <c r="JJE1" s="87" t="n"/>
      <c r="JJF1" s="87" t="n"/>
      <c r="JJG1" s="87" t="n"/>
      <c r="JJH1" s="87" t="n"/>
      <c r="JJI1" s="87" t="n"/>
      <c r="JJJ1" s="87" t="n"/>
      <c r="JJK1" s="87" t="n"/>
      <c r="JJL1" s="87" t="n"/>
      <c r="JJM1" s="87" t="n"/>
      <c r="JJN1" s="87" t="n"/>
      <c r="JJO1" s="87" t="n"/>
      <c r="JJP1" s="87" t="n"/>
      <c r="JJQ1" s="87" t="n"/>
      <c r="JJR1" s="87" t="n"/>
      <c r="JJS1" s="87" t="n"/>
      <c r="JJT1" s="87" t="n"/>
      <c r="JJU1" s="87" t="n"/>
      <c r="JJV1" s="87" t="n"/>
      <c r="JJW1" s="87" t="n"/>
      <c r="JJX1" s="87" t="n"/>
      <c r="JJY1" s="87" t="n"/>
      <c r="JJZ1" s="87" t="n"/>
      <c r="JKA1" s="87" t="n"/>
      <c r="JKB1" s="87" t="n"/>
      <c r="JKC1" s="87" t="n"/>
      <c r="JKD1" s="87" t="n"/>
      <c r="JKE1" s="87" t="n"/>
      <c r="JKF1" s="87" t="n"/>
      <c r="JKG1" s="87" t="n"/>
      <c r="JKH1" s="87" t="n"/>
      <c r="JKI1" s="87" t="n"/>
      <c r="JKJ1" s="87" t="n"/>
      <c r="JKK1" s="87" t="n"/>
      <c r="JKL1" s="87" t="n"/>
      <c r="JKM1" s="87" t="n"/>
      <c r="JKN1" s="87" t="n"/>
      <c r="JKO1" s="87" t="n"/>
      <c r="JKP1" s="87" t="n"/>
      <c r="JKQ1" s="87" t="n"/>
      <c r="JKR1" s="87" t="n"/>
      <c r="JKS1" s="87" t="n"/>
      <c r="JKT1" s="87" t="n"/>
      <c r="JKU1" s="87" t="n"/>
      <c r="JKV1" s="87" t="n"/>
      <c r="JKW1" s="87" t="n"/>
      <c r="JKX1" s="87" t="n"/>
      <c r="JKY1" s="87" t="n"/>
      <c r="JKZ1" s="87" t="n"/>
      <c r="JLA1" s="87" t="n"/>
      <c r="JLB1" s="87" t="n"/>
      <c r="JLC1" s="87" t="n"/>
      <c r="JLD1" s="87" t="n"/>
      <c r="JLE1" s="87" t="n"/>
      <c r="JLF1" s="87" t="n"/>
      <c r="JLG1" s="87" t="n"/>
      <c r="JLH1" s="87" t="n"/>
      <c r="JLI1" s="87" t="n"/>
      <c r="JLJ1" s="87" t="n"/>
      <c r="JLK1" s="87" t="n"/>
      <c r="JLL1" s="87" t="n"/>
      <c r="JLM1" s="87" t="n"/>
      <c r="JLN1" s="87" t="n"/>
      <c r="JLO1" s="87" t="n"/>
      <c r="JLP1" s="87" t="n"/>
      <c r="JLQ1" s="87" t="n"/>
      <c r="JLR1" s="87" t="n"/>
      <c r="JLS1" s="87" t="n"/>
      <c r="JLT1" s="87" t="n"/>
      <c r="JLU1" s="87" t="n"/>
      <c r="JLV1" s="87" t="n"/>
      <c r="JLW1" s="87" t="n"/>
      <c r="JLX1" s="87" t="n"/>
      <c r="JLY1" s="87" t="n"/>
      <c r="JLZ1" s="87" t="n"/>
      <c r="JMA1" s="87" t="n"/>
      <c r="JMB1" s="87" t="n"/>
      <c r="JMC1" s="87" t="n"/>
      <c r="JMD1" s="87" t="n"/>
      <c r="JME1" s="87" t="n"/>
      <c r="JMF1" s="87" t="n"/>
      <c r="JMG1" s="87" t="n"/>
      <c r="JMH1" s="87" t="n"/>
      <c r="JMI1" s="87" t="n"/>
      <c r="JMJ1" s="87" t="n"/>
      <c r="JMK1" s="87" t="n"/>
      <c r="JML1" s="87" t="n"/>
      <c r="JMM1" s="87" t="n"/>
      <c r="JMN1" s="87" t="n"/>
      <c r="JMO1" s="87" t="n"/>
      <c r="JMP1" s="87" t="n"/>
      <c r="JMQ1" s="87" t="n"/>
      <c r="JMR1" s="87" t="n"/>
      <c r="JMS1" s="87" t="n"/>
      <c r="JMT1" s="87" t="n"/>
      <c r="JMU1" s="87" t="n"/>
      <c r="JMV1" s="87" t="n"/>
      <c r="JMW1" s="87" t="n"/>
      <c r="JMX1" s="87" t="n"/>
      <c r="JMY1" s="87" t="n"/>
      <c r="JMZ1" s="87" t="n"/>
      <c r="JNA1" s="87" t="n"/>
      <c r="JNB1" s="87" t="n"/>
      <c r="JNC1" s="87" t="n"/>
      <c r="JND1" s="87" t="n"/>
      <c r="JNE1" s="87" t="n"/>
      <c r="JNF1" s="87" t="n"/>
      <c r="JNG1" s="87" t="n"/>
      <c r="JNH1" s="87" t="n"/>
      <c r="JNI1" s="87" t="n"/>
      <c r="JNJ1" s="87" t="n"/>
      <c r="JNK1" s="87" t="n"/>
      <c r="JNL1" s="87" t="n"/>
      <c r="JNM1" s="87" t="n"/>
      <c r="JNN1" s="87" t="n"/>
      <c r="JNO1" s="87" t="n"/>
      <c r="JNP1" s="87" t="n"/>
      <c r="JNQ1" s="87" t="n"/>
      <c r="JNR1" s="87" t="n"/>
      <c r="JNS1" s="87" t="n"/>
      <c r="JNT1" s="87" t="n"/>
      <c r="JNU1" s="87" t="n"/>
      <c r="JNV1" s="87" t="n"/>
      <c r="JNW1" s="87" t="n"/>
      <c r="JNX1" s="87" t="n"/>
      <c r="JNY1" s="87" t="n"/>
      <c r="JNZ1" s="87" t="n"/>
      <c r="JOA1" s="87" t="n"/>
      <c r="JOB1" s="87" t="n"/>
      <c r="JOC1" s="87" t="n"/>
      <c r="JOD1" s="87" t="n"/>
      <c r="JOE1" s="87" t="n"/>
      <c r="JOF1" s="87" t="n"/>
      <c r="JOG1" s="87" t="n"/>
      <c r="JOH1" s="87" t="n"/>
      <c r="JOI1" s="87" t="n"/>
      <c r="JOJ1" s="87" t="n"/>
      <c r="JOK1" s="87" t="n"/>
      <c r="JOL1" s="87" t="n"/>
      <c r="JOM1" s="87" t="n"/>
      <c r="JON1" s="87" t="n"/>
      <c r="JOO1" s="87" t="n"/>
      <c r="JOP1" s="87" t="n"/>
      <c r="JOQ1" s="87" t="n"/>
      <c r="JOR1" s="87" t="n"/>
      <c r="JOS1" s="87" t="n"/>
      <c r="JOT1" s="87" t="n"/>
      <c r="JOU1" s="87" t="n"/>
      <c r="JOV1" s="87" t="n"/>
      <c r="JOW1" s="87" t="n"/>
      <c r="JOX1" s="87" t="n"/>
      <c r="JOY1" s="87" t="n"/>
      <c r="JOZ1" s="87" t="n"/>
      <c r="JPA1" s="87" t="n"/>
      <c r="JPB1" s="87" t="n"/>
      <c r="JPC1" s="87" t="n"/>
      <c r="JPD1" s="87" t="n"/>
      <c r="JPE1" s="87" t="n"/>
      <c r="JPF1" s="87" t="n"/>
      <c r="JPG1" s="87" t="n"/>
      <c r="JPH1" s="87" t="n"/>
      <c r="JPI1" s="87" t="n"/>
      <c r="JPJ1" s="87" t="n"/>
      <c r="JPK1" s="87" t="n"/>
      <c r="JPL1" s="87" t="n"/>
      <c r="JPM1" s="87" t="n"/>
      <c r="JPN1" s="87" t="n"/>
      <c r="JPO1" s="87" t="n"/>
      <c r="JPP1" s="87" t="n"/>
      <c r="JPQ1" s="87" t="n"/>
      <c r="JPR1" s="87" t="n"/>
      <c r="JPS1" s="87" t="n"/>
      <c r="JPT1" s="87" t="n"/>
      <c r="JPU1" s="87" t="n"/>
      <c r="JPV1" s="87" t="n"/>
      <c r="JPW1" s="87" t="n"/>
      <c r="JPX1" s="87" t="n"/>
      <c r="JPY1" s="87" t="n"/>
      <c r="JPZ1" s="87" t="n"/>
      <c r="JQA1" s="87" t="n"/>
      <c r="JQB1" s="87" t="n"/>
      <c r="JQC1" s="87" t="n"/>
      <c r="JQD1" s="87" t="n"/>
      <c r="JQE1" s="87" t="n"/>
      <c r="JQF1" s="87" t="n"/>
      <c r="JQG1" s="87" t="n"/>
      <c r="JQH1" s="87" t="n"/>
      <c r="JQI1" s="87" t="n"/>
      <c r="JQJ1" s="87" t="n"/>
      <c r="JQK1" s="87" t="n"/>
      <c r="JQL1" s="87" t="n"/>
      <c r="JQM1" s="87" t="n"/>
      <c r="JQN1" s="87" t="n"/>
      <c r="JQO1" s="87" t="n"/>
      <c r="JQP1" s="87" t="n"/>
      <c r="JQQ1" s="87" t="n"/>
      <c r="JQR1" s="87" t="n"/>
      <c r="JQS1" s="87" t="n"/>
      <c r="JQT1" s="87" t="n"/>
      <c r="JQU1" s="87" t="n"/>
      <c r="JQV1" s="87" t="n"/>
      <c r="JQW1" s="87" t="n"/>
      <c r="JQX1" s="87" t="n"/>
      <c r="JQY1" s="87" t="n"/>
      <c r="JQZ1" s="87" t="n"/>
      <c r="JRA1" s="87" t="n"/>
      <c r="JRB1" s="87" t="n"/>
      <c r="JRC1" s="87" t="n"/>
      <c r="JRD1" s="87" t="n"/>
      <c r="JRE1" s="87" t="n"/>
      <c r="JRF1" s="87" t="n"/>
      <c r="JRG1" s="87" t="n"/>
      <c r="JRH1" s="87" t="n"/>
      <c r="JRI1" s="87" t="n"/>
      <c r="JRJ1" s="87" t="n"/>
      <c r="JRK1" s="87" t="n"/>
      <c r="JRL1" s="87" t="n"/>
      <c r="JRM1" s="87" t="n"/>
      <c r="JRN1" s="87" t="n"/>
      <c r="JRO1" s="87" t="n"/>
      <c r="JRP1" s="87" t="n"/>
      <c r="JRQ1" s="87" t="n"/>
      <c r="JRR1" s="87" t="n"/>
      <c r="JRS1" s="87" t="n"/>
      <c r="JRT1" s="87" t="n"/>
      <c r="JRU1" s="87" t="n"/>
      <c r="JRV1" s="87" t="n"/>
      <c r="JRW1" s="87" t="n"/>
      <c r="JRX1" s="87" t="n"/>
      <c r="JRY1" s="87" t="n"/>
      <c r="JRZ1" s="87" t="n"/>
      <c r="JSA1" s="87" t="n"/>
      <c r="JSB1" s="87" t="n"/>
      <c r="JSC1" s="87" t="n"/>
      <c r="JSD1" s="87" t="n"/>
      <c r="JSE1" s="87" t="n"/>
      <c r="JSF1" s="87" t="n"/>
      <c r="JSG1" s="87" t="n"/>
      <c r="JSH1" s="87" t="n"/>
      <c r="JSI1" s="87" t="n"/>
      <c r="JSJ1" s="87" t="n"/>
      <c r="JSK1" s="87" t="n"/>
      <c r="JSL1" s="87" t="n"/>
      <c r="JSM1" s="87" t="n"/>
      <c r="JSN1" s="87" t="n"/>
      <c r="JSO1" s="87" t="n"/>
      <c r="JSP1" s="87" t="n"/>
      <c r="JSQ1" s="87" t="n"/>
      <c r="JSR1" s="87" t="n"/>
      <c r="JSS1" s="87" t="n"/>
      <c r="JST1" s="87" t="n"/>
      <c r="JSU1" s="87" t="n"/>
      <c r="JSV1" s="87" t="n"/>
      <c r="JSW1" s="87" t="n"/>
      <c r="JSX1" s="87" t="n"/>
      <c r="JSY1" s="87" t="n"/>
      <c r="JSZ1" s="87" t="n"/>
      <c r="JTA1" s="87" t="n"/>
      <c r="JTB1" s="87" t="n"/>
      <c r="JTC1" s="87" t="n"/>
      <c r="JTD1" s="87" t="n"/>
      <c r="JTE1" s="87" t="n"/>
      <c r="JTF1" s="87" t="n"/>
      <c r="JTG1" s="87" t="n"/>
      <c r="JTH1" s="87" t="n"/>
      <c r="JTI1" s="87" t="n"/>
      <c r="JTJ1" s="87" t="n"/>
      <c r="JTK1" s="87" t="n"/>
      <c r="JTL1" s="87" t="n"/>
      <c r="JTM1" s="87" t="n"/>
      <c r="JTN1" s="87" t="n"/>
      <c r="JTO1" s="87" t="n"/>
      <c r="JTP1" s="87" t="n"/>
      <c r="JTQ1" s="87" t="n"/>
      <c r="JTR1" s="87" t="n"/>
      <c r="JTS1" s="87" t="n"/>
      <c r="JTT1" s="87" t="n"/>
      <c r="JTU1" s="87" t="n"/>
      <c r="JTV1" s="87" t="n"/>
      <c r="JTW1" s="87" t="n"/>
      <c r="JTX1" s="87" t="n"/>
      <c r="JTY1" s="87" t="n"/>
      <c r="JTZ1" s="87" t="n"/>
      <c r="JUA1" s="87" t="n"/>
      <c r="JUB1" s="87" t="n"/>
      <c r="JUC1" s="87" t="n"/>
      <c r="JUD1" s="87" t="n"/>
      <c r="JUE1" s="87" t="n"/>
      <c r="JUF1" s="87" t="n"/>
      <c r="JUG1" s="87" t="n"/>
      <c r="JUH1" s="87" t="n"/>
      <c r="JUI1" s="87" t="n"/>
      <c r="JUJ1" s="87" t="n"/>
      <c r="JUK1" s="87" t="n"/>
      <c r="JUL1" s="87" t="n"/>
      <c r="JUM1" s="87" t="n"/>
      <c r="JUN1" s="87" t="n"/>
      <c r="JUO1" s="87" t="n"/>
      <c r="JUP1" s="87" t="n"/>
      <c r="JUQ1" s="87" t="n"/>
      <c r="JUR1" s="87" t="n"/>
      <c r="JUS1" s="87" t="n"/>
      <c r="JUT1" s="87" t="n"/>
      <c r="JUU1" s="87" t="n"/>
      <c r="JUV1" s="87" t="n"/>
      <c r="JUW1" s="87" t="n"/>
      <c r="JUX1" s="87" t="n"/>
      <c r="JUY1" s="87" t="n"/>
      <c r="JUZ1" s="87" t="n"/>
      <c r="JVA1" s="87" t="n"/>
      <c r="JVB1" s="87" t="n"/>
      <c r="JVC1" s="87" t="n"/>
      <c r="JVD1" s="87" t="n"/>
      <c r="JVE1" s="87" t="n"/>
      <c r="JVF1" s="87" t="n"/>
      <c r="JVG1" s="87" t="n"/>
      <c r="JVH1" s="87" t="n"/>
      <c r="JVI1" s="87" t="n"/>
      <c r="JVJ1" s="87" t="n"/>
      <c r="JVK1" s="87" t="n"/>
      <c r="JVL1" s="87" t="n"/>
      <c r="JVM1" s="87" t="n"/>
      <c r="JVN1" s="87" t="n"/>
      <c r="JVO1" s="87" t="n"/>
      <c r="JVP1" s="87" t="n"/>
      <c r="JVQ1" s="87" t="n"/>
      <c r="JVR1" s="87" t="n"/>
      <c r="JVS1" s="87" t="n"/>
      <c r="JVT1" s="87" t="n"/>
      <c r="JVU1" s="87" t="n"/>
      <c r="JVV1" s="87" t="n"/>
      <c r="JVW1" s="87" t="n"/>
      <c r="JVX1" s="87" t="n"/>
      <c r="JVY1" s="87" t="n"/>
      <c r="JVZ1" s="87" t="n"/>
      <c r="JWA1" s="87" t="n"/>
      <c r="JWB1" s="87" t="n"/>
      <c r="JWC1" s="87" t="n"/>
      <c r="JWD1" s="87" t="n"/>
      <c r="JWE1" s="87" t="n"/>
      <c r="JWF1" s="87" t="n"/>
      <c r="JWG1" s="87" t="n"/>
      <c r="JWH1" s="87" t="n"/>
      <c r="JWI1" s="87" t="n"/>
      <c r="JWJ1" s="87" t="n"/>
      <c r="JWK1" s="87" t="n"/>
      <c r="JWL1" s="87" t="n"/>
      <c r="JWM1" s="87" t="n"/>
      <c r="JWN1" s="87" t="n"/>
      <c r="JWO1" s="87" t="n"/>
      <c r="JWP1" s="87" t="n"/>
      <c r="JWQ1" s="87" t="n"/>
      <c r="JWR1" s="87" t="n"/>
      <c r="JWS1" s="87" t="n"/>
      <c r="JWT1" s="87" t="n"/>
      <c r="JWU1" s="87" t="n"/>
      <c r="JWV1" s="87" t="n"/>
      <c r="JWW1" s="87" t="n"/>
      <c r="JWX1" s="87" t="n"/>
      <c r="JWY1" s="87" t="n"/>
      <c r="JWZ1" s="87" t="n"/>
      <c r="JXA1" s="87" t="n"/>
      <c r="JXB1" s="87" t="n"/>
      <c r="JXC1" s="87" t="n"/>
      <c r="JXD1" s="87" t="n"/>
      <c r="JXE1" s="87" t="n"/>
      <c r="JXF1" s="87" t="n"/>
      <c r="JXG1" s="87" t="n"/>
      <c r="JXH1" s="87" t="n"/>
      <c r="JXI1" s="87" t="n"/>
      <c r="JXJ1" s="87" t="n"/>
      <c r="JXK1" s="87" t="n"/>
      <c r="JXL1" s="87" t="n"/>
      <c r="JXM1" s="87" t="n"/>
      <c r="JXN1" s="87" t="n"/>
      <c r="JXO1" s="87" t="n"/>
      <c r="JXP1" s="87" t="n"/>
      <c r="JXQ1" s="87" t="n"/>
      <c r="JXR1" s="87" t="n"/>
      <c r="JXS1" s="87" t="n"/>
      <c r="JXT1" s="87" t="n"/>
      <c r="JXU1" s="87" t="n"/>
      <c r="JXV1" s="87" t="n"/>
      <c r="JXW1" s="87" t="n"/>
      <c r="JXX1" s="87" t="n"/>
      <c r="JXY1" s="87" t="n"/>
      <c r="JXZ1" s="87" t="n"/>
      <c r="JYA1" s="87" t="n"/>
      <c r="JYB1" s="87" t="n"/>
      <c r="JYC1" s="87" t="n"/>
      <c r="JYD1" s="87" t="n"/>
      <c r="JYE1" s="87" t="n"/>
      <c r="JYF1" s="87" t="n"/>
      <c r="JYG1" s="87" t="n"/>
      <c r="JYH1" s="87" t="n"/>
      <c r="JYI1" s="87" t="n"/>
      <c r="JYJ1" s="87" t="n"/>
      <c r="JYK1" s="87" t="n"/>
      <c r="JYL1" s="87" t="n"/>
      <c r="JYM1" s="87" t="n"/>
      <c r="JYN1" s="87" t="n"/>
      <c r="JYO1" s="87" t="n"/>
      <c r="JYP1" s="87" t="n"/>
      <c r="JYQ1" s="87" t="n"/>
      <c r="JYR1" s="87" t="n"/>
      <c r="JYS1" s="87" t="n"/>
      <c r="JYT1" s="87" t="n"/>
      <c r="JYU1" s="87" t="n"/>
      <c r="JYV1" s="87" t="n"/>
      <c r="JYW1" s="87" t="n"/>
      <c r="JYX1" s="87" t="n"/>
      <c r="JYY1" s="87" t="n"/>
      <c r="JYZ1" s="87" t="n"/>
      <c r="JZA1" s="87" t="n"/>
      <c r="JZB1" s="87" t="n"/>
      <c r="JZC1" s="87" t="n"/>
      <c r="JZD1" s="87" t="n"/>
      <c r="JZE1" s="87" t="n"/>
      <c r="JZF1" s="87" t="n"/>
      <c r="JZG1" s="87" t="n"/>
      <c r="JZH1" s="87" t="n"/>
      <c r="JZI1" s="87" t="n"/>
      <c r="JZJ1" s="87" t="n"/>
      <c r="JZK1" s="87" t="n"/>
      <c r="JZL1" s="87" t="n"/>
      <c r="JZM1" s="87" t="n"/>
      <c r="JZN1" s="87" t="n"/>
      <c r="JZO1" s="87" t="n"/>
      <c r="JZP1" s="87" t="n"/>
      <c r="JZQ1" s="87" t="n"/>
      <c r="JZR1" s="87" t="n"/>
      <c r="JZS1" s="87" t="n"/>
      <c r="JZT1" s="87" t="n"/>
      <c r="JZU1" s="87" t="n"/>
      <c r="JZV1" s="87" t="n"/>
      <c r="JZW1" s="87" t="n"/>
      <c r="JZX1" s="87" t="n"/>
      <c r="JZY1" s="87" t="n"/>
      <c r="JZZ1" s="87" t="n"/>
      <c r="KAA1" s="87" t="n"/>
      <c r="KAB1" s="87" t="n"/>
      <c r="KAC1" s="87" t="n"/>
      <c r="KAD1" s="87" t="n"/>
      <c r="KAE1" s="87" t="n"/>
      <c r="KAF1" s="87" t="n"/>
      <c r="KAG1" s="87" t="n"/>
      <c r="KAH1" s="87" t="n"/>
      <c r="KAI1" s="87" t="n"/>
      <c r="KAJ1" s="87" t="n"/>
      <c r="KAK1" s="87" t="n"/>
      <c r="KAL1" s="87" t="n"/>
      <c r="KAM1" s="87" t="n"/>
      <c r="KAN1" s="87" t="n"/>
      <c r="KAO1" s="87" t="n"/>
      <c r="KAP1" s="87" t="n"/>
      <c r="KAQ1" s="87" t="n"/>
      <c r="KAR1" s="87" t="n"/>
      <c r="KAS1" s="87" t="n"/>
      <c r="KAT1" s="87" t="n"/>
      <c r="KAU1" s="87" t="n"/>
      <c r="KAV1" s="87" t="n"/>
      <c r="KAW1" s="87" t="n"/>
      <c r="KAX1" s="87" t="n"/>
      <c r="KAY1" s="87" t="n"/>
      <c r="KAZ1" s="87" t="n"/>
      <c r="KBA1" s="87" t="n"/>
      <c r="KBB1" s="87" t="n"/>
      <c r="KBC1" s="87" t="n"/>
      <c r="KBD1" s="87" t="n"/>
      <c r="KBE1" s="87" t="n"/>
      <c r="KBF1" s="87" t="n"/>
      <c r="KBG1" s="87" t="n"/>
      <c r="KBH1" s="87" t="n"/>
      <c r="KBI1" s="87" t="n"/>
      <c r="KBJ1" s="87" t="n"/>
      <c r="KBK1" s="87" t="n"/>
      <c r="KBL1" s="87" t="n"/>
      <c r="KBM1" s="87" t="n"/>
      <c r="KBN1" s="87" t="n"/>
      <c r="KBO1" s="87" t="n"/>
      <c r="KBP1" s="87" t="n"/>
      <c r="KBQ1" s="87" t="n"/>
      <c r="KBR1" s="87" t="n"/>
      <c r="KBS1" s="87" t="n"/>
      <c r="KBT1" s="87" t="n"/>
      <c r="KBU1" s="87" t="n"/>
      <c r="KBV1" s="87" t="n"/>
      <c r="KBW1" s="87" t="n"/>
      <c r="KBX1" s="87" t="n"/>
      <c r="KBY1" s="87" t="n"/>
      <c r="KBZ1" s="87" t="n"/>
      <c r="KCA1" s="87" t="n"/>
      <c r="KCB1" s="87" t="n"/>
      <c r="KCC1" s="87" t="n"/>
      <c r="KCD1" s="87" t="n"/>
      <c r="KCE1" s="87" t="n"/>
      <c r="KCF1" s="87" t="n"/>
      <c r="KCG1" s="87" t="n"/>
      <c r="KCH1" s="87" t="n"/>
      <c r="KCI1" s="87" t="n"/>
      <c r="KCJ1" s="87" t="n"/>
      <c r="KCK1" s="87" t="n"/>
      <c r="KCL1" s="87" t="n"/>
      <c r="KCM1" s="87" t="n"/>
      <c r="KCN1" s="87" t="n"/>
      <c r="KCO1" s="87" t="n"/>
      <c r="KCP1" s="87" t="n"/>
      <c r="KCQ1" s="87" t="n"/>
      <c r="KCR1" s="87" t="n"/>
      <c r="KCS1" s="87" t="n"/>
      <c r="KCT1" s="87" t="n"/>
      <c r="KCU1" s="87" t="n"/>
      <c r="KCV1" s="87" t="n"/>
      <c r="KCW1" s="87" t="n"/>
      <c r="KCX1" s="87" t="n"/>
      <c r="KCY1" s="87" t="n"/>
      <c r="KCZ1" s="87" t="n"/>
      <c r="KDA1" s="87" t="n"/>
      <c r="KDB1" s="87" t="n"/>
      <c r="KDC1" s="87" t="n"/>
      <c r="KDD1" s="87" t="n"/>
      <c r="KDE1" s="87" t="n"/>
      <c r="KDF1" s="87" t="n"/>
      <c r="KDG1" s="87" t="n"/>
      <c r="KDH1" s="87" t="n"/>
      <c r="KDI1" s="87" t="n"/>
      <c r="KDJ1" s="87" t="n"/>
      <c r="KDK1" s="87" t="n"/>
      <c r="KDL1" s="87" t="n"/>
      <c r="KDM1" s="87" t="n"/>
      <c r="KDN1" s="87" t="n"/>
      <c r="KDO1" s="87" t="n"/>
      <c r="KDP1" s="87" t="n"/>
      <c r="KDQ1" s="87" t="n"/>
      <c r="KDR1" s="87" t="n"/>
      <c r="KDS1" s="87" t="n"/>
      <c r="KDT1" s="87" t="n"/>
      <c r="KDU1" s="87" t="n"/>
      <c r="KDV1" s="87" t="n"/>
      <c r="KDW1" s="87" t="n"/>
      <c r="KDX1" s="87" t="n"/>
      <c r="KDY1" s="87" t="n"/>
      <c r="KDZ1" s="87" t="n"/>
      <c r="KEA1" s="87" t="n"/>
      <c r="KEB1" s="87" t="n"/>
      <c r="KEC1" s="87" t="n"/>
      <c r="KED1" s="87" t="n"/>
      <c r="KEE1" s="87" t="n"/>
      <c r="KEF1" s="87" t="n"/>
      <c r="KEG1" s="87" t="n"/>
      <c r="KEH1" s="87" t="n"/>
      <c r="KEI1" s="87" t="n"/>
      <c r="KEJ1" s="87" t="n"/>
      <c r="KEK1" s="87" t="n"/>
      <c r="KEL1" s="87" t="n"/>
      <c r="KEM1" s="87" t="n"/>
      <c r="KEN1" s="87" t="n"/>
      <c r="KEO1" s="87" t="n"/>
      <c r="KEP1" s="87" t="n"/>
      <c r="KEQ1" s="87" t="n"/>
      <c r="KER1" s="87" t="n"/>
      <c r="KES1" s="87" t="n"/>
      <c r="KET1" s="87" t="n"/>
      <c r="KEU1" s="87" t="n"/>
      <c r="KEV1" s="87" t="n"/>
      <c r="KEW1" s="87" t="n"/>
      <c r="KEX1" s="87" t="n"/>
      <c r="KEY1" s="87" t="n"/>
      <c r="KEZ1" s="87" t="n"/>
      <c r="KFA1" s="87" t="n"/>
      <c r="KFB1" s="87" t="n"/>
      <c r="KFC1" s="87" t="n"/>
      <c r="KFD1" s="87" t="n"/>
      <c r="KFE1" s="87" t="n"/>
      <c r="KFF1" s="87" t="n"/>
      <c r="KFG1" s="87" t="n"/>
      <c r="KFH1" s="87" t="n"/>
      <c r="KFI1" s="87" t="n"/>
      <c r="KFJ1" s="87" t="n"/>
      <c r="KFK1" s="87" t="n"/>
      <c r="KFL1" s="87" t="n"/>
      <c r="KFM1" s="87" t="n"/>
      <c r="KFN1" s="87" t="n"/>
      <c r="KFO1" s="87" t="n"/>
      <c r="KFP1" s="87" t="n"/>
      <c r="KFQ1" s="87" t="n"/>
      <c r="KFR1" s="87" t="n"/>
      <c r="KFS1" s="87" t="n"/>
      <c r="KFT1" s="87" t="n"/>
      <c r="KFU1" s="87" t="n"/>
      <c r="KFV1" s="87" t="n"/>
      <c r="KFW1" s="87" t="n"/>
      <c r="KFX1" s="87" t="n"/>
      <c r="KFY1" s="87" t="n"/>
      <c r="KFZ1" s="87" t="n"/>
      <c r="KGA1" s="87" t="n"/>
      <c r="KGB1" s="87" t="n"/>
      <c r="KGC1" s="87" t="n"/>
      <c r="KGD1" s="87" t="n"/>
      <c r="KGE1" s="87" t="n"/>
      <c r="KGF1" s="87" t="n"/>
      <c r="KGG1" s="87" t="n"/>
      <c r="KGH1" s="87" t="n"/>
      <c r="KGI1" s="87" t="n"/>
      <c r="KGJ1" s="87" t="n"/>
      <c r="KGK1" s="87" t="n"/>
      <c r="KGL1" s="87" t="n"/>
      <c r="KGM1" s="87" t="n"/>
      <c r="KGN1" s="87" t="n"/>
      <c r="KGO1" s="87" t="n"/>
      <c r="KGP1" s="87" t="n"/>
      <c r="KGQ1" s="87" t="n"/>
      <c r="KGR1" s="87" t="n"/>
      <c r="KGS1" s="87" t="n"/>
      <c r="KGT1" s="87" t="n"/>
      <c r="KGU1" s="87" t="n"/>
      <c r="KGV1" s="87" t="n"/>
      <c r="KGW1" s="87" t="n"/>
      <c r="KGX1" s="87" t="n"/>
      <c r="KGY1" s="87" t="n"/>
      <c r="KGZ1" s="87" t="n"/>
      <c r="KHA1" s="87" t="n"/>
      <c r="KHB1" s="87" t="n"/>
      <c r="KHC1" s="87" t="n"/>
      <c r="KHD1" s="87" t="n"/>
      <c r="KHE1" s="87" t="n"/>
      <c r="KHF1" s="87" t="n"/>
      <c r="KHG1" s="87" t="n"/>
      <c r="KHH1" s="87" t="n"/>
      <c r="KHI1" s="87" t="n"/>
      <c r="KHJ1" s="87" t="n"/>
      <c r="KHK1" s="87" t="n"/>
      <c r="KHL1" s="87" t="n"/>
      <c r="KHM1" s="87" t="n"/>
      <c r="KHN1" s="87" t="n"/>
      <c r="KHO1" s="87" t="n"/>
      <c r="KHP1" s="87" t="n"/>
      <c r="KHQ1" s="87" t="n"/>
      <c r="KHR1" s="87" t="n"/>
      <c r="KHS1" s="87" t="n"/>
      <c r="KHT1" s="87" t="n"/>
      <c r="KHU1" s="87" t="n"/>
      <c r="KHV1" s="87" t="n"/>
      <c r="KHW1" s="87" t="n"/>
      <c r="KHX1" s="87" t="n"/>
      <c r="KHY1" s="87" t="n"/>
      <c r="KHZ1" s="87" t="n"/>
      <c r="KIA1" s="87" t="n"/>
      <c r="KIB1" s="87" t="n"/>
      <c r="KIC1" s="87" t="n"/>
      <c r="KID1" s="87" t="n"/>
      <c r="KIE1" s="87" t="n"/>
      <c r="KIF1" s="87" t="n"/>
      <c r="KIG1" s="87" t="n"/>
      <c r="KIH1" s="87" t="n"/>
      <c r="KII1" s="87" t="n"/>
      <c r="KIJ1" s="87" t="n"/>
      <c r="KIK1" s="87" t="n"/>
      <c r="KIL1" s="87" t="n"/>
      <c r="KIM1" s="87" t="n"/>
      <c r="KIN1" s="87" t="n"/>
      <c r="KIO1" s="87" t="n"/>
      <c r="KIP1" s="87" t="n"/>
      <c r="KIQ1" s="87" t="n"/>
      <c r="KIR1" s="87" t="n"/>
      <c r="KIS1" s="87" t="n"/>
      <c r="KIT1" s="87" t="n"/>
      <c r="KIU1" s="87" t="n"/>
      <c r="KIV1" s="87" t="n"/>
      <c r="KIW1" s="87" t="n"/>
      <c r="KIX1" s="87" t="n"/>
      <c r="KIY1" s="87" t="n"/>
      <c r="KIZ1" s="87" t="n"/>
      <c r="KJA1" s="87" t="n"/>
      <c r="KJB1" s="87" t="n"/>
      <c r="KJC1" s="87" t="n"/>
      <c r="KJD1" s="87" t="n"/>
      <c r="KJE1" s="87" t="n"/>
      <c r="KJF1" s="87" t="n"/>
      <c r="KJG1" s="87" t="n"/>
      <c r="KJH1" s="87" t="n"/>
      <c r="KJI1" s="87" t="n"/>
      <c r="KJJ1" s="87" t="n"/>
      <c r="KJK1" s="87" t="n"/>
      <c r="KJL1" s="87" t="n"/>
      <c r="KJM1" s="87" t="n"/>
      <c r="KJN1" s="87" t="n"/>
      <c r="KJO1" s="87" t="n"/>
      <c r="KJP1" s="87" t="n"/>
      <c r="KJQ1" s="87" t="n"/>
      <c r="KJR1" s="87" t="n"/>
      <c r="KJS1" s="87" t="n"/>
      <c r="KJT1" s="87" t="n"/>
      <c r="KJU1" s="87" t="n"/>
      <c r="KJV1" s="87" t="n"/>
      <c r="KJW1" s="87" t="n"/>
      <c r="KJX1" s="87" t="n"/>
      <c r="KJY1" s="87" t="n"/>
      <c r="KJZ1" s="87" t="n"/>
      <c r="KKA1" s="87" t="n"/>
      <c r="KKB1" s="87" t="n"/>
      <c r="KKC1" s="87" t="n"/>
      <c r="KKD1" s="87" t="n"/>
      <c r="KKE1" s="87" t="n"/>
      <c r="KKF1" s="87" t="n"/>
      <c r="KKG1" s="87" t="n"/>
      <c r="KKH1" s="87" t="n"/>
      <c r="KKI1" s="87" t="n"/>
      <c r="KKJ1" s="87" t="n"/>
      <c r="KKK1" s="87" t="n"/>
      <c r="KKL1" s="87" t="n"/>
      <c r="KKM1" s="87" t="n"/>
      <c r="KKN1" s="87" t="n"/>
      <c r="KKO1" s="87" t="n"/>
      <c r="KKP1" s="87" t="n"/>
      <c r="KKQ1" s="87" t="n"/>
      <c r="KKR1" s="87" t="n"/>
      <c r="KKS1" s="87" t="n"/>
      <c r="KKT1" s="87" t="n"/>
      <c r="KKU1" s="87" t="n"/>
      <c r="KKV1" s="87" t="n"/>
      <c r="KKW1" s="87" t="n"/>
      <c r="KKX1" s="87" t="n"/>
      <c r="KKY1" s="87" t="n"/>
      <c r="KKZ1" s="87" t="n"/>
      <c r="KLA1" s="87" t="n"/>
      <c r="KLB1" s="87" t="n"/>
      <c r="KLC1" s="87" t="n"/>
      <c r="KLD1" s="87" t="n"/>
      <c r="KLE1" s="87" t="n"/>
      <c r="KLF1" s="87" t="n"/>
      <c r="KLG1" s="87" t="n"/>
      <c r="KLH1" s="87" t="n"/>
      <c r="KLI1" s="87" t="n"/>
      <c r="KLJ1" s="87" t="n"/>
      <c r="KLK1" s="87" t="n"/>
      <c r="KLL1" s="87" t="n"/>
      <c r="KLM1" s="87" t="n"/>
      <c r="KLN1" s="87" t="n"/>
      <c r="KLO1" s="87" t="n"/>
      <c r="KLP1" s="87" t="n"/>
      <c r="KLQ1" s="87" t="n"/>
      <c r="KLR1" s="87" t="n"/>
      <c r="KLS1" s="87" t="n"/>
      <c r="KLT1" s="87" t="n"/>
      <c r="KLU1" s="87" t="n"/>
      <c r="KLV1" s="87" t="n"/>
      <c r="KLW1" s="87" t="n"/>
      <c r="KLX1" s="87" t="n"/>
      <c r="KLY1" s="87" t="n"/>
      <c r="KLZ1" s="87" t="n"/>
      <c r="KMA1" s="87" t="n"/>
      <c r="KMB1" s="87" t="n"/>
      <c r="KMC1" s="87" t="n"/>
      <c r="KMD1" s="87" t="n"/>
      <c r="KME1" s="87" t="n"/>
      <c r="KMF1" s="87" t="n"/>
      <c r="KMG1" s="87" t="n"/>
      <c r="KMH1" s="87" t="n"/>
      <c r="KMI1" s="87" t="n"/>
      <c r="KMJ1" s="87" t="n"/>
      <c r="KMK1" s="87" t="n"/>
      <c r="KML1" s="87" t="n"/>
      <c r="KMM1" s="87" t="n"/>
      <c r="KMN1" s="87" t="n"/>
      <c r="KMO1" s="87" t="n"/>
      <c r="KMP1" s="87" t="n"/>
      <c r="KMQ1" s="87" t="n"/>
      <c r="KMR1" s="87" t="n"/>
      <c r="KMS1" s="87" t="n"/>
      <c r="KMT1" s="87" t="n"/>
      <c r="KMU1" s="87" t="n"/>
      <c r="KMV1" s="87" t="n"/>
      <c r="KMW1" s="87" t="n"/>
      <c r="KMX1" s="87" t="n"/>
      <c r="KMY1" s="87" t="n"/>
      <c r="KMZ1" s="87" t="n"/>
      <c r="KNA1" s="87" t="n"/>
      <c r="KNB1" s="87" t="n"/>
      <c r="KNC1" s="87" t="n"/>
      <c r="KND1" s="87" t="n"/>
      <c r="KNE1" s="87" t="n"/>
      <c r="KNF1" s="87" t="n"/>
      <c r="KNG1" s="87" t="n"/>
      <c r="KNH1" s="87" t="n"/>
      <c r="KNI1" s="87" t="n"/>
      <c r="KNJ1" s="87" t="n"/>
      <c r="KNK1" s="87" t="n"/>
      <c r="KNL1" s="87" t="n"/>
      <c r="KNM1" s="87" t="n"/>
      <c r="KNN1" s="87" t="n"/>
      <c r="KNO1" s="87" t="n"/>
      <c r="KNP1" s="87" t="n"/>
      <c r="KNQ1" s="87" t="n"/>
      <c r="KNR1" s="87" t="n"/>
      <c r="KNS1" s="87" t="n"/>
      <c r="KNT1" s="87" t="n"/>
      <c r="KNU1" s="87" t="n"/>
      <c r="KNV1" s="87" t="n"/>
      <c r="KNW1" s="87" t="n"/>
      <c r="KNX1" s="87" t="n"/>
      <c r="KNY1" s="87" t="n"/>
      <c r="KNZ1" s="87" t="n"/>
      <c r="KOA1" s="87" t="n"/>
      <c r="KOB1" s="87" t="n"/>
      <c r="KOC1" s="87" t="n"/>
      <c r="KOD1" s="87" t="n"/>
      <c r="KOE1" s="87" t="n"/>
      <c r="KOF1" s="87" t="n"/>
      <c r="KOG1" s="87" t="n"/>
      <c r="KOH1" s="87" t="n"/>
      <c r="KOI1" s="87" t="n"/>
      <c r="KOJ1" s="87" t="n"/>
      <c r="KOK1" s="87" t="n"/>
      <c r="KOL1" s="87" t="n"/>
      <c r="KOM1" s="87" t="n"/>
      <c r="KON1" s="87" t="n"/>
      <c r="KOO1" s="87" t="n"/>
      <c r="KOP1" s="87" t="n"/>
      <c r="KOQ1" s="87" t="n"/>
      <c r="KOR1" s="87" t="n"/>
      <c r="KOS1" s="87" t="n"/>
      <c r="KOT1" s="87" t="n"/>
      <c r="KOU1" s="87" t="n"/>
      <c r="KOV1" s="87" t="n"/>
      <c r="KOW1" s="87" t="n"/>
      <c r="KOX1" s="87" t="n"/>
      <c r="KOY1" s="87" t="n"/>
      <c r="KOZ1" s="87" t="n"/>
      <c r="KPA1" s="87" t="n"/>
      <c r="KPB1" s="87" t="n"/>
      <c r="KPC1" s="87" t="n"/>
      <c r="KPD1" s="87" t="n"/>
      <c r="KPE1" s="87" t="n"/>
      <c r="KPF1" s="87" t="n"/>
      <c r="KPG1" s="87" t="n"/>
      <c r="KPH1" s="87" t="n"/>
      <c r="KPI1" s="87" t="n"/>
      <c r="KPJ1" s="87" t="n"/>
      <c r="KPK1" s="87" t="n"/>
      <c r="KPL1" s="87" t="n"/>
      <c r="KPM1" s="87" t="n"/>
      <c r="KPN1" s="87" t="n"/>
      <c r="KPO1" s="87" t="n"/>
      <c r="KPP1" s="87" t="n"/>
      <c r="KPQ1" s="87" t="n"/>
      <c r="KPR1" s="87" t="n"/>
      <c r="KPS1" s="87" t="n"/>
      <c r="KPT1" s="87" t="n"/>
      <c r="KPU1" s="87" t="n"/>
      <c r="KPV1" s="87" t="n"/>
      <c r="KPW1" s="87" t="n"/>
      <c r="KPX1" s="87" t="n"/>
      <c r="KPY1" s="87" t="n"/>
      <c r="KPZ1" s="87" t="n"/>
      <c r="KQA1" s="87" t="n"/>
      <c r="KQB1" s="87" t="n"/>
      <c r="KQC1" s="87" t="n"/>
      <c r="KQD1" s="87" t="n"/>
      <c r="KQE1" s="87" t="n"/>
      <c r="KQF1" s="87" t="n"/>
      <c r="KQG1" s="87" t="n"/>
      <c r="KQH1" s="87" t="n"/>
      <c r="KQI1" s="87" t="n"/>
      <c r="KQJ1" s="87" t="n"/>
      <c r="KQK1" s="87" t="n"/>
      <c r="KQL1" s="87" t="n"/>
      <c r="KQM1" s="87" t="n"/>
      <c r="KQN1" s="87" t="n"/>
      <c r="KQO1" s="87" t="n"/>
      <c r="KQP1" s="87" t="n"/>
      <c r="KQQ1" s="87" t="n"/>
      <c r="KQR1" s="87" t="n"/>
      <c r="KQS1" s="87" t="n"/>
      <c r="KQT1" s="87" t="n"/>
      <c r="KQU1" s="87" t="n"/>
      <c r="KQV1" s="87" t="n"/>
      <c r="KQW1" s="87" t="n"/>
      <c r="KQX1" s="87" t="n"/>
      <c r="KQY1" s="87" t="n"/>
      <c r="KQZ1" s="87" t="n"/>
      <c r="KRA1" s="87" t="n"/>
      <c r="KRB1" s="87" t="n"/>
      <c r="KRC1" s="87" t="n"/>
      <c r="KRD1" s="87" t="n"/>
      <c r="KRE1" s="87" t="n"/>
      <c r="KRF1" s="87" t="n"/>
      <c r="KRG1" s="87" t="n"/>
      <c r="KRH1" s="87" t="n"/>
      <c r="KRI1" s="87" t="n"/>
      <c r="KRJ1" s="87" t="n"/>
      <c r="KRK1" s="87" t="n"/>
      <c r="KRL1" s="87" t="n"/>
      <c r="KRM1" s="87" t="n"/>
      <c r="KRN1" s="87" t="n"/>
      <c r="KRO1" s="87" t="n"/>
      <c r="KRP1" s="87" t="n"/>
      <c r="KRQ1" s="87" t="n"/>
      <c r="KRR1" s="87" t="n"/>
      <c r="KRS1" s="87" t="n"/>
      <c r="KRT1" s="87" t="n"/>
      <c r="KRU1" s="87" t="n"/>
      <c r="KRV1" s="87" t="n"/>
      <c r="KRW1" s="87" t="n"/>
      <c r="KRX1" s="87" t="n"/>
      <c r="KRY1" s="87" t="n"/>
      <c r="KRZ1" s="87" t="n"/>
      <c r="KSA1" s="87" t="n"/>
      <c r="KSB1" s="87" t="n"/>
      <c r="KSC1" s="87" t="n"/>
      <c r="KSD1" s="87" t="n"/>
      <c r="KSE1" s="87" t="n"/>
      <c r="KSF1" s="87" t="n"/>
      <c r="KSG1" s="87" t="n"/>
      <c r="KSH1" s="87" t="n"/>
      <c r="KSI1" s="87" t="n"/>
      <c r="KSJ1" s="87" t="n"/>
      <c r="KSK1" s="87" t="n"/>
      <c r="KSL1" s="87" t="n"/>
      <c r="KSM1" s="87" t="n"/>
      <c r="KSN1" s="87" t="n"/>
      <c r="KSO1" s="87" t="n"/>
      <c r="KSP1" s="87" t="n"/>
      <c r="KSQ1" s="87" t="n"/>
      <c r="KSR1" s="87" t="n"/>
      <c r="KSS1" s="87" t="n"/>
      <c r="KST1" s="87" t="n"/>
      <c r="KSU1" s="87" t="n"/>
      <c r="KSV1" s="87" t="n"/>
      <c r="KSW1" s="87" t="n"/>
      <c r="KSX1" s="87" t="n"/>
      <c r="KSY1" s="87" t="n"/>
      <c r="KSZ1" s="87" t="n"/>
      <c r="KTA1" s="87" t="n"/>
      <c r="KTB1" s="87" t="n"/>
      <c r="KTC1" s="87" t="n"/>
      <c r="KTD1" s="87" t="n"/>
      <c r="KTE1" s="87" t="n"/>
      <c r="KTF1" s="87" t="n"/>
      <c r="KTG1" s="87" t="n"/>
      <c r="KTH1" s="87" t="n"/>
      <c r="KTI1" s="87" t="n"/>
      <c r="KTJ1" s="87" t="n"/>
      <c r="KTK1" s="87" t="n"/>
      <c r="KTL1" s="87" t="n"/>
      <c r="KTM1" s="87" t="n"/>
      <c r="KTN1" s="87" t="n"/>
      <c r="KTO1" s="87" t="n"/>
      <c r="KTP1" s="87" t="n"/>
      <c r="KTQ1" s="87" t="n"/>
      <c r="KTR1" s="87" t="n"/>
      <c r="KTS1" s="87" t="n"/>
      <c r="KTT1" s="87" t="n"/>
      <c r="KTU1" s="87" t="n"/>
      <c r="KTV1" s="87" t="n"/>
      <c r="KTW1" s="87" t="n"/>
      <c r="KTX1" s="87" t="n"/>
      <c r="KTY1" s="87" t="n"/>
      <c r="KTZ1" s="87" t="n"/>
      <c r="KUA1" s="87" t="n"/>
      <c r="KUB1" s="87" t="n"/>
      <c r="KUC1" s="87" t="n"/>
      <c r="KUD1" s="87" t="n"/>
      <c r="KUE1" s="87" t="n"/>
      <c r="KUF1" s="87" t="n"/>
      <c r="KUG1" s="87" t="n"/>
      <c r="KUH1" s="87" t="n"/>
      <c r="KUI1" s="87" t="n"/>
      <c r="KUJ1" s="87" t="n"/>
      <c r="KUK1" s="87" t="n"/>
      <c r="KUL1" s="87" t="n"/>
      <c r="KUM1" s="87" t="n"/>
      <c r="KUN1" s="87" t="n"/>
      <c r="KUO1" s="87" t="n"/>
      <c r="KUP1" s="87" t="n"/>
      <c r="KUQ1" s="87" t="n"/>
      <c r="KUR1" s="87" t="n"/>
      <c r="KUS1" s="87" t="n"/>
      <c r="KUT1" s="87" t="n"/>
      <c r="KUU1" s="87" t="n"/>
      <c r="KUV1" s="87" t="n"/>
      <c r="KUW1" s="87" t="n"/>
      <c r="KUX1" s="87" t="n"/>
      <c r="KUY1" s="87" t="n"/>
      <c r="KUZ1" s="87" t="n"/>
      <c r="KVA1" s="87" t="n"/>
      <c r="KVB1" s="87" t="n"/>
      <c r="KVC1" s="87" t="n"/>
      <c r="KVD1" s="87" t="n"/>
      <c r="KVE1" s="87" t="n"/>
      <c r="KVF1" s="87" t="n"/>
      <c r="KVG1" s="87" t="n"/>
      <c r="KVH1" s="87" t="n"/>
      <c r="KVI1" s="87" t="n"/>
      <c r="KVJ1" s="87" t="n"/>
      <c r="KVK1" s="87" t="n"/>
      <c r="KVL1" s="87" t="n"/>
      <c r="KVM1" s="87" t="n"/>
      <c r="KVN1" s="87" t="n"/>
      <c r="KVO1" s="87" t="n"/>
      <c r="KVP1" s="87" t="n"/>
      <c r="KVQ1" s="87" t="n"/>
      <c r="KVR1" s="87" t="n"/>
      <c r="KVS1" s="87" t="n"/>
      <c r="KVT1" s="87" t="n"/>
      <c r="KVU1" s="87" t="n"/>
      <c r="KVV1" s="87" t="n"/>
      <c r="KVW1" s="87" t="n"/>
      <c r="KVX1" s="87" t="n"/>
      <c r="KVY1" s="87" t="n"/>
      <c r="KVZ1" s="87" t="n"/>
      <c r="KWA1" s="87" t="n"/>
      <c r="KWB1" s="87" t="n"/>
      <c r="KWC1" s="87" t="n"/>
      <c r="KWD1" s="87" t="n"/>
      <c r="KWE1" s="87" t="n"/>
      <c r="KWF1" s="87" t="n"/>
      <c r="KWG1" s="87" t="n"/>
      <c r="KWH1" s="87" t="n"/>
      <c r="KWI1" s="87" t="n"/>
      <c r="KWJ1" s="87" t="n"/>
      <c r="KWK1" s="87" t="n"/>
      <c r="KWL1" s="87" t="n"/>
      <c r="KWM1" s="87" t="n"/>
      <c r="KWN1" s="87" t="n"/>
      <c r="KWO1" s="87" t="n"/>
      <c r="KWP1" s="87" t="n"/>
      <c r="KWQ1" s="87" t="n"/>
      <c r="KWR1" s="87" t="n"/>
      <c r="KWS1" s="87" t="n"/>
      <c r="KWT1" s="87" t="n"/>
      <c r="KWU1" s="87" t="n"/>
      <c r="KWV1" s="87" t="n"/>
      <c r="KWW1" s="87" t="n"/>
      <c r="KWX1" s="87" t="n"/>
      <c r="KWY1" s="87" t="n"/>
      <c r="KWZ1" s="87" t="n"/>
      <c r="KXA1" s="87" t="n"/>
      <c r="KXB1" s="87" t="n"/>
      <c r="KXC1" s="87" t="n"/>
      <c r="KXD1" s="87" t="n"/>
      <c r="KXE1" s="87" t="n"/>
      <c r="KXF1" s="87" t="n"/>
      <c r="KXG1" s="87" t="n"/>
      <c r="KXH1" s="87" t="n"/>
      <c r="KXI1" s="87" t="n"/>
      <c r="KXJ1" s="87" t="n"/>
      <c r="KXK1" s="87" t="n"/>
      <c r="KXL1" s="87" t="n"/>
      <c r="KXM1" s="87" t="n"/>
      <c r="KXN1" s="87" t="n"/>
      <c r="KXO1" s="87" t="n"/>
      <c r="KXP1" s="87" t="n"/>
      <c r="KXQ1" s="87" t="n"/>
      <c r="KXR1" s="87" t="n"/>
      <c r="KXS1" s="87" t="n"/>
      <c r="KXT1" s="87" t="n"/>
      <c r="KXU1" s="87" t="n"/>
      <c r="KXV1" s="87" t="n"/>
      <c r="KXW1" s="87" t="n"/>
      <c r="KXX1" s="87" t="n"/>
      <c r="KXY1" s="87" t="n"/>
      <c r="KXZ1" s="87" t="n"/>
      <c r="KYA1" s="87" t="n"/>
      <c r="KYB1" s="87" t="n"/>
      <c r="KYC1" s="87" t="n"/>
      <c r="KYD1" s="87" t="n"/>
      <c r="KYE1" s="87" t="n"/>
      <c r="KYF1" s="87" t="n"/>
      <c r="KYG1" s="87" t="n"/>
      <c r="KYH1" s="87" t="n"/>
      <c r="KYI1" s="87" t="n"/>
      <c r="KYJ1" s="87" t="n"/>
      <c r="KYK1" s="87" t="n"/>
      <c r="KYL1" s="87" t="n"/>
      <c r="KYM1" s="87" t="n"/>
      <c r="KYN1" s="87" t="n"/>
      <c r="KYO1" s="87" t="n"/>
      <c r="KYP1" s="87" t="n"/>
      <c r="KYQ1" s="87" t="n"/>
      <c r="KYR1" s="87" t="n"/>
      <c r="KYS1" s="87" t="n"/>
      <c r="KYT1" s="87" t="n"/>
      <c r="KYU1" s="87" t="n"/>
      <c r="KYV1" s="87" t="n"/>
      <c r="KYW1" s="87" t="n"/>
      <c r="KYX1" s="87" t="n"/>
      <c r="KYY1" s="87" t="n"/>
      <c r="KYZ1" s="87" t="n"/>
      <c r="KZA1" s="87" t="n"/>
      <c r="KZB1" s="87" t="n"/>
      <c r="KZC1" s="87" t="n"/>
      <c r="KZD1" s="87" t="n"/>
      <c r="KZE1" s="87" t="n"/>
      <c r="KZF1" s="87" t="n"/>
      <c r="KZG1" s="87" t="n"/>
      <c r="KZH1" s="87" t="n"/>
      <c r="KZI1" s="87" t="n"/>
      <c r="KZJ1" s="87" t="n"/>
      <c r="KZK1" s="87" t="n"/>
      <c r="KZL1" s="87" t="n"/>
      <c r="KZM1" s="87" t="n"/>
      <c r="KZN1" s="87" t="n"/>
      <c r="KZO1" s="87" t="n"/>
      <c r="KZP1" s="87" t="n"/>
      <c r="KZQ1" s="87" t="n"/>
      <c r="KZR1" s="87" t="n"/>
      <c r="KZS1" s="87" t="n"/>
      <c r="KZT1" s="87" t="n"/>
      <c r="KZU1" s="87" t="n"/>
      <c r="KZV1" s="87" t="n"/>
      <c r="KZW1" s="87" t="n"/>
      <c r="KZX1" s="87" t="n"/>
      <c r="KZY1" s="87" t="n"/>
      <c r="KZZ1" s="87" t="n"/>
      <c r="LAA1" s="87" t="n"/>
      <c r="LAB1" s="87" t="n"/>
      <c r="LAC1" s="87" t="n"/>
      <c r="LAD1" s="87" t="n"/>
      <c r="LAE1" s="87" t="n"/>
      <c r="LAF1" s="87" t="n"/>
      <c r="LAG1" s="87" t="n"/>
      <c r="LAH1" s="87" t="n"/>
      <c r="LAI1" s="87" t="n"/>
      <c r="LAJ1" s="87" t="n"/>
      <c r="LAK1" s="87" t="n"/>
      <c r="LAL1" s="87" t="n"/>
      <c r="LAM1" s="87" t="n"/>
      <c r="LAN1" s="87" t="n"/>
      <c r="LAO1" s="87" t="n"/>
      <c r="LAP1" s="87" t="n"/>
      <c r="LAQ1" s="87" t="n"/>
      <c r="LAR1" s="87" t="n"/>
      <c r="LAS1" s="87" t="n"/>
      <c r="LAT1" s="87" t="n"/>
      <c r="LAU1" s="87" t="n"/>
      <c r="LAV1" s="87" t="n"/>
      <c r="LAW1" s="87" t="n"/>
      <c r="LAX1" s="87" t="n"/>
      <c r="LAY1" s="87" t="n"/>
      <c r="LAZ1" s="87" t="n"/>
      <c r="LBA1" s="87" t="n"/>
      <c r="LBB1" s="87" t="n"/>
      <c r="LBC1" s="87" t="n"/>
      <c r="LBD1" s="87" t="n"/>
      <c r="LBE1" s="87" t="n"/>
      <c r="LBF1" s="87" t="n"/>
      <c r="LBG1" s="87" t="n"/>
      <c r="LBH1" s="87" t="n"/>
      <c r="LBI1" s="87" t="n"/>
      <c r="LBJ1" s="87" t="n"/>
      <c r="LBK1" s="87" t="n"/>
      <c r="LBL1" s="87" t="n"/>
      <c r="LBM1" s="87" t="n"/>
      <c r="LBN1" s="87" t="n"/>
      <c r="LBO1" s="87" t="n"/>
      <c r="LBP1" s="87" t="n"/>
      <c r="LBQ1" s="87" t="n"/>
      <c r="LBR1" s="87" t="n"/>
      <c r="LBS1" s="87" t="n"/>
      <c r="LBT1" s="87" t="n"/>
      <c r="LBU1" s="87" t="n"/>
      <c r="LBV1" s="87" t="n"/>
      <c r="LBW1" s="87" t="n"/>
      <c r="LBX1" s="87" t="n"/>
      <c r="LBY1" s="87" t="n"/>
      <c r="LBZ1" s="87" t="n"/>
      <c r="LCA1" s="87" t="n"/>
      <c r="LCB1" s="87" t="n"/>
      <c r="LCC1" s="87" t="n"/>
      <c r="LCD1" s="87" t="n"/>
      <c r="LCE1" s="87" t="n"/>
      <c r="LCF1" s="87" t="n"/>
      <c r="LCG1" s="87" t="n"/>
      <c r="LCH1" s="87" t="n"/>
      <c r="LCI1" s="87" t="n"/>
      <c r="LCJ1" s="87" t="n"/>
      <c r="LCK1" s="87" t="n"/>
      <c r="LCL1" s="87" t="n"/>
      <c r="LCM1" s="87" t="n"/>
      <c r="LCN1" s="87" t="n"/>
      <c r="LCO1" s="87" t="n"/>
      <c r="LCP1" s="87" t="n"/>
      <c r="LCQ1" s="87" t="n"/>
      <c r="LCR1" s="87" t="n"/>
      <c r="LCS1" s="87" t="n"/>
      <c r="LCT1" s="87" t="n"/>
      <c r="LCU1" s="87" t="n"/>
      <c r="LCV1" s="87" t="n"/>
      <c r="LCW1" s="87" t="n"/>
      <c r="LCX1" s="87" t="n"/>
      <c r="LCY1" s="87" t="n"/>
      <c r="LCZ1" s="87" t="n"/>
      <c r="LDA1" s="87" t="n"/>
      <c r="LDB1" s="87" t="n"/>
      <c r="LDC1" s="87" t="n"/>
      <c r="LDD1" s="87" t="n"/>
      <c r="LDE1" s="87" t="n"/>
      <c r="LDF1" s="87" t="n"/>
      <c r="LDG1" s="87" t="n"/>
      <c r="LDH1" s="87" t="n"/>
      <c r="LDI1" s="87" t="n"/>
      <c r="LDJ1" s="87" t="n"/>
      <c r="LDK1" s="87" t="n"/>
      <c r="LDL1" s="87" t="n"/>
      <c r="LDM1" s="87" t="n"/>
      <c r="LDN1" s="87" t="n"/>
      <c r="LDO1" s="87" t="n"/>
      <c r="LDP1" s="87" t="n"/>
      <c r="LDQ1" s="87" t="n"/>
      <c r="LDR1" s="87" t="n"/>
      <c r="LDS1" s="87" t="n"/>
      <c r="LDT1" s="87" t="n"/>
      <c r="LDU1" s="87" t="n"/>
      <c r="LDV1" s="87" t="n"/>
      <c r="LDW1" s="87" t="n"/>
      <c r="LDX1" s="87" t="n"/>
      <c r="LDY1" s="87" t="n"/>
      <c r="LDZ1" s="87" t="n"/>
      <c r="LEA1" s="87" t="n"/>
      <c r="LEB1" s="87" t="n"/>
      <c r="LEC1" s="87" t="n"/>
      <c r="LED1" s="87" t="n"/>
      <c r="LEE1" s="87" t="n"/>
      <c r="LEF1" s="87" t="n"/>
      <c r="LEG1" s="87" t="n"/>
      <c r="LEH1" s="87" t="n"/>
      <c r="LEI1" s="87" t="n"/>
      <c r="LEJ1" s="87" t="n"/>
      <c r="LEK1" s="87" t="n"/>
      <c r="LEL1" s="87" t="n"/>
      <c r="LEM1" s="87" t="n"/>
      <c r="LEN1" s="87" t="n"/>
      <c r="LEO1" s="87" t="n"/>
      <c r="LEP1" s="87" t="n"/>
      <c r="LEQ1" s="87" t="n"/>
      <c r="LER1" s="87" t="n"/>
      <c r="LES1" s="87" t="n"/>
      <c r="LET1" s="87" t="n"/>
      <c r="LEU1" s="87" t="n"/>
      <c r="LEV1" s="87" t="n"/>
      <c r="LEW1" s="87" t="n"/>
      <c r="LEX1" s="87" t="n"/>
      <c r="LEY1" s="87" t="n"/>
      <c r="LEZ1" s="87" t="n"/>
      <c r="LFA1" s="87" t="n"/>
      <c r="LFB1" s="87" t="n"/>
      <c r="LFC1" s="87" t="n"/>
      <c r="LFD1" s="87" t="n"/>
      <c r="LFE1" s="87" t="n"/>
      <c r="LFF1" s="87" t="n"/>
      <c r="LFG1" s="87" t="n"/>
      <c r="LFH1" s="87" t="n"/>
      <c r="LFI1" s="87" t="n"/>
      <c r="LFJ1" s="87" t="n"/>
      <c r="LFK1" s="87" t="n"/>
      <c r="LFL1" s="87" t="n"/>
      <c r="LFM1" s="87" t="n"/>
      <c r="LFN1" s="87" t="n"/>
      <c r="LFO1" s="87" t="n"/>
      <c r="LFP1" s="87" t="n"/>
      <c r="LFQ1" s="87" t="n"/>
      <c r="LFR1" s="87" t="n"/>
      <c r="LFS1" s="87" t="n"/>
      <c r="LFT1" s="87" t="n"/>
      <c r="LFU1" s="87" t="n"/>
      <c r="LFV1" s="87" t="n"/>
      <c r="LFW1" s="87" t="n"/>
      <c r="LFX1" s="87" t="n"/>
      <c r="LFY1" s="87" t="n"/>
      <c r="LFZ1" s="87" t="n"/>
      <c r="LGA1" s="87" t="n"/>
      <c r="LGB1" s="87" t="n"/>
      <c r="LGC1" s="87" t="n"/>
      <c r="LGD1" s="87" t="n"/>
      <c r="LGE1" s="87" t="n"/>
      <c r="LGF1" s="87" t="n"/>
      <c r="LGG1" s="87" t="n"/>
      <c r="LGH1" s="87" t="n"/>
      <c r="LGI1" s="87" t="n"/>
      <c r="LGJ1" s="87" t="n"/>
      <c r="LGK1" s="87" t="n"/>
      <c r="LGL1" s="87" t="n"/>
      <c r="LGM1" s="87" t="n"/>
      <c r="LGN1" s="87" t="n"/>
      <c r="LGO1" s="87" t="n"/>
      <c r="LGP1" s="87" t="n"/>
      <c r="LGQ1" s="87" t="n"/>
      <c r="LGR1" s="87" t="n"/>
      <c r="LGS1" s="87" t="n"/>
      <c r="LGT1" s="87" t="n"/>
      <c r="LGU1" s="87" t="n"/>
      <c r="LGV1" s="87" t="n"/>
      <c r="LGW1" s="87" t="n"/>
      <c r="LGX1" s="87" t="n"/>
      <c r="LGY1" s="87" t="n"/>
      <c r="LGZ1" s="87" t="n"/>
      <c r="LHA1" s="87" t="n"/>
      <c r="LHB1" s="87" t="n"/>
      <c r="LHC1" s="87" t="n"/>
      <c r="LHD1" s="87" t="n"/>
      <c r="LHE1" s="87" t="n"/>
      <c r="LHF1" s="87" t="n"/>
      <c r="LHG1" s="87" t="n"/>
      <c r="LHH1" s="87" t="n"/>
      <c r="LHI1" s="87" t="n"/>
      <c r="LHJ1" s="87" t="n"/>
      <c r="LHK1" s="87" t="n"/>
      <c r="LHL1" s="87" t="n"/>
      <c r="LHM1" s="87" t="n"/>
      <c r="LHN1" s="87" t="n"/>
      <c r="LHO1" s="87" t="n"/>
      <c r="LHP1" s="87" t="n"/>
      <c r="LHQ1" s="87" t="n"/>
      <c r="LHR1" s="87" t="n"/>
      <c r="LHS1" s="87" t="n"/>
      <c r="LHT1" s="87" t="n"/>
      <c r="LHU1" s="87" t="n"/>
      <c r="LHV1" s="87" t="n"/>
      <c r="LHW1" s="87" t="n"/>
      <c r="LHX1" s="87" t="n"/>
      <c r="LHY1" s="87" t="n"/>
      <c r="LHZ1" s="87" t="n"/>
      <c r="LIA1" s="87" t="n"/>
      <c r="LIB1" s="87" t="n"/>
      <c r="LIC1" s="87" t="n"/>
      <c r="LID1" s="87" t="n"/>
      <c r="LIE1" s="87" t="n"/>
      <c r="LIF1" s="87" t="n"/>
      <c r="LIG1" s="87" t="n"/>
      <c r="LIH1" s="87" t="n"/>
      <c r="LII1" s="87" t="n"/>
      <c r="LIJ1" s="87" t="n"/>
      <c r="LIK1" s="87" t="n"/>
      <c r="LIL1" s="87" t="n"/>
      <c r="LIM1" s="87" t="n"/>
      <c r="LIN1" s="87" t="n"/>
      <c r="LIO1" s="87" t="n"/>
      <c r="LIP1" s="87" t="n"/>
      <c r="LIQ1" s="87" t="n"/>
      <c r="LIR1" s="87" t="n"/>
      <c r="LIS1" s="87" t="n"/>
      <c r="LIT1" s="87" t="n"/>
      <c r="LIU1" s="87" t="n"/>
      <c r="LIV1" s="87" t="n"/>
      <c r="LIW1" s="87" t="n"/>
      <c r="LIX1" s="87" t="n"/>
      <c r="LIY1" s="87" t="n"/>
      <c r="LIZ1" s="87" t="n"/>
      <c r="LJA1" s="87" t="n"/>
      <c r="LJB1" s="87" t="n"/>
      <c r="LJC1" s="87" t="n"/>
      <c r="LJD1" s="87" t="n"/>
      <c r="LJE1" s="87" t="n"/>
      <c r="LJF1" s="87" t="n"/>
      <c r="LJG1" s="87" t="n"/>
      <c r="LJH1" s="87" t="n"/>
      <c r="LJI1" s="87" t="n"/>
      <c r="LJJ1" s="87" t="n"/>
      <c r="LJK1" s="87" t="n"/>
      <c r="LJL1" s="87" t="n"/>
      <c r="LJM1" s="87" t="n"/>
      <c r="LJN1" s="87" t="n"/>
      <c r="LJO1" s="87" t="n"/>
      <c r="LJP1" s="87" t="n"/>
      <c r="LJQ1" s="87" t="n"/>
      <c r="LJR1" s="87" t="n"/>
      <c r="LJS1" s="87" t="n"/>
      <c r="LJT1" s="87" t="n"/>
      <c r="LJU1" s="87" t="n"/>
      <c r="LJV1" s="87" t="n"/>
      <c r="LJW1" s="87" t="n"/>
      <c r="LJX1" s="87" t="n"/>
      <c r="LJY1" s="87" t="n"/>
      <c r="LJZ1" s="87" t="n"/>
      <c r="LKA1" s="87" t="n"/>
      <c r="LKB1" s="87" t="n"/>
      <c r="LKC1" s="87" t="n"/>
      <c r="LKD1" s="87" t="n"/>
      <c r="LKE1" s="87" t="n"/>
      <c r="LKF1" s="87" t="n"/>
      <c r="LKG1" s="87" t="n"/>
      <c r="LKH1" s="87" t="n"/>
      <c r="LKI1" s="87" t="n"/>
      <c r="LKJ1" s="87" t="n"/>
      <c r="LKK1" s="87" t="n"/>
      <c r="LKL1" s="87" t="n"/>
      <c r="LKM1" s="87" t="n"/>
      <c r="LKN1" s="87" t="n"/>
      <c r="LKO1" s="87" t="n"/>
      <c r="LKP1" s="87" t="n"/>
      <c r="LKQ1" s="87" t="n"/>
      <c r="LKR1" s="87" t="n"/>
      <c r="LKS1" s="87" t="n"/>
      <c r="LKT1" s="87" t="n"/>
      <c r="LKU1" s="87" t="n"/>
      <c r="LKV1" s="87" t="n"/>
      <c r="LKW1" s="87" t="n"/>
      <c r="LKX1" s="87" t="n"/>
      <c r="LKY1" s="87" t="n"/>
      <c r="LKZ1" s="87" t="n"/>
      <c r="LLA1" s="87" t="n"/>
      <c r="LLB1" s="87" t="n"/>
      <c r="LLC1" s="87" t="n"/>
      <c r="LLD1" s="87" t="n"/>
      <c r="LLE1" s="87" t="n"/>
      <c r="LLF1" s="87" t="n"/>
      <c r="LLG1" s="87" t="n"/>
      <c r="LLH1" s="87" t="n"/>
      <c r="LLI1" s="87" t="n"/>
      <c r="LLJ1" s="87" t="n"/>
      <c r="LLK1" s="87" t="n"/>
      <c r="LLL1" s="87" t="n"/>
      <c r="LLM1" s="87" t="n"/>
      <c r="LLN1" s="87" t="n"/>
      <c r="LLO1" s="87" t="n"/>
      <c r="LLP1" s="87" t="n"/>
      <c r="LLQ1" s="87" t="n"/>
      <c r="LLR1" s="87" t="n"/>
      <c r="LLS1" s="87" t="n"/>
      <c r="LLT1" s="87" t="n"/>
      <c r="LLU1" s="87" t="n"/>
      <c r="LLV1" s="87" t="n"/>
      <c r="LLW1" s="87" t="n"/>
      <c r="LLX1" s="87" t="n"/>
      <c r="LLY1" s="87" t="n"/>
      <c r="LLZ1" s="87" t="n"/>
      <c r="LMA1" s="87" t="n"/>
      <c r="LMB1" s="87" t="n"/>
      <c r="LMC1" s="87" t="n"/>
      <c r="LMD1" s="87" t="n"/>
      <c r="LME1" s="87" t="n"/>
      <c r="LMF1" s="87" t="n"/>
      <c r="LMG1" s="87" t="n"/>
      <c r="LMH1" s="87" t="n"/>
      <c r="LMI1" s="87" t="n"/>
      <c r="LMJ1" s="87" t="n"/>
      <c r="LMK1" s="87" t="n"/>
      <c r="LML1" s="87" t="n"/>
      <c r="LMM1" s="87" t="n"/>
      <c r="LMN1" s="87" t="n"/>
      <c r="LMO1" s="87" t="n"/>
      <c r="LMP1" s="87" t="n"/>
      <c r="LMQ1" s="87" t="n"/>
      <c r="LMR1" s="87" t="n"/>
      <c r="LMS1" s="87" t="n"/>
      <c r="LMT1" s="87" t="n"/>
      <c r="LMU1" s="87" t="n"/>
      <c r="LMV1" s="87" t="n"/>
      <c r="LMW1" s="87" t="n"/>
      <c r="LMX1" s="87" t="n"/>
      <c r="LMY1" s="87" t="n"/>
      <c r="LMZ1" s="87" t="n"/>
      <c r="LNA1" s="87" t="n"/>
      <c r="LNB1" s="87" t="n"/>
      <c r="LNC1" s="87" t="n"/>
      <c r="LND1" s="87" t="n"/>
      <c r="LNE1" s="87" t="n"/>
      <c r="LNF1" s="87" t="n"/>
      <c r="LNG1" s="87" t="n"/>
      <c r="LNH1" s="87" t="n"/>
      <c r="LNI1" s="87" t="n"/>
      <c r="LNJ1" s="87" t="n"/>
      <c r="LNK1" s="87" t="n"/>
      <c r="LNL1" s="87" t="n"/>
      <c r="LNM1" s="87" t="n"/>
      <c r="LNN1" s="87" t="n"/>
      <c r="LNO1" s="87" t="n"/>
      <c r="LNP1" s="87" t="n"/>
      <c r="LNQ1" s="87" t="n"/>
      <c r="LNR1" s="87" t="n"/>
      <c r="LNS1" s="87" t="n"/>
      <c r="LNT1" s="87" t="n"/>
      <c r="LNU1" s="87" t="n"/>
      <c r="LNV1" s="87" t="n"/>
      <c r="LNW1" s="87" t="n"/>
      <c r="LNX1" s="87" t="n"/>
      <c r="LNY1" s="87" t="n"/>
      <c r="LNZ1" s="87" t="n"/>
      <c r="LOA1" s="87" t="n"/>
      <c r="LOB1" s="87" t="n"/>
      <c r="LOC1" s="87" t="n"/>
      <c r="LOD1" s="87" t="n"/>
      <c r="LOE1" s="87" t="n"/>
      <c r="LOF1" s="87" t="n"/>
      <c r="LOG1" s="87" t="n"/>
      <c r="LOH1" s="87" t="n"/>
      <c r="LOI1" s="87" t="n"/>
      <c r="LOJ1" s="87" t="n"/>
      <c r="LOK1" s="87" t="n"/>
      <c r="LOL1" s="87" t="n"/>
      <c r="LOM1" s="87" t="n"/>
      <c r="LON1" s="87" t="n"/>
      <c r="LOO1" s="87" t="n"/>
      <c r="LOP1" s="87" t="n"/>
      <c r="LOQ1" s="87" t="n"/>
      <c r="LOR1" s="87" t="n"/>
      <c r="LOS1" s="87" t="n"/>
      <c r="LOT1" s="87" t="n"/>
      <c r="LOU1" s="87" t="n"/>
      <c r="LOV1" s="87" t="n"/>
      <c r="LOW1" s="87" t="n"/>
      <c r="LOX1" s="87" t="n"/>
      <c r="LOY1" s="87" t="n"/>
      <c r="LOZ1" s="87" t="n"/>
      <c r="LPA1" s="87" t="n"/>
      <c r="LPB1" s="87" t="n"/>
      <c r="LPC1" s="87" t="n"/>
      <c r="LPD1" s="87" t="n"/>
      <c r="LPE1" s="87" t="n"/>
      <c r="LPF1" s="87" t="n"/>
      <c r="LPG1" s="87" t="n"/>
      <c r="LPH1" s="87" t="n"/>
      <c r="LPI1" s="87" t="n"/>
      <c r="LPJ1" s="87" t="n"/>
      <c r="LPK1" s="87" t="n"/>
      <c r="LPL1" s="87" t="n"/>
      <c r="LPM1" s="87" t="n"/>
      <c r="LPN1" s="87" t="n"/>
      <c r="LPO1" s="87" t="n"/>
      <c r="LPP1" s="87" t="n"/>
      <c r="LPQ1" s="87" t="n"/>
      <c r="LPR1" s="87" t="n"/>
      <c r="LPS1" s="87" t="n"/>
      <c r="LPT1" s="87" t="n"/>
      <c r="LPU1" s="87" t="n"/>
      <c r="LPV1" s="87" t="n"/>
      <c r="LPW1" s="87" t="n"/>
      <c r="LPX1" s="87" t="n"/>
      <c r="LPY1" s="87" t="n"/>
      <c r="LPZ1" s="87" t="n"/>
      <c r="LQA1" s="87" t="n"/>
      <c r="LQB1" s="87" t="n"/>
      <c r="LQC1" s="87" t="n"/>
      <c r="LQD1" s="87" t="n"/>
      <c r="LQE1" s="87" t="n"/>
      <c r="LQF1" s="87" t="n"/>
      <c r="LQG1" s="87" t="n"/>
      <c r="LQH1" s="87" t="n"/>
      <c r="LQI1" s="87" t="n"/>
      <c r="LQJ1" s="87" t="n"/>
      <c r="LQK1" s="87" t="n"/>
      <c r="LQL1" s="87" t="n"/>
      <c r="LQM1" s="87" t="n"/>
      <c r="LQN1" s="87" t="n"/>
      <c r="LQO1" s="87" t="n"/>
      <c r="LQP1" s="87" t="n"/>
      <c r="LQQ1" s="87" t="n"/>
      <c r="LQR1" s="87" t="n"/>
      <c r="LQS1" s="87" t="n"/>
      <c r="LQT1" s="87" t="n"/>
      <c r="LQU1" s="87" t="n"/>
      <c r="LQV1" s="87" t="n"/>
      <c r="LQW1" s="87" t="n"/>
      <c r="LQX1" s="87" t="n"/>
      <c r="LQY1" s="87" t="n"/>
      <c r="LQZ1" s="87" t="n"/>
      <c r="LRA1" s="87" t="n"/>
      <c r="LRB1" s="87" t="n"/>
      <c r="LRC1" s="87" t="n"/>
      <c r="LRD1" s="87" t="n"/>
      <c r="LRE1" s="87" t="n"/>
      <c r="LRF1" s="87" t="n"/>
      <c r="LRG1" s="87" t="n"/>
      <c r="LRH1" s="87" t="n"/>
      <c r="LRI1" s="87" t="n"/>
      <c r="LRJ1" s="87" t="n"/>
      <c r="LRK1" s="87" t="n"/>
      <c r="LRL1" s="87" t="n"/>
      <c r="LRM1" s="87" t="n"/>
      <c r="LRN1" s="87" t="n"/>
      <c r="LRO1" s="87" t="n"/>
      <c r="LRP1" s="87" t="n"/>
      <c r="LRQ1" s="87" t="n"/>
      <c r="LRR1" s="87" t="n"/>
      <c r="LRS1" s="87" t="n"/>
      <c r="LRT1" s="87" t="n"/>
      <c r="LRU1" s="87" t="n"/>
      <c r="LRV1" s="87" t="n"/>
      <c r="LRW1" s="87" t="n"/>
      <c r="LRX1" s="87" t="n"/>
      <c r="LRY1" s="87" t="n"/>
      <c r="LRZ1" s="87" t="n"/>
      <c r="LSA1" s="87" t="n"/>
      <c r="LSB1" s="87" t="n"/>
      <c r="LSC1" s="87" t="n"/>
      <c r="LSD1" s="87" t="n"/>
      <c r="LSE1" s="87" t="n"/>
      <c r="LSF1" s="87" t="n"/>
      <c r="LSG1" s="87" t="n"/>
      <c r="LSH1" s="87" t="n"/>
      <c r="LSI1" s="87" t="n"/>
      <c r="LSJ1" s="87" t="n"/>
      <c r="LSK1" s="87" t="n"/>
      <c r="LSL1" s="87" t="n"/>
      <c r="LSM1" s="87" t="n"/>
      <c r="LSN1" s="87" t="n"/>
      <c r="LSO1" s="87" t="n"/>
      <c r="LSP1" s="87" t="n"/>
      <c r="LSQ1" s="87" t="n"/>
      <c r="LSR1" s="87" t="n"/>
      <c r="LSS1" s="87" t="n"/>
      <c r="LST1" s="87" t="n"/>
      <c r="LSU1" s="87" t="n"/>
      <c r="LSV1" s="87" t="n"/>
      <c r="LSW1" s="87" t="n"/>
      <c r="LSX1" s="87" t="n"/>
      <c r="LSY1" s="87" t="n"/>
      <c r="LSZ1" s="87" t="n"/>
      <c r="LTA1" s="87" t="n"/>
      <c r="LTB1" s="87" t="n"/>
      <c r="LTC1" s="87" t="n"/>
      <c r="LTD1" s="87" t="n"/>
      <c r="LTE1" s="87" t="n"/>
      <c r="LTF1" s="87" t="n"/>
      <c r="LTG1" s="87" t="n"/>
      <c r="LTH1" s="87" t="n"/>
      <c r="LTI1" s="87" t="n"/>
      <c r="LTJ1" s="87" t="n"/>
      <c r="LTK1" s="87" t="n"/>
      <c r="LTL1" s="87" t="n"/>
      <c r="LTM1" s="87" t="n"/>
      <c r="LTN1" s="87" t="n"/>
      <c r="LTO1" s="87" t="n"/>
      <c r="LTP1" s="87" t="n"/>
      <c r="LTQ1" s="87" t="n"/>
      <c r="LTR1" s="87" t="n"/>
      <c r="LTS1" s="87" t="n"/>
      <c r="LTT1" s="87" t="n"/>
      <c r="LTU1" s="87" t="n"/>
      <c r="LTV1" s="87" t="n"/>
      <c r="LTW1" s="87" t="n"/>
      <c r="LTX1" s="87" t="n"/>
      <c r="LTY1" s="87" t="n"/>
      <c r="LTZ1" s="87" t="n"/>
      <c r="LUA1" s="87" t="n"/>
      <c r="LUB1" s="87" t="n"/>
      <c r="LUC1" s="87" t="n"/>
      <c r="LUD1" s="87" t="n"/>
      <c r="LUE1" s="87" t="n"/>
      <c r="LUF1" s="87" t="n"/>
      <c r="LUG1" s="87" t="n"/>
      <c r="LUH1" s="87" t="n"/>
      <c r="LUI1" s="87" t="n"/>
      <c r="LUJ1" s="87" t="n"/>
      <c r="LUK1" s="87" t="n"/>
      <c r="LUL1" s="87" t="n"/>
      <c r="LUM1" s="87" t="n"/>
      <c r="LUN1" s="87" t="n"/>
      <c r="LUO1" s="87" t="n"/>
      <c r="LUP1" s="87" t="n"/>
      <c r="LUQ1" s="87" t="n"/>
      <c r="LUR1" s="87" t="n"/>
      <c r="LUS1" s="87" t="n"/>
      <c r="LUT1" s="87" t="n"/>
      <c r="LUU1" s="87" t="n"/>
      <c r="LUV1" s="87" t="n"/>
      <c r="LUW1" s="87" t="n"/>
      <c r="LUX1" s="87" t="n"/>
      <c r="LUY1" s="87" t="n"/>
      <c r="LUZ1" s="87" t="n"/>
      <c r="LVA1" s="87" t="n"/>
      <c r="LVB1" s="87" t="n"/>
      <c r="LVC1" s="87" t="n"/>
      <c r="LVD1" s="87" t="n"/>
      <c r="LVE1" s="87" t="n"/>
      <c r="LVF1" s="87" t="n"/>
      <c r="LVG1" s="87" t="n"/>
      <c r="LVH1" s="87" t="n"/>
      <c r="LVI1" s="87" t="n"/>
      <c r="LVJ1" s="87" t="n"/>
      <c r="LVK1" s="87" t="n"/>
      <c r="LVL1" s="87" t="n"/>
      <c r="LVM1" s="87" t="n"/>
      <c r="LVN1" s="87" t="n"/>
      <c r="LVO1" s="87" t="n"/>
      <c r="LVP1" s="87" t="n"/>
      <c r="LVQ1" s="87" t="n"/>
      <c r="LVR1" s="87" t="n"/>
      <c r="LVS1" s="87" t="n"/>
      <c r="LVT1" s="87" t="n"/>
      <c r="LVU1" s="87" t="n"/>
      <c r="LVV1" s="87" t="n"/>
      <c r="LVW1" s="87" t="n"/>
      <c r="LVX1" s="87" t="n"/>
      <c r="LVY1" s="87" t="n"/>
      <c r="LVZ1" s="87" t="n"/>
      <c r="LWA1" s="87" t="n"/>
      <c r="LWB1" s="87" t="n"/>
      <c r="LWC1" s="87" t="n"/>
      <c r="LWD1" s="87" t="n"/>
      <c r="LWE1" s="87" t="n"/>
      <c r="LWF1" s="87" t="n"/>
      <c r="LWG1" s="87" t="n"/>
      <c r="LWH1" s="87" t="n"/>
      <c r="LWI1" s="87" t="n"/>
      <c r="LWJ1" s="87" t="n"/>
      <c r="LWK1" s="87" t="n"/>
      <c r="LWL1" s="87" t="n"/>
      <c r="LWM1" s="87" t="n"/>
      <c r="LWN1" s="87" t="n"/>
      <c r="LWO1" s="87" t="n"/>
      <c r="LWP1" s="87" t="n"/>
      <c r="LWQ1" s="87" t="n"/>
      <c r="LWR1" s="87" t="n"/>
      <c r="LWS1" s="87" t="n"/>
      <c r="LWT1" s="87" t="n"/>
      <c r="LWU1" s="87" t="n"/>
      <c r="LWV1" s="87" t="n"/>
      <c r="LWW1" s="87" t="n"/>
      <c r="LWX1" s="87" t="n"/>
      <c r="LWY1" s="87" t="n"/>
      <c r="LWZ1" s="87" t="n"/>
      <c r="LXA1" s="87" t="n"/>
      <c r="LXB1" s="87" t="n"/>
      <c r="LXC1" s="87" t="n"/>
      <c r="LXD1" s="87" t="n"/>
      <c r="LXE1" s="87" t="n"/>
      <c r="LXF1" s="87" t="n"/>
      <c r="LXG1" s="87" t="n"/>
      <c r="LXH1" s="87" t="n"/>
      <c r="LXI1" s="87" t="n"/>
      <c r="LXJ1" s="87" t="n"/>
      <c r="LXK1" s="87" t="n"/>
      <c r="LXL1" s="87" t="n"/>
      <c r="LXM1" s="87" t="n"/>
      <c r="LXN1" s="87" t="n"/>
      <c r="LXO1" s="87" t="n"/>
      <c r="LXP1" s="87" t="n"/>
      <c r="LXQ1" s="87" t="n"/>
      <c r="LXR1" s="87" t="n"/>
      <c r="LXS1" s="87" t="n"/>
      <c r="LXT1" s="87" t="n"/>
      <c r="LXU1" s="87" t="n"/>
      <c r="LXV1" s="87" t="n"/>
      <c r="LXW1" s="87" t="n"/>
      <c r="LXX1" s="87" t="n"/>
      <c r="LXY1" s="87" t="n"/>
      <c r="LXZ1" s="87" t="n"/>
      <c r="LYA1" s="87" t="n"/>
      <c r="LYB1" s="87" t="n"/>
      <c r="LYC1" s="87" t="n"/>
      <c r="LYD1" s="87" t="n"/>
      <c r="LYE1" s="87" t="n"/>
      <c r="LYF1" s="87" t="n"/>
      <c r="LYG1" s="87" t="n"/>
      <c r="LYH1" s="87" t="n"/>
      <c r="LYI1" s="87" t="n"/>
      <c r="LYJ1" s="87" t="n"/>
      <c r="LYK1" s="87" t="n"/>
      <c r="LYL1" s="87" t="n"/>
      <c r="LYM1" s="87" t="n"/>
      <c r="LYN1" s="87" t="n"/>
      <c r="LYO1" s="87" t="n"/>
      <c r="LYP1" s="87" t="n"/>
      <c r="LYQ1" s="87" t="n"/>
      <c r="LYR1" s="87" t="n"/>
      <c r="LYS1" s="87" t="n"/>
      <c r="LYT1" s="87" t="n"/>
      <c r="LYU1" s="87" t="n"/>
      <c r="LYV1" s="87" t="n"/>
      <c r="LYW1" s="87" t="n"/>
      <c r="LYX1" s="87" t="n"/>
      <c r="LYY1" s="87" t="n"/>
      <c r="LYZ1" s="87" t="n"/>
      <c r="LZA1" s="87" t="n"/>
      <c r="LZB1" s="87" t="n"/>
      <c r="LZC1" s="87" t="n"/>
      <c r="LZD1" s="87" t="n"/>
      <c r="LZE1" s="87" t="n"/>
      <c r="LZF1" s="87" t="n"/>
      <c r="LZG1" s="87" t="n"/>
      <c r="LZH1" s="87" t="n"/>
      <c r="LZI1" s="87" t="n"/>
      <c r="LZJ1" s="87" t="n"/>
      <c r="LZK1" s="87" t="n"/>
      <c r="LZL1" s="87" t="n"/>
      <c r="LZM1" s="87" t="n"/>
      <c r="LZN1" s="87" t="n"/>
      <c r="LZO1" s="87" t="n"/>
      <c r="LZP1" s="87" t="n"/>
      <c r="LZQ1" s="87" t="n"/>
      <c r="LZR1" s="87" t="n"/>
      <c r="LZS1" s="87" t="n"/>
      <c r="LZT1" s="87" t="n"/>
      <c r="LZU1" s="87" t="n"/>
      <c r="LZV1" s="87" t="n"/>
      <c r="LZW1" s="87" t="n"/>
      <c r="LZX1" s="87" t="n"/>
      <c r="LZY1" s="87" t="n"/>
      <c r="LZZ1" s="87" t="n"/>
      <c r="MAA1" s="87" t="n"/>
      <c r="MAB1" s="87" t="n"/>
      <c r="MAC1" s="87" t="n"/>
      <c r="MAD1" s="87" t="n"/>
      <c r="MAE1" s="87" t="n"/>
      <c r="MAF1" s="87" t="n"/>
      <c r="MAG1" s="87" t="n"/>
      <c r="MAH1" s="87" t="n"/>
      <c r="MAI1" s="87" t="n"/>
      <c r="MAJ1" s="87" t="n"/>
      <c r="MAK1" s="87" t="n"/>
      <c r="MAL1" s="87" t="n"/>
      <c r="MAM1" s="87" t="n"/>
      <c r="MAN1" s="87" t="n"/>
      <c r="MAO1" s="87" t="n"/>
      <c r="MAP1" s="87" t="n"/>
      <c r="MAQ1" s="87" t="n"/>
      <c r="MAR1" s="87" t="n"/>
      <c r="MAS1" s="87" t="n"/>
      <c r="MAT1" s="87" t="n"/>
      <c r="MAU1" s="87" t="n"/>
      <c r="MAV1" s="87" t="n"/>
      <c r="MAW1" s="87" t="n"/>
      <c r="MAX1" s="87" t="n"/>
      <c r="MAY1" s="87" t="n"/>
      <c r="MAZ1" s="87" t="n"/>
      <c r="MBA1" s="87" t="n"/>
      <c r="MBB1" s="87" t="n"/>
      <c r="MBC1" s="87" t="n"/>
      <c r="MBD1" s="87" t="n"/>
      <c r="MBE1" s="87" t="n"/>
      <c r="MBF1" s="87" t="n"/>
      <c r="MBG1" s="87" t="n"/>
      <c r="MBH1" s="87" t="n"/>
      <c r="MBI1" s="87" t="n"/>
      <c r="MBJ1" s="87" t="n"/>
      <c r="MBK1" s="87" t="n"/>
      <c r="MBL1" s="87" t="n"/>
      <c r="MBM1" s="87" t="n"/>
      <c r="MBN1" s="87" t="n"/>
      <c r="MBO1" s="87" t="n"/>
      <c r="MBP1" s="87" t="n"/>
      <c r="MBQ1" s="87" t="n"/>
      <c r="MBR1" s="87" t="n"/>
      <c r="MBS1" s="87" t="n"/>
      <c r="MBT1" s="87" t="n"/>
      <c r="MBU1" s="87" t="n"/>
      <c r="MBV1" s="87" t="n"/>
      <c r="MBW1" s="87" t="n"/>
      <c r="MBX1" s="87" t="n"/>
      <c r="MBY1" s="87" t="n"/>
      <c r="MBZ1" s="87" t="n"/>
      <c r="MCA1" s="87" t="n"/>
      <c r="MCB1" s="87" t="n"/>
      <c r="MCC1" s="87" t="n"/>
      <c r="MCD1" s="87" t="n"/>
      <c r="MCE1" s="87" t="n"/>
      <c r="MCF1" s="87" t="n"/>
      <c r="MCG1" s="87" t="n"/>
      <c r="MCH1" s="87" t="n"/>
      <c r="MCI1" s="87" t="n"/>
      <c r="MCJ1" s="87" t="n"/>
      <c r="MCK1" s="87" t="n"/>
      <c r="MCL1" s="87" t="n"/>
      <c r="MCM1" s="87" t="n"/>
      <c r="MCN1" s="87" t="n"/>
      <c r="MCO1" s="87" t="n"/>
      <c r="MCP1" s="87" t="n"/>
      <c r="MCQ1" s="87" t="n"/>
      <c r="MCR1" s="87" t="n"/>
      <c r="MCS1" s="87" t="n"/>
      <c r="MCT1" s="87" t="n"/>
      <c r="MCU1" s="87" t="n"/>
      <c r="MCV1" s="87" t="n"/>
      <c r="MCW1" s="87" t="n"/>
      <c r="MCX1" s="87" t="n"/>
      <c r="MCY1" s="87" t="n"/>
      <c r="MCZ1" s="87" t="n"/>
      <c r="MDA1" s="87" t="n"/>
      <c r="MDB1" s="87" t="n"/>
      <c r="MDC1" s="87" t="n"/>
      <c r="MDD1" s="87" t="n"/>
      <c r="MDE1" s="87" t="n"/>
      <c r="MDF1" s="87" t="n"/>
      <c r="MDG1" s="87" t="n"/>
      <c r="MDH1" s="87" t="n"/>
      <c r="MDI1" s="87" t="n"/>
      <c r="MDJ1" s="87" t="n"/>
      <c r="MDK1" s="87" t="n"/>
      <c r="MDL1" s="87" t="n"/>
      <c r="MDM1" s="87" t="n"/>
      <c r="MDN1" s="87" t="n"/>
      <c r="MDO1" s="87" t="n"/>
      <c r="MDP1" s="87" t="n"/>
      <c r="MDQ1" s="87" t="n"/>
      <c r="MDR1" s="87" t="n"/>
      <c r="MDS1" s="87" t="n"/>
      <c r="MDT1" s="87" t="n"/>
      <c r="MDU1" s="87" t="n"/>
      <c r="MDV1" s="87" t="n"/>
      <c r="MDW1" s="87" t="n"/>
      <c r="MDX1" s="87" t="n"/>
      <c r="MDY1" s="87" t="n"/>
      <c r="MDZ1" s="87" t="n"/>
      <c r="MEA1" s="87" t="n"/>
      <c r="MEB1" s="87" t="n"/>
      <c r="MEC1" s="87" t="n"/>
      <c r="MED1" s="87" t="n"/>
      <c r="MEE1" s="87" t="n"/>
      <c r="MEF1" s="87" t="n"/>
      <c r="MEG1" s="87" t="n"/>
      <c r="MEH1" s="87" t="n"/>
      <c r="MEI1" s="87" t="n"/>
      <c r="MEJ1" s="87" t="n"/>
      <c r="MEK1" s="87" t="n"/>
      <c r="MEL1" s="87" t="n"/>
      <c r="MEM1" s="87" t="n"/>
      <c r="MEN1" s="87" t="n"/>
      <c r="MEO1" s="87" t="n"/>
      <c r="MEP1" s="87" t="n"/>
      <c r="MEQ1" s="87" t="n"/>
      <c r="MER1" s="87" t="n"/>
      <c r="MES1" s="87" t="n"/>
      <c r="MET1" s="87" t="n"/>
      <c r="MEU1" s="87" t="n"/>
      <c r="MEV1" s="87" t="n"/>
      <c r="MEW1" s="87" t="n"/>
      <c r="MEX1" s="87" t="n"/>
      <c r="MEY1" s="87" t="n"/>
      <c r="MEZ1" s="87" t="n"/>
      <c r="MFA1" s="87" t="n"/>
      <c r="MFB1" s="87" t="n"/>
      <c r="MFC1" s="87" t="n"/>
      <c r="MFD1" s="87" t="n"/>
      <c r="MFE1" s="87" t="n"/>
      <c r="MFF1" s="87" t="n"/>
      <c r="MFG1" s="87" t="n"/>
      <c r="MFH1" s="87" t="n"/>
      <c r="MFI1" s="87" t="n"/>
      <c r="MFJ1" s="87" t="n"/>
      <c r="MFK1" s="87" t="n"/>
      <c r="MFL1" s="87" t="n"/>
      <c r="MFM1" s="87" t="n"/>
      <c r="MFN1" s="87" t="n"/>
      <c r="MFO1" s="87" t="n"/>
      <c r="MFP1" s="87" t="n"/>
      <c r="MFQ1" s="87" t="n"/>
      <c r="MFR1" s="87" t="n"/>
      <c r="MFS1" s="87" t="n"/>
      <c r="MFT1" s="87" t="n"/>
      <c r="MFU1" s="87" t="n"/>
      <c r="MFV1" s="87" t="n"/>
      <c r="MFW1" s="87" t="n"/>
      <c r="MFX1" s="87" t="n"/>
      <c r="MFY1" s="87" t="n"/>
      <c r="MFZ1" s="87" t="n"/>
      <c r="MGA1" s="87" t="n"/>
      <c r="MGB1" s="87" t="n"/>
      <c r="MGC1" s="87" t="n"/>
      <c r="MGD1" s="87" t="n"/>
      <c r="MGE1" s="87" t="n"/>
      <c r="MGF1" s="87" t="n"/>
      <c r="MGG1" s="87" t="n"/>
      <c r="MGH1" s="87" t="n"/>
      <c r="MGI1" s="87" t="n"/>
      <c r="MGJ1" s="87" t="n"/>
      <c r="MGK1" s="87" t="n"/>
      <c r="MGL1" s="87" t="n"/>
      <c r="MGM1" s="87" t="n"/>
      <c r="MGN1" s="87" t="n"/>
      <c r="MGO1" s="87" t="n"/>
      <c r="MGP1" s="87" t="n"/>
      <c r="MGQ1" s="87" t="n"/>
      <c r="MGR1" s="87" t="n"/>
      <c r="MGS1" s="87" t="n"/>
      <c r="MGT1" s="87" t="n"/>
      <c r="MGU1" s="87" t="n"/>
      <c r="MGV1" s="87" t="n"/>
      <c r="MGW1" s="87" t="n"/>
      <c r="MGX1" s="87" t="n"/>
      <c r="MGY1" s="87" t="n"/>
      <c r="MGZ1" s="87" t="n"/>
      <c r="MHA1" s="87" t="n"/>
      <c r="MHB1" s="87" t="n"/>
      <c r="MHC1" s="87" t="n"/>
      <c r="MHD1" s="87" t="n"/>
      <c r="MHE1" s="87" t="n"/>
      <c r="MHF1" s="87" t="n"/>
      <c r="MHG1" s="87" t="n"/>
      <c r="MHH1" s="87" t="n"/>
      <c r="MHI1" s="87" t="n"/>
      <c r="MHJ1" s="87" t="n"/>
      <c r="MHK1" s="87" t="n"/>
      <c r="MHL1" s="87" t="n"/>
      <c r="MHM1" s="87" t="n"/>
      <c r="MHN1" s="87" t="n"/>
      <c r="MHO1" s="87" t="n"/>
      <c r="MHP1" s="87" t="n"/>
      <c r="MHQ1" s="87" t="n"/>
      <c r="MHR1" s="87" t="n"/>
      <c r="MHS1" s="87" t="n"/>
      <c r="MHT1" s="87" t="n"/>
      <c r="MHU1" s="87" t="n"/>
      <c r="MHV1" s="87" t="n"/>
      <c r="MHW1" s="87" t="n"/>
      <c r="MHX1" s="87" t="n"/>
      <c r="MHY1" s="87" t="n"/>
      <c r="MHZ1" s="87" t="n"/>
      <c r="MIA1" s="87" t="n"/>
      <c r="MIB1" s="87" t="n"/>
      <c r="MIC1" s="87" t="n"/>
      <c r="MID1" s="87" t="n"/>
      <c r="MIE1" s="87" t="n"/>
      <c r="MIF1" s="87" t="n"/>
      <c r="MIG1" s="87" t="n"/>
      <c r="MIH1" s="87" t="n"/>
      <c r="MII1" s="87" t="n"/>
      <c r="MIJ1" s="87" t="n"/>
      <c r="MIK1" s="87" t="n"/>
      <c r="MIL1" s="87" t="n"/>
      <c r="MIM1" s="87" t="n"/>
      <c r="MIN1" s="87" t="n"/>
      <c r="MIO1" s="87" t="n"/>
      <c r="MIP1" s="87" t="n"/>
      <c r="MIQ1" s="87" t="n"/>
      <c r="MIR1" s="87" t="n"/>
      <c r="MIS1" s="87" t="n"/>
      <c r="MIT1" s="87" t="n"/>
      <c r="MIU1" s="87" t="n"/>
      <c r="MIV1" s="87" t="n"/>
      <c r="MIW1" s="87" t="n"/>
      <c r="MIX1" s="87" t="n"/>
      <c r="MIY1" s="87" t="n"/>
      <c r="MIZ1" s="87" t="n"/>
      <c r="MJA1" s="87" t="n"/>
      <c r="MJB1" s="87" t="n"/>
      <c r="MJC1" s="87" t="n"/>
      <c r="MJD1" s="87" t="n"/>
      <c r="MJE1" s="87" t="n"/>
      <c r="MJF1" s="87" t="n"/>
      <c r="MJG1" s="87" t="n"/>
      <c r="MJH1" s="87" t="n"/>
      <c r="MJI1" s="87" t="n"/>
      <c r="MJJ1" s="87" t="n"/>
      <c r="MJK1" s="87" t="n"/>
      <c r="MJL1" s="87" t="n"/>
      <c r="MJM1" s="87" t="n"/>
      <c r="MJN1" s="87" t="n"/>
      <c r="MJO1" s="87" t="n"/>
      <c r="MJP1" s="87" t="n"/>
      <c r="MJQ1" s="87" t="n"/>
      <c r="MJR1" s="87" t="n"/>
      <c r="MJS1" s="87" t="n"/>
      <c r="MJT1" s="87" t="n"/>
      <c r="MJU1" s="87" t="n"/>
      <c r="MJV1" s="87" t="n"/>
      <c r="MJW1" s="87" t="n"/>
      <c r="MJX1" s="87" t="n"/>
      <c r="MJY1" s="87" t="n"/>
      <c r="MJZ1" s="87" t="n"/>
      <c r="MKA1" s="87" t="n"/>
      <c r="MKB1" s="87" t="n"/>
      <c r="MKC1" s="87" t="n"/>
      <c r="MKD1" s="87" t="n"/>
      <c r="MKE1" s="87" t="n"/>
      <c r="MKF1" s="87" t="n"/>
      <c r="MKG1" s="87" t="n"/>
      <c r="MKH1" s="87" t="n"/>
      <c r="MKI1" s="87" t="n"/>
      <c r="MKJ1" s="87" t="n"/>
      <c r="MKK1" s="87" t="n"/>
      <c r="MKL1" s="87" t="n"/>
      <c r="MKM1" s="87" t="n"/>
      <c r="MKN1" s="87" t="n"/>
      <c r="MKO1" s="87" t="n"/>
      <c r="MKP1" s="87" t="n"/>
      <c r="MKQ1" s="87" t="n"/>
      <c r="MKR1" s="87" t="n"/>
      <c r="MKS1" s="87" t="n"/>
      <c r="MKT1" s="87" t="n"/>
      <c r="MKU1" s="87" t="n"/>
      <c r="MKV1" s="87" t="n"/>
      <c r="MKW1" s="87" t="n"/>
      <c r="MKX1" s="87" t="n"/>
      <c r="MKY1" s="87" t="n"/>
      <c r="MKZ1" s="87" t="n"/>
      <c r="MLA1" s="87" t="n"/>
      <c r="MLB1" s="87" t="n"/>
      <c r="MLC1" s="87" t="n"/>
      <c r="MLD1" s="87" t="n"/>
      <c r="MLE1" s="87" t="n"/>
      <c r="MLF1" s="87" t="n"/>
      <c r="MLG1" s="87" t="n"/>
      <c r="MLH1" s="87" t="n"/>
      <c r="MLI1" s="87" t="n"/>
      <c r="MLJ1" s="87" t="n"/>
      <c r="MLK1" s="87" t="n"/>
      <c r="MLL1" s="87" t="n"/>
      <c r="MLM1" s="87" t="n"/>
      <c r="MLN1" s="87" t="n"/>
      <c r="MLO1" s="87" t="n"/>
      <c r="MLP1" s="87" t="n"/>
      <c r="MLQ1" s="87" t="n"/>
      <c r="MLR1" s="87" t="n"/>
      <c r="MLS1" s="87" t="n"/>
      <c r="MLT1" s="87" t="n"/>
      <c r="MLU1" s="87" t="n"/>
      <c r="MLV1" s="87" t="n"/>
      <c r="MLW1" s="87" t="n"/>
      <c r="MLX1" s="87" t="n"/>
      <c r="MLY1" s="87" t="n"/>
      <c r="MLZ1" s="87" t="n"/>
      <c r="MMA1" s="87" t="n"/>
      <c r="MMB1" s="87" t="n"/>
      <c r="MMC1" s="87" t="n"/>
      <c r="MMD1" s="87" t="n"/>
      <c r="MME1" s="87" t="n"/>
      <c r="MMF1" s="87" t="n"/>
      <c r="MMG1" s="87" t="n"/>
      <c r="MMH1" s="87" t="n"/>
      <c r="MMI1" s="87" t="n"/>
      <c r="MMJ1" s="87" t="n"/>
      <c r="MMK1" s="87" t="n"/>
      <c r="MML1" s="87" t="n"/>
      <c r="MMM1" s="87" t="n"/>
      <c r="MMN1" s="87" t="n"/>
      <c r="MMO1" s="87" t="n"/>
      <c r="MMP1" s="87" t="n"/>
      <c r="MMQ1" s="87" t="n"/>
      <c r="MMR1" s="87" t="n"/>
      <c r="MMS1" s="87" t="n"/>
      <c r="MMT1" s="87" t="n"/>
      <c r="MMU1" s="87" t="n"/>
      <c r="MMV1" s="87" t="n"/>
      <c r="MMW1" s="87" t="n"/>
      <c r="MMX1" s="87" t="n"/>
      <c r="MMY1" s="87" t="n"/>
      <c r="MMZ1" s="87" t="n"/>
      <c r="MNA1" s="87" t="n"/>
      <c r="MNB1" s="87" t="n"/>
      <c r="MNC1" s="87" t="n"/>
      <c r="MND1" s="87" t="n"/>
      <c r="MNE1" s="87" t="n"/>
      <c r="MNF1" s="87" t="n"/>
      <c r="MNG1" s="87" t="n"/>
      <c r="MNH1" s="87" t="n"/>
      <c r="MNI1" s="87" t="n"/>
      <c r="MNJ1" s="87" t="n"/>
      <c r="MNK1" s="87" t="n"/>
      <c r="MNL1" s="87" t="n"/>
      <c r="MNM1" s="87" t="n"/>
      <c r="MNN1" s="87" t="n"/>
      <c r="MNO1" s="87" t="n"/>
      <c r="MNP1" s="87" t="n"/>
      <c r="MNQ1" s="87" t="n"/>
      <c r="MNR1" s="87" t="n"/>
      <c r="MNS1" s="87" t="n"/>
      <c r="MNT1" s="87" t="n"/>
      <c r="MNU1" s="87" t="n"/>
      <c r="MNV1" s="87" t="n"/>
      <c r="MNW1" s="87" t="n"/>
      <c r="MNX1" s="87" t="n"/>
      <c r="MNY1" s="87" t="n"/>
      <c r="MNZ1" s="87" t="n"/>
      <c r="MOA1" s="87" t="n"/>
      <c r="MOB1" s="87" t="n"/>
      <c r="MOC1" s="87" t="n"/>
      <c r="MOD1" s="87" t="n"/>
      <c r="MOE1" s="87" t="n"/>
      <c r="MOF1" s="87" t="n"/>
      <c r="MOG1" s="87" t="n"/>
      <c r="MOH1" s="87" t="n"/>
      <c r="MOI1" s="87" t="n"/>
      <c r="MOJ1" s="87" t="n"/>
      <c r="MOK1" s="87" t="n"/>
      <c r="MOL1" s="87" t="n"/>
      <c r="MOM1" s="87" t="n"/>
      <c r="MON1" s="87" t="n"/>
      <c r="MOO1" s="87" t="n"/>
      <c r="MOP1" s="87" t="n"/>
      <c r="MOQ1" s="87" t="n"/>
      <c r="MOR1" s="87" t="n"/>
      <c r="MOS1" s="87" t="n"/>
      <c r="MOT1" s="87" t="n"/>
      <c r="MOU1" s="87" t="n"/>
      <c r="MOV1" s="87" t="n"/>
      <c r="MOW1" s="87" t="n"/>
      <c r="MOX1" s="87" t="n"/>
      <c r="MOY1" s="87" t="n"/>
      <c r="MOZ1" s="87" t="n"/>
      <c r="MPA1" s="87" t="n"/>
      <c r="MPB1" s="87" t="n"/>
      <c r="MPC1" s="87" t="n"/>
      <c r="MPD1" s="87" t="n"/>
      <c r="MPE1" s="87" t="n"/>
      <c r="MPF1" s="87" t="n"/>
      <c r="MPG1" s="87" t="n"/>
      <c r="MPH1" s="87" t="n"/>
      <c r="MPI1" s="87" t="n"/>
      <c r="MPJ1" s="87" t="n"/>
      <c r="MPK1" s="87" t="n"/>
      <c r="MPL1" s="87" t="n"/>
      <c r="MPM1" s="87" t="n"/>
      <c r="MPN1" s="87" t="n"/>
      <c r="MPO1" s="87" t="n"/>
      <c r="MPP1" s="87" t="n"/>
      <c r="MPQ1" s="87" t="n"/>
      <c r="MPR1" s="87" t="n"/>
      <c r="MPS1" s="87" t="n"/>
      <c r="MPT1" s="87" t="n"/>
      <c r="MPU1" s="87" t="n"/>
      <c r="MPV1" s="87" t="n"/>
      <c r="MPW1" s="87" t="n"/>
      <c r="MPX1" s="87" t="n"/>
      <c r="MPY1" s="87" t="n"/>
      <c r="MPZ1" s="87" t="n"/>
      <c r="MQA1" s="87" t="n"/>
      <c r="MQB1" s="87" t="n"/>
      <c r="MQC1" s="87" t="n"/>
      <c r="MQD1" s="87" t="n"/>
      <c r="MQE1" s="87" t="n"/>
      <c r="MQF1" s="87" t="n"/>
      <c r="MQG1" s="87" t="n"/>
      <c r="MQH1" s="87" t="n"/>
      <c r="MQI1" s="87" t="n"/>
      <c r="MQJ1" s="87" t="n"/>
      <c r="MQK1" s="87" t="n"/>
      <c r="MQL1" s="87" t="n"/>
      <c r="MQM1" s="87" t="n"/>
      <c r="MQN1" s="87" t="n"/>
      <c r="MQO1" s="87" t="n"/>
      <c r="MQP1" s="87" t="n"/>
      <c r="MQQ1" s="87" t="n"/>
      <c r="MQR1" s="87" t="n"/>
      <c r="MQS1" s="87" t="n"/>
      <c r="MQT1" s="87" t="n"/>
      <c r="MQU1" s="87" t="n"/>
      <c r="MQV1" s="87" t="n"/>
      <c r="MQW1" s="87" t="n"/>
      <c r="MQX1" s="87" t="n"/>
      <c r="MQY1" s="87" t="n"/>
      <c r="MQZ1" s="87" t="n"/>
      <c r="MRA1" s="87" t="n"/>
      <c r="MRB1" s="87" t="n"/>
      <c r="MRC1" s="87" t="n"/>
      <c r="MRD1" s="87" t="n"/>
      <c r="MRE1" s="87" t="n"/>
      <c r="MRF1" s="87" t="n"/>
      <c r="MRG1" s="87" t="n"/>
      <c r="MRH1" s="87" t="n"/>
      <c r="MRI1" s="87" t="n"/>
      <c r="MRJ1" s="87" t="n"/>
      <c r="MRK1" s="87" t="n"/>
      <c r="MRL1" s="87" t="n"/>
      <c r="MRM1" s="87" t="n"/>
      <c r="MRN1" s="87" t="n"/>
      <c r="MRO1" s="87" t="n"/>
      <c r="MRP1" s="87" t="n"/>
      <c r="MRQ1" s="87" t="n"/>
      <c r="MRR1" s="87" t="n"/>
      <c r="MRS1" s="87" t="n"/>
      <c r="MRT1" s="87" t="n"/>
      <c r="MRU1" s="87" t="n"/>
      <c r="MRV1" s="87" t="n"/>
      <c r="MRW1" s="87" t="n"/>
      <c r="MRX1" s="87" t="n"/>
      <c r="MRY1" s="87" t="n"/>
      <c r="MRZ1" s="87" t="n"/>
      <c r="MSA1" s="87" t="n"/>
      <c r="MSB1" s="87" t="n"/>
      <c r="MSC1" s="87" t="n"/>
      <c r="MSD1" s="87" t="n"/>
      <c r="MSE1" s="87" t="n"/>
      <c r="MSF1" s="87" t="n"/>
      <c r="MSG1" s="87" t="n"/>
      <c r="MSH1" s="87" t="n"/>
      <c r="MSI1" s="87" t="n"/>
      <c r="MSJ1" s="87" t="n"/>
      <c r="MSK1" s="87" t="n"/>
      <c r="MSL1" s="87" t="n"/>
      <c r="MSM1" s="87" t="n"/>
      <c r="MSN1" s="87" t="n"/>
      <c r="MSO1" s="87" t="n"/>
      <c r="MSP1" s="87" t="n"/>
      <c r="MSQ1" s="87" t="n"/>
      <c r="MSR1" s="87" t="n"/>
      <c r="MSS1" s="87" t="n"/>
      <c r="MST1" s="87" t="n"/>
      <c r="MSU1" s="87" t="n"/>
      <c r="MSV1" s="87" t="n"/>
      <c r="MSW1" s="87" t="n"/>
      <c r="MSX1" s="87" t="n"/>
      <c r="MSY1" s="87" t="n"/>
      <c r="MSZ1" s="87" t="n"/>
      <c r="MTA1" s="87" t="n"/>
      <c r="MTB1" s="87" t="n"/>
      <c r="MTC1" s="87" t="n"/>
      <c r="MTD1" s="87" t="n"/>
      <c r="MTE1" s="87" t="n"/>
      <c r="MTF1" s="87" t="n"/>
      <c r="MTG1" s="87" t="n"/>
      <c r="MTH1" s="87" t="n"/>
      <c r="MTI1" s="87" t="n"/>
      <c r="MTJ1" s="87" t="n"/>
      <c r="MTK1" s="87" t="n"/>
      <c r="MTL1" s="87" t="n"/>
      <c r="MTM1" s="87" t="n"/>
      <c r="MTN1" s="87" t="n"/>
      <c r="MTO1" s="87" t="n"/>
      <c r="MTP1" s="87" t="n"/>
      <c r="MTQ1" s="87" t="n"/>
      <c r="MTR1" s="87" t="n"/>
      <c r="MTS1" s="87" t="n"/>
      <c r="MTT1" s="87" t="n"/>
      <c r="MTU1" s="87" t="n"/>
      <c r="MTV1" s="87" t="n"/>
      <c r="MTW1" s="87" t="n"/>
      <c r="MTX1" s="87" t="n"/>
      <c r="MTY1" s="87" t="n"/>
      <c r="MTZ1" s="87" t="n"/>
      <c r="MUA1" s="87" t="n"/>
      <c r="MUB1" s="87" t="n"/>
      <c r="MUC1" s="87" t="n"/>
      <c r="MUD1" s="87" t="n"/>
      <c r="MUE1" s="87" t="n"/>
      <c r="MUF1" s="87" t="n"/>
      <c r="MUG1" s="87" t="n"/>
      <c r="MUH1" s="87" t="n"/>
      <c r="MUI1" s="87" t="n"/>
      <c r="MUJ1" s="87" t="n"/>
      <c r="MUK1" s="87" t="n"/>
      <c r="MUL1" s="87" t="n"/>
      <c r="MUM1" s="87" t="n"/>
      <c r="MUN1" s="87" t="n"/>
      <c r="MUO1" s="87" t="n"/>
      <c r="MUP1" s="87" t="n"/>
      <c r="MUQ1" s="87" t="n"/>
      <c r="MUR1" s="87" t="n"/>
      <c r="MUS1" s="87" t="n"/>
      <c r="MUT1" s="87" t="n"/>
      <c r="MUU1" s="87" t="n"/>
      <c r="MUV1" s="87" t="n"/>
      <c r="MUW1" s="87" t="n"/>
      <c r="MUX1" s="87" t="n"/>
      <c r="MUY1" s="87" t="n"/>
      <c r="MUZ1" s="87" t="n"/>
      <c r="MVA1" s="87" t="n"/>
      <c r="MVB1" s="87" t="n"/>
      <c r="MVC1" s="87" t="n"/>
      <c r="MVD1" s="87" t="n"/>
      <c r="MVE1" s="87" t="n"/>
      <c r="MVF1" s="87" t="n"/>
      <c r="MVG1" s="87" t="n"/>
      <c r="MVH1" s="87" t="n"/>
      <c r="MVI1" s="87" t="n"/>
      <c r="MVJ1" s="87" t="n"/>
      <c r="MVK1" s="87" t="n"/>
      <c r="MVL1" s="87" t="n"/>
      <c r="MVM1" s="87" t="n"/>
      <c r="MVN1" s="87" t="n"/>
      <c r="MVO1" s="87" t="n"/>
      <c r="MVP1" s="87" t="n"/>
      <c r="MVQ1" s="87" t="n"/>
      <c r="MVR1" s="87" t="n"/>
      <c r="MVS1" s="87" t="n"/>
      <c r="MVT1" s="87" t="n"/>
      <c r="MVU1" s="87" t="n"/>
      <c r="MVV1" s="87" t="n"/>
      <c r="MVW1" s="87" t="n"/>
      <c r="MVX1" s="87" t="n"/>
      <c r="MVY1" s="87" t="n"/>
      <c r="MVZ1" s="87" t="n"/>
      <c r="MWA1" s="87" t="n"/>
      <c r="MWB1" s="87" t="n"/>
      <c r="MWC1" s="87" t="n"/>
      <c r="MWD1" s="87" t="n"/>
      <c r="MWE1" s="87" t="n"/>
      <c r="MWF1" s="87" t="n"/>
      <c r="MWG1" s="87" t="n"/>
      <c r="MWH1" s="87" t="n"/>
      <c r="MWI1" s="87" t="n"/>
      <c r="MWJ1" s="87" t="n"/>
      <c r="MWK1" s="87" t="n"/>
      <c r="MWL1" s="87" t="n"/>
      <c r="MWM1" s="87" t="n"/>
      <c r="MWN1" s="87" t="n"/>
      <c r="MWO1" s="87" t="n"/>
      <c r="MWP1" s="87" t="n"/>
      <c r="MWQ1" s="87" t="n"/>
      <c r="MWR1" s="87" t="n"/>
      <c r="MWS1" s="87" t="n"/>
      <c r="MWT1" s="87" t="n"/>
      <c r="MWU1" s="87" t="n"/>
      <c r="MWV1" s="87" t="n"/>
      <c r="MWW1" s="87" t="n"/>
      <c r="MWX1" s="87" t="n"/>
      <c r="MWY1" s="87" t="n"/>
      <c r="MWZ1" s="87" t="n"/>
      <c r="MXA1" s="87" t="n"/>
      <c r="MXB1" s="87" t="n"/>
      <c r="MXC1" s="87" t="n"/>
      <c r="MXD1" s="87" t="n"/>
      <c r="MXE1" s="87" t="n"/>
      <c r="MXF1" s="87" t="n"/>
      <c r="MXG1" s="87" t="n"/>
      <c r="MXH1" s="87" t="n"/>
      <c r="MXI1" s="87" t="n"/>
      <c r="MXJ1" s="87" t="n"/>
      <c r="MXK1" s="87" t="n"/>
      <c r="MXL1" s="87" t="n"/>
      <c r="MXM1" s="87" t="n"/>
      <c r="MXN1" s="87" t="n"/>
      <c r="MXO1" s="87" t="n"/>
      <c r="MXP1" s="87" t="n"/>
      <c r="MXQ1" s="87" t="n"/>
      <c r="MXR1" s="87" t="n"/>
      <c r="MXS1" s="87" t="n"/>
      <c r="MXT1" s="87" t="n"/>
      <c r="MXU1" s="87" t="n"/>
      <c r="MXV1" s="87" t="n"/>
      <c r="MXW1" s="87" t="n"/>
      <c r="MXX1" s="87" t="n"/>
      <c r="MXY1" s="87" t="n"/>
      <c r="MXZ1" s="87" t="n"/>
      <c r="MYA1" s="87" t="n"/>
      <c r="MYB1" s="87" t="n"/>
      <c r="MYC1" s="87" t="n"/>
      <c r="MYD1" s="87" t="n"/>
      <c r="MYE1" s="87" t="n"/>
      <c r="MYF1" s="87" t="n"/>
      <c r="MYG1" s="87" t="n"/>
      <c r="MYH1" s="87" t="n"/>
      <c r="MYI1" s="87" t="n"/>
      <c r="MYJ1" s="87" t="n"/>
      <c r="MYK1" s="87" t="n"/>
      <c r="MYL1" s="87" t="n"/>
      <c r="MYM1" s="87" t="n"/>
      <c r="MYN1" s="87" t="n"/>
      <c r="MYO1" s="87" t="n"/>
      <c r="MYP1" s="87" t="n"/>
      <c r="MYQ1" s="87" t="n"/>
      <c r="MYR1" s="87" t="n"/>
      <c r="MYS1" s="87" t="n"/>
      <c r="MYT1" s="87" t="n"/>
      <c r="MYU1" s="87" t="n"/>
      <c r="MYV1" s="87" t="n"/>
      <c r="MYW1" s="87" t="n"/>
      <c r="MYX1" s="87" t="n"/>
      <c r="MYY1" s="87" t="n"/>
      <c r="MYZ1" s="87" t="n"/>
      <c r="MZA1" s="87" t="n"/>
      <c r="MZB1" s="87" t="n"/>
      <c r="MZC1" s="87" t="n"/>
      <c r="MZD1" s="87" t="n"/>
      <c r="MZE1" s="87" t="n"/>
      <c r="MZF1" s="87" t="n"/>
      <c r="MZG1" s="87" t="n"/>
      <c r="MZH1" s="87" t="n"/>
      <c r="MZI1" s="87" t="n"/>
      <c r="MZJ1" s="87" t="n"/>
      <c r="MZK1" s="87" t="n"/>
      <c r="MZL1" s="87" t="n"/>
      <c r="MZM1" s="87" t="n"/>
      <c r="MZN1" s="87" t="n"/>
      <c r="MZO1" s="87" t="n"/>
      <c r="MZP1" s="87" t="n"/>
      <c r="MZQ1" s="87" t="n"/>
      <c r="MZR1" s="87" t="n"/>
      <c r="MZS1" s="87" t="n"/>
      <c r="MZT1" s="87" t="n"/>
      <c r="MZU1" s="87" t="n"/>
      <c r="MZV1" s="87" t="n"/>
      <c r="MZW1" s="87" t="n"/>
      <c r="MZX1" s="87" t="n"/>
      <c r="MZY1" s="87" t="n"/>
      <c r="MZZ1" s="87" t="n"/>
      <c r="NAA1" s="87" t="n"/>
      <c r="NAB1" s="87" t="n"/>
      <c r="NAC1" s="87" t="n"/>
      <c r="NAD1" s="87" t="n"/>
      <c r="NAE1" s="87" t="n"/>
      <c r="NAF1" s="87" t="n"/>
      <c r="NAG1" s="87" t="n"/>
      <c r="NAH1" s="87" t="n"/>
      <c r="NAI1" s="87" t="n"/>
      <c r="NAJ1" s="87" t="n"/>
      <c r="NAK1" s="87" t="n"/>
      <c r="NAL1" s="87" t="n"/>
      <c r="NAM1" s="87" t="n"/>
      <c r="NAN1" s="87" t="n"/>
      <c r="NAO1" s="87" t="n"/>
      <c r="NAP1" s="87" t="n"/>
      <c r="NAQ1" s="87" t="n"/>
      <c r="NAR1" s="87" t="n"/>
      <c r="NAS1" s="87" t="n"/>
      <c r="NAT1" s="87" t="n"/>
      <c r="NAU1" s="87" t="n"/>
      <c r="NAV1" s="87" t="n"/>
      <c r="NAW1" s="87" t="n"/>
      <c r="NAX1" s="87" t="n"/>
      <c r="NAY1" s="87" t="n"/>
      <c r="NAZ1" s="87" t="n"/>
      <c r="NBA1" s="87" t="n"/>
      <c r="NBB1" s="87" t="n"/>
      <c r="NBC1" s="87" t="n"/>
      <c r="NBD1" s="87" t="n"/>
      <c r="NBE1" s="87" t="n"/>
      <c r="NBF1" s="87" t="n"/>
      <c r="NBG1" s="87" t="n"/>
      <c r="NBH1" s="87" t="n"/>
      <c r="NBI1" s="87" t="n"/>
      <c r="NBJ1" s="87" t="n"/>
      <c r="NBK1" s="87" t="n"/>
      <c r="NBL1" s="87" t="n"/>
      <c r="NBM1" s="87" t="n"/>
      <c r="NBN1" s="87" t="n"/>
      <c r="NBO1" s="87" t="n"/>
      <c r="NBP1" s="87" t="n"/>
      <c r="NBQ1" s="87" t="n"/>
      <c r="NBR1" s="87" t="n"/>
      <c r="NBS1" s="87" t="n"/>
      <c r="NBT1" s="87" t="n"/>
      <c r="NBU1" s="87" t="n"/>
      <c r="NBV1" s="87" t="n"/>
      <c r="NBW1" s="87" t="n"/>
      <c r="NBX1" s="87" t="n"/>
      <c r="NBY1" s="87" t="n"/>
      <c r="NBZ1" s="87" t="n"/>
      <c r="NCA1" s="87" t="n"/>
      <c r="NCB1" s="87" t="n"/>
      <c r="NCC1" s="87" t="n"/>
      <c r="NCD1" s="87" t="n"/>
      <c r="NCE1" s="87" t="n"/>
      <c r="NCF1" s="87" t="n"/>
      <c r="NCG1" s="87" t="n"/>
      <c r="NCH1" s="87" t="n"/>
      <c r="NCI1" s="87" t="n"/>
      <c r="NCJ1" s="87" t="n"/>
      <c r="NCK1" s="87" t="n"/>
      <c r="NCL1" s="87" t="n"/>
      <c r="NCM1" s="87" t="n"/>
      <c r="NCN1" s="87" t="n"/>
      <c r="NCO1" s="87" t="n"/>
      <c r="NCP1" s="87" t="n"/>
      <c r="NCQ1" s="87" t="n"/>
      <c r="NCR1" s="87" t="n"/>
      <c r="NCS1" s="87" t="n"/>
      <c r="NCT1" s="87" t="n"/>
      <c r="NCU1" s="87" t="n"/>
      <c r="NCV1" s="87" t="n"/>
      <c r="NCW1" s="87" t="n"/>
      <c r="NCX1" s="87" t="n"/>
      <c r="NCY1" s="87" t="n"/>
      <c r="NCZ1" s="87" t="n"/>
      <c r="NDA1" s="87" t="n"/>
      <c r="NDB1" s="87" t="n"/>
      <c r="NDC1" s="87" t="n"/>
      <c r="NDD1" s="87" t="n"/>
      <c r="NDE1" s="87" t="n"/>
      <c r="NDF1" s="87" t="n"/>
      <c r="NDG1" s="87" t="n"/>
      <c r="NDH1" s="87" t="n"/>
      <c r="NDI1" s="87" t="n"/>
      <c r="NDJ1" s="87" t="n"/>
      <c r="NDK1" s="87" t="n"/>
      <c r="NDL1" s="87" t="n"/>
      <c r="NDM1" s="87" t="n"/>
      <c r="NDN1" s="87" t="n"/>
      <c r="NDO1" s="87" t="n"/>
      <c r="NDP1" s="87" t="n"/>
      <c r="NDQ1" s="87" t="n"/>
      <c r="NDR1" s="87" t="n"/>
      <c r="NDS1" s="87" t="n"/>
      <c r="NDT1" s="87" t="n"/>
      <c r="NDU1" s="87" t="n"/>
      <c r="NDV1" s="87" t="n"/>
      <c r="NDW1" s="87" t="n"/>
      <c r="NDX1" s="87" t="n"/>
      <c r="NDY1" s="87" t="n"/>
      <c r="NDZ1" s="87" t="n"/>
      <c r="NEA1" s="87" t="n"/>
      <c r="NEB1" s="87" t="n"/>
      <c r="NEC1" s="87" t="n"/>
      <c r="NED1" s="87" t="n"/>
      <c r="NEE1" s="87" t="n"/>
      <c r="NEF1" s="87" t="n"/>
      <c r="NEG1" s="87" t="n"/>
      <c r="NEH1" s="87" t="n"/>
      <c r="NEI1" s="87" t="n"/>
      <c r="NEJ1" s="87" t="n"/>
      <c r="NEK1" s="87" t="n"/>
      <c r="NEL1" s="87" t="n"/>
      <c r="NEM1" s="87" t="n"/>
      <c r="NEN1" s="87" t="n"/>
      <c r="NEO1" s="87" t="n"/>
      <c r="NEP1" s="87" t="n"/>
      <c r="NEQ1" s="87" t="n"/>
      <c r="NER1" s="87" t="n"/>
      <c r="NES1" s="87" t="n"/>
      <c r="NET1" s="87" t="n"/>
      <c r="NEU1" s="87" t="n"/>
      <c r="NEV1" s="87" t="n"/>
      <c r="NEW1" s="87" t="n"/>
      <c r="NEX1" s="87" t="n"/>
      <c r="NEY1" s="87" t="n"/>
      <c r="NEZ1" s="87" t="n"/>
      <c r="NFA1" s="87" t="n"/>
      <c r="NFB1" s="87" t="n"/>
      <c r="NFC1" s="87" t="n"/>
      <c r="NFD1" s="87" t="n"/>
      <c r="NFE1" s="87" t="n"/>
      <c r="NFF1" s="87" t="n"/>
      <c r="NFG1" s="87" t="n"/>
      <c r="NFH1" s="87" t="n"/>
      <c r="NFI1" s="87" t="n"/>
      <c r="NFJ1" s="87" t="n"/>
      <c r="NFK1" s="87" t="n"/>
      <c r="NFL1" s="87" t="n"/>
      <c r="NFM1" s="87" t="n"/>
      <c r="NFN1" s="87" t="n"/>
      <c r="NFO1" s="87" t="n"/>
      <c r="NFP1" s="87" t="n"/>
      <c r="NFQ1" s="87" t="n"/>
      <c r="NFR1" s="87" t="n"/>
      <c r="NFS1" s="87" t="n"/>
      <c r="NFT1" s="87" t="n"/>
      <c r="NFU1" s="87" t="n"/>
      <c r="NFV1" s="87" t="n"/>
      <c r="NFW1" s="87" t="n"/>
      <c r="NFX1" s="87" t="n"/>
      <c r="NFY1" s="87" t="n"/>
      <c r="NFZ1" s="87" t="n"/>
      <c r="NGA1" s="87" t="n"/>
      <c r="NGB1" s="87" t="n"/>
      <c r="NGC1" s="87" t="n"/>
      <c r="NGD1" s="87" t="n"/>
      <c r="NGE1" s="87" t="n"/>
      <c r="NGF1" s="87" t="n"/>
      <c r="NGG1" s="87" t="n"/>
      <c r="NGH1" s="87" t="n"/>
      <c r="NGI1" s="87" t="n"/>
      <c r="NGJ1" s="87" t="n"/>
      <c r="NGK1" s="87" t="n"/>
      <c r="NGL1" s="87" t="n"/>
      <c r="NGM1" s="87" t="n"/>
      <c r="NGN1" s="87" t="n"/>
      <c r="NGO1" s="87" t="n"/>
      <c r="NGP1" s="87" t="n"/>
      <c r="NGQ1" s="87" t="n"/>
      <c r="NGR1" s="87" t="n"/>
      <c r="NGS1" s="87" t="n"/>
      <c r="NGT1" s="87" t="n"/>
      <c r="NGU1" s="87" t="n"/>
      <c r="NGV1" s="87" t="n"/>
      <c r="NGW1" s="87" t="n"/>
      <c r="NGX1" s="87" t="n"/>
      <c r="NGY1" s="87" t="n"/>
      <c r="NGZ1" s="87" t="n"/>
      <c r="NHA1" s="87" t="n"/>
      <c r="NHB1" s="87" t="n"/>
      <c r="NHC1" s="87" t="n"/>
      <c r="NHD1" s="87" t="n"/>
      <c r="NHE1" s="87" t="n"/>
      <c r="NHF1" s="87" t="n"/>
      <c r="NHG1" s="87" t="n"/>
      <c r="NHH1" s="87" t="n"/>
      <c r="NHI1" s="87" t="n"/>
      <c r="NHJ1" s="87" t="n"/>
      <c r="NHK1" s="87" t="n"/>
      <c r="NHL1" s="87" t="n"/>
      <c r="NHM1" s="87" t="n"/>
      <c r="NHN1" s="87" t="n"/>
      <c r="NHO1" s="87" t="n"/>
      <c r="NHP1" s="87" t="n"/>
      <c r="NHQ1" s="87" t="n"/>
      <c r="NHR1" s="87" t="n"/>
      <c r="NHS1" s="87" t="n"/>
      <c r="NHT1" s="87" t="n"/>
      <c r="NHU1" s="87" t="n"/>
      <c r="NHV1" s="87" t="n"/>
      <c r="NHW1" s="87" t="n"/>
      <c r="NHX1" s="87" t="n"/>
      <c r="NHY1" s="87" t="n"/>
      <c r="NHZ1" s="87" t="n"/>
      <c r="NIA1" s="87" t="n"/>
      <c r="NIB1" s="87" t="n"/>
      <c r="NIC1" s="87" t="n"/>
      <c r="NID1" s="87" t="n"/>
      <c r="NIE1" s="87" t="n"/>
      <c r="NIF1" s="87" t="n"/>
      <c r="NIG1" s="87" t="n"/>
      <c r="NIH1" s="87" t="n"/>
      <c r="NII1" s="87" t="n"/>
      <c r="NIJ1" s="87" t="n"/>
      <c r="NIK1" s="87" t="n"/>
      <c r="NIL1" s="87" t="n"/>
      <c r="NIM1" s="87" t="n"/>
      <c r="NIN1" s="87" t="n"/>
      <c r="NIO1" s="87" t="n"/>
      <c r="NIP1" s="87" t="n"/>
      <c r="NIQ1" s="87" t="n"/>
      <c r="NIR1" s="87" t="n"/>
      <c r="NIS1" s="87" t="n"/>
      <c r="NIT1" s="87" t="n"/>
      <c r="NIU1" s="87" t="n"/>
      <c r="NIV1" s="87" t="n"/>
      <c r="NIW1" s="87" t="n"/>
      <c r="NIX1" s="87" t="n"/>
      <c r="NIY1" s="87" t="n"/>
      <c r="NIZ1" s="87" t="n"/>
      <c r="NJA1" s="87" t="n"/>
      <c r="NJB1" s="87" t="n"/>
      <c r="NJC1" s="87" t="n"/>
      <c r="NJD1" s="87" t="n"/>
      <c r="NJE1" s="87" t="n"/>
      <c r="NJF1" s="87" t="n"/>
      <c r="NJG1" s="87" t="n"/>
      <c r="NJH1" s="87" t="n"/>
      <c r="NJI1" s="87" t="n"/>
      <c r="NJJ1" s="87" t="n"/>
      <c r="NJK1" s="87" t="n"/>
      <c r="NJL1" s="87" t="n"/>
      <c r="NJM1" s="87" t="n"/>
      <c r="NJN1" s="87" t="n"/>
      <c r="NJO1" s="87" t="n"/>
      <c r="NJP1" s="87" t="n"/>
      <c r="NJQ1" s="87" t="n"/>
      <c r="NJR1" s="87" t="n"/>
      <c r="NJS1" s="87" t="n"/>
      <c r="NJT1" s="87" t="n"/>
      <c r="NJU1" s="87" t="n"/>
      <c r="NJV1" s="87" t="n"/>
      <c r="NJW1" s="87" t="n"/>
      <c r="NJX1" s="87" t="n"/>
      <c r="NJY1" s="87" t="n"/>
      <c r="NJZ1" s="87" t="n"/>
      <c r="NKA1" s="87" t="n"/>
      <c r="NKB1" s="87" t="n"/>
      <c r="NKC1" s="87" t="n"/>
      <c r="NKD1" s="87" t="n"/>
      <c r="NKE1" s="87" t="n"/>
      <c r="NKF1" s="87" t="n"/>
      <c r="NKG1" s="87" t="n"/>
      <c r="NKH1" s="87" t="n"/>
      <c r="NKI1" s="87" t="n"/>
      <c r="NKJ1" s="87" t="n"/>
      <c r="NKK1" s="87" t="n"/>
      <c r="NKL1" s="87" t="n"/>
      <c r="NKM1" s="87" t="n"/>
      <c r="NKN1" s="87" t="n"/>
      <c r="NKO1" s="87" t="n"/>
      <c r="NKP1" s="87" t="n"/>
      <c r="NKQ1" s="87" t="n"/>
      <c r="NKR1" s="87" t="n"/>
      <c r="NKS1" s="87" t="n"/>
      <c r="NKT1" s="87" t="n"/>
      <c r="NKU1" s="87" t="n"/>
      <c r="NKV1" s="87" t="n"/>
      <c r="NKW1" s="87" t="n"/>
      <c r="NKX1" s="87" t="n"/>
      <c r="NKY1" s="87" t="n"/>
      <c r="NKZ1" s="87" t="n"/>
      <c r="NLA1" s="87" t="n"/>
      <c r="NLB1" s="87" t="n"/>
      <c r="NLC1" s="87" t="n"/>
      <c r="NLD1" s="87" t="n"/>
      <c r="NLE1" s="87" t="n"/>
      <c r="NLF1" s="87" t="n"/>
      <c r="NLG1" s="87" t="n"/>
      <c r="NLH1" s="87" t="n"/>
      <c r="NLI1" s="87" t="n"/>
      <c r="NLJ1" s="87" t="n"/>
      <c r="NLK1" s="87" t="n"/>
      <c r="NLL1" s="87" t="n"/>
      <c r="NLM1" s="87" t="n"/>
      <c r="NLN1" s="87" t="n"/>
      <c r="NLO1" s="87" t="n"/>
      <c r="NLP1" s="87" t="n"/>
      <c r="NLQ1" s="87" t="n"/>
      <c r="NLR1" s="87" t="n"/>
      <c r="NLS1" s="87" t="n"/>
      <c r="NLT1" s="87" t="n"/>
      <c r="NLU1" s="87" t="n"/>
      <c r="NLV1" s="87" t="n"/>
      <c r="NLW1" s="87" t="n"/>
      <c r="NLX1" s="87" t="n"/>
      <c r="NLY1" s="87" t="n"/>
      <c r="NLZ1" s="87" t="n"/>
      <c r="NMA1" s="87" t="n"/>
      <c r="NMB1" s="87" t="n"/>
      <c r="NMC1" s="87" t="n"/>
      <c r="NMD1" s="87" t="n"/>
      <c r="NME1" s="87" t="n"/>
      <c r="NMF1" s="87" t="n"/>
      <c r="NMG1" s="87" t="n"/>
      <c r="NMH1" s="87" t="n"/>
      <c r="NMI1" s="87" t="n"/>
      <c r="NMJ1" s="87" t="n"/>
      <c r="NMK1" s="87" t="n"/>
      <c r="NML1" s="87" t="n"/>
      <c r="NMM1" s="87" t="n"/>
      <c r="NMN1" s="87" t="n"/>
      <c r="NMO1" s="87" t="n"/>
      <c r="NMP1" s="87" t="n"/>
      <c r="NMQ1" s="87" t="n"/>
      <c r="NMR1" s="87" t="n"/>
      <c r="NMS1" s="87" t="n"/>
      <c r="NMT1" s="87" t="n"/>
      <c r="NMU1" s="87" t="n"/>
      <c r="NMV1" s="87" t="n"/>
      <c r="NMW1" s="87" t="n"/>
      <c r="NMX1" s="87" t="n"/>
      <c r="NMY1" s="87" t="n"/>
      <c r="NMZ1" s="87" t="n"/>
      <c r="NNA1" s="87" t="n"/>
      <c r="NNB1" s="87" t="n"/>
      <c r="NNC1" s="87" t="n"/>
      <c r="NND1" s="87" t="n"/>
      <c r="NNE1" s="87" t="n"/>
      <c r="NNF1" s="87" t="n"/>
      <c r="NNG1" s="87" t="n"/>
      <c r="NNH1" s="87" t="n"/>
      <c r="NNI1" s="87" t="n"/>
      <c r="NNJ1" s="87" t="n"/>
      <c r="NNK1" s="87" t="n"/>
      <c r="NNL1" s="87" t="n"/>
      <c r="NNM1" s="87" t="n"/>
      <c r="NNN1" s="87" t="n"/>
      <c r="NNO1" s="87" t="n"/>
      <c r="NNP1" s="87" t="n"/>
      <c r="NNQ1" s="87" t="n"/>
      <c r="NNR1" s="87" t="n"/>
      <c r="NNS1" s="87" t="n"/>
      <c r="NNT1" s="87" t="n"/>
      <c r="NNU1" s="87" t="n"/>
      <c r="NNV1" s="87" t="n"/>
      <c r="NNW1" s="87" t="n"/>
      <c r="NNX1" s="87" t="n"/>
      <c r="NNY1" s="87" t="n"/>
      <c r="NNZ1" s="87" t="n"/>
      <c r="NOA1" s="87" t="n"/>
      <c r="NOB1" s="87" t="n"/>
      <c r="NOC1" s="87" t="n"/>
      <c r="NOD1" s="87" t="n"/>
      <c r="NOE1" s="87" t="n"/>
      <c r="NOF1" s="87" t="n"/>
      <c r="NOG1" s="87" t="n"/>
      <c r="NOH1" s="87" t="n"/>
      <c r="NOI1" s="87" t="n"/>
      <c r="NOJ1" s="87" t="n"/>
      <c r="NOK1" s="87" t="n"/>
      <c r="NOL1" s="87" t="n"/>
      <c r="NOM1" s="87" t="n"/>
      <c r="NON1" s="87" t="n"/>
      <c r="NOO1" s="87" t="n"/>
      <c r="NOP1" s="87" t="n"/>
      <c r="NOQ1" s="87" t="n"/>
      <c r="NOR1" s="87" t="n"/>
      <c r="NOS1" s="87" t="n"/>
      <c r="NOT1" s="87" t="n"/>
      <c r="NOU1" s="87" t="n"/>
      <c r="NOV1" s="87" t="n"/>
      <c r="NOW1" s="87" t="n"/>
      <c r="NOX1" s="87" t="n"/>
      <c r="NOY1" s="87" t="n"/>
      <c r="NOZ1" s="87" t="n"/>
      <c r="NPA1" s="87" t="n"/>
      <c r="NPB1" s="87" t="n"/>
      <c r="NPC1" s="87" t="n"/>
      <c r="NPD1" s="87" t="n"/>
      <c r="NPE1" s="87" t="n"/>
      <c r="NPF1" s="87" t="n"/>
      <c r="NPG1" s="87" t="n"/>
      <c r="NPH1" s="87" t="n"/>
      <c r="NPI1" s="87" t="n"/>
      <c r="NPJ1" s="87" t="n"/>
      <c r="NPK1" s="87" t="n"/>
      <c r="NPL1" s="87" t="n"/>
      <c r="NPM1" s="87" t="n"/>
      <c r="NPN1" s="87" t="n"/>
      <c r="NPO1" s="87" t="n"/>
      <c r="NPP1" s="87" t="n"/>
      <c r="NPQ1" s="87" t="n"/>
      <c r="NPR1" s="87" t="n"/>
      <c r="NPS1" s="87" t="n"/>
      <c r="NPT1" s="87" t="n"/>
      <c r="NPU1" s="87" t="n"/>
      <c r="NPV1" s="87" t="n"/>
      <c r="NPW1" s="87" t="n"/>
      <c r="NPX1" s="87" t="n"/>
      <c r="NPY1" s="87" t="n"/>
      <c r="NPZ1" s="87" t="n"/>
      <c r="NQA1" s="87" t="n"/>
      <c r="NQB1" s="87" t="n"/>
      <c r="NQC1" s="87" t="n"/>
      <c r="NQD1" s="87" t="n"/>
      <c r="NQE1" s="87" t="n"/>
      <c r="NQF1" s="87" t="n"/>
      <c r="NQG1" s="87" t="n"/>
      <c r="NQH1" s="87" t="n"/>
      <c r="NQI1" s="87" t="n"/>
      <c r="NQJ1" s="87" t="n"/>
      <c r="NQK1" s="87" t="n"/>
      <c r="NQL1" s="87" t="n"/>
      <c r="NQM1" s="87" t="n"/>
      <c r="NQN1" s="87" t="n"/>
      <c r="NQO1" s="87" t="n"/>
      <c r="NQP1" s="87" t="n"/>
      <c r="NQQ1" s="87" t="n"/>
      <c r="NQR1" s="87" t="n"/>
      <c r="NQS1" s="87" t="n"/>
      <c r="NQT1" s="87" t="n"/>
      <c r="NQU1" s="87" t="n"/>
      <c r="NQV1" s="87" t="n"/>
      <c r="NQW1" s="87" t="n"/>
      <c r="NQX1" s="87" t="n"/>
      <c r="NQY1" s="87" t="n"/>
      <c r="NQZ1" s="87" t="n"/>
      <c r="NRA1" s="87" t="n"/>
      <c r="NRB1" s="87" t="n"/>
      <c r="NRC1" s="87" t="n"/>
      <c r="NRD1" s="87" t="n"/>
      <c r="NRE1" s="87" t="n"/>
      <c r="NRF1" s="87" t="n"/>
      <c r="NRG1" s="87" t="n"/>
      <c r="NRH1" s="87" t="n"/>
      <c r="NRI1" s="87" t="n"/>
      <c r="NRJ1" s="87" t="n"/>
      <c r="NRK1" s="87" t="n"/>
      <c r="NRL1" s="87" t="n"/>
      <c r="NRM1" s="87" t="n"/>
      <c r="NRN1" s="87" t="n"/>
      <c r="NRO1" s="87" t="n"/>
      <c r="NRP1" s="87" t="n"/>
      <c r="NRQ1" s="87" t="n"/>
      <c r="NRR1" s="87" t="n"/>
      <c r="NRS1" s="87" t="n"/>
      <c r="NRT1" s="87" t="n"/>
      <c r="NRU1" s="87" t="n"/>
      <c r="NRV1" s="87" t="n"/>
      <c r="NRW1" s="87" t="n"/>
      <c r="NRX1" s="87" t="n"/>
      <c r="NRY1" s="87" t="n"/>
      <c r="NRZ1" s="87" t="n"/>
      <c r="NSA1" s="87" t="n"/>
      <c r="NSB1" s="87" t="n"/>
      <c r="NSC1" s="87" t="n"/>
      <c r="NSD1" s="87" t="n"/>
      <c r="NSE1" s="87" t="n"/>
      <c r="NSF1" s="87" t="n"/>
      <c r="NSG1" s="87" t="n"/>
      <c r="NSH1" s="87" t="n"/>
      <c r="NSI1" s="87" t="n"/>
      <c r="NSJ1" s="87" t="n"/>
      <c r="NSK1" s="87" t="n"/>
      <c r="NSL1" s="87" t="n"/>
      <c r="NSM1" s="87" t="n"/>
      <c r="NSN1" s="87" t="n"/>
      <c r="NSO1" s="87" t="n"/>
      <c r="NSP1" s="87" t="n"/>
      <c r="NSQ1" s="87" t="n"/>
      <c r="NSR1" s="87" t="n"/>
      <c r="NSS1" s="87" t="n"/>
      <c r="NST1" s="87" t="n"/>
      <c r="NSU1" s="87" t="n"/>
      <c r="NSV1" s="87" t="n"/>
      <c r="NSW1" s="87" t="n"/>
      <c r="NSX1" s="87" t="n"/>
      <c r="NSY1" s="87" t="n"/>
      <c r="NSZ1" s="87" t="n"/>
      <c r="NTA1" s="87" t="n"/>
      <c r="NTB1" s="87" t="n"/>
      <c r="NTC1" s="87" t="n"/>
      <c r="NTD1" s="87" t="n"/>
      <c r="NTE1" s="87" t="n"/>
      <c r="NTF1" s="87" t="n"/>
      <c r="NTG1" s="87" t="n"/>
      <c r="NTH1" s="87" t="n"/>
      <c r="NTI1" s="87" t="n"/>
      <c r="NTJ1" s="87" t="n"/>
      <c r="NTK1" s="87" t="n"/>
      <c r="NTL1" s="87" t="n"/>
      <c r="NTM1" s="87" t="n"/>
      <c r="NTN1" s="87" t="n"/>
      <c r="NTO1" s="87" t="n"/>
      <c r="NTP1" s="87" t="n"/>
      <c r="NTQ1" s="87" t="n"/>
      <c r="NTR1" s="87" t="n"/>
      <c r="NTS1" s="87" t="n"/>
      <c r="NTT1" s="87" t="n"/>
      <c r="NTU1" s="87" t="n"/>
      <c r="NTV1" s="87" t="n"/>
      <c r="NTW1" s="87" t="n"/>
      <c r="NTX1" s="87" t="n"/>
      <c r="NTY1" s="87" t="n"/>
      <c r="NTZ1" s="87" t="n"/>
      <c r="NUA1" s="87" t="n"/>
      <c r="NUB1" s="87" t="n"/>
      <c r="NUC1" s="87" t="n"/>
      <c r="NUD1" s="87" t="n"/>
      <c r="NUE1" s="87" t="n"/>
      <c r="NUF1" s="87" t="n"/>
      <c r="NUG1" s="87" t="n"/>
      <c r="NUH1" s="87" t="n"/>
      <c r="NUI1" s="87" t="n"/>
      <c r="NUJ1" s="87" t="n"/>
      <c r="NUK1" s="87" t="n"/>
      <c r="NUL1" s="87" t="n"/>
      <c r="NUM1" s="87" t="n"/>
      <c r="NUN1" s="87" t="n"/>
      <c r="NUO1" s="87" t="n"/>
      <c r="NUP1" s="87" t="n"/>
      <c r="NUQ1" s="87" t="n"/>
      <c r="NUR1" s="87" t="n"/>
      <c r="NUS1" s="87" t="n"/>
      <c r="NUT1" s="87" t="n"/>
      <c r="NUU1" s="87" t="n"/>
      <c r="NUV1" s="87" t="n"/>
      <c r="NUW1" s="87" t="n"/>
      <c r="NUX1" s="87" t="n"/>
      <c r="NUY1" s="87" t="n"/>
      <c r="NUZ1" s="87" t="n"/>
      <c r="NVA1" s="87" t="n"/>
      <c r="NVB1" s="87" t="n"/>
      <c r="NVC1" s="87" t="n"/>
      <c r="NVD1" s="87" t="n"/>
      <c r="NVE1" s="87" t="n"/>
      <c r="NVF1" s="87" t="n"/>
      <c r="NVG1" s="87" t="n"/>
      <c r="NVH1" s="87" t="n"/>
      <c r="NVI1" s="87" t="n"/>
      <c r="NVJ1" s="87" t="n"/>
      <c r="NVK1" s="87" t="n"/>
      <c r="NVL1" s="87" t="n"/>
      <c r="NVM1" s="87" t="n"/>
      <c r="NVN1" s="87" t="n"/>
      <c r="NVO1" s="87" t="n"/>
      <c r="NVP1" s="87" t="n"/>
      <c r="NVQ1" s="87" t="n"/>
      <c r="NVR1" s="87" t="n"/>
      <c r="NVS1" s="87" t="n"/>
      <c r="NVT1" s="87" t="n"/>
      <c r="NVU1" s="87" t="n"/>
      <c r="NVV1" s="87" t="n"/>
      <c r="NVW1" s="87" t="n"/>
      <c r="NVX1" s="87" t="n"/>
      <c r="NVY1" s="87" t="n"/>
      <c r="NVZ1" s="87" t="n"/>
      <c r="NWA1" s="87" t="n"/>
      <c r="NWB1" s="87" t="n"/>
      <c r="NWC1" s="87" t="n"/>
      <c r="NWD1" s="87" t="n"/>
      <c r="NWE1" s="87" t="n"/>
      <c r="NWF1" s="87" t="n"/>
      <c r="NWG1" s="87" t="n"/>
      <c r="NWH1" s="87" t="n"/>
      <c r="NWI1" s="87" t="n"/>
      <c r="NWJ1" s="87" t="n"/>
      <c r="NWK1" s="87" t="n"/>
      <c r="NWL1" s="87" t="n"/>
      <c r="NWM1" s="87" t="n"/>
      <c r="NWN1" s="87" t="n"/>
      <c r="NWO1" s="87" t="n"/>
      <c r="NWP1" s="87" t="n"/>
      <c r="NWQ1" s="87" t="n"/>
      <c r="NWR1" s="87" t="n"/>
      <c r="NWS1" s="87" t="n"/>
      <c r="NWT1" s="87" t="n"/>
      <c r="NWU1" s="87" t="n"/>
      <c r="NWV1" s="87" t="n"/>
      <c r="NWW1" s="87" t="n"/>
      <c r="NWX1" s="87" t="n"/>
      <c r="NWY1" s="87" t="n"/>
      <c r="NWZ1" s="87" t="n"/>
      <c r="NXA1" s="87" t="n"/>
      <c r="NXB1" s="87" t="n"/>
      <c r="NXC1" s="87" t="n"/>
      <c r="NXD1" s="87" t="n"/>
      <c r="NXE1" s="87" t="n"/>
      <c r="NXF1" s="87" t="n"/>
      <c r="NXG1" s="87" t="n"/>
      <c r="NXH1" s="87" t="n"/>
      <c r="NXI1" s="87" t="n"/>
      <c r="NXJ1" s="87" t="n"/>
      <c r="NXK1" s="87" t="n"/>
      <c r="NXL1" s="87" t="n"/>
      <c r="NXM1" s="87" t="n"/>
      <c r="NXN1" s="87" t="n"/>
      <c r="NXO1" s="87" t="n"/>
      <c r="NXP1" s="87" t="n"/>
      <c r="NXQ1" s="87" t="n"/>
      <c r="NXR1" s="87" t="n"/>
      <c r="NXS1" s="87" t="n"/>
      <c r="NXT1" s="87" t="n"/>
      <c r="NXU1" s="87" t="n"/>
      <c r="NXV1" s="87" t="n"/>
      <c r="NXW1" s="87" t="n"/>
      <c r="NXX1" s="87" t="n"/>
      <c r="NXY1" s="87" t="n"/>
      <c r="NXZ1" s="87" t="n"/>
      <c r="NYA1" s="87" t="n"/>
      <c r="NYB1" s="87" t="n"/>
      <c r="NYC1" s="87" t="n"/>
      <c r="NYD1" s="87" t="n"/>
      <c r="NYE1" s="87" t="n"/>
      <c r="NYF1" s="87" t="n"/>
      <c r="NYG1" s="87" t="n"/>
      <c r="NYH1" s="87" t="n"/>
      <c r="NYI1" s="87" t="n"/>
      <c r="NYJ1" s="87" t="n"/>
      <c r="NYK1" s="87" t="n"/>
      <c r="NYL1" s="87" t="n"/>
      <c r="NYM1" s="87" t="n"/>
      <c r="NYN1" s="87" t="n"/>
      <c r="NYO1" s="87" t="n"/>
      <c r="NYP1" s="87" t="n"/>
      <c r="NYQ1" s="87" t="n"/>
      <c r="NYR1" s="87" t="n"/>
      <c r="NYS1" s="87" t="n"/>
      <c r="NYT1" s="87" t="n"/>
      <c r="NYU1" s="87" t="n"/>
      <c r="NYV1" s="87" t="n"/>
      <c r="NYW1" s="87" t="n"/>
      <c r="NYX1" s="87" t="n"/>
      <c r="NYY1" s="87" t="n"/>
      <c r="NYZ1" s="87" t="n"/>
      <c r="NZA1" s="87" t="n"/>
      <c r="NZB1" s="87" t="n"/>
      <c r="NZC1" s="87" t="n"/>
      <c r="NZD1" s="87" t="n"/>
      <c r="NZE1" s="87" t="n"/>
      <c r="NZF1" s="87" t="n"/>
      <c r="NZG1" s="87" t="n"/>
      <c r="NZH1" s="87" t="n"/>
      <c r="NZI1" s="87" t="n"/>
      <c r="NZJ1" s="87" t="n"/>
      <c r="NZK1" s="87" t="n"/>
      <c r="NZL1" s="87" t="n"/>
      <c r="NZM1" s="87" t="n"/>
      <c r="NZN1" s="87" t="n"/>
      <c r="NZO1" s="87" t="n"/>
      <c r="NZP1" s="87" t="n"/>
      <c r="NZQ1" s="87" t="n"/>
      <c r="NZR1" s="87" t="n"/>
      <c r="NZS1" s="87" t="n"/>
      <c r="NZT1" s="87" t="n"/>
      <c r="NZU1" s="87" t="n"/>
      <c r="NZV1" s="87" t="n"/>
      <c r="NZW1" s="87" t="n"/>
      <c r="NZX1" s="87" t="n"/>
      <c r="NZY1" s="87" t="n"/>
      <c r="NZZ1" s="87" t="n"/>
      <c r="OAA1" s="87" t="n"/>
      <c r="OAB1" s="87" t="n"/>
      <c r="OAC1" s="87" t="n"/>
      <c r="OAD1" s="87" t="n"/>
      <c r="OAE1" s="87" t="n"/>
      <c r="OAF1" s="87" t="n"/>
      <c r="OAG1" s="87" t="n"/>
      <c r="OAH1" s="87" t="n"/>
      <c r="OAI1" s="87" t="n"/>
      <c r="OAJ1" s="87" t="n"/>
      <c r="OAK1" s="87" t="n"/>
      <c r="OAL1" s="87" t="n"/>
      <c r="OAM1" s="87" t="n"/>
      <c r="OAN1" s="87" t="n"/>
      <c r="OAO1" s="87" t="n"/>
      <c r="OAP1" s="87" t="n"/>
      <c r="OAQ1" s="87" t="n"/>
      <c r="OAR1" s="87" t="n"/>
      <c r="OAS1" s="87" t="n"/>
      <c r="OAT1" s="87" t="n"/>
      <c r="OAU1" s="87" t="n"/>
      <c r="OAV1" s="87" t="n"/>
      <c r="OAW1" s="87" t="n"/>
      <c r="OAX1" s="87" t="n"/>
      <c r="OAY1" s="87" t="n"/>
      <c r="OAZ1" s="87" t="n"/>
      <c r="OBA1" s="87" t="n"/>
      <c r="OBB1" s="87" t="n"/>
      <c r="OBC1" s="87" t="n"/>
      <c r="OBD1" s="87" t="n"/>
      <c r="OBE1" s="87" t="n"/>
      <c r="OBF1" s="87" t="n"/>
      <c r="OBG1" s="87" t="n"/>
      <c r="OBH1" s="87" t="n"/>
      <c r="OBI1" s="87" t="n"/>
      <c r="OBJ1" s="87" t="n"/>
      <c r="OBK1" s="87" t="n"/>
      <c r="OBL1" s="87" t="n"/>
      <c r="OBM1" s="87" t="n"/>
      <c r="OBN1" s="87" t="n"/>
      <c r="OBO1" s="87" t="n"/>
      <c r="OBP1" s="87" t="n"/>
      <c r="OBQ1" s="87" t="n"/>
      <c r="OBR1" s="87" t="n"/>
      <c r="OBS1" s="87" t="n"/>
      <c r="OBT1" s="87" t="n"/>
      <c r="OBU1" s="87" t="n"/>
      <c r="OBV1" s="87" t="n"/>
      <c r="OBW1" s="87" t="n"/>
      <c r="OBX1" s="87" t="n"/>
      <c r="OBY1" s="87" t="n"/>
      <c r="OBZ1" s="87" t="n"/>
      <c r="OCA1" s="87" t="n"/>
      <c r="OCB1" s="87" t="n"/>
      <c r="OCC1" s="87" t="n"/>
      <c r="OCD1" s="87" t="n"/>
      <c r="OCE1" s="87" t="n"/>
      <c r="OCF1" s="87" t="n"/>
      <c r="OCG1" s="87" t="n"/>
      <c r="OCH1" s="87" t="n"/>
      <c r="OCI1" s="87" t="n"/>
      <c r="OCJ1" s="87" t="n"/>
      <c r="OCK1" s="87" t="n"/>
      <c r="OCL1" s="87" t="n"/>
      <c r="OCM1" s="87" t="n"/>
      <c r="OCN1" s="87" t="n"/>
      <c r="OCO1" s="87" t="n"/>
      <c r="OCP1" s="87" t="n"/>
      <c r="OCQ1" s="87" t="n"/>
      <c r="OCR1" s="87" t="n"/>
      <c r="OCS1" s="87" t="n"/>
      <c r="OCT1" s="87" t="n"/>
      <c r="OCU1" s="87" t="n"/>
      <c r="OCV1" s="87" t="n"/>
      <c r="OCW1" s="87" t="n"/>
      <c r="OCX1" s="87" t="n"/>
      <c r="OCY1" s="87" t="n"/>
      <c r="OCZ1" s="87" t="n"/>
      <c r="ODA1" s="87" t="n"/>
      <c r="ODB1" s="87" t="n"/>
      <c r="ODC1" s="87" t="n"/>
      <c r="ODD1" s="87" t="n"/>
      <c r="ODE1" s="87" t="n"/>
      <c r="ODF1" s="87" t="n"/>
      <c r="ODG1" s="87" t="n"/>
      <c r="ODH1" s="87" t="n"/>
      <c r="ODI1" s="87" t="n"/>
      <c r="ODJ1" s="87" t="n"/>
      <c r="ODK1" s="87" t="n"/>
      <c r="ODL1" s="87" t="n"/>
      <c r="ODM1" s="87" t="n"/>
      <c r="ODN1" s="87" t="n"/>
      <c r="ODO1" s="87" t="n"/>
      <c r="ODP1" s="87" t="n"/>
      <c r="ODQ1" s="87" t="n"/>
      <c r="ODR1" s="87" t="n"/>
      <c r="ODS1" s="87" t="n"/>
      <c r="ODT1" s="87" t="n"/>
      <c r="ODU1" s="87" t="n"/>
      <c r="ODV1" s="87" t="n"/>
      <c r="ODW1" s="87" t="n"/>
      <c r="ODX1" s="87" t="n"/>
      <c r="ODY1" s="87" t="n"/>
      <c r="ODZ1" s="87" t="n"/>
      <c r="OEA1" s="87" t="n"/>
      <c r="OEB1" s="87" t="n"/>
      <c r="OEC1" s="87" t="n"/>
      <c r="OED1" s="87" t="n"/>
      <c r="OEE1" s="87" t="n"/>
      <c r="OEF1" s="87" t="n"/>
      <c r="OEG1" s="87" t="n"/>
      <c r="OEH1" s="87" t="n"/>
      <c r="OEI1" s="87" t="n"/>
      <c r="OEJ1" s="87" t="n"/>
      <c r="OEK1" s="87" t="n"/>
      <c r="OEL1" s="87" t="n"/>
      <c r="OEM1" s="87" t="n"/>
      <c r="OEN1" s="87" t="n"/>
      <c r="OEO1" s="87" t="n"/>
      <c r="OEP1" s="87" t="n"/>
      <c r="OEQ1" s="87" t="n"/>
      <c r="OER1" s="87" t="n"/>
      <c r="OES1" s="87" t="n"/>
      <c r="OET1" s="87" t="n"/>
      <c r="OEU1" s="87" t="n"/>
      <c r="OEV1" s="87" t="n"/>
      <c r="OEW1" s="87" t="n"/>
      <c r="OEX1" s="87" t="n"/>
      <c r="OEY1" s="87" t="n"/>
      <c r="OEZ1" s="87" t="n"/>
      <c r="OFA1" s="87" t="n"/>
      <c r="OFB1" s="87" t="n"/>
      <c r="OFC1" s="87" t="n"/>
      <c r="OFD1" s="87" t="n"/>
      <c r="OFE1" s="87" t="n"/>
      <c r="OFF1" s="87" t="n"/>
      <c r="OFG1" s="87" t="n"/>
      <c r="OFH1" s="87" t="n"/>
      <c r="OFI1" s="87" t="n"/>
      <c r="OFJ1" s="87" t="n"/>
      <c r="OFK1" s="87" t="n"/>
      <c r="OFL1" s="87" t="n"/>
      <c r="OFM1" s="87" t="n"/>
      <c r="OFN1" s="87" t="n"/>
      <c r="OFO1" s="87" t="n"/>
      <c r="OFP1" s="87" t="n"/>
      <c r="OFQ1" s="87" t="n"/>
      <c r="OFR1" s="87" t="n"/>
      <c r="OFS1" s="87" t="n"/>
      <c r="OFT1" s="87" t="n"/>
      <c r="OFU1" s="87" t="n"/>
      <c r="OFV1" s="87" t="n"/>
      <c r="OFW1" s="87" t="n"/>
      <c r="OFX1" s="87" t="n"/>
      <c r="OFY1" s="87" t="n"/>
      <c r="OFZ1" s="87" t="n"/>
      <c r="OGA1" s="87" t="n"/>
      <c r="OGB1" s="87" t="n"/>
      <c r="OGC1" s="87" t="n"/>
      <c r="OGD1" s="87" t="n"/>
      <c r="OGE1" s="87" t="n"/>
      <c r="OGF1" s="87" t="n"/>
      <c r="OGG1" s="87" t="n"/>
      <c r="OGH1" s="87" t="n"/>
      <c r="OGI1" s="87" t="n"/>
      <c r="OGJ1" s="87" t="n"/>
      <c r="OGK1" s="87" t="n"/>
      <c r="OGL1" s="87" t="n"/>
      <c r="OGM1" s="87" t="n"/>
      <c r="OGN1" s="87" t="n"/>
      <c r="OGO1" s="87" t="n"/>
      <c r="OGP1" s="87" t="n"/>
      <c r="OGQ1" s="87" t="n"/>
      <c r="OGR1" s="87" t="n"/>
      <c r="OGS1" s="87" t="n"/>
      <c r="OGT1" s="87" t="n"/>
      <c r="OGU1" s="87" t="n"/>
      <c r="OGV1" s="87" t="n"/>
      <c r="OGW1" s="87" t="n"/>
      <c r="OGX1" s="87" t="n"/>
      <c r="OGY1" s="87" t="n"/>
      <c r="OGZ1" s="87" t="n"/>
      <c r="OHA1" s="87" t="n"/>
      <c r="OHB1" s="87" t="n"/>
      <c r="OHC1" s="87" t="n"/>
      <c r="OHD1" s="87" t="n"/>
      <c r="OHE1" s="87" t="n"/>
      <c r="OHF1" s="87" t="n"/>
      <c r="OHG1" s="87" t="n"/>
      <c r="OHH1" s="87" t="n"/>
      <c r="OHI1" s="87" t="n"/>
      <c r="OHJ1" s="87" t="n"/>
      <c r="OHK1" s="87" t="n"/>
      <c r="OHL1" s="87" t="n"/>
      <c r="OHM1" s="87" t="n"/>
      <c r="OHN1" s="87" t="n"/>
      <c r="OHO1" s="87" t="n"/>
      <c r="OHP1" s="87" t="n"/>
      <c r="OHQ1" s="87" t="n"/>
      <c r="OHR1" s="87" t="n"/>
      <c r="OHS1" s="87" t="n"/>
      <c r="OHT1" s="87" t="n"/>
      <c r="OHU1" s="87" t="n"/>
      <c r="OHV1" s="87" t="n"/>
      <c r="OHW1" s="87" t="n"/>
      <c r="OHX1" s="87" t="n"/>
      <c r="OHY1" s="87" t="n"/>
      <c r="OHZ1" s="87" t="n"/>
      <c r="OIA1" s="87" t="n"/>
      <c r="OIB1" s="87" t="n"/>
      <c r="OIC1" s="87" t="n"/>
      <c r="OID1" s="87" t="n"/>
      <c r="OIE1" s="87" t="n"/>
      <c r="OIF1" s="87" t="n"/>
      <c r="OIG1" s="87" t="n"/>
      <c r="OIH1" s="87" t="n"/>
      <c r="OII1" s="87" t="n"/>
      <c r="OIJ1" s="87" t="n"/>
      <c r="OIK1" s="87" t="n"/>
      <c r="OIL1" s="87" t="n"/>
      <c r="OIM1" s="87" t="n"/>
      <c r="OIN1" s="87" t="n"/>
      <c r="OIO1" s="87" t="n"/>
      <c r="OIP1" s="87" t="n"/>
      <c r="OIQ1" s="87" t="n"/>
      <c r="OIR1" s="87" t="n"/>
      <c r="OIS1" s="87" t="n"/>
      <c r="OIT1" s="87" t="n"/>
      <c r="OIU1" s="87" t="n"/>
      <c r="OIV1" s="87" t="n"/>
      <c r="OIW1" s="87" t="n"/>
      <c r="OIX1" s="87" t="n"/>
      <c r="OIY1" s="87" t="n"/>
      <c r="OIZ1" s="87" t="n"/>
      <c r="OJA1" s="87" t="n"/>
      <c r="OJB1" s="87" t="n"/>
      <c r="OJC1" s="87" t="n"/>
      <c r="OJD1" s="87" t="n"/>
      <c r="OJE1" s="87" t="n"/>
      <c r="OJF1" s="87" t="n"/>
      <c r="OJG1" s="87" t="n"/>
      <c r="OJH1" s="87" t="n"/>
      <c r="OJI1" s="87" t="n"/>
      <c r="OJJ1" s="87" t="n"/>
      <c r="OJK1" s="87" t="n"/>
      <c r="OJL1" s="87" t="n"/>
      <c r="OJM1" s="87" t="n"/>
      <c r="OJN1" s="87" t="n"/>
      <c r="OJO1" s="87" t="n"/>
      <c r="OJP1" s="87" t="n"/>
      <c r="OJQ1" s="87" t="n"/>
      <c r="OJR1" s="87" t="n"/>
      <c r="OJS1" s="87" t="n"/>
      <c r="OJT1" s="87" t="n"/>
      <c r="OJU1" s="87" t="n"/>
      <c r="OJV1" s="87" t="n"/>
      <c r="OJW1" s="87" t="n"/>
      <c r="OJX1" s="87" t="n"/>
      <c r="OJY1" s="87" t="n"/>
      <c r="OJZ1" s="87" t="n"/>
      <c r="OKA1" s="87" t="n"/>
      <c r="OKB1" s="87" t="n"/>
      <c r="OKC1" s="87" t="n"/>
      <c r="OKD1" s="87" t="n"/>
      <c r="OKE1" s="87" t="n"/>
      <c r="OKF1" s="87" t="n"/>
      <c r="OKG1" s="87" t="n"/>
      <c r="OKH1" s="87" t="n"/>
      <c r="OKI1" s="87" t="n"/>
      <c r="OKJ1" s="87" t="n"/>
      <c r="OKK1" s="87" t="n"/>
      <c r="OKL1" s="87" t="n"/>
      <c r="OKM1" s="87" t="n"/>
      <c r="OKN1" s="87" t="n"/>
      <c r="OKO1" s="87" t="n"/>
      <c r="OKP1" s="87" t="n"/>
      <c r="OKQ1" s="87" t="n"/>
      <c r="OKR1" s="87" t="n"/>
      <c r="OKS1" s="87" t="n"/>
      <c r="OKT1" s="87" t="n"/>
      <c r="OKU1" s="87" t="n"/>
      <c r="OKV1" s="87" t="n"/>
      <c r="OKW1" s="87" t="n"/>
      <c r="OKX1" s="87" t="n"/>
      <c r="OKY1" s="87" t="n"/>
      <c r="OKZ1" s="87" t="n"/>
      <c r="OLA1" s="87" t="n"/>
      <c r="OLB1" s="87" t="n"/>
      <c r="OLC1" s="87" t="n"/>
      <c r="OLD1" s="87" t="n"/>
      <c r="OLE1" s="87" t="n"/>
      <c r="OLF1" s="87" t="n"/>
      <c r="OLG1" s="87" t="n"/>
      <c r="OLH1" s="87" t="n"/>
      <c r="OLI1" s="87" t="n"/>
      <c r="OLJ1" s="87" t="n"/>
      <c r="OLK1" s="87" t="n"/>
      <c r="OLL1" s="87" t="n"/>
      <c r="OLM1" s="87" t="n"/>
      <c r="OLN1" s="87" t="n"/>
      <c r="OLO1" s="87" t="n"/>
      <c r="OLP1" s="87" t="n"/>
      <c r="OLQ1" s="87" t="n"/>
      <c r="OLR1" s="87" t="n"/>
      <c r="OLS1" s="87" t="n"/>
      <c r="OLT1" s="87" t="n"/>
      <c r="OLU1" s="87" t="n"/>
      <c r="OLV1" s="87" t="n"/>
      <c r="OLW1" s="87" t="n"/>
      <c r="OLX1" s="87" t="n"/>
      <c r="OLY1" s="87" t="n"/>
      <c r="OLZ1" s="87" t="n"/>
      <c r="OMA1" s="87" t="n"/>
      <c r="OMB1" s="87" t="n"/>
      <c r="OMC1" s="87" t="n"/>
      <c r="OMD1" s="87" t="n"/>
      <c r="OME1" s="87" t="n"/>
      <c r="OMF1" s="87" t="n"/>
      <c r="OMG1" s="87" t="n"/>
      <c r="OMH1" s="87" t="n"/>
      <c r="OMI1" s="87" t="n"/>
      <c r="OMJ1" s="87" t="n"/>
      <c r="OMK1" s="87" t="n"/>
      <c r="OML1" s="87" t="n"/>
      <c r="OMM1" s="87" t="n"/>
      <c r="OMN1" s="87" t="n"/>
      <c r="OMO1" s="87" t="n"/>
      <c r="OMP1" s="87" t="n"/>
      <c r="OMQ1" s="87" t="n"/>
      <c r="OMR1" s="87" t="n"/>
      <c r="OMS1" s="87" t="n"/>
      <c r="OMT1" s="87" t="n"/>
      <c r="OMU1" s="87" t="n"/>
      <c r="OMV1" s="87" t="n"/>
      <c r="OMW1" s="87" t="n"/>
      <c r="OMX1" s="87" t="n"/>
      <c r="OMY1" s="87" t="n"/>
      <c r="OMZ1" s="87" t="n"/>
      <c r="ONA1" s="87" t="n"/>
      <c r="ONB1" s="87" t="n"/>
      <c r="ONC1" s="87" t="n"/>
      <c r="OND1" s="87" t="n"/>
      <c r="ONE1" s="87" t="n"/>
      <c r="ONF1" s="87" t="n"/>
      <c r="ONG1" s="87" t="n"/>
      <c r="ONH1" s="87" t="n"/>
      <c r="ONI1" s="87" t="n"/>
      <c r="ONJ1" s="87" t="n"/>
      <c r="ONK1" s="87" t="n"/>
      <c r="ONL1" s="87" t="n"/>
      <c r="ONM1" s="87" t="n"/>
      <c r="ONN1" s="87" t="n"/>
      <c r="ONO1" s="87" t="n"/>
      <c r="ONP1" s="87" t="n"/>
      <c r="ONQ1" s="87" t="n"/>
      <c r="ONR1" s="87" t="n"/>
      <c r="ONS1" s="87" t="n"/>
      <c r="ONT1" s="87" t="n"/>
      <c r="ONU1" s="87" t="n"/>
      <c r="ONV1" s="87" t="n"/>
      <c r="ONW1" s="87" t="n"/>
      <c r="ONX1" s="87" t="n"/>
      <c r="ONY1" s="87" t="n"/>
      <c r="ONZ1" s="87" t="n"/>
      <c r="OOA1" s="87" t="n"/>
      <c r="OOB1" s="87" t="n"/>
      <c r="OOC1" s="87" t="n"/>
      <c r="OOD1" s="87" t="n"/>
      <c r="OOE1" s="87" t="n"/>
      <c r="OOF1" s="87" t="n"/>
      <c r="OOG1" s="87" t="n"/>
      <c r="OOH1" s="87" t="n"/>
      <c r="OOI1" s="87" t="n"/>
      <c r="OOJ1" s="87" t="n"/>
      <c r="OOK1" s="87" t="n"/>
      <c r="OOL1" s="87" t="n"/>
      <c r="OOM1" s="87" t="n"/>
      <c r="OON1" s="87" t="n"/>
      <c r="OOO1" s="87" t="n"/>
      <c r="OOP1" s="87" t="n"/>
      <c r="OOQ1" s="87" t="n"/>
      <c r="OOR1" s="87" t="n"/>
      <c r="OOS1" s="87" t="n"/>
      <c r="OOT1" s="87" t="n"/>
      <c r="OOU1" s="87" t="n"/>
      <c r="OOV1" s="87" t="n"/>
      <c r="OOW1" s="87" t="n"/>
      <c r="OOX1" s="87" t="n"/>
      <c r="OOY1" s="87" t="n"/>
      <c r="OOZ1" s="87" t="n"/>
      <c r="OPA1" s="87" t="n"/>
      <c r="OPB1" s="87" t="n"/>
      <c r="OPC1" s="87" t="n"/>
      <c r="OPD1" s="87" t="n"/>
      <c r="OPE1" s="87" t="n"/>
      <c r="OPF1" s="87" t="n"/>
      <c r="OPG1" s="87" t="n"/>
      <c r="OPH1" s="87" t="n"/>
      <c r="OPI1" s="87" t="n"/>
      <c r="OPJ1" s="87" t="n"/>
      <c r="OPK1" s="87" t="n"/>
      <c r="OPL1" s="87" t="n"/>
      <c r="OPM1" s="87" t="n"/>
      <c r="OPN1" s="87" t="n"/>
      <c r="OPO1" s="87" t="n"/>
      <c r="OPP1" s="87" t="n"/>
      <c r="OPQ1" s="87" t="n"/>
      <c r="OPR1" s="87" t="n"/>
      <c r="OPS1" s="87" t="n"/>
      <c r="OPT1" s="87" t="n"/>
      <c r="OPU1" s="87" t="n"/>
      <c r="OPV1" s="87" t="n"/>
      <c r="OPW1" s="87" t="n"/>
      <c r="OPX1" s="87" t="n"/>
      <c r="OPY1" s="87" t="n"/>
      <c r="OPZ1" s="87" t="n"/>
      <c r="OQA1" s="87" t="n"/>
      <c r="OQB1" s="87" t="n"/>
      <c r="OQC1" s="87" t="n"/>
      <c r="OQD1" s="87" t="n"/>
      <c r="OQE1" s="87" t="n"/>
      <c r="OQF1" s="87" t="n"/>
      <c r="OQG1" s="87" t="n"/>
      <c r="OQH1" s="87" t="n"/>
      <c r="OQI1" s="87" t="n"/>
      <c r="OQJ1" s="87" t="n"/>
      <c r="OQK1" s="87" t="n"/>
      <c r="OQL1" s="87" t="n"/>
      <c r="OQM1" s="87" t="n"/>
      <c r="OQN1" s="87" t="n"/>
      <c r="OQO1" s="87" t="n"/>
      <c r="OQP1" s="87" t="n"/>
      <c r="OQQ1" s="87" t="n"/>
      <c r="OQR1" s="87" t="n"/>
      <c r="OQS1" s="87" t="n"/>
      <c r="OQT1" s="87" t="n"/>
      <c r="OQU1" s="87" t="n"/>
      <c r="OQV1" s="87" t="n"/>
      <c r="OQW1" s="87" t="n"/>
      <c r="OQX1" s="87" t="n"/>
      <c r="OQY1" s="87" t="n"/>
      <c r="OQZ1" s="87" t="n"/>
      <c r="ORA1" s="87" t="n"/>
      <c r="ORB1" s="87" t="n"/>
      <c r="ORC1" s="87" t="n"/>
      <c r="ORD1" s="87" t="n"/>
      <c r="ORE1" s="87" t="n"/>
      <c r="ORF1" s="87" t="n"/>
      <c r="ORG1" s="87" t="n"/>
      <c r="ORH1" s="87" t="n"/>
      <c r="ORI1" s="87" t="n"/>
      <c r="ORJ1" s="87" t="n"/>
      <c r="ORK1" s="87" t="n"/>
      <c r="ORL1" s="87" t="n"/>
      <c r="ORM1" s="87" t="n"/>
      <c r="ORN1" s="87" t="n"/>
      <c r="ORO1" s="87" t="n"/>
      <c r="ORP1" s="87" t="n"/>
      <c r="ORQ1" s="87" t="n"/>
      <c r="ORR1" s="87" t="n"/>
      <c r="ORS1" s="87" t="n"/>
      <c r="ORT1" s="87" t="n"/>
      <c r="ORU1" s="87" t="n"/>
      <c r="ORV1" s="87" t="n"/>
      <c r="ORW1" s="87" t="n"/>
      <c r="ORX1" s="87" t="n"/>
      <c r="ORY1" s="87" t="n"/>
      <c r="ORZ1" s="87" t="n"/>
      <c r="OSA1" s="87" t="n"/>
      <c r="OSB1" s="87" t="n"/>
      <c r="OSC1" s="87" t="n"/>
      <c r="OSD1" s="87" t="n"/>
      <c r="OSE1" s="87" t="n"/>
      <c r="OSF1" s="87" t="n"/>
      <c r="OSG1" s="87" t="n"/>
      <c r="OSH1" s="87" t="n"/>
      <c r="OSI1" s="87" t="n"/>
      <c r="OSJ1" s="87" t="n"/>
      <c r="OSK1" s="87" t="n"/>
      <c r="OSL1" s="87" t="n"/>
      <c r="OSM1" s="87" t="n"/>
      <c r="OSN1" s="87" t="n"/>
      <c r="OSO1" s="87" t="n"/>
      <c r="OSP1" s="87" t="n"/>
      <c r="OSQ1" s="87" t="n"/>
      <c r="OSR1" s="87" t="n"/>
      <c r="OSS1" s="87" t="n"/>
      <c r="OST1" s="87" t="n"/>
      <c r="OSU1" s="87" t="n"/>
      <c r="OSV1" s="87" t="n"/>
      <c r="OSW1" s="87" t="n"/>
      <c r="OSX1" s="87" t="n"/>
      <c r="OSY1" s="87" t="n"/>
      <c r="OSZ1" s="87" t="n"/>
      <c r="OTA1" s="87" t="n"/>
      <c r="OTB1" s="87" t="n"/>
      <c r="OTC1" s="87" t="n"/>
      <c r="OTD1" s="87" t="n"/>
      <c r="OTE1" s="87" t="n"/>
      <c r="OTF1" s="87" t="n"/>
      <c r="OTG1" s="87" t="n"/>
      <c r="OTH1" s="87" t="n"/>
      <c r="OTI1" s="87" t="n"/>
      <c r="OTJ1" s="87" t="n"/>
      <c r="OTK1" s="87" t="n"/>
      <c r="OTL1" s="87" t="n"/>
      <c r="OTM1" s="87" t="n"/>
      <c r="OTN1" s="87" t="n"/>
      <c r="OTO1" s="87" t="n"/>
      <c r="OTP1" s="87" t="n"/>
      <c r="OTQ1" s="87" t="n"/>
      <c r="OTR1" s="87" t="n"/>
      <c r="OTS1" s="87" t="n"/>
      <c r="OTT1" s="87" t="n"/>
      <c r="OTU1" s="87" t="n"/>
      <c r="OTV1" s="87" t="n"/>
      <c r="OTW1" s="87" t="n"/>
      <c r="OTX1" s="87" t="n"/>
      <c r="OTY1" s="87" t="n"/>
      <c r="OTZ1" s="87" t="n"/>
      <c r="OUA1" s="87" t="n"/>
      <c r="OUB1" s="87" t="n"/>
      <c r="OUC1" s="87" t="n"/>
      <c r="OUD1" s="87" t="n"/>
      <c r="OUE1" s="87" t="n"/>
      <c r="OUF1" s="87" t="n"/>
      <c r="OUG1" s="87" t="n"/>
      <c r="OUH1" s="87" t="n"/>
      <c r="OUI1" s="87" t="n"/>
      <c r="OUJ1" s="87" t="n"/>
      <c r="OUK1" s="87" t="n"/>
      <c r="OUL1" s="87" t="n"/>
      <c r="OUM1" s="87" t="n"/>
      <c r="OUN1" s="87" t="n"/>
      <c r="OUO1" s="87" t="n"/>
      <c r="OUP1" s="87" t="n"/>
      <c r="OUQ1" s="87" t="n"/>
      <c r="OUR1" s="87" t="n"/>
      <c r="OUS1" s="87" t="n"/>
      <c r="OUT1" s="87" t="n"/>
      <c r="OUU1" s="87" t="n"/>
      <c r="OUV1" s="87" t="n"/>
      <c r="OUW1" s="87" t="n"/>
      <c r="OUX1" s="87" t="n"/>
      <c r="OUY1" s="87" t="n"/>
      <c r="OUZ1" s="87" t="n"/>
      <c r="OVA1" s="87" t="n"/>
      <c r="OVB1" s="87" t="n"/>
      <c r="OVC1" s="87" t="n"/>
      <c r="OVD1" s="87" t="n"/>
      <c r="OVE1" s="87" t="n"/>
      <c r="OVF1" s="87" t="n"/>
      <c r="OVG1" s="87" t="n"/>
      <c r="OVH1" s="87" t="n"/>
      <c r="OVI1" s="87" t="n"/>
      <c r="OVJ1" s="87" t="n"/>
      <c r="OVK1" s="87" t="n"/>
      <c r="OVL1" s="87" t="n"/>
      <c r="OVM1" s="87" t="n"/>
      <c r="OVN1" s="87" t="n"/>
      <c r="OVO1" s="87" t="n"/>
      <c r="OVP1" s="87" t="n"/>
      <c r="OVQ1" s="87" t="n"/>
      <c r="OVR1" s="87" t="n"/>
      <c r="OVS1" s="87" t="n"/>
      <c r="OVT1" s="87" t="n"/>
      <c r="OVU1" s="87" t="n"/>
      <c r="OVV1" s="87" t="n"/>
      <c r="OVW1" s="87" t="n"/>
      <c r="OVX1" s="87" t="n"/>
      <c r="OVY1" s="87" t="n"/>
      <c r="OVZ1" s="87" t="n"/>
      <c r="OWA1" s="87" t="n"/>
      <c r="OWB1" s="87" t="n"/>
      <c r="OWC1" s="87" t="n"/>
      <c r="OWD1" s="87" t="n"/>
      <c r="OWE1" s="87" t="n"/>
      <c r="OWF1" s="87" t="n"/>
      <c r="OWG1" s="87" t="n"/>
      <c r="OWH1" s="87" t="n"/>
      <c r="OWI1" s="87" t="n"/>
      <c r="OWJ1" s="87" t="n"/>
      <c r="OWK1" s="87" t="n"/>
      <c r="OWL1" s="87" t="n"/>
      <c r="OWM1" s="87" t="n"/>
      <c r="OWN1" s="87" t="n"/>
      <c r="OWO1" s="87" t="n"/>
      <c r="OWP1" s="87" t="n"/>
      <c r="OWQ1" s="87" t="n"/>
      <c r="OWR1" s="87" t="n"/>
      <c r="OWS1" s="87" t="n"/>
      <c r="OWT1" s="87" t="n"/>
      <c r="OWU1" s="87" t="n"/>
      <c r="OWV1" s="87" t="n"/>
      <c r="OWW1" s="87" t="n"/>
      <c r="OWX1" s="87" t="n"/>
      <c r="OWY1" s="87" t="n"/>
      <c r="OWZ1" s="87" t="n"/>
      <c r="OXA1" s="87" t="n"/>
      <c r="OXB1" s="87" t="n"/>
      <c r="OXC1" s="87" t="n"/>
      <c r="OXD1" s="87" t="n"/>
      <c r="OXE1" s="87" t="n"/>
      <c r="OXF1" s="87" t="n"/>
      <c r="OXG1" s="87" t="n"/>
      <c r="OXH1" s="87" t="n"/>
      <c r="OXI1" s="87" t="n"/>
      <c r="OXJ1" s="87" t="n"/>
      <c r="OXK1" s="87" t="n"/>
      <c r="OXL1" s="87" t="n"/>
      <c r="OXM1" s="87" t="n"/>
      <c r="OXN1" s="87" t="n"/>
      <c r="OXO1" s="87" t="n"/>
      <c r="OXP1" s="87" t="n"/>
      <c r="OXQ1" s="87" t="n"/>
      <c r="OXR1" s="87" t="n"/>
      <c r="OXS1" s="87" t="n"/>
      <c r="OXT1" s="87" t="n"/>
      <c r="OXU1" s="87" t="n"/>
      <c r="OXV1" s="87" t="n"/>
      <c r="OXW1" s="87" t="n"/>
      <c r="OXX1" s="87" t="n"/>
      <c r="OXY1" s="87" t="n"/>
      <c r="OXZ1" s="87" t="n"/>
      <c r="OYA1" s="87" t="n"/>
      <c r="OYB1" s="87" t="n"/>
      <c r="OYC1" s="87" t="n"/>
      <c r="OYD1" s="87" t="n"/>
      <c r="OYE1" s="87" t="n"/>
      <c r="OYF1" s="87" t="n"/>
      <c r="OYG1" s="87" t="n"/>
      <c r="OYH1" s="87" t="n"/>
      <c r="OYI1" s="87" t="n"/>
      <c r="OYJ1" s="87" t="n"/>
      <c r="OYK1" s="87" t="n"/>
      <c r="OYL1" s="87" t="n"/>
      <c r="OYM1" s="87" t="n"/>
      <c r="OYN1" s="87" t="n"/>
      <c r="OYO1" s="87" t="n"/>
      <c r="OYP1" s="87" t="n"/>
      <c r="OYQ1" s="87" t="n"/>
      <c r="OYR1" s="87" t="n"/>
      <c r="OYS1" s="87" t="n"/>
      <c r="OYT1" s="87" t="n"/>
      <c r="OYU1" s="87" t="n"/>
      <c r="OYV1" s="87" t="n"/>
      <c r="OYW1" s="87" t="n"/>
      <c r="OYX1" s="87" t="n"/>
      <c r="OYY1" s="87" t="n"/>
      <c r="OYZ1" s="87" t="n"/>
      <c r="OZA1" s="87" t="n"/>
      <c r="OZB1" s="87" t="n"/>
      <c r="OZC1" s="87" t="n"/>
      <c r="OZD1" s="87" t="n"/>
      <c r="OZE1" s="87" t="n"/>
      <c r="OZF1" s="87" t="n"/>
      <c r="OZG1" s="87" t="n"/>
      <c r="OZH1" s="87" t="n"/>
      <c r="OZI1" s="87" t="n"/>
      <c r="OZJ1" s="87" t="n"/>
      <c r="OZK1" s="87" t="n"/>
      <c r="OZL1" s="87" t="n"/>
      <c r="OZM1" s="87" t="n"/>
      <c r="OZN1" s="87" t="n"/>
      <c r="OZO1" s="87" t="n"/>
      <c r="OZP1" s="87" t="n"/>
      <c r="OZQ1" s="87" t="n"/>
      <c r="OZR1" s="87" t="n"/>
      <c r="OZS1" s="87" t="n"/>
      <c r="OZT1" s="87" t="n"/>
      <c r="OZU1" s="87" t="n"/>
      <c r="OZV1" s="87" t="n"/>
      <c r="OZW1" s="87" t="n"/>
      <c r="OZX1" s="87" t="n"/>
      <c r="OZY1" s="87" t="n"/>
      <c r="OZZ1" s="87" t="n"/>
      <c r="PAA1" s="87" t="n"/>
      <c r="PAB1" s="87" t="n"/>
      <c r="PAC1" s="87" t="n"/>
      <c r="PAD1" s="87" t="n"/>
      <c r="PAE1" s="87" t="n"/>
      <c r="PAF1" s="87" t="n"/>
      <c r="PAG1" s="87" t="n"/>
      <c r="PAH1" s="87" t="n"/>
      <c r="PAI1" s="87" t="n"/>
      <c r="PAJ1" s="87" t="n"/>
      <c r="PAK1" s="87" t="n"/>
      <c r="PAL1" s="87" t="n"/>
      <c r="PAM1" s="87" t="n"/>
      <c r="PAN1" s="87" t="n"/>
      <c r="PAO1" s="87" t="n"/>
      <c r="PAP1" s="87" t="n"/>
      <c r="PAQ1" s="87" t="n"/>
      <c r="PAR1" s="87" t="n"/>
      <c r="PAS1" s="87" t="n"/>
      <c r="PAT1" s="87" t="n"/>
      <c r="PAU1" s="87" t="n"/>
      <c r="PAV1" s="87" t="n"/>
      <c r="PAW1" s="87" t="n"/>
      <c r="PAX1" s="87" t="n"/>
      <c r="PAY1" s="87" t="n"/>
      <c r="PAZ1" s="87" t="n"/>
      <c r="PBA1" s="87" t="n"/>
      <c r="PBB1" s="87" t="n"/>
      <c r="PBC1" s="87" t="n"/>
      <c r="PBD1" s="87" t="n"/>
      <c r="PBE1" s="87" t="n"/>
      <c r="PBF1" s="87" t="n"/>
      <c r="PBG1" s="87" t="n"/>
      <c r="PBH1" s="87" t="n"/>
      <c r="PBI1" s="87" t="n"/>
      <c r="PBJ1" s="87" t="n"/>
      <c r="PBK1" s="87" t="n"/>
      <c r="PBL1" s="87" t="n"/>
      <c r="PBM1" s="87" t="n"/>
      <c r="PBN1" s="87" t="n"/>
      <c r="PBO1" s="87" t="n"/>
      <c r="PBP1" s="87" t="n"/>
      <c r="PBQ1" s="87" t="n"/>
      <c r="PBR1" s="87" t="n"/>
      <c r="PBS1" s="87" t="n"/>
      <c r="PBT1" s="87" t="n"/>
      <c r="PBU1" s="87" t="n"/>
      <c r="PBV1" s="87" t="n"/>
      <c r="PBW1" s="87" t="n"/>
      <c r="PBX1" s="87" t="n"/>
      <c r="PBY1" s="87" t="n"/>
      <c r="PBZ1" s="87" t="n"/>
      <c r="PCA1" s="87" t="n"/>
      <c r="PCB1" s="87" t="n"/>
      <c r="PCC1" s="87" t="n"/>
      <c r="PCD1" s="87" t="n"/>
      <c r="PCE1" s="87" t="n"/>
      <c r="PCF1" s="87" t="n"/>
      <c r="PCG1" s="87" t="n"/>
      <c r="PCH1" s="87" t="n"/>
      <c r="PCI1" s="87" t="n"/>
      <c r="PCJ1" s="87" t="n"/>
      <c r="PCK1" s="87" t="n"/>
      <c r="PCL1" s="87" t="n"/>
      <c r="PCM1" s="87" t="n"/>
      <c r="PCN1" s="87" t="n"/>
      <c r="PCO1" s="87" t="n"/>
      <c r="PCP1" s="87" t="n"/>
      <c r="PCQ1" s="87" t="n"/>
      <c r="PCR1" s="87" t="n"/>
      <c r="PCS1" s="87" t="n"/>
      <c r="PCT1" s="87" t="n"/>
      <c r="PCU1" s="87" t="n"/>
      <c r="PCV1" s="87" t="n"/>
      <c r="PCW1" s="87" t="n"/>
      <c r="PCX1" s="87" t="n"/>
      <c r="PCY1" s="87" t="n"/>
      <c r="PCZ1" s="87" t="n"/>
      <c r="PDA1" s="87" t="n"/>
      <c r="PDB1" s="87" t="n"/>
      <c r="PDC1" s="87" t="n"/>
      <c r="PDD1" s="87" t="n"/>
      <c r="PDE1" s="87" t="n"/>
      <c r="PDF1" s="87" t="n"/>
      <c r="PDG1" s="87" t="n"/>
      <c r="PDH1" s="87" t="n"/>
      <c r="PDI1" s="87" t="n"/>
      <c r="PDJ1" s="87" t="n"/>
      <c r="PDK1" s="87" t="n"/>
      <c r="PDL1" s="87" t="n"/>
      <c r="PDM1" s="87" t="n"/>
      <c r="PDN1" s="87" t="n"/>
      <c r="PDO1" s="87" t="n"/>
      <c r="PDP1" s="87" t="n"/>
      <c r="PDQ1" s="87" t="n"/>
      <c r="PDR1" s="87" t="n"/>
      <c r="PDS1" s="87" t="n"/>
      <c r="PDT1" s="87" t="n"/>
      <c r="PDU1" s="87" t="n"/>
      <c r="PDV1" s="87" t="n"/>
      <c r="PDW1" s="87" t="n"/>
      <c r="PDX1" s="87" t="n"/>
      <c r="PDY1" s="87" t="n"/>
      <c r="PDZ1" s="87" t="n"/>
      <c r="PEA1" s="87" t="n"/>
      <c r="PEB1" s="87" t="n"/>
      <c r="PEC1" s="87" t="n"/>
      <c r="PED1" s="87" t="n"/>
      <c r="PEE1" s="87" t="n"/>
      <c r="PEF1" s="87" t="n"/>
      <c r="PEG1" s="87" t="n"/>
      <c r="PEH1" s="87" t="n"/>
      <c r="PEI1" s="87" t="n"/>
      <c r="PEJ1" s="87" t="n"/>
      <c r="PEK1" s="87" t="n"/>
      <c r="PEL1" s="87" t="n"/>
      <c r="PEM1" s="87" t="n"/>
      <c r="PEN1" s="87" t="n"/>
      <c r="PEO1" s="87" t="n"/>
      <c r="PEP1" s="87" t="n"/>
      <c r="PEQ1" s="87" t="n"/>
      <c r="PER1" s="87" t="n"/>
      <c r="PES1" s="87" t="n"/>
      <c r="PET1" s="87" t="n"/>
      <c r="PEU1" s="87" t="n"/>
      <c r="PEV1" s="87" t="n"/>
      <c r="PEW1" s="87" t="n"/>
      <c r="PEX1" s="87" t="n"/>
      <c r="PEY1" s="87" t="n"/>
      <c r="PEZ1" s="87" t="n"/>
      <c r="PFA1" s="87" t="n"/>
      <c r="PFB1" s="87" t="n"/>
      <c r="PFC1" s="87" t="n"/>
      <c r="PFD1" s="87" t="n"/>
      <c r="PFE1" s="87" t="n"/>
      <c r="PFF1" s="87" t="n"/>
      <c r="PFG1" s="87" t="n"/>
      <c r="PFH1" s="87" t="n"/>
      <c r="PFI1" s="87" t="n"/>
      <c r="PFJ1" s="87" t="n"/>
      <c r="PFK1" s="87" t="n"/>
      <c r="PFL1" s="87" t="n"/>
      <c r="PFM1" s="87" t="n"/>
      <c r="PFN1" s="87" t="n"/>
      <c r="PFO1" s="87" t="n"/>
      <c r="PFP1" s="87" t="n"/>
      <c r="PFQ1" s="87" t="n"/>
      <c r="PFR1" s="87" t="n"/>
      <c r="PFS1" s="87" t="n"/>
      <c r="PFT1" s="87" t="n"/>
      <c r="PFU1" s="87" t="n"/>
      <c r="PFV1" s="87" t="n"/>
      <c r="PFW1" s="87" t="n"/>
      <c r="PFX1" s="87" t="n"/>
      <c r="PFY1" s="87" t="n"/>
      <c r="PFZ1" s="87" t="n"/>
      <c r="PGA1" s="87" t="n"/>
      <c r="PGB1" s="87" t="n"/>
      <c r="PGC1" s="87" t="n"/>
      <c r="PGD1" s="87" t="n"/>
      <c r="PGE1" s="87" t="n"/>
      <c r="PGF1" s="87" t="n"/>
      <c r="PGG1" s="87" t="n"/>
      <c r="PGH1" s="87" t="n"/>
      <c r="PGI1" s="87" t="n"/>
      <c r="PGJ1" s="87" t="n"/>
      <c r="PGK1" s="87" t="n"/>
      <c r="PGL1" s="87" t="n"/>
      <c r="PGM1" s="87" t="n"/>
      <c r="PGN1" s="87" t="n"/>
      <c r="PGO1" s="87" t="n"/>
      <c r="PGP1" s="87" t="n"/>
      <c r="PGQ1" s="87" t="n"/>
      <c r="PGR1" s="87" t="n"/>
      <c r="PGS1" s="87" t="n"/>
      <c r="PGT1" s="87" t="n"/>
      <c r="PGU1" s="87" t="n"/>
      <c r="PGV1" s="87" t="n"/>
      <c r="PGW1" s="87" t="n"/>
      <c r="PGX1" s="87" t="n"/>
      <c r="PGY1" s="87" t="n"/>
      <c r="PGZ1" s="87" t="n"/>
      <c r="PHA1" s="87" t="n"/>
      <c r="PHB1" s="87" t="n"/>
      <c r="PHC1" s="87" t="n"/>
      <c r="PHD1" s="87" t="n"/>
      <c r="PHE1" s="87" t="n"/>
      <c r="PHF1" s="87" t="n"/>
      <c r="PHG1" s="87" t="n"/>
      <c r="PHH1" s="87" t="n"/>
      <c r="PHI1" s="87" t="n"/>
      <c r="PHJ1" s="87" t="n"/>
      <c r="PHK1" s="87" t="n"/>
      <c r="PHL1" s="87" t="n"/>
      <c r="PHM1" s="87" t="n"/>
      <c r="PHN1" s="87" t="n"/>
      <c r="PHO1" s="87" t="n"/>
      <c r="PHP1" s="87" t="n"/>
      <c r="PHQ1" s="87" t="n"/>
      <c r="PHR1" s="87" t="n"/>
      <c r="PHS1" s="87" t="n"/>
      <c r="PHT1" s="87" t="n"/>
      <c r="PHU1" s="87" t="n"/>
      <c r="PHV1" s="87" t="n"/>
      <c r="PHW1" s="87" t="n"/>
      <c r="PHX1" s="87" t="n"/>
      <c r="PHY1" s="87" t="n"/>
      <c r="PHZ1" s="87" t="n"/>
      <c r="PIA1" s="87" t="n"/>
      <c r="PIB1" s="87" t="n"/>
      <c r="PIC1" s="87" t="n"/>
      <c r="PID1" s="87" t="n"/>
      <c r="PIE1" s="87" t="n"/>
      <c r="PIF1" s="87" t="n"/>
      <c r="PIG1" s="87" t="n"/>
      <c r="PIH1" s="87" t="n"/>
      <c r="PII1" s="87" t="n"/>
      <c r="PIJ1" s="87" t="n"/>
      <c r="PIK1" s="87" t="n"/>
      <c r="PIL1" s="87" t="n"/>
      <c r="PIM1" s="87" t="n"/>
      <c r="PIN1" s="87" t="n"/>
      <c r="PIO1" s="87" t="n"/>
      <c r="PIP1" s="87" t="n"/>
      <c r="PIQ1" s="87" t="n"/>
      <c r="PIR1" s="87" t="n"/>
      <c r="PIS1" s="87" t="n"/>
      <c r="PIT1" s="87" t="n"/>
      <c r="PIU1" s="87" t="n"/>
      <c r="PIV1" s="87" t="n"/>
      <c r="PIW1" s="87" t="n"/>
      <c r="PIX1" s="87" t="n"/>
      <c r="PIY1" s="87" t="n"/>
      <c r="PIZ1" s="87" t="n"/>
      <c r="PJA1" s="87" t="n"/>
      <c r="PJB1" s="87" t="n"/>
      <c r="PJC1" s="87" t="n"/>
      <c r="PJD1" s="87" t="n"/>
      <c r="PJE1" s="87" t="n"/>
      <c r="PJF1" s="87" t="n"/>
      <c r="PJG1" s="87" t="n"/>
      <c r="PJH1" s="87" t="n"/>
      <c r="PJI1" s="87" t="n"/>
      <c r="PJJ1" s="87" t="n"/>
      <c r="PJK1" s="87" t="n"/>
      <c r="PJL1" s="87" t="n"/>
      <c r="PJM1" s="87" t="n"/>
      <c r="PJN1" s="87" t="n"/>
      <c r="PJO1" s="87" t="n"/>
      <c r="PJP1" s="87" t="n"/>
      <c r="PJQ1" s="87" t="n"/>
      <c r="PJR1" s="87" t="n"/>
      <c r="PJS1" s="87" t="n"/>
      <c r="PJT1" s="87" t="n"/>
      <c r="PJU1" s="87" t="n"/>
      <c r="PJV1" s="87" t="n"/>
      <c r="PJW1" s="87" t="n"/>
      <c r="PJX1" s="87" t="n"/>
      <c r="PJY1" s="87" t="n"/>
      <c r="PJZ1" s="87" t="n"/>
      <c r="PKA1" s="87" t="n"/>
      <c r="PKB1" s="87" t="n"/>
      <c r="PKC1" s="87" t="n"/>
      <c r="PKD1" s="87" t="n"/>
      <c r="PKE1" s="87" t="n"/>
      <c r="PKF1" s="87" t="n"/>
      <c r="PKG1" s="87" t="n"/>
      <c r="PKH1" s="87" t="n"/>
      <c r="PKI1" s="87" t="n"/>
      <c r="PKJ1" s="87" t="n"/>
      <c r="PKK1" s="87" t="n"/>
      <c r="PKL1" s="87" t="n"/>
      <c r="PKM1" s="87" t="n"/>
      <c r="PKN1" s="87" t="n"/>
      <c r="PKO1" s="87" t="n"/>
      <c r="PKP1" s="87" t="n"/>
      <c r="PKQ1" s="87" t="n"/>
      <c r="PKR1" s="87" t="n"/>
      <c r="PKS1" s="87" t="n"/>
      <c r="PKT1" s="87" t="n"/>
      <c r="PKU1" s="87" t="n"/>
      <c r="PKV1" s="87" t="n"/>
      <c r="PKW1" s="87" t="n"/>
      <c r="PKX1" s="87" t="n"/>
      <c r="PKY1" s="87" t="n"/>
      <c r="PKZ1" s="87" t="n"/>
      <c r="PLA1" s="87" t="n"/>
      <c r="PLB1" s="87" t="n"/>
      <c r="PLC1" s="87" t="n"/>
      <c r="PLD1" s="87" t="n"/>
      <c r="PLE1" s="87" t="n"/>
      <c r="PLF1" s="87" t="n"/>
      <c r="PLG1" s="87" t="n"/>
      <c r="PLH1" s="87" t="n"/>
      <c r="PLI1" s="87" t="n"/>
      <c r="PLJ1" s="87" t="n"/>
      <c r="PLK1" s="87" t="n"/>
      <c r="PLL1" s="87" t="n"/>
      <c r="PLM1" s="87" t="n"/>
      <c r="PLN1" s="87" t="n"/>
      <c r="PLO1" s="87" t="n"/>
      <c r="PLP1" s="87" t="n"/>
      <c r="PLQ1" s="87" t="n"/>
      <c r="PLR1" s="87" t="n"/>
      <c r="PLS1" s="87" t="n"/>
      <c r="PLT1" s="87" t="n"/>
      <c r="PLU1" s="87" t="n"/>
      <c r="PLV1" s="87" t="n"/>
      <c r="PLW1" s="87" t="n"/>
      <c r="PLX1" s="87" t="n"/>
      <c r="PLY1" s="87" t="n"/>
      <c r="PLZ1" s="87" t="n"/>
      <c r="PMA1" s="87" t="n"/>
      <c r="PMB1" s="87" t="n"/>
      <c r="PMC1" s="87" t="n"/>
      <c r="PMD1" s="87" t="n"/>
      <c r="PME1" s="87" t="n"/>
      <c r="PMF1" s="87" t="n"/>
      <c r="PMG1" s="87" t="n"/>
      <c r="PMH1" s="87" t="n"/>
      <c r="PMI1" s="87" t="n"/>
      <c r="PMJ1" s="87" t="n"/>
      <c r="PMK1" s="87" t="n"/>
      <c r="PML1" s="87" t="n"/>
      <c r="PMM1" s="87" t="n"/>
      <c r="PMN1" s="87" t="n"/>
      <c r="PMO1" s="87" t="n"/>
      <c r="PMP1" s="87" t="n"/>
      <c r="PMQ1" s="87" t="n"/>
      <c r="PMR1" s="87" t="n"/>
      <c r="PMS1" s="87" t="n"/>
      <c r="PMT1" s="87" t="n"/>
      <c r="PMU1" s="87" t="n"/>
      <c r="PMV1" s="87" t="n"/>
      <c r="PMW1" s="87" t="n"/>
      <c r="PMX1" s="87" t="n"/>
      <c r="PMY1" s="87" t="n"/>
      <c r="PMZ1" s="87" t="n"/>
      <c r="PNA1" s="87" t="n"/>
      <c r="PNB1" s="87" t="n"/>
      <c r="PNC1" s="87" t="n"/>
      <c r="PND1" s="87" t="n"/>
      <c r="PNE1" s="87" t="n"/>
      <c r="PNF1" s="87" t="n"/>
      <c r="PNG1" s="87" t="n"/>
      <c r="PNH1" s="87" t="n"/>
      <c r="PNI1" s="87" t="n"/>
      <c r="PNJ1" s="87" t="n"/>
      <c r="PNK1" s="87" t="n"/>
      <c r="PNL1" s="87" t="n"/>
      <c r="PNM1" s="87" t="n"/>
      <c r="PNN1" s="87" t="n"/>
      <c r="PNO1" s="87" t="n"/>
      <c r="PNP1" s="87" t="n"/>
      <c r="PNQ1" s="87" t="n"/>
      <c r="PNR1" s="87" t="n"/>
      <c r="PNS1" s="87" t="n"/>
      <c r="PNT1" s="87" t="n"/>
      <c r="PNU1" s="87" t="n"/>
      <c r="PNV1" s="87" t="n"/>
      <c r="PNW1" s="87" t="n"/>
      <c r="PNX1" s="87" t="n"/>
      <c r="PNY1" s="87" t="n"/>
      <c r="PNZ1" s="87" t="n"/>
      <c r="POA1" s="87" t="n"/>
      <c r="POB1" s="87" t="n"/>
      <c r="POC1" s="87" t="n"/>
      <c r="POD1" s="87" t="n"/>
      <c r="POE1" s="87" t="n"/>
      <c r="POF1" s="87" t="n"/>
      <c r="POG1" s="87" t="n"/>
      <c r="POH1" s="87" t="n"/>
      <c r="POI1" s="87" t="n"/>
      <c r="POJ1" s="87" t="n"/>
      <c r="POK1" s="87" t="n"/>
      <c r="POL1" s="87" t="n"/>
      <c r="POM1" s="87" t="n"/>
      <c r="PON1" s="87" t="n"/>
      <c r="POO1" s="87" t="n"/>
      <c r="POP1" s="87" t="n"/>
      <c r="POQ1" s="87" t="n"/>
      <c r="POR1" s="87" t="n"/>
      <c r="POS1" s="87" t="n"/>
      <c r="POT1" s="87" t="n"/>
      <c r="POU1" s="87" t="n"/>
      <c r="POV1" s="87" t="n"/>
      <c r="POW1" s="87" t="n"/>
      <c r="POX1" s="87" t="n"/>
      <c r="POY1" s="87" t="n"/>
      <c r="POZ1" s="87" t="n"/>
      <c r="PPA1" s="87" t="n"/>
      <c r="PPB1" s="87" t="n"/>
      <c r="PPC1" s="87" t="n"/>
      <c r="PPD1" s="87" t="n"/>
      <c r="PPE1" s="87" t="n"/>
      <c r="PPF1" s="87" t="n"/>
      <c r="PPG1" s="87" t="n"/>
      <c r="PPH1" s="87" t="n"/>
      <c r="PPI1" s="87" t="n"/>
      <c r="PPJ1" s="87" t="n"/>
      <c r="PPK1" s="87" t="n"/>
      <c r="PPL1" s="87" t="n"/>
      <c r="PPM1" s="87" t="n"/>
      <c r="PPN1" s="87" t="n"/>
      <c r="PPO1" s="87" t="n"/>
      <c r="PPP1" s="87" t="n"/>
      <c r="PPQ1" s="87" t="n"/>
      <c r="PPR1" s="87" t="n"/>
      <c r="PPS1" s="87" t="n"/>
      <c r="PPT1" s="87" t="n"/>
      <c r="PPU1" s="87" t="n"/>
      <c r="PPV1" s="87" t="n"/>
      <c r="PPW1" s="87" t="n"/>
      <c r="PPX1" s="87" t="n"/>
      <c r="PPY1" s="87" t="n"/>
      <c r="PPZ1" s="87" t="n"/>
      <c r="PQA1" s="87" t="n"/>
      <c r="PQB1" s="87" t="n"/>
      <c r="PQC1" s="87" t="n"/>
      <c r="PQD1" s="87" t="n"/>
      <c r="PQE1" s="87" t="n"/>
      <c r="PQF1" s="87" t="n"/>
      <c r="PQG1" s="87" t="n"/>
      <c r="PQH1" s="87" t="n"/>
      <c r="PQI1" s="87" t="n"/>
      <c r="PQJ1" s="87" t="n"/>
      <c r="PQK1" s="87" t="n"/>
      <c r="PQL1" s="87" t="n"/>
      <c r="PQM1" s="87" t="n"/>
      <c r="PQN1" s="87" t="n"/>
      <c r="PQO1" s="87" t="n"/>
      <c r="PQP1" s="87" t="n"/>
      <c r="PQQ1" s="87" t="n"/>
      <c r="PQR1" s="87" t="n"/>
      <c r="PQS1" s="87" t="n"/>
      <c r="PQT1" s="87" t="n"/>
      <c r="PQU1" s="87" t="n"/>
      <c r="PQV1" s="87" t="n"/>
      <c r="PQW1" s="87" t="n"/>
      <c r="PQX1" s="87" t="n"/>
      <c r="PQY1" s="87" t="n"/>
      <c r="PQZ1" s="87" t="n"/>
      <c r="PRA1" s="87" t="n"/>
      <c r="PRB1" s="87" t="n"/>
      <c r="PRC1" s="87" t="n"/>
      <c r="PRD1" s="87" t="n"/>
      <c r="PRE1" s="87" t="n"/>
      <c r="PRF1" s="87" t="n"/>
      <c r="PRG1" s="87" t="n"/>
      <c r="PRH1" s="87" t="n"/>
      <c r="PRI1" s="87" t="n"/>
      <c r="PRJ1" s="87" t="n"/>
      <c r="PRK1" s="87" t="n"/>
      <c r="PRL1" s="87" t="n"/>
      <c r="PRM1" s="87" t="n"/>
      <c r="PRN1" s="87" t="n"/>
      <c r="PRO1" s="87" t="n"/>
      <c r="PRP1" s="87" t="n"/>
      <c r="PRQ1" s="87" t="n"/>
      <c r="PRR1" s="87" t="n"/>
      <c r="PRS1" s="87" t="n"/>
      <c r="PRT1" s="87" t="n"/>
      <c r="PRU1" s="87" t="n"/>
      <c r="PRV1" s="87" t="n"/>
      <c r="PRW1" s="87" t="n"/>
      <c r="PRX1" s="87" t="n"/>
      <c r="PRY1" s="87" t="n"/>
      <c r="PRZ1" s="87" t="n"/>
      <c r="PSA1" s="87" t="n"/>
      <c r="PSB1" s="87" t="n"/>
      <c r="PSC1" s="87" t="n"/>
      <c r="PSD1" s="87" t="n"/>
      <c r="PSE1" s="87" t="n"/>
      <c r="PSF1" s="87" t="n"/>
      <c r="PSG1" s="87" t="n"/>
      <c r="PSH1" s="87" t="n"/>
      <c r="PSI1" s="87" t="n"/>
      <c r="PSJ1" s="87" t="n"/>
      <c r="PSK1" s="87" t="n"/>
      <c r="PSL1" s="87" t="n"/>
      <c r="PSM1" s="87" t="n"/>
      <c r="PSN1" s="87" t="n"/>
      <c r="PSO1" s="87" t="n"/>
      <c r="PSP1" s="87" t="n"/>
      <c r="PSQ1" s="87" t="n"/>
      <c r="PSR1" s="87" t="n"/>
      <c r="PSS1" s="87" t="n"/>
      <c r="PST1" s="87" t="n"/>
      <c r="PSU1" s="87" t="n"/>
      <c r="PSV1" s="87" t="n"/>
      <c r="PSW1" s="87" t="n"/>
      <c r="PSX1" s="87" t="n"/>
      <c r="PSY1" s="87" t="n"/>
      <c r="PSZ1" s="87" t="n"/>
      <c r="PTA1" s="87" t="n"/>
      <c r="PTB1" s="87" t="n"/>
      <c r="PTC1" s="87" t="n"/>
      <c r="PTD1" s="87" t="n"/>
      <c r="PTE1" s="87" t="n"/>
      <c r="PTF1" s="87" t="n"/>
      <c r="PTG1" s="87" t="n"/>
      <c r="PTH1" s="87" t="n"/>
      <c r="PTI1" s="87" t="n"/>
      <c r="PTJ1" s="87" t="n"/>
      <c r="PTK1" s="87" t="n"/>
      <c r="PTL1" s="87" t="n"/>
      <c r="PTM1" s="87" t="n"/>
      <c r="PTN1" s="87" t="n"/>
      <c r="PTO1" s="87" t="n"/>
      <c r="PTP1" s="87" t="n"/>
      <c r="PTQ1" s="87" t="n"/>
      <c r="PTR1" s="87" t="n"/>
      <c r="PTS1" s="87" t="n"/>
      <c r="PTT1" s="87" t="n"/>
      <c r="PTU1" s="87" t="n"/>
      <c r="PTV1" s="87" t="n"/>
      <c r="PTW1" s="87" t="n"/>
      <c r="PTX1" s="87" t="n"/>
      <c r="PTY1" s="87" t="n"/>
      <c r="PTZ1" s="87" t="n"/>
      <c r="PUA1" s="87" t="n"/>
      <c r="PUB1" s="87" t="n"/>
      <c r="PUC1" s="87" t="n"/>
      <c r="PUD1" s="87" t="n"/>
      <c r="PUE1" s="87" t="n"/>
      <c r="PUF1" s="87" t="n"/>
      <c r="PUG1" s="87" t="n"/>
      <c r="PUH1" s="87" t="n"/>
      <c r="PUI1" s="87" t="n"/>
      <c r="PUJ1" s="87" t="n"/>
      <c r="PUK1" s="87" t="n"/>
      <c r="PUL1" s="87" t="n"/>
      <c r="PUM1" s="87" t="n"/>
      <c r="PUN1" s="87" t="n"/>
      <c r="PUO1" s="87" t="n"/>
      <c r="PUP1" s="87" t="n"/>
      <c r="PUQ1" s="87" t="n"/>
      <c r="PUR1" s="87" t="n"/>
      <c r="PUS1" s="87" t="n"/>
      <c r="PUT1" s="87" t="n"/>
      <c r="PUU1" s="87" t="n"/>
      <c r="PUV1" s="87" t="n"/>
      <c r="PUW1" s="87" t="n"/>
      <c r="PUX1" s="87" t="n"/>
      <c r="PUY1" s="87" t="n"/>
      <c r="PUZ1" s="87" t="n"/>
      <c r="PVA1" s="87" t="n"/>
      <c r="PVB1" s="87" t="n"/>
      <c r="PVC1" s="87" t="n"/>
      <c r="PVD1" s="87" t="n"/>
      <c r="PVE1" s="87" t="n"/>
      <c r="PVF1" s="87" t="n"/>
      <c r="PVG1" s="87" t="n"/>
      <c r="PVH1" s="87" t="n"/>
      <c r="PVI1" s="87" t="n"/>
      <c r="PVJ1" s="87" t="n"/>
      <c r="PVK1" s="87" t="n"/>
      <c r="PVL1" s="87" t="n"/>
      <c r="PVM1" s="87" t="n"/>
      <c r="PVN1" s="87" t="n"/>
      <c r="PVO1" s="87" t="n"/>
      <c r="PVP1" s="87" t="n"/>
      <c r="PVQ1" s="87" t="n"/>
      <c r="PVR1" s="87" t="n"/>
      <c r="PVS1" s="87" t="n"/>
      <c r="PVT1" s="87" t="n"/>
      <c r="PVU1" s="87" t="n"/>
      <c r="PVV1" s="87" t="n"/>
      <c r="PVW1" s="87" t="n"/>
      <c r="PVX1" s="87" t="n"/>
      <c r="PVY1" s="87" t="n"/>
      <c r="PVZ1" s="87" t="n"/>
      <c r="PWA1" s="87" t="n"/>
      <c r="PWB1" s="87" t="n"/>
      <c r="PWC1" s="87" t="n"/>
      <c r="PWD1" s="87" t="n"/>
      <c r="PWE1" s="87" t="n"/>
      <c r="PWF1" s="87" t="n"/>
      <c r="PWG1" s="87" t="n"/>
      <c r="PWH1" s="87" t="n"/>
      <c r="PWI1" s="87" t="n"/>
      <c r="PWJ1" s="87" t="n"/>
      <c r="PWK1" s="87" t="n"/>
      <c r="PWL1" s="87" t="n"/>
      <c r="PWM1" s="87" t="n"/>
      <c r="PWN1" s="87" t="n"/>
      <c r="PWO1" s="87" t="n"/>
      <c r="PWP1" s="87" t="n"/>
      <c r="PWQ1" s="87" t="n"/>
      <c r="PWR1" s="87" t="n"/>
      <c r="PWS1" s="87" t="n"/>
      <c r="PWT1" s="87" t="n"/>
      <c r="PWU1" s="87" t="n"/>
      <c r="PWV1" s="87" t="n"/>
      <c r="PWW1" s="87" t="n"/>
      <c r="PWX1" s="87" t="n"/>
      <c r="PWY1" s="87" t="n"/>
      <c r="PWZ1" s="87" t="n"/>
      <c r="PXA1" s="87" t="n"/>
      <c r="PXB1" s="87" t="n"/>
      <c r="PXC1" s="87" t="n"/>
      <c r="PXD1" s="87" t="n"/>
      <c r="PXE1" s="87" t="n"/>
      <c r="PXF1" s="87" t="n"/>
      <c r="PXG1" s="87" t="n"/>
      <c r="PXH1" s="87" t="n"/>
      <c r="PXI1" s="87" t="n"/>
      <c r="PXJ1" s="87" t="n"/>
      <c r="PXK1" s="87" t="n"/>
      <c r="PXL1" s="87" t="n"/>
      <c r="PXM1" s="87" t="n"/>
      <c r="PXN1" s="87" t="n"/>
      <c r="PXO1" s="87" t="n"/>
      <c r="PXP1" s="87" t="n"/>
      <c r="PXQ1" s="87" t="n"/>
      <c r="PXR1" s="87" t="n"/>
      <c r="PXS1" s="87" t="n"/>
      <c r="PXT1" s="87" t="n"/>
      <c r="PXU1" s="87" t="n"/>
      <c r="PXV1" s="87" t="n"/>
      <c r="PXW1" s="87" t="n"/>
      <c r="PXX1" s="87" t="n"/>
      <c r="PXY1" s="87" t="n"/>
      <c r="PXZ1" s="87" t="n"/>
      <c r="PYA1" s="87" t="n"/>
      <c r="PYB1" s="87" t="n"/>
      <c r="PYC1" s="87" t="n"/>
      <c r="PYD1" s="87" t="n"/>
      <c r="PYE1" s="87" t="n"/>
      <c r="PYF1" s="87" t="n"/>
      <c r="PYG1" s="87" t="n"/>
      <c r="PYH1" s="87" t="n"/>
      <c r="PYI1" s="87" t="n"/>
      <c r="PYJ1" s="87" t="n"/>
      <c r="PYK1" s="87" t="n"/>
      <c r="PYL1" s="87" t="n"/>
      <c r="PYM1" s="87" t="n"/>
      <c r="PYN1" s="87" t="n"/>
      <c r="PYO1" s="87" t="n"/>
      <c r="PYP1" s="87" t="n"/>
      <c r="PYQ1" s="87" t="n"/>
      <c r="PYR1" s="87" t="n"/>
      <c r="PYS1" s="87" t="n"/>
      <c r="PYT1" s="87" t="n"/>
      <c r="PYU1" s="87" t="n"/>
      <c r="PYV1" s="87" t="n"/>
      <c r="PYW1" s="87" t="n"/>
      <c r="PYX1" s="87" t="n"/>
      <c r="PYY1" s="87" t="n"/>
      <c r="PYZ1" s="87" t="n"/>
      <c r="PZA1" s="87" t="n"/>
      <c r="PZB1" s="87" t="n"/>
      <c r="PZC1" s="87" t="n"/>
      <c r="PZD1" s="87" t="n"/>
      <c r="PZE1" s="87" t="n"/>
      <c r="PZF1" s="87" t="n"/>
      <c r="PZG1" s="87" t="n"/>
      <c r="PZH1" s="87" t="n"/>
      <c r="PZI1" s="87" t="n"/>
      <c r="PZJ1" s="87" t="n"/>
      <c r="PZK1" s="87" t="n"/>
      <c r="PZL1" s="87" t="n"/>
      <c r="PZM1" s="87" t="n"/>
      <c r="PZN1" s="87" t="n"/>
      <c r="PZO1" s="87" t="n"/>
      <c r="PZP1" s="87" t="n"/>
      <c r="PZQ1" s="87" t="n"/>
      <c r="PZR1" s="87" t="n"/>
      <c r="PZS1" s="87" t="n"/>
      <c r="PZT1" s="87" t="n"/>
      <c r="PZU1" s="87" t="n"/>
      <c r="PZV1" s="87" t="n"/>
      <c r="PZW1" s="87" t="n"/>
      <c r="PZX1" s="87" t="n"/>
      <c r="PZY1" s="87" t="n"/>
      <c r="PZZ1" s="87" t="n"/>
      <c r="QAA1" s="87" t="n"/>
      <c r="QAB1" s="87" t="n"/>
      <c r="QAC1" s="87" t="n"/>
      <c r="QAD1" s="87" t="n"/>
      <c r="QAE1" s="87" t="n"/>
      <c r="QAF1" s="87" t="n"/>
      <c r="QAG1" s="87" t="n"/>
      <c r="QAH1" s="87" t="n"/>
      <c r="QAI1" s="87" t="n"/>
      <c r="QAJ1" s="87" t="n"/>
      <c r="QAK1" s="87" t="n"/>
      <c r="QAL1" s="87" t="n"/>
      <c r="QAM1" s="87" t="n"/>
      <c r="QAN1" s="87" t="n"/>
      <c r="QAO1" s="87" t="n"/>
      <c r="QAP1" s="87" t="n"/>
      <c r="QAQ1" s="87" t="n"/>
      <c r="QAR1" s="87" t="n"/>
      <c r="QAS1" s="87" t="n"/>
      <c r="QAT1" s="87" t="n"/>
      <c r="QAU1" s="87" t="n"/>
      <c r="QAV1" s="87" t="n"/>
      <c r="QAW1" s="87" t="n"/>
      <c r="QAX1" s="87" t="n"/>
      <c r="QAY1" s="87" t="n"/>
      <c r="QAZ1" s="87" t="n"/>
      <c r="QBA1" s="87" t="n"/>
      <c r="QBB1" s="87" t="n"/>
      <c r="QBC1" s="87" t="n"/>
      <c r="QBD1" s="87" t="n"/>
      <c r="QBE1" s="87" t="n"/>
      <c r="QBF1" s="87" t="n"/>
      <c r="QBG1" s="87" t="n"/>
      <c r="QBH1" s="87" t="n"/>
      <c r="QBI1" s="87" t="n"/>
      <c r="QBJ1" s="87" t="n"/>
      <c r="QBK1" s="87" t="n"/>
      <c r="QBL1" s="87" t="n"/>
      <c r="QBM1" s="87" t="n"/>
      <c r="QBN1" s="87" t="n"/>
      <c r="QBO1" s="87" t="n"/>
      <c r="QBP1" s="87" t="n"/>
      <c r="QBQ1" s="87" t="n"/>
      <c r="QBR1" s="87" t="n"/>
      <c r="QBS1" s="87" t="n"/>
      <c r="QBT1" s="87" t="n"/>
      <c r="QBU1" s="87" t="n"/>
      <c r="QBV1" s="87" t="n"/>
      <c r="QBW1" s="87" t="n"/>
      <c r="QBX1" s="87" t="n"/>
      <c r="QBY1" s="87" t="n"/>
      <c r="QBZ1" s="87" t="n"/>
      <c r="QCA1" s="87" t="n"/>
      <c r="QCB1" s="87" t="n"/>
      <c r="QCC1" s="87" t="n"/>
      <c r="QCD1" s="87" t="n"/>
      <c r="QCE1" s="87" t="n"/>
      <c r="QCF1" s="87" t="n"/>
      <c r="QCG1" s="87" t="n"/>
      <c r="QCH1" s="87" t="n"/>
      <c r="QCI1" s="87" t="n"/>
      <c r="QCJ1" s="87" t="n"/>
      <c r="QCK1" s="87" t="n"/>
      <c r="QCL1" s="87" t="n"/>
      <c r="QCM1" s="87" t="n"/>
      <c r="QCN1" s="87" t="n"/>
      <c r="QCO1" s="87" t="n"/>
      <c r="QCP1" s="87" t="n"/>
      <c r="QCQ1" s="87" t="n"/>
      <c r="QCR1" s="87" t="n"/>
      <c r="QCS1" s="87" t="n"/>
      <c r="QCT1" s="87" t="n"/>
      <c r="QCU1" s="87" t="n"/>
      <c r="QCV1" s="87" t="n"/>
      <c r="QCW1" s="87" t="n"/>
      <c r="QCX1" s="87" t="n"/>
      <c r="QCY1" s="87" t="n"/>
      <c r="QCZ1" s="87" t="n"/>
      <c r="QDA1" s="87" t="n"/>
      <c r="QDB1" s="87" t="n"/>
      <c r="QDC1" s="87" t="n"/>
      <c r="QDD1" s="87" t="n"/>
      <c r="QDE1" s="87" t="n"/>
      <c r="QDF1" s="87" t="n"/>
      <c r="QDG1" s="87" t="n"/>
      <c r="QDH1" s="87" t="n"/>
      <c r="QDI1" s="87" t="n"/>
      <c r="QDJ1" s="87" t="n"/>
      <c r="QDK1" s="87" t="n"/>
      <c r="QDL1" s="87" t="n"/>
      <c r="QDM1" s="87" t="n"/>
      <c r="QDN1" s="87" t="n"/>
      <c r="QDO1" s="87" t="n"/>
      <c r="QDP1" s="87" t="n"/>
      <c r="QDQ1" s="87" t="n"/>
      <c r="QDR1" s="87" t="n"/>
      <c r="QDS1" s="87" t="n"/>
      <c r="QDT1" s="87" t="n"/>
      <c r="QDU1" s="87" t="n"/>
      <c r="QDV1" s="87" t="n"/>
      <c r="QDW1" s="87" t="n"/>
      <c r="QDX1" s="87" t="n"/>
      <c r="QDY1" s="87" t="n"/>
      <c r="QDZ1" s="87" t="n"/>
      <c r="QEA1" s="87" t="n"/>
      <c r="QEB1" s="87" t="n"/>
      <c r="QEC1" s="87" t="n"/>
      <c r="QED1" s="87" t="n"/>
      <c r="QEE1" s="87" t="n"/>
      <c r="QEF1" s="87" t="n"/>
      <c r="QEG1" s="87" t="n"/>
      <c r="QEH1" s="87" t="n"/>
      <c r="QEI1" s="87" t="n"/>
      <c r="QEJ1" s="87" t="n"/>
      <c r="QEK1" s="87" t="n"/>
      <c r="QEL1" s="87" t="n"/>
      <c r="QEM1" s="87" t="n"/>
      <c r="QEN1" s="87" t="n"/>
      <c r="QEO1" s="87" t="n"/>
      <c r="QEP1" s="87" t="n"/>
      <c r="QEQ1" s="87" t="n"/>
      <c r="QER1" s="87" t="n"/>
      <c r="QES1" s="87" t="n"/>
      <c r="QET1" s="87" t="n"/>
      <c r="QEU1" s="87" t="n"/>
      <c r="QEV1" s="87" t="n"/>
      <c r="QEW1" s="87" t="n"/>
      <c r="QEX1" s="87" t="n"/>
      <c r="QEY1" s="87" t="n"/>
      <c r="QEZ1" s="87" t="n"/>
      <c r="QFA1" s="87" t="n"/>
      <c r="QFB1" s="87" t="n"/>
      <c r="QFC1" s="87" t="n"/>
      <c r="QFD1" s="87" t="n"/>
      <c r="QFE1" s="87" t="n"/>
      <c r="QFF1" s="87" t="n"/>
      <c r="QFG1" s="87" t="n"/>
      <c r="QFH1" s="87" t="n"/>
      <c r="QFI1" s="87" t="n"/>
      <c r="QFJ1" s="87" t="n"/>
      <c r="QFK1" s="87" t="n"/>
      <c r="QFL1" s="87" t="n"/>
      <c r="QFM1" s="87" t="n"/>
      <c r="QFN1" s="87" t="n"/>
      <c r="QFO1" s="87" t="n"/>
      <c r="QFP1" s="87" t="n"/>
      <c r="QFQ1" s="87" t="n"/>
      <c r="QFR1" s="87" t="n"/>
      <c r="QFS1" s="87" t="n"/>
      <c r="QFT1" s="87" t="n"/>
      <c r="QFU1" s="87" t="n"/>
      <c r="QFV1" s="87" t="n"/>
      <c r="QFW1" s="87" t="n"/>
      <c r="QFX1" s="87" t="n"/>
      <c r="QFY1" s="87" t="n"/>
      <c r="QFZ1" s="87" t="n"/>
      <c r="QGA1" s="87" t="n"/>
      <c r="QGB1" s="87" t="n"/>
      <c r="QGC1" s="87" t="n"/>
      <c r="QGD1" s="87" t="n"/>
      <c r="QGE1" s="87" t="n"/>
      <c r="QGF1" s="87" t="n"/>
      <c r="QGG1" s="87" t="n"/>
      <c r="QGH1" s="87" t="n"/>
      <c r="QGI1" s="87" t="n"/>
      <c r="QGJ1" s="87" t="n"/>
      <c r="QGK1" s="87" t="n"/>
      <c r="QGL1" s="87" t="n"/>
      <c r="QGM1" s="87" t="n"/>
      <c r="QGN1" s="87" t="n"/>
      <c r="QGO1" s="87" t="n"/>
      <c r="QGP1" s="87" t="n"/>
      <c r="QGQ1" s="87" t="n"/>
      <c r="QGR1" s="87" t="n"/>
      <c r="QGS1" s="87" t="n"/>
      <c r="QGT1" s="87" t="n"/>
      <c r="QGU1" s="87" t="n"/>
      <c r="QGV1" s="87" t="n"/>
      <c r="QGW1" s="87" t="n"/>
      <c r="QGX1" s="87" t="n"/>
      <c r="QGY1" s="87" t="n"/>
      <c r="QGZ1" s="87" t="n"/>
      <c r="QHA1" s="87" t="n"/>
      <c r="QHB1" s="87" t="n"/>
      <c r="QHC1" s="87" t="n"/>
      <c r="QHD1" s="87" t="n"/>
      <c r="QHE1" s="87" t="n"/>
      <c r="QHF1" s="87" t="n"/>
      <c r="QHG1" s="87" t="n"/>
      <c r="QHH1" s="87" t="n"/>
      <c r="QHI1" s="87" t="n"/>
      <c r="QHJ1" s="87" t="n"/>
      <c r="QHK1" s="87" t="n"/>
      <c r="QHL1" s="87" t="n"/>
      <c r="QHM1" s="87" t="n"/>
      <c r="QHN1" s="87" t="n"/>
      <c r="QHO1" s="87" t="n"/>
      <c r="QHP1" s="87" t="n"/>
      <c r="QHQ1" s="87" t="n"/>
      <c r="QHR1" s="87" t="n"/>
      <c r="QHS1" s="87" t="n"/>
      <c r="QHT1" s="87" t="n"/>
      <c r="QHU1" s="87" t="n"/>
      <c r="QHV1" s="87" t="n"/>
      <c r="QHW1" s="87" t="n"/>
      <c r="QHX1" s="87" t="n"/>
      <c r="QHY1" s="87" t="n"/>
      <c r="QHZ1" s="87" t="n"/>
      <c r="QIA1" s="87" t="n"/>
      <c r="QIB1" s="87" t="n"/>
      <c r="QIC1" s="87" t="n"/>
      <c r="QID1" s="87" t="n"/>
      <c r="QIE1" s="87" t="n"/>
      <c r="QIF1" s="87" t="n"/>
      <c r="QIG1" s="87" t="n"/>
      <c r="QIH1" s="87" t="n"/>
      <c r="QII1" s="87" t="n"/>
      <c r="QIJ1" s="87" t="n"/>
      <c r="QIK1" s="87" t="n"/>
      <c r="QIL1" s="87" t="n"/>
      <c r="QIM1" s="87" t="n"/>
      <c r="QIN1" s="87" t="n"/>
      <c r="QIO1" s="87" t="n"/>
      <c r="QIP1" s="87" t="n"/>
      <c r="QIQ1" s="87" t="n"/>
      <c r="QIR1" s="87" t="n"/>
      <c r="QIS1" s="87" t="n"/>
      <c r="QIT1" s="87" t="n"/>
      <c r="QIU1" s="87" t="n"/>
      <c r="QIV1" s="87" t="n"/>
      <c r="QIW1" s="87" t="n"/>
      <c r="QIX1" s="87" t="n"/>
      <c r="QIY1" s="87" t="n"/>
      <c r="QIZ1" s="87" t="n"/>
      <c r="QJA1" s="87" t="n"/>
      <c r="QJB1" s="87" t="n"/>
      <c r="QJC1" s="87" t="n"/>
      <c r="QJD1" s="87" t="n"/>
      <c r="QJE1" s="87" t="n"/>
      <c r="QJF1" s="87" t="n"/>
      <c r="QJG1" s="87" t="n"/>
      <c r="QJH1" s="87" t="n"/>
      <c r="QJI1" s="87" t="n"/>
      <c r="QJJ1" s="87" t="n"/>
      <c r="QJK1" s="87" t="n"/>
      <c r="QJL1" s="87" t="n"/>
      <c r="QJM1" s="87" t="n"/>
      <c r="QJN1" s="87" t="n"/>
      <c r="QJO1" s="87" t="n"/>
      <c r="QJP1" s="87" t="n"/>
      <c r="QJQ1" s="87" t="n"/>
      <c r="QJR1" s="87" t="n"/>
      <c r="QJS1" s="87" t="n"/>
      <c r="QJT1" s="87" t="n"/>
      <c r="QJU1" s="87" t="n"/>
      <c r="QJV1" s="87" t="n"/>
      <c r="QJW1" s="87" t="n"/>
      <c r="QJX1" s="87" t="n"/>
      <c r="QJY1" s="87" t="n"/>
      <c r="QJZ1" s="87" t="n"/>
      <c r="QKA1" s="87" t="n"/>
      <c r="QKB1" s="87" t="n"/>
      <c r="QKC1" s="87" t="n"/>
      <c r="QKD1" s="87" t="n"/>
      <c r="QKE1" s="87" t="n"/>
      <c r="QKF1" s="87" t="n"/>
      <c r="QKG1" s="87" t="n"/>
      <c r="QKH1" s="87" t="n"/>
      <c r="QKI1" s="87" t="n"/>
      <c r="QKJ1" s="87" t="n"/>
      <c r="QKK1" s="87" t="n"/>
      <c r="QKL1" s="87" t="n"/>
      <c r="QKM1" s="87" t="n"/>
      <c r="QKN1" s="87" t="n"/>
      <c r="QKO1" s="87" t="n"/>
      <c r="QKP1" s="87" t="n"/>
      <c r="QKQ1" s="87" t="n"/>
      <c r="QKR1" s="87" t="n"/>
      <c r="QKS1" s="87" t="n"/>
      <c r="QKT1" s="87" t="n"/>
      <c r="QKU1" s="87" t="n"/>
      <c r="QKV1" s="87" t="n"/>
      <c r="QKW1" s="87" t="n"/>
      <c r="QKX1" s="87" t="n"/>
      <c r="QKY1" s="87" t="n"/>
      <c r="QKZ1" s="87" t="n"/>
      <c r="QLA1" s="87" t="n"/>
      <c r="QLB1" s="87" t="n"/>
      <c r="QLC1" s="87" t="n"/>
      <c r="QLD1" s="87" t="n"/>
      <c r="QLE1" s="87" t="n"/>
      <c r="QLF1" s="87" t="n"/>
      <c r="QLG1" s="87" t="n"/>
      <c r="QLH1" s="87" t="n"/>
      <c r="QLI1" s="87" t="n"/>
      <c r="QLJ1" s="87" t="n"/>
      <c r="QLK1" s="87" t="n"/>
      <c r="QLL1" s="87" t="n"/>
      <c r="QLM1" s="87" t="n"/>
      <c r="QLN1" s="87" t="n"/>
      <c r="QLO1" s="87" t="n"/>
      <c r="QLP1" s="87" t="n"/>
      <c r="QLQ1" s="87" t="n"/>
      <c r="QLR1" s="87" t="n"/>
      <c r="QLS1" s="87" t="n"/>
      <c r="QLT1" s="87" t="n"/>
      <c r="QLU1" s="87" t="n"/>
      <c r="QLV1" s="87" t="n"/>
      <c r="QLW1" s="87" t="n"/>
      <c r="QLX1" s="87" t="n"/>
      <c r="QLY1" s="87" t="n"/>
      <c r="QLZ1" s="87" t="n"/>
      <c r="QMA1" s="87" t="n"/>
      <c r="QMB1" s="87" t="n"/>
      <c r="QMC1" s="87" t="n"/>
      <c r="QMD1" s="87" t="n"/>
      <c r="QME1" s="87" t="n"/>
      <c r="QMF1" s="87" t="n"/>
      <c r="QMG1" s="87" t="n"/>
      <c r="QMH1" s="87" t="n"/>
      <c r="QMI1" s="87" t="n"/>
      <c r="QMJ1" s="87" t="n"/>
      <c r="QMK1" s="87" t="n"/>
      <c r="QML1" s="87" t="n"/>
      <c r="QMM1" s="87" t="n"/>
      <c r="QMN1" s="87" t="n"/>
      <c r="QMO1" s="87" t="n"/>
      <c r="QMP1" s="87" t="n"/>
      <c r="QMQ1" s="87" t="n"/>
      <c r="QMR1" s="87" t="n"/>
      <c r="QMS1" s="87" t="n"/>
      <c r="QMT1" s="87" t="n"/>
      <c r="QMU1" s="87" t="n"/>
      <c r="QMV1" s="87" t="n"/>
      <c r="QMW1" s="87" t="n"/>
      <c r="QMX1" s="87" t="n"/>
      <c r="QMY1" s="87" t="n"/>
      <c r="QMZ1" s="87" t="n"/>
      <c r="QNA1" s="87" t="n"/>
      <c r="QNB1" s="87" t="n"/>
      <c r="QNC1" s="87" t="n"/>
      <c r="QND1" s="87" t="n"/>
      <c r="QNE1" s="87" t="n"/>
      <c r="QNF1" s="87" t="n"/>
      <c r="QNG1" s="87" t="n"/>
      <c r="QNH1" s="87" t="n"/>
      <c r="QNI1" s="87" t="n"/>
      <c r="QNJ1" s="87" t="n"/>
      <c r="QNK1" s="87" t="n"/>
      <c r="QNL1" s="87" t="n"/>
      <c r="QNM1" s="87" t="n"/>
      <c r="QNN1" s="87" t="n"/>
      <c r="QNO1" s="87" t="n"/>
      <c r="QNP1" s="87" t="n"/>
      <c r="QNQ1" s="87" t="n"/>
      <c r="QNR1" s="87" t="n"/>
      <c r="QNS1" s="87" t="n"/>
      <c r="QNT1" s="87" t="n"/>
      <c r="QNU1" s="87" t="n"/>
      <c r="QNV1" s="87" t="n"/>
      <c r="QNW1" s="87" t="n"/>
      <c r="QNX1" s="87" t="n"/>
      <c r="QNY1" s="87" t="n"/>
      <c r="QNZ1" s="87" t="n"/>
      <c r="QOA1" s="87" t="n"/>
      <c r="QOB1" s="87" t="n"/>
      <c r="QOC1" s="87" t="n"/>
      <c r="QOD1" s="87" t="n"/>
      <c r="QOE1" s="87" t="n"/>
      <c r="QOF1" s="87" t="n"/>
      <c r="QOG1" s="87" t="n"/>
      <c r="QOH1" s="87" t="n"/>
      <c r="QOI1" s="87" t="n"/>
      <c r="QOJ1" s="87" t="n"/>
      <c r="QOK1" s="87" t="n"/>
      <c r="QOL1" s="87" t="n"/>
      <c r="QOM1" s="87" t="n"/>
      <c r="QON1" s="87" t="n"/>
      <c r="QOO1" s="87" t="n"/>
      <c r="QOP1" s="87" t="n"/>
      <c r="QOQ1" s="87" t="n"/>
      <c r="QOR1" s="87" t="n"/>
      <c r="QOS1" s="87" t="n"/>
      <c r="QOT1" s="87" t="n"/>
      <c r="QOU1" s="87" t="n"/>
      <c r="QOV1" s="87" t="n"/>
      <c r="QOW1" s="87" t="n"/>
      <c r="QOX1" s="87" t="n"/>
      <c r="QOY1" s="87" t="n"/>
      <c r="QOZ1" s="87" t="n"/>
      <c r="QPA1" s="87" t="n"/>
      <c r="QPB1" s="87" t="n"/>
      <c r="QPC1" s="87" t="n"/>
      <c r="QPD1" s="87" t="n"/>
      <c r="QPE1" s="87" t="n"/>
      <c r="QPF1" s="87" t="n"/>
      <c r="QPG1" s="87" t="n"/>
      <c r="QPH1" s="87" t="n"/>
      <c r="QPI1" s="87" t="n"/>
      <c r="QPJ1" s="87" t="n"/>
      <c r="QPK1" s="87" t="n"/>
      <c r="QPL1" s="87" t="n"/>
      <c r="QPM1" s="87" t="n"/>
      <c r="QPN1" s="87" t="n"/>
      <c r="QPO1" s="87" t="n"/>
      <c r="QPP1" s="87" t="n"/>
      <c r="QPQ1" s="87" t="n"/>
      <c r="QPR1" s="87" t="n"/>
      <c r="QPS1" s="87" t="n"/>
      <c r="QPT1" s="87" t="n"/>
      <c r="QPU1" s="87" t="n"/>
      <c r="QPV1" s="87" t="n"/>
      <c r="QPW1" s="87" t="n"/>
      <c r="QPX1" s="87" t="n"/>
      <c r="QPY1" s="87" t="n"/>
      <c r="QPZ1" s="87" t="n"/>
      <c r="QQA1" s="87" t="n"/>
      <c r="QQB1" s="87" t="n"/>
      <c r="QQC1" s="87" t="n"/>
      <c r="QQD1" s="87" t="n"/>
      <c r="QQE1" s="87" t="n"/>
      <c r="QQF1" s="87" t="n"/>
      <c r="QQG1" s="87" t="n"/>
      <c r="QQH1" s="87" t="n"/>
      <c r="QQI1" s="87" t="n"/>
      <c r="QQJ1" s="87" t="n"/>
      <c r="QQK1" s="87" t="n"/>
      <c r="QQL1" s="87" t="n"/>
      <c r="QQM1" s="87" t="n"/>
      <c r="QQN1" s="87" t="n"/>
      <c r="QQO1" s="87" t="n"/>
      <c r="QQP1" s="87" t="n"/>
      <c r="QQQ1" s="87" t="n"/>
      <c r="QQR1" s="87" t="n"/>
      <c r="QQS1" s="87" t="n"/>
      <c r="QQT1" s="87" t="n"/>
      <c r="QQU1" s="87" t="n"/>
      <c r="QQV1" s="87" t="n"/>
      <c r="QQW1" s="87" t="n"/>
      <c r="QQX1" s="87" t="n"/>
      <c r="QQY1" s="87" t="n"/>
      <c r="QQZ1" s="87" t="n"/>
      <c r="QRA1" s="87" t="n"/>
      <c r="QRB1" s="87" t="n"/>
      <c r="QRC1" s="87" t="n"/>
      <c r="QRD1" s="87" t="n"/>
      <c r="QRE1" s="87" t="n"/>
      <c r="QRF1" s="87" t="n"/>
      <c r="QRG1" s="87" t="n"/>
      <c r="QRH1" s="87" t="n"/>
      <c r="QRI1" s="87" t="n"/>
      <c r="QRJ1" s="87" t="n"/>
      <c r="QRK1" s="87" t="n"/>
      <c r="QRL1" s="87" t="n"/>
      <c r="QRM1" s="87" t="n"/>
      <c r="QRN1" s="87" t="n"/>
      <c r="QRO1" s="87" t="n"/>
      <c r="QRP1" s="87" t="n"/>
      <c r="QRQ1" s="87" t="n"/>
      <c r="QRR1" s="87" t="n"/>
      <c r="QRS1" s="87" t="n"/>
      <c r="QRT1" s="87" t="n"/>
      <c r="QRU1" s="87" t="n"/>
      <c r="QRV1" s="87" t="n"/>
      <c r="QRW1" s="87" t="n"/>
      <c r="QRX1" s="87" t="n"/>
      <c r="QRY1" s="87" t="n"/>
      <c r="QRZ1" s="87" t="n"/>
      <c r="QSA1" s="87" t="n"/>
      <c r="QSB1" s="87" t="n"/>
      <c r="QSC1" s="87" t="n"/>
      <c r="QSD1" s="87" t="n"/>
      <c r="QSE1" s="87" t="n"/>
      <c r="QSF1" s="87" t="n"/>
      <c r="QSG1" s="87" t="n"/>
      <c r="QSH1" s="87" t="n"/>
      <c r="QSI1" s="87" t="n"/>
      <c r="QSJ1" s="87" t="n"/>
      <c r="QSK1" s="87" t="n"/>
      <c r="QSL1" s="87" t="n"/>
      <c r="QSM1" s="87" t="n"/>
      <c r="QSN1" s="87" t="n"/>
      <c r="QSO1" s="87" t="n"/>
      <c r="QSP1" s="87" t="n"/>
      <c r="QSQ1" s="87" t="n"/>
      <c r="QSR1" s="87" t="n"/>
      <c r="QSS1" s="87" t="n"/>
      <c r="QST1" s="87" t="n"/>
      <c r="QSU1" s="87" t="n"/>
      <c r="QSV1" s="87" t="n"/>
      <c r="QSW1" s="87" t="n"/>
      <c r="QSX1" s="87" t="n"/>
      <c r="QSY1" s="87" t="n"/>
      <c r="QSZ1" s="87" t="n"/>
      <c r="QTA1" s="87" t="n"/>
      <c r="QTB1" s="87" t="n"/>
      <c r="QTC1" s="87" t="n"/>
      <c r="QTD1" s="87" t="n"/>
      <c r="QTE1" s="87" t="n"/>
      <c r="QTF1" s="87" t="n"/>
      <c r="QTG1" s="87" t="n"/>
      <c r="QTH1" s="87" t="n"/>
      <c r="QTI1" s="87" t="n"/>
      <c r="QTJ1" s="87" t="n"/>
      <c r="QTK1" s="87" t="n"/>
      <c r="QTL1" s="87" t="n"/>
      <c r="QTM1" s="87" t="n"/>
      <c r="QTN1" s="87" t="n"/>
      <c r="QTO1" s="87" t="n"/>
      <c r="QTP1" s="87" t="n"/>
      <c r="QTQ1" s="87" t="n"/>
      <c r="QTR1" s="87" t="n"/>
      <c r="QTS1" s="87" t="n"/>
      <c r="QTT1" s="87" t="n"/>
      <c r="QTU1" s="87" t="n"/>
      <c r="QTV1" s="87" t="n"/>
      <c r="QTW1" s="87" t="n"/>
      <c r="QTX1" s="87" t="n"/>
      <c r="QTY1" s="87" t="n"/>
      <c r="QTZ1" s="87" t="n"/>
      <c r="QUA1" s="87" t="n"/>
      <c r="QUB1" s="87" t="n"/>
      <c r="QUC1" s="87" t="n"/>
      <c r="QUD1" s="87" t="n"/>
      <c r="QUE1" s="87" t="n"/>
      <c r="QUF1" s="87" t="n"/>
      <c r="QUG1" s="87" t="n"/>
      <c r="QUH1" s="87" t="n"/>
      <c r="QUI1" s="87" t="n"/>
      <c r="QUJ1" s="87" t="n"/>
      <c r="QUK1" s="87" t="n"/>
      <c r="QUL1" s="87" t="n"/>
      <c r="QUM1" s="87" t="n"/>
      <c r="QUN1" s="87" t="n"/>
      <c r="QUO1" s="87" t="n"/>
      <c r="QUP1" s="87" t="n"/>
      <c r="QUQ1" s="87" t="n"/>
      <c r="QUR1" s="87" t="n"/>
      <c r="QUS1" s="87" t="n"/>
      <c r="QUT1" s="87" t="n"/>
      <c r="QUU1" s="87" t="n"/>
      <c r="QUV1" s="87" t="n"/>
      <c r="QUW1" s="87" t="n"/>
      <c r="QUX1" s="87" t="n"/>
      <c r="QUY1" s="87" t="n"/>
      <c r="QUZ1" s="87" t="n"/>
      <c r="QVA1" s="87" t="n"/>
      <c r="QVB1" s="87" t="n"/>
      <c r="QVC1" s="87" t="n"/>
      <c r="QVD1" s="87" t="n"/>
      <c r="QVE1" s="87" t="n"/>
      <c r="QVF1" s="87" t="n"/>
      <c r="QVG1" s="87" t="n"/>
      <c r="QVH1" s="87" t="n"/>
      <c r="QVI1" s="87" t="n"/>
      <c r="QVJ1" s="87" t="n"/>
      <c r="QVK1" s="87" t="n"/>
      <c r="QVL1" s="87" t="n"/>
      <c r="QVM1" s="87" t="n"/>
      <c r="QVN1" s="87" t="n"/>
      <c r="QVO1" s="87" t="n"/>
      <c r="QVP1" s="87" t="n"/>
      <c r="QVQ1" s="87" t="n"/>
      <c r="QVR1" s="87" t="n"/>
      <c r="QVS1" s="87" t="n"/>
      <c r="QVT1" s="87" t="n"/>
      <c r="QVU1" s="87" t="n"/>
      <c r="QVV1" s="87" t="n"/>
      <c r="QVW1" s="87" t="n"/>
      <c r="QVX1" s="87" t="n"/>
      <c r="QVY1" s="87" t="n"/>
      <c r="QVZ1" s="87" t="n"/>
      <c r="QWA1" s="87" t="n"/>
      <c r="QWB1" s="87" t="n"/>
      <c r="QWC1" s="87" t="n"/>
      <c r="QWD1" s="87" t="n"/>
      <c r="QWE1" s="87" t="n"/>
      <c r="QWF1" s="87" t="n"/>
      <c r="QWG1" s="87" t="n"/>
      <c r="QWH1" s="87" t="n"/>
      <c r="QWI1" s="87" t="n"/>
      <c r="QWJ1" s="87" t="n"/>
      <c r="QWK1" s="87" t="n"/>
      <c r="QWL1" s="87" t="n"/>
      <c r="QWM1" s="87" t="n"/>
      <c r="QWN1" s="87" t="n"/>
      <c r="QWO1" s="87" t="n"/>
      <c r="QWP1" s="87" t="n"/>
      <c r="QWQ1" s="87" t="n"/>
      <c r="QWR1" s="87" t="n"/>
      <c r="QWS1" s="87" t="n"/>
      <c r="QWT1" s="87" t="n"/>
      <c r="QWU1" s="87" t="n"/>
      <c r="QWV1" s="87" t="n"/>
      <c r="QWW1" s="87" t="n"/>
      <c r="QWX1" s="87" t="n"/>
      <c r="QWY1" s="87" t="n"/>
      <c r="QWZ1" s="87" t="n"/>
      <c r="QXA1" s="87" t="n"/>
      <c r="QXB1" s="87" t="n"/>
      <c r="QXC1" s="87" t="n"/>
      <c r="QXD1" s="87" t="n"/>
      <c r="QXE1" s="87" t="n"/>
      <c r="QXF1" s="87" t="n"/>
      <c r="QXG1" s="87" t="n"/>
      <c r="QXH1" s="87" t="n"/>
      <c r="QXI1" s="87" t="n"/>
      <c r="QXJ1" s="87" t="n"/>
      <c r="QXK1" s="87" t="n"/>
      <c r="QXL1" s="87" t="n"/>
      <c r="QXM1" s="87" t="n"/>
      <c r="QXN1" s="87" t="n"/>
      <c r="QXO1" s="87" t="n"/>
      <c r="QXP1" s="87" t="n"/>
      <c r="QXQ1" s="87" t="n"/>
      <c r="QXR1" s="87" t="n"/>
      <c r="QXS1" s="87" t="n"/>
      <c r="QXT1" s="87" t="n"/>
      <c r="QXU1" s="87" t="n"/>
      <c r="QXV1" s="87" t="n"/>
      <c r="QXW1" s="87" t="n"/>
      <c r="QXX1" s="87" t="n"/>
      <c r="QXY1" s="87" t="n"/>
      <c r="QXZ1" s="87" t="n"/>
      <c r="QYA1" s="87" t="n"/>
      <c r="QYB1" s="87" t="n"/>
      <c r="QYC1" s="87" t="n"/>
      <c r="QYD1" s="87" t="n"/>
      <c r="QYE1" s="87" t="n"/>
      <c r="QYF1" s="87" t="n"/>
      <c r="QYG1" s="87" t="n"/>
      <c r="QYH1" s="87" t="n"/>
      <c r="QYI1" s="87" t="n"/>
      <c r="QYJ1" s="87" t="n"/>
      <c r="QYK1" s="87" t="n"/>
      <c r="QYL1" s="87" t="n"/>
      <c r="QYM1" s="87" t="n"/>
      <c r="QYN1" s="87" t="n"/>
      <c r="QYO1" s="87" t="n"/>
      <c r="QYP1" s="87" t="n"/>
      <c r="QYQ1" s="87" t="n"/>
      <c r="QYR1" s="87" t="n"/>
      <c r="QYS1" s="87" t="n"/>
      <c r="QYT1" s="87" t="n"/>
      <c r="QYU1" s="87" t="n"/>
      <c r="QYV1" s="87" t="n"/>
      <c r="QYW1" s="87" t="n"/>
      <c r="QYX1" s="87" t="n"/>
      <c r="QYY1" s="87" t="n"/>
      <c r="QYZ1" s="87" t="n"/>
      <c r="QZA1" s="87" t="n"/>
      <c r="QZB1" s="87" t="n"/>
      <c r="QZC1" s="87" t="n"/>
      <c r="QZD1" s="87" t="n"/>
      <c r="QZE1" s="87" t="n"/>
      <c r="QZF1" s="87" t="n"/>
      <c r="QZG1" s="87" t="n"/>
      <c r="QZH1" s="87" t="n"/>
      <c r="QZI1" s="87" t="n"/>
      <c r="QZJ1" s="87" t="n"/>
      <c r="QZK1" s="87" t="n"/>
      <c r="QZL1" s="87" t="n"/>
      <c r="QZM1" s="87" t="n"/>
      <c r="QZN1" s="87" t="n"/>
      <c r="QZO1" s="87" t="n"/>
      <c r="QZP1" s="87" t="n"/>
      <c r="QZQ1" s="87" t="n"/>
      <c r="QZR1" s="87" t="n"/>
      <c r="QZS1" s="87" t="n"/>
      <c r="QZT1" s="87" t="n"/>
      <c r="QZU1" s="87" t="n"/>
      <c r="QZV1" s="87" t="n"/>
      <c r="QZW1" s="87" t="n"/>
      <c r="QZX1" s="87" t="n"/>
      <c r="QZY1" s="87" t="n"/>
      <c r="QZZ1" s="87" t="n"/>
      <c r="RAA1" s="87" t="n"/>
      <c r="RAB1" s="87" t="n"/>
      <c r="RAC1" s="87" t="n"/>
      <c r="RAD1" s="87" t="n"/>
      <c r="RAE1" s="87" t="n"/>
      <c r="RAF1" s="87" t="n"/>
      <c r="RAG1" s="87" t="n"/>
      <c r="RAH1" s="87" t="n"/>
      <c r="RAI1" s="87" t="n"/>
      <c r="RAJ1" s="87" t="n"/>
      <c r="RAK1" s="87" t="n"/>
      <c r="RAL1" s="87" t="n"/>
      <c r="RAM1" s="87" t="n"/>
      <c r="RAN1" s="87" t="n"/>
      <c r="RAO1" s="87" t="n"/>
      <c r="RAP1" s="87" t="n"/>
      <c r="RAQ1" s="87" t="n"/>
      <c r="RAR1" s="87" t="n"/>
      <c r="RAS1" s="87" t="n"/>
      <c r="RAT1" s="87" t="n"/>
      <c r="RAU1" s="87" t="n"/>
      <c r="RAV1" s="87" t="n"/>
      <c r="RAW1" s="87" t="n"/>
      <c r="RAX1" s="87" t="n"/>
      <c r="RAY1" s="87" t="n"/>
      <c r="RAZ1" s="87" t="n"/>
      <c r="RBA1" s="87" t="n"/>
      <c r="RBB1" s="87" t="n"/>
      <c r="RBC1" s="87" t="n"/>
      <c r="RBD1" s="87" t="n"/>
      <c r="RBE1" s="87" t="n"/>
      <c r="RBF1" s="87" t="n"/>
      <c r="RBG1" s="87" t="n"/>
      <c r="RBH1" s="87" t="n"/>
      <c r="RBI1" s="87" t="n"/>
      <c r="RBJ1" s="87" t="n"/>
      <c r="RBK1" s="87" t="n"/>
      <c r="RBL1" s="87" t="n"/>
      <c r="RBM1" s="87" t="n"/>
      <c r="RBN1" s="87" t="n"/>
      <c r="RBO1" s="87" t="n"/>
      <c r="RBP1" s="87" t="n"/>
      <c r="RBQ1" s="87" t="n"/>
      <c r="RBR1" s="87" t="n"/>
      <c r="RBS1" s="87" t="n"/>
      <c r="RBT1" s="87" t="n"/>
      <c r="RBU1" s="87" t="n"/>
      <c r="RBV1" s="87" t="n"/>
      <c r="RBW1" s="87" t="n"/>
      <c r="RBX1" s="87" t="n"/>
      <c r="RBY1" s="87" t="n"/>
      <c r="RBZ1" s="87" t="n"/>
      <c r="RCA1" s="87" t="n"/>
      <c r="RCB1" s="87" t="n"/>
      <c r="RCC1" s="87" t="n"/>
      <c r="RCD1" s="87" t="n"/>
      <c r="RCE1" s="87" t="n"/>
      <c r="RCF1" s="87" t="n"/>
      <c r="RCG1" s="87" t="n"/>
      <c r="RCH1" s="87" t="n"/>
      <c r="RCI1" s="87" t="n"/>
      <c r="RCJ1" s="87" t="n"/>
      <c r="RCK1" s="87" t="n"/>
      <c r="RCL1" s="87" t="n"/>
      <c r="RCM1" s="87" t="n"/>
      <c r="RCN1" s="87" t="n"/>
      <c r="RCO1" s="87" t="n"/>
      <c r="RCP1" s="87" t="n"/>
      <c r="RCQ1" s="87" t="n"/>
      <c r="RCR1" s="87" t="n"/>
      <c r="RCS1" s="87" t="n"/>
      <c r="RCT1" s="87" t="n"/>
      <c r="RCU1" s="87" t="n"/>
      <c r="RCV1" s="87" t="n"/>
      <c r="RCW1" s="87" t="n"/>
      <c r="RCX1" s="87" t="n"/>
      <c r="RCY1" s="87" t="n"/>
      <c r="RCZ1" s="87" t="n"/>
      <c r="RDA1" s="87" t="n"/>
      <c r="RDB1" s="87" t="n"/>
      <c r="RDC1" s="87" t="n"/>
      <c r="RDD1" s="87" t="n"/>
      <c r="RDE1" s="87" t="n"/>
      <c r="RDF1" s="87" t="n"/>
      <c r="RDG1" s="87" t="n"/>
      <c r="RDH1" s="87" t="n"/>
      <c r="RDI1" s="87" t="n"/>
      <c r="RDJ1" s="87" t="n"/>
      <c r="RDK1" s="87" t="n"/>
      <c r="RDL1" s="87" t="n"/>
      <c r="RDM1" s="87" t="n"/>
      <c r="RDN1" s="87" t="n"/>
      <c r="RDO1" s="87" t="n"/>
      <c r="RDP1" s="87" t="n"/>
      <c r="RDQ1" s="87" t="n"/>
      <c r="RDR1" s="87" t="n"/>
      <c r="RDS1" s="87" t="n"/>
      <c r="RDT1" s="87" t="n"/>
      <c r="RDU1" s="87" t="n"/>
      <c r="RDV1" s="87" t="n"/>
      <c r="RDW1" s="87" t="n"/>
      <c r="RDX1" s="87" t="n"/>
      <c r="RDY1" s="87" t="n"/>
      <c r="RDZ1" s="87" t="n"/>
      <c r="REA1" s="87" t="n"/>
      <c r="REB1" s="87" t="n"/>
      <c r="REC1" s="87" t="n"/>
      <c r="RED1" s="87" t="n"/>
      <c r="REE1" s="87" t="n"/>
      <c r="REF1" s="87" t="n"/>
      <c r="REG1" s="87" t="n"/>
      <c r="REH1" s="87" t="n"/>
      <c r="REI1" s="87" t="n"/>
      <c r="REJ1" s="87" t="n"/>
      <c r="REK1" s="87" t="n"/>
      <c r="REL1" s="87" t="n"/>
      <c r="REM1" s="87" t="n"/>
      <c r="REN1" s="87" t="n"/>
      <c r="REO1" s="87" t="n"/>
      <c r="REP1" s="87" t="n"/>
      <c r="REQ1" s="87" t="n"/>
      <c r="RER1" s="87" t="n"/>
      <c r="RES1" s="87" t="n"/>
      <c r="RET1" s="87" t="n"/>
      <c r="REU1" s="87" t="n"/>
      <c r="REV1" s="87" t="n"/>
      <c r="REW1" s="87" t="n"/>
      <c r="REX1" s="87" t="n"/>
      <c r="REY1" s="87" t="n"/>
      <c r="REZ1" s="87" t="n"/>
      <c r="RFA1" s="87" t="n"/>
      <c r="RFB1" s="87" t="n"/>
      <c r="RFC1" s="87" t="n"/>
      <c r="RFD1" s="87" t="n"/>
      <c r="RFE1" s="87" t="n"/>
      <c r="RFF1" s="87" t="n"/>
      <c r="RFG1" s="87" t="n"/>
      <c r="RFH1" s="87" t="n"/>
      <c r="RFI1" s="87" t="n"/>
      <c r="RFJ1" s="87" t="n"/>
      <c r="RFK1" s="87" t="n"/>
      <c r="RFL1" s="87" t="n"/>
      <c r="RFM1" s="87" t="n"/>
      <c r="RFN1" s="87" t="n"/>
      <c r="RFO1" s="87" t="n"/>
      <c r="RFP1" s="87" t="n"/>
      <c r="RFQ1" s="87" t="n"/>
      <c r="RFR1" s="87" t="n"/>
      <c r="RFS1" s="87" t="n"/>
      <c r="RFT1" s="87" t="n"/>
      <c r="RFU1" s="87" t="n"/>
      <c r="RFV1" s="87" t="n"/>
      <c r="RFW1" s="87" t="n"/>
      <c r="RFX1" s="87" t="n"/>
      <c r="RFY1" s="87" t="n"/>
      <c r="RFZ1" s="87" t="n"/>
      <c r="RGA1" s="87" t="n"/>
      <c r="RGB1" s="87" t="n"/>
      <c r="RGC1" s="87" t="n"/>
      <c r="RGD1" s="87" t="n"/>
      <c r="RGE1" s="87" t="n"/>
      <c r="RGF1" s="87" t="n"/>
      <c r="RGG1" s="87" t="n"/>
      <c r="RGH1" s="87" t="n"/>
      <c r="RGI1" s="87" t="n"/>
      <c r="RGJ1" s="87" t="n"/>
      <c r="RGK1" s="87" t="n"/>
      <c r="RGL1" s="87" t="n"/>
      <c r="RGM1" s="87" t="n"/>
      <c r="RGN1" s="87" t="n"/>
      <c r="RGO1" s="87" t="n"/>
      <c r="RGP1" s="87" t="n"/>
      <c r="RGQ1" s="87" t="n"/>
      <c r="RGR1" s="87" t="n"/>
      <c r="RGS1" s="87" t="n"/>
      <c r="RGT1" s="87" t="n"/>
      <c r="RGU1" s="87" t="n"/>
      <c r="RGV1" s="87" t="n"/>
      <c r="RGW1" s="87" t="n"/>
      <c r="RGX1" s="87" t="n"/>
      <c r="RGY1" s="87" t="n"/>
      <c r="RGZ1" s="87" t="n"/>
      <c r="RHA1" s="87" t="n"/>
      <c r="RHB1" s="87" t="n"/>
      <c r="RHC1" s="87" t="n"/>
      <c r="RHD1" s="87" t="n"/>
      <c r="RHE1" s="87" t="n"/>
      <c r="RHF1" s="87" t="n"/>
      <c r="RHG1" s="87" t="n"/>
      <c r="RHH1" s="87" t="n"/>
      <c r="RHI1" s="87" t="n"/>
      <c r="RHJ1" s="87" t="n"/>
      <c r="RHK1" s="87" t="n"/>
      <c r="RHL1" s="87" t="n"/>
      <c r="RHM1" s="87" t="n"/>
      <c r="RHN1" s="87" t="n"/>
      <c r="RHO1" s="87" t="n"/>
      <c r="RHP1" s="87" t="n"/>
      <c r="RHQ1" s="87" t="n"/>
      <c r="RHR1" s="87" t="n"/>
      <c r="RHS1" s="87" t="n"/>
      <c r="RHT1" s="87" t="n"/>
      <c r="RHU1" s="87" t="n"/>
      <c r="RHV1" s="87" t="n"/>
      <c r="RHW1" s="87" t="n"/>
      <c r="RHX1" s="87" t="n"/>
      <c r="RHY1" s="87" t="n"/>
      <c r="RHZ1" s="87" t="n"/>
      <c r="RIA1" s="87" t="n"/>
      <c r="RIB1" s="87" t="n"/>
      <c r="RIC1" s="87" t="n"/>
      <c r="RID1" s="87" t="n"/>
      <c r="RIE1" s="87" t="n"/>
      <c r="RIF1" s="87" t="n"/>
      <c r="RIG1" s="87" t="n"/>
      <c r="RIH1" s="87" t="n"/>
      <c r="RII1" s="87" t="n"/>
      <c r="RIJ1" s="87" t="n"/>
      <c r="RIK1" s="87" t="n"/>
      <c r="RIL1" s="87" t="n"/>
      <c r="RIM1" s="87" t="n"/>
      <c r="RIN1" s="87" t="n"/>
      <c r="RIO1" s="87" t="n"/>
      <c r="RIP1" s="87" t="n"/>
      <c r="RIQ1" s="87" t="n"/>
      <c r="RIR1" s="87" t="n"/>
      <c r="RIS1" s="87" t="n"/>
      <c r="RIT1" s="87" t="n"/>
      <c r="RIU1" s="87" t="n"/>
      <c r="RIV1" s="87" t="n"/>
      <c r="RIW1" s="87" t="n"/>
      <c r="RIX1" s="87" t="n"/>
      <c r="RIY1" s="87" t="n"/>
      <c r="RIZ1" s="87" t="n"/>
      <c r="RJA1" s="87" t="n"/>
      <c r="RJB1" s="87" t="n"/>
      <c r="RJC1" s="87" t="n"/>
      <c r="RJD1" s="87" t="n"/>
      <c r="RJE1" s="87" t="n"/>
      <c r="RJF1" s="87" t="n"/>
      <c r="RJG1" s="87" t="n"/>
      <c r="RJH1" s="87" t="n"/>
      <c r="RJI1" s="87" t="n"/>
      <c r="RJJ1" s="87" t="n"/>
      <c r="RJK1" s="87" t="n"/>
      <c r="RJL1" s="87" t="n"/>
      <c r="RJM1" s="87" t="n"/>
      <c r="RJN1" s="87" t="n"/>
      <c r="RJO1" s="87" t="n"/>
      <c r="RJP1" s="87" t="n"/>
      <c r="RJQ1" s="87" t="n"/>
      <c r="RJR1" s="87" t="n"/>
      <c r="RJS1" s="87" t="n"/>
      <c r="RJT1" s="87" t="n"/>
      <c r="RJU1" s="87" t="n"/>
      <c r="RJV1" s="87" t="n"/>
      <c r="RJW1" s="87" t="n"/>
      <c r="RJX1" s="87" t="n"/>
      <c r="RJY1" s="87" t="n"/>
      <c r="RJZ1" s="87" t="n"/>
      <c r="RKA1" s="87" t="n"/>
      <c r="RKB1" s="87" t="n"/>
      <c r="RKC1" s="87" t="n"/>
      <c r="RKD1" s="87" t="n"/>
      <c r="RKE1" s="87" t="n"/>
      <c r="RKF1" s="87" t="n"/>
      <c r="RKG1" s="87" t="n"/>
      <c r="RKH1" s="87" t="n"/>
      <c r="RKI1" s="87" t="n"/>
      <c r="RKJ1" s="87" t="n"/>
      <c r="RKK1" s="87" t="n"/>
      <c r="RKL1" s="87" t="n"/>
      <c r="RKM1" s="87" t="n"/>
      <c r="RKN1" s="87" t="n"/>
      <c r="RKO1" s="87" t="n"/>
      <c r="RKP1" s="87" t="n"/>
      <c r="RKQ1" s="87" t="n"/>
      <c r="RKR1" s="87" t="n"/>
      <c r="RKS1" s="87" t="n"/>
      <c r="RKT1" s="87" t="n"/>
      <c r="RKU1" s="87" t="n"/>
      <c r="RKV1" s="87" t="n"/>
      <c r="RKW1" s="87" t="n"/>
      <c r="RKX1" s="87" t="n"/>
      <c r="RKY1" s="87" t="n"/>
      <c r="RKZ1" s="87" t="n"/>
      <c r="RLA1" s="87" t="n"/>
      <c r="RLB1" s="87" t="n"/>
      <c r="RLC1" s="87" t="n"/>
      <c r="RLD1" s="87" t="n"/>
      <c r="RLE1" s="87" t="n"/>
      <c r="RLF1" s="87" t="n"/>
      <c r="RLG1" s="87" t="n"/>
      <c r="RLH1" s="87" t="n"/>
      <c r="RLI1" s="87" t="n"/>
      <c r="RLJ1" s="87" t="n"/>
      <c r="RLK1" s="87" t="n"/>
      <c r="RLL1" s="87" t="n"/>
      <c r="RLM1" s="87" t="n"/>
      <c r="RLN1" s="87" t="n"/>
      <c r="RLO1" s="87" t="n"/>
      <c r="RLP1" s="87" t="n"/>
      <c r="RLQ1" s="87" t="n"/>
      <c r="RLR1" s="87" t="n"/>
      <c r="RLS1" s="87" t="n"/>
      <c r="RLT1" s="87" t="n"/>
      <c r="RLU1" s="87" t="n"/>
      <c r="RLV1" s="87" t="n"/>
      <c r="RLW1" s="87" t="n"/>
      <c r="RLX1" s="87" t="n"/>
      <c r="RLY1" s="87" t="n"/>
      <c r="RLZ1" s="87" t="n"/>
      <c r="RMA1" s="87" t="n"/>
      <c r="RMB1" s="87" t="n"/>
      <c r="RMC1" s="87" t="n"/>
      <c r="RMD1" s="87" t="n"/>
      <c r="RME1" s="87" t="n"/>
      <c r="RMF1" s="87" t="n"/>
      <c r="RMG1" s="87" t="n"/>
      <c r="RMH1" s="87" t="n"/>
      <c r="RMI1" s="87" t="n"/>
      <c r="RMJ1" s="87" t="n"/>
      <c r="RMK1" s="87" t="n"/>
      <c r="RML1" s="87" t="n"/>
      <c r="RMM1" s="87" t="n"/>
      <c r="RMN1" s="87" t="n"/>
      <c r="RMO1" s="87" t="n"/>
      <c r="RMP1" s="87" t="n"/>
      <c r="RMQ1" s="87" t="n"/>
      <c r="RMR1" s="87" t="n"/>
      <c r="RMS1" s="87" t="n"/>
      <c r="RMT1" s="87" t="n"/>
      <c r="RMU1" s="87" t="n"/>
      <c r="RMV1" s="87" t="n"/>
      <c r="RMW1" s="87" t="n"/>
      <c r="RMX1" s="87" t="n"/>
      <c r="RMY1" s="87" t="n"/>
      <c r="RMZ1" s="87" t="n"/>
      <c r="RNA1" s="87" t="n"/>
      <c r="RNB1" s="87" t="n"/>
      <c r="RNC1" s="87" t="n"/>
      <c r="RND1" s="87" t="n"/>
      <c r="RNE1" s="87" t="n"/>
      <c r="RNF1" s="87" t="n"/>
      <c r="RNG1" s="87" t="n"/>
      <c r="RNH1" s="87" t="n"/>
      <c r="RNI1" s="87" t="n"/>
      <c r="RNJ1" s="87" t="n"/>
      <c r="RNK1" s="87" t="n"/>
      <c r="RNL1" s="87" t="n"/>
      <c r="RNM1" s="87" t="n"/>
      <c r="RNN1" s="87" t="n"/>
      <c r="RNO1" s="87" t="n"/>
      <c r="RNP1" s="87" t="n"/>
      <c r="RNQ1" s="87" t="n"/>
      <c r="RNR1" s="87" t="n"/>
      <c r="RNS1" s="87" t="n"/>
      <c r="RNT1" s="87" t="n"/>
      <c r="RNU1" s="87" t="n"/>
      <c r="RNV1" s="87" t="n"/>
      <c r="RNW1" s="87" t="n"/>
      <c r="RNX1" s="87" t="n"/>
      <c r="RNY1" s="87" t="n"/>
      <c r="RNZ1" s="87" t="n"/>
      <c r="ROA1" s="87" t="n"/>
      <c r="ROB1" s="87" t="n"/>
      <c r="ROC1" s="87" t="n"/>
      <c r="ROD1" s="87" t="n"/>
      <c r="ROE1" s="87" t="n"/>
      <c r="ROF1" s="87" t="n"/>
      <c r="ROG1" s="87" t="n"/>
      <c r="ROH1" s="87" t="n"/>
      <c r="ROI1" s="87" t="n"/>
      <c r="ROJ1" s="87" t="n"/>
      <c r="ROK1" s="87" t="n"/>
      <c r="ROL1" s="87" t="n"/>
      <c r="ROM1" s="87" t="n"/>
      <c r="RON1" s="87" t="n"/>
      <c r="ROO1" s="87" t="n"/>
      <c r="ROP1" s="87" t="n"/>
      <c r="ROQ1" s="87" t="n"/>
      <c r="ROR1" s="87" t="n"/>
      <c r="ROS1" s="87" t="n"/>
      <c r="ROT1" s="87" t="n"/>
      <c r="ROU1" s="87" t="n"/>
      <c r="ROV1" s="87" t="n"/>
      <c r="ROW1" s="87" t="n"/>
      <c r="ROX1" s="87" t="n"/>
      <c r="ROY1" s="87" t="n"/>
      <c r="ROZ1" s="87" t="n"/>
      <c r="RPA1" s="87" t="n"/>
      <c r="RPB1" s="87" t="n"/>
      <c r="RPC1" s="87" t="n"/>
      <c r="RPD1" s="87" t="n"/>
      <c r="RPE1" s="87" t="n"/>
      <c r="RPF1" s="87" t="n"/>
      <c r="RPG1" s="87" t="n"/>
      <c r="RPH1" s="87" t="n"/>
      <c r="RPI1" s="87" t="n"/>
      <c r="RPJ1" s="87" t="n"/>
      <c r="RPK1" s="87" t="n"/>
      <c r="RPL1" s="87" t="n"/>
      <c r="RPM1" s="87" t="n"/>
      <c r="RPN1" s="87" t="n"/>
      <c r="RPO1" s="87" t="n"/>
      <c r="RPP1" s="87" t="n"/>
      <c r="RPQ1" s="87" t="n"/>
      <c r="RPR1" s="87" t="n"/>
      <c r="RPS1" s="87" t="n"/>
      <c r="RPT1" s="87" t="n"/>
      <c r="RPU1" s="87" t="n"/>
      <c r="RPV1" s="87" t="n"/>
      <c r="RPW1" s="87" t="n"/>
      <c r="RPX1" s="87" t="n"/>
      <c r="RPY1" s="87" t="n"/>
      <c r="RPZ1" s="87" t="n"/>
      <c r="RQA1" s="87" t="n"/>
      <c r="RQB1" s="87" t="n"/>
      <c r="RQC1" s="87" t="n"/>
      <c r="RQD1" s="87" t="n"/>
      <c r="RQE1" s="87" t="n"/>
      <c r="RQF1" s="87" t="n"/>
      <c r="RQG1" s="87" t="n"/>
      <c r="RQH1" s="87" t="n"/>
      <c r="RQI1" s="87" t="n"/>
      <c r="RQJ1" s="87" t="n"/>
      <c r="RQK1" s="87" t="n"/>
      <c r="RQL1" s="87" t="n"/>
      <c r="RQM1" s="87" t="n"/>
      <c r="RQN1" s="87" t="n"/>
      <c r="RQO1" s="87" t="n"/>
      <c r="RQP1" s="87" t="n"/>
      <c r="RQQ1" s="87" t="n"/>
      <c r="RQR1" s="87" t="n"/>
      <c r="RQS1" s="87" t="n"/>
      <c r="RQT1" s="87" t="n"/>
      <c r="RQU1" s="87" t="n"/>
      <c r="RQV1" s="87" t="n"/>
      <c r="RQW1" s="87" t="n"/>
      <c r="RQX1" s="87" t="n"/>
      <c r="RQY1" s="87" t="n"/>
      <c r="RQZ1" s="87" t="n"/>
      <c r="RRA1" s="87" t="n"/>
      <c r="RRB1" s="87" t="n"/>
      <c r="RRC1" s="87" t="n"/>
      <c r="RRD1" s="87" t="n"/>
      <c r="RRE1" s="87" t="n"/>
      <c r="RRF1" s="87" t="n"/>
      <c r="RRG1" s="87" t="n"/>
      <c r="RRH1" s="87" t="n"/>
      <c r="RRI1" s="87" t="n"/>
      <c r="RRJ1" s="87" t="n"/>
      <c r="RRK1" s="87" t="n"/>
      <c r="RRL1" s="87" t="n"/>
      <c r="RRM1" s="87" t="n"/>
      <c r="RRN1" s="87" t="n"/>
      <c r="RRO1" s="87" t="n"/>
      <c r="RRP1" s="87" t="n"/>
      <c r="RRQ1" s="87" t="n"/>
      <c r="RRR1" s="87" t="n"/>
      <c r="RRS1" s="87" t="n"/>
      <c r="RRT1" s="87" t="n"/>
      <c r="RRU1" s="87" t="n"/>
      <c r="RRV1" s="87" t="n"/>
      <c r="RRW1" s="87" t="n"/>
      <c r="RRX1" s="87" t="n"/>
      <c r="RRY1" s="87" t="n"/>
      <c r="RRZ1" s="87" t="n"/>
      <c r="RSA1" s="87" t="n"/>
      <c r="RSB1" s="87" t="n"/>
      <c r="RSC1" s="87" t="n"/>
      <c r="RSD1" s="87" t="n"/>
      <c r="RSE1" s="87" t="n"/>
      <c r="RSF1" s="87" t="n"/>
      <c r="RSG1" s="87" t="n"/>
      <c r="RSH1" s="87" t="n"/>
      <c r="RSI1" s="87" t="n"/>
      <c r="RSJ1" s="87" t="n"/>
      <c r="RSK1" s="87" t="n"/>
      <c r="RSL1" s="87" t="n"/>
      <c r="RSM1" s="87" t="n"/>
      <c r="RSN1" s="87" t="n"/>
      <c r="RSO1" s="87" t="n"/>
      <c r="RSP1" s="87" t="n"/>
      <c r="RSQ1" s="87" t="n"/>
      <c r="RSR1" s="87" t="n"/>
      <c r="RSS1" s="87" t="n"/>
      <c r="RST1" s="87" t="n"/>
      <c r="RSU1" s="87" t="n"/>
      <c r="RSV1" s="87" t="n"/>
      <c r="RSW1" s="87" t="n"/>
      <c r="RSX1" s="87" t="n"/>
      <c r="RSY1" s="87" t="n"/>
      <c r="RSZ1" s="87" t="n"/>
      <c r="RTA1" s="87" t="n"/>
      <c r="RTB1" s="87" t="n"/>
      <c r="RTC1" s="87" t="n"/>
      <c r="RTD1" s="87" t="n"/>
      <c r="RTE1" s="87" t="n"/>
      <c r="RTF1" s="87" t="n"/>
      <c r="RTG1" s="87" t="n"/>
      <c r="RTH1" s="87" t="n"/>
      <c r="RTI1" s="87" t="n"/>
      <c r="RTJ1" s="87" t="n"/>
      <c r="RTK1" s="87" t="n"/>
      <c r="RTL1" s="87" t="n"/>
      <c r="RTM1" s="87" t="n"/>
      <c r="RTN1" s="87" t="n"/>
      <c r="RTO1" s="87" t="n"/>
      <c r="RTP1" s="87" t="n"/>
      <c r="RTQ1" s="87" t="n"/>
      <c r="RTR1" s="87" t="n"/>
      <c r="RTS1" s="87" t="n"/>
      <c r="RTT1" s="87" t="n"/>
      <c r="RTU1" s="87" t="n"/>
      <c r="RTV1" s="87" t="n"/>
      <c r="RTW1" s="87" t="n"/>
      <c r="RTX1" s="87" t="n"/>
      <c r="RTY1" s="87" t="n"/>
      <c r="RTZ1" s="87" t="n"/>
      <c r="RUA1" s="87" t="n"/>
      <c r="RUB1" s="87" t="n"/>
      <c r="RUC1" s="87" t="n"/>
      <c r="RUD1" s="87" t="n"/>
      <c r="RUE1" s="87" t="n"/>
      <c r="RUF1" s="87" t="n"/>
      <c r="RUG1" s="87" t="n"/>
      <c r="RUH1" s="87" t="n"/>
      <c r="RUI1" s="87" t="n"/>
      <c r="RUJ1" s="87" t="n"/>
      <c r="RUK1" s="87" t="n"/>
      <c r="RUL1" s="87" t="n"/>
      <c r="RUM1" s="87" t="n"/>
      <c r="RUN1" s="87" t="n"/>
      <c r="RUO1" s="87" t="n"/>
      <c r="RUP1" s="87" t="n"/>
      <c r="RUQ1" s="87" t="n"/>
      <c r="RUR1" s="87" t="n"/>
      <c r="RUS1" s="87" t="n"/>
      <c r="RUT1" s="87" t="n"/>
      <c r="RUU1" s="87" t="n"/>
      <c r="RUV1" s="87" t="n"/>
      <c r="RUW1" s="87" t="n"/>
      <c r="RUX1" s="87" t="n"/>
      <c r="RUY1" s="87" t="n"/>
      <c r="RUZ1" s="87" t="n"/>
      <c r="RVA1" s="87" t="n"/>
      <c r="RVB1" s="87" t="n"/>
      <c r="RVC1" s="87" t="n"/>
      <c r="RVD1" s="87" t="n"/>
      <c r="RVE1" s="87" t="n"/>
      <c r="RVF1" s="87" t="n"/>
      <c r="RVG1" s="87" t="n"/>
      <c r="RVH1" s="87" t="n"/>
      <c r="RVI1" s="87" t="n"/>
      <c r="RVJ1" s="87" t="n"/>
      <c r="RVK1" s="87" t="n"/>
      <c r="RVL1" s="87" t="n"/>
      <c r="RVM1" s="87" t="n"/>
      <c r="RVN1" s="87" t="n"/>
      <c r="RVO1" s="87" t="n"/>
      <c r="RVP1" s="87" t="n"/>
      <c r="RVQ1" s="87" t="n"/>
      <c r="RVR1" s="87" t="n"/>
      <c r="RVS1" s="87" t="n"/>
      <c r="RVT1" s="87" t="n"/>
      <c r="RVU1" s="87" t="n"/>
      <c r="RVV1" s="87" t="n"/>
      <c r="RVW1" s="87" t="n"/>
      <c r="RVX1" s="87" t="n"/>
      <c r="RVY1" s="87" t="n"/>
      <c r="RVZ1" s="87" t="n"/>
      <c r="RWA1" s="87" t="n"/>
      <c r="RWB1" s="87" t="n"/>
      <c r="RWC1" s="87" t="n"/>
      <c r="RWD1" s="87" t="n"/>
      <c r="RWE1" s="87" t="n"/>
      <c r="RWF1" s="87" t="n"/>
      <c r="RWG1" s="87" t="n"/>
      <c r="RWH1" s="87" t="n"/>
      <c r="RWI1" s="87" t="n"/>
      <c r="RWJ1" s="87" t="n"/>
      <c r="RWK1" s="87" t="n"/>
      <c r="RWL1" s="87" t="n"/>
      <c r="RWM1" s="87" t="n"/>
      <c r="RWN1" s="87" t="n"/>
      <c r="RWO1" s="87" t="n"/>
      <c r="RWP1" s="87" t="n"/>
      <c r="RWQ1" s="87" t="n"/>
      <c r="RWR1" s="87" t="n"/>
      <c r="RWS1" s="87" t="n"/>
      <c r="RWT1" s="87" t="n"/>
      <c r="RWU1" s="87" t="n"/>
      <c r="RWV1" s="87" t="n"/>
      <c r="RWW1" s="87" t="n"/>
      <c r="RWX1" s="87" t="n"/>
      <c r="RWY1" s="87" t="n"/>
      <c r="RWZ1" s="87" t="n"/>
      <c r="RXA1" s="87" t="n"/>
      <c r="RXB1" s="87" t="n"/>
      <c r="RXC1" s="87" t="n"/>
      <c r="RXD1" s="87" t="n"/>
      <c r="RXE1" s="87" t="n"/>
      <c r="RXF1" s="87" t="n"/>
      <c r="RXG1" s="87" t="n"/>
      <c r="RXH1" s="87" t="n"/>
      <c r="RXI1" s="87" t="n"/>
      <c r="RXJ1" s="87" t="n"/>
      <c r="RXK1" s="87" t="n"/>
      <c r="RXL1" s="87" t="n"/>
      <c r="RXM1" s="87" t="n"/>
      <c r="RXN1" s="87" t="n"/>
      <c r="RXO1" s="87" t="n"/>
      <c r="RXP1" s="87" t="n"/>
      <c r="RXQ1" s="87" t="n"/>
      <c r="RXR1" s="87" t="n"/>
      <c r="RXS1" s="87" t="n"/>
      <c r="RXT1" s="87" t="n"/>
      <c r="RXU1" s="87" t="n"/>
      <c r="RXV1" s="87" t="n"/>
      <c r="RXW1" s="87" t="n"/>
      <c r="RXX1" s="87" t="n"/>
      <c r="RXY1" s="87" t="n"/>
      <c r="RXZ1" s="87" t="n"/>
      <c r="RYA1" s="87" t="n"/>
      <c r="RYB1" s="87" t="n"/>
      <c r="RYC1" s="87" t="n"/>
      <c r="RYD1" s="87" t="n"/>
      <c r="RYE1" s="87" t="n"/>
      <c r="RYF1" s="87" t="n"/>
      <c r="RYG1" s="87" t="n"/>
      <c r="RYH1" s="87" t="n"/>
      <c r="RYI1" s="87" t="n"/>
      <c r="RYJ1" s="87" t="n"/>
      <c r="RYK1" s="87" t="n"/>
      <c r="RYL1" s="87" t="n"/>
      <c r="RYM1" s="87" t="n"/>
      <c r="RYN1" s="87" t="n"/>
      <c r="RYO1" s="87" t="n"/>
      <c r="RYP1" s="87" t="n"/>
      <c r="RYQ1" s="87" t="n"/>
      <c r="RYR1" s="87" t="n"/>
      <c r="RYS1" s="87" t="n"/>
      <c r="RYT1" s="87" t="n"/>
      <c r="RYU1" s="87" t="n"/>
      <c r="RYV1" s="87" t="n"/>
      <c r="RYW1" s="87" t="n"/>
      <c r="RYX1" s="87" t="n"/>
      <c r="RYY1" s="87" t="n"/>
      <c r="RYZ1" s="87" t="n"/>
      <c r="RZA1" s="87" t="n"/>
      <c r="RZB1" s="87" t="n"/>
      <c r="RZC1" s="87" t="n"/>
      <c r="RZD1" s="87" t="n"/>
      <c r="RZE1" s="87" t="n"/>
      <c r="RZF1" s="87" t="n"/>
      <c r="RZG1" s="87" t="n"/>
      <c r="RZH1" s="87" t="n"/>
      <c r="RZI1" s="87" t="n"/>
      <c r="RZJ1" s="87" t="n"/>
      <c r="RZK1" s="87" t="n"/>
      <c r="RZL1" s="87" t="n"/>
      <c r="RZM1" s="87" t="n"/>
      <c r="RZN1" s="87" t="n"/>
      <c r="RZO1" s="87" t="n"/>
      <c r="RZP1" s="87" t="n"/>
      <c r="RZQ1" s="87" t="n"/>
      <c r="RZR1" s="87" t="n"/>
      <c r="RZS1" s="87" t="n"/>
      <c r="RZT1" s="87" t="n"/>
      <c r="RZU1" s="87" t="n"/>
      <c r="RZV1" s="87" t="n"/>
      <c r="RZW1" s="87" t="n"/>
      <c r="RZX1" s="87" t="n"/>
      <c r="RZY1" s="87" t="n"/>
      <c r="RZZ1" s="87" t="n"/>
      <c r="SAA1" s="87" t="n"/>
      <c r="SAB1" s="87" t="n"/>
      <c r="SAC1" s="87" t="n"/>
      <c r="SAD1" s="87" t="n"/>
      <c r="SAE1" s="87" t="n"/>
      <c r="SAF1" s="87" t="n"/>
      <c r="SAG1" s="87" t="n"/>
      <c r="SAH1" s="87" t="n"/>
      <c r="SAI1" s="87" t="n"/>
      <c r="SAJ1" s="87" t="n"/>
      <c r="SAK1" s="87" t="n"/>
      <c r="SAL1" s="87" t="n"/>
      <c r="SAM1" s="87" t="n"/>
      <c r="SAN1" s="87" t="n"/>
      <c r="SAO1" s="87" t="n"/>
      <c r="SAP1" s="87" t="n"/>
      <c r="SAQ1" s="87" t="n"/>
      <c r="SAR1" s="87" t="n"/>
      <c r="SAS1" s="87" t="n"/>
      <c r="SAT1" s="87" t="n"/>
      <c r="SAU1" s="87" t="n"/>
      <c r="SAV1" s="87" t="n"/>
      <c r="SAW1" s="87" t="n"/>
      <c r="SAX1" s="87" t="n"/>
      <c r="SAY1" s="87" t="n"/>
      <c r="SAZ1" s="87" t="n"/>
      <c r="SBA1" s="87" t="n"/>
      <c r="SBB1" s="87" t="n"/>
      <c r="SBC1" s="87" t="n"/>
      <c r="SBD1" s="87" t="n"/>
      <c r="SBE1" s="87" t="n"/>
      <c r="SBF1" s="87" t="n"/>
      <c r="SBG1" s="87" t="n"/>
      <c r="SBH1" s="87" t="n"/>
      <c r="SBI1" s="87" t="n"/>
      <c r="SBJ1" s="87" t="n"/>
      <c r="SBK1" s="87" t="n"/>
      <c r="SBL1" s="87" t="n"/>
      <c r="SBM1" s="87" t="n"/>
      <c r="SBN1" s="87" t="n"/>
      <c r="SBO1" s="87" t="n"/>
      <c r="SBP1" s="87" t="n"/>
      <c r="SBQ1" s="87" t="n"/>
      <c r="SBR1" s="87" t="n"/>
      <c r="SBS1" s="87" t="n"/>
      <c r="SBT1" s="87" t="n"/>
      <c r="SBU1" s="87" t="n"/>
      <c r="SBV1" s="87" t="n"/>
      <c r="SBW1" s="87" t="n"/>
      <c r="SBX1" s="87" t="n"/>
      <c r="SBY1" s="87" t="n"/>
      <c r="SBZ1" s="87" t="n"/>
      <c r="SCA1" s="87" t="n"/>
      <c r="SCB1" s="87" t="n"/>
      <c r="SCC1" s="87" t="n"/>
      <c r="SCD1" s="87" t="n"/>
      <c r="SCE1" s="87" t="n"/>
      <c r="SCF1" s="87" t="n"/>
      <c r="SCG1" s="87" t="n"/>
      <c r="SCH1" s="87" t="n"/>
      <c r="SCI1" s="87" t="n"/>
      <c r="SCJ1" s="87" t="n"/>
      <c r="SCK1" s="87" t="n"/>
      <c r="SCL1" s="87" t="n"/>
      <c r="SCM1" s="87" t="n"/>
      <c r="SCN1" s="87" t="n"/>
      <c r="SCO1" s="87" t="n"/>
      <c r="SCP1" s="87" t="n"/>
      <c r="SCQ1" s="87" t="n"/>
      <c r="SCR1" s="87" t="n"/>
      <c r="SCS1" s="87" t="n"/>
      <c r="SCT1" s="87" t="n"/>
      <c r="SCU1" s="87" t="n"/>
      <c r="SCV1" s="87" t="n"/>
      <c r="SCW1" s="87" t="n"/>
      <c r="SCX1" s="87" t="n"/>
      <c r="SCY1" s="87" t="n"/>
      <c r="SCZ1" s="87" t="n"/>
      <c r="SDA1" s="87" t="n"/>
      <c r="SDB1" s="87" t="n"/>
      <c r="SDC1" s="87" t="n"/>
      <c r="SDD1" s="87" t="n"/>
      <c r="SDE1" s="87" t="n"/>
      <c r="SDF1" s="87" t="n"/>
      <c r="SDG1" s="87" t="n"/>
      <c r="SDH1" s="87" t="n"/>
      <c r="SDI1" s="87" t="n"/>
      <c r="SDJ1" s="87" t="n"/>
      <c r="SDK1" s="87" t="n"/>
      <c r="SDL1" s="87" t="n"/>
      <c r="SDM1" s="87" t="n"/>
      <c r="SDN1" s="87" t="n"/>
      <c r="SDO1" s="87" t="n"/>
      <c r="SDP1" s="87" t="n"/>
      <c r="SDQ1" s="87" t="n"/>
      <c r="SDR1" s="87" t="n"/>
      <c r="SDS1" s="87" t="n"/>
      <c r="SDT1" s="87" t="n"/>
      <c r="SDU1" s="87" t="n"/>
      <c r="SDV1" s="87" t="n"/>
      <c r="SDW1" s="87" t="n"/>
      <c r="SDX1" s="87" t="n"/>
      <c r="SDY1" s="87" t="n"/>
      <c r="SDZ1" s="87" t="n"/>
      <c r="SEA1" s="87" t="n"/>
      <c r="SEB1" s="87" t="n"/>
      <c r="SEC1" s="87" t="n"/>
      <c r="SED1" s="87" t="n"/>
      <c r="SEE1" s="87" t="n"/>
      <c r="SEF1" s="87" t="n"/>
      <c r="SEG1" s="87" t="n"/>
      <c r="SEH1" s="87" t="n"/>
      <c r="SEI1" s="87" t="n"/>
      <c r="SEJ1" s="87" t="n"/>
      <c r="SEK1" s="87" t="n"/>
      <c r="SEL1" s="87" t="n"/>
      <c r="SEM1" s="87" t="n"/>
      <c r="SEN1" s="87" t="n"/>
      <c r="SEO1" s="87" t="n"/>
      <c r="SEP1" s="87" t="n"/>
      <c r="SEQ1" s="87" t="n"/>
      <c r="SER1" s="87" t="n"/>
      <c r="SES1" s="87" t="n"/>
      <c r="SET1" s="87" t="n"/>
      <c r="SEU1" s="87" t="n"/>
      <c r="SEV1" s="87" t="n"/>
      <c r="SEW1" s="87" t="n"/>
      <c r="SEX1" s="87" t="n"/>
      <c r="SEY1" s="87" t="n"/>
      <c r="SEZ1" s="87" t="n"/>
      <c r="SFA1" s="87" t="n"/>
      <c r="SFB1" s="87" t="n"/>
      <c r="SFC1" s="87" t="n"/>
      <c r="SFD1" s="87" t="n"/>
      <c r="SFE1" s="87" t="n"/>
      <c r="SFF1" s="87" t="n"/>
      <c r="SFG1" s="87" t="n"/>
      <c r="SFH1" s="87" t="n"/>
      <c r="SFI1" s="87" t="n"/>
      <c r="SFJ1" s="87" t="n"/>
      <c r="SFK1" s="87" t="n"/>
      <c r="SFL1" s="87" t="n"/>
      <c r="SFM1" s="87" t="n"/>
      <c r="SFN1" s="87" t="n"/>
      <c r="SFO1" s="87" t="n"/>
      <c r="SFP1" s="87" t="n"/>
      <c r="SFQ1" s="87" t="n"/>
      <c r="SFR1" s="87" t="n"/>
      <c r="SFS1" s="87" t="n"/>
      <c r="SFT1" s="87" t="n"/>
      <c r="SFU1" s="87" t="n"/>
      <c r="SFV1" s="87" t="n"/>
      <c r="SFW1" s="87" t="n"/>
      <c r="SFX1" s="87" t="n"/>
      <c r="SFY1" s="87" t="n"/>
      <c r="SFZ1" s="87" t="n"/>
      <c r="SGA1" s="87" t="n"/>
      <c r="SGB1" s="87" t="n"/>
      <c r="SGC1" s="87" t="n"/>
      <c r="SGD1" s="87" t="n"/>
      <c r="SGE1" s="87" t="n"/>
      <c r="SGF1" s="87" t="n"/>
      <c r="SGG1" s="87" t="n"/>
      <c r="SGH1" s="87" t="n"/>
      <c r="SGI1" s="87" t="n"/>
      <c r="SGJ1" s="87" t="n"/>
      <c r="SGK1" s="87" t="n"/>
      <c r="SGL1" s="87" t="n"/>
      <c r="SGM1" s="87" t="n"/>
      <c r="SGN1" s="87" t="n"/>
      <c r="SGO1" s="87" t="n"/>
      <c r="SGP1" s="87" t="n"/>
      <c r="SGQ1" s="87" t="n"/>
      <c r="SGR1" s="87" t="n"/>
      <c r="SGS1" s="87" t="n"/>
      <c r="SGT1" s="87" t="n"/>
      <c r="SGU1" s="87" t="n"/>
      <c r="SGV1" s="87" t="n"/>
      <c r="SGW1" s="87" t="n"/>
      <c r="SGX1" s="87" t="n"/>
      <c r="SGY1" s="87" t="n"/>
      <c r="SGZ1" s="87" t="n"/>
      <c r="SHA1" s="87" t="n"/>
      <c r="SHB1" s="87" t="n"/>
      <c r="SHC1" s="87" t="n"/>
      <c r="SHD1" s="87" t="n"/>
      <c r="SHE1" s="87" t="n"/>
      <c r="SHF1" s="87" t="n"/>
      <c r="SHG1" s="87" t="n"/>
      <c r="SHH1" s="87" t="n"/>
      <c r="SHI1" s="87" t="n"/>
      <c r="SHJ1" s="87" t="n"/>
      <c r="SHK1" s="87" t="n"/>
      <c r="SHL1" s="87" t="n"/>
      <c r="SHM1" s="87" t="n"/>
      <c r="SHN1" s="87" t="n"/>
      <c r="SHO1" s="87" t="n"/>
      <c r="SHP1" s="87" t="n"/>
      <c r="SHQ1" s="87" t="n"/>
      <c r="SHR1" s="87" t="n"/>
      <c r="SHS1" s="87" t="n"/>
      <c r="SHT1" s="87" t="n"/>
      <c r="SHU1" s="87" t="n"/>
      <c r="SHV1" s="87" t="n"/>
      <c r="SHW1" s="87" t="n"/>
      <c r="SHX1" s="87" t="n"/>
      <c r="SHY1" s="87" t="n"/>
      <c r="SHZ1" s="87" t="n"/>
      <c r="SIA1" s="87" t="n"/>
      <c r="SIB1" s="87" t="n"/>
      <c r="SIC1" s="87" t="n"/>
      <c r="SID1" s="87" t="n"/>
      <c r="SIE1" s="87" t="n"/>
      <c r="SIF1" s="87" t="n"/>
      <c r="SIG1" s="87" t="n"/>
      <c r="SIH1" s="87" t="n"/>
      <c r="SII1" s="87" t="n"/>
      <c r="SIJ1" s="87" t="n"/>
      <c r="SIK1" s="87" t="n"/>
      <c r="SIL1" s="87" t="n"/>
      <c r="SIM1" s="87" t="n"/>
      <c r="SIN1" s="87" t="n"/>
      <c r="SIO1" s="87" t="n"/>
      <c r="SIP1" s="87" t="n"/>
      <c r="SIQ1" s="87" t="n"/>
      <c r="SIR1" s="87" t="n"/>
      <c r="SIS1" s="87" t="n"/>
      <c r="SIT1" s="87" t="n"/>
      <c r="SIU1" s="87" t="n"/>
      <c r="SIV1" s="87" t="n"/>
      <c r="SIW1" s="87" t="n"/>
      <c r="SIX1" s="87" t="n"/>
      <c r="SIY1" s="87" t="n"/>
      <c r="SIZ1" s="87" t="n"/>
      <c r="SJA1" s="87" t="n"/>
      <c r="SJB1" s="87" t="n"/>
      <c r="SJC1" s="87" t="n"/>
      <c r="SJD1" s="87" t="n"/>
      <c r="SJE1" s="87" t="n"/>
      <c r="SJF1" s="87" t="n"/>
      <c r="SJG1" s="87" t="n"/>
      <c r="SJH1" s="87" t="n"/>
      <c r="SJI1" s="87" t="n"/>
      <c r="SJJ1" s="87" t="n"/>
      <c r="SJK1" s="87" t="n"/>
      <c r="SJL1" s="87" t="n"/>
      <c r="SJM1" s="87" t="n"/>
      <c r="SJN1" s="87" t="n"/>
      <c r="SJO1" s="87" t="n"/>
      <c r="SJP1" s="87" t="n"/>
      <c r="SJQ1" s="87" t="n"/>
      <c r="SJR1" s="87" t="n"/>
      <c r="SJS1" s="87" t="n"/>
      <c r="SJT1" s="87" t="n"/>
      <c r="SJU1" s="87" t="n"/>
      <c r="SJV1" s="87" t="n"/>
      <c r="SJW1" s="87" t="n"/>
      <c r="SJX1" s="87" t="n"/>
      <c r="SJY1" s="87" t="n"/>
      <c r="SJZ1" s="87" t="n"/>
      <c r="SKA1" s="87" t="n"/>
      <c r="SKB1" s="87" t="n"/>
      <c r="SKC1" s="87" t="n"/>
      <c r="SKD1" s="87" t="n"/>
      <c r="SKE1" s="87" t="n"/>
      <c r="SKF1" s="87" t="n"/>
      <c r="SKG1" s="87" t="n"/>
      <c r="SKH1" s="87" t="n"/>
      <c r="SKI1" s="87" t="n"/>
      <c r="SKJ1" s="87" t="n"/>
      <c r="SKK1" s="87" t="n"/>
      <c r="SKL1" s="87" t="n"/>
      <c r="SKM1" s="87" t="n"/>
      <c r="SKN1" s="87" t="n"/>
      <c r="SKO1" s="87" t="n"/>
      <c r="SKP1" s="87" t="n"/>
      <c r="SKQ1" s="87" t="n"/>
      <c r="SKR1" s="87" t="n"/>
      <c r="SKS1" s="87" t="n"/>
      <c r="SKT1" s="87" t="n"/>
      <c r="SKU1" s="87" t="n"/>
      <c r="SKV1" s="87" t="n"/>
      <c r="SKW1" s="87" t="n"/>
      <c r="SKX1" s="87" t="n"/>
      <c r="SKY1" s="87" t="n"/>
      <c r="SKZ1" s="87" t="n"/>
      <c r="SLA1" s="87" t="n"/>
      <c r="SLB1" s="87" t="n"/>
      <c r="SLC1" s="87" t="n"/>
      <c r="SLD1" s="87" t="n"/>
      <c r="SLE1" s="87" t="n"/>
      <c r="SLF1" s="87" t="n"/>
      <c r="SLG1" s="87" t="n"/>
      <c r="SLH1" s="87" t="n"/>
      <c r="SLI1" s="87" t="n"/>
      <c r="SLJ1" s="87" t="n"/>
      <c r="SLK1" s="87" t="n"/>
      <c r="SLL1" s="87" t="n"/>
      <c r="SLM1" s="87" t="n"/>
      <c r="SLN1" s="87" t="n"/>
      <c r="SLO1" s="87" t="n"/>
      <c r="SLP1" s="87" t="n"/>
      <c r="SLQ1" s="87" t="n"/>
      <c r="SLR1" s="87" t="n"/>
      <c r="SLS1" s="87" t="n"/>
      <c r="SLT1" s="87" t="n"/>
      <c r="SLU1" s="87" t="n"/>
      <c r="SLV1" s="87" t="n"/>
      <c r="SLW1" s="87" t="n"/>
      <c r="SLX1" s="87" t="n"/>
      <c r="SLY1" s="87" t="n"/>
      <c r="SLZ1" s="87" t="n"/>
      <c r="SMA1" s="87" t="n"/>
      <c r="SMB1" s="87" t="n"/>
      <c r="SMC1" s="87" t="n"/>
      <c r="SMD1" s="87" t="n"/>
      <c r="SME1" s="87" t="n"/>
      <c r="SMF1" s="87" t="n"/>
      <c r="SMG1" s="87" t="n"/>
      <c r="SMH1" s="87" t="n"/>
      <c r="SMI1" s="87" t="n"/>
      <c r="SMJ1" s="87" t="n"/>
      <c r="SMK1" s="87" t="n"/>
      <c r="SML1" s="87" t="n"/>
      <c r="SMM1" s="87" t="n"/>
      <c r="SMN1" s="87" t="n"/>
      <c r="SMO1" s="87" t="n"/>
      <c r="SMP1" s="87" t="n"/>
      <c r="SMQ1" s="87" t="n"/>
      <c r="SMR1" s="87" t="n"/>
      <c r="SMS1" s="87" t="n"/>
      <c r="SMT1" s="87" t="n"/>
      <c r="SMU1" s="87" t="n"/>
      <c r="SMV1" s="87" t="n"/>
      <c r="SMW1" s="87" t="n"/>
      <c r="SMX1" s="87" t="n"/>
      <c r="SMY1" s="87" t="n"/>
      <c r="SMZ1" s="87" t="n"/>
      <c r="SNA1" s="87" t="n"/>
      <c r="SNB1" s="87" t="n"/>
      <c r="SNC1" s="87" t="n"/>
      <c r="SND1" s="87" t="n"/>
      <c r="SNE1" s="87" t="n"/>
      <c r="SNF1" s="87" t="n"/>
      <c r="SNG1" s="87" t="n"/>
      <c r="SNH1" s="87" t="n"/>
      <c r="SNI1" s="87" t="n"/>
      <c r="SNJ1" s="87" t="n"/>
      <c r="SNK1" s="87" t="n"/>
      <c r="SNL1" s="87" t="n"/>
      <c r="SNM1" s="87" t="n"/>
      <c r="SNN1" s="87" t="n"/>
      <c r="SNO1" s="87" t="n"/>
      <c r="SNP1" s="87" t="n"/>
      <c r="SNQ1" s="87" t="n"/>
      <c r="SNR1" s="87" t="n"/>
      <c r="SNS1" s="87" t="n"/>
      <c r="SNT1" s="87" t="n"/>
      <c r="SNU1" s="87" t="n"/>
      <c r="SNV1" s="87" t="n"/>
      <c r="SNW1" s="87" t="n"/>
      <c r="SNX1" s="87" t="n"/>
      <c r="SNY1" s="87" t="n"/>
      <c r="SNZ1" s="87" t="n"/>
      <c r="SOA1" s="87" t="n"/>
      <c r="SOB1" s="87" t="n"/>
      <c r="SOC1" s="87" t="n"/>
      <c r="SOD1" s="87" t="n"/>
      <c r="SOE1" s="87" t="n"/>
      <c r="SOF1" s="87" t="n"/>
      <c r="SOG1" s="87" t="n"/>
      <c r="SOH1" s="87" t="n"/>
      <c r="SOI1" s="87" t="n"/>
      <c r="SOJ1" s="87" t="n"/>
      <c r="SOK1" s="87" t="n"/>
      <c r="SOL1" s="87" t="n"/>
      <c r="SOM1" s="87" t="n"/>
      <c r="SON1" s="87" t="n"/>
      <c r="SOO1" s="87" t="n"/>
      <c r="SOP1" s="87" t="n"/>
      <c r="SOQ1" s="87" t="n"/>
      <c r="SOR1" s="87" t="n"/>
      <c r="SOS1" s="87" t="n"/>
      <c r="SOT1" s="87" t="n"/>
      <c r="SOU1" s="87" t="n"/>
      <c r="SOV1" s="87" t="n"/>
      <c r="SOW1" s="87" t="n"/>
      <c r="SOX1" s="87" t="n"/>
      <c r="SOY1" s="87" t="n"/>
      <c r="SOZ1" s="87" t="n"/>
      <c r="SPA1" s="87" t="n"/>
      <c r="SPB1" s="87" t="n"/>
      <c r="SPC1" s="87" t="n"/>
      <c r="SPD1" s="87" t="n"/>
      <c r="SPE1" s="87" t="n"/>
      <c r="SPF1" s="87" t="n"/>
      <c r="SPG1" s="87" t="n"/>
      <c r="SPH1" s="87" t="n"/>
      <c r="SPI1" s="87" t="n"/>
      <c r="SPJ1" s="87" t="n"/>
      <c r="SPK1" s="87" t="n"/>
      <c r="SPL1" s="87" t="n"/>
      <c r="SPM1" s="87" t="n"/>
      <c r="SPN1" s="87" t="n"/>
      <c r="SPO1" s="87" t="n"/>
      <c r="SPP1" s="87" t="n"/>
      <c r="SPQ1" s="87" t="n"/>
      <c r="SPR1" s="87" t="n"/>
      <c r="SPS1" s="87" t="n"/>
      <c r="SPT1" s="87" t="n"/>
      <c r="SPU1" s="87" t="n"/>
      <c r="SPV1" s="87" t="n"/>
      <c r="SPW1" s="87" t="n"/>
      <c r="SPX1" s="87" t="n"/>
      <c r="SPY1" s="87" t="n"/>
      <c r="SPZ1" s="87" t="n"/>
      <c r="SQA1" s="87" t="n"/>
      <c r="SQB1" s="87" t="n"/>
      <c r="SQC1" s="87" t="n"/>
      <c r="SQD1" s="87" t="n"/>
      <c r="SQE1" s="87" t="n"/>
      <c r="SQF1" s="87" t="n"/>
      <c r="SQG1" s="87" t="n"/>
      <c r="SQH1" s="87" t="n"/>
      <c r="SQI1" s="87" t="n"/>
      <c r="SQJ1" s="87" t="n"/>
      <c r="SQK1" s="87" t="n"/>
      <c r="SQL1" s="87" t="n"/>
      <c r="SQM1" s="87" t="n"/>
      <c r="SQN1" s="87" t="n"/>
      <c r="SQO1" s="87" t="n"/>
      <c r="SQP1" s="87" t="n"/>
      <c r="SQQ1" s="87" t="n"/>
      <c r="SQR1" s="87" t="n"/>
      <c r="SQS1" s="87" t="n"/>
      <c r="SQT1" s="87" t="n"/>
      <c r="SQU1" s="87" t="n"/>
      <c r="SQV1" s="87" t="n"/>
      <c r="SQW1" s="87" t="n"/>
      <c r="SQX1" s="87" t="n"/>
      <c r="SQY1" s="87" t="n"/>
      <c r="SQZ1" s="87" t="n"/>
      <c r="SRA1" s="87" t="n"/>
      <c r="SRB1" s="87" t="n"/>
      <c r="SRC1" s="87" t="n"/>
      <c r="SRD1" s="87" t="n"/>
      <c r="SRE1" s="87" t="n"/>
      <c r="SRF1" s="87" t="n"/>
      <c r="SRG1" s="87" t="n"/>
      <c r="SRH1" s="87" t="n"/>
      <c r="SRI1" s="87" t="n"/>
      <c r="SRJ1" s="87" t="n"/>
      <c r="SRK1" s="87" t="n"/>
      <c r="SRL1" s="87" t="n"/>
      <c r="SRM1" s="87" t="n"/>
      <c r="SRN1" s="87" t="n"/>
      <c r="SRO1" s="87" t="n"/>
      <c r="SRP1" s="87" t="n"/>
      <c r="SRQ1" s="87" t="n"/>
      <c r="SRR1" s="87" t="n"/>
      <c r="SRS1" s="87" t="n"/>
      <c r="SRT1" s="87" t="n"/>
      <c r="SRU1" s="87" t="n"/>
      <c r="SRV1" s="87" t="n"/>
      <c r="SRW1" s="87" t="n"/>
      <c r="SRX1" s="87" t="n"/>
      <c r="SRY1" s="87" t="n"/>
      <c r="SRZ1" s="87" t="n"/>
      <c r="SSA1" s="87" t="n"/>
      <c r="SSB1" s="87" t="n"/>
      <c r="SSC1" s="87" t="n"/>
      <c r="SSD1" s="87" t="n"/>
      <c r="SSE1" s="87" t="n"/>
      <c r="SSF1" s="87" t="n"/>
      <c r="SSG1" s="87" t="n"/>
      <c r="SSH1" s="87" t="n"/>
      <c r="SSI1" s="87" t="n"/>
      <c r="SSJ1" s="87" t="n"/>
      <c r="SSK1" s="87" t="n"/>
      <c r="SSL1" s="87" t="n"/>
      <c r="SSM1" s="87" t="n"/>
      <c r="SSN1" s="87" t="n"/>
      <c r="SSO1" s="87" t="n"/>
      <c r="SSP1" s="87" t="n"/>
      <c r="SSQ1" s="87" t="n"/>
      <c r="SSR1" s="87" t="n"/>
      <c r="SSS1" s="87" t="n"/>
      <c r="SST1" s="87" t="n"/>
      <c r="SSU1" s="87" t="n"/>
      <c r="SSV1" s="87" t="n"/>
      <c r="SSW1" s="87" t="n"/>
      <c r="SSX1" s="87" t="n"/>
      <c r="SSY1" s="87" t="n"/>
      <c r="SSZ1" s="87" t="n"/>
      <c r="STA1" s="87" t="n"/>
      <c r="STB1" s="87" t="n"/>
      <c r="STC1" s="87" t="n"/>
      <c r="STD1" s="87" t="n"/>
      <c r="STE1" s="87" t="n"/>
      <c r="STF1" s="87" t="n"/>
      <c r="STG1" s="87" t="n"/>
      <c r="STH1" s="87" t="n"/>
      <c r="STI1" s="87" t="n"/>
      <c r="STJ1" s="87" t="n"/>
      <c r="STK1" s="87" t="n"/>
      <c r="STL1" s="87" t="n"/>
      <c r="STM1" s="87" t="n"/>
      <c r="STN1" s="87" t="n"/>
      <c r="STO1" s="87" t="n"/>
      <c r="STP1" s="87" t="n"/>
      <c r="STQ1" s="87" t="n"/>
      <c r="STR1" s="87" t="n"/>
      <c r="STS1" s="87" t="n"/>
      <c r="STT1" s="87" t="n"/>
      <c r="STU1" s="87" t="n"/>
      <c r="STV1" s="87" t="n"/>
      <c r="STW1" s="87" t="n"/>
      <c r="STX1" s="87" t="n"/>
      <c r="STY1" s="87" t="n"/>
      <c r="STZ1" s="87" t="n"/>
      <c r="SUA1" s="87" t="n"/>
      <c r="SUB1" s="87" t="n"/>
      <c r="SUC1" s="87" t="n"/>
      <c r="SUD1" s="87" t="n"/>
      <c r="SUE1" s="87" t="n"/>
      <c r="SUF1" s="87" t="n"/>
      <c r="SUG1" s="87" t="n"/>
      <c r="SUH1" s="87" t="n"/>
      <c r="SUI1" s="87" t="n"/>
      <c r="SUJ1" s="87" t="n"/>
      <c r="SUK1" s="87" t="n"/>
      <c r="SUL1" s="87" t="n"/>
      <c r="SUM1" s="87" t="n"/>
      <c r="SUN1" s="87" t="n"/>
      <c r="SUO1" s="87" t="n"/>
      <c r="SUP1" s="87" t="n"/>
      <c r="SUQ1" s="87" t="n"/>
      <c r="SUR1" s="87" t="n"/>
      <c r="SUS1" s="87" t="n"/>
      <c r="SUT1" s="87" t="n"/>
      <c r="SUU1" s="87" t="n"/>
      <c r="SUV1" s="87" t="n"/>
      <c r="SUW1" s="87" t="n"/>
      <c r="SUX1" s="87" t="n"/>
      <c r="SUY1" s="87" t="n"/>
      <c r="SUZ1" s="87" t="n"/>
      <c r="SVA1" s="87" t="n"/>
      <c r="SVB1" s="87" t="n"/>
      <c r="SVC1" s="87" t="n"/>
      <c r="SVD1" s="87" t="n"/>
      <c r="SVE1" s="87" t="n"/>
      <c r="SVF1" s="87" t="n"/>
      <c r="SVG1" s="87" t="n"/>
      <c r="SVH1" s="87" t="n"/>
      <c r="SVI1" s="87" t="n"/>
      <c r="SVJ1" s="87" t="n"/>
      <c r="SVK1" s="87" t="n"/>
      <c r="SVL1" s="87" t="n"/>
      <c r="SVM1" s="87" t="n"/>
      <c r="SVN1" s="87" t="n"/>
      <c r="SVO1" s="87" t="n"/>
      <c r="SVP1" s="87" t="n"/>
      <c r="SVQ1" s="87" t="n"/>
      <c r="SVR1" s="87" t="n"/>
      <c r="SVS1" s="87" t="n"/>
      <c r="SVT1" s="87" t="n"/>
      <c r="SVU1" s="87" t="n"/>
      <c r="SVV1" s="87" t="n"/>
      <c r="SVW1" s="87" t="n"/>
      <c r="SVX1" s="87" t="n"/>
      <c r="SVY1" s="87" t="n"/>
      <c r="SVZ1" s="87" t="n"/>
      <c r="SWA1" s="87" t="n"/>
      <c r="SWB1" s="87" t="n"/>
      <c r="SWC1" s="87" t="n"/>
      <c r="SWD1" s="87" t="n"/>
      <c r="SWE1" s="87" t="n"/>
      <c r="SWF1" s="87" t="n"/>
      <c r="SWG1" s="87" t="n"/>
      <c r="SWH1" s="87" t="n"/>
      <c r="SWI1" s="87" t="n"/>
      <c r="SWJ1" s="87" t="n"/>
      <c r="SWK1" s="87" t="n"/>
      <c r="SWL1" s="87" t="n"/>
      <c r="SWM1" s="87" t="n"/>
      <c r="SWN1" s="87" t="n"/>
      <c r="SWO1" s="87" t="n"/>
      <c r="SWP1" s="87" t="n"/>
      <c r="SWQ1" s="87" t="n"/>
      <c r="SWR1" s="87" t="n"/>
      <c r="SWS1" s="87" t="n"/>
      <c r="SWT1" s="87" t="n"/>
      <c r="SWU1" s="87" t="n"/>
      <c r="SWV1" s="87" t="n"/>
      <c r="SWW1" s="87" t="n"/>
      <c r="SWX1" s="87" t="n"/>
      <c r="SWY1" s="87" t="n"/>
      <c r="SWZ1" s="87" t="n"/>
      <c r="SXA1" s="87" t="n"/>
      <c r="SXB1" s="87" t="n"/>
      <c r="SXC1" s="87" t="n"/>
      <c r="SXD1" s="87" t="n"/>
      <c r="SXE1" s="87" t="n"/>
      <c r="SXF1" s="87" t="n"/>
      <c r="SXG1" s="87" t="n"/>
      <c r="SXH1" s="87" t="n"/>
      <c r="SXI1" s="87" t="n"/>
      <c r="SXJ1" s="87" t="n"/>
      <c r="SXK1" s="87" t="n"/>
      <c r="SXL1" s="87" t="n"/>
      <c r="SXM1" s="87" t="n"/>
      <c r="SXN1" s="87" t="n"/>
      <c r="SXO1" s="87" t="n"/>
      <c r="SXP1" s="87" t="n"/>
      <c r="SXQ1" s="87" t="n"/>
      <c r="SXR1" s="87" t="n"/>
      <c r="SXS1" s="87" t="n"/>
      <c r="SXT1" s="87" t="n"/>
      <c r="SXU1" s="87" t="n"/>
      <c r="SXV1" s="87" t="n"/>
      <c r="SXW1" s="87" t="n"/>
      <c r="SXX1" s="87" t="n"/>
      <c r="SXY1" s="87" t="n"/>
      <c r="SXZ1" s="87" t="n"/>
      <c r="SYA1" s="87" t="n"/>
      <c r="SYB1" s="87" t="n"/>
      <c r="SYC1" s="87" t="n"/>
      <c r="SYD1" s="87" t="n"/>
      <c r="SYE1" s="87" t="n"/>
      <c r="SYF1" s="87" t="n"/>
      <c r="SYG1" s="87" t="n"/>
      <c r="SYH1" s="87" t="n"/>
      <c r="SYI1" s="87" t="n"/>
      <c r="SYJ1" s="87" t="n"/>
      <c r="SYK1" s="87" t="n"/>
      <c r="SYL1" s="87" t="n"/>
      <c r="SYM1" s="87" t="n"/>
      <c r="SYN1" s="87" t="n"/>
      <c r="SYO1" s="87" t="n"/>
      <c r="SYP1" s="87" t="n"/>
      <c r="SYQ1" s="87" t="n"/>
      <c r="SYR1" s="87" t="n"/>
      <c r="SYS1" s="87" t="n"/>
      <c r="SYT1" s="87" t="n"/>
      <c r="SYU1" s="87" t="n"/>
      <c r="SYV1" s="87" t="n"/>
      <c r="SYW1" s="87" t="n"/>
      <c r="SYX1" s="87" t="n"/>
      <c r="SYY1" s="87" t="n"/>
      <c r="SYZ1" s="87" t="n"/>
      <c r="SZA1" s="87" t="n"/>
      <c r="SZB1" s="87" t="n"/>
      <c r="SZC1" s="87" t="n"/>
      <c r="SZD1" s="87" t="n"/>
      <c r="SZE1" s="87" t="n"/>
      <c r="SZF1" s="87" t="n"/>
      <c r="SZG1" s="87" t="n"/>
      <c r="SZH1" s="87" t="n"/>
      <c r="SZI1" s="87" t="n"/>
      <c r="SZJ1" s="87" t="n"/>
      <c r="SZK1" s="87" t="n"/>
      <c r="SZL1" s="87" t="n"/>
      <c r="SZM1" s="87" t="n"/>
      <c r="SZN1" s="87" t="n"/>
      <c r="SZO1" s="87" t="n"/>
      <c r="SZP1" s="87" t="n"/>
      <c r="SZQ1" s="87" t="n"/>
      <c r="SZR1" s="87" t="n"/>
      <c r="SZS1" s="87" t="n"/>
      <c r="SZT1" s="87" t="n"/>
      <c r="SZU1" s="87" t="n"/>
      <c r="SZV1" s="87" t="n"/>
      <c r="SZW1" s="87" t="n"/>
      <c r="SZX1" s="87" t="n"/>
      <c r="SZY1" s="87" t="n"/>
      <c r="SZZ1" s="87" t="n"/>
      <c r="TAA1" s="87" t="n"/>
      <c r="TAB1" s="87" t="n"/>
      <c r="TAC1" s="87" t="n"/>
      <c r="TAD1" s="87" t="n"/>
      <c r="TAE1" s="87" t="n"/>
      <c r="TAF1" s="87" t="n"/>
      <c r="TAG1" s="87" t="n"/>
      <c r="TAH1" s="87" t="n"/>
      <c r="TAI1" s="87" t="n"/>
      <c r="TAJ1" s="87" t="n"/>
      <c r="TAK1" s="87" t="n"/>
      <c r="TAL1" s="87" t="n"/>
      <c r="TAM1" s="87" t="n"/>
      <c r="TAN1" s="87" t="n"/>
      <c r="TAO1" s="87" t="n"/>
      <c r="TAP1" s="87" t="n"/>
      <c r="TAQ1" s="87" t="n"/>
      <c r="TAR1" s="87" t="n"/>
      <c r="TAS1" s="87" t="n"/>
      <c r="TAT1" s="87" t="n"/>
      <c r="TAU1" s="87" t="n"/>
      <c r="TAV1" s="87" t="n"/>
      <c r="TAW1" s="87" t="n"/>
      <c r="TAX1" s="87" t="n"/>
      <c r="TAY1" s="87" t="n"/>
      <c r="TAZ1" s="87" t="n"/>
      <c r="TBA1" s="87" t="n"/>
      <c r="TBB1" s="87" t="n"/>
      <c r="TBC1" s="87" t="n"/>
      <c r="TBD1" s="87" t="n"/>
      <c r="TBE1" s="87" t="n"/>
      <c r="TBF1" s="87" t="n"/>
      <c r="TBG1" s="87" t="n"/>
      <c r="TBH1" s="87" t="n"/>
      <c r="TBI1" s="87" t="n"/>
      <c r="TBJ1" s="87" t="n"/>
      <c r="TBK1" s="87" t="n"/>
      <c r="TBL1" s="87" t="n"/>
      <c r="TBM1" s="87" t="n"/>
      <c r="TBN1" s="87" t="n"/>
      <c r="TBO1" s="87" t="n"/>
      <c r="TBP1" s="87" t="n"/>
      <c r="TBQ1" s="87" t="n"/>
      <c r="TBR1" s="87" t="n"/>
      <c r="TBS1" s="87" t="n"/>
      <c r="TBT1" s="87" t="n"/>
      <c r="TBU1" s="87" t="n"/>
      <c r="TBV1" s="87" t="n"/>
      <c r="TBW1" s="87" t="n"/>
      <c r="TBX1" s="87" t="n"/>
      <c r="TBY1" s="87" t="n"/>
      <c r="TBZ1" s="87" t="n"/>
      <c r="TCA1" s="87" t="n"/>
      <c r="TCB1" s="87" t="n"/>
      <c r="TCC1" s="87" t="n"/>
      <c r="TCD1" s="87" t="n"/>
      <c r="TCE1" s="87" t="n"/>
      <c r="TCF1" s="87" t="n"/>
      <c r="TCG1" s="87" t="n"/>
      <c r="TCH1" s="87" t="n"/>
      <c r="TCI1" s="87" t="n"/>
      <c r="TCJ1" s="87" t="n"/>
      <c r="TCK1" s="87" t="n"/>
      <c r="TCL1" s="87" t="n"/>
      <c r="TCM1" s="87" t="n"/>
      <c r="TCN1" s="87" t="n"/>
      <c r="TCO1" s="87" t="n"/>
      <c r="TCP1" s="87" t="n"/>
      <c r="TCQ1" s="87" t="n"/>
      <c r="TCR1" s="87" t="n"/>
      <c r="TCS1" s="87" t="n"/>
      <c r="TCT1" s="87" t="n"/>
      <c r="TCU1" s="87" t="n"/>
      <c r="TCV1" s="87" t="n"/>
      <c r="TCW1" s="87" t="n"/>
      <c r="TCX1" s="87" t="n"/>
      <c r="TCY1" s="87" t="n"/>
      <c r="TCZ1" s="87" t="n"/>
      <c r="TDA1" s="87" t="n"/>
      <c r="TDB1" s="87" t="n"/>
      <c r="TDC1" s="87" t="n"/>
      <c r="TDD1" s="87" t="n"/>
      <c r="TDE1" s="87" t="n"/>
      <c r="TDF1" s="87" t="n"/>
      <c r="TDG1" s="87" t="n"/>
      <c r="TDH1" s="87" t="n"/>
      <c r="TDI1" s="87" t="n"/>
      <c r="TDJ1" s="87" t="n"/>
      <c r="TDK1" s="87" t="n"/>
      <c r="TDL1" s="87" t="n"/>
      <c r="TDM1" s="87" t="n"/>
      <c r="TDN1" s="87" t="n"/>
      <c r="TDO1" s="87" t="n"/>
      <c r="TDP1" s="87" t="n"/>
      <c r="TDQ1" s="87" t="n"/>
      <c r="TDR1" s="87" t="n"/>
      <c r="TDS1" s="87" t="n"/>
      <c r="TDT1" s="87" t="n"/>
      <c r="TDU1" s="87" t="n"/>
      <c r="TDV1" s="87" t="n"/>
      <c r="TDW1" s="87" t="n"/>
      <c r="TDX1" s="87" t="n"/>
      <c r="TDY1" s="87" t="n"/>
      <c r="TDZ1" s="87" t="n"/>
      <c r="TEA1" s="87" t="n"/>
      <c r="TEB1" s="87" t="n"/>
      <c r="TEC1" s="87" t="n"/>
      <c r="TED1" s="87" t="n"/>
      <c r="TEE1" s="87" t="n"/>
      <c r="TEF1" s="87" t="n"/>
      <c r="TEG1" s="87" t="n"/>
      <c r="TEH1" s="87" t="n"/>
      <c r="TEI1" s="87" t="n"/>
      <c r="TEJ1" s="87" t="n"/>
      <c r="TEK1" s="87" t="n"/>
      <c r="TEL1" s="87" t="n"/>
      <c r="TEM1" s="87" t="n"/>
      <c r="TEN1" s="87" t="n"/>
      <c r="TEO1" s="87" t="n"/>
      <c r="TEP1" s="87" t="n"/>
      <c r="TEQ1" s="87" t="n"/>
      <c r="TER1" s="87" t="n"/>
      <c r="TES1" s="87" t="n"/>
      <c r="TET1" s="87" t="n"/>
      <c r="TEU1" s="87" t="n"/>
      <c r="TEV1" s="87" t="n"/>
      <c r="TEW1" s="87" t="n"/>
      <c r="TEX1" s="87" t="n"/>
      <c r="TEY1" s="87" t="n"/>
      <c r="TEZ1" s="87" t="n"/>
      <c r="TFA1" s="87" t="n"/>
      <c r="TFB1" s="87" t="n"/>
      <c r="TFC1" s="87" t="n"/>
      <c r="TFD1" s="87" t="n"/>
      <c r="TFE1" s="87" t="n"/>
      <c r="TFF1" s="87" t="n"/>
      <c r="TFG1" s="87" t="n"/>
      <c r="TFH1" s="87" t="n"/>
      <c r="TFI1" s="87" t="n"/>
      <c r="TFJ1" s="87" t="n"/>
      <c r="TFK1" s="87" t="n"/>
      <c r="TFL1" s="87" t="n"/>
      <c r="TFM1" s="87" t="n"/>
      <c r="TFN1" s="87" t="n"/>
      <c r="TFO1" s="87" t="n"/>
      <c r="TFP1" s="87" t="n"/>
      <c r="TFQ1" s="87" t="n"/>
      <c r="TFR1" s="87" t="n"/>
      <c r="TFS1" s="87" t="n"/>
      <c r="TFT1" s="87" t="n"/>
      <c r="TFU1" s="87" t="n"/>
      <c r="TFV1" s="87" t="n"/>
      <c r="TFW1" s="87" t="n"/>
      <c r="TFX1" s="87" t="n"/>
      <c r="TFY1" s="87" t="n"/>
      <c r="TFZ1" s="87" t="n"/>
      <c r="TGA1" s="87" t="n"/>
      <c r="TGB1" s="87" t="n"/>
      <c r="TGC1" s="87" t="n"/>
      <c r="TGD1" s="87" t="n"/>
      <c r="TGE1" s="87" t="n"/>
      <c r="TGF1" s="87" t="n"/>
      <c r="TGG1" s="87" t="n"/>
      <c r="TGH1" s="87" t="n"/>
      <c r="TGI1" s="87" t="n"/>
      <c r="TGJ1" s="87" t="n"/>
      <c r="TGK1" s="87" t="n"/>
      <c r="TGL1" s="87" t="n"/>
      <c r="TGM1" s="87" t="n"/>
      <c r="TGN1" s="87" t="n"/>
      <c r="TGO1" s="87" t="n"/>
      <c r="TGP1" s="87" t="n"/>
      <c r="TGQ1" s="87" t="n"/>
      <c r="TGR1" s="87" t="n"/>
      <c r="TGS1" s="87" t="n"/>
      <c r="TGT1" s="87" t="n"/>
      <c r="TGU1" s="87" t="n"/>
      <c r="TGV1" s="87" t="n"/>
      <c r="TGW1" s="87" t="n"/>
      <c r="TGX1" s="87" t="n"/>
      <c r="TGY1" s="87" t="n"/>
      <c r="TGZ1" s="87" t="n"/>
      <c r="THA1" s="87" t="n"/>
      <c r="THB1" s="87" t="n"/>
      <c r="THC1" s="87" t="n"/>
      <c r="THD1" s="87" t="n"/>
      <c r="THE1" s="87" t="n"/>
      <c r="THF1" s="87" t="n"/>
      <c r="THG1" s="87" t="n"/>
      <c r="THH1" s="87" t="n"/>
      <c r="THI1" s="87" t="n"/>
      <c r="THJ1" s="87" t="n"/>
      <c r="THK1" s="87" t="n"/>
      <c r="THL1" s="87" t="n"/>
      <c r="THM1" s="87" t="n"/>
      <c r="THN1" s="87" t="n"/>
      <c r="THO1" s="87" t="n"/>
      <c r="THP1" s="87" t="n"/>
      <c r="THQ1" s="87" t="n"/>
      <c r="THR1" s="87" t="n"/>
      <c r="THS1" s="87" t="n"/>
      <c r="THT1" s="87" t="n"/>
      <c r="THU1" s="87" t="n"/>
      <c r="THV1" s="87" t="n"/>
      <c r="THW1" s="87" t="n"/>
      <c r="THX1" s="87" t="n"/>
      <c r="THY1" s="87" t="n"/>
      <c r="THZ1" s="87" t="n"/>
      <c r="TIA1" s="87" t="n"/>
      <c r="TIB1" s="87" t="n"/>
      <c r="TIC1" s="87" t="n"/>
      <c r="TID1" s="87" t="n"/>
      <c r="TIE1" s="87" t="n"/>
      <c r="TIF1" s="87" t="n"/>
      <c r="TIG1" s="87" t="n"/>
      <c r="TIH1" s="87" t="n"/>
      <c r="TII1" s="87" t="n"/>
      <c r="TIJ1" s="87" t="n"/>
      <c r="TIK1" s="87" t="n"/>
      <c r="TIL1" s="87" t="n"/>
      <c r="TIM1" s="87" t="n"/>
      <c r="TIN1" s="87" t="n"/>
      <c r="TIO1" s="87" t="n"/>
      <c r="TIP1" s="87" t="n"/>
      <c r="TIQ1" s="87" t="n"/>
      <c r="TIR1" s="87" t="n"/>
      <c r="TIS1" s="87" t="n"/>
      <c r="TIT1" s="87" t="n"/>
      <c r="TIU1" s="87" t="n"/>
      <c r="TIV1" s="87" t="n"/>
      <c r="TIW1" s="87" t="n"/>
      <c r="TIX1" s="87" t="n"/>
      <c r="TIY1" s="87" t="n"/>
      <c r="TIZ1" s="87" t="n"/>
      <c r="TJA1" s="87" t="n"/>
      <c r="TJB1" s="87" t="n"/>
      <c r="TJC1" s="87" t="n"/>
      <c r="TJD1" s="87" t="n"/>
      <c r="TJE1" s="87" t="n"/>
      <c r="TJF1" s="87" t="n"/>
      <c r="TJG1" s="87" t="n"/>
      <c r="TJH1" s="87" t="n"/>
      <c r="TJI1" s="87" t="n"/>
      <c r="TJJ1" s="87" t="n"/>
      <c r="TJK1" s="87" t="n"/>
      <c r="TJL1" s="87" t="n"/>
      <c r="TJM1" s="87" t="n"/>
      <c r="TJN1" s="87" t="n"/>
      <c r="TJO1" s="87" t="n"/>
      <c r="TJP1" s="87" t="n"/>
      <c r="TJQ1" s="87" t="n"/>
      <c r="TJR1" s="87" t="n"/>
      <c r="TJS1" s="87" t="n"/>
      <c r="TJT1" s="87" t="n"/>
      <c r="TJU1" s="87" t="n"/>
      <c r="TJV1" s="87" t="n"/>
      <c r="TJW1" s="87" t="n"/>
      <c r="TJX1" s="87" t="n"/>
      <c r="TJY1" s="87" t="n"/>
      <c r="TJZ1" s="87" t="n"/>
      <c r="TKA1" s="87" t="n"/>
      <c r="TKB1" s="87" t="n"/>
      <c r="TKC1" s="87" t="n"/>
      <c r="TKD1" s="87" t="n"/>
      <c r="TKE1" s="87" t="n"/>
      <c r="TKF1" s="87" t="n"/>
      <c r="TKG1" s="87" t="n"/>
      <c r="TKH1" s="87" t="n"/>
      <c r="TKI1" s="87" t="n"/>
      <c r="TKJ1" s="87" t="n"/>
      <c r="TKK1" s="87" t="n"/>
      <c r="TKL1" s="87" t="n"/>
      <c r="TKM1" s="87" t="n"/>
      <c r="TKN1" s="87" t="n"/>
      <c r="TKO1" s="87" t="n"/>
      <c r="TKP1" s="87" t="n"/>
      <c r="TKQ1" s="87" t="n"/>
      <c r="TKR1" s="87" t="n"/>
      <c r="TKS1" s="87" t="n"/>
      <c r="TKT1" s="87" t="n"/>
      <c r="TKU1" s="87" t="n"/>
      <c r="TKV1" s="87" t="n"/>
      <c r="TKW1" s="87" t="n"/>
      <c r="TKX1" s="87" t="n"/>
      <c r="TKY1" s="87" t="n"/>
      <c r="TKZ1" s="87" t="n"/>
      <c r="TLA1" s="87" t="n"/>
      <c r="TLB1" s="87" t="n"/>
      <c r="TLC1" s="87" t="n"/>
      <c r="TLD1" s="87" t="n"/>
      <c r="TLE1" s="87" t="n"/>
      <c r="TLF1" s="87" t="n"/>
      <c r="TLG1" s="87" t="n"/>
      <c r="TLH1" s="87" t="n"/>
      <c r="TLI1" s="87" t="n"/>
      <c r="TLJ1" s="87" t="n"/>
      <c r="TLK1" s="87" t="n"/>
      <c r="TLL1" s="87" t="n"/>
      <c r="TLM1" s="87" t="n"/>
      <c r="TLN1" s="87" t="n"/>
      <c r="TLO1" s="87" t="n"/>
      <c r="TLP1" s="87" t="n"/>
      <c r="TLQ1" s="87" t="n"/>
      <c r="TLR1" s="87" t="n"/>
      <c r="TLS1" s="87" t="n"/>
      <c r="TLT1" s="87" t="n"/>
      <c r="TLU1" s="87" t="n"/>
      <c r="TLV1" s="87" t="n"/>
      <c r="TLW1" s="87" t="n"/>
      <c r="TLX1" s="87" t="n"/>
      <c r="TLY1" s="87" t="n"/>
      <c r="TLZ1" s="87" t="n"/>
      <c r="TMA1" s="87" t="n"/>
      <c r="TMB1" s="87" t="n"/>
      <c r="TMC1" s="87" t="n"/>
      <c r="TMD1" s="87" t="n"/>
      <c r="TME1" s="87" t="n"/>
      <c r="TMF1" s="87" t="n"/>
      <c r="TMG1" s="87" t="n"/>
      <c r="TMH1" s="87" t="n"/>
      <c r="TMI1" s="87" t="n"/>
      <c r="TMJ1" s="87" t="n"/>
      <c r="TMK1" s="87" t="n"/>
      <c r="TML1" s="87" t="n"/>
      <c r="TMM1" s="87" t="n"/>
      <c r="TMN1" s="87" t="n"/>
      <c r="TMO1" s="87" t="n"/>
      <c r="TMP1" s="87" t="n"/>
      <c r="TMQ1" s="87" t="n"/>
      <c r="TMR1" s="87" t="n"/>
      <c r="TMS1" s="87" t="n"/>
      <c r="TMT1" s="87" t="n"/>
      <c r="TMU1" s="87" t="n"/>
      <c r="TMV1" s="87" t="n"/>
      <c r="TMW1" s="87" t="n"/>
      <c r="TMX1" s="87" t="n"/>
      <c r="TMY1" s="87" t="n"/>
      <c r="TMZ1" s="87" t="n"/>
      <c r="TNA1" s="87" t="n"/>
      <c r="TNB1" s="87" t="n"/>
      <c r="TNC1" s="87" t="n"/>
      <c r="TND1" s="87" t="n"/>
      <c r="TNE1" s="87" t="n"/>
      <c r="TNF1" s="87" t="n"/>
      <c r="TNG1" s="87" t="n"/>
      <c r="TNH1" s="87" t="n"/>
      <c r="TNI1" s="87" t="n"/>
      <c r="TNJ1" s="87" t="n"/>
      <c r="TNK1" s="87" t="n"/>
      <c r="TNL1" s="87" t="n"/>
      <c r="TNM1" s="87" t="n"/>
      <c r="TNN1" s="87" t="n"/>
      <c r="TNO1" s="87" t="n"/>
      <c r="TNP1" s="87" t="n"/>
      <c r="TNQ1" s="87" t="n"/>
      <c r="TNR1" s="87" t="n"/>
      <c r="TNS1" s="87" t="n"/>
      <c r="TNT1" s="87" t="n"/>
      <c r="TNU1" s="87" t="n"/>
      <c r="TNV1" s="87" t="n"/>
      <c r="TNW1" s="87" t="n"/>
      <c r="TNX1" s="87" t="n"/>
      <c r="TNY1" s="87" t="n"/>
      <c r="TNZ1" s="87" t="n"/>
      <c r="TOA1" s="87" t="n"/>
      <c r="TOB1" s="87" t="n"/>
      <c r="TOC1" s="87" t="n"/>
      <c r="TOD1" s="87" t="n"/>
      <c r="TOE1" s="87" t="n"/>
      <c r="TOF1" s="87" t="n"/>
      <c r="TOG1" s="87" t="n"/>
      <c r="TOH1" s="87" t="n"/>
      <c r="TOI1" s="87" t="n"/>
      <c r="TOJ1" s="87" t="n"/>
      <c r="TOK1" s="87" t="n"/>
      <c r="TOL1" s="87" t="n"/>
      <c r="TOM1" s="87" t="n"/>
      <c r="TON1" s="87" t="n"/>
      <c r="TOO1" s="87" t="n"/>
      <c r="TOP1" s="87" t="n"/>
      <c r="TOQ1" s="87" t="n"/>
      <c r="TOR1" s="87" t="n"/>
      <c r="TOS1" s="87" t="n"/>
      <c r="TOT1" s="87" t="n"/>
      <c r="TOU1" s="87" t="n"/>
      <c r="TOV1" s="87" t="n"/>
      <c r="TOW1" s="87" t="n"/>
      <c r="TOX1" s="87" t="n"/>
      <c r="TOY1" s="87" t="n"/>
      <c r="TOZ1" s="87" t="n"/>
      <c r="TPA1" s="87" t="n"/>
      <c r="TPB1" s="87" t="n"/>
      <c r="TPC1" s="87" t="n"/>
      <c r="TPD1" s="87" t="n"/>
      <c r="TPE1" s="87" t="n"/>
      <c r="TPF1" s="87" t="n"/>
      <c r="TPG1" s="87" t="n"/>
      <c r="TPH1" s="87" t="n"/>
      <c r="TPI1" s="87" t="n"/>
      <c r="TPJ1" s="87" t="n"/>
      <c r="TPK1" s="87" t="n"/>
      <c r="TPL1" s="87" t="n"/>
      <c r="TPM1" s="87" t="n"/>
      <c r="TPN1" s="87" t="n"/>
      <c r="TPO1" s="87" t="n"/>
      <c r="TPP1" s="87" t="n"/>
      <c r="TPQ1" s="87" t="n"/>
      <c r="TPR1" s="87" t="n"/>
      <c r="TPS1" s="87" t="n"/>
      <c r="TPT1" s="87" t="n"/>
      <c r="TPU1" s="87" t="n"/>
      <c r="TPV1" s="87" t="n"/>
      <c r="TPW1" s="87" t="n"/>
      <c r="TPX1" s="87" t="n"/>
      <c r="TPY1" s="87" t="n"/>
      <c r="TPZ1" s="87" t="n"/>
      <c r="TQA1" s="87" t="n"/>
      <c r="TQB1" s="87" t="n"/>
      <c r="TQC1" s="87" t="n"/>
      <c r="TQD1" s="87" t="n"/>
      <c r="TQE1" s="87" t="n"/>
      <c r="TQF1" s="87" t="n"/>
      <c r="TQG1" s="87" t="n"/>
      <c r="TQH1" s="87" t="n"/>
      <c r="TQI1" s="87" t="n"/>
      <c r="TQJ1" s="87" t="n"/>
      <c r="TQK1" s="87" t="n"/>
      <c r="TQL1" s="87" t="n"/>
      <c r="TQM1" s="87" t="n"/>
      <c r="TQN1" s="87" t="n"/>
      <c r="TQO1" s="87" t="n"/>
      <c r="TQP1" s="87" t="n"/>
      <c r="TQQ1" s="87" t="n"/>
      <c r="TQR1" s="87" t="n"/>
      <c r="TQS1" s="87" t="n"/>
      <c r="TQT1" s="87" t="n"/>
      <c r="TQU1" s="87" t="n"/>
      <c r="TQV1" s="87" t="n"/>
      <c r="TQW1" s="87" t="n"/>
      <c r="TQX1" s="87" t="n"/>
      <c r="TQY1" s="87" t="n"/>
      <c r="TQZ1" s="87" t="n"/>
      <c r="TRA1" s="87" t="n"/>
      <c r="TRB1" s="87" t="n"/>
      <c r="TRC1" s="87" t="n"/>
      <c r="TRD1" s="87" t="n"/>
      <c r="TRE1" s="87" t="n"/>
      <c r="TRF1" s="87" t="n"/>
      <c r="TRG1" s="87" t="n"/>
      <c r="TRH1" s="87" t="n"/>
      <c r="TRI1" s="87" t="n"/>
      <c r="TRJ1" s="87" t="n"/>
      <c r="TRK1" s="87" t="n"/>
      <c r="TRL1" s="87" t="n"/>
      <c r="TRM1" s="87" t="n"/>
      <c r="TRN1" s="87" t="n"/>
      <c r="TRO1" s="87" t="n"/>
      <c r="TRP1" s="87" t="n"/>
      <c r="TRQ1" s="87" t="n"/>
      <c r="TRR1" s="87" t="n"/>
      <c r="TRS1" s="87" t="n"/>
      <c r="TRT1" s="87" t="n"/>
      <c r="TRU1" s="87" t="n"/>
      <c r="TRV1" s="87" t="n"/>
      <c r="TRW1" s="87" t="n"/>
      <c r="TRX1" s="87" t="n"/>
      <c r="TRY1" s="87" t="n"/>
      <c r="TRZ1" s="87" t="n"/>
      <c r="TSA1" s="87" t="n"/>
      <c r="TSB1" s="87" t="n"/>
      <c r="TSC1" s="87" t="n"/>
      <c r="TSD1" s="87" t="n"/>
      <c r="TSE1" s="87" t="n"/>
      <c r="TSF1" s="87" t="n"/>
      <c r="TSG1" s="87" t="n"/>
      <c r="TSH1" s="87" t="n"/>
      <c r="TSI1" s="87" t="n"/>
      <c r="TSJ1" s="87" t="n"/>
      <c r="TSK1" s="87" t="n"/>
      <c r="TSL1" s="87" t="n"/>
      <c r="TSM1" s="87" t="n"/>
      <c r="TSN1" s="87" t="n"/>
      <c r="TSO1" s="87" t="n"/>
      <c r="TSP1" s="87" t="n"/>
      <c r="TSQ1" s="87" t="n"/>
      <c r="TSR1" s="87" t="n"/>
      <c r="TSS1" s="87" t="n"/>
      <c r="TST1" s="87" t="n"/>
      <c r="TSU1" s="87" t="n"/>
      <c r="TSV1" s="87" t="n"/>
      <c r="TSW1" s="87" t="n"/>
      <c r="TSX1" s="87" t="n"/>
      <c r="TSY1" s="87" t="n"/>
      <c r="TSZ1" s="87" t="n"/>
      <c r="TTA1" s="87" t="n"/>
      <c r="TTB1" s="87" t="n"/>
      <c r="TTC1" s="87" t="n"/>
      <c r="TTD1" s="87" t="n"/>
      <c r="TTE1" s="87" t="n"/>
      <c r="TTF1" s="87" t="n"/>
      <c r="TTG1" s="87" t="n"/>
      <c r="TTH1" s="87" t="n"/>
      <c r="TTI1" s="87" t="n"/>
      <c r="TTJ1" s="87" t="n"/>
      <c r="TTK1" s="87" t="n"/>
      <c r="TTL1" s="87" t="n"/>
      <c r="TTM1" s="87" t="n"/>
      <c r="TTN1" s="87" t="n"/>
      <c r="TTO1" s="87" t="n"/>
      <c r="TTP1" s="87" t="n"/>
      <c r="TTQ1" s="87" t="n"/>
      <c r="TTR1" s="87" t="n"/>
      <c r="TTS1" s="87" t="n"/>
      <c r="TTT1" s="87" t="n"/>
      <c r="TTU1" s="87" t="n"/>
      <c r="TTV1" s="87" t="n"/>
      <c r="TTW1" s="87" t="n"/>
      <c r="TTX1" s="87" t="n"/>
      <c r="TTY1" s="87" t="n"/>
      <c r="TTZ1" s="87" t="n"/>
      <c r="TUA1" s="87" t="n"/>
      <c r="TUB1" s="87" t="n"/>
      <c r="TUC1" s="87" t="n"/>
      <c r="TUD1" s="87" t="n"/>
      <c r="TUE1" s="87" t="n"/>
      <c r="TUF1" s="87" t="n"/>
      <c r="TUG1" s="87" t="n"/>
      <c r="TUH1" s="87" t="n"/>
      <c r="TUI1" s="87" t="n"/>
      <c r="TUJ1" s="87" t="n"/>
      <c r="TUK1" s="87" t="n"/>
      <c r="TUL1" s="87" t="n"/>
      <c r="TUM1" s="87" t="n"/>
      <c r="TUN1" s="87" t="n"/>
      <c r="TUO1" s="87" t="n"/>
      <c r="TUP1" s="87" t="n"/>
      <c r="TUQ1" s="87" t="n"/>
      <c r="TUR1" s="87" t="n"/>
      <c r="TUS1" s="87" t="n"/>
      <c r="TUT1" s="87" t="n"/>
      <c r="TUU1" s="87" t="n"/>
      <c r="TUV1" s="87" t="n"/>
      <c r="TUW1" s="87" t="n"/>
      <c r="TUX1" s="87" t="n"/>
      <c r="TUY1" s="87" t="n"/>
      <c r="TUZ1" s="87" t="n"/>
      <c r="TVA1" s="87" t="n"/>
      <c r="TVB1" s="87" t="n"/>
      <c r="TVC1" s="87" t="n"/>
      <c r="TVD1" s="87" t="n"/>
      <c r="TVE1" s="87" t="n"/>
      <c r="TVF1" s="87" t="n"/>
      <c r="TVG1" s="87" t="n"/>
      <c r="TVH1" s="87" t="n"/>
      <c r="TVI1" s="87" t="n"/>
      <c r="TVJ1" s="87" t="n"/>
      <c r="TVK1" s="87" t="n"/>
      <c r="TVL1" s="87" t="n"/>
      <c r="TVM1" s="87" t="n"/>
      <c r="TVN1" s="87" t="n"/>
      <c r="TVO1" s="87" t="n"/>
      <c r="TVP1" s="87" t="n"/>
      <c r="TVQ1" s="87" t="n"/>
      <c r="TVR1" s="87" t="n"/>
      <c r="TVS1" s="87" t="n"/>
      <c r="TVT1" s="87" t="n"/>
      <c r="TVU1" s="87" t="n"/>
      <c r="TVV1" s="87" t="n"/>
      <c r="TVW1" s="87" t="n"/>
      <c r="TVX1" s="87" t="n"/>
      <c r="TVY1" s="87" t="n"/>
      <c r="TVZ1" s="87" t="n"/>
      <c r="TWA1" s="87" t="n"/>
      <c r="TWB1" s="87" t="n"/>
      <c r="TWC1" s="87" t="n"/>
      <c r="TWD1" s="87" t="n"/>
      <c r="TWE1" s="87" t="n"/>
      <c r="TWF1" s="87" t="n"/>
      <c r="TWG1" s="87" t="n"/>
      <c r="TWH1" s="87" t="n"/>
      <c r="TWI1" s="87" t="n"/>
      <c r="TWJ1" s="87" t="n"/>
      <c r="TWK1" s="87" t="n"/>
      <c r="TWL1" s="87" t="n"/>
      <c r="TWM1" s="87" t="n"/>
      <c r="TWN1" s="87" t="n"/>
      <c r="TWO1" s="87" t="n"/>
      <c r="TWP1" s="87" t="n"/>
      <c r="TWQ1" s="87" t="n"/>
      <c r="TWR1" s="87" t="n"/>
      <c r="TWS1" s="87" t="n"/>
      <c r="TWT1" s="87" t="n"/>
      <c r="TWU1" s="87" t="n"/>
      <c r="TWV1" s="87" t="n"/>
      <c r="TWW1" s="87" t="n"/>
      <c r="TWX1" s="87" t="n"/>
      <c r="TWY1" s="87" t="n"/>
      <c r="TWZ1" s="87" t="n"/>
      <c r="TXA1" s="87" t="n"/>
      <c r="TXB1" s="87" t="n"/>
      <c r="TXC1" s="87" t="n"/>
      <c r="TXD1" s="87" t="n"/>
      <c r="TXE1" s="87" t="n"/>
      <c r="TXF1" s="87" t="n"/>
      <c r="TXG1" s="87" t="n"/>
      <c r="TXH1" s="87" t="n"/>
      <c r="TXI1" s="87" t="n"/>
      <c r="TXJ1" s="87" t="n"/>
      <c r="TXK1" s="87" t="n"/>
      <c r="TXL1" s="87" t="n"/>
      <c r="TXM1" s="87" t="n"/>
      <c r="TXN1" s="87" t="n"/>
      <c r="TXO1" s="87" t="n"/>
      <c r="TXP1" s="87" t="n"/>
      <c r="TXQ1" s="87" t="n"/>
      <c r="TXR1" s="87" t="n"/>
      <c r="TXS1" s="87" t="n"/>
      <c r="TXT1" s="87" t="n"/>
      <c r="TXU1" s="87" t="n"/>
      <c r="TXV1" s="87" t="n"/>
      <c r="TXW1" s="87" t="n"/>
      <c r="TXX1" s="87" t="n"/>
      <c r="TXY1" s="87" t="n"/>
      <c r="TXZ1" s="87" t="n"/>
      <c r="TYA1" s="87" t="n"/>
      <c r="TYB1" s="87" t="n"/>
      <c r="TYC1" s="87" t="n"/>
      <c r="TYD1" s="87" t="n"/>
      <c r="TYE1" s="87" t="n"/>
      <c r="TYF1" s="87" t="n"/>
      <c r="TYG1" s="87" t="n"/>
      <c r="TYH1" s="87" t="n"/>
      <c r="TYI1" s="87" t="n"/>
      <c r="TYJ1" s="87" t="n"/>
      <c r="TYK1" s="87" t="n"/>
      <c r="TYL1" s="87" t="n"/>
      <c r="TYM1" s="87" t="n"/>
      <c r="TYN1" s="87" t="n"/>
      <c r="TYO1" s="87" t="n"/>
      <c r="TYP1" s="87" t="n"/>
      <c r="TYQ1" s="87" t="n"/>
      <c r="TYR1" s="87" t="n"/>
      <c r="TYS1" s="87" t="n"/>
      <c r="TYT1" s="87" t="n"/>
      <c r="TYU1" s="87" t="n"/>
      <c r="TYV1" s="87" t="n"/>
      <c r="TYW1" s="87" t="n"/>
      <c r="TYX1" s="87" t="n"/>
      <c r="TYY1" s="87" t="n"/>
      <c r="TYZ1" s="87" t="n"/>
      <c r="TZA1" s="87" t="n"/>
      <c r="TZB1" s="87" t="n"/>
      <c r="TZC1" s="87" t="n"/>
      <c r="TZD1" s="87" t="n"/>
      <c r="TZE1" s="87" t="n"/>
      <c r="TZF1" s="87" t="n"/>
      <c r="TZG1" s="87" t="n"/>
      <c r="TZH1" s="87" t="n"/>
      <c r="TZI1" s="87" t="n"/>
      <c r="TZJ1" s="87" t="n"/>
      <c r="TZK1" s="87" t="n"/>
      <c r="TZL1" s="87" t="n"/>
      <c r="TZM1" s="87" t="n"/>
      <c r="TZN1" s="87" t="n"/>
      <c r="TZO1" s="87" t="n"/>
      <c r="TZP1" s="87" t="n"/>
      <c r="TZQ1" s="87" t="n"/>
      <c r="TZR1" s="87" t="n"/>
      <c r="TZS1" s="87" t="n"/>
      <c r="TZT1" s="87" t="n"/>
      <c r="TZU1" s="87" t="n"/>
      <c r="TZV1" s="87" t="n"/>
      <c r="TZW1" s="87" t="n"/>
      <c r="TZX1" s="87" t="n"/>
      <c r="TZY1" s="87" t="n"/>
      <c r="TZZ1" s="87" t="n"/>
      <c r="UAA1" s="87" t="n"/>
      <c r="UAB1" s="87" t="n"/>
      <c r="UAC1" s="87" t="n"/>
      <c r="UAD1" s="87" t="n"/>
      <c r="UAE1" s="87" t="n"/>
      <c r="UAF1" s="87" t="n"/>
      <c r="UAG1" s="87" t="n"/>
      <c r="UAH1" s="87" t="n"/>
      <c r="UAI1" s="87" t="n"/>
      <c r="UAJ1" s="87" t="n"/>
      <c r="UAK1" s="87" t="n"/>
      <c r="UAL1" s="87" t="n"/>
      <c r="UAM1" s="87" t="n"/>
      <c r="UAN1" s="87" t="n"/>
      <c r="UAO1" s="87" t="n"/>
      <c r="UAP1" s="87" t="n"/>
      <c r="UAQ1" s="87" t="n"/>
      <c r="UAR1" s="87" t="n"/>
      <c r="UAS1" s="87" t="n"/>
      <c r="UAT1" s="87" t="n"/>
      <c r="UAU1" s="87" t="n"/>
      <c r="UAV1" s="87" t="n"/>
      <c r="UAW1" s="87" t="n"/>
      <c r="UAX1" s="87" t="n"/>
      <c r="UAY1" s="87" t="n"/>
      <c r="UAZ1" s="87" t="n"/>
      <c r="UBA1" s="87" t="n"/>
      <c r="UBB1" s="87" t="n"/>
      <c r="UBC1" s="87" t="n"/>
      <c r="UBD1" s="87" t="n"/>
      <c r="UBE1" s="87" t="n"/>
      <c r="UBF1" s="87" t="n"/>
      <c r="UBG1" s="87" t="n"/>
      <c r="UBH1" s="87" t="n"/>
      <c r="UBI1" s="87" t="n"/>
      <c r="UBJ1" s="87" t="n"/>
      <c r="UBK1" s="87" t="n"/>
      <c r="UBL1" s="87" t="n"/>
      <c r="UBM1" s="87" t="n"/>
      <c r="UBN1" s="87" t="n"/>
      <c r="UBO1" s="87" t="n"/>
      <c r="UBP1" s="87" t="n"/>
      <c r="UBQ1" s="87" t="n"/>
      <c r="UBR1" s="87" t="n"/>
      <c r="UBS1" s="87" t="n"/>
      <c r="UBT1" s="87" t="n"/>
      <c r="UBU1" s="87" t="n"/>
      <c r="UBV1" s="87" t="n"/>
      <c r="UBW1" s="87" t="n"/>
      <c r="UBX1" s="87" t="n"/>
      <c r="UBY1" s="87" t="n"/>
      <c r="UBZ1" s="87" t="n"/>
      <c r="UCA1" s="87" t="n"/>
      <c r="UCB1" s="87" t="n"/>
      <c r="UCC1" s="87" t="n"/>
      <c r="UCD1" s="87" t="n"/>
      <c r="UCE1" s="87" t="n"/>
      <c r="UCF1" s="87" t="n"/>
      <c r="UCG1" s="87" t="n"/>
      <c r="UCH1" s="87" t="n"/>
      <c r="UCI1" s="87" t="n"/>
      <c r="UCJ1" s="87" t="n"/>
      <c r="UCK1" s="87" t="n"/>
      <c r="UCL1" s="87" t="n"/>
      <c r="UCM1" s="87" t="n"/>
      <c r="UCN1" s="87" t="n"/>
      <c r="UCO1" s="87" t="n"/>
      <c r="UCP1" s="87" t="n"/>
      <c r="UCQ1" s="87" t="n"/>
      <c r="UCR1" s="87" t="n"/>
      <c r="UCS1" s="87" t="n"/>
      <c r="UCT1" s="87" t="n"/>
      <c r="UCU1" s="87" t="n"/>
      <c r="UCV1" s="87" t="n"/>
      <c r="UCW1" s="87" t="n"/>
      <c r="UCX1" s="87" t="n"/>
      <c r="UCY1" s="87" t="n"/>
      <c r="UCZ1" s="87" t="n"/>
      <c r="UDA1" s="87" t="n"/>
      <c r="UDB1" s="87" t="n"/>
      <c r="UDC1" s="87" t="n"/>
      <c r="UDD1" s="87" t="n"/>
      <c r="UDE1" s="87" t="n"/>
      <c r="UDF1" s="87" t="n"/>
      <c r="UDG1" s="87" t="n"/>
      <c r="UDH1" s="87" t="n"/>
      <c r="UDI1" s="87" t="n"/>
      <c r="UDJ1" s="87" t="n"/>
      <c r="UDK1" s="87" t="n"/>
      <c r="UDL1" s="87" t="n"/>
      <c r="UDM1" s="87" t="n"/>
      <c r="UDN1" s="87" t="n"/>
      <c r="UDO1" s="87" t="n"/>
      <c r="UDP1" s="87" t="n"/>
      <c r="UDQ1" s="87" t="n"/>
      <c r="UDR1" s="87" t="n"/>
      <c r="UDS1" s="87" t="n"/>
      <c r="UDT1" s="87" t="n"/>
      <c r="UDU1" s="87" t="n"/>
      <c r="UDV1" s="87" t="n"/>
      <c r="UDW1" s="87" t="n"/>
      <c r="UDX1" s="87" t="n"/>
      <c r="UDY1" s="87" t="n"/>
      <c r="UDZ1" s="87" t="n"/>
      <c r="UEA1" s="87" t="n"/>
      <c r="UEB1" s="87" t="n"/>
      <c r="UEC1" s="87" t="n"/>
      <c r="UED1" s="87" t="n"/>
      <c r="UEE1" s="87" t="n"/>
      <c r="UEF1" s="87" t="n"/>
      <c r="UEG1" s="87" t="n"/>
      <c r="UEH1" s="87" t="n"/>
      <c r="UEI1" s="87" t="n"/>
      <c r="UEJ1" s="87" t="n"/>
      <c r="UEK1" s="87" t="n"/>
      <c r="UEL1" s="87" t="n"/>
      <c r="UEM1" s="87" t="n"/>
      <c r="UEN1" s="87" t="n"/>
      <c r="UEO1" s="87" t="n"/>
      <c r="UEP1" s="87" t="n"/>
      <c r="UEQ1" s="87" t="n"/>
      <c r="UER1" s="87" t="n"/>
      <c r="UES1" s="87" t="n"/>
      <c r="UET1" s="87" t="n"/>
      <c r="UEU1" s="87" t="n"/>
      <c r="UEV1" s="87" t="n"/>
      <c r="UEW1" s="87" t="n"/>
      <c r="UEX1" s="87" t="n"/>
      <c r="UEY1" s="87" t="n"/>
      <c r="UEZ1" s="87" t="n"/>
      <c r="UFA1" s="87" t="n"/>
      <c r="UFB1" s="87" t="n"/>
      <c r="UFC1" s="87" t="n"/>
      <c r="UFD1" s="87" t="n"/>
      <c r="UFE1" s="87" t="n"/>
      <c r="UFF1" s="87" t="n"/>
      <c r="UFG1" s="87" t="n"/>
      <c r="UFH1" s="87" t="n"/>
      <c r="UFI1" s="87" t="n"/>
      <c r="UFJ1" s="87" t="n"/>
      <c r="UFK1" s="87" t="n"/>
      <c r="UFL1" s="87" t="n"/>
      <c r="UFM1" s="87" t="n"/>
      <c r="UFN1" s="87" t="n"/>
      <c r="UFO1" s="87" t="n"/>
      <c r="UFP1" s="87" t="n"/>
      <c r="UFQ1" s="87" t="n"/>
      <c r="UFR1" s="87" t="n"/>
      <c r="UFS1" s="87" t="n"/>
      <c r="UFT1" s="87" t="n"/>
      <c r="UFU1" s="87" t="n"/>
      <c r="UFV1" s="87" t="n"/>
      <c r="UFW1" s="87" t="n"/>
      <c r="UFX1" s="87" t="n"/>
      <c r="UFY1" s="87" t="n"/>
      <c r="UFZ1" s="87" t="n"/>
      <c r="UGA1" s="87" t="n"/>
      <c r="UGB1" s="87" t="n"/>
      <c r="UGC1" s="87" t="n"/>
      <c r="UGD1" s="87" t="n"/>
      <c r="UGE1" s="87" t="n"/>
      <c r="UGF1" s="87" t="n"/>
      <c r="UGG1" s="87" t="n"/>
      <c r="UGH1" s="87" t="n"/>
      <c r="UGI1" s="87" t="n"/>
      <c r="UGJ1" s="87" t="n"/>
      <c r="UGK1" s="87" t="n"/>
      <c r="UGL1" s="87" t="n"/>
      <c r="UGM1" s="87" t="n"/>
      <c r="UGN1" s="87" t="n"/>
      <c r="UGO1" s="87" t="n"/>
      <c r="UGP1" s="87" t="n"/>
      <c r="UGQ1" s="87" t="n"/>
      <c r="UGR1" s="87" t="n"/>
      <c r="UGS1" s="87" t="n"/>
      <c r="UGT1" s="87" t="n"/>
      <c r="UGU1" s="87" t="n"/>
      <c r="UGV1" s="87" t="n"/>
      <c r="UGW1" s="87" t="n"/>
      <c r="UGX1" s="87" t="n"/>
      <c r="UGY1" s="87" t="n"/>
      <c r="UGZ1" s="87" t="n"/>
      <c r="UHA1" s="87" t="n"/>
      <c r="UHB1" s="87" t="n"/>
      <c r="UHC1" s="87" t="n"/>
      <c r="UHD1" s="87" t="n"/>
      <c r="UHE1" s="87" t="n"/>
      <c r="UHF1" s="87" t="n"/>
      <c r="UHG1" s="87" t="n"/>
      <c r="UHH1" s="87" t="n"/>
      <c r="UHI1" s="87" t="n"/>
      <c r="UHJ1" s="87" t="n"/>
      <c r="UHK1" s="87" t="n"/>
      <c r="UHL1" s="87" t="n"/>
      <c r="UHM1" s="87" t="n"/>
      <c r="UHN1" s="87" t="n"/>
      <c r="UHO1" s="87" t="n"/>
      <c r="UHP1" s="87" t="n"/>
      <c r="UHQ1" s="87" t="n"/>
      <c r="UHR1" s="87" t="n"/>
      <c r="UHS1" s="87" t="n"/>
      <c r="UHT1" s="87" t="n"/>
      <c r="UHU1" s="87" t="n"/>
      <c r="UHV1" s="87" t="n"/>
      <c r="UHW1" s="87" t="n"/>
      <c r="UHX1" s="87" t="n"/>
      <c r="UHY1" s="87" t="n"/>
      <c r="UHZ1" s="87" t="n"/>
      <c r="UIA1" s="87" t="n"/>
      <c r="UIB1" s="87" t="n"/>
      <c r="UIC1" s="87" t="n"/>
      <c r="UID1" s="87" t="n"/>
      <c r="UIE1" s="87" t="n"/>
      <c r="UIF1" s="87" t="n"/>
      <c r="UIG1" s="87" t="n"/>
      <c r="UIH1" s="87" t="n"/>
      <c r="UII1" s="87" t="n"/>
      <c r="UIJ1" s="87" t="n"/>
      <c r="UIK1" s="87" t="n"/>
      <c r="UIL1" s="87" t="n"/>
      <c r="UIM1" s="87" t="n"/>
      <c r="UIN1" s="87" t="n"/>
      <c r="UIO1" s="87" t="n"/>
      <c r="UIP1" s="87" t="n"/>
      <c r="UIQ1" s="87" t="n"/>
      <c r="UIR1" s="87" t="n"/>
      <c r="UIS1" s="87" t="n"/>
      <c r="UIT1" s="87" t="n"/>
      <c r="UIU1" s="87" t="n"/>
      <c r="UIV1" s="87" t="n"/>
      <c r="UIW1" s="87" t="n"/>
      <c r="UIX1" s="87" t="n"/>
      <c r="UIY1" s="87" t="n"/>
      <c r="UIZ1" s="87" t="n"/>
      <c r="UJA1" s="87" t="n"/>
      <c r="UJB1" s="87" t="n"/>
      <c r="UJC1" s="87" t="n"/>
      <c r="UJD1" s="87" t="n"/>
      <c r="UJE1" s="87" t="n"/>
      <c r="UJF1" s="87" t="n"/>
      <c r="UJG1" s="87" t="n"/>
      <c r="UJH1" s="87" t="n"/>
      <c r="UJI1" s="87" t="n"/>
      <c r="UJJ1" s="87" t="n"/>
      <c r="UJK1" s="87" t="n"/>
      <c r="UJL1" s="87" t="n"/>
      <c r="UJM1" s="87" t="n"/>
      <c r="UJN1" s="87" t="n"/>
      <c r="UJO1" s="87" t="n"/>
      <c r="UJP1" s="87" t="n"/>
      <c r="UJQ1" s="87" t="n"/>
      <c r="UJR1" s="87" t="n"/>
      <c r="UJS1" s="87" t="n"/>
      <c r="UJT1" s="87" t="n"/>
      <c r="UJU1" s="87" t="n"/>
      <c r="UJV1" s="87" t="n"/>
      <c r="UJW1" s="87" t="n"/>
      <c r="UJX1" s="87" t="n"/>
      <c r="UJY1" s="87" t="n"/>
      <c r="UJZ1" s="87" t="n"/>
      <c r="UKA1" s="87" t="n"/>
      <c r="UKB1" s="87" t="n"/>
      <c r="UKC1" s="87" t="n"/>
      <c r="UKD1" s="87" t="n"/>
      <c r="UKE1" s="87" t="n"/>
      <c r="UKF1" s="87" t="n"/>
      <c r="UKG1" s="87" t="n"/>
      <c r="UKH1" s="87" t="n"/>
      <c r="UKI1" s="87" t="n"/>
      <c r="UKJ1" s="87" t="n"/>
      <c r="UKK1" s="87" t="n"/>
      <c r="UKL1" s="87" t="n"/>
      <c r="UKM1" s="87" t="n"/>
      <c r="UKN1" s="87" t="n"/>
      <c r="UKO1" s="87" t="n"/>
      <c r="UKP1" s="87" t="n"/>
      <c r="UKQ1" s="87" t="n"/>
      <c r="UKR1" s="87" t="n"/>
      <c r="UKS1" s="87" t="n"/>
      <c r="UKT1" s="87" t="n"/>
      <c r="UKU1" s="87" t="n"/>
      <c r="UKV1" s="87" t="n"/>
      <c r="UKW1" s="87" t="n"/>
      <c r="UKX1" s="87" t="n"/>
      <c r="UKY1" s="87" t="n"/>
      <c r="UKZ1" s="87" t="n"/>
      <c r="ULA1" s="87" t="n"/>
      <c r="ULB1" s="87" t="n"/>
      <c r="ULC1" s="87" t="n"/>
      <c r="ULD1" s="87" t="n"/>
      <c r="ULE1" s="87" t="n"/>
      <c r="ULF1" s="87" t="n"/>
      <c r="ULG1" s="87" t="n"/>
      <c r="ULH1" s="87" t="n"/>
      <c r="ULI1" s="87" t="n"/>
      <c r="ULJ1" s="87" t="n"/>
      <c r="ULK1" s="87" t="n"/>
      <c r="ULL1" s="87" t="n"/>
      <c r="ULM1" s="87" t="n"/>
      <c r="ULN1" s="87" t="n"/>
      <c r="ULO1" s="87" t="n"/>
      <c r="ULP1" s="87" t="n"/>
      <c r="ULQ1" s="87" t="n"/>
      <c r="ULR1" s="87" t="n"/>
      <c r="ULS1" s="87" t="n"/>
      <c r="ULT1" s="87" t="n"/>
      <c r="ULU1" s="87" t="n"/>
      <c r="ULV1" s="87" t="n"/>
      <c r="ULW1" s="87" t="n"/>
      <c r="ULX1" s="87" t="n"/>
      <c r="ULY1" s="87" t="n"/>
      <c r="ULZ1" s="87" t="n"/>
      <c r="UMA1" s="87" t="n"/>
      <c r="UMB1" s="87" t="n"/>
      <c r="UMC1" s="87" t="n"/>
      <c r="UMD1" s="87" t="n"/>
      <c r="UME1" s="87" t="n"/>
      <c r="UMF1" s="87" t="n"/>
      <c r="UMG1" s="87" t="n"/>
      <c r="UMH1" s="87" t="n"/>
      <c r="UMI1" s="87" t="n"/>
      <c r="UMJ1" s="87" t="n"/>
      <c r="UMK1" s="87" t="n"/>
      <c r="UML1" s="87" t="n"/>
      <c r="UMM1" s="87" t="n"/>
      <c r="UMN1" s="87" t="n"/>
      <c r="UMO1" s="87" t="n"/>
      <c r="UMP1" s="87" t="n"/>
      <c r="UMQ1" s="87" t="n"/>
      <c r="UMR1" s="87" t="n"/>
      <c r="UMS1" s="87" t="n"/>
      <c r="UMT1" s="87" t="n"/>
      <c r="UMU1" s="87" t="n"/>
      <c r="UMV1" s="87" t="n"/>
      <c r="UMW1" s="87" t="n"/>
      <c r="UMX1" s="87" t="n"/>
      <c r="UMY1" s="87" t="n"/>
      <c r="UMZ1" s="87" t="n"/>
      <c r="UNA1" s="87" t="n"/>
      <c r="UNB1" s="87" t="n"/>
      <c r="UNC1" s="87" t="n"/>
      <c r="UND1" s="87" t="n"/>
      <c r="UNE1" s="87" t="n"/>
      <c r="UNF1" s="87" t="n"/>
      <c r="UNG1" s="87" t="n"/>
      <c r="UNH1" s="87" t="n"/>
      <c r="UNI1" s="87" t="n"/>
      <c r="UNJ1" s="87" t="n"/>
      <c r="UNK1" s="87" t="n"/>
      <c r="UNL1" s="87" t="n"/>
      <c r="UNM1" s="87" t="n"/>
      <c r="UNN1" s="87" t="n"/>
      <c r="UNO1" s="87" t="n"/>
      <c r="UNP1" s="87" t="n"/>
      <c r="UNQ1" s="87" t="n"/>
      <c r="UNR1" s="87" t="n"/>
      <c r="UNS1" s="87" t="n"/>
      <c r="UNT1" s="87" t="n"/>
      <c r="UNU1" s="87" t="n"/>
      <c r="UNV1" s="87" t="n"/>
      <c r="UNW1" s="87" t="n"/>
      <c r="UNX1" s="87" t="n"/>
      <c r="UNY1" s="87" t="n"/>
      <c r="UNZ1" s="87" t="n"/>
      <c r="UOA1" s="87" t="n"/>
      <c r="UOB1" s="87" t="n"/>
      <c r="UOC1" s="87" t="n"/>
      <c r="UOD1" s="87" t="n"/>
      <c r="UOE1" s="87" t="n"/>
      <c r="UOF1" s="87" t="n"/>
      <c r="UOG1" s="87" t="n"/>
      <c r="UOH1" s="87" t="n"/>
      <c r="UOI1" s="87" t="n"/>
      <c r="UOJ1" s="87" t="n"/>
      <c r="UOK1" s="87" t="n"/>
      <c r="UOL1" s="87" t="n"/>
      <c r="UOM1" s="87" t="n"/>
      <c r="UON1" s="87" t="n"/>
      <c r="UOO1" s="87" t="n"/>
      <c r="UOP1" s="87" t="n"/>
      <c r="UOQ1" s="87" t="n"/>
      <c r="UOR1" s="87" t="n"/>
      <c r="UOS1" s="87" t="n"/>
      <c r="UOT1" s="87" t="n"/>
      <c r="UOU1" s="87" t="n"/>
      <c r="UOV1" s="87" t="n"/>
      <c r="UOW1" s="87" t="n"/>
      <c r="UOX1" s="87" t="n"/>
      <c r="UOY1" s="87" t="n"/>
      <c r="UOZ1" s="87" t="n"/>
      <c r="UPA1" s="87" t="n"/>
      <c r="UPB1" s="87" t="n"/>
      <c r="UPC1" s="87" t="n"/>
      <c r="UPD1" s="87" t="n"/>
      <c r="UPE1" s="87" t="n"/>
      <c r="UPF1" s="87" t="n"/>
      <c r="UPG1" s="87" t="n"/>
      <c r="UPH1" s="87" t="n"/>
      <c r="UPI1" s="87" t="n"/>
      <c r="UPJ1" s="87" t="n"/>
      <c r="UPK1" s="87" t="n"/>
      <c r="UPL1" s="87" t="n"/>
      <c r="UPM1" s="87" t="n"/>
      <c r="UPN1" s="87" t="n"/>
      <c r="UPO1" s="87" t="n"/>
      <c r="UPP1" s="87" t="n"/>
      <c r="UPQ1" s="87" t="n"/>
      <c r="UPR1" s="87" t="n"/>
      <c r="UPS1" s="87" t="n"/>
      <c r="UPT1" s="87" t="n"/>
      <c r="UPU1" s="87" t="n"/>
      <c r="UPV1" s="87" t="n"/>
      <c r="UPW1" s="87" t="n"/>
      <c r="UPX1" s="87" t="n"/>
      <c r="UPY1" s="87" t="n"/>
      <c r="UPZ1" s="87" t="n"/>
      <c r="UQA1" s="87" t="n"/>
      <c r="UQB1" s="87" t="n"/>
      <c r="UQC1" s="87" t="n"/>
      <c r="UQD1" s="87" t="n"/>
      <c r="UQE1" s="87" t="n"/>
      <c r="UQF1" s="87" t="n"/>
      <c r="UQG1" s="87" t="n"/>
      <c r="UQH1" s="87" t="n"/>
      <c r="UQI1" s="87" t="n"/>
      <c r="UQJ1" s="87" t="n"/>
      <c r="UQK1" s="87" t="n"/>
      <c r="UQL1" s="87" t="n"/>
      <c r="UQM1" s="87" t="n"/>
      <c r="UQN1" s="87" t="n"/>
      <c r="UQO1" s="87" t="n"/>
      <c r="UQP1" s="87" t="n"/>
      <c r="UQQ1" s="87" t="n"/>
      <c r="UQR1" s="87" t="n"/>
      <c r="UQS1" s="87" t="n"/>
      <c r="UQT1" s="87" t="n"/>
      <c r="UQU1" s="87" t="n"/>
      <c r="UQV1" s="87" t="n"/>
      <c r="UQW1" s="87" t="n"/>
      <c r="UQX1" s="87" t="n"/>
      <c r="UQY1" s="87" t="n"/>
      <c r="UQZ1" s="87" t="n"/>
      <c r="URA1" s="87" t="n"/>
      <c r="URB1" s="87" t="n"/>
      <c r="URC1" s="87" t="n"/>
      <c r="URD1" s="87" t="n"/>
      <c r="URE1" s="87" t="n"/>
      <c r="URF1" s="87" t="n"/>
      <c r="URG1" s="87" t="n"/>
      <c r="URH1" s="87" t="n"/>
      <c r="URI1" s="87" t="n"/>
      <c r="URJ1" s="87" t="n"/>
      <c r="URK1" s="87" t="n"/>
      <c r="URL1" s="87" t="n"/>
      <c r="URM1" s="87" t="n"/>
      <c r="URN1" s="87" t="n"/>
      <c r="URO1" s="87" t="n"/>
      <c r="URP1" s="87" t="n"/>
      <c r="URQ1" s="87" t="n"/>
      <c r="URR1" s="87" t="n"/>
      <c r="URS1" s="87" t="n"/>
      <c r="URT1" s="87" t="n"/>
      <c r="URU1" s="87" t="n"/>
      <c r="URV1" s="87" t="n"/>
      <c r="URW1" s="87" t="n"/>
      <c r="URX1" s="87" t="n"/>
      <c r="URY1" s="87" t="n"/>
      <c r="URZ1" s="87" t="n"/>
      <c r="USA1" s="87" t="n"/>
      <c r="USB1" s="87" t="n"/>
      <c r="USC1" s="87" t="n"/>
      <c r="USD1" s="87" t="n"/>
      <c r="USE1" s="87" t="n"/>
      <c r="USF1" s="87" t="n"/>
      <c r="USG1" s="87" t="n"/>
      <c r="USH1" s="87" t="n"/>
      <c r="USI1" s="87" t="n"/>
      <c r="USJ1" s="87" t="n"/>
      <c r="USK1" s="87" t="n"/>
      <c r="USL1" s="87" t="n"/>
      <c r="USM1" s="87" t="n"/>
      <c r="USN1" s="87" t="n"/>
      <c r="USO1" s="87" t="n"/>
      <c r="USP1" s="87" t="n"/>
      <c r="USQ1" s="87" t="n"/>
      <c r="USR1" s="87" t="n"/>
      <c r="USS1" s="87" t="n"/>
      <c r="UST1" s="87" t="n"/>
      <c r="USU1" s="87" t="n"/>
      <c r="USV1" s="87" t="n"/>
      <c r="USW1" s="87" t="n"/>
      <c r="USX1" s="87" t="n"/>
      <c r="USY1" s="87" t="n"/>
      <c r="USZ1" s="87" t="n"/>
      <c r="UTA1" s="87" t="n"/>
      <c r="UTB1" s="87" t="n"/>
      <c r="UTC1" s="87" t="n"/>
      <c r="UTD1" s="87" t="n"/>
      <c r="UTE1" s="87" t="n"/>
      <c r="UTF1" s="87" t="n"/>
      <c r="UTG1" s="87" t="n"/>
      <c r="UTH1" s="87" t="n"/>
      <c r="UTI1" s="87" t="n"/>
      <c r="UTJ1" s="87" t="n"/>
      <c r="UTK1" s="87" t="n"/>
      <c r="UTL1" s="87" t="n"/>
      <c r="UTM1" s="87" t="n"/>
      <c r="UTN1" s="87" t="n"/>
      <c r="UTO1" s="87" t="n"/>
      <c r="UTP1" s="87" t="n"/>
      <c r="UTQ1" s="87" t="n"/>
      <c r="UTR1" s="87" t="n"/>
      <c r="UTS1" s="87" t="n"/>
      <c r="UTT1" s="87" t="n"/>
      <c r="UTU1" s="87" t="n"/>
      <c r="UTV1" s="87" t="n"/>
      <c r="UTW1" s="87" t="n"/>
      <c r="UTX1" s="87" t="n"/>
      <c r="UTY1" s="87" t="n"/>
      <c r="UTZ1" s="87" t="n"/>
      <c r="UUA1" s="87" t="n"/>
      <c r="UUB1" s="87" t="n"/>
      <c r="UUC1" s="87" t="n"/>
      <c r="UUD1" s="87" t="n"/>
      <c r="UUE1" s="87" t="n"/>
      <c r="UUF1" s="87" t="n"/>
      <c r="UUG1" s="87" t="n"/>
      <c r="UUH1" s="87" t="n"/>
      <c r="UUI1" s="87" t="n"/>
      <c r="UUJ1" s="87" t="n"/>
      <c r="UUK1" s="87" t="n"/>
      <c r="UUL1" s="87" t="n"/>
      <c r="UUM1" s="87" t="n"/>
      <c r="UUN1" s="87" t="n"/>
      <c r="UUO1" s="87" t="n"/>
      <c r="UUP1" s="87" t="n"/>
      <c r="UUQ1" s="87" t="n"/>
      <c r="UUR1" s="87" t="n"/>
      <c r="UUS1" s="87" t="n"/>
      <c r="UUT1" s="87" t="n"/>
      <c r="UUU1" s="87" t="n"/>
      <c r="UUV1" s="87" t="n"/>
      <c r="UUW1" s="87" t="n"/>
      <c r="UUX1" s="87" t="n"/>
      <c r="UUY1" s="87" t="n"/>
      <c r="UUZ1" s="87" t="n"/>
      <c r="UVA1" s="87" t="n"/>
      <c r="UVB1" s="87" t="n"/>
      <c r="UVC1" s="87" t="n"/>
      <c r="UVD1" s="87" t="n"/>
      <c r="UVE1" s="87" t="n"/>
      <c r="UVF1" s="87" t="n"/>
      <c r="UVG1" s="87" t="n"/>
      <c r="UVH1" s="87" t="n"/>
      <c r="UVI1" s="87" t="n"/>
      <c r="UVJ1" s="87" t="n"/>
      <c r="UVK1" s="87" t="n"/>
      <c r="UVL1" s="87" t="n"/>
      <c r="UVM1" s="87" t="n"/>
      <c r="UVN1" s="87" t="n"/>
      <c r="UVO1" s="87" t="n"/>
      <c r="UVP1" s="87" t="n"/>
      <c r="UVQ1" s="87" t="n"/>
      <c r="UVR1" s="87" t="n"/>
      <c r="UVS1" s="87" t="n"/>
      <c r="UVT1" s="87" t="n"/>
      <c r="UVU1" s="87" t="n"/>
      <c r="UVV1" s="87" t="n"/>
      <c r="UVW1" s="87" t="n"/>
      <c r="UVX1" s="87" t="n"/>
      <c r="UVY1" s="87" t="n"/>
      <c r="UVZ1" s="87" t="n"/>
      <c r="UWA1" s="87" t="n"/>
      <c r="UWB1" s="87" t="n"/>
      <c r="UWC1" s="87" t="n"/>
      <c r="UWD1" s="87" t="n"/>
      <c r="UWE1" s="87" t="n"/>
      <c r="UWF1" s="87" t="n"/>
      <c r="UWG1" s="87" t="n"/>
      <c r="UWH1" s="87" t="n"/>
      <c r="UWI1" s="87" t="n"/>
      <c r="UWJ1" s="87" t="n"/>
      <c r="UWK1" s="87" t="n"/>
      <c r="UWL1" s="87" t="n"/>
      <c r="UWM1" s="87" t="n"/>
      <c r="UWN1" s="87" t="n"/>
      <c r="UWO1" s="87" t="n"/>
      <c r="UWP1" s="87" t="n"/>
      <c r="UWQ1" s="87" t="n"/>
      <c r="UWR1" s="87" t="n"/>
      <c r="UWS1" s="87" t="n"/>
      <c r="UWT1" s="87" t="n"/>
      <c r="UWU1" s="87" t="n"/>
      <c r="UWV1" s="87" t="n"/>
      <c r="UWW1" s="87" t="n"/>
      <c r="UWX1" s="87" t="n"/>
      <c r="UWY1" s="87" t="n"/>
      <c r="UWZ1" s="87" t="n"/>
      <c r="UXA1" s="87" t="n"/>
      <c r="UXB1" s="87" t="n"/>
      <c r="UXC1" s="87" t="n"/>
      <c r="UXD1" s="87" t="n"/>
      <c r="UXE1" s="87" t="n"/>
      <c r="UXF1" s="87" t="n"/>
      <c r="UXG1" s="87" t="n"/>
      <c r="UXH1" s="87" t="n"/>
      <c r="UXI1" s="87" t="n"/>
      <c r="UXJ1" s="87" t="n"/>
      <c r="UXK1" s="87" t="n"/>
      <c r="UXL1" s="87" t="n"/>
      <c r="UXM1" s="87" t="n"/>
      <c r="UXN1" s="87" t="n"/>
      <c r="UXO1" s="87" t="n"/>
      <c r="UXP1" s="87" t="n"/>
      <c r="UXQ1" s="87" t="n"/>
      <c r="UXR1" s="87" t="n"/>
      <c r="UXS1" s="87" t="n"/>
      <c r="UXT1" s="87" t="n"/>
      <c r="UXU1" s="87" t="n"/>
      <c r="UXV1" s="87" t="n"/>
      <c r="UXW1" s="87" t="n"/>
      <c r="UXX1" s="87" t="n"/>
      <c r="UXY1" s="87" t="n"/>
      <c r="UXZ1" s="87" t="n"/>
      <c r="UYA1" s="87" t="n"/>
      <c r="UYB1" s="87" t="n"/>
      <c r="UYC1" s="87" t="n"/>
      <c r="UYD1" s="87" t="n"/>
      <c r="UYE1" s="87" t="n"/>
      <c r="UYF1" s="87" t="n"/>
      <c r="UYG1" s="87" t="n"/>
      <c r="UYH1" s="87" t="n"/>
      <c r="UYI1" s="87" t="n"/>
      <c r="UYJ1" s="87" t="n"/>
      <c r="UYK1" s="87" t="n"/>
      <c r="UYL1" s="87" t="n"/>
      <c r="UYM1" s="87" t="n"/>
      <c r="UYN1" s="87" t="n"/>
      <c r="UYO1" s="87" t="n"/>
      <c r="UYP1" s="87" t="n"/>
      <c r="UYQ1" s="87" t="n"/>
      <c r="UYR1" s="87" t="n"/>
      <c r="UYS1" s="87" t="n"/>
      <c r="UYT1" s="87" t="n"/>
      <c r="UYU1" s="87" t="n"/>
      <c r="UYV1" s="87" t="n"/>
      <c r="UYW1" s="87" t="n"/>
      <c r="UYX1" s="87" t="n"/>
      <c r="UYY1" s="87" t="n"/>
      <c r="UYZ1" s="87" t="n"/>
      <c r="UZA1" s="87" t="n"/>
      <c r="UZB1" s="87" t="n"/>
      <c r="UZC1" s="87" t="n"/>
      <c r="UZD1" s="87" t="n"/>
      <c r="UZE1" s="87" t="n"/>
      <c r="UZF1" s="87" t="n"/>
      <c r="UZG1" s="87" t="n"/>
      <c r="UZH1" s="87" t="n"/>
      <c r="UZI1" s="87" t="n"/>
      <c r="UZJ1" s="87" t="n"/>
      <c r="UZK1" s="87" t="n"/>
      <c r="UZL1" s="87" t="n"/>
      <c r="UZM1" s="87" t="n"/>
      <c r="UZN1" s="87" t="n"/>
      <c r="UZO1" s="87" t="n"/>
      <c r="UZP1" s="87" t="n"/>
      <c r="UZQ1" s="87" t="n"/>
      <c r="UZR1" s="87" t="n"/>
      <c r="UZS1" s="87" t="n"/>
      <c r="UZT1" s="87" t="n"/>
      <c r="UZU1" s="87" t="n"/>
      <c r="UZV1" s="87" t="n"/>
      <c r="UZW1" s="87" t="n"/>
      <c r="UZX1" s="87" t="n"/>
      <c r="UZY1" s="87" t="n"/>
      <c r="UZZ1" s="87" t="n"/>
      <c r="VAA1" s="87" t="n"/>
      <c r="VAB1" s="87" t="n"/>
      <c r="VAC1" s="87" t="n"/>
      <c r="VAD1" s="87" t="n"/>
      <c r="VAE1" s="87" t="n"/>
      <c r="VAF1" s="87" t="n"/>
      <c r="VAG1" s="87" t="n"/>
      <c r="VAH1" s="87" t="n"/>
      <c r="VAI1" s="87" t="n"/>
      <c r="VAJ1" s="87" t="n"/>
      <c r="VAK1" s="87" t="n"/>
      <c r="VAL1" s="87" t="n"/>
      <c r="VAM1" s="87" t="n"/>
      <c r="VAN1" s="87" t="n"/>
      <c r="VAO1" s="87" t="n"/>
      <c r="VAP1" s="87" t="n"/>
      <c r="VAQ1" s="87" t="n"/>
      <c r="VAR1" s="87" t="n"/>
      <c r="VAS1" s="87" t="n"/>
      <c r="VAT1" s="87" t="n"/>
      <c r="VAU1" s="87" t="n"/>
      <c r="VAV1" s="87" t="n"/>
      <c r="VAW1" s="87" t="n"/>
      <c r="VAX1" s="87" t="n"/>
      <c r="VAY1" s="87" t="n"/>
      <c r="VAZ1" s="87" t="n"/>
      <c r="VBA1" s="87" t="n"/>
      <c r="VBB1" s="87" t="n"/>
      <c r="VBC1" s="87" t="n"/>
      <c r="VBD1" s="87" t="n"/>
      <c r="VBE1" s="87" t="n"/>
      <c r="VBF1" s="87" t="n"/>
      <c r="VBG1" s="87" t="n"/>
      <c r="VBH1" s="87" t="n"/>
      <c r="VBI1" s="87" t="n"/>
      <c r="VBJ1" s="87" t="n"/>
      <c r="VBK1" s="87" t="n"/>
      <c r="VBL1" s="87" t="n"/>
      <c r="VBM1" s="87" t="n"/>
      <c r="VBN1" s="87" t="n"/>
      <c r="VBO1" s="87" t="n"/>
      <c r="VBP1" s="87" t="n"/>
      <c r="VBQ1" s="87" t="n"/>
      <c r="VBR1" s="87" t="n"/>
      <c r="VBS1" s="87" t="n"/>
      <c r="VBT1" s="87" t="n"/>
      <c r="VBU1" s="87" t="n"/>
      <c r="VBV1" s="87" t="n"/>
      <c r="VBW1" s="87" t="n"/>
      <c r="VBX1" s="87" t="n"/>
      <c r="VBY1" s="87" t="n"/>
      <c r="VBZ1" s="87" t="n"/>
      <c r="VCA1" s="87" t="n"/>
      <c r="VCB1" s="87" t="n"/>
      <c r="VCC1" s="87" t="n"/>
      <c r="VCD1" s="87" t="n"/>
      <c r="VCE1" s="87" t="n"/>
      <c r="VCF1" s="87" t="n"/>
      <c r="VCG1" s="87" t="n"/>
      <c r="VCH1" s="87" t="n"/>
      <c r="VCI1" s="87" t="n"/>
      <c r="VCJ1" s="87" t="n"/>
      <c r="VCK1" s="87" t="n"/>
      <c r="VCL1" s="87" t="n"/>
      <c r="VCM1" s="87" t="n"/>
      <c r="VCN1" s="87" t="n"/>
      <c r="VCO1" s="87" t="n"/>
      <c r="VCP1" s="87" t="n"/>
      <c r="VCQ1" s="87" t="n"/>
      <c r="VCR1" s="87" t="n"/>
      <c r="VCS1" s="87" t="n"/>
      <c r="VCT1" s="87" t="n"/>
      <c r="VCU1" s="87" t="n"/>
      <c r="VCV1" s="87" t="n"/>
      <c r="VCW1" s="87" t="n"/>
      <c r="VCX1" s="87" t="n"/>
      <c r="VCY1" s="87" t="n"/>
      <c r="VCZ1" s="87" t="n"/>
      <c r="VDA1" s="87" t="n"/>
      <c r="VDB1" s="87" t="n"/>
      <c r="VDC1" s="87" t="n"/>
      <c r="VDD1" s="87" t="n"/>
      <c r="VDE1" s="87" t="n"/>
      <c r="VDF1" s="87" t="n"/>
      <c r="VDG1" s="87" t="n"/>
      <c r="VDH1" s="87" t="n"/>
      <c r="VDI1" s="87" t="n"/>
      <c r="VDJ1" s="87" t="n"/>
      <c r="VDK1" s="87" t="n"/>
      <c r="VDL1" s="87" t="n"/>
      <c r="VDM1" s="87" t="n"/>
      <c r="VDN1" s="87" t="n"/>
      <c r="VDO1" s="87" t="n"/>
      <c r="VDP1" s="87" t="n"/>
      <c r="VDQ1" s="87" t="n"/>
      <c r="VDR1" s="87" t="n"/>
      <c r="VDS1" s="87" t="n"/>
      <c r="VDT1" s="87" t="n"/>
      <c r="VDU1" s="87" t="n"/>
      <c r="VDV1" s="87" t="n"/>
      <c r="VDW1" s="87" t="n"/>
      <c r="VDX1" s="87" t="n"/>
      <c r="VDY1" s="87" t="n"/>
      <c r="VDZ1" s="87" t="n"/>
      <c r="VEA1" s="87" t="n"/>
      <c r="VEB1" s="87" t="n"/>
      <c r="VEC1" s="87" t="n"/>
      <c r="VED1" s="87" t="n"/>
      <c r="VEE1" s="87" t="n"/>
      <c r="VEF1" s="87" t="n"/>
      <c r="VEG1" s="87" t="n"/>
      <c r="VEH1" s="87" t="n"/>
      <c r="VEI1" s="87" t="n"/>
      <c r="VEJ1" s="87" t="n"/>
      <c r="VEK1" s="87" t="n"/>
      <c r="VEL1" s="87" t="n"/>
      <c r="VEM1" s="87" t="n"/>
      <c r="VEN1" s="87" t="n"/>
      <c r="VEO1" s="87" t="n"/>
      <c r="VEP1" s="87" t="n"/>
      <c r="VEQ1" s="87" t="n"/>
      <c r="VER1" s="87" t="n"/>
      <c r="VES1" s="87" t="n"/>
      <c r="VET1" s="87" t="n"/>
      <c r="VEU1" s="87" t="n"/>
      <c r="VEV1" s="87" t="n"/>
      <c r="VEW1" s="87" t="n"/>
      <c r="VEX1" s="87" t="n"/>
      <c r="VEY1" s="87" t="n"/>
      <c r="VEZ1" s="87" t="n"/>
      <c r="VFA1" s="87" t="n"/>
      <c r="VFB1" s="87" t="n"/>
      <c r="VFC1" s="87" t="n"/>
      <c r="VFD1" s="87" t="n"/>
      <c r="VFE1" s="87" t="n"/>
      <c r="VFF1" s="87" t="n"/>
      <c r="VFG1" s="87" t="n"/>
      <c r="VFH1" s="87" t="n"/>
      <c r="VFI1" s="87" t="n"/>
      <c r="VFJ1" s="87" t="n"/>
      <c r="VFK1" s="87" t="n"/>
      <c r="VFL1" s="87" t="n"/>
      <c r="VFM1" s="87" t="n"/>
      <c r="VFN1" s="87" t="n"/>
      <c r="VFO1" s="87" t="n"/>
      <c r="VFP1" s="87" t="n"/>
      <c r="VFQ1" s="87" t="n"/>
      <c r="VFR1" s="87" t="n"/>
      <c r="VFS1" s="87" t="n"/>
      <c r="VFT1" s="87" t="n"/>
      <c r="VFU1" s="87" t="n"/>
      <c r="VFV1" s="87" t="n"/>
      <c r="VFW1" s="87" t="n"/>
      <c r="VFX1" s="87" t="n"/>
      <c r="VFY1" s="87" t="n"/>
      <c r="VFZ1" s="87" t="n"/>
      <c r="VGA1" s="87" t="n"/>
      <c r="VGB1" s="87" t="n"/>
      <c r="VGC1" s="87" t="n"/>
      <c r="VGD1" s="87" t="n"/>
      <c r="VGE1" s="87" t="n"/>
      <c r="VGF1" s="87" t="n"/>
      <c r="VGG1" s="87" t="n"/>
      <c r="VGH1" s="87" t="n"/>
      <c r="VGI1" s="87" t="n"/>
      <c r="VGJ1" s="87" t="n"/>
      <c r="VGK1" s="87" t="n"/>
      <c r="VGL1" s="87" t="n"/>
      <c r="VGM1" s="87" t="n"/>
      <c r="VGN1" s="87" t="n"/>
      <c r="VGO1" s="87" t="n"/>
      <c r="VGP1" s="87" t="n"/>
      <c r="VGQ1" s="87" t="n"/>
      <c r="VGR1" s="87" t="n"/>
      <c r="VGS1" s="87" t="n"/>
      <c r="VGT1" s="87" t="n"/>
      <c r="VGU1" s="87" t="n"/>
      <c r="VGV1" s="87" t="n"/>
      <c r="VGW1" s="87" t="n"/>
      <c r="VGX1" s="87" t="n"/>
      <c r="VGY1" s="87" t="n"/>
      <c r="VGZ1" s="87" t="n"/>
      <c r="VHA1" s="87" t="n"/>
      <c r="VHB1" s="87" t="n"/>
      <c r="VHC1" s="87" t="n"/>
      <c r="VHD1" s="87" t="n"/>
      <c r="VHE1" s="87" t="n"/>
      <c r="VHF1" s="87" t="n"/>
      <c r="VHG1" s="87" t="n"/>
      <c r="VHH1" s="87" t="n"/>
      <c r="VHI1" s="87" t="n"/>
      <c r="VHJ1" s="87" t="n"/>
      <c r="VHK1" s="87" t="n"/>
      <c r="VHL1" s="87" t="n"/>
      <c r="VHM1" s="87" t="n"/>
      <c r="VHN1" s="87" t="n"/>
      <c r="VHO1" s="87" t="n"/>
      <c r="VHP1" s="87" t="n"/>
      <c r="VHQ1" s="87" t="n"/>
      <c r="VHR1" s="87" t="n"/>
      <c r="VHS1" s="87" t="n"/>
      <c r="VHT1" s="87" t="n"/>
      <c r="VHU1" s="87" t="n"/>
      <c r="VHV1" s="87" t="n"/>
      <c r="VHW1" s="87" t="n"/>
      <c r="VHX1" s="87" t="n"/>
      <c r="VHY1" s="87" t="n"/>
      <c r="VHZ1" s="87" t="n"/>
      <c r="VIA1" s="87" t="n"/>
      <c r="VIB1" s="87" t="n"/>
      <c r="VIC1" s="87" t="n"/>
      <c r="VID1" s="87" t="n"/>
      <c r="VIE1" s="87" t="n"/>
      <c r="VIF1" s="87" t="n"/>
      <c r="VIG1" s="87" t="n"/>
      <c r="VIH1" s="87" t="n"/>
      <c r="VII1" s="87" t="n"/>
      <c r="VIJ1" s="87" t="n"/>
      <c r="VIK1" s="87" t="n"/>
      <c r="VIL1" s="87" t="n"/>
      <c r="VIM1" s="87" t="n"/>
      <c r="VIN1" s="87" t="n"/>
      <c r="VIO1" s="87" t="n"/>
      <c r="VIP1" s="87" t="n"/>
      <c r="VIQ1" s="87" t="n"/>
      <c r="VIR1" s="87" t="n"/>
      <c r="VIS1" s="87" t="n"/>
      <c r="VIT1" s="87" t="n"/>
      <c r="VIU1" s="87" t="n"/>
      <c r="VIV1" s="87" t="n"/>
      <c r="VIW1" s="87" t="n"/>
      <c r="VIX1" s="87" t="n"/>
      <c r="VIY1" s="87" t="n"/>
      <c r="VIZ1" s="87" t="n"/>
      <c r="VJA1" s="87" t="n"/>
      <c r="VJB1" s="87" t="n"/>
      <c r="VJC1" s="87" t="n"/>
      <c r="VJD1" s="87" t="n"/>
      <c r="VJE1" s="87" t="n"/>
      <c r="VJF1" s="87" t="n"/>
      <c r="VJG1" s="87" t="n"/>
      <c r="VJH1" s="87" t="n"/>
      <c r="VJI1" s="87" t="n"/>
      <c r="VJJ1" s="87" t="n"/>
      <c r="VJK1" s="87" t="n"/>
      <c r="VJL1" s="87" t="n"/>
      <c r="VJM1" s="87" t="n"/>
      <c r="VJN1" s="87" t="n"/>
      <c r="VJO1" s="87" t="n"/>
      <c r="VJP1" s="87" t="n"/>
      <c r="VJQ1" s="87" t="n"/>
      <c r="VJR1" s="87" t="n"/>
      <c r="VJS1" s="87" t="n"/>
      <c r="VJT1" s="87" t="n"/>
      <c r="VJU1" s="87" t="n"/>
      <c r="VJV1" s="87" t="n"/>
      <c r="VJW1" s="87" t="n"/>
      <c r="VJX1" s="87" t="n"/>
      <c r="VJY1" s="87" t="n"/>
      <c r="VJZ1" s="87" t="n"/>
      <c r="VKA1" s="87" t="n"/>
      <c r="VKB1" s="87" t="n"/>
      <c r="VKC1" s="87" t="n"/>
      <c r="VKD1" s="87" t="n"/>
      <c r="VKE1" s="87" t="n"/>
      <c r="VKF1" s="87" t="n"/>
      <c r="VKG1" s="87" t="n"/>
      <c r="VKH1" s="87" t="n"/>
      <c r="VKI1" s="87" t="n"/>
      <c r="VKJ1" s="87" t="n"/>
      <c r="VKK1" s="87" t="n"/>
      <c r="VKL1" s="87" t="n"/>
      <c r="VKM1" s="87" t="n"/>
      <c r="VKN1" s="87" t="n"/>
      <c r="VKO1" s="87" t="n"/>
      <c r="VKP1" s="87" t="n"/>
      <c r="VKQ1" s="87" t="n"/>
      <c r="VKR1" s="87" t="n"/>
      <c r="VKS1" s="87" t="n"/>
      <c r="VKT1" s="87" t="n"/>
      <c r="VKU1" s="87" t="n"/>
      <c r="VKV1" s="87" t="n"/>
      <c r="VKW1" s="87" t="n"/>
      <c r="VKX1" s="87" t="n"/>
      <c r="VKY1" s="87" t="n"/>
      <c r="VKZ1" s="87" t="n"/>
      <c r="VLA1" s="87" t="n"/>
      <c r="VLB1" s="87" t="n"/>
      <c r="VLC1" s="87" t="n"/>
      <c r="VLD1" s="87" t="n"/>
      <c r="VLE1" s="87" t="n"/>
      <c r="VLF1" s="87" t="n"/>
      <c r="VLG1" s="87" t="n"/>
      <c r="VLH1" s="87" t="n"/>
      <c r="VLI1" s="87" t="n"/>
      <c r="VLJ1" s="87" t="n"/>
      <c r="VLK1" s="87" t="n"/>
      <c r="VLL1" s="87" t="n"/>
      <c r="VLM1" s="87" t="n"/>
      <c r="VLN1" s="87" t="n"/>
      <c r="VLO1" s="87" t="n"/>
      <c r="VLP1" s="87" t="n"/>
      <c r="VLQ1" s="87" t="n"/>
      <c r="VLR1" s="87" t="n"/>
      <c r="VLS1" s="87" t="n"/>
      <c r="VLT1" s="87" t="n"/>
      <c r="VLU1" s="87" t="n"/>
      <c r="VLV1" s="87" t="n"/>
      <c r="VLW1" s="87" t="n"/>
      <c r="VLX1" s="87" t="n"/>
      <c r="VLY1" s="87" t="n"/>
      <c r="VLZ1" s="87" t="n"/>
      <c r="VMA1" s="87" t="n"/>
      <c r="VMB1" s="87" t="n"/>
      <c r="VMC1" s="87" t="n"/>
      <c r="VMD1" s="87" t="n"/>
      <c r="VME1" s="87" t="n"/>
      <c r="VMF1" s="87" t="n"/>
      <c r="VMG1" s="87" t="n"/>
      <c r="VMH1" s="87" t="n"/>
      <c r="VMI1" s="87" t="n"/>
      <c r="VMJ1" s="87" t="n"/>
      <c r="VMK1" s="87" t="n"/>
      <c r="VML1" s="87" t="n"/>
      <c r="VMM1" s="87" t="n"/>
      <c r="VMN1" s="87" t="n"/>
      <c r="VMO1" s="87" t="n"/>
      <c r="VMP1" s="87" t="n"/>
      <c r="VMQ1" s="87" t="n"/>
      <c r="VMR1" s="87" t="n"/>
      <c r="VMS1" s="87" t="n"/>
      <c r="VMT1" s="87" t="n"/>
      <c r="VMU1" s="87" t="n"/>
      <c r="VMV1" s="87" t="n"/>
      <c r="VMW1" s="87" t="n"/>
      <c r="VMX1" s="87" t="n"/>
      <c r="VMY1" s="87" t="n"/>
      <c r="VMZ1" s="87" t="n"/>
      <c r="VNA1" s="87" t="n"/>
      <c r="VNB1" s="87" t="n"/>
      <c r="VNC1" s="87" t="n"/>
      <c r="VND1" s="87" t="n"/>
      <c r="VNE1" s="87" t="n"/>
      <c r="VNF1" s="87" t="n"/>
      <c r="VNG1" s="87" t="n"/>
      <c r="VNH1" s="87" t="n"/>
      <c r="VNI1" s="87" t="n"/>
      <c r="VNJ1" s="87" t="n"/>
      <c r="VNK1" s="87" t="n"/>
      <c r="VNL1" s="87" t="n"/>
      <c r="VNM1" s="87" t="n"/>
      <c r="VNN1" s="87" t="n"/>
      <c r="VNO1" s="87" t="n"/>
      <c r="VNP1" s="87" t="n"/>
      <c r="VNQ1" s="87" t="n"/>
      <c r="VNR1" s="87" t="n"/>
      <c r="VNS1" s="87" t="n"/>
      <c r="VNT1" s="87" t="n"/>
      <c r="VNU1" s="87" t="n"/>
      <c r="VNV1" s="87" t="n"/>
      <c r="VNW1" s="87" t="n"/>
      <c r="VNX1" s="87" t="n"/>
      <c r="VNY1" s="87" t="n"/>
      <c r="VNZ1" s="87" t="n"/>
      <c r="VOA1" s="87" t="n"/>
      <c r="VOB1" s="87" t="n"/>
      <c r="VOC1" s="87" t="n"/>
      <c r="VOD1" s="87" t="n"/>
      <c r="VOE1" s="87" t="n"/>
      <c r="VOF1" s="87" t="n"/>
      <c r="VOG1" s="87" t="n"/>
      <c r="VOH1" s="87" t="n"/>
      <c r="VOI1" s="87" t="n"/>
      <c r="VOJ1" s="87" t="n"/>
      <c r="VOK1" s="87" t="n"/>
      <c r="VOL1" s="87" t="n"/>
      <c r="VOM1" s="87" t="n"/>
      <c r="VON1" s="87" t="n"/>
      <c r="VOO1" s="87" t="n"/>
      <c r="VOP1" s="87" t="n"/>
      <c r="VOQ1" s="87" t="n"/>
      <c r="VOR1" s="87" t="n"/>
      <c r="VOS1" s="87" t="n"/>
      <c r="VOT1" s="87" t="n"/>
      <c r="VOU1" s="87" t="n"/>
      <c r="VOV1" s="87" t="n"/>
      <c r="VOW1" s="87" t="n"/>
      <c r="VOX1" s="87" t="n"/>
      <c r="VOY1" s="87" t="n"/>
      <c r="VOZ1" s="87" t="n"/>
      <c r="VPA1" s="87" t="n"/>
      <c r="VPB1" s="87" t="n"/>
      <c r="VPC1" s="87" t="n"/>
      <c r="VPD1" s="87" t="n"/>
      <c r="VPE1" s="87" t="n"/>
      <c r="VPF1" s="87" t="n"/>
      <c r="VPG1" s="87" t="n"/>
      <c r="VPH1" s="87" t="n"/>
      <c r="VPI1" s="87" t="n"/>
      <c r="VPJ1" s="87" t="n"/>
      <c r="VPK1" s="87" t="n"/>
      <c r="VPL1" s="87" t="n"/>
      <c r="VPM1" s="87" t="n"/>
      <c r="VPN1" s="87" t="n"/>
      <c r="VPO1" s="87" t="n"/>
      <c r="VPP1" s="87" t="n"/>
      <c r="VPQ1" s="87" t="n"/>
      <c r="VPR1" s="87" t="n"/>
      <c r="VPS1" s="87" t="n"/>
      <c r="VPT1" s="87" t="n"/>
      <c r="VPU1" s="87" t="n"/>
      <c r="VPV1" s="87" t="n"/>
      <c r="VPW1" s="87" t="n"/>
      <c r="VPX1" s="87" t="n"/>
      <c r="VPY1" s="87" t="n"/>
      <c r="VPZ1" s="87" t="n"/>
      <c r="VQA1" s="87" t="n"/>
      <c r="VQB1" s="87" t="n"/>
      <c r="VQC1" s="87" t="n"/>
      <c r="VQD1" s="87" t="n"/>
      <c r="VQE1" s="87" t="n"/>
      <c r="VQF1" s="87" t="n"/>
      <c r="VQG1" s="87" t="n"/>
      <c r="VQH1" s="87" t="n"/>
      <c r="VQI1" s="87" t="n"/>
      <c r="VQJ1" s="87" t="n"/>
      <c r="VQK1" s="87" t="n"/>
      <c r="VQL1" s="87" t="n"/>
      <c r="VQM1" s="87" t="n"/>
      <c r="VQN1" s="87" t="n"/>
      <c r="VQO1" s="87" t="n"/>
      <c r="VQP1" s="87" t="n"/>
      <c r="VQQ1" s="87" t="n"/>
      <c r="VQR1" s="87" t="n"/>
      <c r="VQS1" s="87" t="n"/>
      <c r="VQT1" s="87" t="n"/>
      <c r="VQU1" s="87" t="n"/>
      <c r="VQV1" s="87" t="n"/>
      <c r="VQW1" s="87" t="n"/>
      <c r="VQX1" s="87" t="n"/>
      <c r="VQY1" s="87" t="n"/>
      <c r="VQZ1" s="87" t="n"/>
      <c r="VRA1" s="87" t="n"/>
      <c r="VRB1" s="87" t="n"/>
      <c r="VRC1" s="87" t="n"/>
      <c r="VRD1" s="87" t="n"/>
      <c r="VRE1" s="87" t="n"/>
      <c r="VRF1" s="87" t="n"/>
      <c r="VRG1" s="87" t="n"/>
      <c r="VRH1" s="87" t="n"/>
      <c r="VRI1" s="87" t="n"/>
      <c r="VRJ1" s="87" t="n"/>
      <c r="VRK1" s="87" t="n"/>
      <c r="VRL1" s="87" t="n"/>
      <c r="VRM1" s="87" t="n"/>
      <c r="VRN1" s="87" t="n"/>
      <c r="VRO1" s="87" t="n"/>
      <c r="VRP1" s="87" t="n"/>
      <c r="VRQ1" s="87" t="n"/>
      <c r="VRR1" s="87" t="n"/>
      <c r="VRS1" s="87" t="n"/>
      <c r="VRT1" s="87" t="n"/>
      <c r="VRU1" s="87" t="n"/>
      <c r="VRV1" s="87" t="n"/>
      <c r="VRW1" s="87" t="n"/>
      <c r="VRX1" s="87" t="n"/>
      <c r="VRY1" s="87" t="n"/>
      <c r="VRZ1" s="87" t="n"/>
      <c r="VSA1" s="87" t="n"/>
      <c r="VSB1" s="87" t="n"/>
      <c r="VSC1" s="87" t="n"/>
      <c r="VSD1" s="87" t="n"/>
      <c r="VSE1" s="87" t="n"/>
      <c r="VSF1" s="87" t="n"/>
      <c r="VSG1" s="87" t="n"/>
      <c r="VSH1" s="87" t="n"/>
      <c r="VSI1" s="87" t="n"/>
      <c r="VSJ1" s="87" t="n"/>
      <c r="VSK1" s="87" t="n"/>
      <c r="VSL1" s="87" t="n"/>
      <c r="VSM1" s="87" t="n"/>
      <c r="VSN1" s="87" t="n"/>
      <c r="VSO1" s="87" t="n"/>
      <c r="VSP1" s="87" t="n"/>
      <c r="VSQ1" s="87" t="n"/>
      <c r="VSR1" s="87" t="n"/>
      <c r="VSS1" s="87" t="n"/>
      <c r="VST1" s="87" t="n"/>
      <c r="VSU1" s="87" t="n"/>
      <c r="VSV1" s="87" t="n"/>
      <c r="VSW1" s="87" t="n"/>
      <c r="VSX1" s="87" t="n"/>
      <c r="VSY1" s="87" t="n"/>
      <c r="VSZ1" s="87" t="n"/>
      <c r="VTA1" s="87" t="n"/>
      <c r="VTB1" s="87" t="n"/>
      <c r="VTC1" s="87" t="n"/>
      <c r="VTD1" s="87" t="n"/>
      <c r="VTE1" s="87" t="n"/>
      <c r="VTF1" s="87" t="n"/>
      <c r="VTG1" s="87" t="n"/>
      <c r="VTH1" s="87" t="n"/>
      <c r="VTI1" s="87" t="n"/>
      <c r="VTJ1" s="87" t="n"/>
      <c r="VTK1" s="87" t="n"/>
      <c r="VTL1" s="87" t="n"/>
      <c r="VTM1" s="87" t="n"/>
      <c r="VTN1" s="87" t="n"/>
      <c r="VTO1" s="87" t="n"/>
      <c r="VTP1" s="87" t="n"/>
      <c r="VTQ1" s="87" t="n"/>
      <c r="VTR1" s="87" t="n"/>
      <c r="VTS1" s="87" t="n"/>
      <c r="VTT1" s="87" t="n"/>
      <c r="VTU1" s="87" t="n"/>
      <c r="VTV1" s="87" t="n"/>
      <c r="VTW1" s="87" t="n"/>
      <c r="VTX1" s="87" t="n"/>
      <c r="VTY1" s="87" t="n"/>
      <c r="VTZ1" s="87" t="n"/>
      <c r="VUA1" s="87" t="n"/>
      <c r="VUB1" s="87" t="n"/>
      <c r="VUC1" s="87" t="n"/>
      <c r="VUD1" s="87" t="n"/>
      <c r="VUE1" s="87" t="n"/>
      <c r="VUF1" s="87" t="n"/>
      <c r="VUG1" s="87" t="n"/>
      <c r="VUH1" s="87" t="n"/>
      <c r="VUI1" s="87" t="n"/>
      <c r="VUJ1" s="87" t="n"/>
      <c r="VUK1" s="87" t="n"/>
      <c r="VUL1" s="87" t="n"/>
      <c r="VUM1" s="87" t="n"/>
      <c r="VUN1" s="87" t="n"/>
      <c r="VUO1" s="87" t="n"/>
      <c r="VUP1" s="87" t="n"/>
      <c r="VUQ1" s="87" t="n"/>
      <c r="VUR1" s="87" t="n"/>
      <c r="VUS1" s="87" t="n"/>
      <c r="VUT1" s="87" t="n"/>
      <c r="VUU1" s="87" t="n"/>
      <c r="VUV1" s="87" t="n"/>
      <c r="VUW1" s="87" t="n"/>
      <c r="VUX1" s="87" t="n"/>
      <c r="VUY1" s="87" t="n"/>
      <c r="VUZ1" s="87" t="n"/>
      <c r="VVA1" s="87" t="n"/>
      <c r="VVB1" s="87" t="n"/>
      <c r="VVC1" s="87" t="n"/>
      <c r="VVD1" s="87" t="n"/>
      <c r="VVE1" s="87" t="n"/>
      <c r="VVF1" s="87" t="n"/>
      <c r="VVG1" s="87" t="n"/>
      <c r="VVH1" s="87" t="n"/>
      <c r="VVI1" s="87" t="n"/>
      <c r="VVJ1" s="87" t="n"/>
      <c r="VVK1" s="87" t="n"/>
      <c r="VVL1" s="87" t="n"/>
      <c r="VVM1" s="87" t="n"/>
      <c r="VVN1" s="87" t="n"/>
      <c r="VVO1" s="87" t="n"/>
      <c r="VVP1" s="87" t="n"/>
      <c r="VVQ1" s="87" t="n"/>
      <c r="VVR1" s="87" t="n"/>
      <c r="VVS1" s="87" t="n"/>
      <c r="VVT1" s="87" t="n"/>
      <c r="VVU1" s="87" t="n"/>
      <c r="VVV1" s="87" t="n"/>
      <c r="VVW1" s="87" t="n"/>
      <c r="VVX1" s="87" t="n"/>
      <c r="VVY1" s="87" t="n"/>
      <c r="VVZ1" s="87" t="n"/>
      <c r="VWA1" s="87" t="n"/>
      <c r="VWB1" s="87" t="n"/>
      <c r="VWC1" s="87" t="n"/>
      <c r="VWD1" s="87" t="n"/>
      <c r="VWE1" s="87" t="n"/>
      <c r="VWF1" s="87" t="n"/>
      <c r="VWG1" s="87" t="n"/>
      <c r="VWH1" s="87" t="n"/>
      <c r="VWI1" s="87" t="n"/>
      <c r="VWJ1" s="87" t="n"/>
      <c r="VWK1" s="87" t="n"/>
      <c r="VWL1" s="87" t="n"/>
      <c r="VWM1" s="87" t="n"/>
      <c r="VWN1" s="87" t="n"/>
      <c r="VWO1" s="87" t="n"/>
      <c r="VWP1" s="87" t="n"/>
      <c r="VWQ1" s="87" t="n"/>
      <c r="VWR1" s="87" t="n"/>
      <c r="VWS1" s="87" t="n"/>
      <c r="VWT1" s="87" t="n"/>
      <c r="VWU1" s="87" t="n"/>
      <c r="VWV1" s="87" t="n"/>
      <c r="VWW1" s="87" t="n"/>
      <c r="VWX1" s="87" t="n"/>
      <c r="VWY1" s="87" t="n"/>
      <c r="VWZ1" s="87" t="n"/>
      <c r="VXA1" s="87" t="n"/>
      <c r="VXB1" s="87" t="n"/>
      <c r="VXC1" s="87" t="n"/>
      <c r="VXD1" s="87" t="n"/>
      <c r="VXE1" s="87" t="n"/>
      <c r="VXF1" s="87" t="n"/>
      <c r="VXG1" s="87" t="n"/>
      <c r="VXH1" s="87" t="n"/>
      <c r="VXI1" s="87" t="n"/>
      <c r="VXJ1" s="87" t="n"/>
      <c r="VXK1" s="87" t="n"/>
      <c r="VXL1" s="87" t="n"/>
      <c r="VXM1" s="87" t="n"/>
      <c r="VXN1" s="87" t="n"/>
      <c r="VXO1" s="87" t="n"/>
      <c r="VXP1" s="87" t="n"/>
      <c r="VXQ1" s="87" t="n"/>
      <c r="VXR1" s="87" t="n"/>
      <c r="VXS1" s="87" t="n"/>
      <c r="VXT1" s="87" t="n"/>
      <c r="VXU1" s="87" t="n"/>
      <c r="VXV1" s="87" t="n"/>
      <c r="VXW1" s="87" t="n"/>
      <c r="VXX1" s="87" t="n"/>
      <c r="VXY1" s="87" t="n"/>
      <c r="VXZ1" s="87" t="n"/>
      <c r="VYA1" s="87" t="n"/>
      <c r="VYB1" s="87" t="n"/>
      <c r="VYC1" s="87" t="n"/>
      <c r="VYD1" s="87" t="n"/>
      <c r="VYE1" s="87" t="n"/>
      <c r="VYF1" s="87" t="n"/>
      <c r="VYG1" s="87" t="n"/>
      <c r="VYH1" s="87" t="n"/>
      <c r="VYI1" s="87" t="n"/>
      <c r="VYJ1" s="87" t="n"/>
      <c r="VYK1" s="87" t="n"/>
      <c r="VYL1" s="87" t="n"/>
      <c r="VYM1" s="87" t="n"/>
      <c r="VYN1" s="87" t="n"/>
      <c r="VYO1" s="87" t="n"/>
      <c r="VYP1" s="87" t="n"/>
      <c r="VYQ1" s="87" t="n"/>
      <c r="VYR1" s="87" t="n"/>
      <c r="VYS1" s="87" t="n"/>
      <c r="VYT1" s="87" t="n"/>
      <c r="VYU1" s="87" t="n"/>
      <c r="VYV1" s="87" t="n"/>
      <c r="VYW1" s="87" t="n"/>
      <c r="VYX1" s="87" t="n"/>
      <c r="VYY1" s="87" t="n"/>
      <c r="VYZ1" s="87" t="n"/>
      <c r="VZA1" s="87" t="n"/>
      <c r="VZB1" s="87" t="n"/>
      <c r="VZC1" s="87" t="n"/>
      <c r="VZD1" s="87" t="n"/>
      <c r="VZE1" s="87" t="n"/>
      <c r="VZF1" s="87" t="n"/>
      <c r="VZG1" s="87" t="n"/>
      <c r="VZH1" s="87" t="n"/>
      <c r="VZI1" s="87" t="n"/>
      <c r="VZJ1" s="87" t="n"/>
      <c r="VZK1" s="87" t="n"/>
      <c r="VZL1" s="87" t="n"/>
      <c r="VZM1" s="87" t="n"/>
      <c r="VZN1" s="87" t="n"/>
      <c r="VZO1" s="87" t="n"/>
      <c r="VZP1" s="87" t="n"/>
      <c r="VZQ1" s="87" t="n"/>
      <c r="VZR1" s="87" t="n"/>
      <c r="VZS1" s="87" t="n"/>
      <c r="VZT1" s="87" t="n"/>
      <c r="VZU1" s="87" t="n"/>
      <c r="VZV1" s="87" t="n"/>
      <c r="VZW1" s="87" t="n"/>
      <c r="VZX1" s="87" t="n"/>
      <c r="VZY1" s="87" t="n"/>
      <c r="VZZ1" s="87" t="n"/>
      <c r="WAA1" s="87" t="n"/>
      <c r="WAB1" s="87" t="n"/>
      <c r="WAC1" s="87" t="n"/>
      <c r="WAD1" s="87" t="n"/>
      <c r="WAE1" s="87" t="n"/>
      <c r="WAF1" s="87" t="n"/>
      <c r="WAG1" s="87" t="n"/>
      <c r="WAH1" s="87" t="n"/>
      <c r="WAI1" s="87" t="n"/>
      <c r="WAJ1" s="87" t="n"/>
      <c r="WAK1" s="87" t="n"/>
      <c r="WAL1" s="87" t="n"/>
      <c r="WAM1" s="87" t="n"/>
      <c r="WAN1" s="87" t="n"/>
      <c r="WAO1" s="87" t="n"/>
      <c r="WAP1" s="87" t="n"/>
      <c r="WAQ1" s="87" t="n"/>
      <c r="WAR1" s="87" t="n"/>
      <c r="WAS1" s="87" t="n"/>
      <c r="WAT1" s="87" t="n"/>
      <c r="WAU1" s="87" t="n"/>
      <c r="WAV1" s="87" t="n"/>
      <c r="WAW1" s="87" t="n"/>
      <c r="WAX1" s="87" t="n"/>
      <c r="WAY1" s="87" t="n"/>
      <c r="WAZ1" s="87" t="n"/>
      <c r="WBA1" s="87" t="n"/>
      <c r="WBB1" s="87" t="n"/>
      <c r="WBC1" s="87" t="n"/>
      <c r="WBD1" s="87" t="n"/>
      <c r="WBE1" s="87" t="n"/>
      <c r="WBF1" s="87" t="n"/>
      <c r="WBG1" s="87" t="n"/>
      <c r="WBH1" s="87" t="n"/>
      <c r="WBI1" s="87" t="n"/>
      <c r="WBJ1" s="87" t="n"/>
      <c r="WBK1" s="87" t="n"/>
      <c r="WBL1" s="87" t="n"/>
      <c r="WBM1" s="87" t="n"/>
      <c r="WBN1" s="87" t="n"/>
      <c r="WBO1" s="87" t="n"/>
      <c r="WBP1" s="87" t="n"/>
      <c r="WBQ1" s="87" t="n"/>
      <c r="WBR1" s="87" t="n"/>
      <c r="WBS1" s="87" t="n"/>
      <c r="WBT1" s="87" t="n"/>
      <c r="WBU1" s="87" t="n"/>
      <c r="WBV1" s="87" t="n"/>
      <c r="WBW1" s="87" t="n"/>
      <c r="WBX1" s="87" t="n"/>
      <c r="WBY1" s="87" t="n"/>
      <c r="WBZ1" s="87" t="n"/>
      <c r="WCA1" s="87" t="n"/>
      <c r="WCB1" s="87" t="n"/>
      <c r="WCC1" s="87" t="n"/>
      <c r="WCD1" s="87" t="n"/>
      <c r="WCE1" s="87" t="n"/>
      <c r="WCF1" s="87" t="n"/>
      <c r="WCG1" s="87" t="n"/>
      <c r="WCH1" s="87" t="n"/>
      <c r="WCI1" s="87" t="n"/>
      <c r="WCJ1" s="87" t="n"/>
      <c r="WCK1" s="87" t="n"/>
      <c r="WCL1" s="87" t="n"/>
      <c r="WCM1" s="87" t="n"/>
      <c r="WCN1" s="87" t="n"/>
      <c r="WCO1" s="87" t="n"/>
      <c r="WCP1" s="87" t="n"/>
      <c r="WCQ1" s="87" t="n"/>
      <c r="WCR1" s="87" t="n"/>
      <c r="WCS1" s="87" t="n"/>
      <c r="WCT1" s="87" t="n"/>
      <c r="WCU1" s="87" t="n"/>
      <c r="WCV1" s="87" t="n"/>
      <c r="WCW1" s="87" t="n"/>
      <c r="WCX1" s="87" t="n"/>
      <c r="WCY1" s="87" t="n"/>
      <c r="WCZ1" s="87" t="n"/>
      <c r="WDA1" s="87" t="n"/>
      <c r="WDB1" s="87" t="n"/>
      <c r="WDC1" s="87" t="n"/>
      <c r="WDD1" s="87" t="n"/>
      <c r="WDE1" s="87" t="n"/>
      <c r="WDF1" s="87" t="n"/>
      <c r="WDG1" s="87" t="n"/>
      <c r="WDH1" s="87" t="n"/>
      <c r="WDI1" s="87" t="n"/>
      <c r="WDJ1" s="87" t="n"/>
      <c r="WDK1" s="87" t="n"/>
      <c r="WDL1" s="87" t="n"/>
      <c r="WDM1" s="87" t="n"/>
      <c r="WDN1" s="87" t="n"/>
      <c r="WDO1" s="87" t="n"/>
      <c r="WDP1" s="87" t="n"/>
      <c r="WDQ1" s="87" t="n"/>
      <c r="WDR1" s="87" t="n"/>
      <c r="WDS1" s="87" t="n"/>
      <c r="WDT1" s="87" t="n"/>
      <c r="WDU1" s="87" t="n"/>
      <c r="WDV1" s="87" t="n"/>
      <c r="WDW1" s="87" t="n"/>
      <c r="WDX1" s="87" t="n"/>
      <c r="WDY1" s="87" t="n"/>
      <c r="WDZ1" s="87" t="n"/>
      <c r="WEA1" s="87" t="n"/>
      <c r="WEB1" s="87" t="n"/>
      <c r="WEC1" s="87" t="n"/>
      <c r="WED1" s="87" t="n"/>
      <c r="WEE1" s="87" t="n"/>
      <c r="WEF1" s="87" t="n"/>
      <c r="WEG1" s="87" t="n"/>
      <c r="WEH1" s="87" t="n"/>
      <c r="WEI1" s="87" t="n"/>
      <c r="WEJ1" s="87" t="n"/>
      <c r="WEK1" s="87" t="n"/>
      <c r="WEL1" s="87" t="n"/>
      <c r="WEM1" s="87" t="n"/>
      <c r="WEN1" s="87" t="n"/>
      <c r="WEO1" s="87" t="n"/>
      <c r="WEP1" s="87" t="n"/>
      <c r="WEQ1" s="87" t="n"/>
      <c r="WER1" s="87" t="n"/>
      <c r="WES1" s="87" t="n"/>
      <c r="WET1" s="87" t="n"/>
      <c r="WEU1" s="87" t="n"/>
      <c r="WEV1" s="87" t="n"/>
      <c r="WEW1" s="87" t="n"/>
      <c r="WEX1" s="87" t="n"/>
      <c r="WEY1" s="87" t="n"/>
      <c r="WEZ1" s="87" t="n"/>
      <c r="WFA1" s="87" t="n"/>
      <c r="WFB1" s="87" t="n"/>
      <c r="WFC1" s="87" t="n"/>
      <c r="WFD1" s="87" t="n"/>
      <c r="WFE1" s="87" t="n"/>
      <c r="WFF1" s="87" t="n"/>
      <c r="WFG1" s="87" t="n"/>
      <c r="WFH1" s="87" t="n"/>
      <c r="WFI1" s="87" t="n"/>
      <c r="WFJ1" s="87" t="n"/>
      <c r="WFK1" s="87" t="n"/>
      <c r="WFL1" s="87" t="n"/>
      <c r="WFM1" s="87" t="n"/>
      <c r="WFN1" s="87" t="n"/>
      <c r="WFO1" s="87" t="n"/>
      <c r="WFP1" s="87" t="n"/>
      <c r="WFQ1" s="87" t="n"/>
      <c r="WFR1" s="87" t="n"/>
      <c r="WFS1" s="87" t="n"/>
      <c r="WFT1" s="87" t="n"/>
      <c r="WFU1" s="87" t="n"/>
      <c r="WFV1" s="87" t="n"/>
      <c r="WFW1" s="87" t="n"/>
      <c r="WFX1" s="87" t="n"/>
      <c r="WFY1" s="87" t="n"/>
      <c r="WFZ1" s="87" t="n"/>
      <c r="WGA1" s="87" t="n"/>
      <c r="WGB1" s="87" t="n"/>
      <c r="WGC1" s="87" t="n"/>
      <c r="WGD1" s="87" t="n"/>
      <c r="WGE1" s="87" t="n"/>
      <c r="WGF1" s="87" t="n"/>
      <c r="WGG1" s="87" t="n"/>
      <c r="WGH1" s="87" t="n"/>
      <c r="WGI1" s="87" t="n"/>
      <c r="WGJ1" s="87" t="n"/>
      <c r="WGK1" s="87" t="n"/>
      <c r="WGL1" s="87" t="n"/>
      <c r="WGM1" s="87" t="n"/>
      <c r="WGN1" s="87" t="n"/>
      <c r="WGO1" s="87" t="n"/>
      <c r="WGP1" s="87" t="n"/>
      <c r="WGQ1" s="87" t="n"/>
      <c r="WGR1" s="87" t="n"/>
      <c r="WGS1" s="87" t="n"/>
      <c r="WGT1" s="87" t="n"/>
      <c r="WGU1" s="87" t="n"/>
      <c r="WGV1" s="87" t="n"/>
      <c r="WGW1" s="87" t="n"/>
      <c r="WGX1" s="87" t="n"/>
      <c r="WGY1" s="87" t="n"/>
      <c r="WGZ1" s="87" t="n"/>
      <c r="WHA1" s="87" t="n"/>
      <c r="WHB1" s="87" t="n"/>
      <c r="WHC1" s="87" t="n"/>
      <c r="WHD1" s="87" t="n"/>
      <c r="WHE1" s="87" t="n"/>
      <c r="WHF1" s="87" t="n"/>
      <c r="WHG1" s="87" t="n"/>
      <c r="WHH1" s="87" t="n"/>
      <c r="WHI1" s="87" t="n"/>
      <c r="WHJ1" s="87" t="n"/>
      <c r="WHK1" s="87" t="n"/>
      <c r="WHL1" s="87" t="n"/>
      <c r="WHM1" s="87" t="n"/>
      <c r="WHN1" s="87" t="n"/>
      <c r="WHO1" s="87" t="n"/>
      <c r="WHP1" s="87" t="n"/>
      <c r="WHQ1" s="87" t="n"/>
      <c r="WHR1" s="87" t="n"/>
      <c r="WHS1" s="87" t="n"/>
      <c r="WHT1" s="87" t="n"/>
      <c r="WHU1" s="87" t="n"/>
      <c r="WHV1" s="87" t="n"/>
      <c r="WHW1" s="87" t="n"/>
      <c r="WHX1" s="87" t="n"/>
      <c r="WHY1" s="87" t="n"/>
      <c r="WHZ1" s="87" t="n"/>
      <c r="WIA1" s="87" t="n"/>
      <c r="WIB1" s="87" t="n"/>
      <c r="WIC1" s="87" t="n"/>
      <c r="WID1" s="87" t="n"/>
      <c r="WIE1" s="87" t="n"/>
      <c r="WIF1" s="87" t="n"/>
      <c r="WIG1" s="87" t="n"/>
      <c r="WIH1" s="87" t="n"/>
      <c r="WII1" s="87" t="n"/>
      <c r="WIJ1" s="87" t="n"/>
      <c r="WIK1" s="87" t="n"/>
      <c r="WIL1" s="87" t="n"/>
      <c r="WIM1" s="87" t="n"/>
      <c r="WIN1" s="87" t="n"/>
      <c r="WIO1" s="87" t="n"/>
      <c r="WIP1" s="87" t="n"/>
      <c r="WIQ1" s="87" t="n"/>
      <c r="WIR1" s="87" t="n"/>
      <c r="WIS1" s="87" t="n"/>
      <c r="WIT1" s="87" t="n"/>
      <c r="WIU1" s="87" t="n"/>
      <c r="WIV1" s="87" t="n"/>
      <c r="WIW1" s="87" t="n"/>
      <c r="WIX1" s="87" t="n"/>
      <c r="WIY1" s="87" t="n"/>
      <c r="WIZ1" s="87" t="n"/>
      <c r="WJA1" s="87" t="n"/>
      <c r="WJB1" s="87" t="n"/>
      <c r="WJC1" s="87" t="n"/>
      <c r="WJD1" s="87" t="n"/>
      <c r="WJE1" s="87" t="n"/>
      <c r="WJF1" s="87" t="n"/>
      <c r="WJG1" s="87" t="n"/>
      <c r="WJH1" s="87" t="n"/>
      <c r="WJI1" s="87" t="n"/>
      <c r="WJJ1" s="87" t="n"/>
      <c r="WJK1" s="87" t="n"/>
      <c r="WJL1" s="87" t="n"/>
      <c r="WJM1" s="87" t="n"/>
      <c r="WJN1" s="87" t="n"/>
      <c r="WJO1" s="87" t="n"/>
      <c r="WJP1" s="87" t="n"/>
      <c r="WJQ1" s="87" t="n"/>
      <c r="WJR1" s="87" t="n"/>
      <c r="WJS1" s="87" t="n"/>
      <c r="WJT1" s="87" t="n"/>
      <c r="WJU1" s="87" t="n"/>
      <c r="WJV1" s="87" t="n"/>
      <c r="WJW1" s="87" t="n"/>
      <c r="WJX1" s="87" t="n"/>
      <c r="WJY1" s="87" t="n"/>
      <c r="WJZ1" s="87" t="n"/>
      <c r="WKA1" s="87" t="n"/>
      <c r="WKB1" s="87" t="n"/>
      <c r="WKC1" s="87" t="n"/>
      <c r="WKD1" s="87" t="n"/>
      <c r="WKE1" s="87" t="n"/>
      <c r="WKF1" s="87" t="n"/>
      <c r="WKG1" s="87" t="n"/>
      <c r="WKH1" s="87" t="n"/>
      <c r="WKI1" s="87" t="n"/>
      <c r="WKJ1" s="87" t="n"/>
      <c r="WKK1" s="87" t="n"/>
      <c r="WKL1" s="87" t="n"/>
      <c r="WKM1" s="87" t="n"/>
      <c r="WKN1" s="87" t="n"/>
      <c r="WKO1" s="87" t="n"/>
      <c r="WKP1" s="87" t="n"/>
      <c r="WKQ1" s="87" t="n"/>
      <c r="WKR1" s="87" t="n"/>
      <c r="WKS1" s="87" t="n"/>
      <c r="WKT1" s="87" t="n"/>
      <c r="WKU1" s="87" t="n"/>
      <c r="WKV1" s="87" t="n"/>
      <c r="WKW1" s="87" t="n"/>
      <c r="WKX1" s="87" t="n"/>
      <c r="WKY1" s="87" t="n"/>
      <c r="WKZ1" s="87" t="n"/>
      <c r="WLA1" s="87" t="n"/>
      <c r="WLB1" s="87" t="n"/>
      <c r="WLC1" s="87" t="n"/>
      <c r="WLD1" s="87" t="n"/>
      <c r="WLE1" s="87" t="n"/>
      <c r="WLF1" s="87" t="n"/>
      <c r="WLG1" s="87" t="n"/>
      <c r="WLH1" s="87" t="n"/>
      <c r="WLI1" s="87" t="n"/>
      <c r="WLJ1" s="87" t="n"/>
      <c r="WLK1" s="87" t="n"/>
      <c r="WLL1" s="87" t="n"/>
      <c r="WLM1" s="87" t="n"/>
      <c r="WLN1" s="87" t="n"/>
      <c r="WLO1" s="87" t="n"/>
      <c r="WLP1" s="87" t="n"/>
      <c r="WLQ1" s="87" t="n"/>
      <c r="WLR1" s="87" t="n"/>
      <c r="WLS1" s="87" t="n"/>
      <c r="WLT1" s="87" t="n"/>
      <c r="WLU1" s="87" t="n"/>
      <c r="WLV1" s="87" t="n"/>
      <c r="WLW1" s="87" t="n"/>
      <c r="WLX1" s="87" t="n"/>
      <c r="WLY1" s="87" t="n"/>
      <c r="WLZ1" s="87" t="n"/>
      <c r="WMA1" s="87" t="n"/>
      <c r="WMB1" s="87" t="n"/>
      <c r="WMC1" s="87" t="n"/>
      <c r="WMD1" s="87" t="n"/>
      <c r="WME1" s="87" t="n"/>
      <c r="WMF1" s="87" t="n"/>
      <c r="WMG1" s="87" t="n"/>
      <c r="WMH1" s="87" t="n"/>
      <c r="WMI1" s="87" t="n"/>
      <c r="WMJ1" s="87" t="n"/>
      <c r="WMK1" s="87" t="n"/>
      <c r="WML1" s="87" t="n"/>
      <c r="WMM1" s="87" t="n"/>
      <c r="WMN1" s="87" t="n"/>
      <c r="WMO1" s="87" t="n"/>
      <c r="WMP1" s="87" t="n"/>
      <c r="WMQ1" s="87" t="n"/>
      <c r="WMR1" s="87" t="n"/>
      <c r="WMS1" s="87" t="n"/>
      <c r="WMT1" s="87" t="n"/>
      <c r="WMU1" s="87" t="n"/>
      <c r="WMV1" s="87" t="n"/>
      <c r="WMW1" s="87" t="n"/>
      <c r="WMX1" s="87" t="n"/>
      <c r="WMY1" s="87" t="n"/>
      <c r="WMZ1" s="87" t="n"/>
      <c r="WNA1" s="87" t="n"/>
      <c r="WNB1" s="87" t="n"/>
      <c r="WNC1" s="87" t="n"/>
      <c r="WND1" s="87" t="n"/>
      <c r="WNE1" s="87" t="n"/>
      <c r="WNF1" s="87" t="n"/>
      <c r="WNG1" s="87" t="n"/>
      <c r="WNH1" s="87" t="n"/>
      <c r="WNI1" s="87" t="n"/>
      <c r="WNJ1" s="87" t="n"/>
      <c r="WNK1" s="87" t="n"/>
      <c r="WNL1" s="87" t="n"/>
      <c r="WNM1" s="87" t="n"/>
      <c r="WNN1" s="87" t="n"/>
      <c r="WNO1" s="87" t="n"/>
      <c r="WNP1" s="87" t="n"/>
      <c r="WNQ1" s="87" t="n"/>
      <c r="WNR1" s="87" t="n"/>
      <c r="WNS1" s="87" t="n"/>
      <c r="WNT1" s="87" t="n"/>
      <c r="WNU1" s="87" t="n"/>
      <c r="WNV1" s="87" t="n"/>
      <c r="WNW1" s="87" t="n"/>
      <c r="WNX1" s="87" t="n"/>
      <c r="WNY1" s="87" t="n"/>
      <c r="WNZ1" s="87" t="n"/>
      <c r="WOA1" s="87" t="n"/>
      <c r="WOB1" s="87" t="n"/>
      <c r="WOC1" s="87" t="n"/>
      <c r="WOD1" s="87" t="n"/>
      <c r="WOE1" s="87" t="n"/>
      <c r="WOF1" s="87" t="n"/>
      <c r="WOG1" s="87" t="n"/>
      <c r="WOH1" s="87" t="n"/>
      <c r="WOI1" s="87" t="n"/>
      <c r="WOJ1" s="87" t="n"/>
      <c r="WOK1" s="87" t="n"/>
      <c r="WOL1" s="87" t="n"/>
      <c r="WOM1" s="87" t="n"/>
      <c r="WON1" s="87" t="n"/>
      <c r="WOO1" s="87" t="n"/>
      <c r="WOP1" s="87" t="n"/>
      <c r="WOQ1" s="87" t="n"/>
      <c r="WOR1" s="87" t="n"/>
      <c r="WOS1" s="87" t="n"/>
      <c r="WOT1" s="87" t="n"/>
      <c r="WOU1" s="87" t="n"/>
      <c r="WOV1" s="87" t="n"/>
      <c r="WOW1" s="87" t="n"/>
      <c r="WOX1" s="87" t="n"/>
      <c r="WOY1" s="87" t="n"/>
      <c r="WOZ1" s="87" t="n"/>
      <c r="WPA1" s="87" t="n"/>
      <c r="WPB1" s="87" t="n"/>
      <c r="WPC1" s="87" t="n"/>
      <c r="WPD1" s="87" t="n"/>
      <c r="WPE1" s="87" t="n"/>
      <c r="WPF1" s="87" t="n"/>
      <c r="WPG1" s="87" t="n"/>
      <c r="WPH1" s="87" t="n"/>
      <c r="WPI1" s="87" t="n"/>
      <c r="WPJ1" s="87" t="n"/>
      <c r="WPK1" s="87" t="n"/>
      <c r="WPL1" s="87" t="n"/>
      <c r="WPM1" s="87" t="n"/>
      <c r="WPN1" s="87" t="n"/>
      <c r="WPO1" s="87" t="n"/>
      <c r="WPP1" s="87" t="n"/>
      <c r="WPQ1" s="87" t="n"/>
      <c r="WPR1" s="87" t="n"/>
      <c r="WPS1" s="87" t="n"/>
      <c r="WPT1" s="87" t="n"/>
      <c r="WPU1" s="87" t="n"/>
      <c r="WPV1" s="87" t="n"/>
      <c r="WPW1" s="87" t="n"/>
      <c r="WPX1" s="87" t="n"/>
      <c r="WPY1" s="87" t="n"/>
      <c r="WPZ1" s="87" t="n"/>
      <c r="WQA1" s="87" t="n"/>
      <c r="WQB1" s="87" t="n"/>
      <c r="WQC1" s="87" t="n"/>
      <c r="WQD1" s="87" t="n"/>
      <c r="WQE1" s="87" t="n"/>
      <c r="WQF1" s="87" t="n"/>
      <c r="WQG1" s="87" t="n"/>
      <c r="WQH1" s="87" t="n"/>
      <c r="WQI1" s="87" t="n"/>
      <c r="WQJ1" s="87" t="n"/>
      <c r="WQK1" s="87" t="n"/>
      <c r="WQL1" s="87" t="n"/>
      <c r="WQM1" s="87" t="n"/>
      <c r="WQN1" s="87" t="n"/>
      <c r="WQO1" s="87" t="n"/>
      <c r="WQP1" s="87" t="n"/>
      <c r="WQQ1" s="87" t="n"/>
      <c r="WQR1" s="87" t="n"/>
      <c r="WQS1" s="87" t="n"/>
      <c r="WQT1" s="87" t="n"/>
      <c r="WQU1" s="87" t="n"/>
      <c r="WQV1" s="87" t="n"/>
      <c r="WQW1" s="87" t="n"/>
      <c r="WQX1" s="87" t="n"/>
      <c r="WQY1" s="87" t="n"/>
      <c r="WQZ1" s="87" t="n"/>
      <c r="WRA1" s="87" t="n"/>
      <c r="WRB1" s="87" t="n"/>
      <c r="WRC1" s="87" t="n"/>
      <c r="WRD1" s="87" t="n"/>
      <c r="WRE1" s="87" t="n"/>
      <c r="WRF1" s="87" t="n"/>
      <c r="WRG1" s="87" t="n"/>
      <c r="WRH1" s="87" t="n"/>
      <c r="WRI1" s="87" t="n"/>
      <c r="WRJ1" s="87" t="n"/>
      <c r="WRK1" s="87" t="n"/>
      <c r="WRL1" s="87" t="n"/>
      <c r="WRM1" s="87" t="n"/>
      <c r="WRN1" s="87" t="n"/>
      <c r="WRO1" s="87" t="n"/>
      <c r="WRP1" s="87" t="n"/>
      <c r="WRQ1" s="87" t="n"/>
      <c r="WRR1" s="87" t="n"/>
      <c r="WRS1" s="87" t="n"/>
      <c r="WRT1" s="87" t="n"/>
      <c r="WRU1" s="87" t="n"/>
      <c r="WRV1" s="87" t="n"/>
      <c r="WRW1" s="87" t="n"/>
      <c r="WRX1" s="87" t="n"/>
      <c r="WRY1" s="87" t="n"/>
      <c r="WRZ1" s="87" t="n"/>
      <c r="WSA1" s="87" t="n"/>
      <c r="WSB1" s="87" t="n"/>
      <c r="WSC1" s="87" t="n"/>
      <c r="WSD1" s="87" t="n"/>
      <c r="WSE1" s="87" t="n"/>
      <c r="WSF1" s="87" t="n"/>
      <c r="WSG1" s="87" t="n"/>
      <c r="WSH1" s="87" t="n"/>
      <c r="WSI1" s="87" t="n"/>
      <c r="WSJ1" s="87" t="n"/>
      <c r="WSK1" s="87" t="n"/>
      <c r="WSL1" s="87" t="n"/>
      <c r="WSM1" s="87" t="n"/>
      <c r="WSN1" s="87" t="n"/>
      <c r="WSO1" s="87" t="n"/>
      <c r="WSP1" s="87" t="n"/>
      <c r="WSQ1" s="87" t="n"/>
      <c r="WSR1" s="87" t="n"/>
      <c r="WSS1" s="87" t="n"/>
      <c r="WST1" s="87" t="n"/>
      <c r="WSU1" s="87" t="n"/>
      <c r="WSV1" s="87" t="n"/>
      <c r="WSW1" s="87" t="n"/>
      <c r="WSX1" s="87" t="n"/>
      <c r="WSY1" s="87" t="n"/>
      <c r="WSZ1" s="87" t="n"/>
      <c r="WTA1" s="87" t="n"/>
      <c r="WTB1" s="87" t="n"/>
      <c r="WTC1" s="87" t="n"/>
      <c r="WTD1" s="87" t="n"/>
      <c r="WTE1" s="87" t="n"/>
      <c r="WTF1" s="87" t="n"/>
      <c r="WTG1" s="87" t="n"/>
      <c r="WTH1" s="87" t="n"/>
      <c r="WTI1" s="87" t="n"/>
      <c r="WTJ1" s="87" t="n"/>
      <c r="WTK1" s="87" t="n"/>
      <c r="WTL1" s="87" t="n"/>
      <c r="WTM1" s="87" t="n"/>
      <c r="WTN1" s="87" t="n"/>
      <c r="WTO1" s="87" t="n"/>
      <c r="WTP1" s="87" t="n"/>
      <c r="WTQ1" s="87" t="n"/>
      <c r="WTR1" s="87" t="n"/>
      <c r="WTS1" s="87" t="n"/>
      <c r="WTT1" s="87" t="n"/>
      <c r="WTU1" s="87" t="n"/>
      <c r="WTV1" s="87" t="n"/>
      <c r="WTW1" s="87" t="n"/>
      <c r="WTX1" s="87" t="n"/>
      <c r="WTY1" s="87" t="n"/>
      <c r="WTZ1" s="87" t="n"/>
      <c r="WUA1" s="87" t="n"/>
      <c r="WUB1" s="87" t="n"/>
      <c r="WUC1" s="87" t="n"/>
      <c r="WUD1" s="87" t="n"/>
      <c r="WUE1" s="87" t="n"/>
      <c r="WUF1" s="87" t="n"/>
      <c r="WUG1" s="87" t="n"/>
      <c r="WUH1" s="87" t="n"/>
      <c r="WUI1" s="87" t="n"/>
      <c r="WUJ1" s="87" t="n"/>
      <c r="WUK1" s="87" t="n"/>
      <c r="WUL1" s="87" t="n"/>
      <c r="WUM1" s="87" t="n"/>
      <c r="WUN1" s="87" t="n"/>
      <c r="WUO1" s="87" t="n"/>
      <c r="WUP1" s="87" t="n"/>
      <c r="WUQ1" s="87" t="n"/>
      <c r="WUR1" s="87" t="n"/>
      <c r="WUS1" s="87" t="n"/>
      <c r="WUT1" s="87" t="n"/>
      <c r="WUU1" s="87" t="n"/>
      <c r="WUV1" s="87" t="n"/>
      <c r="WUW1" s="87" t="n"/>
      <c r="WUX1" s="87" t="n"/>
      <c r="WUY1" s="87" t="n"/>
      <c r="WUZ1" s="87" t="n"/>
      <c r="WVA1" s="87" t="n"/>
      <c r="WVB1" s="87" t="n"/>
      <c r="WVC1" s="87" t="n"/>
      <c r="WVD1" s="87" t="n"/>
      <c r="WVE1" s="87" t="n"/>
      <c r="WVF1" s="87" t="n"/>
      <c r="WVG1" s="87" t="n"/>
      <c r="WVH1" s="87" t="n"/>
      <c r="WVI1" s="87" t="n"/>
      <c r="WVJ1" s="87" t="n"/>
      <c r="WVK1" s="87" t="n"/>
      <c r="WVL1" s="87" t="n"/>
      <c r="WVM1" s="87" t="n"/>
      <c r="WVN1" s="87" t="n"/>
      <c r="WVO1" s="87" t="n"/>
      <c r="WVP1" s="87" t="n"/>
      <c r="WVQ1" s="87" t="n"/>
      <c r="WVR1" s="87" t="n"/>
      <c r="WVS1" s="87" t="n"/>
      <c r="WVT1" s="87" t="n"/>
      <c r="WVU1" s="87" t="n"/>
      <c r="WVV1" s="87" t="n"/>
      <c r="WVW1" s="87" t="n"/>
      <c r="WVX1" s="87" t="n"/>
      <c r="WVY1" s="87" t="n"/>
      <c r="WVZ1" s="87" t="n"/>
      <c r="WWA1" s="87" t="n"/>
      <c r="WWB1" s="87" t="n"/>
      <c r="WWC1" s="87" t="n"/>
      <c r="WWD1" s="87" t="n"/>
      <c r="WWE1" s="87" t="n"/>
      <c r="WWF1" s="87" t="n"/>
      <c r="WWG1" s="87" t="n"/>
      <c r="WWH1" s="87" t="n"/>
      <c r="WWI1" s="87" t="n"/>
      <c r="WWJ1" s="87" t="n"/>
      <c r="WWK1" s="87" t="n"/>
      <c r="WWL1" s="87" t="n"/>
      <c r="WWM1" s="87" t="n"/>
      <c r="WWN1" s="87" t="n"/>
      <c r="WWO1" s="87" t="n"/>
      <c r="WWP1" s="87" t="n"/>
      <c r="WWQ1" s="87" t="n"/>
      <c r="WWR1" s="87" t="n"/>
      <c r="WWS1" s="87" t="n"/>
      <c r="WWT1" s="87" t="n"/>
      <c r="WWU1" s="87" t="n"/>
      <c r="WWV1" s="87" t="n"/>
      <c r="WWW1" s="87" t="n"/>
      <c r="WWX1" s="87" t="n"/>
      <c r="WWY1" s="87" t="n"/>
      <c r="WWZ1" s="87" t="n"/>
      <c r="WXA1" s="87" t="n"/>
      <c r="WXB1" s="87" t="n"/>
      <c r="WXC1" s="87" t="n"/>
      <c r="WXD1" s="87" t="n"/>
      <c r="WXE1" s="87" t="n"/>
      <c r="WXF1" s="87" t="n"/>
      <c r="WXG1" s="87" t="n"/>
      <c r="WXH1" s="87" t="n"/>
      <c r="WXI1" s="87" t="n"/>
      <c r="WXJ1" s="87" t="n"/>
      <c r="WXK1" s="87" t="n"/>
      <c r="WXL1" s="87" t="n"/>
      <c r="WXM1" s="87" t="n"/>
      <c r="WXN1" s="87" t="n"/>
      <c r="WXO1" s="87" t="n"/>
      <c r="WXP1" s="87" t="n"/>
      <c r="WXQ1" s="87" t="n"/>
      <c r="WXR1" s="87" t="n"/>
      <c r="WXS1" s="87" t="n"/>
      <c r="WXT1" s="87" t="n"/>
      <c r="WXU1" s="87" t="n"/>
      <c r="WXV1" s="87" t="n"/>
      <c r="WXW1" s="87" t="n"/>
      <c r="WXX1" s="87" t="n"/>
      <c r="WXY1" s="87" t="n"/>
      <c r="WXZ1" s="87" t="n"/>
      <c r="WYA1" s="87" t="n"/>
      <c r="WYB1" s="87" t="n"/>
      <c r="WYC1" s="87" t="n"/>
      <c r="WYD1" s="87" t="n"/>
      <c r="WYE1" s="87" t="n"/>
      <c r="WYF1" s="87" t="n"/>
      <c r="WYG1" s="87" t="n"/>
      <c r="WYH1" s="87" t="n"/>
      <c r="WYI1" s="87" t="n"/>
      <c r="WYJ1" s="87" t="n"/>
      <c r="WYK1" s="87" t="n"/>
      <c r="WYL1" s="87" t="n"/>
      <c r="WYM1" s="87" t="n"/>
      <c r="WYN1" s="87" t="n"/>
      <c r="WYO1" s="87" t="n"/>
      <c r="WYP1" s="87" t="n"/>
      <c r="WYQ1" s="87" t="n"/>
      <c r="WYR1" s="87" t="n"/>
      <c r="WYS1" s="87" t="n"/>
      <c r="WYT1" s="87" t="n"/>
      <c r="WYU1" s="87" t="n"/>
      <c r="WYV1" s="87" t="n"/>
      <c r="WYW1" s="87" t="n"/>
      <c r="WYX1" s="87" t="n"/>
      <c r="WYY1" s="87" t="n"/>
      <c r="WYZ1" s="87" t="n"/>
      <c r="WZA1" s="87" t="n"/>
      <c r="WZB1" s="87" t="n"/>
      <c r="WZC1" s="87" t="n"/>
      <c r="WZD1" s="87" t="n"/>
      <c r="WZE1" s="87" t="n"/>
      <c r="WZF1" s="87" t="n"/>
      <c r="WZG1" s="87" t="n"/>
      <c r="WZH1" s="87" t="n"/>
      <c r="WZI1" s="87" t="n"/>
      <c r="WZJ1" s="87" t="n"/>
      <c r="WZK1" s="87" t="n"/>
      <c r="WZL1" s="87" t="n"/>
      <c r="WZM1" s="87" t="n"/>
      <c r="WZN1" s="87" t="n"/>
      <c r="WZO1" s="87" t="n"/>
      <c r="WZP1" s="87" t="n"/>
      <c r="WZQ1" s="87" t="n"/>
      <c r="WZR1" s="87" t="n"/>
      <c r="WZS1" s="87" t="n"/>
      <c r="WZT1" s="87" t="n"/>
      <c r="WZU1" s="87" t="n"/>
      <c r="WZV1" s="87" t="n"/>
      <c r="WZW1" s="87" t="n"/>
      <c r="WZX1" s="87" t="n"/>
      <c r="WZY1" s="87" t="n"/>
      <c r="WZZ1" s="87" t="n"/>
      <c r="XAA1" s="87" t="n"/>
      <c r="XAB1" s="87" t="n"/>
      <c r="XAC1" s="87" t="n"/>
      <c r="XAD1" s="87" t="n"/>
      <c r="XAE1" s="87" t="n"/>
      <c r="XAF1" s="87" t="n"/>
      <c r="XAG1" s="87" t="n"/>
      <c r="XAH1" s="87" t="n"/>
      <c r="XAI1" s="87" t="n"/>
      <c r="XAJ1" s="87" t="n"/>
      <c r="XAK1" s="87" t="n"/>
      <c r="XAL1" s="87" t="n"/>
      <c r="XAM1" s="87" t="n"/>
      <c r="XAN1" s="87" t="n"/>
      <c r="XAO1" s="87" t="n"/>
      <c r="XAP1" s="87" t="n"/>
      <c r="XAQ1" s="87" t="n"/>
      <c r="XAR1" s="87" t="n"/>
      <c r="XAS1" s="87" t="n"/>
      <c r="XAT1" s="87" t="n"/>
      <c r="XAU1" s="87" t="n"/>
      <c r="XAV1" s="87" t="n"/>
      <c r="XAW1" s="87" t="n"/>
      <c r="XAX1" s="87" t="n"/>
      <c r="XAY1" s="87" t="n"/>
      <c r="XAZ1" s="87" t="n"/>
      <c r="XBA1" s="87" t="n"/>
      <c r="XBB1" s="87" t="n"/>
      <c r="XBC1" s="87" t="n"/>
      <c r="XBD1" s="87" t="n"/>
      <c r="XBE1" s="87" t="n"/>
      <c r="XBF1" s="87" t="n"/>
      <c r="XBG1" s="87" t="n"/>
      <c r="XBH1" s="87" t="n"/>
      <c r="XBI1" s="87" t="n"/>
      <c r="XBJ1" s="87" t="n"/>
      <c r="XBK1" s="87" t="n"/>
      <c r="XBL1" s="87" t="n"/>
      <c r="XBM1" s="87" t="n"/>
      <c r="XBN1" s="87" t="n"/>
      <c r="XBO1" s="87" t="n"/>
      <c r="XBP1" s="87" t="n"/>
      <c r="XBQ1" s="87" t="n"/>
      <c r="XBR1" s="87" t="n"/>
      <c r="XBS1" s="87" t="n"/>
      <c r="XBT1" s="87" t="n"/>
      <c r="XBU1" s="87" t="n"/>
      <c r="XBV1" s="87" t="n"/>
      <c r="XBW1" s="87" t="n"/>
      <c r="XBX1" s="87" t="n"/>
      <c r="XBY1" s="87" t="n"/>
      <c r="XBZ1" s="87" t="n"/>
      <c r="XCA1" s="87" t="n"/>
      <c r="XCB1" s="87" t="n"/>
      <c r="XCC1" s="87" t="n"/>
      <c r="XCD1" s="87" t="n"/>
      <c r="XCE1" s="87" t="n"/>
      <c r="XCF1" s="87" t="n"/>
      <c r="XCG1" s="87" t="n"/>
      <c r="XCH1" s="87" t="n"/>
      <c r="XCI1" s="87" t="n"/>
      <c r="XCJ1" s="87" t="n"/>
      <c r="XCK1" s="87" t="n"/>
      <c r="XCL1" s="87" t="n"/>
      <c r="XCM1" s="87" t="n"/>
      <c r="XCN1" s="87" t="n"/>
      <c r="XCO1" s="87" t="n"/>
      <c r="XCP1" s="87" t="n"/>
      <c r="XCQ1" s="87" t="n"/>
      <c r="XCR1" s="87" t="n"/>
      <c r="XCS1" s="87" t="n"/>
      <c r="XCT1" s="87" t="n"/>
      <c r="XCU1" s="87" t="n"/>
      <c r="XCV1" s="87" t="n"/>
      <c r="XCW1" s="87" t="n"/>
      <c r="XCX1" s="87" t="n"/>
      <c r="XCY1" s="87" t="n"/>
      <c r="XCZ1" s="87" t="n"/>
      <c r="XDA1" s="87" t="n"/>
      <c r="XDB1" s="87" t="n"/>
      <c r="XDC1" s="87" t="n"/>
      <c r="XDD1" s="87" t="n"/>
      <c r="XDE1" s="87" t="n"/>
      <c r="XDF1" s="87" t="n"/>
      <c r="XDG1" s="87" t="n"/>
      <c r="XDH1" s="87" t="n"/>
      <c r="XDI1" s="87" t="n"/>
      <c r="XDJ1" s="87" t="n"/>
      <c r="XDK1" s="87" t="n"/>
      <c r="XDL1" s="87" t="n"/>
      <c r="XDM1" s="87" t="n"/>
      <c r="XDN1" s="87" t="n"/>
      <c r="XDO1" s="87" t="n"/>
      <c r="XDP1" s="87" t="n"/>
      <c r="XDQ1" s="87" t="n"/>
      <c r="XDR1" s="87" t="n"/>
      <c r="XDS1" s="87" t="n"/>
      <c r="XDT1" s="87" t="n"/>
      <c r="XDU1" s="87" t="n"/>
      <c r="XDV1" s="87" t="n"/>
      <c r="XDW1" s="87" t="n"/>
      <c r="XDX1" s="87" t="n"/>
      <c r="XDY1" s="87" t="n"/>
      <c r="XDZ1" s="87" t="n"/>
      <c r="XEA1" s="87" t="n"/>
      <c r="XEB1" s="87" t="n"/>
      <c r="XEC1" s="87" t="n"/>
      <c r="XED1" s="87" t="n"/>
      <c r="XEE1" s="87" t="n"/>
      <c r="XEF1" s="87" t="n"/>
      <c r="XEG1" s="87" t="n"/>
      <c r="XEH1" s="87" t="n"/>
      <c r="XEI1" s="87" t="n"/>
      <c r="XEJ1" s="87" t="n"/>
      <c r="XEK1" s="87" t="n"/>
    </row>
    <row r="2">
      <c r="A2">
        <f>I2&amp;"-"&amp;J2</f>
        <v/>
      </c>
      <c r="B2" s="1">
        <f>N2</f>
        <v/>
      </c>
      <c r="C2">
        <f>M2&amp;"/"&amp;O2</f>
        <v/>
      </c>
      <c r="D2">
        <f>K2</f>
        <v/>
      </c>
      <c r="E2">
        <f>L2</f>
        <v/>
      </c>
      <c r="F2" s="236">
        <f>Z2</f>
        <v/>
      </c>
      <c r="G2">
        <f>U2&amp;"%"</f>
        <v/>
      </c>
      <c r="I2" s="53" t="n">
        <v>2022</v>
      </c>
      <c r="J2" s="53" t="n">
        <v>1</v>
      </c>
      <c r="K2" s="71" t="inlineStr">
        <is>
          <t>Ausgaben</t>
        </is>
      </c>
      <c r="L2" t="inlineStr">
        <is>
          <t>Telefon/Internet</t>
        </is>
      </c>
      <c r="M2" s="9" t="inlineStr">
        <is>
          <t>6234885951</t>
        </is>
      </c>
      <c r="N2" s="1" t="n">
        <v>44564</v>
      </c>
      <c r="O2" t="inlineStr">
        <is>
          <t>Hutchison Drei Austria GmbH, Brünner Straße 52, 1210 Wien, Österreich</t>
        </is>
      </c>
      <c r="Q2" s="76" t="n"/>
      <c r="R2" t="b">
        <v>0</v>
      </c>
      <c r="S2" s="214" t="n">
        <v>15</v>
      </c>
      <c r="T2" s="159" t="n">
        <v>1</v>
      </c>
      <c r="U2" t="n">
        <v>20</v>
      </c>
      <c r="V2" s="237" t="n">
        <v>3</v>
      </c>
      <c r="W2" s="237" t="n">
        <v>3</v>
      </c>
      <c r="X2" s="208" t="n">
        <v>15</v>
      </c>
      <c r="Y2" s="251" t="n">
        <v>18</v>
      </c>
      <c r="Z2" s="251" t="n">
        <v>18</v>
      </c>
      <c r="AA2" s="35" t="n">
        <v>44696</v>
      </c>
      <c r="AB2" s="27" t="n"/>
      <c r="AC2" s="27" t="n"/>
      <c r="AD2" s="210" t="n">
        <v>15</v>
      </c>
      <c r="AE2" s="237" t="n">
        <v>0</v>
      </c>
      <c r="AF2" t="b">
        <v>0</v>
      </c>
      <c r="AG2" s="228" t="n">
        <v>-15</v>
      </c>
    </row>
    <row r="3">
      <c r="A3">
        <f>I3&amp;"-"&amp;J3</f>
        <v/>
      </c>
      <c r="B3" s="1">
        <f>N3</f>
        <v/>
      </c>
      <c r="C3">
        <f>M3&amp;"/"&amp;O3</f>
        <v/>
      </c>
      <c r="D3">
        <f>K3</f>
        <v/>
      </c>
      <c r="E3">
        <f>L3</f>
        <v/>
      </c>
      <c r="F3" s="236">
        <f>Z3</f>
        <v/>
      </c>
      <c r="G3">
        <f>U3&amp;"%"</f>
        <v/>
      </c>
      <c r="I3" s="53" t="n">
        <v>2022</v>
      </c>
      <c r="J3" s="53" t="n">
        <v>2</v>
      </c>
      <c r="K3" s="71" t="inlineStr">
        <is>
          <t>Ausgaben</t>
        </is>
      </c>
      <c r="L3" t="inlineStr">
        <is>
          <t>sonstige Betriebsausgaben</t>
        </is>
      </c>
      <c r="M3" s="9" t="inlineStr">
        <is>
          <t>4041935102</t>
        </is>
      </c>
      <c r="N3" s="1" t="n">
        <v>44564</v>
      </c>
      <c r="O3" t="inlineStr">
        <is>
          <t>Google Ireland Ltd, Gordon House, Barrow Street, Dublin 4, Ireland; VAT number: IE 6388047V</t>
        </is>
      </c>
      <c r="Q3" s="76" t="n"/>
      <c r="R3" t="b">
        <v>0</v>
      </c>
      <c r="S3" s="214" t="n">
        <v>10.4</v>
      </c>
      <c r="T3" s="159" t="n">
        <v>1</v>
      </c>
      <c r="U3" t="n">
        <v>0</v>
      </c>
      <c r="V3" s="237" t="n">
        <v>0</v>
      </c>
      <c r="W3" s="237" t="n">
        <v>0</v>
      </c>
      <c r="X3" s="208" t="n">
        <v>10.4</v>
      </c>
      <c r="Y3" s="251" t="n">
        <v>10.4</v>
      </c>
      <c r="Z3" s="251" t="n">
        <v>10.4</v>
      </c>
      <c r="AA3" s="35" t="n">
        <v>44696</v>
      </c>
      <c r="AB3" s="27" t="n"/>
      <c r="AC3" s="27" t="n">
        <v>20</v>
      </c>
      <c r="AD3" s="210" t="n">
        <v>10.4</v>
      </c>
      <c r="AE3" s="237" t="n">
        <v>2.08</v>
      </c>
      <c r="AF3" t="b">
        <v>0</v>
      </c>
      <c r="AG3" s="228" t="n">
        <v>-10.4</v>
      </c>
    </row>
    <row r="4">
      <c r="A4">
        <f>I4&amp;"-"&amp;J4</f>
        <v/>
      </c>
      <c r="B4" s="1">
        <f>N4</f>
        <v/>
      </c>
      <c r="C4">
        <f>M4&amp;"/"&amp;O4</f>
        <v/>
      </c>
      <c r="D4">
        <f>K4</f>
        <v/>
      </c>
      <c r="E4">
        <f>L4</f>
        <v/>
      </c>
      <c r="F4" s="236">
        <f>Z4</f>
        <v/>
      </c>
      <c r="G4">
        <f>U4&amp;"%"</f>
        <v/>
      </c>
      <c r="I4" s="53" t="n">
        <v>2022</v>
      </c>
      <c r="J4" s="53" t="n">
        <v>3</v>
      </c>
      <c r="K4" s="71" t="inlineStr">
        <is>
          <t>Einnahmen</t>
        </is>
      </c>
      <c r="L4" t="inlineStr">
        <is>
          <t>Waren-/Leistungserlöse</t>
        </is>
      </c>
      <c r="M4" s="9" t="inlineStr">
        <is>
          <t>12021034</t>
        </is>
      </c>
      <c r="N4" s="1" t="n">
        <v>44565</v>
      </c>
      <c r="O4" t="inlineStr">
        <is>
          <t>DCF - Digital Coding Factory GmbH, Bauernfeldgasse 4/12 1090 Wien</t>
        </is>
      </c>
      <c r="Q4" s="76" t="n"/>
      <c r="R4" t="b">
        <v>0</v>
      </c>
      <c r="S4" s="214" t="n">
        <v>14.94</v>
      </c>
      <c r="T4" s="159" t="n">
        <v>1</v>
      </c>
      <c r="U4" t="n">
        <v>20</v>
      </c>
      <c r="V4" s="237" t="n">
        <v>2.988</v>
      </c>
      <c r="W4" s="237" t="n">
        <v>2.988</v>
      </c>
      <c r="X4" s="208" t="n">
        <v>14.94</v>
      </c>
      <c r="Y4" s="251" t="n">
        <v>17.928</v>
      </c>
      <c r="Z4" s="251" t="n">
        <v>17.928</v>
      </c>
      <c r="AA4" s="35" t="n">
        <v>44696</v>
      </c>
      <c r="AB4" s="27" t="n"/>
      <c r="AC4" s="27" t="n"/>
      <c r="AD4" s="210" t="n">
        <v>14.94</v>
      </c>
      <c r="AE4" s="237" t="n">
        <v>0</v>
      </c>
      <c r="AF4" t="b">
        <v>0</v>
      </c>
      <c r="AG4" s="228" t="n">
        <v>14.94</v>
      </c>
    </row>
    <row r="5">
      <c r="A5">
        <f>I5&amp;"-"&amp;J5</f>
        <v/>
      </c>
      <c r="B5" s="1">
        <f>N5</f>
        <v/>
      </c>
      <c r="C5">
        <f>M5&amp;"/"&amp;O5</f>
        <v/>
      </c>
      <c r="D5">
        <f>K5</f>
        <v/>
      </c>
      <c r="E5">
        <f>L5</f>
        <v/>
      </c>
      <c r="F5" s="236">
        <f>Z5</f>
        <v/>
      </c>
      <c r="G5">
        <f>U5&amp;"%"</f>
        <v/>
      </c>
      <c r="I5" s="53" t="n">
        <v>2022</v>
      </c>
      <c r="J5" s="53" t="n">
        <v>4</v>
      </c>
      <c r="K5" s="71" t="inlineStr">
        <is>
          <t>Ausgaben</t>
        </is>
      </c>
      <c r="L5" t="inlineStr">
        <is>
          <t>Miet- und Pachtaufwand, Leasing</t>
        </is>
      </c>
      <c r="M5" s="9" t="n"/>
      <c r="N5" s="1" t="n">
        <v>44564</v>
      </c>
      <c r="O5" t="inlineStr">
        <is>
          <t>Bontus Immobilienverwaltung GmbH, 1010 Wien, Franz Josefs Kai 65</t>
        </is>
      </c>
      <c r="Q5" s="76" t="n"/>
      <c r="R5" t="b">
        <v>0</v>
      </c>
      <c r="S5" s="233" t="n">
        <v>478.6916666666667</v>
      </c>
      <c r="T5" s="159" t="n">
        <v>1</v>
      </c>
      <c r="U5" t="n">
        <v>20</v>
      </c>
      <c r="V5" s="237" t="n">
        <v>95.73833333333334</v>
      </c>
      <c r="W5" s="237" t="n">
        <v>95.73833333333334</v>
      </c>
      <c r="X5" s="208" t="n">
        <v>478.6916666666667</v>
      </c>
      <c r="Y5" s="251" t="n">
        <v>574.4300000000001</v>
      </c>
      <c r="Z5" s="251" t="n">
        <v>574.4300000000001</v>
      </c>
      <c r="AA5" s="35" t="n">
        <v>44696</v>
      </c>
      <c r="AB5" s="27" t="n"/>
      <c r="AC5" s="27" t="n"/>
      <c r="AD5" s="210" t="n">
        <v>478.6916666666667</v>
      </c>
      <c r="AE5" s="237" t="n">
        <v>0</v>
      </c>
      <c r="AF5" t="b">
        <v>0</v>
      </c>
      <c r="AG5" s="228" t="n">
        <v>-478.6916666666667</v>
      </c>
    </row>
    <row r="6">
      <c r="A6">
        <f>I6&amp;"-"&amp;J6</f>
        <v/>
      </c>
      <c r="B6" s="1">
        <f>N6</f>
        <v/>
      </c>
      <c r="C6">
        <f>M6&amp;"/"&amp;O6</f>
        <v/>
      </c>
      <c r="D6">
        <f>K6</f>
        <v/>
      </c>
      <c r="E6">
        <f>L6</f>
        <v/>
      </c>
      <c r="F6" s="236">
        <f>Z6</f>
        <v/>
      </c>
      <c r="G6">
        <f>U6&amp;"%"</f>
        <v/>
      </c>
      <c r="I6" s="53" t="n">
        <v>2022</v>
      </c>
      <c r="J6" s="53" t="n">
        <v>5</v>
      </c>
      <c r="K6" s="71" t="inlineStr">
        <is>
          <t>Einnahmen</t>
        </is>
      </c>
      <c r="L6" t="inlineStr">
        <is>
          <t>Waren-/Leistungserlöse</t>
        </is>
      </c>
      <c r="M6" s="9" t="inlineStr">
        <is>
          <t>12021033</t>
        </is>
      </c>
      <c r="N6" s="1" t="n">
        <v>44566</v>
      </c>
      <c r="O6" t="inlineStr">
        <is>
          <t>H. Jaros e.U., Kohlmarkt 16/2/2/15a, 1010 Wien</t>
        </is>
      </c>
      <c r="Q6" s="76" t="n"/>
      <c r="R6" t="b">
        <v>0</v>
      </c>
      <c r="S6" s="214" t="n">
        <v>87.5</v>
      </c>
      <c r="T6" s="159" t="n">
        <v>1</v>
      </c>
      <c r="U6" t="n">
        <v>20</v>
      </c>
      <c r="V6" s="237" t="n">
        <v>17.5</v>
      </c>
      <c r="W6" s="237" t="n">
        <v>17.5</v>
      </c>
      <c r="X6" s="208" t="n">
        <v>87.5</v>
      </c>
      <c r="Y6" s="251" t="n">
        <v>105</v>
      </c>
      <c r="Z6" s="251" t="n">
        <v>105</v>
      </c>
      <c r="AA6" s="35" t="n">
        <v>44696</v>
      </c>
      <c r="AB6" s="27" t="n"/>
      <c r="AC6" s="27" t="n"/>
      <c r="AD6" s="210" t="n">
        <v>87.5</v>
      </c>
      <c r="AE6" s="237" t="n">
        <v>0</v>
      </c>
      <c r="AF6" t="b">
        <v>0</v>
      </c>
      <c r="AG6" s="228" t="n">
        <v>87.5</v>
      </c>
    </row>
    <row r="7">
      <c r="A7">
        <f>I7&amp;"-"&amp;J7</f>
        <v/>
      </c>
      <c r="B7" s="1">
        <f>N7</f>
        <v/>
      </c>
      <c r="C7">
        <f>M7&amp;"/"&amp;O7</f>
        <v/>
      </c>
      <c r="D7">
        <f>K7</f>
        <v/>
      </c>
      <c r="E7">
        <f>L7</f>
        <v/>
      </c>
      <c r="F7" s="236">
        <f>Z7</f>
        <v/>
      </c>
      <c r="G7">
        <f>U7&amp;"%"</f>
        <v/>
      </c>
      <c r="I7" s="53" t="n">
        <v>2022</v>
      </c>
      <c r="J7" s="53" t="n">
        <v>6</v>
      </c>
      <c r="K7" s="71" t="inlineStr">
        <is>
          <t>Ausgaben</t>
        </is>
      </c>
      <c r="L7" t="inlineStr">
        <is>
          <t>Miet- und Pachtaufwand, Leasing</t>
        </is>
      </c>
      <c r="M7" s="139" t="inlineStr">
        <is>
          <t>HKA/20-01-58835</t>
        </is>
      </c>
      <c r="N7" s="1" t="n">
        <v>44566</v>
      </c>
      <c r="O7" t="inlineStr">
        <is>
          <t>Techem Messtechnik GmbH; Abnehmernummer 501686-0003-11-</t>
        </is>
      </c>
      <c r="Q7" s="76" t="n"/>
      <c r="R7" t="b">
        <v>0</v>
      </c>
      <c r="S7" s="214" t="n">
        <v>74</v>
      </c>
      <c r="T7" s="159" t="n">
        <v>1</v>
      </c>
      <c r="U7" t="n">
        <v>20</v>
      </c>
      <c r="V7" s="237" t="n">
        <v>14.8</v>
      </c>
      <c r="W7" s="237" t="n">
        <v>14.8</v>
      </c>
      <c r="X7" s="208" t="n">
        <v>74</v>
      </c>
      <c r="Y7" s="251" t="n">
        <v>88.8</v>
      </c>
      <c r="Z7" s="251" t="n">
        <v>88.8</v>
      </c>
      <c r="AA7" s="35" t="n">
        <v>44696</v>
      </c>
      <c r="AB7" s="27" t="n"/>
      <c r="AC7" s="27" t="n"/>
      <c r="AD7" s="210" t="n">
        <v>74</v>
      </c>
      <c r="AE7" s="237" t="n">
        <v>0</v>
      </c>
      <c r="AF7" t="b">
        <v>0</v>
      </c>
      <c r="AG7" s="228" t="n">
        <v>-74</v>
      </c>
    </row>
    <row r="8">
      <c r="A8">
        <f>I8&amp;"-"&amp;J8</f>
        <v/>
      </c>
      <c r="B8" s="1">
        <f>N8</f>
        <v/>
      </c>
      <c r="C8">
        <f>M8&amp;"/"&amp;O8</f>
        <v/>
      </c>
      <c r="D8">
        <f>K8</f>
        <v/>
      </c>
      <c r="E8">
        <f>L8</f>
        <v/>
      </c>
      <c r="F8" s="236">
        <f>Z8</f>
        <v/>
      </c>
      <c r="G8">
        <f>U8&amp;"%"</f>
        <v/>
      </c>
      <c r="I8" s="53" t="n">
        <v>2022</v>
      </c>
      <c r="J8" s="53" t="n">
        <v>7</v>
      </c>
      <c r="K8" s="71" t="inlineStr">
        <is>
          <t>Ausgaben</t>
        </is>
      </c>
      <c r="L8" t="inlineStr">
        <is>
          <t>sonstige Betriebsausgaben</t>
        </is>
      </c>
      <c r="M8" s="6" t="inlineStr">
        <is>
          <t>R0014890736</t>
        </is>
      </c>
      <c r="N8" s="1" t="n">
        <v>44568</v>
      </c>
      <c r="O8" t="inlineStr">
        <is>
          <t>Hetzner Online GmbH</t>
        </is>
      </c>
      <c r="Q8" s="76" t="inlineStr">
        <is>
          <t>ja</t>
        </is>
      </c>
      <c r="R8" t="b">
        <v>0</v>
      </c>
      <c r="S8" s="214" t="n">
        <v>2.49</v>
      </c>
      <c r="T8" s="159" t="n">
        <v>1</v>
      </c>
      <c r="U8" t="n">
        <v>0</v>
      </c>
      <c r="V8" s="237" t="n">
        <v>0</v>
      </c>
      <c r="W8" s="237" t="n">
        <v>0</v>
      </c>
      <c r="X8" s="208" t="n">
        <v>2.49</v>
      </c>
      <c r="Y8" s="251" t="n">
        <v>2.49</v>
      </c>
      <c r="Z8" s="251" t="n">
        <v>2.49</v>
      </c>
      <c r="AA8" s="35" t="n">
        <v>44696</v>
      </c>
      <c r="AB8" s="27" t="n"/>
      <c r="AC8" s="27" t="n">
        <v>20</v>
      </c>
      <c r="AD8" s="210" t="n">
        <v>2.49</v>
      </c>
      <c r="AE8" s="237" t="n">
        <v>0.4980000000000001</v>
      </c>
      <c r="AF8" t="b">
        <v>0</v>
      </c>
      <c r="AG8" s="228" t="n">
        <v>-2.49</v>
      </c>
    </row>
    <row r="9">
      <c r="A9">
        <f>I9&amp;"-"&amp;J9</f>
        <v/>
      </c>
      <c r="B9" s="1">
        <f>N9</f>
        <v/>
      </c>
      <c r="C9">
        <f>M9&amp;"/"&amp;O9</f>
        <v/>
      </c>
      <c r="D9">
        <f>K9</f>
        <v/>
      </c>
      <c r="E9">
        <f>L9</f>
        <v/>
      </c>
      <c r="F9" s="236">
        <f>Z9</f>
        <v/>
      </c>
      <c r="G9">
        <f>U9&amp;"%"</f>
        <v/>
      </c>
      <c r="I9" s="53" t="n">
        <v>2022</v>
      </c>
      <c r="J9" s="53" t="n">
        <v>8</v>
      </c>
      <c r="K9" s="71" t="inlineStr">
        <is>
          <t>Ausgaben</t>
        </is>
      </c>
      <c r="L9" t="inlineStr">
        <is>
          <t>sonstige Betriebsausgaben</t>
        </is>
      </c>
      <c r="M9" s="139" t="inlineStr">
        <is>
          <t>60793/100/2021</t>
        </is>
      </c>
      <c r="N9" s="1" t="n">
        <v>44568</v>
      </c>
      <c r="O9" t="inlineStr">
        <is>
          <t>easy green energy GmbH &amp; Co KG</t>
        </is>
      </c>
      <c r="Q9" s="76" t="n"/>
      <c r="R9" t="b">
        <v>0</v>
      </c>
      <c r="S9" s="214" t="n">
        <v>2.5</v>
      </c>
      <c r="T9" s="159" t="n">
        <v>1</v>
      </c>
      <c r="U9" t="n">
        <v>20</v>
      </c>
      <c r="V9" s="237" t="n">
        <v>0.5</v>
      </c>
      <c r="W9" s="237" t="n">
        <v>0.5</v>
      </c>
      <c r="X9" s="208" t="n">
        <v>2.5</v>
      </c>
      <c r="Y9" s="251" t="n">
        <v>3</v>
      </c>
      <c r="Z9" s="251" t="n">
        <v>3</v>
      </c>
      <c r="AA9" s="35" t="n">
        <v>44696</v>
      </c>
      <c r="AB9" s="27" t="n"/>
      <c r="AC9" s="27" t="n"/>
      <c r="AD9" s="210" t="n">
        <v>2.5</v>
      </c>
      <c r="AE9" s="237" t="n">
        <v>0</v>
      </c>
      <c r="AF9" t="b">
        <v>0</v>
      </c>
      <c r="AG9" s="228" t="n">
        <v>-2.5</v>
      </c>
    </row>
    <row r="10">
      <c r="A10">
        <f>I10&amp;"-"&amp;J10</f>
        <v/>
      </c>
      <c r="B10" s="1">
        <f>N10</f>
        <v/>
      </c>
      <c r="C10">
        <f>M10&amp;"/"&amp;O10</f>
        <v/>
      </c>
      <c r="D10">
        <f>K10</f>
        <v/>
      </c>
      <c r="E10">
        <f>L10</f>
        <v/>
      </c>
      <c r="F10" s="236">
        <f>Z10</f>
        <v/>
      </c>
      <c r="G10">
        <f>U10&amp;"%"</f>
        <v/>
      </c>
      <c r="I10" s="53" t="n">
        <v>2022</v>
      </c>
      <c r="J10" s="53" t="n">
        <v>9</v>
      </c>
      <c r="K10" s="71" t="inlineStr">
        <is>
          <t>Einnahmen</t>
        </is>
      </c>
      <c r="L10" t="inlineStr">
        <is>
          <t>Waren-/Leistungserlöse</t>
        </is>
      </c>
      <c r="M10" t="n">
        <v>12021035</v>
      </c>
      <c r="N10" s="1" t="n">
        <v>44568</v>
      </c>
      <c r="O10" t="inlineStr">
        <is>
          <t>Schick Küchendesign e.U. Alexander Schick, Linzerstraße 247, 1140 Wien</t>
        </is>
      </c>
      <c r="Q10" s="76" t="n"/>
      <c r="R10" t="b">
        <v>0</v>
      </c>
      <c r="S10" s="214" t="n">
        <v>448.5</v>
      </c>
      <c r="T10" s="159" t="n">
        <v>1</v>
      </c>
      <c r="U10" t="n">
        <v>20</v>
      </c>
      <c r="V10" s="237" t="n">
        <v>89.7</v>
      </c>
      <c r="W10" s="237" t="n">
        <v>89.7</v>
      </c>
      <c r="X10" s="208" t="n">
        <v>448.5</v>
      </c>
      <c r="Y10" s="251" t="n">
        <v>538.2</v>
      </c>
      <c r="Z10" s="251" t="n">
        <v>538.2</v>
      </c>
      <c r="AA10" s="35" t="n">
        <v>44696</v>
      </c>
      <c r="AB10" s="27" t="n"/>
      <c r="AC10" s="27" t="n"/>
      <c r="AD10" s="210" t="n">
        <v>448.5</v>
      </c>
      <c r="AE10" s="237" t="n">
        <v>0</v>
      </c>
      <c r="AF10" t="b">
        <v>0</v>
      </c>
      <c r="AG10" s="228" t="n">
        <v>448.5</v>
      </c>
    </row>
    <row r="11">
      <c r="A11">
        <f>I11&amp;"-"&amp;J11</f>
        <v/>
      </c>
      <c r="B11" s="1">
        <f>N11</f>
        <v/>
      </c>
      <c r="C11">
        <f>M11&amp;"/"&amp;O11</f>
        <v/>
      </c>
      <c r="D11">
        <f>K11</f>
        <v/>
      </c>
      <c r="E11">
        <f>L11</f>
        <v/>
      </c>
      <c r="F11" s="236">
        <f>Z11</f>
        <v/>
      </c>
      <c r="G11">
        <f>U11&amp;"%"</f>
        <v/>
      </c>
      <c r="I11" s="53" t="n">
        <v>2022</v>
      </c>
      <c r="J11" s="53" t="n">
        <v>10</v>
      </c>
      <c r="K11" s="71" t="inlineStr">
        <is>
          <t>Ausgaben</t>
        </is>
      </c>
      <c r="L11" t="inlineStr">
        <is>
          <t>sonstige Betriebsausgaben</t>
        </is>
      </c>
      <c r="M11" s="139" t="inlineStr">
        <is>
          <t>220008996902</t>
        </is>
      </c>
      <c r="N11" s="1" t="n">
        <v>44571</v>
      </c>
      <c r="O11" t="inlineStr">
        <is>
          <t>Wiener Netze GmbH, Erdbergstraße 236, 1110 Wien, Postfach 422; Jahresabrechnung vom 17.12.20: GUTSCHRIFT</t>
        </is>
      </c>
      <c r="Q11" s="76" t="n"/>
      <c r="R11" t="b">
        <v>0</v>
      </c>
      <c r="S11" s="214" t="n">
        <v>8.18</v>
      </c>
      <c r="T11" s="159" t="n">
        <v>1</v>
      </c>
      <c r="U11" t="n">
        <v>20</v>
      </c>
      <c r="V11" s="237" t="n">
        <v>1.636</v>
      </c>
      <c r="W11" s="237" t="n">
        <v>1.636</v>
      </c>
      <c r="X11" s="208" t="n">
        <v>8.18</v>
      </c>
      <c r="Y11" s="251" t="n">
        <v>9.815999999999999</v>
      </c>
      <c r="Z11" s="251" t="n">
        <v>9.815999999999999</v>
      </c>
      <c r="AA11" s="35" t="n">
        <v>44696</v>
      </c>
      <c r="AB11" s="27" t="n"/>
      <c r="AC11" s="27" t="n"/>
      <c r="AD11" s="210" t="n">
        <v>8.18</v>
      </c>
      <c r="AE11" s="237" t="n">
        <v>0</v>
      </c>
      <c r="AF11" t="b">
        <v>0</v>
      </c>
      <c r="AG11" s="228" t="n">
        <v>-8.18</v>
      </c>
    </row>
    <row r="12">
      <c r="A12">
        <f>I12&amp;"-"&amp;J12</f>
        <v/>
      </c>
      <c r="B12" s="1">
        <f>N12</f>
        <v/>
      </c>
      <c r="C12">
        <f>M12&amp;"/"&amp;O12</f>
        <v/>
      </c>
      <c r="D12">
        <f>K12</f>
        <v/>
      </c>
      <c r="E12">
        <f>L12</f>
        <v/>
      </c>
      <c r="F12" s="236">
        <f>Z12</f>
        <v/>
      </c>
      <c r="G12">
        <f>U12&amp;"%"</f>
        <v/>
      </c>
      <c r="I12" s="53" t="n">
        <v>2022</v>
      </c>
      <c r="J12" s="53" t="n">
        <v>11</v>
      </c>
      <c r="K12" s="71" t="inlineStr">
        <is>
          <t>Ausgaben</t>
        </is>
      </c>
      <c r="L12" t="inlineStr">
        <is>
          <t>sonstige Betriebsausgaben</t>
        </is>
      </c>
      <c r="M12" s="9" t="inlineStr">
        <is>
          <t>R00014950471</t>
        </is>
      </c>
      <c r="N12" s="1" t="n">
        <v>44574</v>
      </c>
      <c r="O12" t="inlineStr">
        <is>
          <t>Hetzner Online GmbH</t>
        </is>
      </c>
      <c r="Q12" s="76" t="n"/>
      <c r="R12" t="b">
        <v>0</v>
      </c>
      <c r="S12" s="214" t="n">
        <v>47.7765</v>
      </c>
      <c r="T12" s="159" t="n">
        <v>1</v>
      </c>
      <c r="U12" t="n">
        <v>0</v>
      </c>
      <c r="V12" s="237" t="n">
        <v>0</v>
      </c>
      <c r="W12" s="237" t="n">
        <v>0</v>
      </c>
      <c r="X12" s="208" t="n">
        <v>47.7765</v>
      </c>
      <c r="Y12" s="251" t="n">
        <v>47.7765</v>
      </c>
      <c r="Z12" s="251" t="n">
        <v>47.7765</v>
      </c>
      <c r="AA12" s="35" t="n">
        <v>44696</v>
      </c>
      <c r="AB12" s="27" t="n"/>
      <c r="AC12" s="27" t="n">
        <v>20</v>
      </c>
      <c r="AD12" s="210" t="n">
        <v>47.7765</v>
      </c>
      <c r="AE12" s="237" t="n">
        <v>9.555300000000001</v>
      </c>
      <c r="AF12" t="b">
        <v>0</v>
      </c>
      <c r="AG12" s="228" t="n">
        <v>-47.7765</v>
      </c>
    </row>
    <row r="13">
      <c r="A13">
        <f>I13&amp;"-"&amp;J13</f>
        <v/>
      </c>
      <c r="B13" s="1">
        <f>N13</f>
        <v/>
      </c>
      <c r="C13">
        <f>M13&amp;"/"&amp;O13</f>
        <v/>
      </c>
      <c r="D13">
        <f>K13</f>
        <v/>
      </c>
      <c r="E13">
        <f>L13</f>
        <v/>
      </c>
      <c r="F13" s="236">
        <f>Z13</f>
        <v/>
      </c>
      <c r="G13">
        <f>U13&amp;"%"</f>
        <v/>
      </c>
      <c r="I13" s="53" t="n">
        <v>2022</v>
      </c>
      <c r="J13" s="53" t="n">
        <v>12</v>
      </c>
      <c r="K13" s="71" t="inlineStr">
        <is>
          <t>Einnahmen</t>
        </is>
      </c>
      <c r="L13" t="inlineStr">
        <is>
          <t>Waren-/Leistungserlöse</t>
        </is>
      </c>
      <c r="M13" s="9" t="inlineStr">
        <is>
          <t>168041072</t>
        </is>
      </c>
      <c r="N13" s="1" t="n">
        <v>44574</v>
      </c>
      <c r="O13" t="inlineStr">
        <is>
          <t>Hays Österreich GmbH, Bahnhof City Wien West , Europaplatz 3/5, 1150 Wien</t>
        </is>
      </c>
      <c r="Q13" s="76" t="n"/>
      <c r="R13" t="b">
        <v>0</v>
      </c>
      <c r="S13" s="214" t="n">
        <v>3997.5</v>
      </c>
      <c r="T13" s="159" t="n">
        <v>1</v>
      </c>
      <c r="U13" t="n">
        <v>20</v>
      </c>
      <c r="V13" s="237" t="n">
        <v>799.5</v>
      </c>
      <c r="W13" s="237" t="n">
        <v>799.5</v>
      </c>
      <c r="X13" s="208" t="n">
        <v>3997.5</v>
      </c>
      <c r="Y13" s="251" t="n">
        <v>4797</v>
      </c>
      <c r="Z13" s="251" t="n">
        <v>4797</v>
      </c>
      <c r="AA13" s="35" t="n">
        <v>44696</v>
      </c>
      <c r="AB13" s="27" t="n"/>
      <c r="AC13" s="27" t="n">
        <v>20</v>
      </c>
      <c r="AD13" s="210" t="n">
        <v>3997.5</v>
      </c>
      <c r="AE13" s="237" t="n">
        <v>959.4000000000001</v>
      </c>
      <c r="AF13" t="b">
        <v>1</v>
      </c>
      <c r="AG13" s="228" t="n">
        <v>3997.5</v>
      </c>
    </row>
    <row r="14">
      <c r="A14">
        <f>I14&amp;"-"&amp;J14</f>
        <v/>
      </c>
      <c r="B14" s="1">
        <f>N14</f>
        <v/>
      </c>
      <c r="C14">
        <f>M14&amp;"/"&amp;O14</f>
        <v/>
      </c>
      <c r="D14">
        <f>K14</f>
        <v/>
      </c>
      <c r="E14">
        <f>L14</f>
        <v/>
      </c>
      <c r="F14" s="236">
        <f>Z14</f>
        <v/>
      </c>
      <c r="G14">
        <f>U14&amp;"%"</f>
        <v/>
      </c>
      <c r="I14" s="53" t="n">
        <v>2022</v>
      </c>
      <c r="J14" s="53" t="n">
        <v>13</v>
      </c>
      <c r="K14" s="71" t="inlineStr">
        <is>
          <t>Ausgaben</t>
        </is>
      </c>
      <c r="L14" t="inlineStr">
        <is>
          <t>sonstige Betriebsausgaben</t>
        </is>
      </c>
      <c r="M14" s="153" t="inlineStr">
        <is>
          <t>siehe Jahresabrechnung</t>
        </is>
      </c>
      <c r="N14" s="1" t="n">
        <v>44575</v>
      </c>
      <c r="O14" t="inlineStr">
        <is>
          <t>easy green energy GmbH &amp; Co KG</t>
        </is>
      </c>
      <c r="Q14" s="76" t="n"/>
      <c r="R14" t="b">
        <v>0</v>
      </c>
      <c r="S14" s="233" t="n">
        <v>7.533333333333333</v>
      </c>
      <c r="T14" s="159" t="n">
        <v>1</v>
      </c>
      <c r="U14" t="n">
        <v>20</v>
      </c>
      <c r="V14" s="237" t="n">
        <v>1.506666666666667</v>
      </c>
      <c r="W14" s="237" t="n">
        <v>1.506666666666667</v>
      </c>
      <c r="X14" s="208" t="n">
        <v>7.533333333333333</v>
      </c>
      <c r="Y14" s="251" t="n">
        <v>9.039999999999999</v>
      </c>
      <c r="Z14" s="251" t="n">
        <v>9.039999999999999</v>
      </c>
      <c r="AA14" s="35" t="n">
        <v>44696</v>
      </c>
      <c r="AB14" s="27" t="n"/>
      <c r="AC14" s="27" t="n"/>
      <c r="AD14" s="210" t="n">
        <v>7.533333333333333</v>
      </c>
      <c r="AE14" s="237" t="n">
        <v>0</v>
      </c>
      <c r="AF14" t="b">
        <v>0</v>
      </c>
      <c r="AG14" s="228" t="n">
        <v>-7.533333333333333</v>
      </c>
    </row>
    <row r="15">
      <c r="A15">
        <f>I15&amp;"-"&amp;J15</f>
        <v/>
      </c>
      <c r="B15" s="1">
        <f>N15</f>
        <v/>
      </c>
      <c r="C15">
        <f>M15&amp;"/"&amp;O15</f>
        <v/>
      </c>
      <c r="D15">
        <f>K15</f>
        <v/>
      </c>
      <c r="E15">
        <f>L15</f>
        <v/>
      </c>
      <c r="F15" s="236">
        <f>Z15</f>
        <v/>
      </c>
      <c r="G15">
        <f>U15&amp;"%"</f>
        <v/>
      </c>
      <c r="I15" s="53" t="n">
        <v>2022</v>
      </c>
      <c r="J15" s="53" t="n">
        <v>14</v>
      </c>
      <c r="K15" s="71" t="inlineStr">
        <is>
          <t>Ausgaben</t>
        </is>
      </c>
      <c r="L15" t="inlineStr">
        <is>
          <t>sonstige Betriebsausgaben</t>
        </is>
      </c>
      <c r="M15" s="9" t="inlineStr">
        <is>
          <t>kein Beleg wie immer</t>
        </is>
      </c>
      <c r="N15" s="1" t="n">
        <v>44575</v>
      </c>
      <c r="O15" t="inlineStr">
        <is>
          <t>Aon Austria GmbH UBIT Haftpflicht</t>
        </is>
      </c>
      <c r="Q15" s="76" t="n"/>
      <c r="R15" t="b">
        <v>0</v>
      </c>
      <c r="S15" s="214" t="n">
        <v>265.08</v>
      </c>
      <c r="T15" s="159" t="n">
        <v>1</v>
      </c>
      <c r="U15" t="n">
        <v>0</v>
      </c>
      <c r="V15" s="237" t="n">
        <v>0</v>
      </c>
      <c r="W15" s="237" t="n">
        <v>0</v>
      </c>
      <c r="X15" s="208" t="n">
        <v>265.08</v>
      </c>
      <c r="Y15" s="251" t="n">
        <v>265.08</v>
      </c>
      <c r="Z15" s="251" t="n">
        <v>265.08</v>
      </c>
      <c r="AA15" s="35" t="n">
        <v>44696</v>
      </c>
      <c r="AB15" s="27" t="n"/>
      <c r="AC15" s="27" t="n"/>
      <c r="AD15" s="210" t="n">
        <v>265.08</v>
      </c>
      <c r="AE15" s="237" t="n">
        <v>0</v>
      </c>
      <c r="AF15" t="b">
        <v>0</v>
      </c>
      <c r="AG15" s="228" t="n">
        <v>-265.08</v>
      </c>
    </row>
    <row r="16">
      <c r="A16">
        <f>I16&amp;"-"&amp;J16</f>
        <v/>
      </c>
      <c r="B16" s="1">
        <f>N16</f>
        <v/>
      </c>
      <c r="C16">
        <f>M16&amp;"/"&amp;O16</f>
        <v/>
      </c>
      <c r="D16">
        <f>K16</f>
        <v/>
      </c>
      <c r="E16">
        <f>L16</f>
        <v/>
      </c>
      <c r="F16" s="236">
        <f>Z16</f>
        <v/>
      </c>
      <c r="G16">
        <f>U16&amp;"%"</f>
        <v/>
      </c>
      <c r="I16" s="53" t="n">
        <v>2022</v>
      </c>
      <c r="J16" s="53" t="n">
        <v>15</v>
      </c>
      <c r="K16" s="71" t="inlineStr">
        <is>
          <t>Ausgaben</t>
        </is>
      </c>
      <c r="L16" t="inlineStr">
        <is>
          <t>sonstige Betriebsausgaben</t>
        </is>
      </c>
      <c r="M16" s="6" t="inlineStr">
        <is>
          <t>E0600GXXZJ</t>
        </is>
      </c>
      <c r="N16" s="1" t="n">
        <v>44582</v>
      </c>
      <c r="O16" t="inlineStr">
        <is>
          <t>Microsoft Ireland Operations Ltd. One Microsoft Place, South County, Business Park, Leopardstown, Dublin 18, D18 P521, Ireland</t>
        </is>
      </c>
      <c r="Q16" s="76" t="n"/>
      <c r="R16" t="b">
        <v>0</v>
      </c>
      <c r="S16" s="214" t="n">
        <v>10.5</v>
      </c>
      <c r="T16" s="159" t="n">
        <v>1</v>
      </c>
      <c r="U16" t="n">
        <v>0</v>
      </c>
      <c r="V16" s="237" t="n">
        <v>0</v>
      </c>
      <c r="W16" s="237" t="n">
        <v>0</v>
      </c>
      <c r="X16" s="208" t="n">
        <v>10.5</v>
      </c>
      <c r="Y16" s="251" t="n">
        <v>10.5</v>
      </c>
      <c r="Z16" s="251" t="n">
        <v>10.5</v>
      </c>
      <c r="AA16" s="35" t="n">
        <v>44696</v>
      </c>
      <c r="AB16" s="27" t="n"/>
      <c r="AC16" s="27" t="n">
        <v>20</v>
      </c>
      <c r="AD16" s="210" t="n">
        <v>10.5</v>
      </c>
      <c r="AE16" s="237" t="n">
        <v>2.1</v>
      </c>
      <c r="AF16" t="b">
        <v>0</v>
      </c>
      <c r="AG16" s="228" t="n">
        <v>-10.5</v>
      </c>
    </row>
    <row r="17">
      <c r="A17">
        <f>I17&amp;"-"&amp;J17</f>
        <v/>
      </c>
      <c r="B17" s="1">
        <f>N17</f>
        <v/>
      </c>
      <c r="C17">
        <f>M17&amp;"/"&amp;O17</f>
        <v/>
      </c>
      <c r="D17">
        <f>K17</f>
        <v/>
      </c>
      <c r="E17">
        <f>L17</f>
        <v/>
      </c>
      <c r="F17" s="236">
        <f>Z17</f>
        <v/>
      </c>
      <c r="G17">
        <f>U17&amp;"%"</f>
        <v/>
      </c>
      <c r="I17" s="53" t="n">
        <v>2022</v>
      </c>
      <c r="J17" s="53" t="n">
        <v>16</v>
      </c>
      <c r="K17" s="71" t="inlineStr">
        <is>
          <t>Ausgaben</t>
        </is>
      </c>
      <c r="L17" t="inlineStr">
        <is>
          <t>Telefon/Internet</t>
        </is>
      </c>
      <c r="M17" s="131" t="inlineStr">
        <is>
          <t>901209161221</t>
        </is>
      </c>
      <c r="N17" s="1" t="n">
        <v>44585</v>
      </c>
      <c r="O17" t="inlineStr">
        <is>
          <t>Magenta: T-Mobile Austria GmbH, A-1120 Wien, PF 47</t>
        </is>
      </c>
      <c r="Q17" s="76" t="n"/>
      <c r="R17" t="b">
        <v>0</v>
      </c>
      <c r="S17" s="214" t="n">
        <v>31.92</v>
      </c>
      <c r="T17" s="159" t="n">
        <v>1</v>
      </c>
      <c r="U17" t="n">
        <v>20</v>
      </c>
      <c r="V17" s="237" t="n">
        <v>6.384000000000001</v>
      </c>
      <c r="W17" s="237" t="n">
        <v>6.384000000000001</v>
      </c>
      <c r="X17" s="208" t="n">
        <v>31.92</v>
      </c>
      <c r="Y17" s="251" t="n">
        <v>38.304</v>
      </c>
      <c r="Z17" s="251" t="n">
        <v>38.304</v>
      </c>
      <c r="AA17" s="35" t="n">
        <v>44696</v>
      </c>
      <c r="AB17" s="27" t="n"/>
      <c r="AC17" s="27" t="n"/>
      <c r="AD17" s="210" t="n">
        <v>31.92</v>
      </c>
      <c r="AE17" s="237" t="n">
        <v>0</v>
      </c>
      <c r="AF17" t="b">
        <v>0</v>
      </c>
      <c r="AG17" s="228" t="n">
        <v>-31.92</v>
      </c>
    </row>
    <row r="18">
      <c r="A18">
        <f>I18&amp;"-"&amp;J18</f>
        <v/>
      </c>
      <c r="B18" s="1">
        <f>N18</f>
        <v/>
      </c>
      <c r="C18">
        <f>M18&amp;"/"&amp;O18</f>
        <v/>
      </c>
      <c r="D18">
        <f>K18</f>
        <v/>
      </c>
      <c r="E18">
        <f>L18</f>
        <v/>
      </c>
      <c r="F18" s="236">
        <f>Z18</f>
        <v/>
      </c>
      <c r="G18">
        <f>U18&amp;"%"</f>
        <v/>
      </c>
      <c r="I18" s="53" t="n">
        <v>2022</v>
      </c>
      <c r="J18" s="53" t="n">
        <v>17</v>
      </c>
      <c r="K18" s="71" t="inlineStr">
        <is>
          <t>Einnahmen</t>
        </is>
      </c>
      <c r="L18" t="inlineStr">
        <is>
          <t>Waren-/Leistungserlöse</t>
        </is>
      </c>
      <c r="M18" s="6" t="n">
        <v>12021036</v>
      </c>
      <c r="N18" s="1" t="n">
        <v>44585</v>
      </c>
      <c r="O18" t="inlineStr">
        <is>
          <t>Musikschule Bad Vöslau, Hauptstraße 14, 2540 Bad Vöslau</t>
        </is>
      </c>
      <c r="Q18" s="76" t="n"/>
      <c r="R18" t="b">
        <v>0</v>
      </c>
      <c r="S18" s="214" t="n">
        <v>92.11</v>
      </c>
      <c r="T18" s="159" t="n">
        <v>1</v>
      </c>
      <c r="U18" t="n">
        <v>20</v>
      </c>
      <c r="V18" s="237" t="n">
        <v>18.422</v>
      </c>
      <c r="W18" s="237" t="n">
        <v>18.422</v>
      </c>
      <c r="X18" s="208" t="n">
        <v>92.11</v>
      </c>
      <c r="Y18" s="251" t="n">
        <v>110.532</v>
      </c>
      <c r="Z18" s="251" t="n">
        <v>110.532</v>
      </c>
      <c r="AA18" s="35" t="n">
        <v>44696</v>
      </c>
      <c r="AB18" s="27" t="n"/>
      <c r="AC18" s="27" t="n"/>
      <c r="AD18" s="210" t="n">
        <v>92.11</v>
      </c>
      <c r="AE18" s="237" t="n">
        <v>0</v>
      </c>
      <c r="AF18" t="b">
        <v>0</v>
      </c>
      <c r="AG18" s="228" t="n">
        <v>92.11</v>
      </c>
    </row>
    <row r="19">
      <c r="A19">
        <f>I19&amp;"-"&amp;J19</f>
        <v/>
      </c>
      <c r="B19" s="1">
        <f>N19</f>
        <v/>
      </c>
      <c r="C19">
        <f>M19&amp;"/"&amp;O19</f>
        <v/>
      </c>
      <c r="D19">
        <f>K19</f>
        <v/>
      </c>
      <c r="E19">
        <f>L19</f>
        <v/>
      </c>
      <c r="F19" s="236">
        <f>Z19</f>
        <v/>
      </c>
      <c r="G19">
        <f>U19&amp;"%"</f>
        <v/>
      </c>
      <c r="I19" s="53" t="n">
        <v>2022</v>
      </c>
      <c r="J19" s="53" t="n">
        <v>18</v>
      </c>
      <c r="K19" s="71" t="inlineStr">
        <is>
          <t>Ausgaben</t>
        </is>
      </c>
      <c r="L19" t="inlineStr">
        <is>
          <t>sonstige Betriebsausgaben</t>
        </is>
      </c>
      <c r="M19" s="9" t="inlineStr">
        <is>
          <t>RE1081302</t>
        </is>
      </c>
      <c r="N19" s="1" t="n">
        <v>44587</v>
      </c>
      <c r="O19" t="inlineStr">
        <is>
          <t>easyname GmbH, Fernkorngasse 10/3/501, A-1100 Wien</t>
        </is>
      </c>
      <c r="Q19" s="76" t="n"/>
      <c r="R19" t="b">
        <v>0</v>
      </c>
      <c r="S19" s="214" t="n">
        <v>20.75</v>
      </c>
      <c r="T19" s="159" t="n">
        <v>1</v>
      </c>
      <c r="U19" t="n">
        <v>20</v>
      </c>
      <c r="V19" s="237" t="n">
        <v>4.15</v>
      </c>
      <c r="W19" s="237" t="n">
        <v>4.15</v>
      </c>
      <c r="X19" s="208" t="n">
        <v>20.75</v>
      </c>
      <c r="Y19" s="251" t="n">
        <v>24.9</v>
      </c>
      <c r="Z19" s="251" t="n">
        <v>24.9</v>
      </c>
      <c r="AA19" s="35" t="n">
        <v>44696</v>
      </c>
      <c r="AB19" s="27" t="n"/>
      <c r="AC19" s="27" t="n"/>
      <c r="AD19" s="210" t="n">
        <v>20.75</v>
      </c>
      <c r="AE19" s="237" t="n">
        <v>0</v>
      </c>
      <c r="AF19" t="b">
        <v>0</v>
      </c>
      <c r="AG19" s="228" t="n">
        <v>-20.75</v>
      </c>
    </row>
    <row r="20">
      <c r="A20">
        <f>I20&amp;"-"&amp;J20</f>
        <v/>
      </c>
      <c r="B20" s="1">
        <f>N20</f>
        <v/>
      </c>
      <c r="C20">
        <f>M20&amp;"/"&amp;O20</f>
        <v/>
      </c>
      <c r="D20">
        <f>K20</f>
        <v/>
      </c>
      <c r="E20">
        <f>L20</f>
        <v/>
      </c>
      <c r="F20" s="236">
        <f>Z20</f>
        <v/>
      </c>
      <c r="G20">
        <f>U20&amp;"%"</f>
        <v/>
      </c>
      <c r="I20" s="53" t="n">
        <v>2022</v>
      </c>
      <c r="J20" s="53" t="n">
        <v>19</v>
      </c>
      <c r="K20" s="71" t="inlineStr">
        <is>
          <t>Ausgaben</t>
        </is>
      </c>
      <c r="L20" t="inlineStr">
        <is>
          <t>Waren, Rohstoffe, Hilfsstoffe</t>
        </is>
      </c>
      <c r="M20" s="9" t="inlineStr">
        <is>
          <t>862295</t>
        </is>
      </c>
      <c r="N20" s="1" t="n">
        <v>44593</v>
      </c>
      <c r="O20" t="inlineStr">
        <is>
          <t>Lemon Technologies GmbH, Unterweißenbach 181, 7330 Feldbach</t>
        </is>
      </c>
      <c r="Q20" s="76" t="n"/>
      <c r="R20" t="b">
        <v>0</v>
      </c>
      <c r="S20" s="214" t="n">
        <v>49.90000000000001</v>
      </c>
      <c r="T20" s="159" t="n">
        <v>1</v>
      </c>
      <c r="U20" t="n">
        <v>20</v>
      </c>
      <c r="V20" s="237" t="n">
        <v>9.98</v>
      </c>
      <c r="W20" s="237" t="n">
        <v>9.98</v>
      </c>
      <c r="X20" s="208" t="n">
        <v>49.90000000000001</v>
      </c>
      <c r="Y20" s="251" t="n">
        <v>59.88000000000001</v>
      </c>
      <c r="Z20" s="251" t="n">
        <v>59.88000000000001</v>
      </c>
      <c r="AA20" s="35" t="n">
        <v>44696</v>
      </c>
      <c r="AB20" s="27" t="n"/>
      <c r="AC20" s="27" t="n"/>
      <c r="AD20" s="210" t="n">
        <v>49.90000000000001</v>
      </c>
      <c r="AE20" s="237" t="n">
        <v>0</v>
      </c>
      <c r="AF20" t="b">
        <v>0</v>
      </c>
      <c r="AG20" s="228" t="n">
        <v>-49.90000000000001</v>
      </c>
    </row>
    <row r="21">
      <c r="A21">
        <f>I21&amp;"-"&amp;J21</f>
        <v/>
      </c>
      <c r="B21" s="1">
        <f>N21</f>
        <v/>
      </c>
      <c r="C21">
        <f>M21&amp;"/"&amp;O21</f>
        <v/>
      </c>
      <c r="D21">
        <f>K21</f>
        <v/>
      </c>
      <c r="E21">
        <f>L21</f>
        <v/>
      </c>
      <c r="F21" s="236">
        <f>Z21</f>
        <v/>
      </c>
      <c r="G21">
        <f>U21&amp;"%"</f>
        <v/>
      </c>
      <c r="I21" s="53" t="n">
        <v>2022</v>
      </c>
      <c r="J21" s="53" t="n">
        <v>20</v>
      </c>
      <c r="K21" s="71" t="inlineStr">
        <is>
          <t>Ausgaben</t>
        </is>
      </c>
      <c r="L21" t="inlineStr">
        <is>
          <t>Miet- und Pachtaufwand, Leasing</t>
        </is>
      </c>
      <c r="M21" s="9" t="n"/>
      <c r="N21" s="1" t="n">
        <v>44593</v>
      </c>
      <c r="O21" t="inlineStr">
        <is>
          <t>Bontus Immobilienverwaltung GmbH, 1010 Wien, Franz Josefs Kai 65</t>
        </is>
      </c>
      <c r="Q21" s="76" t="n"/>
      <c r="R21" t="b">
        <v>0</v>
      </c>
      <c r="S21" s="214" t="n">
        <v>478.6916666666667</v>
      </c>
      <c r="T21" s="159" t="n">
        <v>1</v>
      </c>
      <c r="U21" t="n">
        <v>20</v>
      </c>
      <c r="V21" s="237" t="n">
        <v>95.73833333333334</v>
      </c>
      <c r="W21" s="237" t="n">
        <v>95.73833333333334</v>
      </c>
      <c r="X21" s="208" t="n">
        <v>478.6916666666667</v>
      </c>
      <c r="Y21" s="251" t="n">
        <v>574.4300000000001</v>
      </c>
      <c r="Z21" s="251" t="n">
        <v>574.4300000000001</v>
      </c>
      <c r="AA21" s="35" t="n">
        <v>44696</v>
      </c>
      <c r="AB21" s="27" t="n"/>
      <c r="AC21" s="27" t="n"/>
      <c r="AD21" s="210" t="n">
        <v>478.6916666666667</v>
      </c>
      <c r="AE21" s="237" t="n">
        <v>0</v>
      </c>
      <c r="AF21" t="b">
        <v>0</v>
      </c>
      <c r="AG21" s="228" t="n">
        <v>-478.6916666666667</v>
      </c>
    </row>
    <row r="22">
      <c r="A22">
        <f>I22&amp;"-"&amp;J22</f>
        <v/>
      </c>
      <c r="B22" s="1">
        <f>N22</f>
        <v/>
      </c>
      <c r="C22">
        <f>M22&amp;"/"&amp;O22</f>
        <v/>
      </c>
      <c r="D22">
        <f>K22</f>
        <v/>
      </c>
      <c r="E22">
        <f>L22</f>
        <v/>
      </c>
      <c r="F22" s="236">
        <f>Z22</f>
        <v/>
      </c>
      <c r="G22">
        <f>U22&amp;"%"</f>
        <v/>
      </c>
      <c r="I22" s="53" t="n">
        <v>2022</v>
      </c>
      <c r="J22" s="53" t="n">
        <v>21</v>
      </c>
      <c r="K22" s="71" t="inlineStr">
        <is>
          <t>Ausgaben</t>
        </is>
      </c>
      <c r="L22" t="inlineStr">
        <is>
          <t>Telefon/Internet</t>
        </is>
      </c>
      <c r="M22" s="9" t="inlineStr">
        <is>
          <t>6236617303</t>
        </is>
      </c>
      <c r="N22" s="1" t="n">
        <v>44593</v>
      </c>
      <c r="O22" t="inlineStr">
        <is>
          <t>Hutchison Drei Austria GmbH, Brünner Straße 52, 1210 Wien, Österreich</t>
        </is>
      </c>
      <c r="Q22" s="76" t="n"/>
      <c r="R22" t="b">
        <v>0</v>
      </c>
      <c r="S22" s="214" t="n">
        <v>15</v>
      </c>
      <c r="T22" s="159" t="n">
        <v>1</v>
      </c>
      <c r="U22" t="n">
        <v>20</v>
      </c>
      <c r="V22" s="237" t="n">
        <v>3</v>
      </c>
      <c r="W22" s="237" t="n">
        <v>3</v>
      </c>
      <c r="X22" s="208" t="n">
        <v>15</v>
      </c>
      <c r="Y22" s="251" t="n">
        <v>18</v>
      </c>
      <c r="Z22" s="251" t="n">
        <v>18</v>
      </c>
      <c r="AA22" s="35" t="n">
        <v>44696</v>
      </c>
      <c r="AB22" s="27" t="n"/>
      <c r="AC22" s="27" t="n"/>
      <c r="AD22" s="210" t="n">
        <v>15</v>
      </c>
      <c r="AE22" s="237" t="n">
        <v>0</v>
      </c>
      <c r="AF22" t="b">
        <v>0</v>
      </c>
      <c r="AG22" s="228" t="n">
        <v>-15</v>
      </c>
    </row>
    <row r="23">
      <c r="A23">
        <f>I23&amp;"-"&amp;J23</f>
        <v/>
      </c>
      <c r="B23" s="1">
        <f>N23</f>
        <v/>
      </c>
      <c r="C23">
        <f>M23&amp;"/"&amp;O23</f>
        <v/>
      </c>
      <c r="D23">
        <f>K23</f>
        <v/>
      </c>
      <c r="E23">
        <f>L23</f>
        <v/>
      </c>
      <c r="F23" s="236">
        <f>Z23</f>
        <v/>
      </c>
      <c r="G23">
        <f>U23&amp;"%"</f>
        <v/>
      </c>
      <c r="I23" s="53" t="n">
        <v>2022</v>
      </c>
      <c r="J23" s="53" t="n">
        <v>22</v>
      </c>
      <c r="K23" s="71" t="inlineStr">
        <is>
          <t>Ausgaben</t>
        </is>
      </c>
      <c r="L23" t="inlineStr">
        <is>
          <t>Reise- und Fahrtspesen inkl. Kilometergeld und Diäten</t>
        </is>
      </c>
      <c r="M23" s="131" t="inlineStr">
        <is>
          <t>4293000000024389</t>
        </is>
      </c>
      <c r="N23" s="1" t="n">
        <v>44594</v>
      </c>
      <c r="O23" t="inlineStr">
        <is>
          <t>car2go Österreich GmbH, Hintere Zollamtstraße 9, 1030 Wien</t>
        </is>
      </c>
      <c r="Q23" s="76" t="n"/>
      <c r="R23" t="b">
        <v>0</v>
      </c>
      <c r="S23" s="214" t="n">
        <v>46.23</v>
      </c>
      <c r="T23" s="159" t="n">
        <v>1</v>
      </c>
      <c r="U23" t="n">
        <v>20</v>
      </c>
      <c r="V23" s="237" t="n">
        <v>9.245999999999999</v>
      </c>
      <c r="W23" s="237" t="n">
        <v>9.245999999999999</v>
      </c>
      <c r="X23" s="208" t="n">
        <v>46.23</v>
      </c>
      <c r="Y23" s="251" t="n">
        <v>55.476</v>
      </c>
      <c r="Z23" s="251" t="n">
        <v>55.476</v>
      </c>
      <c r="AA23" s="35" t="n">
        <v>44696</v>
      </c>
      <c r="AB23" s="27" t="n"/>
      <c r="AC23" s="27" t="n"/>
      <c r="AD23" s="210" t="n">
        <v>46.23</v>
      </c>
      <c r="AE23" s="237" t="n">
        <v>0</v>
      </c>
      <c r="AF23" t="b">
        <v>0</v>
      </c>
      <c r="AG23" s="228" t="n">
        <v>-46.23</v>
      </c>
    </row>
    <row r="24">
      <c r="A24">
        <f>I24&amp;"-"&amp;J24</f>
        <v/>
      </c>
      <c r="B24" s="1">
        <f>N24</f>
        <v/>
      </c>
      <c r="C24">
        <f>M24&amp;"/"&amp;O24</f>
        <v/>
      </c>
      <c r="D24">
        <f>K24</f>
        <v/>
      </c>
      <c r="E24">
        <f>L24</f>
        <v/>
      </c>
      <c r="F24" s="236">
        <f>Z24</f>
        <v/>
      </c>
      <c r="G24">
        <f>U24&amp;"%"</f>
        <v/>
      </c>
      <c r="I24" s="53" t="n">
        <v>2022</v>
      </c>
      <c r="J24" s="53" t="n">
        <v>23</v>
      </c>
      <c r="K24" s="71" t="inlineStr">
        <is>
          <t>Ausgaben</t>
        </is>
      </c>
      <c r="L24" t="inlineStr">
        <is>
          <t>sonstige Betriebsausgaben</t>
        </is>
      </c>
      <c r="M24" s="9" t="inlineStr">
        <is>
          <t>4060424772</t>
        </is>
      </c>
      <c r="N24" s="1" t="n">
        <v>44594</v>
      </c>
      <c r="O24" t="inlineStr">
        <is>
          <t>Google Ireland Ltd, Gordon House, Barrow Street, Dublin 4, Ireland; VAT number: IE 6388047V</t>
        </is>
      </c>
      <c r="Q24" s="76" t="n"/>
      <c r="R24" t="b">
        <v>0</v>
      </c>
      <c r="S24" s="214" t="n">
        <v>10.4</v>
      </c>
      <c r="T24" s="159" t="n">
        <v>1</v>
      </c>
      <c r="U24" t="n">
        <v>0</v>
      </c>
      <c r="V24" s="237" t="n">
        <v>0</v>
      </c>
      <c r="W24" s="237" t="n">
        <v>0</v>
      </c>
      <c r="X24" s="208" t="n">
        <v>10.4</v>
      </c>
      <c r="Y24" s="251" t="n">
        <v>10.4</v>
      </c>
      <c r="Z24" s="251" t="n">
        <v>10.4</v>
      </c>
      <c r="AA24" s="35" t="n">
        <v>44696</v>
      </c>
      <c r="AB24" s="27" t="n"/>
      <c r="AC24" s="27" t="n">
        <v>20</v>
      </c>
      <c r="AD24" s="210" t="n">
        <v>10.4</v>
      </c>
      <c r="AE24" s="237" t="n">
        <v>2.08</v>
      </c>
      <c r="AF24" t="b">
        <v>0</v>
      </c>
      <c r="AG24" s="228" t="n">
        <v>-10.4</v>
      </c>
    </row>
    <row r="25">
      <c r="A25">
        <f>I25&amp;"-"&amp;J25</f>
        <v/>
      </c>
      <c r="B25" s="1">
        <f>N25</f>
        <v/>
      </c>
      <c r="C25">
        <f>M25&amp;"/"&amp;O25</f>
        <v/>
      </c>
      <c r="D25">
        <f>K25</f>
        <v/>
      </c>
      <c r="E25">
        <f>L25</f>
        <v/>
      </c>
      <c r="F25" s="236">
        <f>Z25</f>
        <v/>
      </c>
      <c r="G25">
        <f>U25&amp;"%"</f>
        <v/>
      </c>
      <c r="I25" s="53" t="n">
        <v>2022</v>
      </c>
      <c r="J25" s="53" t="n">
        <v>24</v>
      </c>
      <c r="K25" s="71" t="inlineStr">
        <is>
          <t>Ausgaben</t>
        </is>
      </c>
      <c r="L25" t="inlineStr">
        <is>
          <t>sonstige Betriebsausgaben</t>
        </is>
      </c>
      <c r="M25" s="153" t="inlineStr">
        <is>
          <t>siehe Jahresabrechnung</t>
        </is>
      </c>
      <c r="N25" s="1" t="n">
        <v>44595</v>
      </c>
      <c r="O25" t="inlineStr">
        <is>
          <t>easy green energy GmbH &amp; Co KG</t>
        </is>
      </c>
      <c r="Q25" s="76" t="n"/>
      <c r="R25" t="b">
        <v>0</v>
      </c>
      <c r="S25" s="214" t="n">
        <v>2.5</v>
      </c>
      <c r="T25" s="159" t="n">
        <v>1</v>
      </c>
      <c r="U25" t="n">
        <v>20</v>
      </c>
      <c r="V25" s="237" t="n">
        <v>0.5</v>
      </c>
      <c r="W25" s="237" t="n">
        <v>0.5</v>
      </c>
      <c r="X25" s="208" t="n">
        <v>2.5</v>
      </c>
      <c r="Y25" s="251" t="n">
        <v>3</v>
      </c>
      <c r="Z25" s="251" t="n">
        <v>3</v>
      </c>
      <c r="AA25" s="35" t="n">
        <v>44696</v>
      </c>
      <c r="AB25" s="27" t="n"/>
      <c r="AC25" s="27" t="n"/>
      <c r="AD25" s="210" t="n">
        <v>2.5</v>
      </c>
      <c r="AE25" s="237" t="n">
        <v>0</v>
      </c>
      <c r="AF25" t="b">
        <v>0</v>
      </c>
      <c r="AG25" s="228" t="n">
        <v>-2.5</v>
      </c>
    </row>
    <row r="26">
      <c r="A26">
        <f>I26&amp;"-"&amp;J26</f>
        <v/>
      </c>
      <c r="B26" s="1">
        <f>N26</f>
        <v/>
      </c>
      <c r="C26">
        <f>M26&amp;"/"&amp;O26</f>
        <v/>
      </c>
      <c r="D26">
        <f>K26</f>
        <v/>
      </c>
      <c r="E26">
        <f>L26</f>
        <v/>
      </c>
      <c r="F26" s="236">
        <f>Z26</f>
        <v/>
      </c>
      <c r="G26">
        <f>U26&amp;"%"</f>
        <v/>
      </c>
      <c r="I26" s="53" t="n">
        <v>2022</v>
      </c>
      <c r="J26" s="53" t="n">
        <v>25</v>
      </c>
      <c r="K26" s="71" t="inlineStr">
        <is>
          <t>Einnahmen</t>
        </is>
      </c>
      <c r="L26" t="inlineStr">
        <is>
          <t>Waren-/Leistungserlöse</t>
        </is>
      </c>
      <c r="M26" t="n">
        <v>168041268</v>
      </c>
      <c r="N26" s="1" t="n">
        <v>44596</v>
      </c>
      <c r="O26" t="inlineStr">
        <is>
          <t>Hays Österreich GmbH, Bahnhof City Wien West , Europaplatz 3/5, 1150 Wien</t>
        </is>
      </c>
      <c r="Q26" s="76" t="n"/>
      <c r="R26" t="b">
        <v>0</v>
      </c>
      <c r="S26" s="214" t="n">
        <v>7872</v>
      </c>
      <c r="T26" s="159" t="n">
        <v>1</v>
      </c>
      <c r="U26" t="n">
        <v>20</v>
      </c>
      <c r="V26" s="237" t="n">
        <v>1574.4</v>
      </c>
      <c r="W26" s="237" t="n">
        <v>1574.4</v>
      </c>
      <c r="X26" s="208" t="n">
        <v>7872</v>
      </c>
      <c r="Y26" s="251" t="n">
        <v>9446.4</v>
      </c>
      <c r="Z26" s="251" t="n">
        <v>9446.4</v>
      </c>
      <c r="AA26" s="35" t="n">
        <v>44696</v>
      </c>
      <c r="AB26" s="27" t="n"/>
      <c r="AC26" s="27" t="n">
        <v>20</v>
      </c>
      <c r="AD26" s="210" t="n">
        <v>7872</v>
      </c>
      <c r="AE26" s="237" t="n">
        <v>1889.28</v>
      </c>
      <c r="AF26" t="b">
        <v>1</v>
      </c>
      <c r="AG26" s="228" t="n">
        <v>7872</v>
      </c>
    </row>
    <row r="27">
      <c r="A27">
        <f>I27&amp;"-"&amp;J27</f>
        <v/>
      </c>
      <c r="B27" s="1">
        <f>N27</f>
        <v/>
      </c>
      <c r="C27">
        <f>M27&amp;"/"&amp;O27</f>
        <v/>
      </c>
      <c r="D27">
        <f>K27</f>
        <v/>
      </c>
      <c r="E27">
        <f>L27</f>
        <v/>
      </c>
      <c r="F27" s="236">
        <f>Z27</f>
        <v/>
      </c>
      <c r="G27">
        <f>U27&amp;"%"</f>
        <v/>
      </c>
      <c r="I27" s="53" t="n">
        <v>2022</v>
      </c>
      <c r="J27" s="53" t="n">
        <v>26</v>
      </c>
      <c r="K27" s="71" t="inlineStr">
        <is>
          <t>Ausgaben</t>
        </is>
      </c>
      <c r="L27" t="inlineStr">
        <is>
          <t>sonstige Betriebsausgaben</t>
        </is>
      </c>
      <c r="M27" s="6" t="inlineStr">
        <is>
          <t>R0015102312</t>
        </is>
      </c>
      <c r="N27" s="1" t="n">
        <v>44598</v>
      </c>
      <c r="O27" t="inlineStr">
        <is>
          <t>Hetzner Online GmbH</t>
        </is>
      </c>
      <c r="Q27" s="76" t="inlineStr">
        <is>
          <t>ja</t>
        </is>
      </c>
      <c r="R27" t="b">
        <v>0</v>
      </c>
      <c r="S27" s="214" t="n">
        <v>2.49</v>
      </c>
      <c r="T27" s="159" t="n">
        <v>1</v>
      </c>
      <c r="U27" t="n">
        <v>0</v>
      </c>
      <c r="V27" s="237" t="n">
        <v>0</v>
      </c>
      <c r="W27" s="237" t="n">
        <v>0</v>
      </c>
      <c r="X27" s="208" t="n">
        <v>2.49</v>
      </c>
      <c r="Y27" s="251" t="n">
        <v>2.49</v>
      </c>
      <c r="Z27" s="251" t="n">
        <v>2.49</v>
      </c>
      <c r="AA27" s="35" t="n">
        <v>44696</v>
      </c>
      <c r="AB27" s="27" t="n"/>
      <c r="AC27" s="27" t="n">
        <v>20</v>
      </c>
      <c r="AD27" s="210" t="n">
        <v>2.49</v>
      </c>
      <c r="AE27" s="237" t="n">
        <v>0.4980000000000001</v>
      </c>
      <c r="AF27" t="b">
        <v>0</v>
      </c>
      <c r="AG27" s="228" t="n">
        <v>-2.49</v>
      </c>
    </row>
    <row r="28">
      <c r="A28">
        <f>I28&amp;"-"&amp;J28</f>
        <v/>
      </c>
      <c r="B28" s="1">
        <f>N28</f>
        <v/>
      </c>
      <c r="C28">
        <f>M28&amp;"/"&amp;O28</f>
        <v/>
      </c>
      <c r="D28">
        <f>K28</f>
        <v/>
      </c>
      <c r="E28">
        <f>L28</f>
        <v/>
      </c>
      <c r="F28" s="236">
        <f>Z28</f>
        <v/>
      </c>
      <c r="G28">
        <f>U28&amp;"%"</f>
        <v/>
      </c>
      <c r="I28" s="53" t="n">
        <v>2022</v>
      </c>
      <c r="J28" s="53" t="n">
        <v>27</v>
      </c>
      <c r="K28" s="71" t="inlineStr">
        <is>
          <t>Ausgaben</t>
        </is>
      </c>
      <c r="L28" t="inlineStr">
        <is>
          <t>Miet- und Pachtaufwand, Leasing</t>
        </is>
      </c>
      <c r="M28" s="139" t="inlineStr">
        <is>
          <t>HKA/20-01-58835</t>
        </is>
      </c>
      <c r="N28" s="1" t="n">
        <v>44599</v>
      </c>
      <c r="O28" t="inlineStr">
        <is>
          <t>Techem Messtechnik GmbH; Abnehmernummer 501686-0003-11-</t>
        </is>
      </c>
      <c r="Q28" s="76" t="n"/>
      <c r="R28" t="b">
        <v>0</v>
      </c>
      <c r="S28" s="214" t="n">
        <v>74</v>
      </c>
      <c r="T28" s="159" t="n">
        <v>1</v>
      </c>
      <c r="U28" t="n">
        <v>20</v>
      </c>
      <c r="V28" s="237" t="n">
        <v>14.8</v>
      </c>
      <c r="W28" s="237" t="n">
        <v>14.8</v>
      </c>
      <c r="X28" s="208" t="n">
        <v>74</v>
      </c>
      <c r="Y28" s="251" t="n">
        <v>88.8</v>
      </c>
      <c r="Z28" s="251" t="n">
        <v>88.8</v>
      </c>
      <c r="AA28" s="35" t="n">
        <v>44696</v>
      </c>
      <c r="AB28" s="27" t="n"/>
      <c r="AC28" s="27" t="n"/>
      <c r="AD28" s="210" t="n">
        <v>74</v>
      </c>
      <c r="AE28" s="237" t="n">
        <v>0</v>
      </c>
      <c r="AF28" t="b">
        <v>0</v>
      </c>
      <c r="AG28" s="228" t="n">
        <v>-74</v>
      </c>
    </row>
    <row r="29">
      <c r="A29">
        <f>I29&amp;"-"&amp;J29</f>
        <v/>
      </c>
      <c r="B29" s="1">
        <f>N29</f>
        <v/>
      </c>
      <c r="C29">
        <f>M29&amp;"/"&amp;O29</f>
        <v/>
      </c>
      <c r="D29">
        <f>K29</f>
        <v/>
      </c>
      <c r="E29">
        <f>L29</f>
        <v/>
      </c>
      <c r="F29" s="236">
        <f>Z29</f>
        <v/>
      </c>
      <c r="G29">
        <f>U29&amp;"%"</f>
        <v/>
      </c>
      <c r="I29" s="53" t="n">
        <v>2022</v>
      </c>
      <c r="J29" s="53" t="n">
        <v>28</v>
      </c>
      <c r="K29" s="71" t="inlineStr">
        <is>
          <t>Ausgaben</t>
        </is>
      </c>
      <c r="L29" t="inlineStr">
        <is>
          <t>sonstige Betriebsausgaben</t>
        </is>
      </c>
      <c r="M29" s="139" t="inlineStr">
        <is>
          <t>220008996902</t>
        </is>
      </c>
      <c r="N29" s="1" t="n">
        <v>44602</v>
      </c>
      <c r="O29" t="inlineStr">
        <is>
          <t>Wiener Netze GmbH, Erdbergstraße 236, 1110 Wien, Postfach 422; Jahresabrechnung vom 17.12.20: GUTSCHRIFT</t>
        </is>
      </c>
      <c r="Q29" s="76" t="n"/>
      <c r="R29" t="b">
        <v>0</v>
      </c>
      <c r="S29" s="214" t="n">
        <v>11</v>
      </c>
      <c r="T29" s="159" t="n">
        <v>1</v>
      </c>
      <c r="U29" t="n">
        <v>20</v>
      </c>
      <c r="V29" s="237" t="n">
        <v>2.2</v>
      </c>
      <c r="W29" s="237" t="n">
        <v>2.2</v>
      </c>
      <c r="X29" s="208" t="n">
        <v>11</v>
      </c>
      <c r="Y29" s="251" t="n">
        <v>13.2</v>
      </c>
      <c r="Z29" s="251" t="n">
        <v>13.2</v>
      </c>
      <c r="AA29" s="35" t="n">
        <v>44696</v>
      </c>
      <c r="AB29" s="27" t="n"/>
      <c r="AC29" s="27" t="n"/>
      <c r="AD29" s="210" t="n">
        <v>11</v>
      </c>
      <c r="AE29" s="237" t="n">
        <v>0</v>
      </c>
      <c r="AF29" t="b">
        <v>0</v>
      </c>
      <c r="AG29" s="228" t="n">
        <v>-11</v>
      </c>
    </row>
    <row r="30">
      <c r="A30">
        <f>I30&amp;"-"&amp;J30</f>
        <v/>
      </c>
      <c r="B30" s="1">
        <f>N30</f>
        <v/>
      </c>
      <c r="C30">
        <f>M30&amp;"/"&amp;O30</f>
        <v/>
      </c>
      <c r="D30">
        <f>K30</f>
        <v/>
      </c>
      <c r="E30">
        <f>L30</f>
        <v/>
      </c>
      <c r="F30" s="236">
        <f>Z30</f>
        <v/>
      </c>
      <c r="G30">
        <f>U30&amp;"%"</f>
        <v/>
      </c>
      <c r="I30" s="53" t="n">
        <v>2022</v>
      </c>
      <c r="J30" s="53" t="n">
        <v>29</v>
      </c>
      <c r="K30" s="71" t="inlineStr">
        <is>
          <t>Ausgaben</t>
        </is>
      </c>
      <c r="L30" t="inlineStr">
        <is>
          <t>sonstige Betriebsausgaben</t>
        </is>
      </c>
      <c r="M30" s="9" t="inlineStr">
        <is>
          <t>R00014950471</t>
        </is>
      </c>
      <c r="N30" s="1" t="n">
        <v>44603</v>
      </c>
      <c r="O30" t="inlineStr">
        <is>
          <t>Hetzner Online GmbH</t>
        </is>
      </c>
      <c r="Q30" s="76" t="n"/>
      <c r="R30" t="b">
        <v>0</v>
      </c>
      <c r="S30" s="214" t="n">
        <v>47.7765</v>
      </c>
      <c r="T30" s="159" t="n">
        <v>1</v>
      </c>
      <c r="U30" t="n">
        <v>0</v>
      </c>
      <c r="V30" s="237" t="n">
        <v>0</v>
      </c>
      <c r="W30" s="237" t="n">
        <v>0</v>
      </c>
      <c r="X30" s="208" t="n">
        <v>47.7765</v>
      </c>
      <c r="Y30" s="251" t="n">
        <v>47.7765</v>
      </c>
      <c r="Z30" s="251" t="n">
        <v>47.7765</v>
      </c>
      <c r="AA30" s="35" t="n">
        <v>44696</v>
      </c>
      <c r="AB30" s="27" t="n"/>
      <c r="AC30" s="27" t="n">
        <v>20</v>
      </c>
      <c r="AD30" s="210" t="n">
        <v>47.7765</v>
      </c>
      <c r="AE30" s="237" t="n">
        <v>9.555300000000001</v>
      </c>
      <c r="AF30" t="b">
        <v>0</v>
      </c>
      <c r="AG30" s="228" t="n">
        <v>-47.7765</v>
      </c>
    </row>
    <row r="31">
      <c r="A31">
        <f>I31&amp;"-"&amp;J31</f>
        <v/>
      </c>
      <c r="B31" s="1">
        <f>N31</f>
        <v/>
      </c>
      <c r="C31">
        <f>M31&amp;"/"&amp;O31</f>
        <v/>
      </c>
      <c r="D31">
        <f>K31</f>
        <v/>
      </c>
      <c r="E31">
        <f>L31</f>
        <v/>
      </c>
      <c r="F31" s="236">
        <f>Z31</f>
        <v/>
      </c>
      <c r="G31">
        <f>U31&amp;"%"</f>
        <v/>
      </c>
      <c r="I31" s="53" t="n">
        <v>2022</v>
      </c>
      <c r="J31" s="53" t="n">
        <v>30</v>
      </c>
      <c r="K31" s="71" t="inlineStr">
        <is>
          <t>Einnahmen</t>
        </is>
      </c>
      <c r="L31" t="inlineStr">
        <is>
          <t>Waren-/Leistungserlöse</t>
        </is>
      </c>
      <c r="M31" s="9" t="inlineStr">
        <is>
          <t>12022002</t>
        </is>
      </c>
      <c r="N31" s="1" t="n">
        <v>44608</v>
      </c>
      <c r="O31" t="inlineStr">
        <is>
          <t>DCF - Digital Coding Factory GmbH, Bauernfeldgasse 4/12 1090 Wien</t>
        </is>
      </c>
      <c r="Q31" s="76" t="n"/>
      <c r="R31" t="b">
        <v>0</v>
      </c>
      <c r="S31" s="214" t="n">
        <v>2.49</v>
      </c>
      <c r="T31" s="159" t="n">
        <v>1</v>
      </c>
      <c r="U31" t="n">
        <v>20</v>
      </c>
      <c r="V31" s="237" t="n">
        <v>0.4980000000000001</v>
      </c>
      <c r="W31" s="237" t="n">
        <v>0.4980000000000001</v>
      </c>
      <c r="X31" s="208" t="n">
        <v>2.49</v>
      </c>
      <c r="Y31" s="251" t="n">
        <v>2.988</v>
      </c>
      <c r="Z31" s="251" t="n">
        <v>2.988</v>
      </c>
      <c r="AA31" s="35" t="n">
        <v>44696</v>
      </c>
      <c r="AB31" s="27" t="n"/>
      <c r="AC31" s="27" t="n"/>
      <c r="AD31" s="210" t="n">
        <v>2.49</v>
      </c>
      <c r="AE31" s="237" t="n">
        <v>0</v>
      </c>
      <c r="AF31" t="b">
        <v>0</v>
      </c>
      <c r="AG31" s="228" t="n">
        <v>2.49</v>
      </c>
    </row>
    <row r="32">
      <c r="A32">
        <f>I32&amp;"-"&amp;J32</f>
        <v/>
      </c>
      <c r="B32" s="1">
        <f>N32</f>
        <v/>
      </c>
      <c r="C32">
        <f>M32&amp;"/"&amp;O32</f>
        <v/>
      </c>
      <c r="D32">
        <f>K32</f>
        <v/>
      </c>
      <c r="E32">
        <f>L32</f>
        <v/>
      </c>
      <c r="F32" s="236">
        <f>Z32</f>
        <v/>
      </c>
      <c r="G32">
        <f>U32&amp;"%"</f>
        <v/>
      </c>
      <c r="I32" s="53" t="n">
        <v>2022</v>
      </c>
      <c r="J32" s="53" t="n">
        <v>31</v>
      </c>
      <c r="K32" s="71" t="inlineStr">
        <is>
          <t>Ausgaben</t>
        </is>
      </c>
      <c r="L32" t="inlineStr">
        <is>
          <t>sonstige Betriebsausgaben</t>
        </is>
      </c>
      <c r="M32" s="6" t="inlineStr">
        <is>
          <t>E0600HALL6</t>
        </is>
      </c>
      <c r="N32" s="1" t="n">
        <v>44613</v>
      </c>
      <c r="O32" t="inlineStr">
        <is>
          <t>Microsoft Ireland Operations Ltd. One Microsoft Place, South County, Business Park, Leopardstown, Dublin 18, D18 P521, Ireland</t>
        </is>
      </c>
      <c r="Q32" s="76" t="n"/>
      <c r="R32" t="b">
        <v>0</v>
      </c>
      <c r="S32" s="214" t="n">
        <v>10.5</v>
      </c>
      <c r="T32" s="159" t="n">
        <v>1</v>
      </c>
      <c r="U32" t="n">
        <v>0</v>
      </c>
      <c r="V32" s="237" t="n">
        <v>0</v>
      </c>
      <c r="W32" s="237" t="n">
        <v>0</v>
      </c>
      <c r="X32" s="208" t="n">
        <v>10.5</v>
      </c>
      <c r="Y32" s="251" t="n">
        <v>10.5</v>
      </c>
      <c r="Z32" s="251" t="n">
        <v>10.5</v>
      </c>
      <c r="AA32" s="35" t="n">
        <v>44696</v>
      </c>
      <c r="AB32" s="27" t="n"/>
      <c r="AC32" s="27" t="n">
        <v>20</v>
      </c>
      <c r="AD32" s="210" t="n">
        <v>10.5</v>
      </c>
      <c r="AE32" s="237" t="n">
        <v>2.1</v>
      </c>
      <c r="AF32" t="b">
        <v>0</v>
      </c>
      <c r="AG32" s="228" t="n">
        <v>-10.5</v>
      </c>
    </row>
    <row r="33">
      <c r="A33">
        <f>I33&amp;"-"&amp;J33</f>
        <v/>
      </c>
      <c r="B33" s="1">
        <f>N33</f>
        <v/>
      </c>
      <c r="C33">
        <f>M33&amp;"/"&amp;O33</f>
        <v/>
      </c>
      <c r="D33">
        <f>K33</f>
        <v/>
      </c>
      <c r="E33">
        <f>L33</f>
        <v/>
      </c>
      <c r="F33" s="236">
        <f>Z33</f>
        <v/>
      </c>
      <c r="G33">
        <f>U33&amp;"%"</f>
        <v/>
      </c>
      <c r="I33" s="53" t="n">
        <v>2022</v>
      </c>
      <c r="J33" s="53" t="n">
        <v>32</v>
      </c>
      <c r="K33" s="71" t="inlineStr">
        <is>
          <t>Ausgaben</t>
        </is>
      </c>
      <c r="L33" t="inlineStr">
        <is>
          <t>Telefon/Internet</t>
        </is>
      </c>
      <c r="M33" s="131" t="inlineStr">
        <is>
          <t>901188460222</t>
        </is>
      </c>
      <c r="N33" s="1" t="n">
        <v>44613</v>
      </c>
      <c r="O33" t="inlineStr">
        <is>
          <t>Magenta: T-Mobile Austria GmbH, A-1120 Wien, PF 47</t>
        </is>
      </c>
      <c r="Q33" s="76" t="n"/>
      <c r="R33" t="b">
        <v>0</v>
      </c>
      <c r="S33" s="214" t="n">
        <v>31.92</v>
      </c>
      <c r="T33" s="159" t="n">
        <v>1</v>
      </c>
      <c r="U33" t="n">
        <v>20</v>
      </c>
      <c r="V33" s="237" t="n">
        <v>6.384000000000001</v>
      </c>
      <c r="W33" s="237" t="n">
        <v>6.384000000000001</v>
      </c>
      <c r="X33" s="208" t="n">
        <v>31.92</v>
      </c>
      <c r="Y33" s="251" t="n">
        <v>38.304</v>
      </c>
      <c r="Z33" s="251" t="n">
        <v>38.304</v>
      </c>
      <c r="AA33" s="35" t="n">
        <v>44696</v>
      </c>
      <c r="AB33" s="27" t="n"/>
      <c r="AC33" s="27" t="n"/>
      <c r="AD33" s="210" t="n">
        <v>31.92</v>
      </c>
      <c r="AE33" s="237" t="n">
        <v>0</v>
      </c>
      <c r="AF33" t="b">
        <v>0</v>
      </c>
      <c r="AG33" s="228" t="n">
        <v>-31.92</v>
      </c>
    </row>
    <row r="34">
      <c r="A34">
        <f>I34&amp;"-"&amp;J34</f>
        <v/>
      </c>
      <c r="B34" s="1">
        <f>N34</f>
        <v/>
      </c>
      <c r="C34">
        <f>M34&amp;"/"&amp;O34</f>
        <v/>
      </c>
      <c r="D34">
        <f>K34</f>
        <v/>
      </c>
      <c r="E34">
        <f>L34</f>
        <v/>
      </c>
      <c r="F34" s="236">
        <f>Z34</f>
        <v/>
      </c>
      <c r="G34">
        <f>U34&amp;"%"</f>
        <v/>
      </c>
      <c r="I34" s="53" t="n">
        <v>2022</v>
      </c>
      <c r="J34" s="53" t="n">
        <v>33</v>
      </c>
      <c r="K34" s="71" t="inlineStr">
        <is>
          <t>Ausgaben</t>
        </is>
      </c>
      <c r="L34" t="inlineStr">
        <is>
          <t>Pflichversicherungsbeiträge</t>
        </is>
      </c>
      <c r="M34" s="9" t="n">
        <v>11561270283</v>
      </c>
      <c r="N34" s="1" t="n">
        <v>44615</v>
      </c>
      <c r="O34" t="inlineStr">
        <is>
          <t>Sozialversicherung der gewerblichen Wirtshaft</t>
        </is>
      </c>
      <c r="Q34" s="76" t="n"/>
      <c r="R34" t="b">
        <v>0</v>
      </c>
      <c r="S34" s="214" t="n">
        <v>1191.6</v>
      </c>
      <c r="T34" s="159" t="n">
        <v>1</v>
      </c>
      <c r="U34" t="n">
        <v>0</v>
      </c>
      <c r="V34" s="237" t="n">
        <v>0</v>
      </c>
      <c r="W34" s="237" t="n">
        <v>0</v>
      </c>
      <c r="X34" s="208" t="n">
        <v>1191.6</v>
      </c>
      <c r="Y34" s="251" t="n">
        <v>1191.6</v>
      </c>
      <c r="Z34" s="251" t="n">
        <v>1191.6</v>
      </c>
      <c r="AA34" s="35" t="n">
        <v>44696</v>
      </c>
      <c r="AB34" s="27" t="n"/>
      <c r="AC34" s="27" t="n"/>
      <c r="AD34" s="210" t="n">
        <v>1191.6</v>
      </c>
      <c r="AE34" s="237" t="n">
        <v>0</v>
      </c>
      <c r="AF34" t="b">
        <v>0</v>
      </c>
      <c r="AG34" s="228" t="n">
        <v>-1191.6</v>
      </c>
    </row>
    <row r="35">
      <c r="A35">
        <f>I35&amp;"-"&amp;J35</f>
        <v/>
      </c>
      <c r="B35" s="1">
        <f>N35</f>
        <v/>
      </c>
      <c r="C35">
        <f>M35&amp;"/"&amp;O35</f>
        <v/>
      </c>
      <c r="D35">
        <f>K35</f>
        <v/>
      </c>
      <c r="E35">
        <f>L35</f>
        <v/>
      </c>
      <c r="F35" s="236">
        <f>Z35</f>
        <v/>
      </c>
      <c r="G35">
        <f>U35&amp;"%"</f>
        <v/>
      </c>
      <c r="I35" s="53" t="n">
        <v>2022</v>
      </c>
      <c r="J35" s="53" t="n">
        <v>34</v>
      </c>
      <c r="K35" s="71" t="inlineStr">
        <is>
          <t>Ausgaben</t>
        </is>
      </c>
      <c r="L35" t="inlineStr">
        <is>
          <t>Waren, Rohstoffe, Hilfsstoffe</t>
        </is>
      </c>
      <c r="M35" s="61" t="inlineStr">
        <is>
          <t>BELEG FEHLT</t>
        </is>
      </c>
      <c r="N35" s="1" t="n">
        <v>44615</v>
      </c>
      <c r="O35" t="inlineStr">
        <is>
          <t>Lemon Technologies GmbH, Unterweißenbach 181, 7330 Feldbach: Bildschirm</t>
        </is>
      </c>
      <c r="Q35" s="76" t="n"/>
      <c r="R35" t="b">
        <v>0</v>
      </c>
      <c r="S35" s="233" t="n">
        <v>562.425</v>
      </c>
      <c r="T35" s="159" t="n">
        <v>1</v>
      </c>
      <c r="U35" t="n">
        <v>20</v>
      </c>
      <c r="V35" s="237" t="n">
        <v>112.485</v>
      </c>
      <c r="W35" s="237" t="n">
        <v>112.485</v>
      </c>
      <c r="X35" s="208" t="n">
        <v>562.425</v>
      </c>
      <c r="Y35" s="251" t="n">
        <v>674.91</v>
      </c>
      <c r="Z35" s="251" t="n">
        <v>674.91</v>
      </c>
      <c r="AA35" s="35" t="n">
        <v>44696</v>
      </c>
      <c r="AB35" s="27" t="n"/>
      <c r="AC35" s="27" t="n"/>
      <c r="AD35" s="210" t="n">
        <v>562.425</v>
      </c>
      <c r="AE35" s="237" t="n">
        <v>0</v>
      </c>
      <c r="AF35" t="b">
        <v>0</v>
      </c>
      <c r="AG35" s="228" t="n">
        <v>-562.425</v>
      </c>
    </row>
    <row r="36">
      <c r="A36">
        <f>I36&amp;"-"&amp;J36</f>
        <v/>
      </c>
      <c r="B36" s="1">
        <f>N36</f>
        <v/>
      </c>
      <c r="C36">
        <f>M36&amp;"/"&amp;O36</f>
        <v/>
      </c>
      <c r="D36">
        <f>K36</f>
        <v/>
      </c>
      <c r="E36">
        <f>L36</f>
        <v/>
      </c>
      <c r="F36" s="236">
        <f>Z36</f>
        <v/>
      </c>
      <c r="G36">
        <f>U36&amp;"%"</f>
        <v/>
      </c>
      <c r="I36" s="53" t="n">
        <v>2022</v>
      </c>
      <c r="J36" s="53" t="n">
        <v>35</v>
      </c>
      <c r="K36" s="71" t="inlineStr">
        <is>
          <t>Ausgaben</t>
        </is>
      </c>
      <c r="L36" t="inlineStr">
        <is>
          <t>sonstige Betriebsausgaben</t>
        </is>
      </c>
      <c r="M36" s="139" t="inlineStr">
        <is>
          <t>R22339190</t>
        </is>
      </c>
      <c r="N36" s="1" t="n">
        <v>44619</v>
      </c>
      <c r="O36" t="inlineStr">
        <is>
          <t>e-tec electronic GmbH, Atterseestra0e 121, 4850 Timelkam</t>
        </is>
      </c>
      <c r="Q36" s="76" t="n"/>
      <c r="R36" t="b">
        <v>0</v>
      </c>
      <c r="S36" s="233" t="n">
        <v>741.9583333333334</v>
      </c>
      <c r="T36" s="159" t="n">
        <v>1</v>
      </c>
      <c r="U36" t="n">
        <v>20</v>
      </c>
      <c r="V36" s="237" t="n">
        <v>148.3916666666667</v>
      </c>
      <c r="W36" s="237" t="n">
        <v>148.3916666666667</v>
      </c>
      <c r="X36" s="208" t="n">
        <v>741.9583333333334</v>
      </c>
      <c r="Y36" s="251" t="n">
        <v>890.35</v>
      </c>
      <c r="Z36" s="251" t="n">
        <v>890.35</v>
      </c>
      <c r="AA36" s="35" t="n">
        <v>44696</v>
      </c>
      <c r="AB36" s="27" t="n"/>
      <c r="AC36" s="27" t="n"/>
      <c r="AD36" s="210" t="n">
        <v>741.9583333333334</v>
      </c>
      <c r="AE36" s="237" t="n">
        <v>0</v>
      </c>
      <c r="AF36" t="b">
        <v>0</v>
      </c>
      <c r="AG36" s="228" t="n">
        <v>-741.9583333333334</v>
      </c>
    </row>
    <row r="37">
      <c r="A37">
        <f>I37&amp;"-"&amp;J37</f>
        <v/>
      </c>
      <c r="B37" s="1">
        <f>N37</f>
        <v/>
      </c>
      <c r="C37">
        <f>M37&amp;"/"&amp;O37</f>
        <v/>
      </c>
      <c r="D37">
        <f>K37</f>
        <v/>
      </c>
      <c r="E37">
        <f>L37</f>
        <v/>
      </c>
      <c r="F37" s="236">
        <f>Z37</f>
        <v/>
      </c>
      <c r="G37">
        <f>U37&amp;"%"</f>
        <v/>
      </c>
      <c r="I37" s="53" t="n">
        <v>2022</v>
      </c>
      <c r="J37" s="53" t="n">
        <v>36</v>
      </c>
      <c r="K37" s="71" t="inlineStr">
        <is>
          <t>Ausgaben</t>
        </is>
      </c>
      <c r="L37" t="inlineStr">
        <is>
          <t>Miet- und Pachtaufwand, Leasing</t>
        </is>
      </c>
      <c r="M37" s="9" t="n"/>
      <c r="N37" s="1" t="n">
        <v>44621</v>
      </c>
      <c r="O37" t="inlineStr">
        <is>
          <t>Bontus Immobilienverwaltung GmbH, 1010 Wien, Franz Josefs Kai 65</t>
        </is>
      </c>
      <c r="Q37" s="76" t="n"/>
      <c r="R37" t="b">
        <v>0</v>
      </c>
      <c r="S37" s="214" t="n">
        <v>478.6916666666667</v>
      </c>
      <c r="T37" s="159" t="n">
        <v>1</v>
      </c>
      <c r="U37" t="n">
        <v>20</v>
      </c>
      <c r="V37" s="237" t="n">
        <v>95.73833333333334</v>
      </c>
      <c r="W37" s="237" t="n">
        <v>95.73833333333334</v>
      </c>
      <c r="X37" s="208" t="n">
        <v>478.6916666666667</v>
      </c>
      <c r="Y37" s="251" t="n">
        <v>574.4300000000001</v>
      </c>
      <c r="Z37" s="251" t="n">
        <v>574.4300000000001</v>
      </c>
      <c r="AA37" s="35" t="n">
        <v>44696</v>
      </c>
      <c r="AB37" s="27" t="n"/>
      <c r="AC37" s="27" t="n"/>
      <c r="AD37" s="210" t="n">
        <v>478.6916666666667</v>
      </c>
      <c r="AE37" s="237" t="n">
        <v>0</v>
      </c>
      <c r="AF37" t="b">
        <v>0</v>
      </c>
      <c r="AG37" s="228" t="n">
        <v>-478.6916666666667</v>
      </c>
    </row>
    <row r="38">
      <c r="A38">
        <f>I38&amp;"-"&amp;J38</f>
        <v/>
      </c>
      <c r="B38" s="1">
        <f>N38</f>
        <v/>
      </c>
      <c r="C38">
        <f>M38&amp;"/"&amp;O38</f>
        <v/>
      </c>
      <c r="D38">
        <f>K38</f>
        <v/>
      </c>
      <c r="E38">
        <f>L38</f>
        <v/>
      </c>
      <c r="F38" s="236">
        <f>Z38</f>
        <v/>
      </c>
      <c r="G38">
        <f>U38&amp;"%"</f>
        <v/>
      </c>
      <c r="I38" s="53" t="n">
        <v>2022</v>
      </c>
      <c r="J38" s="53" t="n">
        <v>37</v>
      </c>
      <c r="K38" s="71" t="inlineStr">
        <is>
          <t>Ausgaben</t>
        </is>
      </c>
      <c r="L38" t="inlineStr">
        <is>
          <t>Reise- und Fahrtspesen inkl. Kilometergeld und Diäten</t>
        </is>
      </c>
      <c r="M38" s="131" t="inlineStr">
        <is>
          <t>4293000000024831</t>
        </is>
      </c>
      <c r="N38" s="1" t="n">
        <v>44622</v>
      </c>
      <c r="O38" t="inlineStr">
        <is>
          <t>car2go Österreich GmbH, Hintere Zollamtstraße 9, 1030 Wien</t>
        </is>
      </c>
      <c r="Q38" s="76" t="n"/>
      <c r="R38" t="b">
        <v>0</v>
      </c>
      <c r="S38" s="214" t="n">
        <v>44.38</v>
      </c>
      <c r="T38" s="159" t="n">
        <v>1</v>
      </c>
      <c r="U38" t="n">
        <v>20</v>
      </c>
      <c r="V38" s="237" t="n">
        <v>8.875999999999999</v>
      </c>
      <c r="W38" s="237" t="n">
        <v>8.875999999999999</v>
      </c>
      <c r="X38" s="208" t="n">
        <v>44.38</v>
      </c>
      <c r="Y38" s="251" t="n">
        <v>53.256</v>
      </c>
      <c r="Z38" s="251" t="n">
        <v>53.256</v>
      </c>
      <c r="AA38" s="35" t="n">
        <v>44696</v>
      </c>
      <c r="AB38" s="27" t="n"/>
      <c r="AC38" s="27" t="n"/>
      <c r="AD38" s="210" t="n">
        <v>44.38</v>
      </c>
      <c r="AE38" s="237" t="n">
        <v>0</v>
      </c>
      <c r="AF38" t="b">
        <v>0</v>
      </c>
      <c r="AG38" s="228" t="n">
        <v>-44.38</v>
      </c>
    </row>
    <row r="39">
      <c r="A39">
        <f>I39&amp;"-"&amp;J39</f>
        <v/>
      </c>
      <c r="B39" s="1">
        <f>N39</f>
        <v/>
      </c>
      <c r="C39">
        <f>M39&amp;"/"&amp;O39</f>
        <v/>
      </c>
      <c r="D39">
        <f>K39</f>
        <v/>
      </c>
      <c r="E39">
        <f>L39</f>
        <v/>
      </c>
      <c r="F39" s="236">
        <f>Z39</f>
        <v/>
      </c>
      <c r="G39">
        <f>U39&amp;"%"</f>
        <v/>
      </c>
      <c r="I39" s="53" t="n">
        <v>2022</v>
      </c>
      <c r="J39" s="53" t="n">
        <v>38</v>
      </c>
      <c r="K39" s="71" t="inlineStr">
        <is>
          <t>Ausgaben</t>
        </is>
      </c>
      <c r="L39" t="inlineStr">
        <is>
          <t>sonstige Betriebsausgaben</t>
        </is>
      </c>
      <c r="M39" s="153" t="inlineStr">
        <is>
          <t>siehe Jahresabrechnung</t>
        </is>
      </c>
      <c r="N39" s="1" t="n">
        <v>44623</v>
      </c>
      <c r="O39" t="inlineStr">
        <is>
          <t>easy green energy GmbH &amp; Co KG</t>
        </is>
      </c>
      <c r="Q39" s="76" t="n"/>
      <c r="R39" t="b">
        <v>0</v>
      </c>
      <c r="S39" s="233" t="n">
        <v>2.5</v>
      </c>
      <c r="T39" s="159" t="n">
        <v>1</v>
      </c>
      <c r="U39" t="n">
        <v>20</v>
      </c>
      <c r="V39" s="237" t="n">
        <v>0.5</v>
      </c>
      <c r="W39" s="237" t="n">
        <v>0.5</v>
      </c>
      <c r="X39" s="208" t="n">
        <v>2.5</v>
      </c>
      <c r="Y39" s="251" t="n">
        <v>3</v>
      </c>
      <c r="Z39" s="251" t="n">
        <v>3</v>
      </c>
      <c r="AA39" s="35" t="n">
        <v>44696</v>
      </c>
      <c r="AB39" s="27" t="n"/>
      <c r="AC39" s="27" t="n"/>
      <c r="AD39" s="210" t="n">
        <v>2.5</v>
      </c>
      <c r="AE39" s="237" t="n">
        <v>0</v>
      </c>
      <c r="AF39" t="b">
        <v>0</v>
      </c>
      <c r="AG39" s="228" t="n">
        <v>-2.5</v>
      </c>
    </row>
    <row r="40">
      <c r="A40">
        <f>I40&amp;"-"&amp;J40</f>
        <v/>
      </c>
      <c r="B40" s="1">
        <f>N40</f>
        <v/>
      </c>
      <c r="C40">
        <f>M40&amp;"/"&amp;O40</f>
        <v/>
      </c>
      <c r="D40">
        <f>K40</f>
        <v/>
      </c>
      <c r="E40">
        <f>L40</f>
        <v/>
      </c>
      <c r="F40" s="236">
        <f>Z40</f>
        <v/>
      </c>
      <c r="G40">
        <f>U40&amp;"%"</f>
        <v/>
      </c>
      <c r="I40" s="53" t="n">
        <v>2022</v>
      </c>
      <c r="J40" s="53" t="n">
        <v>39</v>
      </c>
      <c r="K40" s="71" t="inlineStr">
        <is>
          <t>Ausgaben</t>
        </is>
      </c>
      <c r="L40" t="inlineStr">
        <is>
          <t>sonstige Betriebsausgaben</t>
        </is>
      </c>
      <c r="M40" s="9" t="inlineStr">
        <is>
          <t>4076656399</t>
        </is>
      </c>
      <c r="N40" s="1" t="n">
        <v>44623</v>
      </c>
      <c r="O40" t="inlineStr">
        <is>
          <t>Google Ireland Ltd, Gordon House, Barrow Street, Dublin 4, Ireland; VAT number: IE 6388047V</t>
        </is>
      </c>
      <c r="Q40" s="76" t="n"/>
      <c r="R40" t="b">
        <v>0</v>
      </c>
      <c r="S40" s="214" t="n">
        <v>10.4</v>
      </c>
      <c r="T40" s="159" t="n">
        <v>1</v>
      </c>
      <c r="U40" t="n">
        <v>0</v>
      </c>
      <c r="V40" s="237" t="n">
        <v>0</v>
      </c>
      <c r="W40" s="237" t="n">
        <v>0</v>
      </c>
      <c r="X40" s="208" t="n">
        <v>10.4</v>
      </c>
      <c r="Y40" s="251" t="n">
        <v>10.4</v>
      </c>
      <c r="Z40" s="251" t="n">
        <v>10.4</v>
      </c>
      <c r="AA40" s="35" t="n">
        <v>44696</v>
      </c>
      <c r="AB40" s="27" t="n"/>
      <c r="AC40" s="27" t="n">
        <v>20</v>
      </c>
      <c r="AD40" s="210" t="n">
        <v>10.4</v>
      </c>
      <c r="AE40" s="237" t="n">
        <v>2.08</v>
      </c>
      <c r="AF40" t="b">
        <v>0</v>
      </c>
      <c r="AG40" s="228" t="n">
        <v>-10.4</v>
      </c>
    </row>
    <row r="41">
      <c r="A41">
        <f>I41&amp;"-"&amp;J41</f>
        <v/>
      </c>
      <c r="B41" s="1">
        <f>N41</f>
        <v/>
      </c>
      <c r="C41">
        <f>M41&amp;"/"&amp;O41</f>
        <v/>
      </c>
      <c r="D41">
        <f>K41</f>
        <v/>
      </c>
      <c r="E41">
        <f>L41</f>
        <v/>
      </c>
      <c r="F41" s="236">
        <f>Z41</f>
        <v/>
      </c>
      <c r="G41">
        <f>U41&amp;"%"</f>
        <v/>
      </c>
      <c r="I41" s="53" t="n">
        <v>2022</v>
      </c>
      <c r="J41" s="53" t="n">
        <v>40</v>
      </c>
      <c r="K41" s="71" t="inlineStr">
        <is>
          <t>Ausgaben</t>
        </is>
      </c>
      <c r="L41" t="inlineStr">
        <is>
          <t>Miet- und Pachtaufwand, Leasing</t>
        </is>
      </c>
      <c r="M41" s="139" t="inlineStr">
        <is>
          <t>HKA/20-01-58835</t>
        </is>
      </c>
      <c r="N41" s="1" t="n">
        <v>44624</v>
      </c>
      <c r="O41" t="inlineStr">
        <is>
          <t>Techem Messtechnik GmbH; Abnehmernummer 501686-0003-11-</t>
        </is>
      </c>
      <c r="Q41" s="76" t="n"/>
      <c r="R41" t="b">
        <v>0</v>
      </c>
      <c r="S41" s="214" t="n">
        <v>122.6</v>
      </c>
      <c r="T41" s="159" t="n">
        <v>1</v>
      </c>
      <c r="U41" t="n">
        <v>20</v>
      </c>
      <c r="V41" s="237" t="n">
        <v>24.52</v>
      </c>
      <c r="W41" s="237" t="n">
        <v>24.52</v>
      </c>
      <c r="X41" s="208" t="n">
        <v>122.6</v>
      </c>
      <c r="Y41" s="251" t="n">
        <v>147.12</v>
      </c>
      <c r="Z41" s="251" t="n">
        <v>147.12</v>
      </c>
      <c r="AA41" s="35" t="n">
        <v>44696</v>
      </c>
      <c r="AB41" s="27" t="n"/>
      <c r="AC41" s="27" t="n"/>
      <c r="AD41" s="210" t="n">
        <v>122.6</v>
      </c>
      <c r="AE41" s="237" t="n">
        <v>0</v>
      </c>
      <c r="AF41" t="b">
        <v>0</v>
      </c>
      <c r="AG41" s="228" t="n">
        <v>-122.6</v>
      </c>
    </row>
    <row r="42">
      <c r="A42">
        <f>I42&amp;"-"&amp;J42</f>
        <v/>
      </c>
      <c r="B42" s="1">
        <f>N42</f>
        <v/>
      </c>
      <c r="C42">
        <f>M42&amp;"/"&amp;O42</f>
        <v/>
      </c>
      <c r="D42">
        <f>K42</f>
        <v/>
      </c>
      <c r="E42">
        <f>L42</f>
        <v/>
      </c>
      <c r="F42" s="236">
        <f>Z42</f>
        <v/>
      </c>
      <c r="G42">
        <f>U42&amp;"%"</f>
        <v/>
      </c>
      <c r="I42" s="53" t="n">
        <v>2022</v>
      </c>
      <c r="J42" s="53" t="n">
        <v>41</v>
      </c>
      <c r="K42" s="71" t="inlineStr">
        <is>
          <t>Ausgaben</t>
        </is>
      </c>
      <c r="L42" t="inlineStr">
        <is>
          <t>sonstige Betriebsausgaben</t>
        </is>
      </c>
      <c r="M42" s="61" t="n"/>
      <c r="N42" s="1" t="n">
        <v>44625</v>
      </c>
      <c r="O42" t="inlineStr">
        <is>
          <t>Wirtschaftskammer Wien Grundumlagen, Straße der Wiener Wirtschaft 1, 1020 Wien: GU UBIT</t>
        </is>
      </c>
      <c r="Q42" s="76" t="n"/>
      <c r="R42" t="b">
        <v>0</v>
      </c>
      <c r="S42" s="214" t="n">
        <v>65</v>
      </c>
      <c r="T42" s="159" t="n">
        <v>1</v>
      </c>
      <c r="U42" t="n">
        <v>0</v>
      </c>
      <c r="V42" s="237" t="n">
        <v>0</v>
      </c>
      <c r="W42" s="237" t="n">
        <v>0</v>
      </c>
      <c r="X42" s="208" t="n">
        <v>65</v>
      </c>
      <c r="Y42" s="251" t="n">
        <v>65</v>
      </c>
      <c r="Z42" s="251" t="n">
        <v>65</v>
      </c>
      <c r="AA42" s="35" t="n">
        <v>44696</v>
      </c>
      <c r="AB42" s="27" t="n"/>
      <c r="AC42" s="27" t="n"/>
      <c r="AD42" s="210" t="n">
        <v>65</v>
      </c>
      <c r="AE42" s="237" t="n">
        <v>0</v>
      </c>
      <c r="AF42" t="b">
        <v>0</v>
      </c>
      <c r="AG42" s="228" t="n">
        <v>-65</v>
      </c>
    </row>
    <row r="43">
      <c r="A43">
        <f>I43&amp;"-"&amp;J43</f>
        <v/>
      </c>
      <c r="B43" s="1">
        <f>N43</f>
        <v/>
      </c>
      <c r="C43">
        <f>M43&amp;"/"&amp;O43</f>
        <v/>
      </c>
      <c r="D43">
        <f>K43</f>
        <v/>
      </c>
      <c r="E43">
        <f>L43</f>
        <v/>
      </c>
      <c r="F43" s="236">
        <f>Z43</f>
        <v/>
      </c>
      <c r="G43">
        <f>U43&amp;"%"</f>
        <v/>
      </c>
      <c r="I43" s="53" t="n">
        <v>2022</v>
      </c>
      <c r="J43" s="53" t="n">
        <v>42</v>
      </c>
      <c r="K43" s="71" t="inlineStr">
        <is>
          <t>Ausgaben</t>
        </is>
      </c>
      <c r="L43" t="inlineStr">
        <is>
          <t>Telefon/Internet</t>
        </is>
      </c>
      <c r="M43" s="9" t="n"/>
      <c r="N43" s="1" t="n">
        <v>44628</v>
      </c>
      <c r="O43" t="inlineStr">
        <is>
          <t>Hutchison Drei Austria GmbH, Brünner Straße 52, 1210 Wien, Österreich</t>
        </is>
      </c>
      <c r="Q43" s="76" t="n"/>
      <c r="R43" t="b">
        <v>0</v>
      </c>
      <c r="S43" s="214" t="n">
        <v>15</v>
      </c>
      <c r="T43" s="159" t="n">
        <v>1</v>
      </c>
      <c r="U43" t="n">
        <v>20</v>
      </c>
      <c r="V43" s="237" t="n">
        <v>3</v>
      </c>
      <c r="W43" s="237" t="n">
        <v>3</v>
      </c>
      <c r="X43" s="208" t="n">
        <v>15</v>
      </c>
      <c r="Y43" s="251" t="n">
        <v>18</v>
      </c>
      <c r="Z43" s="251" t="n">
        <v>18</v>
      </c>
      <c r="AA43" s="35" t="n">
        <v>44696</v>
      </c>
      <c r="AB43" s="27" t="n"/>
      <c r="AC43" s="27" t="n"/>
      <c r="AD43" s="210" t="n">
        <v>15</v>
      </c>
      <c r="AE43" s="237" t="n">
        <v>0</v>
      </c>
      <c r="AF43" t="b">
        <v>0</v>
      </c>
      <c r="AG43" s="228" t="n">
        <v>-15</v>
      </c>
    </row>
    <row r="44">
      <c r="A44">
        <f>I44&amp;"-"&amp;J44</f>
        <v/>
      </c>
      <c r="B44" s="1">
        <f>N44</f>
        <v/>
      </c>
      <c r="C44">
        <f>M44&amp;"/"&amp;O44</f>
        <v/>
      </c>
      <c r="D44">
        <f>K44</f>
        <v/>
      </c>
      <c r="E44">
        <f>L44</f>
        <v/>
      </c>
      <c r="F44" s="236">
        <f>Z44</f>
        <v/>
      </c>
      <c r="G44">
        <f>U44&amp;"%"</f>
        <v/>
      </c>
      <c r="I44" s="53" t="n">
        <v>2022</v>
      </c>
      <c r="J44" s="53" t="n">
        <v>43</v>
      </c>
      <c r="K44" s="71" t="inlineStr">
        <is>
          <t>Ausgaben</t>
        </is>
      </c>
      <c r="L44" t="inlineStr">
        <is>
          <t>sonstige Betriebsausgaben</t>
        </is>
      </c>
      <c r="M44" s="139" t="inlineStr">
        <is>
          <t>220008996902</t>
        </is>
      </c>
      <c r="N44" s="1" t="n">
        <v>44602</v>
      </c>
      <c r="O44" t="inlineStr">
        <is>
          <t>Wiener Netze GmbH, Erdbergstraße 236, 1110 Wien, Postfach 422; Jahresabrechnung vom 17.12.20: GUTSCHRIFT</t>
        </is>
      </c>
      <c r="Q44" s="76" t="n"/>
      <c r="R44" t="b">
        <v>0</v>
      </c>
      <c r="S44" s="214" t="n">
        <v>11</v>
      </c>
      <c r="T44" s="159" t="n">
        <v>1</v>
      </c>
      <c r="U44" t="n">
        <v>20</v>
      </c>
      <c r="V44" s="237" t="n">
        <v>2.2</v>
      </c>
      <c r="W44" s="237" t="n">
        <v>2.2</v>
      </c>
      <c r="X44" s="208" t="n">
        <v>11</v>
      </c>
      <c r="Y44" s="251" t="n">
        <v>13.2</v>
      </c>
      <c r="Z44" s="251" t="n">
        <v>13.2</v>
      </c>
      <c r="AA44" s="35" t="n">
        <v>44696</v>
      </c>
      <c r="AB44" s="27" t="n"/>
      <c r="AC44" s="27" t="n"/>
      <c r="AD44" s="210" t="n">
        <v>11</v>
      </c>
      <c r="AE44" s="237" t="n">
        <v>0</v>
      </c>
      <c r="AF44" t="b">
        <v>0</v>
      </c>
      <c r="AG44" s="228" t="n">
        <v>-11</v>
      </c>
    </row>
    <row r="45">
      <c r="A45">
        <f>I45&amp;"-"&amp;J45</f>
        <v/>
      </c>
      <c r="B45" s="1">
        <f>N45</f>
        <v/>
      </c>
      <c r="C45">
        <f>M45&amp;"/"&amp;O45</f>
        <v/>
      </c>
      <c r="D45">
        <f>K45</f>
        <v/>
      </c>
      <c r="E45">
        <f>L45</f>
        <v/>
      </c>
      <c r="F45" s="236">
        <f>Z45</f>
        <v/>
      </c>
      <c r="G45">
        <f>U45&amp;"%"</f>
        <v/>
      </c>
      <c r="I45" s="53" t="n">
        <v>2022</v>
      </c>
      <c r="J45" s="53" t="n">
        <v>44</v>
      </c>
      <c r="K45" s="71" t="inlineStr">
        <is>
          <t>Ausgaben</t>
        </is>
      </c>
      <c r="L45" t="inlineStr">
        <is>
          <t>sonstige Betriebsausgaben</t>
        </is>
      </c>
      <c r="M45" s="9" t="n"/>
      <c r="N45" s="1" t="n">
        <v>44631</v>
      </c>
      <c r="O45" t="inlineStr">
        <is>
          <t>Hetzner Online GmbH</t>
        </is>
      </c>
      <c r="Q45" s="76" t="n"/>
      <c r="R45" t="b">
        <v>0</v>
      </c>
      <c r="S45" s="214" t="n">
        <v>47.7765</v>
      </c>
      <c r="T45" s="159" t="n">
        <v>1</v>
      </c>
      <c r="U45" t="n">
        <v>0</v>
      </c>
      <c r="V45" s="237" t="n">
        <v>0</v>
      </c>
      <c r="W45" s="237" t="n">
        <v>0</v>
      </c>
      <c r="X45" s="208" t="n">
        <v>47.7765</v>
      </c>
      <c r="Y45" s="251" t="n">
        <v>47.7765</v>
      </c>
      <c r="Z45" s="251" t="n">
        <v>47.7765</v>
      </c>
      <c r="AA45" s="35" t="n">
        <v>44696</v>
      </c>
      <c r="AB45" s="27" t="n"/>
      <c r="AC45" s="27" t="n">
        <v>20</v>
      </c>
      <c r="AD45" s="210" t="n">
        <v>47.7765</v>
      </c>
      <c r="AE45" s="237" t="n">
        <v>9.555300000000001</v>
      </c>
      <c r="AF45" t="b">
        <v>0</v>
      </c>
      <c r="AG45" s="228" t="n">
        <v>-47.7765</v>
      </c>
    </row>
    <row r="46">
      <c r="A46">
        <f>I46&amp;"-"&amp;J46</f>
        <v/>
      </c>
      <c r="B46" s="1">
        <f>N46</f>
        <v/>
      </c>
      <c r="C46">
        <f>M46&amp;"/"&amp;O46</f>
        <v/>
      </c>
      <c r="D46">
        <f>K46</f>
        <v/>
      </c>
      <c r="E46">
        <f>L46</f>
        <v/>
      </c>
      <c r="F46" s="236">
        <f>Z46</f>
        <v/>
      </c>
      <c r="G46">
        <f>U46&amp;"%"</f>
        <v/>
      </c>
      <c r="I46" s="53" t="n">
        <v>2022</v>
      </c>
      <c r="J46" s="53" t="n">
        <v>45</v>
      </c>
      <c r="K46" s="71" t="inlineStr">
        <is>
          <t>Einnahmen</t>
        </is>
      </c>
      <c r="L46" t="inlineStr">
        <is>
          <t>Waren-/Leistungserlöse</t>
        </is>
      </c>
      <c r="M46" t="n">
        <v>168041268</v>
      </c>
      <c r="N46" s="1" t="n">
        <v>44637</v>
      </c>
      <c r="O46" t="inlineStr">
        <is>
          <t>Hays Österreich GmbH, Bahnhof City Wien West , Europaplatz 3/5, 1150 Wien</t>
        </is>
      </c>
      <c r="Q46" s="76" t="n"/>
      <c r="R46" t="b">
        <v>0</v>
      </c>
      <c r="S46" s="214" t="n">
        <v>11890</v>
      </c>
      <c r="T46" s="159" t="n">
        <v>1</v>
      </c>
      <c r="U46" t="n">
        <v>20</v>
      </c>
      <c r="V46" s="237" t="n">
        <v>2378</v>
      </c>
      <c r="W46" s="237" t="n">
        <v>2378</v>
      </c>
      <c r="X46" s="208" t="n">
        <v>11890</v>
      </c>
      <c r="Y46" s="251" t="n">
        <v>14268</v>
      </c>
      <c r="Z46" s="251" t="n">
        <v>14268</v>
      </c>
      <c r="AA46" s="35" t="n">
        <v>44696</v>
      </c>
      <c r="AB46" s="27" t="n"/>
      <c r="AC46" s="27" t="n">
        <v>20</v>
      </c>
      <c r="AD46" s="210" t="n">
        <v>11890</v>
      </c>
      <c r="AE46" s="237" t="n">
        <v>2853.6</v>
      </c>
      <c r="AF46" t="b">
        <v>1</v>
      </c>
      <c r="AG46" s="228" t="n">
        <v>11890</v>
      </c>
    </row>
    <row r="47">
      <c r="A47">
        <f>I47&amp;"-"&amp;J47</f>
        <v/>
      </c>
      <c r="B47" s="1">
        <f>N47</f>
        <v/>
      </c>
      <c r="C47">
        <f>M47&amp;"/"&amp;O47</f>
        <v/>
      </c>
      <c r="D47">
        <f>K47</f>
        <v/>
      </c>
      <c r="E47">
        <f>L47</f>
        <v/>
      </c>
      <c r="F47" s="236">
        <f>Z47</f>
        <v/>
      </c>
      <c r="G47">
        <f>U47&amp;"%"</f>
        <v/>
      </c>
      <c r="I47" s="53" t="n">
        <v>2022</v>
      </c>
      <c r="J47" s="53" t="n">
        <v>46</v>
      </c>
      <c r="K47" s="71" t="inlineStr">
        <is>
          <t>Ausgaben</t>
        </is>
      </c>
      <c r="L47" t="inlineStr">
        <is>
          <t>sonstige Betriebsausgaben</t>
        </is>
      </c>
      <c r="M47" s="6" t="n"/>
      <c r="N47" s="1" t="n">
        <v>44641</v>
      </c>
      <c r="O47" t="inlineStr">
        <is>
          <t>Microsoft Ireland Operations Ltd. One Microsoft Place, South County, Business Park, Leopardstown, Dublin 18, D18 P521, Ireland</t>
        </is>
      </c>
      <c r="Q47" s="76" t="n"/>
      <c r="R47" t="b">
        <v>0</v>
      </c>
      <c r="S47" s="214" t="n">
        <v>10.5</v>
      </c>
      <c r="T47" s="159" t="n">
        <v>1</v>
      </c>
      <c r="U47" t="n">
        <v>0</v>
      </c>
      <c r="V47" s="237" t="n">
        <v>0</v>
      </c>
      <c r="W47" s="237" t="n">
        <v>0</v>
      </c>
      <c r="X47" s="208" t="n">
        <v>10.5</v>
      </c>
      <c r="Y47" s="251" t="n">
        <v>10.5</v>
      </c>
      <c r="Z47" s="251" t="n">
        <v>10.5</v>
      </c>
      <c r="AA47" s="35" t="n">
        <v>44696</v>
      </c>
      <c r="AB47" s="27" t="n"/>
      <c r="AC47" s="27" t="n">
        <v>20</v>
      </c>
      <c r="AD47" s="210" t="n">
        <v>10.5</v>
      </c>
      <c r="AE47" s="237" t="n">
        <v>2.1</v>
      </c>
      <c r="AF47" t="b">
        <v>0</v>
      </c>
      <c r="AG47" s="228" t="n">
        <v>-10.5</v>
      </c>
    </row>
    <row r="48">
      <c r="A48">
        <f>I48&amp;"-"&amp;J48</f>
        <v/>
      </c>
      <c r="B48" s="1">
        <f>N48</f>
        <v/>
      </c>
      <c r="C48">
        <f>M48&amp;"/"&amp;O48</f>
        <v/>
      </c>
      <c r="D48">
        <f>K48</f>
        <v/>
      </c>
      <c r="E48">
        <f>L48</f>
        <v/>
      </c>
      <c r="F48" s="236">
        <f>Z48</f>
        <v/>
      </c>
      <c r="G48">
        <f>U48&amp;"%"</f>
        <v/>
      </c>
      <c r="I48" s="53" t="n">
        <v>2022</v>
      </c>
      <c r="J48" s="53" t="n">
        <v>47</v>
      </c>
      <c r="K48" s="71" t="inlineStr">
        <is>
          <t>Ausgaben</t>
        </is>
      </c>
      <c r="L48" t="inlineStr">
        <is>
          <t>Telefon/Internet</t>
        </is>
      </c>
      <c r="M48" s="131" t="n"/>
      <c r="N48" s="1" t="n">
        <v>44641</v>
      </c>
      <c r="O48" t="inlineStr">
        <is>
          <t>Magenta: T-Mobile Austria GmbH, A-1120 Wien, PF 47</t>
        </is>
      </c>
      <c r="Q48" s="76" t="n"/>
      <c r="R48" t="b">
        <v>0</v>
      </c>
      <c r="S48" s="214" t="n">
        <v>31.92</v>
      </c>
      <c r="T48" s="159" t="n">
        <v>1</v>
      </c>
      <c r="U48" t="n">
        <v>20</v>
      </c>
      <c r="V48" s="237" t="n">
        <v>6.384000000000001</v>
      </c>
      <c r="W48" s="237" t="n">
        <v>6.384000000000001</v>
      </c>
      <c r="X48" s="208" t="n">
        <v>31.92</v>
      </c>
      <c r="Y48" s="251" t="n">
        <v>38.304</v>
      </c>
      <c r="Z48" s="251" t="n">
        <v>38.304</v>
      </c>
      <c r="AA48" s="35" t="n">
        <v>44696</v>
      </c>
      <c r="AB48" s="27" t="n"/>
      <c r="AC48" s="27" t="n"/>
      <c r="AD48" s="210" t="n">
        <v>31.92</v>
      </c>
      <c r="AE48" s="237" t="n">
        <v>0</v>
      </c>
      <c r="AF48" t="b">
        <v>0</v>
      </c>
      <c r="AG48" s="228" t="n">
        <v>-31.92</v>
      </c>
    </row>
    <row r="49">
      <c r="A49">
        <f>I49&amp;"-"&amp;J49</f>
        <v/>
      </c>
      <c r="B49" s="1">
        <f>N49</f>
        <v/>
      </c>
      <c r="C49">
        <f>M49&amp;"/"&amp;O49</f>
        <v/>
      </c>
      <c r="D49">
        <f>K49</f>
        <v/>
      </c>
      <c r="E49">
        <f>L49</f>
        <v/>
      </c>
      <c r="F49" s="236">
        <f>Z49</f>
        <v/>
      </c>
      <c r="G49">
        <f>U49&amp;"%"</f>
        <v/>
      </c>
      <c r="I49" s="53" t="n">
        <v>2022</v>
      </c>
      <c r="J49" s="53" t="n">
        <v>48</v>
      </c>
      <c r="K49" s="71" t="inlineStr">
        <is>
          <t>Ausgaben</t>
        </is>
      </c>
      <c r="L49" t="inlineStr">
        <is>
          <t>sonstige Betriebsausgaben</t>
        </is>
      </c>
      <c r="M49" s="9" t="n"/>
      <c r="N49" s="1" t="n">
        <v>44644</v>
      </c>
      <c r="O49" t="inlineStr">
        <is>
          <t>easyname GmbH, Fernkorngasse 10/3/501, A-1100 Wien</t>
        </is>
      </c>
      <c r="Q49" s="76" t="n"/>
      <c r="R49" t="b">
        <v>0</v>
      </c>
      <c r="S49" s="214" t="n">
        <v>15.75</v>
      </c>
      <c r="T49" s="159" t="n">
        <v>1</v>
      </c>
      <c r="U49" t="n">
        <v>20</v>
      </c>
      <c r="V49" s="237" t="n">
        <v>3.15</v>
      </c>
      <c r="W49" s="237" t="n">
        <v>3.15</v>
      </c>
      <c r="X49" s="208" t="n">
        <v>15.75</v>
      </c>
      <c r="Y49" s="251" t="n">
        <v>18.9</v>
      </c>
      <c r="Z49" s="251" t="n">
        <v>18.9</v>
      </c>
      <c r="AA49" s="35" t="n">
        <v>44696</v>
      </c>
      <c r="AB49" s="27" t="n"/>
      <c r="AC49" s="27" t="n"/>
      <c r="AD49" s="210" t="n">
        <v>15.75</v>
      </c>
      <c r="AE49" s="237" t="n">
        <v>0</v>
      </c>
      <c r="AF49" t="b">
        <v>0</v>
      </c>
      <c r="AG49" s="228" t="n">
        <v>-15.75</v>
      </c>
    </row>
    <row r="50">
      <c r="A50">
        <f>I50&amp;"-"&amp;J50</f>
        <v/>
      </c>
      <c r="B50" s="1">
        <f>N50</f>
        <v/>
      </c>
      <c r="C50">
        <f>M50&amp;"/"&amp;O50</f>
        <v/>
      </c>
      <c r="D50">
        <f>K50</f>
        <v/>
      </c>
      <c r="E50">
        <f>L50</f>
        <v/>
      </c>
      <c r="F50" s="236">
        <f>Z50</f>
        <v/>
      </c>
      <c r="G50">
        <f>U50&amp;"%"</f>
        <v/>
      </c>
      <c r="I50" s="53" t="n">
        <v>2022</v>
      </c>
      <c r="J50" s="53" t="n">
        <v>49</v>
      </c>
      <c r="K50" s="71" t="inlineStr">
        <is>
          <t>Ausgaben</t>
        </is>
      </c>
      <c r="L50" t="inlineStr">
        <is>
          <t>sonstige Betriebsausgaben</t>
        </is>
      </c>
      <c r="M50" s="9" t="inlineStr">
        <is>
          <t>2022121</t>
        </is>
      </c>
      <c r="N50" s="1" t="n">
        <v>44648</v>
      </c>
      <c r="O50" t="inlineStr">
        <is>
          <t>3W Steuerkanzlei, Roter Hof 1a, 1080 Wien</t>
        </is>
      </c>
      <c r="Q50" s="76" t="n"/>
      <c r="R50" t="b">
        <v>0</v>
      </c>
      <c r="S50" s="214" t="n">
        <v>527.5</v>
      </c>
      <c r="T50" s="159" t="n">
        <v>1</v>
      </c>
      <c r="U50" t="n">
        <v>20</v>
      </c>
      <c r="V50" s="237" t="n">
        <v>105.5</v>
      </c>
      <c r="W50" s="237" t="n">
        <v>105.5</v>
      </c>
      <c r="X50" s="208" t="n">
        <v>527.5</v>
      </c>
      <c r="Y50" s="251" t="n">
        <v>633</v>
      </c>
      <c r="Z50" s="251" t="n">
        <v>633</v>
      </c>
      <c r="AA50" s="35" t="n">
        <v>44696</v>
      </c>
      <c r="AB50" s="27" t="n"/>
      <c r="AC50" s="27" t="n"/>
      <c r="AD50" s="210" t="n">
        <v>527.5</v>
      </c>
      <c r="AE50" s="237" t="n">
        <v>0</v>
      </c>
      <c r="AF50" t="b">
        <v>0</v>
      </c>
      <c r="AG50" s="228" t="n">
        <v>-527.5</v>
      </c>
    </row>
    <row r="51">
      <c r="A51">
        <f>I51&amp;"-"&amp;J51</f>
        <v/>
      </c>
      <c r="B51" s="1">
        <f>N51</f>
        <v/>
      </c>
      <c r="C51">
        <f>M51&amp;"/"&amp;O51</f>
        <v/>
      </c>
      <c r="D51">
        <f>K51</f>
        <v/>
      </c>
      <c r="E51">
        <f>L51</f>
        <v/>
      </c>
      <c r="F51" s="236">
        <f>Z51</f>
        <v/>
      </c>
      <c r="G51">
        <f>U51&amp;"%"</f>
        <v/>
      </c>
      <c r="I51" s="53" t="n">
        <v>2022</v>
      </c>
      <c r="J51" s="53" t="n">
        <v>50</v>
      </c>
      <c r="K51" s="71" t="inlineStr">
        <is>
          <t>Ausgaben</t>
        </is>
      </c>
      <c r="L51" t="inlineStr">
        <is>
          <t>sonstige Betriebsausgaben</t>
        </is>
      </c>
      <c r="M51" s="9" t="inlineStr">
        <is>
          <t>2022120</t>
        </is>
      </c>
      <c r="N51" s="1" t="n">
        <v>44648</v>
      </c>
      <c r="O51" t="inlineStr">
        <is>
          <t>3W Steuerkanzlei, Roter Hof 1a, 1080 Wien</t>
        </is>
      </c>
      <c r="Q51" s="76" t="n"/>
      <c r="R51" t="b">
        <v>0</v>
      </c>
      <c r="S51" s="214" t="n">
        <v>457.5</v>
      </c>
      <c r="T51" s="159" t="n">
        <v>1</v>
      </c>
      <c r="U51" t="n">
        <v>20</v>
      </c>
      <c r="V51" s="237" t="n">
        <v>91.5</v>
      </c>
      <c r="W51" s="237" t="n">
        <v>91.5</v>
      </c>
      <c r="X51" s="208" t="n">
        <v>457.5</v>
      </c>
      <c r="Y51" s="251" t="n">
        <v>549</v>
      </c>
      <c r="Z51" s="251" t="n">
        <v>549</v>
      </c>
      <c r="AA51" s="35" t="n">
        <v>44696</v>
      </c>
      <c r="AB51" s="27" t="n"/>
      <c r="AC51" s="27" t="n"/>
      <c r="AD51" s="210" t="n">
        <v>457.5</v>
      </c>
      <c r="AE51" s="237" t="n">
        <v>0</v>
      </c>
      <c r="AF51" t="b">
        <v>0</v>
      </c>
      <c r="AG51" s="228" t="n">
        <v>-457.5</v>
      </c>
    </row>
    <row r="52">
      <c r="A52">
        <f>I52&amp;"-"&amp;J52</f>
        <v/>
      </c>
      <c r="B52" s="1">
        <f>N52</f>
        <v/>
      </c>
      <c r="C52">
        <f>M52&amp;"/"&amp;O52</f>
        <v/>
      </c>
      <c r="D52">
        <f>K52</f>
        <v/>
      </c>
      <c r="E52">
        <f>L52</f>
        <v/>
      </c>
      <c r="F52" s="236">
        <f>Z52</f>
        <v/>
      </c>
      <c r="G52">
        <f>U52&amp;"%"</f>
        <v/>
      </c>
      <c r="I52" s="53" t="n">
        <v>2022</v>
      </c>
      <c r="J52" s="53" t="n">
        <v>51</v>
      </c>
      <c r="K52" s="71" t="inlineStr">
        <is>
          <t>Einnahmen</t>
        </is>
      </c>
      <c r="L52" t="inlineStr">
        <is>
          <t>Waren-/Leistungserlöse</t>
        </is>
      </c>
      <c r="M52" s="6" t="n">
        <v>12022006</v>
      </c>
      <c r="N52" s="1" t="n">
        <v>44652</v>
      </c>
      <c r="O52" t="inlineStr">
        <is>
          <t>ZT DI Dr. Arno Kolbitsch, Gütleweg 1, 6822 Satteins</t>
        </is>
      </c>
      <c r="Q52" s="76" t="n"/>
      <c r="R52" t="b">
        <v>0</v>
      </c>
      <c r="S52" s="214" t="n">
        <v>2835.42</v>
      </c>
      <c r="T52" s="159" t="n">
        <v>1</v>
      </c>
      <c r="U52" t="n">
        <v>20</v>
      </c>
      <c r="V52" s="237" t="n">
        <v>567.0840000000001</v>
      </c>
      <c r="W52" s="237" t="n">
        <v>567.0840000000001</v>
      </c>
      <c r="X52" s="208" t="n">
        <v>2835.42</v>
      </c>
      <c r="Y52" s="251" t="n">
        <v>3402.504</v>
      </c>
      <c r="Z52" s="251" t="n">
        <v>3402.504</v>
      </c>
      <c r="AA52" s="35" t="n">
        <v>44788</v>
      </c>
      <c r="AB52" s="27" t="n"/>
      <c r="AC52" s="27" t="n"/>
      <c r="AD52" s="210" t="n">
        <v>2835.42</v>
      </c>
      <c r="AE52" s="237" t="n">
        <v>0</v>
      </c>
      <c r="AF52" t="b">
        <v>0</v>
      </c>
      <c r="AG52" s="228" t="n">
        <v>2835.42</v>
      </c>
    </row>
    <row r="53">
      <c r="A53">
        <f>I53&amp;"-"&amp;J53</f>
        <v/>
      </c>
      <c r="B53" s="1">
        <f>N53</f>
        <v/>
      </c>
      <c r="C53">
        <f>M53&amp;"/"&amp;O53</f>
        <v/>
      </c>
      <c r="D53">
        <f>K53</f>
        <v/>
      </c>
      <c r="E53">
        <f>L53</f>
        <v/>
      </c>
      <c r="F53" s="236">
        <f>Z53</f>
        <v/>
      </c>
      <c r="G53">
        <f>U53&amp;"%"</f>
        <v/>
      </c>
      <c r="I53" s="53" t="n">
        <v>2022</v>
      </c>
      <c r="J53" s="53" t="n">
        <v>52</v>
      </c>
      <c r="K53" s="71" t="inlineStr">
        <is>
          <t>Ausgaben</t>
        </is>
      </c>
      <c r="L53" t="inlineStr">
        <is>
          <t>Miet- und Pachtaufwand, Leasing</t>
        </is>
      </c>
      <c r="M53" s="9" t="n"/>
      <c r="N53" s="1" t="n">
        <v>44652</v>
      </c>
      <c r="O53" t="inlineStr">
        <is>
          <t>Bontus Immobilienverwaltung GmbH, 1010 Wien, Franz Josefs Kai 65</t>
        </is>
      </c>
      <c r="Q53" s="76" t="n"/>
      <c r="R53" t="b">
        <v>0</v>
      </c>
      <c r="S53" s="233" t="n">
        <v>478.6916666666667</v>
      </c>
      <c r="T53" s="159" t="n">
        <v>1</v>
      </c>
      <c r="U53" t="n">
        <v>20</v>
      </c>
      <c r="V53" s="237" t="n">
        <v>95.73833333333334</v>
      </c>
      <c r="W53" s="237" t="n">
        <v>95.73833333333334</v>
      </c>
      <c r="X53" s="208" t="n">
        <v>478.6916666666667</v>
      </c>
      <c r="Y53" s="251" t="n">
        <v>574.4300000000001</v>
      </c>
      <c r="Z53" s="251" t="n">
        <v>574.4300000000001</v>
      </c>
      <c r="AA53" s="35" t="n">
        <v>44788</v>
      </c>
      <c r="AB53" s="27" t="n"/>
      <c r="AC53" s="27" t="n"/>
      <c r="AD53" s="210" t="n">
        <v>478.6916666666667</v>
      </c>
      <c r="AE53" s="237" t="n">
        <v>0</v>
      </c>
      <c r="AF53" t="b">
        <v>0</v>
      </c>
      <c r="AG53" s="228" t="n">
        <v>-478.6916666666667</v>
      </c>
    </row>
    <row r="54">
      <c r="A54">
        <f>I54&amp;"-"&amp;J54</f>
        <v/>
      </c>
      <c r="B54" s="1">
        <f>N54</f>
        <v/>
      </c>
      <c r="C54">
        <f>M54&amp;"/"&amp;O54</f>
        <v/>
      </c>
      <c r="D54">
        <f>K54</f>
        <v/>
      </c>
      <c r="E54">
        <f>L54</f>
        <v/>
      </c>
      <c r="F54" s="236">
        <f>Z54</f>
        <v/>
      </c>
      <c r="G54">
        <f>U54&amp;"%"</f>
        <v/>
      </c>
      <c r="I54" s="53" t="n">
        <v>2022</v>
      </c>
      <c r="J54" s="53" t="n">
        <v>53</v>
      </c>
      <c r="K54" s="71" t="inlineStr">
        <is>
          <t>Ausgaben</t>
        </is>
      </c>
      <c r="L54" t="inlineStr">
        <is>
          <t>Telefon/Internet</t>
        </is>
      </c>
      <c r="M54" s="9" t="n"/>
      <c r="N54" s="1" t="n">
        <v>44652</v>
      </c>
      <c r="O54" t="inlineStr">
        <is>
          <t>Hutchison Drei Austria GmbH, Brünner Straße 52, 1210 Wien, Österreich</t>
        </is>
      </c>
      <c r="Q54" s="76" t="n"/>
      <c r="R54" t="b">
        <v>0</v>
      </c>
      <c r="S54" s="214" t="n">
        <v>15</v>
      </c>
      <c r="T54" s="159" t="n">
        <v>1</v>
      </c>
      <c r="U54" t="n">
        <v>20</v>
      </c>
      <c r="V54" s="237" t="n">
        <v>3</v>
      </c>
      <c r="W54" s="237" t="n">
        <v>3</v>
      </c>
      <c r="X54" s="208" t="n">
        <v>15</v>
      </c>
      <c r="Y54" s="251" t="n">
        <v>18</v>
      </c>
      <c r="Z54" s="251" t="n">
        <v>18</v>
      </c>
      <c r="AA54" s="35" t="n">
        <v>44788</v>
      </c>
      <c r="AB54" s="27" t="n"/>
      <c r="AC54" s="27" t="n"/>
      <c r="AD54" s="210" t="n">
        <v>15</v>
      </c>
      <c r="AE54" s="237" t="n">
        <v>0</v>
      </c>
      <c r="AF54" t="b">
        <v>0</v>
      </c>
      <c r="AG54" s="228" t="n">
        <v>-15</v>
      </c>
    </row>
    <row r="55">
      <c r="A55">
        <f>I55&amp;"-"&amp;J55</f>
        <v/>
      </c>
      <c r="B55" s="1">
        <f>N55</f>
        <v/>
      </c>
      <c r="C55">
        <f>M55&amp;"/"&amp;O55</f>
        <v/>
      </c>
      <c r="D55">
        <f>K55</f>
        <v/>
      </c>
      <c r="E55">
        <f>L55</f>
        <v/>
      </c>
      <c r="F55" s="236">
        <f>Z55</f>
        <v/>
      </c>
      <c r="G55">
        <f>U55&amp;"%"</f>
        <v/>
      </c>
      <c r="I55" s="53" t="n">
        <v>2022</v>
      </c>
      <c r="J55" s="53" t="n">
        <v>54</v>
      </c>
      <c r="K55" s="71" t="inlineStr">
        <is>
          <t>Einnahmen</t>
        </is>
      </c>
      <c r="L55" t="inlineStr">
        <is>
          <t>Waren-/Leistungserlöse</t>
        </is>
      </c>
      <c r="M55" s="9" t="n"/>
      <c r="N55" s="1" t="n">
        <v>44652</v>
      </c>
      <c r="O55" t="inlineStr">
        <is>
          <t>Kolbitsch Engineering &amp; Consulting KNr 45</t>
        </is>
      </c>
      <c r="Q55" s="76" t="n"/>
      <c r="R55" t="b">
        <v>0</v>
      </c>
      <c r="S55" s="214" t="n">
        <v>183</v>
      </c>
      <c r="T55" s="159" t="n">
        <v>1</v>
      </c>
      <c r="U55" t="n">
        <v>20</v>
      </c>
      <c r="V55" s="237" t="n">
        <v>36.6</v>
      </c>
      <c r="W55" s="237" t="n">
        <v>36.6</v>
      </c>
      <c r="X55" s="208" t="n">
        <v>183</v>
      </c>
      <c r="Y55" s="251" t="n">
        <v>219.6</v>
      </c>
      <c r="Z55" s="251" t="n">
        <v>219.6</v>
      </c>
      <c r="AA55" s="35" t="n">
        <v>44788</v>
      </c>
      <c r="AB55" s="27" t="n"/>
      <c r="AC55" s="27" t="n"/>
      <c r="AD55" s="210" t="n">
        <v>183</v>
      </c>
      <c r="AE55" s="237" t="n">
        <v>0</v>
      </c>
      <c r="AF55" t="b">
        <v>0</v>
      </c>
      <c r="AG55" s="228" t="n">
        <v>183</v>
      </c>
    </row>
    <row r="56">
      <c r="A56">
        <f>I56&amp;"-"&amp;J56</f>
        <v/>
      </c>
      <c r="B56" s="1">
        <f>N56</f>
        <v/>
      </c>
      <c r="C56">
        <f>M56&amp;"/"&amp;O56</f>
        <v/>
      </c>
      <c r="D56">
        <f>K56</f>
        <v/>
      </c>
      <c r="E56">
        <f>L56</f>
        <v/>
      </c>
      <c r="F56" s="236">
        <f>Z56</f>
        <v/>
      </c>
      <c r="G56">
        <f>U56&amp;"%"</f>
        <v/>
      </c>
      <c r="I56" s="53" t="n">
        <v>2022</v>
      </c>
      <c r="J56" s="53" t="n">
        <v>55</v>
      </c>
      <c r="K56" s="71" t="inlineStr">
        <is>
          <t>Ausgaben</t>
        </is>
      </c>
      <c r="L56" t="inlineStr">
        <is>
          <t>sonstige Betriebsausgaben</t>
        </is>
      </c>
      <c r="M56" s="9" t="n"/>
      <c r="N56" s="1" t="n">
        <v>44655</v>
      </c>
      <c r="O56" t="inlineStr">
        <is>
          <t>Google Ireland Ltd, Gordon House, Barrow Street, Dublin 4, Ireland; VAT number: IE 6388047V</t>
        </is>
      </c>
      <c r="Q56" s="76" t="n"/>
      <c r="R56" t="b">
        <v>0</v>
      </c>
      <c r="S56" s="214" t="n">
        <v>10.4</v>
      </c>
      <c r="T56" s="159" t="n">
        <v>1</v>
      </c>
      <c r="U56" t="n">
        <v>0</v>
      </c>
      <c r="V56" s="237" t="n">
        <v>0</v>
      </c>
      <c r="W56" s="237" t="n">
        <v>0</v>
      </c>
      <c r="X56" s="208" t="n">
        <v>10.4</v>
      </c>
      <c r="Y56" s="251" t="n">
        <v>10.4</v>
      </c>
      <c r="Z56" s="251" t="n">
        <v>10.4</v>
      </c>
      <c r="AA56" s="35" t="n">
        <v>44788</v>
      </c>
      <c r="AB56" s="27" t="n"/>
      <c r="AC56" s="27" t="n">
        <v>20</v>
      </c>
      <c r="AD56" s="210" t="n">
        <v>10.4</v>
      </c>
      <c r="AE56" s="237" t="n">
        <v>2.08</v>
      </c>
      <c r="AF56" t="b">
        <v>0</v>
      </c>
      <c r="AG56" s="228" t="n">
        <v>-10.4</v>
      </c>
    </row>
    <row r="57">
      <c r="A57">
        <f>I57&amp;"-"&amp;J57</f>
        <v/>
      </c>
      <c r="B57" s="1">
        <f>N57</f>
        <v/>
      </c>
      <c r="C57">
        <f>M57&amp;"/"&amp;O57</f>
        <v/>
      </c>
      <c r="D57">
        <f>K57</f>
        <v/>
      </c>
      <c r="E57">
        <f>L57</f>
        <v/>
      </c>
      <c r="F57" s="236">
        <f>Z57</f>
        <v/>
      </c>
      <c r="G57">
        <f>U57&amp;"%"</f>
        <v/>
      </c>
      <c r="I57" s="53" t="n">
        <v>2022</v>
      </c>
      <c r="J57" s="53" t="n">
        <v>56</v>
      </c>
      <c r="K57" s="71" t="inlineStr">
        <is>
          <t>Ausgaben</t>
        </is>
      </c>
      <c r="L57" t="inlineStr">
        <is>
          <t>Reise- und Fahrtspesen inkl. Kilometergeld und Diäten</t>
        </is>
      </c>
      <c r="M57" s="9" t="inlineStr">
        <is>
          <t>201112204022ALB-00CV2QPBMX40</t>
        </is>
      </c>
      <c r="N57" s="1" t="n">
        <v>44655</v>
      </c>
      <c r="O57" t="inlineStr">
        <is>
          <t>Wiener Linien GmbH &amp; Co KG</t>
        </is>
      </c>
      <c r="Q57" s="76" t="n"/>
      <c r="R57" t="b">
        <v>0</v>
      </c>
      <c r="S57" s="214" t="n">
        <v>40.8</v>
      </c>
      <c r="T57" s="159" t="n">
        <v>1</v>
      </c>
      <c r="U57" t="n">
        <v>0</v>
      </c>
      <c r="V57" s="237" t="n">
        <v>0</v>
      </c>
      <c r="W57" s="237" t="n">
        <v>0</v>
      </c>
      <c r="X57" s="208" t="n">
        <v>40.8</v>
      </c>
      <c r="Y57" s="251" t="n">
        <v>40.8</v>
      </c>
      <c r="Z57" s="251" t="n">
        <v>40.8</v>
      </c>
      <c r="AA57" s="35" t="n">
        <v>44788</v>
      </c>
      <c r="AB57" s="27" t="n"/>
      <c r="AC57" s="27" t="n"/>
      <c r="AD57" s="210" t="n">
        <v>40.8</v>
      </c>
      <c r="AE57" s="237" t="n">
        <v>0</v>
      </c>
      <c r="AF57" t="b">
        <v>0</v>
      </c>
      <c r="AG57" s="228" t="n">
        <v>-40.8</v>
      </c>
    </row>
    <row r="58">
      <c r="A58">
        <f>I58&amp;"-"&amp;J58</f>
        <v/>
      </c>
      <c r="B58" s="1">
        <f>N58</f>
        <v/>
      </c>
      <c r="C58">
        <f>M58&amp;"/"&amp;O58</f>
        <v/>
      </c>
      <c r="D58">
        <f>K58</f>
        <v/>
      </c>
      <c r="E58">
        <f>L58</f>
        <v/>
      </c>
      <c r="F58" s="236">
        <f>Z58</f>
        <v/>
      </c>
      <c r="G58">
        <f>U58&amp;"%"</f>
        <v/>
      </c>
      <c r="I58" s="53" t="n">
        <v>2022</v>
      </c>
      <c r="J58" s="53" t="n">
        <v>57</v>
      </c>
      <c r="K58" s="71" t="inlineStr">
        <is>
          <t>Ausgaben</t>
        </is>
      </c>
      <c r="L58" t="inlineStr">
        <is>
          <t>Reise- und Fahrtspesen inkl. Kilometergeld und Diäten</t>
        </is>
      </c>
      <c r="M58" s="131" t="n"/>
      <c r="N58" s="1" t="n">
        <v>44655</v>
      </c>
      <c r="O58" t="inlineStr">
        <is>
          <t>car2go Österreich GmbH, Hintere Zollamtstraße 9, 1030 Wien</t>
        </is>
      </c>
      <c r="Q58" s="76" t="n"/>
      <c r="R58" t="b">
        <v>0</v>
      </c>
      <c r="S58" s="214" t="n">
        <v>20.03</v>
      </c>
      <c r="T58" s="159" t="n">
        <v>1</v>
      </c>
      <c r="U58" t="n">
        <v>20</v>
      </c>
      <c r="V58" s="237" t="n">
        <v>4.006</v>
      </c>
      <c r="W58" s="237" t="n">
        <v>4.006</v>
      </c>
      <c r="X58" s="208" t="n">
        <v>20.03</v>
      </c>
      <c r="Y58" s="251" t="n">
        <v>24.036</v>
      </c>
      <c r="Z58" s="251" t="n">
        <v>24.036</v>
      </c>
      <c r="AA58" s="35" t="n">
        <v>44788</v>
      </c>
      <c r="AB58" s="27" t="n"/>
      <c r="AC58" s="27" t="n"/>
      <c r="AD58" s="210" t="n">
        <v>20.03</v>
      </c>
      <c r="AE58" s="237" t="n">
        <v>0</v>
      </c>
      <c r="AF58" t="b">
        <v>0</v>
      </c>
      <c r="AG58" s="228" t="n">
        <v>-20.03</v>
      </c>
    </row>
    <row r="59">
      <c r="A59">
        <f>I59&amp;"-"&amp;J59</f>
        <v/>
      </c>
      <c r="B59" s="1">
        <f>N59</f>
        <v/>
      </c>
      <c r="C59">
        <f>M59&amp;"/"&amp;O59</f>
        <v/>
      </c>
      <c r="D59">
        <f>K59</f>
        <v/>
      </c>
      <c r="E59">
        <f>L59</f>
        <v/>
      </c>
      <c r="F59" s="236">
        <f>Z59</f>
        <v/>
      </c>
      <c r="G59">
        <f>U59&amp;"%"</f>
        <v/>
      </c>
      <c r="I59" s="53" t="n">
        <v>2022</v>
      </c>
      <c r="J59" s="53" t="n">
        <v>58</v>
      </c>
      <c r="K59" s="71" t="inlineStr">
        <is>
          <t>Ausgaben</t>
        </is>
      </c>
      <c r="L59" t="inlineStr">
        <is>
          <t>sonstige Betriebsausgaben</t>
        </is>
      </c>
      <c r="M59" s="153" t="inlineStr">
        <is>
          <t>siehe Jahresabrechnung</t>
        </is>
      </c>
      <c r="N59" s="1" t="n">
        <v>44656</v>
      </c>
      <c r="O59" t="inlineStr">
        <is>
          <t>go green energy GmbH &amp; Co KG</t>
        </is>
      </c>
      <c r="Q59" s="76" t="n"/>
      <c r="R59" t="b">
        <v>0</v>
      </c>
      <c r="S59" s="214" t="n">
        <v>2.5</v>
      </c>
      <c r="T59" s="159" t="n">
        <v>1</v>
      </c>
      <c r="U59" t="n">
        <v>20</v>
      </c>
      <c r="V59" s="237" t="n">
        <v>0.5</v>
      </c>
      <c r="W59" s="237" t="n">
        <v>0.5</v>
      </c>
      <c r="X59" s="208" t="n">
        <v>2.5</v>
      </c>
      <c r="Y59" s="251" t="n">
        <v>3</v>
      </c>
      <c r="Z59" s="251" t="n">
        <v>3</v>
      </c>
      <c r="AA59" s="35" t="n">
        <v>44788</v>
      </c>
      <c r="AB59" s="27" t="n"/>
      <c r="AC59" s="27" t="n"/>
      <c r="AD59" s="210" t="n">
        <v>2.5</v>
      </c>
      <c r="AE59" s="237" t="n">
        <v>0</v>
      </c>
      <c r="AF59" t="b">
        <v>0</v>
      </c>
      <c r="AG59" s="228" t="n">
        <v>-2.5</v>
      </c>
    </row>
    <row r="60">
      <c r="A60">
        <f>I60&amp;"-"&amp;J60</f>
        <v/>
      </c>
      <c r="B60" s="1">
        <f>N60</f>
        <v/>
      </c>
      <c r="C60">
        <f>M60&amp;"/"&amp;O60</f>
        <v/>
      </c>
      <c r="D60">
        <f>K60</f>
        <v/>
      </c>
      <c r="E60">
        <f>L60</f>
        <v/>
      </c>
      <c r="F60" s="236">
        <f>Z60</f>
        <v/>
      </c>
      <c r="G60">
        <f>U60&amp;"%"</f>
        <v/>
      </c>
      <c r="I60" s="53" t="n">
        <v>2022</v>
      </c>
      <c r="J60" s="53" t="n">
        <v>59</v>
      </c>
      <c r="K60" s="71" t="inlineStr">
        <is>
          <t>Ausgaben</t>
        </is>
      </c>
      <c r="L60" t="inlineStr">
        <is>
          <t>Miet- und Pachtaufwand, Leasing</t>
        </is>
      </c>
      <c r="M60" s="139" t="n"/>
      <c r="N60" s="1" t="n">
        <v>44656</v>
      </c>
      <c r="O60" t="inlineStr">
        <is>
          <t>Techem Messtechnik GmbH; Abnehmernummer 501686-0003-11-</t>
        </is>
      </c>
      <c r="Q60" s="76" t="n"/>
      <c r="R60" t="b">
        <v>0</v>
      </c>
      <c r="S60" s="214" t="n">
        <v>122.6</v>
      </c>
      <c r="T60" s="159" t="n">
        <v>1</v>
      </c>
      <c r="U60" t="n">
        <v>20</v>
      </c>
      <c r="V60" s="237" t="n">
        <v>24.52</v>
      </c>
      <c r="W60" s="237" t="n">
        <v>24.52</v>
      </c>
      <c r="X60" s="208" t="n">
        <v>122.6</v>
      </c>
      <c r="Y60" s="251" t="n">
        <v>147.12</v>
      </c>
      <c r="Z60" s="251" t="n">
        <v>147.12</v>
      </c>
      <c r="AA60" s="35" t="n">
        <v>44788</v>
      </c>
      <c r="AB60" s="27" t="n"/>
      <c r="AC60" s="27" t="n"/>
      <c r="AD60" s="210" t="n">
        <v>122.6</v>
      </c>
      <c r="AE60" s="237" t="n">
        <v>0</v>
      </c>
      <c r="AF60" t="b">
        <v>0</v>
      </c>
      <c r="AG60" s="228" t="n">
        <v>-122.6</v>
      </c>
    </row>
    <row r="61">
      <c r="A61">
        <f>I61&amp;"-"&amp;J61</f>
        <v/>
      </c>
      <c r="B61" s="1">
        <f>N61</f>
        <v/>
      </c>
      <c r="C61">
        <f>M61&amp;"/"&amp;O61</f>
        <v/>
      </c>
      <c r="D61">
        <f>K61</f>
        <v/>
      </c>
      <c r="E61">
        <f>L61</f>
        <v/>
      </c>
      <c r="F61" s="236">
        <f>Z61</f>
        <v/>
      </c>
      <c r="G61">
        <f>U61&amp;"%"</f>
        <v/>
      </c>
      <c r="I61" s="53" t="n">
        <v>2022</v>
      </c>
      <c r="J61" s="53" t="n">
        <v>60</v>
      </c>
      <c r="K61" s="71" t="inlineStr">
        <is>
          <t>Einnahmen</t>
        </is>
      </c>
      <c r="L61" t="inlineStr">
        <is>
          <t>Waren-/Leistungserlöse</t>
        </is>
      </c>
      <c r="M61" t="n">
        <v>12022004</v>
      </c>
      <c r="N61" s="1" t="n">
        <v>44657</v>
      </c>
      <c r="O61" t="inlineStr">
        <is>
          <t>Paperholic all bout paper e.U.</t>
        </is>
      </c>
      <c r="Q61" s="76" t="n"/>
      <c r="R61" t="b">
        <v>0</v>
      </c>
      <c r="S61" s="214" t="n">
        <v>270</v>
      </c>
      <c r="T61" s="159" t="n">
        <v>1</v>
      </c>
      <c r="U61" t="n">
        <v>20</v>
      </c>
      <c r="V61" s="237" t="n">
        <v>54</v>
      </c>
      <c r="W61" s="237" t="n">
        <v>54</v>
      </c>
      <c r="X61" s="208" t="n">
        <v>270</v>
      </c>
      <c r="Y61" s="251" t="n">
        <v>324</v>
      </c>
      <c r="Z61" s="251" t="n">
        <v>324</v>
      </c>
      <c r="AA61" s="35" t="n">
        <v>44788</v>
      </c>
      <c r="AB61" s="27" t="n"/>
      <c r="AC61" s="27" t="n"/>
      <c r="AD61" s="210" t="n">
        <v>270</v>
      </c>
      <c r="AE61" s="237" t="n">
        <v>0</v>
      </c>
      <c r="AF61" t="b">
        <v>0</v>
      </c>
      <c r="AG61" s="228" t="n">
        <v>270</v>
      </c>
    </row>
    <row r="62">
      <c r="A62">
        <f>I62&amp;"-"&amp;J62</f>
        <v/>
      </c>
      <c r="B62" s="1">
        <f>N62</f>
        <v/>
      </c>
      <c r="C62">
        <f>M62&amp;"/"&amp;O62</f>
        <v/>
      </c>
      <c r="D62">
        <f>K62</f>
        <v/>
      </c>
      <c r="E62">
        <f>L62</f>
        <v/>
      </c>
      <c r="F62" s="236">
        <f>Z62</f>
        <v/>
      </c>
      <c r="G62">
        <f>U62&amp;"%"</f>
        <v/>
      </c>
      <c r="I62" s="53" t="n">
        <v>2022</v>
      </c>
      <c r="J62" s="53" t="n">
        <v>61</v>
      </c>
      <c r="K62" s="71" t="inlineStr">
        <is>
          <t>Einnahmen</t>
        </is>
      </c>
      <c r="L62" t="inlineStr">
        <is>
          <t>Waren-/Leistungserlöse</t>
        </is>
      </c>
      <c r="M62" t="n">
        <v>12022005</v>
      </c>
      <c r="N62" s="1" t="n">
        <v>44662</v>
      </c>
      <c r="O62" t="inlineStr">
        <is>
          <t>Schick Küchendesign e.U. Alexander Schick, Linzerstraße 247, 1140 Wien</t>
        </is>
      </c>
      <c r="Q62" s="76" t="n"/>
      <c r="R62" t="b">
        <v>0</v>
      </c>
      <c r="S62" s="214" t="n">
        <v>520</v>
      </c>
      <c r="T62" s="159" t="n">
        <v>1</v>
      </c>
      <c r="U62" t="n">
        <v>20</v>
      </c>
      <c r="V62" s="237" t="n">
        <v>104</v>
      </c>
      <c r="W62" s="237" t="n">
        <v>104</v>
      </c>
      <c r="X62" s="208" t="n">
        <v>520</v>
      </c>
      <c r="Y62" s="251" t="n">
        <v>624</v>
      </c>
      <c r="Z62" s="251" t="n">
        <v>624</v>
      </c>
      <c r="AA62" s="35" t="n">
        <v>44788</v>
      </c>
      <c r="AB62" s="27" t="n"/>
      <c r="AC62" s="27" t="n"/>
      <c r="AD62" s="210" t="n">
        <v>520</v>
      </c>
      <c r="AE62" s="237" t="n">
        <v>0</v>
      </c>
      <c r="AF62" t="b">
        <v>0</v>
      </c>
      <c r="AG62" s="228" t="n">
        <v>520</v>
      </c>
    </row>
    <row r="63">
      <c r="A63">
        <f>I63&amp;"-"&amp;J63</f>
        <v/>
      </c>
      <c r="B63" s="1">
        <f>N63</f>
        <v/>
      </c>
      <c r="C63">
        <f>M63&amp;"/"&amp;O63</f>
        <v/>
      </c>
      <c r="D63">
        <f>K63</f>
        <v/>
      </c>
      <c r="E63">
        <f>L63</f>
        <v/>
      </c>
      <c r="F63" s="236">
        <f>Z63</f>
        <v/>
      </c>
      <c r="G63">
        <f>U63&amp;"%"</f>
        <v/>
      </c>
      <c r="I63" s="53" t="n">
        <v>2022</v>
      </c>
      <c r="J63" s="53" t="n">
        <v>62</v>
      </c>
      <c r="K63" s="71" t="inlineStr">
        <is>
          <t>Ausgaben</t>
        </is>
      </c>
      <c r="L63" t="inlineStr">
        <is>
          <t>sonstige Betriebsausgaben</t>
        </is>
      </c>
      <c r="M63" s="139" t="inlineStr">
        <is>
          <t>220008996902</t>
        </is>
      </c>
      <c r="N63" s="1" t="n">
        <v>44662</v>
      </c>
      <c r="O63" t="inlineStr">
        <is>
          <t>Wiener Netze GmbH, Erdbergstraße 236, 1110 Wien, Postfach 422; Jahresabrechnung vom 17.12.20: GUTSCHRIFT</t>
        </is>
      </c>
      <c r="Q63" s="76" t="n"/>
      <c r="R63" t="b">
        <v>0</v>
      </c>
      <c r="S63" s="214" t="n">
        <v>11</v>
      </c>
      <c r="T63" s="159" t="n">
        <v>1</v>
      </c>
      <c r="U63" t="n">
        <v>20</v>
      </c>
      <c r="V63" s="237" t="n">
        <v>2.2</v>
      </c>
      <c r="W63" s="237" t="n">
        <v>2.2</v>
      </c>
      <c r="X63" s="208" t="n">
        <v>11</v>
      </c>
      <c r="Y63" s="251" t="n">
        <v>13.2</v>
      </c>
      <c r="Z63" s="251" t="n">
        <v>13.2</v>
      </c>
      <c r="AA63" s="35" t="n">
        <v>44788</v>
      </c>
      <c r="AB63" s="27" t="n"/>
      <c r="AC63" s="27" t="n"/>
      <c r="AD63" s="210" t="n">
        <v>11</v>
      </c>
      <c r="AE63" s="237" t="n">
        <v>0</v>
      </c>
      <c r="AF63" t="b">
        <v>0</v>
      </c>
      <c r="AG63" s="228" t="n">
        <v>-11</v>
      </c>
    </row>
    <row r="64">
      <c r="A64">
        <f>I64&amp;"-"&amp;J64</f>
        <v/>
      </c>
      <c r="B64" s="1">
        <f>N64</f>
        <v/>
      </c>
      <c r="C64">
        <f>M64&amp;"/"&amp;O64</f>
        <v/>
      </c>
      <c r="D64">
        <f>K64</f>
        <v/>
      </c>
      <c r="E64">
        <f>L64</f>
        <v/>
      </c>
      <c r="F64" s="236">
        <f>Z64</f>
        <v/>
      </c>
      <c r="G64">
        <f>U64&amp;"%"</f>
        <v/>
      </c>
      <c r="I64" s="53" t="n">
        <v>2022</v>
      </c>
      <c r="J64" s="53" t="n">
        <v>63</v>
      </c>
      <c r="K64" s="71" t="inlineStr">
        <is>
          <t>Ausgaben</t>
        </is>
      </c>
      <c r="L64" t="inlineStr">
        <is>
          <t>sonstige Betriebsausgaben</t>
        </is>
      </c>
      <c r="M64" s="9" t="n"/>
      <c r="N64" s="1" t="n">
        <v>44664</v>
      </c>
      <c r="O64" t="inlineStr">
        <is>
          <t>Hetzner Online GmbH</t>
        </is>
      </c>
      <c r="Q64" s="76" t="n"/>
      <c r="R64" t="b">
        <v>0</v>
      </c>
      <c r="S64" s="214" t="n">
        <v>47.7765</v>
      </c>
      <c r="T64" s="159" t="n">
        <v>1</v>
      </c>
      <c r="U64" t="n">
        <v>0</v>
      </c>
      <c r="V64" s="237" t="n">
        <v>0</v>
      </c>
      <c r="W64" s="237" t="n">
        <v>0</v>
      </c>
      <c r="X64" s="208" t="n">
        <v>47.7765</v>
      </c>
      <c r="Y64" s="251" t="n">
        <v>47.7765</v>
      </c>
      <c r="Z64" s="251" t="n">
        <v>47.7765</v>
      </c>
      <c r="AA64" s="35" t="n">
        <v>44788</v>
      </c>
      <c r="AB64" s="27" t="n"/>
      <c r="AC64" s="27" t="n">
        <v>20</v>
      </c>
      <c r="AD64" s="210" t="n">
        <v>47.7765</v>
      </c>
      <c r="AE64" s="237" t="n">
        <v>9.555300000000001</v>
      </c>
      <c r="AF64" t="b">
        <v>0</v>
      </c>
      <c r="AG64" s="228" t="n">
        <v>-47.7765</v>
      </c>
    </row>
    <row r="65">
      <c r="A65">
        <f>I65&amp;"-"&amp;J65</f>
        <v/>
      </c>
      <c r="B65" s="1">
        <f>N65</f>
        <v/>
      </c>
      <c r="C65">
        <f>M65&amp;"/"&amp;O65</f>
        <v/>
      </c>
      <c r="D65">
        <f>K65</f>
        <v/>
      </c>
      <c r="E65">
        <f>L65</f>
        <v/>
      </c>
      <c r="F65" s="236">
        <f>Z65</f>
        <v/>
      </c>
      <c r="G65">
        <f>U65&amp;"%"</f>
        <v/>
      </c>
      <c r="I65" s="53" t="n">
        <v>2022</v>
      </c>
      <c r="J65" s="53" t="n">
        <v>64</v>
      </c>
      <c r="K65" s="71" t="inlineStr">
        <is>
          <t>Einnahmen</t>
        </is>
      </c>
      <c r="L65" t="inlineStr">
        <is>
          <t>Waren-/Leistungserlöse</t>
        </is>
      </c>
      <c r="M65" t="n">
        <v>168042508</v>
      </c>
      <c r="N65" s="1" t="n">
        <v>44665</v>
      </c>
      <c r="O65" t="inlineStr">
        <is>
          <t>Hays Österreich GmbH, Bahnhof City Wien West , Europaplatz 3/5, 1150 Wien</t>
        </is>
      </c>
      <c r="Q65" s="76" t="n"/>
      <c r="R65" t="b">
        <v>0</v>
      </c>
      <c r="S65" s="214" t="n">
        <v>15149.5</v>
      </c>
      <c r="T65" s="159" t="n">
        <v>1</v>
      </c>
      <c r="U65" t="n">
        <v>20</v>
      </c>
      <c r="V65" s="237" t="n">
        <v>3029.9</v>
      </c>
      <c r="W65" s="237" t="n">
        <v>3029.9</v>
      </c>
      <c r="X65" s="208" t="n">
        <v>15149.5</v>
      </c>
      <c r="Y65" s="251" t="n">
        <v>18179.4</v>
      </c>
      <c r="Z65" s="251" t="n">
        <v>18179.4</v>
      </c>
      <c r="AA65" s="35" t="n">
        <v>44788</v>
      </c>
      <c r="AB65" s="27" t="n"/>
      <c r="AC65" s="27" t="n">
        <v>20</v>
      </c>
      <c r="AD65" s="210" t="n">
        <v>15149.5</v>
      </c>
      <c r="AE65" s="237" t="n">
        <v>3635.880000000001</v>
      </c>
      <c r="AF65" t="b">
        <v>1</v>
      </c>
      <c r="AG65" s="228" t="n">
        <v>15149.5</v>
      </c>
    </row>
    <row r="66">
      <c r="A66">
        <f>I66&amp;"-"&amp;J66</f>
        <v/>
      </c>
      <c r="B66" s="1">
        <f>N66</f>
        <v/>
      </c>
      <c r="C66">
        <f>M66&amp;"/"&amp;O66</f>
        <v/>
      </c>
      <c r="D66">
        <f>K66</f>
        <v/>
      </c>
      <c r="E66">
        <f>L66</f>
        <v/>
      </c>
      <c r="F66" s="236">
        <f>Z66</f>
        <v/>
      </c>
      <c r="G66">
        <f>U66&amp;"%"</f>
        <v/>
      </c>
      <c r="I66" s="53" t="n">
        <v>2022</v>
      </c>
      <c r="J66" s="53" t="n">
        <v>65</v>
      </c>
      <c r="K66" s="71" t="inlineStr">
        <is>
          <t>Ausgaben</t>
        </is>
      </c>
      <c r="L66" t="inlineStr">
        <is>
          <t>sonstige Betriebsausgaben</t>
        </is>
      </c>
      <c r="M66" s="6" t="n"/>
      <c r="N66" s="1" t="n">
        <v>44671</v>
      </c>
      <c r="O66" t="inlineStr">
        <is>
          <t>Microsoft Ireland Operations Ltd. One Microsoft Place, South County, Business Park, Leopardstown, Dublin 18, D18 P521, Ireland</t>
        </is>
      </c>
      <c r="Q66" s="76" t="n"/>
      <c r="R66" t="b">
        <v>0</v>
      </c>
      <c r="S66" s="214" t="n">
        <v>10.5</v>
      </c>
      <c r="T66" s="159" t="n">
        <v>1</v>
      </c>
      <c r="U66" t="n">
        <v>0</v>
      </c>
      <c r="V66" s="237" t="n">
        <v>0</v>
      </c>
      <c r="W66" s="237" t="n">
        <v>0</v>
      </c>
      <c r="X66" s="208" t="n">
        <v>10.5</v>
      </c>
      <c r="Y66" s="251" t="n">
        <v>10.5</v>
      </c>
      <c r="Z66" s="251" t="n">
        <v>10.5</v>
      </c>
      <c r="AA66" s="35" t="n">
        <v>44788</v>
      </c>
      <c r="AB66" s="27" t="n"/>
      <c r="AC66" s="27" t="n">
        <v>20</v>
      </c>
      <c r="AD66" s="210" t="n">
        <v>10.5</v>
      </c>
      <c r="AE66" s="237" t="n">
        <v>2.1</v>
      </c>
      <c r="AF66" t="b">
        <v>0</v>
      </c>
      <c r="AG66" s="228" t="n">
        <v>-10.5</v>
      </c>
    </row>
    <row r="67">
      <c r="A67">
        <f>I67&amp;"-"&amp;J67</f>
        <v/>
      </c>
      <c r="B67" s="1">
        <f>N67</f>
        <v/>
      </c>
      <c r="C67">
        <f>M67&amp;"/"&amp;O67</f>
        <v/>
      </c>
      <c r="D67">
        <f>K67</f>
        <v/>
      </c>
      <c r="E67">
        <f>L67</f>
        <v/>
      </c>
      <c r="F67" s="236">
        <f>Z67</f>
        <v/>
      </c>
      <c r="G67">
        <f>U67&amp;"%"</f>
        <v/>
      </c>
      <c r="I67" s="53" t="n">
        <v>2022</v>
      </c>
      <c r="J67" s="53" t="n">
        <v>66</v>
      </c>
      <c r="K67" s="71" t="inlineStr">
        <is>
          <t>Ausgaben</t>
        </is>
      </c>
      <c r="L67" t="inlineStr">
        <is>
          <t>Telefon/Internet</t>
        </is>
      </c>
      <c r="M67" s="131" t="n"/>
      <c r="N67" s="1" t="n">
        <v>44671</v>
      </c>
      <c r="O67" t="inlineStr">
        <is>
          <t>Magenta: T-Mobile Austria GmbH, A-1120 Wien, PF 47</t>
        </is>
      </c>
      <c r="Q67" s="76" t="n"/>
      <c r="R67" t="b">
        <v>0</v>
      </c>
      <c r="S67" s="214" t="n">
        <v>31.92</v>
      </c>
      <c r="T67" s="159" t="n">
        <v>1</v>
      </c>
      <c r="U67" t="n">
        <v>20</v>
      </c>
      <c r="V67" s="237" t="n">
        <v>6.384000000000001</v>
      </c>
      <c r="W67" s="237" t="n">
        <v>6.384000000000001</v>
      </c>
      <c r="X67" s="208" t="n">
        <v>31.92</v>
      </c>
      <c r="Y67" s="251" t="n">
        <v>38.304</v>
      </c>
      <c r="Z67" s="251" t="n">
        <v>38.304</v>
      </c>
      <c r="AA67" s="35" t="n">
        <v>44788</v>
      </c>
      <c r="AB67" s="27" t="n"/>
      <c r="AC67" s="27" t="n"/>
      <c r="AD67" s="210" t="n">
        <v>31.92</v>
      </c>
      <c r="AE67" s="237" t="n">
        <v>0</v>
      </c>
      <c r="AF67" t="b">
        <v>0</v>
      </c>
      <c r="AG67" s="228" t="n">
        <v>-31.92</v>
      </c>
    </row>
    <row r="68">
      <c r="A68">
        <f>I68&amp;"-"&amp;J68</f>
        <v/>
      </c>
      <c r="B68" s="1">
        <f>N68</f>
        <v/>
      </c>
      <c r="C68">
        <f>M68&amp;"/"&amp;O68</f>
        <v/>
      </c>
      <c r="D68">
        <f>K68</f>
        <v/>
      </c>
      <c r="E68">
        <f>L68</f>
        <v/>
      </c>
      <c r="F68" s="236">
        <f>Z68</f>
        <v/>
      </c>
      <c r="G68">
        <f>U68&amp;"%"</f>
        <v/>
      </c>
      <c r="I68" s="53" t="n">
        <v>2022</v>
      </c>
      <c r="J68" s="53" t="n">
        <v>67</v>
      </c>
      <c r="K68" s="71" t="inlineStr">
        <is>
          <t>Ausgaben</t>
        </is>
      </c>
      <c r="L68" t="inlineStr">
        <is>
          <t>sonstige Betriebsausgaben</t>
        </is>
      </c>
      <c r="M68" s="139" t="inlineStr">
        <is>
          <t>Gutschrift</t>
        </is>
      </c>
      <c r="N68" s="1" t="n">
        <v>44676</v>
      </c>
      <c r="O68" t="inlineStr">
        <is>
          <t>e-tec electronic GmbH, Atterseestra0e 121, 4850 Timelkam</t>
        </is>
      </c>
      <c r="Q68" s="76" t="n"/>
      <c r="R68" t="b">
        <v>0</v>
      </c>
      <c r="S68" s="214" t="n">
        <v>-4.708333333333334</v>
      </c>
      <c r="T68" s="159" t="n">
        <v>1</v>
      </c>
      <c r="U68" t="n">
        <v>20</v>
      </c>
      <c r="V68" s="237" t="n">
        <v>-0.9416666666666669</v>
      </c>
      <c r="W68" s="237" t="n">
        <v>-0.9416666666666669</v>
      </c>
      <c r="X68" s="208" t="n">
        <v>-4.708333333333334</v>
      </c>
      <c r="Y68" s="251" t="n">
        <v>-5.65</v>
      </c>
      <c r="Z68" s="251" t="n">
        <v>-5.65</v>
      </c>
      <c r="AA68" s="35" t="n">
        <v>44788</v>
      </c>
      <c r="AB68" s="27" t="n"/>
      <c r="AC68" s="27" t="n"/>
      <c r="AD68" s="210" t="n">
        <v>-4.708333333333334</v>
      </c>
      <c r="AE68" s="237" t="n">
        <v>0</v>
      </c>
      <c r="AF68" t="b">
        <v>0</v>
      </c>
      <c r="AG68" s="228" t="n">
        <v>4.708333333333334</v>
      </c>
    </row>
    <row r="69">
      <c r="A69">
        <f>I69&amp;"-"&amp;J69</f>
        <v/>
      </c>
      <c r="B69" s="1">
        <f>N69</f>
        <v/>
      </c>
      <c r="C69">
        <f>M69&amp;"/"&amp;O69</f>
        <v/>
      </c>
      <c r="D69">
        <f>K69</f>
        <v/>
      </c>
      <c r="E69">
        <f>L69</f>
        <v/>
      </c>
      <c r="F69" s="236">
        <f>Z69</f>
        <v/>
      </c>
      <c r="G69">
        <f>U69&amp;"%"</f>
        <v/>
      </c>
      <c r="I69" s="53" t="n">
        <v>2022</v>
      </c>
      <c r="J69" s="53" t="n">
        <v>68</v>
      </c>
      <c r="K69" s="71" t="inlineStr">
        <is>
          <t>Ausgaben</t>
        </is>
      </c>
      <c r="L69" t="inlineStr">
        <is>
          <t>sonstige Betriebsausgaben</t>
        </is>
      </c>
      <c r="M69" s="9" t="inlineStr">
        <is>
          <t>R01371239</t>
        </is>
      </c>
      <c r="N69" s="1" t="n">
        <v>44678</v>
      </c>
      <c r="O69" t="inlineStr">
        <is>
          <t>TeamViewer Germany GmbH, Jahnstr. 30, 73037 Göppingen, Deutschland</t>
        </is>
      </c>
      <c r="Q69" s="76" t="n"/>
      <c r="R69" t="b">
        <v>0</v>
      </c>
      <c r="S69" s="214" t="n">
        <v>334.8</v>
      </c>
      <c r="T69" s="159" t="n">
        <v>1</v>
      </c>
      <c r="U69" t="n">
        <v>0</v>
      </c>
      <c r="V69" s="237" t="n">
        <v>0</v>
      </c>
      <c r="W69" s="237" t="n">
        <v>0</v>
      </c>
      <c r="X69" s="208" t="n">
        <v>334.8</v>
      </c>
      <c r="Y69" s="251" t="n">
        <v>334.8</v>
      </c>
      <c r="Z69" s="251" t="n">
        <v>334.8</v>
      </c>
      <c r="AA69" s="35" t="n">
        <v>44788</v>
      </c>
      <c r="AB69" s="27" t="n"/>
      <c r="AC69" s="27" t="n">
        <v>20</v>
      </c>
      <c r="AD69" s="210" t="n">
        <v>334.8</v>
      </c>
      <c r="AE69" s="237" t="n">
        <v>66.96000000000001</v>
      </c>
      <c r="AF69" t="b">
        <v>0</v>
      </c>
      <c r="AG69" s="228" t="n">
        <v>-334.8</v>
      </c>
    </row>
    <row r="70">
      <c r="A70">
        <f>I70&amp;"-"&amp;J70</f>
        <v/>
      </c>
      <c r="B70" s="1">
        <f>N70</f>
        <v/>
      </c>
      <c r="C70">
        <f>M70&amp;"/"&amp;O70</f>
        <v/>
      </c>
      <c r="D70">
        <f>K70</f>
        <v/>
      </c>
      <c r="E70">
        <f>L70</f>
        <v/>
      </c>
      <c r="F70" s="236">
        <f>Z70</f>
        <v/>
      </c>
      <c r="G70">
        <f>U70&amp;"%"</f>
        <v/>
      </c>
      <c r="I70" s="53" t="n">
        <v>2022</v>
      </c>
      <c r="J70" s="53" t="n">
        <v>69</v>
      </c>
      <c r="K70" s="71" t="inlineStr">
        <is>
          <t>Ausgaben</t>
        </is>
      </c>
      <c r="L70" t="inlineStr">
        <is>
          <t>sonstige Betriebsausgaben</t>
        </is>
      </c>
      <c r="M70" s="6" t="n"/>
      <c r="N70" s="1" t="n">
        <v>44680</v>
      </c>
      <c r="O70" t="inlineStr">
        <is>
          <t>Amazon EU S. à r.l., 38 avenue John F. Kennedy, L-1855 Luxembourg: HJEU: DVI-HDMI, Logitech Maus</t>
        </is>
      </c>
      <c r="Q70" s="76" t="n"/>
      <c r="R70" t="b">
        <v>0</v>
      </c>
      <c r="S70" s="214" t="n">
        <v>480.22</v>
      </c>
      <c r="T70" s="159" t="n">
        <v>1</v>
      </c>
      <c r="U70" t="n">
        <v>20</v>
      </c>
      <c r="V70" s="237" t="n">
        <v>96.04400000000001</v>
      </c>
      <c r="W70" s="237" t="n">
        <v>96.04400000000001</v>
      </c>
      <c r="X70" s="208" t="n">
        <v>480.22</v>
      </c>
      <c r="Y70" s="251" t="n">
        <v>576.264</v>
      </c>
      <c r="Z70" s="251" t="n">
        <v>576.264</v>
      </c>
      <c r="AA70" s="35" t="n">
        <v>44788</v>
      </c>
      <c r="AB70" s="27" t="n"/>
      <c r="AC70" s="27" t="n"/>
      <c r="AD70" s="210" t="n">
        <v>480.22</v>
      </c>
      <c r="AE70" s="237" t="n">
        <v>0</v>
      </c>
      <c r="AF70" t="b">
        <v>0</v>
      </c>
      <c r="AG70" s="228" t="n">
        <v>-480.22</v>
      </c>
    </row>
    <row r="71">
      <c r="A71">
        <f>I71&amp;"-"&amp;J71</f>
        <v/>
      </c>
      <c r="B71" s="1">
        <f>N71</f>
        <v/>
      </c>
      <c r="C71">
        <f>M71&amp;"/"&amp;O71</f>
        <v/>
      </c>
      <c r="D71">
        <f>K71</f>
        <v/>
      </c>
      <c r="E71">
        <f>L71</f>
        <v/>
      </c>
      <c r="F71" s="236">
        <f>Z71</f>
        <v/>
      </c>
      <c r="G71">
        <f>U71&amp;"%"</f>
        <v/>
      </c>
      <c r="I71" s="53" t="n">
        <v>2022</v>
      </c>
      <c r="J71" s="53" t="n">
        <v>70</v>
      </c>
      <c r="K71" s="71" t="inlineStr">
        <is>
          <t>Ausgaben</t>
        </is>
      </c>
      <c r="L71" t="inlineStr">
        <is>
          <t>sonstige Betriebsausgaben</t>
        </is>
      </c>
      <c r="M71" s="6" t="n"/>
      <c r="N71" s="1" t="n">
        <v>44683</v>
      </c>
      <c r="O71" t="inlineStr">
        <is>
          <t>Amazon EU S. à r.l., 38 avenue John F. Kennedy, L-1855 Luxembourg: HJEU: DVI-HDMI, Logitech Maus</t>
        </is>
      </c>
      <c r="Q71" s="76" t="n"/>
      <c r="R71" t="b">
        <v>0</v>
      </c>
      <c r="S71" s="214" t="n">
        <v>29.59</v>
      </c>
      <c r="T71" s="159" t="n">
        <v>1</v>
      </c>
      <c r="U71" t="n">
        <v>20</v>
      </c>
      <c r="V71" s="237" t="n">
        <v>5.917999999999999</v>
      </c>
      <c r="W71" s="237" t="n">
        <v>5.917999999999999</v>
      </c>
      <c r="X71" s="208" t="n">
        <v>29.59</v>
      </c>
      <c r="Y71" s="251" t="n">
        <v>35.508</v>
      </c>
      <c r="Z71" s="251" t="n">
        <v>35.508</v>
      </c>
      <c r="AA71" s="35" t="n">
        <v>44788</v>
      </c>
      <c r="AB71" s="27" t="n"/>
      <c r="AC71" s="27" t="n"/>
      <c r="AD71" s="210" t="n">
        <v>29.59</v>
      </c>
      <c r="AE71" s="237" t="n">
        <v>0</v>
      </c>
      <c r="AF71" t="b">
        <v>0</v>
      </c>
      <c r="AG71" s="228" t="n">
        <v>-29.59</v>
      </c>
    </row>
    <row r="72">
      <c r="A72">
        <f>I72&amp;"-"&amp;J72</f>
        <v/>
      </c>
      <c r="B72" s="1">
        <f>N72</f>
        <v/>
      </c>
      <c r="C72">
        <f>M72&amp;"/"&amp;O72</f>
        <v/>
      </c>
      <c r="D72">
        <f>K72</f>
        <v/>
      </c>
      <c r="E72">
        <f>L72</f>
        <v/>
      </c>
      <c r="F72" s="236">
        <f>Z72</f>
        <v/>
      </c>
      <c r="G72">
        <f>U72&amp;"%"</f>
        <v/>
      </c>
      <c r="I72" s="53" t="n">
        <v>2022</v>
      </c>
      <c r="J72" s="53" t="n">
        <v>71</v>
      </c>
      <c r="K72" s="71" t="inlineStr">
        <is>
          <t>Ausgaben</t>
        </is>
      </c>
      <c r="L72" t="inlineStr">
        <is>
          <t>Miet- und Pachtaufwand, Leasing</t>
        </is>
      </c>
      <c r="M72" s="9" t="n"/>
      <c r="N72" s="1" t="n">
        <v>44683</v>
      </c>
      <c r="O72" t="inlineStr">
        <is>
          <t>Bontus Immobilienverwaltung GmbH, 1010 Wien, Franz Josefs Kai 65</t>
        </is>
      </c>
      <c r="Q72" s="76" t="n"/>
      <c r="R72" t="b">
        <v>0</v>
      </c>
      <c r="S72" s="233" t="n">
        <v>478.6916666666667</v>
      </c>
      <c r="T72" s="159" t="n">
        <v>1</v>
      </c>
      <c r="U72" t="n">
        <v>20</v>
      </c>
      <c r="V72" s="237" t="n">
        <v>95.73833333333334</v>
      </c>
      <c r="W72" s="237" t="n">
        <v>95.73833333333334</v>
      </c>
      <c r="X72" s="208" t="n">
        <v>478.6916666666667</v>
      </c>
      <c r="Y72" s="251" t="n">
        <v>574.4300000000001</v>
      </c>
      <c r="Z72" s="251" t="n">
        <v>574.4300000000001</v>
      </c>
      <c r="AA72" s="35" t="n">
        <v>44788</v>
      </c>
      <c r="AB72" s="27" t="n"/>
      <c r="AC72" s="27" t="n"/>
      <c r="AD72" s="210" t="n">
        <v>478.6916666666667</v>
      </c>
      <c r="AE72" s="237" t="n">
        <v>0</v>
      </c>
      <c r="AF72" t="b">
        <v>0</v>
      </c>
      <c r="AG72" s="228" t="n">
        <v>-478.6916666666667</v>
      </c>
    </row>
    <row r="73">
      <c r="A73">
        <f>I73&amp;"-"&amp;J73</f>
        <v/>
      </c>
      <c r="B73" s="1">
        <f>N73</f>
        <v/>
      </c>
      <c r="C73">
        <f>M73&amp;"/"&amp;O73</f>
        <v/>
      </c>
      <c r="D73">
        <f>K73</f>
        <v/>
      </c>
      <c r="E73">
        <f>L73</f>
        <v/>
      </c>
      <c r="F73" s="236">
        <f>Z73</f>
        <v/>
      </c>
      <c r="G73">
        <f>U73&amp;"%"</f>
        <v/>
      </c>
      <c r="I73" s="53" t="n">
        <v>2022</v>
      </c>
      <c r="J73" s="53" t="n">
        <v>72</v>
      </c>
      <c r="K73" s="71" t="inlineStr">
        <is>
          <t>Ausgaben</t>
        </is>
      </c>
      <c r="L73" t="inlineStr">
        <is>
          <t>Reise- und Fahrtspesen inkl. Kilometergeld und Diäten</t>
        </is>
      </c>
      <c r="M73" s="131" t="n"/>
      <c r="N73" s="1" t="n">
        <v>44683</v>
      </c>
      <c r="O73" t="inlineStr">
        <is>
          <t>car2go Österreich GmbH, Hintere Zollamtstraße 9, 1030 Wien</t>
        </is>
      </c>
      <c r="Q73" s="76" t="n"/>
      <c r="R73" t="b">
        <v>0</v>
      </c>
      <c r="S73" s="214" t="n">
        <v>30.13</v>
      </c>
      <c r="T73" s="159" t="n">
        <v>1</v>
      </c>
      <c r="U73" t="n">
        <v>20</v>
      </c>
      <c r="V73" s="237" t="n">
        <v>6.026</v>
      </c>
      <c r="W73" s="237" t="n">
        <v>6.026</v>
      </c>
      <c r="X73" s="208" t="n">
        <v>30.13</v>
      </c>
      <c r="Y73" s="251" t="n">
        <v>36.156</v>
      </c>
      <c r="Z73" s="251" t="n">
        <v>36.156</v>
      </c>
      <c r="AA73" s="35" t="n">
        <v>44788</v>
      </c>
      <c r="AB73" s="27" t="n"/>
      <c r="AC73" s="27" t="n"/>
      <c r="AD73" s="210" t="n">
        <v>30.13</v>
      </c>
      <c r="AE73" s="237" t="n">
        <v>0</v>
      </c>
      <c r="AF73" t="b">
        <v>0</v>
      </c>
      <c r="AG73" s="228" t="n">
        <v>-30.13</v>
      </c>
    </row>
    <row r="74">
      <c r="A74">
        <f>I74&amp;"-"&amp;J74</f>
        <v/>
      </c>
      <c r="B74" s="1">
        <f>N74</f>
        <v/>
      </c>
      <c r="C74">
        <f>M74&amp;"/"&amp;O74</f>
        <v/>
      </c>
      <c r="D74">
        <f>K74</f>
        <v/>
      </c>
      <c r="E74">
        <f>L74</f>
        <v/>
      </c>
      <c r="F74" s="236">
        <f>Z74</f>
        <v/>
      </c>
      <c r="G74">
        <f>U74&amp;"%"</f>
        <v/>
      </c>
      <c r="I74" s="53" t="n">
        <v>2022</v>
      </c>
      <c r="J74" s="53" t="n">
        <v>73</v>
      </c>
      <c r="K74" s="71" t="inlineStr">
        <is>
          <t>Ausgaben</t>
        </is>
      </c>
      <c r="L74" t="inlineStr">
        <is>
          <t>sonstige Betriebsausgaben</t>
        </is>
      </c>
      <c r="M74" s="9" t="n"/>
      <c r="N74" s="1" t="n">
        <v>44685</v>
      </c>
      <c r="O74" t="inlineStr">
        <is>
          <t>Google Ireland Ltd, Gordon House, Barrow Street, Dublin 4, Ireland; VAT number: IE 6388047V</t>
        </is>
      </c>
      <c r="Q74" s="76" t="n"/>
      <c r="R74" t="b">
        <v>0</v>
      </c>
      <c r="S74" s="214" t="n">
        <v>10.33</v>
      </c>
      <c r="T74" s="159" t="n">
        <v>1</v>
      </c>
      <c r="U74" t="n">
        <v>0</v>
      </c>
      <c r="V74" s="237" t="n">
        <v>0</v>
      </c>
      <c r="W74" s="237" t="n">
        <v>0</v>
      </c>
      <c r="X74" s="208" t="n">
        <v>10.33</v>
      </c>
      <c r="Y74" s="251" t="n">
        <v>10.33</v>
      </c>
      <c r="Z74" s="251" t="n">
        <v>10.33</v>
      </c>
      <c r="AA74" s="35" t="n">
        <v>44788</v>
      </c>
      <c r="AB74" s="27" t="n"/>
      <c r="AC74" s="27" t="n">
        <v>20</v>
      </c>
      <c r="AD74" s="210" t="n">
        <v>10.33</v>
      </c>
      <c r="AE74" s="237" t="n">
        <v>2.066</v>
      </c>
      <c r="AF74" t="b">
        <v>0</v>
      </c>
      <c r="AG74" s="228" t="n">
        <v>-10.33</v>
      </c>
    </row>
    <row r="75">
      <c r="A75">
        <f>I75&amp;"-"&amp;J75</f>
        <v/>
      </c>
      <c r="B75" s="1">
        <f>N75</f>
        <v/>
      </c>
      <c r="C75">
        <f>M75&amp;"/"&amp;O75</f>
        <v/>
      </c>
      <c r="D75">
        <f>K75</f>
        <v/>
      </c>
      <c r="E75">
        <f>L75</f>
        <v/>
      </c>
      <c r="F75" s="236">
        <f>Z75</f>
        <v/>
      </c>
      <c r="G75">
        <f>U75&amp;"%"</f>
        <v/>
      </c>
      <c r="I75" s="53" t="n">
        <v>2022</v>
      </c>
      <c r="J75" s="53" t="n">
        <v>74</v>
      </c>
      <c r="K75" s="71" t="inlineStr">
        <is>
          <t>Ausgaben</t>
        </is>
      </c>
      <c r="L75" t="inlineStr">
        <is>
          <t>Telefon/Internet</t>
        </is>
      </c>
      <c r="M75" s="9" t="n"/>
      <c r="N75" s="1" t="n">
        <v>44685</v>
      </c>
      <c r="O75" t="inlineStr">
        <is>
          <t>Hutchison Drei Austria GmbH, Brünner Straße 52, 1210 Wien, Österreich</t>
        </is>
      </c>
      <c r="Q75" s="76" t="n"/>
      <c r="R75" t="b">
        <v>0</v>
      </c>
      <c r="S75" s="214" t="n">
        <v>15</v>
      </c>
      <c r="T75" s="159" t="n">
        <v>1</v>
      </c>
      <c r="U75" t="n">
        <v>20</v>
      </c>
      <c r="V75" s="237" t="n">
        <v>3</v>
      </c>
      <c r="W75" s="237" t="n">
        <v>3</v>
      </c>
      <c r="X75" s="208" t="n">
        <v>15</v>
      </c>
      <c r="Y75" s="251" t="n">
        <v>18</v>
      </c>
      <c r="Z75" s="251" t="n">
        <v>18</v>
      </c>
      <c r="AA75" s="35" t="n">
        <v>44788</v>
      </c>
      <c r="AB75" s="27" t="n"/>
      <c r="AC75" s="27" t="n"/>
      <c r="AD75" s="210" t="n">
        <v>15</v>
      </c>
      <c r="AE75" s="237" t="n">
        <v>0</v>
      </c>
      <c r="AF75" t="b">
        <v>0</v>
      </c>
      <c r="AG75" s="228" t="n">
        <v>-15</v>
      </c>
    </row>
    <row r="76">
      <c r="A76">
        <f>I76&amp;"-"&amp;J76</f>
        <v/>
      </c>
      <c r="B76" s="1">
        <f>N76</f>
        <v/>
      </c>
      <c r="C76">
        <f>M76&amp;"/"&amp;O76</f>
        <v/>
      </c>
      <c r="D76">
        <f>K76</f>
        <v/>
      </c>
      <c r="E76">
        <f>L76</f>
        <v/>
      </c>
      <c r="F76" s="236">
        <f>Z76</f>
        <v/>
      </c>
      <c r="G76">
        <f>U76&amp;"%"</f>
        <v/>
      </c>
      <c r="I76" s="53" t="n">
        <v>2022</v>
      </c>
      <c r="J76" s="53" t="n">
        <v>75</v>
      </c>
      <c r="K76" s="71" t="inlineStr">
        <is>
          <t>Ausgaben</t>
        </is>
      </c>
      <c r="L76" t="inlineStr">
        <is>
          <t>Reise- und Fahrtspesen inkl. Kilometergeld und Diäten</t>
        </is>
      </c>
      <c r="M76" s="9" t="inlineStr">
        <is>
          <t>201112204022ALB-00CV2QPBMX40</t>
        </is>
      </c>
      <c r="N76" s="1" t="n">
        <v>44685</v>
      </c>
      <c r="O76" t="inlineStr">
        <is>
          <t>Wiener Linien GmbH &amp; Co KG</t>
        </is>
      </c>
      <c r="Q76" s="76" t="n"/>
      <c r="R76" t="b">
        <v>0</v>
      </c>
      <c r="S76" s="214" t="n">
        <v>365</v>
      </c>
      <c r="T76" s="159" t="n">
        <v>1</v>
      </c>
      <c r="U76" t="n">
        <v>0</v>
      </c>
      <c r="V76" s="237" t="n">
        <v>0</v>
      </c>
      <c r="W76" s="237" t="n">
        <v>0</v>
      </c>
      <c r="X76" s="208" t="n">
        <v>365</v>
      </c>
      <c r="Y76" s="251" t="n">
        <v>365</v>
      </c>
      <c r="Z76" s="251" t="n">
        <v>365</v>
      </c>
      <c r="AA76" s="35" t="n">
        <v>44788</v>
      </c>
      <c r="AB76" s="27" t="n"/>
      <c r="AC76" s="27" t="n"/>
      <c r="AD76" s="210" t="n">
        <v>365</v>
      </c>
      <c r="AE76" s="237" t="n">
        <v>0</v>
      </c>
      <c r="AF76" t="b">
        <v>0</v>
      </c>
      <c r="AG76" s="228" t="n">
        <v>-365</v>
      </c>
    </row>
    <row r="77">
      <c r="A77">
        <f>I77&amp;"-"&amp;J77</f>
        <v/>
      </c>
      <c r="B77" s="1">
        <f>N77</f>
        <v/>
      </c>
      <c r="C77">
        <f>M77&amp;"/"&amp;O77</f>
        <v/>
      </c>
      <c r="D77">
        <f>K77</f>
        <v/>
      </c>
      <c r="E77">
        <f>L77</f>
        <v/>
      </c>
      <c r="F77" s="236">
        <f>Z77</f>
        <v/>
      </c>
      <c r="G77">
        <f>U77&amp;"%"</f>
        <v/>
      </c>
      <c r="I77" s="53" t="n">
        <v>2022</v>
      </c>
      <c r="J77" s="53" t="n">
        <v>76</v>
      </c>
      <c r="K77" s="71" t="inlineStr">
        <is>
          <t>Ausgaben</t>
        </is>
      </c>
      <c r="L77" t="inlineStr">
        <is>
          <t>sonstige Betriebsausgaben</t>
        </is>
      </c>
      <c r="M77" s="153" t="inlineStr">
        <is>
          <t>siehe Jahresabrechnung</t>
        </is>
      </c>
      <c r="N77" s="1" t="n">
        <v>44685</v>
      </c>
      <c r="O77" t="inlineStr">
        <is>
          <t>go green energy GmbH &amp; Co KG</t>
        </is>
      </c>
      <c r="Q77" s="76" t="n"/>
      <c r="R77" t="b">
        <v>0</v>
      </c>
      <c r="S77" s="214" t="n">
        <v>2.5</v>
      </c>
      <c r="T77" s="159" t="n">
        <v>1</v>
      </c>
      <c r="U77" t="n">
        <v>20</v>
      </c>
      <c r="V77" s="237" t="n">
        <v>0.5</v>
      </c>
      <c r="W77" s="237" t="n">
        <v>0.5</v>
      </c>
      <c r="X77" s="208" t="n">
        <v>2.5</v>
      </c>
      <c r="Y77" s="251" t="n">
        <v>3</v>
      </c>
      <c r="Z77" s="251" t="n">
        <v>3</v>
      </c>
      <c r="AA77" s="35" t="n">
        <v>44788</v>
      </c>
      <c r="AB77" s="27" t="n"/>
      <c r="AC77" s="27" t="n"/>
      <c r="AD77" s="210" t="n">
        <v>2.5</v>
      </c>
      <c r="AE77" s="237" t="n">
        <v>0</v>
      </c>
      <c r="AF77" t="b">
        <v>0</v>
      </c>
      <c r="AG77" s="228" t="n">
        <v>-2.5</v>
      </c>
    </row>
    <row r="78">
      <c r="A78">
        <f>I78&amp;"-"&amp;J78</f>
        <v/>
      </c>
      <c r="B78" s="1">
        <f>N78</f>
        <v/>
      </c>
      <c r="C78">
        <f>M78&amp;"/"&amp;O78</f>
        <v/>
      </c>
      <c r="D78">
        <f>K78</f>
        <v/>
      </c>
      <c r="E78">
        <f>L78</f>
        <v/>
      </c>
      <c r="F78" s="236">
        <f>Z78</f>
        <v/>
      </c>
      <c r="G78">
        <f>U78&amp;"%"</f>
        <v/>
      </c>
      <c r="I78" s="53" t="n">
        <v>2022</v>
      </c>
      <c r="J78" s="53" t="n">
        <v>77</v>
      </c>
      <c r="K78" s="71" t="inlineStr">
        <is>
          <t>Ausgaben</t>
        </is>
      </c>
      <c r="L78" t="inlineStr">
        <is>
          <t>Miet- und Pachtaufwand, Leasing</t>
        </is>
      </c>
      <c r="M78" s="139" t="n"/>
      <c r="N78" s="1" t="n">
        <v>44686</v>
      </c>
      <c r="O78" t="inlineStr">
        <is>
          <t>Techem Messtechnik GmbH; Abnehmernummer 501686-0003-11-</t>
        </is>
      </c>
      <c r="Q78" s="76" t="n"/>
      <c r="R78" t="b">
        <v>0</v>
      </c>
      <c r="S78" s="214" t="n">
        <v>122.6</v>
      </c>
      <c r="T78" s="159" t="n">
        <v>1</v>
      </c>
      <c r="U78" t="n">
        <v>20</v>
      </c>
      <c r="V78" s="237" t="n">
        <v>24.52</v>
      </c>
      <c r="W78" s="237" t="n">
        <v>24.52</v>
      </c>
      <c r="X78" s="208" t="n">
        <v>122.6</v>
      </c>
      <c r="Y78" s="251" t="n">
        <v>147.12</v>
      </c>
      <c r="Z78" s="251" t="n">
        <v>147.12</v>
      </c>
      <c r="AA78" s="35" t="n">
        <v>44788</v>
      </c>
      <c r="AB78" s="27" t="n"/>
      <c r="AC78" s="27" t="n"/>
      <c r="AD78" s="210" t="n">
        <v>122.6</v>
      </c>
      <c r="AE78" s="237" t="n">
        <v>0</v>
      </c>
      <c r="AF78" t="b">
        <v>0</v>
      </c>
      <c r="AG78" s="228" t="n">
        <v>-122.6</v>
      </c>
    </row>
    <row r="79">
      <c r="A79">
        <f>I79&amp;"-"&amp;J79</f>
        <v/>
      </c>
      <c r="B79" s="1">
        <f>N79</f>
        <v/>
      </c>
      <c r="C79">
        <f>M79&amp;"/"&amp;O79</f>
        <v/>
      </c>
      <c r="D79">
        <f>K79</f>
        <v/>
      </c>
      <c r="E79">
        <f>L79</f>
        <v/>
      </c>
      <c r="F79" s="236">
        <f>Z79</f>
        <v/>
      </c>
      <c r="G79">
        <f>U79&amp;"%"</f>
        <v/>
      </c>
      <c r="I79" s="53" t="n">
        <v>2022</v>
      </c>
      <c r="J79" s="53" t="n">
        <v>78</v>
      </c>
      <c r="K79" s="71" t="inlineStr">
        <is>
          <t>Ausgaben</t>
        </is>
      </c>
      <c r="L79" t="inlineStr">
        <is>
          <t>sonstige Betriebsausgaben</t>
        </is>
      </c>
      <c r="M79" s="139" t="inlineStr">
        <is>
          <t>220008996902</t>
        </is>
      </c>
      <c r="N79" s="1" t="n">
        <v>44691</v>
      </c>
      <c r="O79" t="inlineStr">
        <is>
          <t>Wiener Netze GmbH, Erdbergstraße 236, 1110 Wien, Postfach 422; Jahresabrechnung vom 17.12.20: GUTSCHRIFT</t>
        </is>
      </c>
      <c r="Q79" s="76" t="n"/>
      <c r="R79" t="b">
        <v>0</v>
      </c>
      <c r="S79" s="214" t="n">
        <v>11</v>
      </c>
      <c r="T79" s="159" t="n">
        <v>1</v>
      </c>
      <c r="U79" t="n">
        <v>20</v>
      </c>
      <c r="V79" s="237" t="n">
        <v>2.2</v>
      </c>
      <c r="W79" s="237" t="n">
        <v>2.2</v>
      </c>
      <c r="X79" s="208" t="n">
        <v>11</v>
      </c>
      <c r="Y79" s="251" t="n">
        <v>13.2</v>
      </c>
      <c r="Z79" s="251" t="n">
        <v>13.2</v>
      </c>
      <c r="AA79" s="35" t="n">
        <v>44788</v>
      </c>
      <c r="AB79" s="27" t="n"/>
      <c r="AC79" s="27" t="n"/>
      <c r="AD79" s="210" t="n">
        <v>11</v>
      </c>
      <c r="AE79" s="237" t="n">
        <v>0</v>
      </c>
      <c r="AF79" t="b">
        <v>0</v>
      </c>
      <c r="AG79" s="228" t="n">
        <v>-11</v>
      </c>
    </row>
    <row r="80">
      <c r="A80">
        <f>I80&amp;"-"&amp;J80</f>
        <v/>
      </c>
      <c r="B80" s="1">
        <f>N80</f>
        <v/>
      </c>
      <c r="C80">
        <f>M80&amp;"/"&amp;O80</f>
        <v/>
      </c>
      <c r="D80">
        <f>K80</f>
        <v/>
      </c>
      <c r="E80">
        <f>L80</f>
        <v/>
      </c>
      <c r="F80" s="236">
        <f>Z80</f>
        <v/>
      </c>
      <c r="G80">
        <f>U80&amp;"%"</f>
        <v/>
      </c>
      <c r="I80" s="53" t="n">
        <v>2022</v>
      </c>
      <c r="J80" s="53" t="n">
        <v>79</v>
      </c>
      <c r="K80" s="71" t="inlineStr">
        <is>
          <t>Ausgaben</t>
        </is>
      </c>
      <c r="L80" t="inlineStr">
        <is>
          <t>sonstige Betriebsausgaben</t>
        </is>
      </c>
      <c r="M80" s="9" t="n"/>
      <c r="N80" s="1" t="n">
        <v>44693</v>
      </c>
      <c r="O80" t="inlineStr">
        <is>
          <t>Hetzner Online GmbH</t>
        </is>
      </c>
      <c r="Q80" s="76" t="n"/>
      <c r="R80" t="b">
        <v>0</v>
      </c>
      <c r="S80" s="214" t="n">
        <v>47.7765</v>
      </c>
      <c r="T80" s="159" t="n">
        <v>1</v>
      </c>
      <c r="U80" t="n">
        <v>0</v>
      </c>
      <c r="V80" s="237" t="n">
        <v>0</v>
      </c>
      <c r="W80" s="237" t="n">
        <v>0</v>
      </c>
      <c r="X80" s="208" t="n">
        <v>47.7765</v>
      </c>
      <c r="Y80" s="251" t="n">
        <v>47.7765</v>
      </c>
      <c r="Z80" s="251" t="n">
        <v>47.7765</v>
      </c>
      <c r="AA80" s="35" t="n">
        <v>44788</v>
      </c>
      <c r="AB80" s="27" t="n"/>
      <c r="AC80" s="27" t="n">
        <v>20</v>
      </c>
      <c r="AD80" s="210" t="n">
        <v>47.7765</v>
      </c>
      <c r="AE80" s="237" t="n">
        <v>9.555300000000001</v>
      </c>
      <c r="AF80" t="b">
        <v>0</v>
      </c>
      <c r="AG80" s="228" t="n">
        <v>-47.7765</v>
      </c>
    </row>
    <row r="81">
      <c r="A81">
        <f>I81&amp;"-"&amp;J81</f>
        <v/>
      </c>
      <c r="B81" s="1">
        <f>N81</f>
        <v/>
      </c>
      <c r="C81">
        <f>M81&amp;"/"&amp;O81</f>
        <v/>
      </c>
      <c r="D81">
        <f>K81</f>
        <v/>
      </c>
      <c r="E81">
        <f>L81</f>
        <v/>
      </c>
      <c r="F81" s="236">
        <f>Z81</f>
        <v/>
      </c>
      <c r="G81">
        <f>U81&amp;"%"</f>
        <v/>
      </c>
      <c r="I81" s="53" t="n">
        <v>2022</v>
      </c>
      <c r="J81" s="53" t="n">
        <v>80</v>
      </c>
      <c r="K81" s="71" t="inlineStr">
        <is>
          <t>Einnahmen</t>
        </is>
      </c>
      <c r="L81" t="inlineStr">
        <is>
          <t>Waren-/Leistungserlöse</t>
        </is>
      </c>
      <c r="M81" t="inlineStr">
        <is>
          <t>168043041+168042941</t>
        </is>
      </c>
      <c r="N81" s="1" t="n">
        <v>44694</v>
      </c>
      <c r="O81" t="inlineStr">
        <is>
          <t>Hays Österreich GmbH, Bahnhof City Wien West , Europaplatz 3/5, 1150 Wien</t>
        </is>
      </c>
      <c r="Q81" s="76" t="n"/>
      <c r="R81" t="b">
        <v>0</v>
      </c>
      <c r="S81" s="214" t="n">
        <v>17199.5</v>
      </c>
      <c r="T81" s="159" t="n">
        <v>1</v>
      </c>
      <c r="U81" t="n">
        <v>20</v>
      </c>
      <c r="V81" s="237" t="n">
        <v>3439.9</v>
      </c>
      <c r="W81" s="237" t="n">
        <v>3439.9</v>
      </c>
      <c r="X81" s="208" t="n">
        <v>17199.5</v>
      </c>
      <c r="Y81" s="251" t="n">
        <v>20639.4</v>
      </c>
      <c r="Z81" s="251" t="n">
        <v>20639.4</v>
      </c>
      <c r="AA81" s="35" t="n">
        <v>44788</v>
      </c>
      <c r="AB81" s="27" t="n"/>
      <c r="AC81" s="27" t="n">
        <v>20</v>
      </c>
      <c r="AD81" s="210" t="n">
        <v>17199.5</v>
      </c>
      <c r="AE81" s="237" t="n">
        <v>4127.88</v>
      </c>
      <c r="AF81" t="b">
        <v>1</v>
      </c>
      <c r="AG81" s="228" t="n">
        <v>17199.5</v>
      </c>
    </row>
    <row r="82">
      <c r="A82">
        <f>I82&amp;"-"&amp;J82</f>
        <v/>
      </c>
      <c r="B82" s="1">
        <f>N82</f>
        <v/>
      </c>
      <c r="C82">
        <f>M82&amp;"/"&amp;O82</f>
        <v/>
      </c>
      <c r="D82">
        <f>K82</f>
        <v/>
      </c>
      <c r="E82">
        <f>L82</f>
        <v/>
      </c>
      <c r="F82" s="236">
        <f>Z82</f>
        <v/>
      </c>
      <c r="G82">
        <f>U82&amp;"%"</f>
        <v/>
      </c>
      <c r="I82" s="53" t="n">
        <v>2022</v>
      </c>
      <c r="J82" s="53" t="n">
        <v>81</v>
      </c>
      <c r="K82" s="71" t="inlineStr">
        <is>
          <t>Ausgaben</t>
        </is>
      </c>
      <c r="L82" t="inlineStr">
        <is>
          <t>sonstige Betriebsausgaben</t>
        </is>
      </c>
      <c r="M82" s="9" t="n"/>
      <c r="N82" s="1" t="n">
        <v>44697</v>
      </c>
      <c r="O82" t="inlineStr">
        <is>
          <t>Google Ireland Ltd, Gordon House, Barrow Street, Dublin 4, Ireland; VAT number: IE 6388047V</t>
        </is>
      </c>
      <c r="Q82" s="76" t="n"/>
      <c r="R82" t="b">
        <v>0</v>
      </c>
      <c r="S82" s="214" t="n">
        <v>0.49</v>
      </c>
      <c r="T82" s="159" t="n">
        <v>1</v>
      </c>
      <c r="U82" t="n">
        <v>0</v>
      </c>
      <c r="V82" s="237" t="n">
        <v>0</v>
      </c>
      <c r="W82" s="237" t="n">
        <v>0</v>
      </c>
      <c r="X82" s="208" t="n">
        <v>0.49</v>
      </c>
      <c r="Y82" s="251" t="n">
        <v>0.49</v>
      </c>
      <c r="Z82" s="251" t="n">
        <v>0.49</v>
      </c>
      <c r="AA82" s="35" t="n">
        <v>44788</v>
      </c>
      <c r="AB82" s="27" t="n"/>
      <c r="AC82" s="27" t="n">
        <v>20</v>
      </c>
      <c r="AD82" s="210" t="n">
        <v>0.49</v>
      </c>
      <c r="AE82" s="237" t="n">
        <v>0.098</v>
      </c>
      <c r="AF82" t="b">
        <v>0</v>
      </c>
      <c r="AG82" s="228" t="n">
        <v>-0.49</v>
      </c>
    </row>
    <row r="83">
      <c r="A83">
        <f>I83&amp;"-"&amp;J83</f>
        <v/>
      </c>
      <c r="B83" s="1">
        <f>N83</f>
        <v/>
      </c>
      <c r="C83">
        <f>M83&amp;"/"&amp;O83</f>
        <v/>
      </c>
      <c r="D83">
        <f>K83</f>
        <v/>
      </c>
      <c r="E83">
        <f>L83</f>
        <v/>
      </c>
      <c r="F83" s="236">
        <f>Z83</f>
        <v/>
      </c>
      <c r="G83">
        <f>U83&amp;"%"</f>
        <v/>
      </c>
      <c r="I83" s="53" t="n">
        <v>2022</v>
      </c>
      <c r="J83" s="53" t="n">
        <v>82</v>
      </c>
      <c r="K83" s="71" t="inlineStr">
        <is>
          <t>Ausgaben</t>
        </is>
      </c>
      <c r="L83" t="inlineStr">
        <is>
          <t>sonstige Betriebsausgaben</t>
        </is>
      </c>
      <c r="M83" s="6" t="n"/>
      <c r="N83" s="1" t="n">
        <v>44704</v>
      </c>
      <c r="O83" t="inlineStr">
        <is>
          <t>Microsoft Ireland Operations Ltd. One Microsoft Place, South County, Business Park, Leopardstown, Dublin 18, D18 P521, Ireland</t>
        </is>
      </c>
      <c r="Q83" s="76" t="n"/>
      <c r="R83" t="b">
        <v>0</v>
      </c>
      <c r="S83" s="214" t="n">
        <v>10.5</v>
      </c>
      <c r="T83" s="159" t="n">
        <v>1</v>
      </c>
      <c r="U83" t="n">
        <v>0</v>
      </c>
      <c r="V83" s="237" t="n">
        <v>0</v>
      </c>
      <c r="W83" s="237" t="n">
        <v>0</v>
      </c>
      <c r="X83" s="208" t="n">
        <v>10.5</v>
      </c>
      <c r="Y83" s="251" t="n">
        <v>10.5</v>
      </c>
      <c r="Z83" s="251" t="n">
        <v>10.5</v>
      </c>
      <c r="AA83" s="35" t="n">
        <v>44788</v>
      </c>
      <c r="AB83" s="27" t="n"/>
      <c r="AC83" s="27" t="n">
        <v>20</v>
      </c>
      <c r="AD83" s="210" t="n">
        <v>10.5</v>
      </c>
      <c r="AE83" s="237" t="n">
        <v>2.1</v>
      </c>
      <c r="AF83" t="b">
        <v>0</v>
      </c>
      <c r="AG83" s="228" t="n">
        <v>-10.5</v>
      </c>
    </row>
    <row r="84">
      <c r="A84">
        <f>I84&amp;"-"&amp;J84</f>
        <v/>
      </c>
      <c r="B84" s="1">
        <f>N84</f>
        <v/>
      </c>
      <c r="C84">
        <f>M84&amp;"/"&amp;O84</f>
        <v/>
      </c>
      <c r="D84">
        <f>K84</f>
        <v/>
      </c>
      <c r="E84">
        <f>L84</f>
        <v/>
      </c>
      <c r="F84" s="236">
        <f>Z84</f>
        <v/>
      </c>
      <c r="G84">
        <f>U84&amp;"%"</f>
        <v/>
      </c>
      <c r="I84" s="53" t="n">
        <v>2022</v>
      </c>
      <c r="J84" s="53" t="n">
        <v>83</v>
      </c>
      <c r="K84" s="71" t="inlineStr">
        <is>
          <t>Ausgaben</t>
        </is>
      </c>
      <c r="L84" t="inlineStr">
        <is>
          <t>Telefon/Internet</t>
        </is>
      </c>
      <c r="M84" s="131" t="n"/>
      <c r="N84" s="1" t="n">
        <v>44705</v>
      </c>
      <c r="O84" t="inlineStr">
        <is>
          <t>Magenta: T-Mobile Austria GmbH, A-1120 Wien, PF 47</t>
        </is>
      </c>
      <c r="Q84" s="76" t="n"/>
      <c r="R84" t="b">
        <v>0</v>
      </c>
      <c r="S84" s="214" t="n">
        <v>31.92</v>
      </c>
      <c r="T84" s="159" t="n">
        <v>1</v>
      </c>
      <c r="U84" t="n">
        <v>20</v>
      </c>
      <c r="V84" s="237" t="n">
        <v>6.384000000000001</v>
      </c>
      <c r="W84" s="237" t="n">
        <v>6.384000000000001</v>
      </c>
      <c r="X84" s="208" t="n">
        <v>31.92</v>
      </c>
      <c r="Y84" s="251" t="n">
        <v>38.304</v>
      </c>
      <c r="Z84" s="251" t="n">
        <v>38.304</v>
      </c>
      <c r="AA84" s="35" t="n">
        <v>44788</v>
      </c>
      <c r="AB84" s="27" t="n"/>
      <c r="AC84" s="27" t="n"/>
      <c r="AD84" s="210" t="n">
        <v>31.92</v>
      </c>
      <c r="AE84" s="237" t="n">
        <v>0</v>
      </c>
      <c r="AF84" t="b">
        <v>0</v>
      </c>
      <c r="AG84" s="228" t="n">
        <v>-31.92</v>
      </c>
    </row>
    <row r="85">
      <c r="A85">
        <f>I85&amp;"-"&amp;J85</f>
        <v/>
      </c>
      <c r="B85" s="1">
        <f>N85</f>
        <v/>
      </c>
      <c r="C85">
        <f>M85&amp;"/"&amp;O85</f>
        <v/>
      </c>
      <c r="D85">
        <f>K85</f>
        <v/>
      </c>
      <c r="E85">
        <f>L85</f>
        <v/>
      </c>
      <c r="F85" s="236">
        <f>Z85</f>
        <v/>
      </c>
      <c r="G85">
        <f>U85&amp;"%"</f>
        <v/>
      </c>
      <c r="I85" s="53" t="n">
        <v>2022</v>
      </c>
      <c r="J85" s="53" t="n">
        <v>84</v>
      </c>
      <c r="K85" s="71" t="inlineStr">
        <is>
          <t>Ausgaben</t>
        </is>
      </c>
      <c r="L85" t="inlineStr">
        <is>
          <t>Pflichversicherungsbeiträge</t>
        </is>
      </c>
      <c r="M85" s="9" t="n">
        <v>11561270283</v>
      </c>
      <c r="N85" s="1" t="n">
        <v>44711</v>
      </c>
      <c r="O85" t="inlineStr">
        <is>
          <t>Sozialversicherung der gewerblichen Wirtshaft</t>
        </is>
      </c>
      <c r="Q85" s="76" t="n"/>
      <c r="R85" t="b">
        <v>0</v>
      </c>
      <c r="S85" s="214" t="n">
        <v>5684.7</v>
      </c>
      <c r="T85" s="159" t="n">
        <v>1</v>
      </c>
      <c r="U85" t="n">
        <v>0</v>
      </c>
      <c r="V85" s="237" t="n">
        <v>0</v>
      </c>
      <c r="W85" s="237" t="n">
        <v>0</v>
      </c>
      <c r="X85" s="208" t="n">
        <v>5684.7</v>
      </c>
      <c r="Y85" s="251" t="n">
        <v>5684.7</v>
      </c>
      <c r="Z85" s="251" t="n">
        <v>5684.7</v>
      </c>
      <c r="AA85" s="35" t="n">
        <v>44788</v>
      </c>
      <c r="AB85" s="27" t="n"/>
      <c r="AC85" s="27" t="n"/>
      <c r="AD85" s="210" t="n">
        <v>5684.7</v>
      </c>
      <c r="AE85" s="237" t="n">
        <v>0</v>
      </c>
      <c r="AF85" t="b">
        <v>0</v>
      </c>
      <c r="AG85" s="228" t="n">
        <v>-5684.7</v>
      </c>
    </row>
    <row r="86">
      <c r="A86">
        <f>I86&amp;"-"&amp;J86</f>
        <v/>
      </c>
      <c r="B86" s="1">
        <f>N86</f>
        <v/>
      </c>
      <c r="C86">
        <f>M86&amp;"/"&amp;O86</f>
        <v/>
      </c>
      <c r="D86">
        <f>K86</f>
        <v/>
      </c>
      <c r="E86">
        <f>L86</f>
        <v/>
      </c>
      <c r="F86" s="236">
        <f>Z86</f>
        <v/>
      </c>
      <c r="G86">
        <f>U86&amp;"%"</f>
        <v/>
      </c>
      <c r="I86" s="53" t="n">
        <v>2022</v>
      </c>
      <c r="J86" s="53" t="n">
        <v>85</v>
      </c>
      <c r="K86" s="71" t="inlineStr">
        <is>
          <t>Ausgaben</t>
        </is>
      </c>
      <c r="L86" t="inlineStr">
        <is>
          <t>Miet- und Pachtaufwand, Leasing</t>
        </is>
      </c>
      <c r="M86" s="9" t="n"/>
      <c r="N86" s="1" t="n">
        <v>44713</v>
      </c>
      <c r="O86" t="inlineStr">
        <is>
          <t>Bontus Immobilienverwaltung GmbH, 1010 Wien, Franz Josefs Kai 65</t>
        </is>
      </c>
      <c r="Q86" s="76" t="n"/>
      <c r="R86" t="b">
        <v>0</v>
      </c>
      <c r="S86" s="214" t="n">
        <v>488.8583333333333</v>
      </c>
      <c r="T86" s="159" t="n">
        <v>1</v>
      </c>
      <c r="U86" t="n">
        <v>20</v>
      </c>
      <c r="V86" s="237" t="n">
        <v>97.77166666666668</v>
      </c>
      <c r="W86" s="237" t="n">
        <v>97.77166666666668</v>
      </c>
      <c r="X86" s="208" t="n">
        <v>488.8583333333333</v>
      </c>
      <c r="Y86" s="251" t="n">
        <v>586.63</v>
      </c>
      <c r="Z86" s="251" t="n">
        <v>586.63</v>
      </c>
      <c r="AA86" s="35" t="n">
        <v>44788</v>
      </c>
      <c r="AB86" s="27" t="n"/>
      <c r="AC86" s="27" t="n"/>
      <c r="AD86" s="210" t="n">
        <v>488.8583333333333</v>
      </c>
      <c r="AE86" s="237" t="n">
        <v>0</v>
      </c>
      <c r="AF86" t="b">
        <v>0</v>
      </c>
      <c r="AG86" s="228" t="n">
        <v>-488.8583333333333</v>
      </c>
    </row>
    <row r="87">
      <c r="A87">
        <f>I87&amp;"-"&amp;J87</f>
        <v/>
      </c>
      <c r="B87" s="1">
        <f>N87</f>
        <v/>
      </c>
      <c r="C87">
        <f>M87&amp;"/"&amp;O87</f>
        <v/>
      </c>
      <c r="D87">
        <f>K87</f>
        <v/>
      </c>
      <c r="E87">
        <f>L87</f>
        <v/>
      </c>
      <c r="F87" s="236">
        <f>Z87</f>
        <v/>
      </c>
      <c r="G87">
        <f>U87&amp;"%"</f>
        <v/>
      </c>
      <c r="I87" s="53" t="n">
        <v>2022</v>
      </c>
      <c r="J87" s="53" t="n">
        <v>86</v>
      </c>
      <c r="K87" s="71" t="inlineStr">
        <is>
          <t>Ausgaben</t>
        </is>
      </c>
      <c r="L87" t="inlineStr">
        <is>
          <t>Reise- und Fahrtspesen inkl. Kilometergeld und Diäten</t>
        </is>
      </c>
      <c r="M87" s="131" t="n"/>
      <c r="N87" s="1" t="n">
        <v>44714</v>
      </c>
      <c r="O87" t="inlineStr">
        <is>
          <t>car2go Österreich GmbH, Hintere Zollamtstraße 9, 1030 Wien</t>
        </is>
      </c>
      <c r="Q87" s="76" t="n"/>
      <c r="R87" t="b">
        <v>0</v>
      </c>
      <c r="S87" s="214" t="n">
        <v>6.57</v>
      </c>
      <c r="T87" s="159" t="n">
        <v>1</v>
      </c>
      <c r="U87" t="n">
        <v>20</v>
      </c>
      <c r="V87" s="237" t="n">
        <v>1.314</v>
      </c>
      <c r="W87" s="237" t="n">
        <v>1.314</v>
      </c>
      <c r="X87" s="208" t="n">
        <v>6.57</v>
      </c>
      <c r="Y87" s="251" t="n">
        <v>7.884</v>
      </c>
      <c r="Z87" s="251" t="n">
        <v>7.884</v>
      </c>
      <c r="AA87" s="35" t="n">
        <v>44788</v>
      </c>
      <c r="AB87" s="27" t="n"/>
      <c r="AC87" s="27" t="n"/>
      <c r="AD87" s="210" t="n">
        <v>6.57</v>
      </c>
      <c r="AE87" s="237" t="n">
        <v>0</v>
      </c>
      <c r="AF87" t="b">
        <v>0</v>
      </c>
      <c r="AG87" s="228" t="n">
        <v>-6.57</v>
      </c>
    </row>
    <row r="88">
      <c r="A88">
        <f>I88&amp;"-"&amp;J88</f>
        <v/>
      </c>
      <c r="B88" s="1">
        <f>N88</f>
        <v/>
      </c>
      <c r="C88">
        <f>M88&amp;"/"&amp;O88</f>
        <v/>
      </c>
      <c r="D88">
        <f>K88</f>
        <v/>
      </c>
      <c r="E88">
        <f>L88</f>
        <v/>
      </c>
      <c r="F88" s="236">
        <f>Z88</f>
        <v/>
      </c>
      <c r="G88">
        <f>U88&amp;"%"</f>
        <v/>
      </c>
      <c r="I88" s="53" t="n">
        <v>2022</v>
      </c>
      <c r="J88" s="53" t="n">
        <v>87</v>
      </c>
      <c r="K88" s="71" t="inlineStr">
        <is>
          <t>Ausgaben</t>
        </is>
      </c>
      <c r="L88" t="inlineStr">
        <is>
          <t>sonstige Betriebsausgaben</t>
        </is>
      </c>
      <c r="M88" s="9" t="n"/>
      <c r="N88" s="1" t="n">
        <v>44715</v>
      </c>
      <c r="O88" t="inlineStr">
        <is>
          <t>Google Ireland Ltd, Gordon House, Barrow Street, Dublin 4, Ireland; VAT number: IE 6388047V</t>
        </is>
      </c>
      <c r="Q88" s="76" t="n"/>
      <c r="R88" t="b">
        <v>0</v>
      </c>
      <c r="S88" s="214" t="n">
        <v>9.359999999999999</v>
      </c>
      <c r="T88" s="159" t="n">
        <v>1</v>
      </c>
      <c r="U88" t="n">
        <v>0</v>
      </c>
      <c r="V88" s="237" t="n">
        <v>0</v>
      </c>
      <c r="W88" s="237" t="n">
        <v>0</v>
      </c>
      <c r="X88" s="208" t="n">
        <v>9.359999999999999</v>
      </c>
      <c r="Y88" s="251" t="n">
        <v>9.359999999999999</v>
      </c>
      <c r="Z88" s="251" t="n">
        <v>9.359999999999999</v>
      </c>
      <c r="AA88" s="35" t="n">
        <v>44788</v>
      </c>
      <c r="AB88" s="27" t="n"/>
      <c r="AC88" s="27" t="n">
        <v>20</v>
      </c>
      <c r="AD88" s="210" t="n">
        <v>9.359999999999999</v>
      </c>
      <c r="AE88" s="237" t="n">
        <v>1.872</v>
      </c>
      <c r="AF88" t="b">
        <v>0</v>
      </c>
      <c r="AG88" s="228" t="n">
        <v>-9.359999999999999</v>
      </c>
    </row>
    <row r="89">
      <c r="A89">
        <f>I89&amp;"-"&amp;J89</f>
        <v/>
      </c>
      <c r="B89" s="1">
        <f>N89</f>
        <v/>
      </c>
      <c r="C89">
        <f>M89&amp;"/"&amp;O89</f>
        <v/>
      </c>
      <c r="D89">
        <f>K89</f>
        <v/>
      </c>
      <c r="E89">
        <f>L89</f>
        <v/>
      </c>
      <c r="F89" s="236">
        <f>Z89</f>
        <v/>
      </c>
      <c r="G89">
        <f>U89&amp;"%"</f>
        <v/>
      </c>
      <c r="I89" s="53" t="n">
        <v>2022</v>
      </c>
      <c r="J89" s="53" t="n">
        <v>88</v>
      </c>
      <c r="K89" s="71" t="inlineStr">
        <is>
          <t>Ausgaben</t>
        </is>
      </c>
      <c r="L89" t="inlineStr">
        <is>
          <t>sonstige Betriebsausgaben</t>
        </is>
      </c>
      <c r="M89" s="153" t="inlineStr">
        <is>
          <t>siehe Jahresabrechnung</t>
        </is>
      </c>
      <c r="N89" s="1" t="n">
        <v>44715</v>
      </c>
      <c r="O89" t="inlineStr">
        <is>
          <t>go green energy GmbH &amp; Co KG</t>
        </is>
      </c>
      <c r="Q89" s="76" t="n"/>
      <c r="R89" t="b">
        <v>0</v>
      </c>
      <c r="S89" s="214" t="n">
        <v>2.5</v>
      </c>
      <c r="T89" s="159" t="n">
        <v>1</v>
      </c>
      <c r="U89" t="n">
        <v>20</v>
      </c>
      <c r="V89" s="237" t="n">
        <v>0.5</v>
      </c>
      <c r="W89" s="237" t="n">
        <v>0.5</v>
      </c>
      <c r="X89" s="208" t="n">
        <v>2.5</v>
      </c>
      <c r="Y89" s="251" t="n">
        <v>3</v>
      </c>
      <c r="Z89" s="251" t="n">
        <v>3</v>
      </c>
      <c r="AA89" s="35" t="n">
        <v>44788</v>
      </c>
      <c r="AB89" s="27" t="n"/>
      <c r="AC89" s="27" t="n"/>
      <c r="AD89" s="210" t="n">
        <v>2.5</v>
      </c>
      <c r="AE89" s="237" t="n">
        <v>0</v>
      </c>
      <c r="AF89" t="b">
        <v>0</v>
      </c>
      <c r="AG89" s="228" t="n">
        <v>-2.5</v>
      </c>
    </row>
    <row r="90">
      <c r="A90">
        <f>I90&amp;"-"&amp;J90</f>
        <v/>
      </c>
      <c r="B90" s="1">
        <f>N90</f>
        <v/>
      </c>
      <c r="C90">
        <f>M90&amp;"/"&amp;O90</f>
        <v/>
      </c>
      <c r="D90">
        <f>K90</f>
        <v/>
      </c>
      <c r="E90">
        <f>L90</f>
        <v/>
      </c>
      <c r="F90" s="236">
        <f>Z90</f>
        <v/>
      </c>
      <c r="G90">
        <f>U90&amp;"%"</f>
        <v/>
      </c>
      <c r="I90" s="53" t="n">
        <v>2022</v>
      </c>
      <c r="J90" s="53" t="n">
        <v>89</v>
      </c>
      <c r="K90" s="71" t="inlineStr">
        <is>
          <t>Ausgaben</t>
        </is>
      </c>
      <c r="L90" t="inlineStr">
        <is>
          <t>Miet- und Pachtaufwand, Leasing</t>
        </is>
      </c>
      <c r="M90" s="139" t="n"/>
      <c r="N90" s="1" t="n">
        <v>44719</v>
      </c>
      <c r="O90" t="inlineStr">
        <is>
          <t>Techem Messtechnik GmbH; Abnehmernummer 501686-0003-11-</t>
        </is>
      </c>
      <c r="Q90" s="76" t="n"/>
      <c r="R90" t="b">
        <v>0</v>
      </c>
      <c r="S90" s="214" t="n">
        <v>122.6</v>
      </c>
      <c r="T90" s="159" t="n">
        <v>1</v>
      </c>
      <c r="U90" t="n">
        <v>20</v>
      </c>
      <c r="V90" s="237" t="n">
        <v>24.52</v>
      </c>
      <c r="W90" s="237" t="n">
        <v>24.52</v>
      </c>
      <c r="X90" s="208" t="n">
        <v>122.6</v>
      </c>
      <c r="Y90" s="251" t="n">
        <v>147.12</v>
      </c>
      <c r="Z90" s="251" t="n">
        <v>147.12</v>
      </c>
      <c r="AA90" s="35" t="n">
        <v>44788</v>
      </c>
      <c r="AB90" s="27" t="n"/>
      <c r="AC90" s="27" t="n"/>
      <c r="AD90" s="210" t="n">
        <v>122.6</v>
      </c>
      <c r="AE90" s="237" t="n">
        <v>0</v>
      </c>
      <c r="AF90" t="b">
        <v>0</v>
      </c>
      <c r="AG90" s="228" t="n">
        <v>-122.6</v>
      </c>
    </row>
    <row r="91">
      <c r="A91">
        <f>I91&amp;"-"&amp;J91</f>
        <v/>
      </c>
      <c r="B91" s="1">
        <f>N91</f>
        <v/>
      </c>
      <c r="C91">
        <f>M91&amp;"/"&amp;O91</f>
        <v/>
      </c>
      <c r="D91">
        <f>K91</f>
        <v/>
      </c>
      <c r="E91">
        <f>L91</f>
        <v/>
      </c>
      <c r="F91" s="236">
        <f>Z91</f>
        <v/>
      </c>
      <c r="G91">
        <f>U91&amp;"%"</f>
        <v/>
      </c>
      <c r="I91" s="53" t="n">
        <v>2022</v>
      </c>
      <c r="J91" s="53" t="n">
        <v>90</v>
      </c>
      <c r="K91" s="71" t="inlineStr">
        <is>
          <t>Ausgaben</t>
        </is>
      </c>
      <c r="L91" t="inlineStr">
        <is>
          <t>Telefon/Internet</t>
        </is>
      </c>
      <c r="M91" s="9" t="n"/>
      <c r="N91" s="1" t="n">
        <v>44720</v>
      </c>
      <c r="O91" t="inlineStr">
        <is>
          <t>Hutchison Drei Austria GmbH, Brünner Straße 52, 1210 Wien, Österreich</t>
        </is>
      </c>
      <c r="Q91" s="76" t="n"/>
      <c r="R91" t="b">
        <v>0</v>
      </c>
      <c r="S91" s="214" t="n">
        <v>15</v>
      </c>
      <c r="T91" s="159" t="n">
        <v>1</v>
      </c>
      <c r="U91" t="n">
        <v>20</v>
      </c>
      <c r="V91" s="237" t="n">
        <v>3</v>
      </c>
      <c r="W91" s="237" t="n">
        <v>3</v>
      </c>
      <c r="X91" s="208" t="n">
        <v>15</v>
      </c>
      <c r="Y91" s="251" t="n">
        <v>18</v>
      </c>
      <c r="Z91" s="251" t="n">
        <v>18</v>
      </c>
      <c r="AA91" s="35" t="n">
        <v>44788</v>
      </c>
      <c r="AB91" s="27" t="n"/>
      <c r="AC91" s="27" t="n"/>
      <c r="AD91" s="210" t="n">
        <v>15</v>
      </c>
      <c r="AE91" s="237" t="n">
        <v>0</v>
      </c>
      <c r="AF91" t="b">
        <v>0</v>
      </c>
      <c r="AG91" s="228" t="n">
        <v>-15</v>
      </c>
    </row>
    <row r="92">
      <c r="A92">
        <f>I92&amp;"-"&amp;J92</f>
        <v/>
      </c>
      <c r="B92" s="1">
        <f>N92</f>
        <v/>
      </c>
      <c r="C92">
        <f>M92&amp;"/"&amp;O92</f>
        <v/>
      </c>
      <c r="D92">
        <f>K92</f>
        <v/>
      </c>
      <c r="E92">
        <f>L92</f>
        <v/>
      </c>
      <c r="F92" s="236">
        <f>Z92</f>
        <v/>
      </c>
      <c r="G92">
        <f>U92&amp;"%"</f>
        <v/>
      </c>
      <c r="I92" s="53" t="n">
        <v>2022</v>
      </c>
      <c r="J92" s="53" t="n">
        <v>91</v>
      </c>
      <c r="K92" s="71" t="inlineStr">
        <is>
          <t>Ausgaben</t>
        </is>
      </c>
      <c r="L92" t="inlineStr">
        <is>
          <t>Miet- und Pachtaufwand, Leasing</t>
        </is>
      </c>
      <c r="M92" s="139" t="n"/>
      <c r="N92" s="1" t="n">
        <v>44721</v>
      </c>
      <c r="O92" t="inlineStr">
        <is>
          <t>Techem Messtechnik GmbH; Abnehmernummer 501686-0003-11-</t>
        </is>
      </c>
      <c r="Q92" s="76" t="n"/>
      <c r="R92" t="b">
        <v>0</v>
      </c>
      <c r="S92" s="214" t="n">
        <v>-8.925000000000001</v>
      </c>
      <c r="T92" s="159" t="n">
        <v>1</v>
      </c>
      <c r="U92" t="n">
        <v>20</v>
      </c>
      <c r="V92" s="237" t="n">
        <v>-1.785</v>
      </c>
      <c r="W92" s="237" t="n">
        <v>-1.785</v>
      </c>
      <c r="X92" s="208" t="n">
        <v>-8.925000000000001</v>
      </c>
      <c r="Y92" s="251" t="n">
        <v>-10.71</v>
      </c>
      <c r="Z92" s="251" t="n">
        <v>-10.71</v>
      </c>
      <c r="AA92" s="35" t="n">
        <v>44788</v>
      </c>
      <c r="AB92" s="27" t="n"/>
      <c r="AC92" s="27" t="n"/>
      <c r="AD92" s="210" t="n">
        <v>-8.925000000000001</v>
      </c>
      <c r="AE92" s="237" t="n">
        <v>0</v>
      </c>
      <c r="AF92" t="b">
        <v>0</v>
      </c>
      <c r="AG92" s="228" t="n">
        <v>8.925000000000001</v>
      </c>
    </row>
    <row r="93">
      <c r="A93">
        <f>I93&amp;"-"&amp;J93</f>
        <v/>
      </c>
      <c r="B93" s="1">
        <f>N93</f>
        <v/>
      </c>
      <c r="C93">
        <f>M93&amp;"/"&amp;O93</f>
        <v/>
      </c>
      <c r="D93">
        <f>K93</f>
        <v/>
      </c>
      <c r="E93">
        <f>L93</f>
        <v/>
      </c>
      <c r="F93" s="236">
        <f>Z93</f>
        <v/>
      </c>
      <c r="G93">
        <f>U93&amp;"%"</f>
        <v/>
      </c>
      <c r="I93" s="53" t="n">
        <v>2022</v>
      </c>
      <c r="J93" s="53" t="n">
        <v>92</v>
      </c>
      <c r="K93" s="71" t="inlineStr">
        <is>
          <t>Ausgaben</t>
        </is>
      </c>
      <c r="L93" t="inlineStr">
        <is>
          <t>sonstige Betriebsausgaben</t>
        </is>
      </c>
      <c r="M93" s="139" t="inlineStr">
        <is>
          <t>220008996902</t>
        </is>
      </c>
      <c r="N93" s="1" t="n">
        <v>44722</v>
      </c>
      <c r="O93" t="inlineStr">
        <is>
          <t>Wiener Netze GmbH, Erdbergstraße 236, 1110 Wien, Postfach 422; Jahresabrechnung vom 17.12.20: GUTSCHRIFT</t>
        </is>
      </c>
      <c r="Q93" s="76" t="n"/>
      <c r="R93" t="b">
        <v>0</v>
      </c>
      <c r="S93" s="214" t="n">
        <v>11</v>
      </c>
      <c r="T93" s="159" t="n">
        <v>1</v>
      </c>
      <c r="U93" t="n">
        <v>20</v>
      </c>
      <c r="V93" s="237" t="n">
        <v>2.2</v>
      </c>
      <c r="W93" s="237" t="n">
        <v>2.2</v>
      </c>
      <c r="X93" s="208" t="n">
        <v>11</v>
      </c>
      <c r="Y93" s="251" t="n">
        <v>13.2</v>
      </c>
      <c r="Z93" s="251" t="n">
        <v>13.2</v>
      </c>
      <c r="AA93" s="35" t="n">
        <v>44788</v>
      </c>
      <c r="AB93" s="27" t="n"/>
      <c r="AC93" s="27" t="n"/>
      <c r="AD93" s="210" t="n">
        <v>11</v>
      </c>
      <c r="AE93" s="237" t="n">
        <v>0</v>
      </c>
      <c r="AF93" t="b">
        <v>0</v>
      </c>
      <c r="AG93" s="228" t="n">
        <v>-11</v>
      </c>
    </row>
    <row r="94">
      <c r="A94">
        <f>I94&amp;"-"&amp;J94</f>
        <v/>
      </c>
      <c r="B94" s="1">
        <f>N94</f>
        <v/>
      </c>
      <c r="C94">
        <f>M94&amp;"/"&amp;O94</f>
        <v/>
      </c>
      <c r="D94">
        <f>K94</f>
        <v/>
      </c>
      <c r="E94">
        <f>L94</f>
        <v/>
      </c>
      <c r="F94" s="236">
        <f>Z94</f>
        <v/>
      </c>
      <c r="G94">
        <f>U94&amp;"%"</f>
        <v/>
      </c>
      <c r="I94" s="53" t="n">
        <v>2022</v>
      </c>
      <c r="J94" s="53" t="n">
        <v>93</v>
      </c>
      <c r="K94" s="71" t="inlineStr">
        <is>
          <t>Ausgaben</t>
        </is>
      </c>
      <c r="L94" t="inlineStr">
        <is>
          <t>sonstige Betriebsausgaben</t>
        </is>
      </c>
      <c r="M94" s="9" t="n"/>
      <c r="N94" s="1" t="n">
        <v>44725</v>
      </c>
      <c r="O94" t="inlineStr">
        <is>
          <t>Woocommerce.com, 17 Shelley Road, Salt River, Cape Town 7625, South Africa</t>
        </is>
      </c>
      <c r="Q94" s="76" t="n"/>
      <c r="R94" t="b">
        <v>0</v>
      </c>
      <c r="S94" s="214" t="n">
        <v>27.75</v>
      </c>
      <c r="T94" s="159" t="n">
        <v>1</v>
      </c>
      <c r="U94" t="n">
        <v>0</v>
      </c>
      <c r="V94" s="237" t="n">
        <v>0</v>
      </c>
      <c r="W94" s="237" t="n">
        <v>0</v>
      </c>
      <c r="X94" s="208" t="n">
        <v>27.75</v>
      </c>
      <c r="Y94" s="251" t="n">
        <v>27.75</v>
      </c>
      <c r="Z94" s="251" t="n">
        <v>27.75</v>
      </c>
      <c r="AA94" s="35" t="n">
        <v>44788</v>
      </c>
      <c r="AB94" s="27" t="n"/>
      <c r="AC94" s="27" t="n">
        <v>20</v>
      </c>
      <c r="AD94" s="210" t="n">
        <v>27.75</v>
      </c>
      <c r="AE94" s="237" t="n">
        <v>5.550000000000001</v>
      </c>
      <c r="AF94" t="b">
        <v>0</v>
      </c>
      <c r="AG94" s="228" t="n">
        <v>-27.75</v>
      </c>
    </row>
    <row r="95">
      <c r="A95">
        <f>I95&amp;"-"&amp;J95</f>
        <v/>
      </c>
      <c r="B95" s="1">
        <f>N95</f>
        <v/>
      </c>
      <c r="C95">
        <f>M95&amp;"/"&amp;O95</f>
        <v/>
      </c>
      <c r="D95">
        <f>K95</f>
        <v/>
      </c>
      <c r="E95">
        <f>L95</f>
        <v/>
      </c>
      <c r="F95" s="236">
        <f>Z95</f>
        <v/>
      </c>
      <c r="G95">
        <f>U95&amp;"%"</f>
        <v/>
      </c>
      <c r="I95" s="53" t="n">
        <v>2022</v>
      </c>
      <c r="J95" s="53" t="n">
        <v>94</v>
      </c>
      <c r="K95" s="71" t="inlineStr">
        <is>
          <t>Ausgaben</t>
        </is>
      </c>
      <c r="L95" t="inlineStr">
        <is>
          <t>sonstige Betriebsausgaben</t>
        </is>
      </c>
      <c r="M95" s="9" t="n"/>
      <c r="N95" s="1" t="n">
        <v>44725</v>
      </c>
      <c r="O95" t="inlineStr">
        <is>
          <t>Hetzner Online GmbH</t>
        </is>
      </c>
      <c r="Q95" s="76" t="n"/>
      <c r="R95" t="b">
        <v>0</v>
      </c>
      <c r="S95" s="214" t="n">
        <v>47.7765</v>
      </c>
      <c r="T95" s="159" t="n">
        <v>1</v>
      </c>
      <c r="U95" t="n">
        <v>0</v>
      </c>
      <c r="V95" s="237" t="n">
        <v>0</v>
      </c>
      <c r="W95" s="237" t="n">
        <v>0</v>
      </c>
      <c r="X95" s="208" t="n">
        <v>47.7765</v>
      </c>
      <c r="Y95" s="251" t="n">
        <v>47.7765</v>
      </c>
      <c r="Z95" s="251" t="n">
        <v>47.7765</v>
      </c>
      <c r="AA95" s="35" t="n">
        <v>44788</v>
      </c>
      <c r="AB95" s="27" t="n"/>
      <c r="AC95" s="27" t="n">
        <v>20</v>
      </c>
      <c r="AD95" s="210" t="n">
        <v>47.7765</v>
      </c>
      <c r="AE95" s="237" t="n">
        <v>9.555300000000001</v>
      </c>
      <c r="AF95" t="b">
        <v>0</v>
      </c>
      <c r="AG95" s="228" t="n">
        <v>-47.7765</v>
      </c>
    </row>
    <row r="96">
      <c r="A96">
        <f>I96&amp;"-"&amp;J96</f>
        <v/>
      </c>
      <c r="B96" s="1">
        <f>N96</f>
        <v/>
      </c>
      <c r="C96">
        <f>M96&amp;"/"&amp;O96</f>
        <v/>
      </c>
      <c r="D96">
        <f>K96</f>
        <v/>
      </c>
      <c r="E96">
        <f>L96</f>
        <v/>
      </c>
      <c r="F96" s="236">
        <f>Z96</f>
        <v/>
      </c>
      <c r="G96">
        <f>U96&amp;"%"</f>
        <v/>
      </c>
      <c r="I96" s="53" t="n">
        <v>2022</v>
      </c>
      <c r="J96" s="53" t="n">
        <v>95</v>
      </c>
      <c r="K96" s="71" t="inlineStr">
        <is>
          <t>Ausgaben</t>
        </is>
      </c>
      <c r="L96" t="inlineStr">
        <is>
          <t>sonstige Betriebsausgaben</t>
        </is>
      </c>
      <c r="M96" s="9" t="n"/>
      <c r="N96" s="1" t="n">
        <v>44728</v>
      </c>
      <c r="O96" t="inlineStr">
        <is>
          <t>Google Ireland Ltd, Gordon House, Barrow Street, Dublin 4, Ireland; VAT number: IE 6388047V</t>
        </is>
      </c>
      <c r="Q96" s="76" t="n"/>
      <c r="R96" t="b">
        <v>0</v>
      </c>
      <c r="S96" s="214" t="n">
        <v>19.99</v>
      </c>
      <c r="T96" s="159" t="n">
        <v>1</v>
      </c>
      <c r="U96" t="n">
        <v>0</v>
      </c>
      <c r="V96" s="237" t="n">
        <v>0</v>
      </c>
      <c r="W96" s="237" t="n">
        <v>0</v>
      </c>
      <c r="X96" s="208" t="n">
        <v>19.99</v>
      </c>
      <c r="Y96" s="251" t="n">
        <v>19.99</v>
      </c>
      <c r="Z96" s="251" t="n">
        <v>19.99</v>
      </c>
      <c r="AA96" s="35" t="n">
        <v>44788</v>
      </c>
      <c r="AB96" s="27" t="n"/>
      <c r="AC96" s="27" t="n">
        <v>20</v>
      </c>
      <c r="AD96" s="210" t="n">
        <v>19.99</v>
      </c>
      <c r="AE96" s="237" t="n">
        <v>3.998</v>
      </c>
      <c r="AF96" t="b">
        <v>0</v>
      </c>
      <c r="AG96" s="228" t="n">
        <v>-19.99</v>
      </c>
    </row>
    <row r="97">
      <c r="A97">
        <f>I97&amp;"-"&amp;J97</f>
        <v/>
      </c>
      <c r="B97" s="1">
        <f>N97</f>
        <v/>
      </c>
      <c r="C97">
        <f>M97&amp;"/"&amp;O97</f>
        <v/>
      </c>
      <c r="D97">
        <f>K97</f>
        <v/>
      </c>
      <c r="E97">
        <f>L97</f>
        <v/>
      </c>
      <c r="F97" s="236">
        <f>Z97</f>
        <v/>
      </c>
      <c r="G97">
        <f>U97&amp;"%"</f>
        <v/>
      </c>
      <c r="I97" s="53" t="n">
        <v>2022</v>
      </c>
      <c r="J97" s="53" t="n">
        <v>96</v>
      </c>
      <c r="K97" s="71" t="inlineStr">
        <is>
          <t>Einnahmen</t>
        </is>
      </c>
      <c r="L97" t="inlineStr">
        <is>
          <t>Waren-/Leistungserlöse</t>
        </is>
      </c>
      <c r="M97" t="n">
        <v>168043527</v>
      </c>
      <c r="N97" s="1" t="n">
        <v>44729</v>
      </c>
      <c r="O97" t="inlineStr">
        <is>
          <t>Hays Österreich GmbH, Bahnhof City Wien West , Europaplatz 3/5, 1150 Wien</t>
        </is>
      </c>
      <c r="Q97" s="76" t="n"/>
      <c r="R97" t="b">
        <v>0</v>
      </c>
      <c r="S97" s="214" t="n">
        <v>11910.5</v>
      </c>
      <c r="T97" s="159" t="n">
        <v>1</v>
      </c>
      <c r="U97" t="n">
        <v>20</v>
      </c>
      <c r="V97" s="237" t="n">
        <v>2382.1</v>
      </c>
      <c r="W97" s="237" t="n">
        <v>2382.1</v>
      </c>
      <c r="X97" s="208" t="n">
        <v>11910.5</v>
      </c>
      <c r="Y97" s="251" t="n">
        <v>14292.6</v>
      </c>
      <c r="Z97" s="251" t="n">
        <v>14292.6</v>
      </c>
      <c r="AA97" s="35" t="n">
        <v>44788</v>
      </c>
      <c r="AB97" s="27" t="n"/>
      <c r="AC97" s="27" t="n">
        <v>20</v>
      </c>
      <c r="AD97" s="210" t="n">
        <v>11910.5</v>
      </c>
      <c r="AE97" s="237" t="n">
        <v>2858.52</v>
      </c>
      <c r="AF97" t="b">
        <v>1</v>
      </c>
      <c r="AG97" s="228" t="n">
        <v>11910.5</v>
      </c>
    </row>
    <row r="98">
      <c r="A98">
        <f>I98&amp;"-"&amp;J98</f>
        <v/>
      </c>
      <c r="B98" s="1">
        <f>N98</f>
        <v/>
      </c>
      <c r="C98">
        <f>M98&amp;"/"&amp;O98</f>
        <v/>
      </c>
      <c r="D98">
        <f>K98</f>
        <v/>
      </c>
      <c r="E98">
        <f>L98</f>
        <v/>
      </c>
      <c r="F98" s="236">
        <f>Z98</f>
        <v/>
      </c>
      <c r="G98">
        <f>U98&amp;"%"</f>
        <v/>
      </c>
      <c r="I98" s="53" t="n">
        <v>2022</v>
      </c>
      <c r="J98" s="53" t="n">
        <v>97</v>
      </c>
      <c r="K98" s="71" t="inlineStr">
        <is>
          <t>Ausgaben</t>
        </is>
      </c>
      <c r="L98" t="inlineStr">
        <is>
          <t>sonstige Betriebsausgaben</t>
        </is>
      </c>
      <c r="M98" s="6" t="n"/>
      <c r="N98" s="1" t="n">
        <v>44732</v>
      </c>
      <c r="O98" t="inlineStr">
        <is>
          <t>Microsoft Ireland Operations Ltd. One Microsoft Place, South County, Business Park, Leopardstown, Dublin 18, D18 P521, Ireland</t>
        </is>
      </c>
      <c r="Q98" s="76" t="n"/>
      <c r="R98" t="b">
        <v>0</v>
      </c>
      <c r="S98" s="214" t="n">
        <v>10.5</v>
      </c>
      <c r="T98" s="159" t="n">
        <v>1</v>
      </c>
      <c r="U98" t="n">
        <v>0</v>
      </c>
      <c r="V98" s="237" t="n">
        <v>0</v>
      </c>
      <c r="W98" s="237" t="n">
        <v>0</v>
      </c>
      <c r="X98" s="208" t="n">
        <v>10.5</v>
      </c>
      <c r="Y98" s="251" t="n">
        <v>10.5</v>
      </c>
      <c r="Z98" s="251" t="n">
        <v>10.5</v>
      </c>
      <c r="AA98" s="35" t="n">
        <v>44788</v>
      </c>
      <c r="AB98" s="27" t="n"/>
      <c r="AC98" s="27" t="n">
        <v>20</v>
      </c>
      <c r="AD98" s="210" t="n">
        <v>10.5</v>
      </c>
      <c r="AE98" s="237" t="n">
        <v>2.1</v>
      </c>
      <c r="AF98" t="b">
        <v>0</v>
      </c>
      <c r="AG98" s="228" t="n">
        <v>-10.5</v>
      </c>
    </row>
    <row r="99">
      <c r="A99">
        <f>I99&amp;"-"&amp;J99</f>
        <v/>
      </c>
      <c r="B99" s="1">
        <f>N99</f>
        <v/>
      </c>
      <c r="C99">
        <f>M99&amp;"/"&amp;O99</f>
        <v/>
      </c>
      <c r="D99">
        <f>K99</f>
        <v/>
      </c>
      <c r="E99">
        <f>L99</f>
        <v/>
      </c>
      <c r="F99" s="236">
        <f>Z99</f>
        <v/>
      </c>
      <c r="G99">
        <f>U99&amp;"%"</f>
        <v/>
      </c>
      <c r="I99" s="53" t="n">
        <v>2022</v>
      </c>
      <c r="J99" s="53" t="n">
        <v>98</v>
      </c>
      <c r="K99" s="71" t="inlineStr">
        <is>
          <t>Ausgaben</t>
        </is>
      </c>
      <c r="L99" t="inlineStr">
        <is>
          <t>sonstige Betriebsausgaben</t>
        </is>
      </c>
      <c r="M99" s="61" t="inlineStr">
        <is>
          <t>BELEG FEHLT</t>
        </is>
      </c>
      <c r="N99" s="1" t="n">
        <v>44733</v>
      </c>
      <c r="O99" t="inlineStr">
        <is>
          <t>Microsoft Ireland Operations Ltd. One Microsoft Place, South County, Business Park, Leopardstown, Dublin 18, D18 P521, Ireland</t>
        </is>
      </c>
      <c r="Q99" s="76" t="n"/>
      <c r="R99" t="b">
        <v>0</v>
      </c>
      <c r="S99" s="214" t="n">
        <v>69</v>
      </c>
      <c r="T99" s="159" t="n">
        <v>1</v>
      </c>
      <c r="U99" t="n">
        <v>0</v>
      </c>
      <c r="V99" s="237" t="n">
        <v>0</v>
      </c>
      <c r="W99" s="237" t="n">
        <v>0</v>
      </c>
      <c r="X99" s="208" t="n">
        <v>69</v>
      </c>
      <c r="Y99" s="251" t="n">
        <v>69</v>
      </c>
      <c r="Z99" s="251" t="n">
        <v>69</v>
      </c>
      <c r="AA99" s="35" t="n">
        <v>44788</v>
      </c>
      <c r="AB99" s="27" t="n"/>
      <c r="AC99" s="27" t="n">
        <v>20</v>
      </c>
      <c r="AD99" s="210" t="n">
        <v>69</v>
      </c>
      <c r="AE99" s="237" t="n">
        <v>13.8</v>
      </c>
      <c r="AF99" t="b">
        <v>0</v>
      </c>
      <c r="AG99" s="228" t="n">
        <v>-69</v>
      </c>
    </row>
    <row r="100">
      <c r="A100">
        <f>I100&amp;"-"&amp;J100</f>
        <v/>
      </c>
      <c r="B100" s="1">
        <f>N100</f>
        <v/>
      </c>
      <c r="C100">
        <f>M100&amp;"/"&amp;O100</f>
        <v/>
      </c>
      <c r="D100">
        <f>K100</f>
        <v/>
      </c>
      <c r="E100">
        <f>L100</f>
        <v/>
      </c>
      <c r="F100" s="236">
        <f>Z100</f>
        <v/>
      </c>
      <c r="G100">
        <f>U100&amp;"%"</f>
        <v/>
      </c>
      <c r="I100" s="53" t="n">
        <v>2022</v>
      </c>
      <c r="J100" s="53" t="n">
        <v>99</v>
      </c>
      <c r="K100" s="71" t="inlineStr">
        <is>
          <t>Ausgaben</t>
        </is>
      </c>
      <c r="L100" t="inlineStr">
        <is>
          <t>Telefon/Internet</t>
        </is>
      </c>
      <c r="M100" s="131" t="n"/>
      <c r="N100" s="1" t="n">
        <v>44734</v>
      </c>
      <c r="O100" t="inlineStr">
        <is>
          <t>Magenta: T-Mobile Austria GmbH, A-1120 Wien, PF 47</t>
        </is>
      </c>
      <c r="Q100" s="76" t="n"/>
      <c r="R100" t="b">
        <v>0</v>
      </c>
      <c r="S100" s="214" t="n">
        <v>31.92</v>
      </c>
      <c r="T100" s="159" t="n">
        <v>1</v>
      </c>
      <c r="U100" t="n">
        <v>20</v>
      </c>
      <c r="V100" s="237" t="n">
        <v>6.384000000000001</v>
      </c>
      <c r="W100" s="237" t="n">
        <v>6.384000000000001</v>
      </c>
      <c r="X100" s="208" t="n">
        <v>31.92</v>
      </c>
      <c r="Y100" s="251" t="n">
        <v>38.304</v>
      </c>
      <c r="Z100" s="251" t="n">
        <v>38.304</v>
      </c>
      <c r="AA100" s="35" t="n">
        <v>44788</v>
      </c>
      <c r="AB100" s="27" t="n"/>
      <c r="AC100" s="27" t="n"/>
      <c r="AD100" s="210" t="n">
        <v>31.92</v>
      </c>
      <c r="AE100" s="237" t="n">
        <v>0</v>
      </c>
      <c r="AF100" t="b">
        <v>0</v>
      </c>
      <c r="AG100" s="228" t="n">
        <v>-31.92</v>
      </c>
    </row>
    <row r="101">
      <c r="A101">
        <f>I101&amp;"-"&amp;J101</f>
        <v/>
      </c>
      <c r="B101" s="1">
        <f>N101</f>
        <v/>
      </c>
      <c r="C101">
        <f>M101&amp;"/"&amp;O101</f>
        <v/>
      </c>
      <c r="D101">
        <f>K101</f>
        <v/>
      </c>
      <c r="E101">
        <f>L101</f>
        <v/>
      </c>
      <c r="F101" s="236">
        <f>Z101</f>
        <v/>
      </c>
      <c r="G101">
        <f>U101&amp;"%"</f>
        <v/>
      </c>
      <c r="I101" s="53" t="n">
        <v>2022</v>
      </c>
      <c r="J101" s="53" t="n">
        <v>100</v>
      </c>
      <c r="K101" s="71" t="inlineStr">
        <is>
          <t>Ausgaben</t>
        </is>
      </c>
      <c r="L101" t="inlineStr">
        <is>
          <t>Miet- und Pachtaufwand, Leasing</t>
        </is>
      </c>
      <c r="M101" s="9" t="n"/>
      <c r="N101" s="1" t="n">
        <v>44743</v>
      </c>
      <c r="O101" t="inlineStr">
        <is>
          <t>Bontus Immobilienverwaltung GmbH, 1010 Wien, Franz Josefs Kai 65</t>
        </is>
      </c>
      <c r="Q101" s="76" t="n"/>
      <c r="R101" t="b">
        <v>0</v>
      </c>
      <c r="S101" s="214" t="n">
        <v>496.4416666666667</v>
      </c>
      <c r="T101" s="159" t="n">
        <v>1</v>
      </c>
      <c r="U101" t="n">
        <v>20</v>
      </c>
      <c r="V101" s="237" t="n">
        <v>99.28833333333334</v>
      </c>
      <c r="W101" s="237" t="n">
        <v>99.28833333333334</v>
      </c>
      <c r="X101" s="208" t="n">
        <v>496.4416666666667</v>
      </c>
      <c r="Y101" s="251" t="n">
        <v>595.73</v>
      </c>
      <c r="Z101" s="251" t="n">
        <v>595.73</v>
      </c>
      <c r="AA101" s="35" t="n">
        <v>44880</v>
      </c>
      <c r="AB101" s="27" t="n"/>
      <c r="AC101" s="27" t="n"/>
      <c r="AD101" s="210" t="n">
        <v>496.4416666666667</v>
      </c>
      <c r="AE101" s="237" t="n">
        <v>0</v>
      </c>
      <c r="AF101" t="b">
        <v>0</v>
      </c>
      <c r="AG101" s="228" t="n">
        <v>-496.4416666666667</v>
      </c>
    </row>
    <row r="102">
      <c r="A102">
        <f>I102&amp;"-"&amp;J102</f>
        <v/>
      </c>
      <c r="B102" s="1">
        <f>N102</f>
        <v/>
      </c>
      <c r="C102">
        <f>M102&amp;"/"&amp;O102</f>
        <v/>
      </c>
      <c r="D102">
        <f>K102</f>
        <v/>
      </c>
      <c r="E102">
        <f>L102</f>
        <v/>
      </c>
      <c r="F102" s="236">
        <f>Z102</f>
        <v/>
      </c>
      <c r="G102">
        <f>U102&amp;"%"</f>
        <v/>
      </c>
      <c r="I102" s="53" t="n">
        <v>2022</v>
      </c>
      <c r="J102" s="53" t="n">
        <v>101</v>
      </c>
      <c r="K102" s="71" t="inlineStr">
        <is>
          <t>Ausgaben</t>
        </is>
      </c>
      <c r="L102" t="inlineStr">
        <is>
          <t>sonstige Betriebsausgaben</t>
        </is>
      </c>
      <c r="M102" s="6" t="n"/>
      <c r="N102" s="1" t="n">
        <v>44743</v>
      </c>
      <c r="O102" t="inlineStr">
        <is>
          <t>Amazon EU S. à r.l., 38 avenue John F. Kennedy, L-1855 Luxembourg: HJEU: DVI-HDMI, Logitech Maus</t>
        </is>
      </c>
      <c r="Q102" s="76" t="n"/>
      <c r="R102" t="b">
        <v>0</v>
      </c>
      <c r="S102" s="214" t="n">
        <v>15.61</v>
      </c>
      <c r="T102" s="159" t="n">
        <v>1</v>
      </c>
      <c r="U102" t="n">
        <v>0</v>
      </c>
      <c r="V102" s="237" t="n">
        <v>0</v>
      </c>
      <c r="W102" s="237" t="n">
        <v>0</v>
      </c>
      <c r="X102" s="208" t="n">
        <v>15.61</v>
      </c>
      <c r="Y102" s="251" t="n">
        <v>15.61</v>
      </c>
      <c r="Z102" s="251" t="n">
        <v>15.61</v>
      </c>
      <c r="AA102" s="35" t="n">
        <v>44880</v>
      </c>
      <c r="AB102" s="27" t="n"/>
      <c r="AC102" s="27" t="n">
        <v>20</v>
      </c>
      <c r="AD102" s="210" t="n">
        <v>15.61</v>
      </c>
      <c r="AE102" s="237" t="n">
        <v>3.122</v>
      </c>
      <c r="AF102" t="b">
        <v>0</v>
      </c>
      <c r="AG102" s="228" t="n">
        <v>-15.61</v>
      </c>
    </row>
    <row r="103">
      <c r="A103">
        <f>I103&amp;"-"&amp;J103</f>
        <v/>
      </c>
      <c r="B103" s="1">
        <f>N103</f>
        <v/>
      </c>
      <c r="C103">
        <f>M103&amp;"/"&amp;O103</f>
        <v/>
      </c>
      <c r="D103">
        <f>K103</f>
        <v/>
      </c>
      <c r="E103">
        <f>L103</f>
        <v/>
      </c>
      <c r="F103" s="236">
        <f>Z103</f>
        <v/>
      </c>
      <c r="G103">
        <f>U103&amp;"%"</f>
        <v/>
      </c>
      <c r="I103" s="53" t="n">
        <v>2022</v>
      </c>
      <c r="J103" s="53" t="n">
        <v>102</v>
      </c>
      <c r="K103" s="71" t="inlineStr">
        <is>
          <t>Ausgaben</t>
        </is>
      </c>
      <c r="L103" t="inlineStr">
        <is>
          <t>Reise- und Fahrtspesen inkl. Kilometergeld und Diäten</t>
        </is>
      </c>
      <c r="M103" s="131" t="n"/>
      <c r="N103" s="1" t="n">
        <v>44746</v>
      </c>
      <c r="O103" t="inlineStr">
        <is>
          <t>car2go Österreich GmbH, Hintere Zollamtstraße 9, 1030 Wien</t>
        </is>
      </c>
      <c r="Q103" s="76" t="n"/>
      <c r="R103" t="b">
        <v>0</v>
      </c>
      <c r="S103" s="214" t="n">
        <v>14.48</v>
      </c>
      <c r="T103" s="159" t="n">
        <v>1</v>
      </c>
      <c r="U103" t="n">
        <v>20</v>
      </c>
      <c r="V103" s="237" t="n">
        <v>2.896</v>
      </c>
      <c r="W103" s="237" t="n">
        <v>2.896</v>
      </c>
      <c r="X103" s="208" t="n">
        <v>14.48</v>
      </c>
      <c r="Y103" s="251" t="n">
        <v>17.376</v>
      </c>
      <c r="Z103" s="251" t="n">
        <v>17.376</v>
      </c>
      <c r="AA103" s="35" t="n">
        <v>44880</v>
      </c>
      <c r="AB103" s="27" t="n"/>
      <c r="AC103" s="27" t="n"/>
      <c r="AD103" s="210" t="n">
        <v>14.48</v>
      </c>
      <c r="AE103" s="237" t="n">
        <v>0</v>
      </c>
      <c r="AF103" t="b">
        <v>0</v>
      </c>
      <c r="AG103" s="228" t="n">
        <v>-14.48</v>
      </c>
    </row>
    <row r="104">
      <c r="A104">
        <f>I104&amp;"-"&amp;J104</f>
        <v/>
      </c>
      <c r="B104" s="1">
        <f>N104</f>
        <v/>
      </c>
      <c r="C104">
        <f>M104&amp;"/"&amp;O104</f>
        <v/>
      </c>
      <c r="D104">
        <f>K104</f>
        <v/>
      </c>
      <c r="E104">
        <f>L104</f>
        <v/>
      </c>
      <c r="F104" s="236">
        <f>Z104</f>
        <v/>
      </c>
      <c r="G104">
        <f>U104&amp;"%"</f>
        <v/>
      </c>
      <c r="I104" s="53" t="n">
        <v>2022</v>
      </c>
      <c r="J104" s="53" t="n">
        <v>103</v>
      </c>
      <c r="K104" s="71" t="inlineStr">
        <is>
          <t>Ausgaben</t>
        </is>
      </c>
      <c r="L104" t="inlineStr">
        <is>
          <t>sonstige Betriebsausgaben</t>
        </is>
      </c>
      <c r="M104" s="9" t="n"/>
      <c r="N104" s="1" t="n">
        <v>44746</v>
      </c>
      <c r="O104" t="inlineStr">
        <is>
          <t>Google Ireland Ltd, Gordon House, Barrow Street, Dublin 4, Ireland; VAT number: IE 6388047V</t>
        </is>
      </c>
      <c r="Q104" s="76" t="n"/>
      <c r="R104" t="b">
        <v>0</v>
      </c>
      <c r="S104" s="214" t="n">
        <v>9.359999999999999</v>
      </c>
      <c r="T104" s="159" t="n">
        <v>1</v>
      </c>
      <c r="U104" t="n">
        <v>0</v>
      </c>
      <c r="V104" s="237" t="n">
        <v>0</v>
      </c>
      <c r="W104" s="237" t="n">
        <v>0</v>
      </c>
      <c r="X104" s="208" t="n">
        <v>9.359999999999999</v>
      </c>
      <c r="Y104" s="251" t="n">
        <v>9.359999999999999</v>
      </c>
      <c r="Z104" s="251" t="n">
        <v>9.359999999999999</v>
      </c>
      <c r="AA104" s="35" t="n">
        <v>44880</v>
      </c>
      <c r="AB104" s="27" t="n"/>
      <c r="AC104" s="27" t="n">
        <v>20</v>
      </c>
      <c r="AD104" s="210" t="n">
        <v>9.359999999999999</v>
      </c>
      <c r="AE104" s="237" t="n">
        <v>1.872</v>
      </c>
      <c r="AF104" t="b">
        <v>0</v>
      </c>
      <c r="AG104" s="228" t="n">
        <v>-9.359999999999999</v>
      </c>
    </row>
    <row r="105">
      <c r="A105">
        <f>I105&amp;"-"&amp;J105</f>
        <v/>
      </c>
      <c r="B105" s="1">
        <f>N105</f>
        <v/>
      </c>
      <c r="C105">
        <f>M105&amp;"/"&amp;O105</f>
        <v/>
      </c>
      <c r="D105">
        <f>K105</f>
        <v/>
      </c>
      <c r="E105">
        <f>L105</f>
        <v/>
      </c>
      <c r="F105" s="236">
        <f>Z105</f>
        <v/>
      </c>
      <c r="G105">
        <f>U105&amp;"%"</f>
        <v/>
      </c>
      <c r="I105" s="53" t="n">
        <v>2022</v>
      </c>
      <c r="J105" s="53" t="n">
        <v>104</v>
      </c>
      <c r="K105" s="71" t="inlineStr">
        <is>
          <t>Einnahmen</t>
        </is>
      </c>
      <c r="L105" t="inlineStr">
        <is>
          <t>Waren-/Leistungserlöse</t>
        </is>
      </c>
      <c r="M105" s="6" t="n">
        <v>12022012</v>
      </c>
      <c r="N105" s="1" t="n">
        <v>44746</v>
      </c>
      <c r="O105" t="inlineStr">
        <is>
          <t>ZT DI Dr. Arno Kolbitsch, Gütleweg 1, 6822 Satteins</t>
        </is>
      </c>
      <c r="Q105" s="76" t="n"/>
      <c r="R105" t="b">
        <v>0</v>
      </c>
      <c r="S105" s="214" t="n">
        <v>1667.3</v>
      </c>
      <c r="T105" s="159" t="n">
        <v>1</v>
      </c>
      <c r="U105" t="n">
        <v>20</v>
      </c>
      <c r="V105" s="237" t="n">
        <v>333.46</v>
      </c>
      <c r="W105" s="237" t="n">
        <v>333.46</v>
      </c>
      <c r="X105" s="208" t="n">
        <v>1667.3</v>
      </c>
      <c r="Y105" s="251" t="n">
        <v>2000.76</v>
      </c>
      <c r="Z105" s="251" t="n">
        <v>2000.76</v>
      </c>
      <c r="AA105" s="35" t="n">
        <v>44880</v>
      </c>
      <c r="AB105" s="27" t="n"/>
      <c r="AC105" s="27" t="n"/>
      <c r="AD105" s="210" t="n">
        <v>1667.3</v>
      </c>
      <c r="AE105" s="237" t="n">
        <v>0</v>
      </c>
      <c r="AF105" t="b">
        <v>0</v>
      </c>
      <c r="AG105" s="228" t="n">
        <v>1667.3</v>
      </c>
    </row>
    <row r="106">
      <c r="A106">
        <f>I106&amp;"-"&amp;J106</f>
        <v/>
      </c>
      <c r="B106" s="1">
        <f>N106</f>
        <v/>
      </c>
      <c r="C106">
        <f>M106&amp;"/"&amp;O106</f>
        <v/>
      </c>
      <c r="D106">
        <f>K106</f>
        <v/>
      </c>
      <c r="E106">
        <f>L106</f>
        <v/>
      </c>
      <c r="F106" s="236">
        <f>Z106</f>
        <v/>
      </c>
      <c r="G106">
        <f>U106&amp;"%"</f>
        <v/>
      </c>
      <c r="I106" s="53" t="n">
        <v>2022</v>
      </c>
      <c r="J106" s="53" t="n">
        <v>105</v>
      </c>
      <c r="K106" s="71" t="inlineStr">
        <is>
          <t>Einnahmen</t>
        </is>
      </c>
      <c r="L106" t="inlineStr">
        <is>
          <t>Waren-/Leistungserlöse</t>
        </is>
      </c>
      <c r="M106" s="9" t="inlineStr">
        <is>
          <t>12022014</t>
        </is>
      </c>
      <c r="N106" s="1" t="n">
        <v>44746</v>
      </c>
      <c r="O106" t="inlineStr">
        <is>
          <t>Kolbitsch Engineering &amp; Consulting KNr 45</t>
        </is>
      </c>
      <c r="Q106" s="76" t="n"/>
      <c r="R106" t="b">
        <v>0</v>
      </c>
      <c r="S106" s="214" t="n">
        <v>91.5</v>
      </c>
      <c r="T106" s="159" t="n">
        <v>1</v>
      </c>
      <c r="U106" t="n">
        <v>20</v>
      </c>
      <c r="V106" s="237" t="n">
        <v>18.3</v>
      </c>
      <c r="W106" s="237" t="n">
        <v>18.3</v>
      </c>
      <c r="X106" s="208" t="n">
        <v>91.5</v>
      </c>
      <c r="Y106" s="251" t="n">
        <v>109.8</v>
      </c>
      <c r="Z106" s="251" t="n">
        <v>109.8</v>
      </c>
      <c r="AA106" s="35" t="n">
        <v>44880</v>
      </c>
      <c r="AB106" s="27" t="n"/>
      <c r="AC106" s="27" t="n"/>
      <c r="AD106" s="210" t="n">
        <v>91.5</v>
      </c>
      <c r="AE106" s="237" t="n">
        <v>0</v>
      </c>
      <c r="AF106" t="b">
        <v>0</v>
      </c>
      <c r="AG106" s="228" t="n">
        <v>91.5</v>
      </c>
    </row>
    <row r="107">
      <c r="A107">
        <f>I107&amp;"-"&amp;J107</f>
        <v/>
      </c>
      <c r="B107" s="1">
        <f>N107</f>
        <v/>
      </c>
      <c r="C107">
        <f>M107&amp;"/"&amp;O107</f>
        <v/>
      </c>
      <c r="D107">
        <f>K107</f>
        <v/>
      </c>
      <c r="E107">
        <f>L107</f>
        <v/>
      </c>
      <c r="F107" s="236">
        <f>Z107</f>
        <v/>
      </c>
      <c r="G107">
        <f>U107&amp;"%"</f>
        <v/>
      </c>
      <c r="I107" s="53" t="n">
        <v>2022</v>
      </c>
      <c r="J107" s="53" t="n">
        <v>106</v>
      </c>
      <c r="K107" s="71" t="inlineStr">
        <is>
          <t>Ausgaben</t>
        </is>
      </c>
      <c r="L107" t="inlineStr">
        <is>
          <t>sonstige Betriebsausgaben</t>
        </is>
      </c>
      <c r="M107" s="153" t="inlineStr">
        <is>
          <t>siehe Jahresabrechnung</t>
        </is>
      </c>
      <c r="N107" s="1" t="n">
        <v>44747</v>
      </c>
      <c r="O107" t="inlineStr">
        <is>
          <t>go green energy GmbH &amp; Co KG</t>
        </is>
      </c>
      <c r="Q107" s="76" t="n"/>
      <c r="R107" t="b">
        <v>0</v>
      </c>
      <c r="S107" s="214" t="n">
        <v>2.5</v>
      </c>
      <c r="T107" s="159" t="n">
        <v>1</v>
      </c>
      <c r="U107" t="n">
        <v>20</v>
      </c>
      <c r="V107" s="237" t="n">
        <v>0.5</v>
      </c>
      <c r="W107" s="237" t="n">
        <v>0.5</v>
      </c>
      <c r="X107" s="208" t="n">
        <v>2.5</v>
      </c>
      <c r="Y107" s="251" t="n">
        <v>3</v>
      </c>
      <c r="Z107" s="251" t="n">
        <v>3</v>
      </c>
      <c r="AA107" s="35" t="n">
        <v>44880</v>
      </c>
      <c r="AB107" s="27" t="n"/>
      <c r="AC107" s="27" t="n"/>
      <c r="AD107" s="210" t="n">
        <v>2.5</v>
      </c>
      <c r="AE107" s="237" t="n">
        <v>0</v>
      </c>
      <c r="AF107" t="b">
        <v>0</v>
      </c>
      <c r="AG107" s="228" t="n">
        <v>-2.5</v>
      </c>
    </row>
    <row r="108">
      <c r="A108">
        <f>I108&amp;"-"&amp;J108</f>
        <v/>
      </c>
      <c r="B108" s="1">
        <f>N108</f>
        <v/>
      </c>
      <c r="C108">
        <f>M108&amp;"/"&amp;O108</f>
        <v/>
      </c>
      <c r="D108">
        <f>K108</f>
        <v/>
      </c>
      <c r="E108">
        <f>L108</f>
        <v/>
      </c>
      <c r="F108" s="236">
        <f>Z108</f>
        <v/>
      </c>
      <c r="G108">
        <f>U108&amp;"%"</f>
        <v/>
      </c>
      <c r="I108" s="53" t="n">
        <v>2022</v>
      </c>
      <c r="J108" s="53" t="n">
        <v>107</v>
      </c>
      <c r="K108" s="71" t="inlineStr">
        <is>
          <t>Ausgaben</t>
        </is>
      </c>
      <c r="L108" t="inlineStr">
        <is>
          <t>Telefon/Internet</t>
        </is>
      </c>
      <c r="M108" s="9" t="n"/>
      <c r="N108" s="1" t="n">
        <v>44747</v>
      </c>
      <c r="O108" t="inlineStr">
        <is>
          <t>Hutchison Drei Austria GmbH, Brünner Straße 52, 1210 Wien, Österreich</t>
        </is>
      </c>
      <c r="Q108" s="76" t="n"/>
      <c r="R108" t="b">
        <v>0</v>
      </c>
      <c r="S108" s="214" t="n">
        <v>15</v>
      </c>
      <c r="T108" s="159" t="n">
        <v>1</v>
      </c>
      <c r="U108" t="n">
        <v>20</v>
      </c>
      <c r="V108" s="237" t="n">
        <v>3</v>
      </c>
      <c r="W108" s="237" t="n">
        <v>3</v>
      </c>
      <c r="X108" s="208" t="n">
        <v>15</v>
      </c>
      <c r="Y108" s="251" t="n">
        <v>18</v>
      </c>
      <c r="Z108" s="251" t="n">
        <v>18</v>
      </c>
      <c r="AA108" s="35" t="n">
        <v>44880</v>
      </c>
      <c r="AB108" s="27" t="n"/>
      <c r="AC108" s="27" t="n"/>
      <c r="AD108" s="210" t="n">
        <v>15</v>
      </c>
      <c r="AE108" s="237" t="n">
        <v>0</v>
      </c>
      <c r="AF108" t="b">
        <v>0</v>
      </c>
      <c r="AG108" s="228" t="n">
        <v>-15</v>
      </c>
    </row>
    <row r="109">
      <c r="A109">
        <f>I109&amp;"-"&amp;J109</f>
        <v/>
      </c>
      <c r="B109" s="1">
        <f>N109</f>
        <v/>
      </c>
      <c r="C109">
        <f>M109&amp;"/"&amp;O109</f>
        <v/>
      </c>
      <c r="D109">
        <f>K109</f>
        <v/>
      </c>
      <c r="E109">
        <f>L109</f>
        <v/>
      </c>
      <c r="F109" s="236">
        <f>Z109</f>
        <v/>
      </c>
      <c r="G109">
        <f>U109&amp;"%"</f>
        <v/>
      </c>
      <c r="I109" s="53" t="n">
        <v>2022</v>
      </c>
      <c r="J109" s="53" t="n">
        <v>108</v>
      </c>
      <c r="K109" s="71" t="inlineStr">
        <is>
          <t>Ausgaben</t>
        </is>
      </c>
      <c r="L109" t="inlineStr">
        <is>
          <t>Miet- und Pachtaufwand, Leasing</t>
        </is>
      </c>
      <c r="M109" s="139" t="n"/>
      <c r="N109" s="1" t="n">
        <v>44748</v>
      </c>
      <c r="O109" t="inlineStr">
        <is>
          <t>Techem Messtechnik GmbH; Abnehmernummer 501686-0003-11-</t>
        </is>
      </c>
      <c r="Q109" s="76" t="n"/>
      <c r="R109" t="b">
        <v>0</v>
      </c>
      <c r="S109" s="214" t="n">
        <v>122.6</v>
      </c>
      <c r="T109" s="159" t="n">
        <v>1</v>
      </c>
      <c r="U109" t="n">
        <v>20</v>
      </c>
      <c r="V109" s="237" t="n">
        <v>24.52</v>
      </c>
      <c r="W109" s="237" t="n">
        <v>24.52</v>
      </c>
      <c r="X109" s="208" t="n">
        <v>122.6</v>
      </c>
      <c r="Y109" s="251" t="n">
        <v>147.12</v>
      </c>
      <c r="Z109" s="251" t="n">
        <v>147.12</v>
      </c>
      <c r="AA109" s="35" t="n">
        <v>44880</v>
      </c>
      <c r="AB109" s="27" t="n"/>
      <c r="AC109" s="27" t="n"/>
      <c r="AD109" s="210" t="n">
        <v>122.6</v>
      </c>
      <c r="AE109" s="237" t="n">
        <v>0</v>
      </c>
      <c r="AF109" t="b">
        <v>0</v>
      </c>
      <c r="AG109" s="228" t="n">
        <v>-122.6</v>
      </c>
    </row>
    <row r="110">
      <c r="A110">
        <f>I110&amp;"-"&amp;J110</f>
        <v/>
      </c>
      <c r="B110" s="1">
        <f>N110</f>
        <v/>
      </c>
      <c r="C110">
        <f>M110&amp;"/"&amp;O110</f>
        <v/>
      </c>
      <c r="D110">
        <f>K110</f>
        <v/>
      </c>
      <c r="E110">
        <f>L110</f>
        <v/>
      </c>
      <c r="F110" s="236">
        <f>Z110</f>
        <v/>
      </c>
      <c r="G110">
        <f>U110&amp;"%"</f>
        <v/>
      </c>
      <c r="I110" s="53" t="n">
        <v>2022</v>
      </c>
      <c r="J110" s="53" t="n">
        <v>109</v>
      </c>
      <c r="K110" s="71" t="inlineStr">
        <is>
          <t>Ausgaben</t>
        </is>
      </c>
      <c r="L110" t="inlineStr">
        <is>
          <t>sonstige Betriebsausgaben</t>
        </is>
      </c>
      <c r="M110" s="139" t="inlineStr">
        <is>
          <t>220008996902</t>
        </is>
      </c>
      <c r="N110" s="1" t="n">
        <v>44753</v>
      </c>
      <c r="O110" t="inlineStr">
        <is>
          <t>Wiener Netze GmbH, Erdbergstraße 236, 1110 Wien, Postfach 422; Jahresabrechnung vom 17.12.20: GUTSCHRIFT</t>
        </is>
      </c>
      <c r="Q110" s="76" t="n"/>
      <c r="R110" t="b">
        <v>0</v>
      </c>
      <c r="S110" s="214" t="n">
        <v>11</v>
      </c>
      <c r="T110" s="159" t="n">
        <v>1</v>
      </c>
      <c r="U110" t="n">
        <v>20</v>
      </c>
      <c r="V110" s="237" t="n">
        <v>2.2</v>
      </c>
      <c r="W110" s="237" t="n">
        <v>2.2</v>
      </c>
      <c r="X110" s="208" t="n">
        <v>11</v>
      </c>
      <c r="Y110" s="251" t="n">
        <v>13.2</v>
      </c>
      <c r="Z110" s="251" t="n">
        <v>13.2</v>
      </c>
      <c r="AA110" s="35" t="n">
        <v>44880</v>
      </c>
      <c r="AB110" s="27" t="n"/>
      <c r="AC110" s="27" t="n"/>
      <c r="AD110" s="210" t="n">
        <v>11</v>
      </c>
      <c r="AE110" s="237" t="n">
        <v>0</v>
      </c>
      <c r="AF110" t="b">
        <v>0</v>
      </c>
      <c r="AG110" s="228" t="n">
        <v>-11</v>
      </c>
    </row>
    <row r="111">
      <c r="A111">
        <f>I111&amp;"-"&amp;J111</f>
        <v/>
      </c>
      <c r="B111" s="1">
        <f>N111</f>
        <v/>
      </c>
      <c r="C111">
        <f>M111&amp;"/"&amp;O111</f>
        <v/>
      </c>
      <c r="D111">
        <f>K111</f>
        <v/>
      </c>
      <c r="E111">
        <f>L111</f>
        <v/>
      </c>
      <c r="F111" s="236">
        <f>Z111</f>
        <v/>
      </c>
      <c r="G111">
        <f>U111&amp;"%"</f>
        <v/>
      </c>
      <c r="I111" s="53" t="n">
        <v>2022</v>
      </c>
      <c r="J111" s="53" t="n">
        <v>110</v>
      </c>
      <c r="K111" s="71" t="inlineStr">
        <is>
          <t>Ausgaben</t>
        </is>
      </c>
      <c r="L111" t="inlineStr">
        <is>
          <t>sonstige Betriebsausgaben</t>
        </is>
      </c>
      <c r="M111" s="9" t="n"/>
      <c r="N111" s="1" t="n">
        <v>44755</v>
      </c>
      <c r="O111" t="inlineStr">
        <is>
          <t>Hetzner Online GmbH</t>
        </is>
      </c>
      <c r="Q111" s="76" t="n"/>
      <c r="R111" t="b">
        <v>0</v>
      </c>
      <c r="S111" s="214" t="n">
        <v>47.7765</v>
      </c>
      <c r="T111" s="159" t="n">
        <v>1</v>
      </c>
      <c r="U111" t="n">
        <v>0</v>
      </c>
      <c r="V111" s="237" t="n">
        <v>0</v>
      </c>
      <c r="W111" s="237" t="n">
        <v>0</v>
      </c>
      <c r="X111" s="208" t="n">
        <v>47.7765</v>
      </c>
      <c r="Y111" s="251" t="n">
        <v>47.7765</v>
      </c>
      <c r="Z111" s="251" t="n">
        <v>47.7765</v>
      </c>
      <c r="AA111" s="35" t="n">
        <v>44880</v>
      </c>
      <c r="AB111" s="27" t="n"/>
      <c r="AC111" s="27" t="n">
        <v>20</v>
      </c>
      <c r="AD111" s="210" t="n">
        <v>47.7765</v>
      </c>
      <c r="AE111" s="237" t="n">
        <v>9.555300000000001</v>
      </c>
      <c r="AF111" t="b">
        <v>0</v>
      </c>
      <c r="AG111" s="228" t="n">
        <v>-47.7765</v>
      </c>
    </row>
    <row r="112">
      <c r="A112">
        <f>I112&amp;"-"&amp;J112</f>
        <v/>
      </c>
      <c r="B112" s="1">
        <f>N112</f>
        <v/>
      </c>
      <c r="C112">
        <f>M112&amp;"/"&amp;O112</f>
        <v/>
      </c>
      <c r="D112">
        <f>K112</f>
        <v/>
      </c>
      <c r="E112">
        <f>L112</f>
        <v/>
      </c>
      <c r="F112" s="236">
        <f>Z112</f>
        <v/>
      </c>
      <c r="G112">
        <f>U112&amp;"%"</f>
        <v/>
      </c>
      <c r="I112" s="53" t="n">
        <v>2022</v>
      </c>
      <c r="J112" s="53" t="n">
        <v>111</v>
      </c>
      <c r="K112" s="71" t="inlineStr">
        <is>
          <t>Einnahmen</t>
        </is>
      </c>
      <c r="L112" t="inlineStr">
        <is>
          <t>Waren-/Leistungserlöse</t>
        </is>
      </c>
      <c r="M112" t="n">
        <v>168043885</v>
      </c>
      <c r="N112" s="1" t="n">
        <v>44756</v>
      </c>
      <c r="O112" t="inlineStr">
        <is>
          <t>Hays Österreich GmbH, Bahnhof City Wien West , Europaplatz 3/5, 1150 Wien</t>
        </is>
      </c>
      <c r="Q112" s="76" t="n"/>
      <c r="R112" t="b">
        <v>0</v>
      </c>
      <c r="S112" s="214" t="n">
        <v>13571</v>
      </c>
      <c r="T112" s="159" t="n">
        <v>1</v>
      </c>
      <c r="U112" t="n">
        <v>20</v>
      </c>
      <c r="V112" s="237" t="n">
        <v>2714.2</v>
      </c>
      <c r="W112" s="237" t="n">
        <v>2714.2</v>
      </c>
      <c r="X112" s="208" t="n">
        <v>13571</v>
      </c>
      <c r="Y112" s="251" t="n">
        <v>16285.2</v>
      </c>
      <c r="Z112" s="251" t="n">
        <v>16285.2</v>
      </c>
      <c r="AA112" s="35" t="n">
        <v>44880</v>
      </c>
      <c r="AB112" s="27" t="n"/>
      <c r="AC112" s="27" t="n">
        <v>20</v>
      </c>
      <c r="AD112" s="210" t="n">
        <v>13571</v>
      </c>
      <c r="AE112" s="237" t="n">
        <v>3257.04</v>
      </c>
      <c r="AF112" t="b">
        <v>1</v>
      </c>
      <c r="AG112" s="228" t="n">
        <v>13571</v>
      </c>
    </row>
    <row r="113">
      <c r="A113">
        <f>I113&amp;"-"&amp;J113</f>
        <v/>
      </c>
      <c r="B113" s="1">
        <f>N113</f>
        <v/>
      </c>
      <c r="C113">
        <f>M113&amp;"/"&amp;O113</f>
        <v/>
      </c>
      <c r="D113">
        <f>K113</f>
        <v/>
      </c>
      <c r="E113">
        <f>L113</f>
        <v/>
      </c>
      <c r="F113" s="236">
        <f>Z113</f>
        <v/>
      </c>
      <c r="G113">
        <f>U113&amp;"%"</f>
        <v/>
      </c>
      <c r="I113" s="53" t="n">
        <v>2022</v>
      </c>
      <c r="J113" s="53" t="n">
        <v>112</v>
      </c>
      <c r="K113" s="71" t="inlineStr">
        <is>
          <t>Einnahmen</t>
        </is>
      </c>
      <c r="L113" t="inlineStr">
        <is>
          <t>Waren-/Leistungserlöse</t>
        </is>
      </c>
      <c r="M113" t="n">
        <v>12022015</v>
      </c>
      <c r="N113" s="1" t="n">
        <v>44757</v>
      </c>
      <c r="O113" t="inlineStr">
        <is>
          <t>Schick Küchendesign e.U. Alexander Schick, Linzerstraße 247, 1140 Wien</t>
        </is>
      </c>
      <c r="Q113" s="76" t="n"/>
      <c r="R113" t="b">
        <v>0</v>
      </c>
      <c r="S113" s="214" t="n">
        <v>240</v>
      </c>
      <c r="T113" s="159" t="n">
        <v>1</v>
      </c>
      <c r="U113" t="n">
        <v>20</v>
      </c>
      <c r="V113" s="237" t="n">
        <v>48</v>
      </c>
      <c r="W113" s="237" t="n">
        <v>48</v>
      </c>
      <c r="X113" s="208" t="n">
        <v>240</v>
      </c>
      <c r="Y113" s="251" t="n">
        <v>288</v>
      </c>
      <c r="Z113" s="251" t="n">
        <v>288</v>
      </c>
      <c r="AA113" s="35" t="n">
        <v>44880</v>
      </c>
      <c r="AB113" s="27" t="n"/>
      <c r="AC113" s="27" t="n"/>
      <c r="AD113" s="210" t="n">
        <v>240</v>
      </c>
      <c r="AE113" s="237" t="n">
        <v>0</v>
      </c>
      <c r="AF113" t="b">
        <v>0</v>
      </c>
      <c r="AG113" s="228" t="n">
        <v>240</v>
      </c>
    </row>
    <row r="114">
      <c r="A114">
        <f>I114&amp;"-"&amp;J114</f>
        <v/>
      </c>
      <c r="B114" s="1">
        <f>N114</f>
        <v/>
      </c>
      <c r="C114">
        <f>M114&amp;"/"&amp;O114</f>
        <v/>
      </c>
      <c r="D114">
        <f>K114</f>
        <v/>
      </c>
      <c r="E114">
        <f>L114</f>
        <v/>
      </c>
      <c r="F114" s="236">
        <f>Z114</f>
        <v/>
      </c>
      <c r="G114">
        <f>U114&amp;"%"</f>
        <v/>
      </c>
      <c r="I114" s="53" t="n">
        <v>2022</v>
      </c>
      <c r="J114" s="53" t="n">
        <v>113</v>
      </c>
      <c r="K114" s="71" t="inlineStr">
        <is>
          <t>Ausgaben</t>
        </is>
      </c>
      <c r="L114" t="inlineStr">
        <is>
          <t>Telefon/Internet</t>
        </is>
      </c>
      <c r="M114" s="131" t="n"/>
      <c r="N114" s="1" t="n">
        <v>44762</v>
      </c>
      <c r="O114" t="inlineStr">
        <is>
          <t>Magenta: T-Mobile Austria GmbH, A-1120 Wien, PF 47</t>
        </is>
      </c>
      <c r="Q114" s="76" t="n"/>
      <c r="R114" t="b">
        <v>0</v>
      </c>
      <c r="S114" s="214" t="n">
        <v>31.92</v>
      </c>
      <c r="T114" s="159" t="n">
        <v>1</v>
      </c>
      <c r="U114" t="n">
        <v>20</v>
      </c>
      <c r="V114" s="237" t="n">
        <v>6.384000000000001</v>
      </c>
      <c r="W114" s="237" t="n">
        <v>6.384000000000001</v>
      </c>
      <c r="X114" s="208" t="n">
        <v>31.92</v>
      </c>
      <c r="Y114" s="251" t="n">
        <v>38.304</v>
      </c>
      <c r="Z114" s="251" t="n">
        <v>38.304</v>
      </c>
      <c r="AA114" s="35" t="n">
        <v>44880</v>
      </c>
      <c r="AB114" s="27" t="n"/>
      <c r="AC114" s="27" t="n"/>
      <c r="AD114" s="210" t="n">
        <v>31.92</v>
      </c>
      <c r="AE114" s="237" t="n">
        <v>0</v>
      </c>
      <c r="AF114" t="b">
        <v>0</v>
      </c>
      <c r="AG114" s="228" t="n">
        <v>-31.92</v>
      </c>
    </row>
    <row r="115">
      <c r="A115">
        <f>I115&amp;"-"&amp;J115</f>
        <v/>
      </c>
      <c r="B115" s="1">
        <f>N115</f>
        <v/>
      </c>
      <c r="C115">
        <f>M115&amp;"/"&amp;O115</f>
        <v/>
      </c>
      <c r="D115">
        <f>K115</f>
        <v/>
      </c>
      <c r="E115">
        <f>L115</f>
        <v/>
      </c>
      <c r="F115" s="236">
        <f>Z115</f>
        <v/>
      </c>
      <c r="G115">
        <f>U115&amp;"%"</f>
        <v/>
      </c>
      <c r="I115" s="53" t="n">
        <v>2022</v>
      </c>
      <c r="J115" s="53" t="n">
        <v>114</v>
      </c>
      <c r="K115" s="71" t="inlineStr">
        <is>
          <t>Ausgaben</t>
        </is>
      </c>
      <c r="L115" t="inlineStr">
        <is>
          <t>sonstige Betriebsausgaben</t>
        </is>
      </c>
      <c r="M115" s="6" t="n"/>
      <c r="N115" s="1" t="n">
        <v>44762</v>
      </c>
      <c r="O115" t="inlineStr">
        <is>
          <t>Microsoft Ireland Operations Ltd. One Microsoft Place, South County, Business Park, Leopardstown, Dublin 18, D18 P521, Ireland</t>
        </is>
      </c>
      <c r="Q115" s="76" t="n"/>
      <c r="R115" t="b">
        <v>0</v>
      </c>
      <c r="S115" s="214" t="n">
        <v>10.5</v>
      </c>
      <c r="T115" s="159" t="n">
        <v>1</v>
      </c>
      <c r="U115" t="n">
        <v>0</v>
      </c>
      <c r="V115" s="237" t="n">
        <v>0</v>
      </c>
      <c r="W115" s="237" t="n">
        <v>0</v>
      </c>
      <c r="X115" s="208" t="n">
        <v>10.5</v>
      </c>
      <c r="Y115" s="251" t="n">
        <v>10.5</v>
      </c>
      <c r="Z115" s="251" t="n">
        <v>10.5</v>
      </c>
      <c r="AA115" s="35" t="n">
        <v>44880</v>
      </c>
      <c r="AB115" s="27" t="n"/>
      <c r="AC115" s="27" t="n">
        <v>20</v>
      </c>
      <c r="AD115" s="210" t="n">
        <v>10.5</v>
      </c>
      <c r="AE115" s="237" t="n">
        <v>2.1</v>
      </c>
      <c r="AF115" t="b">
        <v>0</v>
      </c>
      <c r="AG115" s="228" t="n">
        <v>-10.5</v>
      </c>
    </row>
    <row r="116">
      <c r="A116">
        <f>I116&amp;"-"&amp;J116</f>
        <v/>
      </c>
      <c r="B116" s="1">
        <f>N116</f>
        <v/>
      </c>
      <c r="C116">
        <f>M116&amp;"/"&amp;O116</f>
        <v/>
      </c>
      <c r="D116">
        <f>K116</f>
        <v/>
      </c>
      <c r="E116">
        <f>L116</f>
        <v/>
      </c>
      <c r="F116" s="236">
        <f>Z116</f>
        <v/>
      </c>
      <c r="G116">
        <f>U116&amp;"%"</f>
        <v/>
      </c>
      <c r="I116" s="53" t="n">
        <v>2022</v>
      </c>
      <c r="J116" s="53" t="n">
        <v>115</v>
      </c>
      <c r="K116" s="71" t="inlineStr">
        <is>
          <t>Ausgaben</t>
        </is>
      </c>
      <c r="L116" t="inlineStr">
        <is>
          <t>sonstige Betriebsausgaben</t>
        </is>
      </c>
      <c r="M116" s="9" t="n"/>
      <c r="N116" s="1" t="n">
        <v>44764</v>
      </c>
      <c r="O116" t="inlineStr">
        <is>
          <t>Google Ireland Ltd, Gordon House, Barrow Street, Dublin 4, Ireland; VAT number: IE 6388047V</t>
        </is>
      </c>
      <c r="Q116" s="76" t="n"/>
      <c r="R116" t="b">
        <v>0</v>
      </c>
      <c r="S116" s="214" t="n">
        <v>-0.33</v>
      </c>
      <c r="T116" s="159" t="n">
        <v>1</v>
      </c>
      <c r="U116" t="n">
        <v>0</v>
      </c>
      <c r="V116" s="237" t="n">
        <v>0</v>
      </c>
      <c r="W116" s="237" t="n">
        <v>0</v>
      </c>
      <c r="X116" s="208" t="n">
        <v>-0.33</v>
      </c>
      <c r="Y116" s="251" t="n">
        <v>-0.33</v>
      </c>
      <c r="Z116" s="251" t="n">
        <v>-0.33</v>
      </c>
      <c r="AA116" s="35" t="n">
        <v>44880</v>
      </c>
      <c r="AB116" s="27" t="n"/>
      <c r="AC116" s="27" t="n">
        <v>20</v>
      </c>
      <c r="AD116" s="210" t="n">
        <v>-0.33</v>
      </c>
      <c r="AE116" s="237" t="n">
        <v>-0.066</v>
      </c>
      <c r="AF116" t="b">
        <v>0</v>
      </c>
      <c r="AG116" s="228" t="n">
        <v>0.33</v>
      </c>
    </row>
    <row r="117">
      <c r="A117">
        <f>I117&amp;"-"&amp;J117</f>
        <v/>
      </c>
      <c r="B117" s="1">
        <f>N117</f>
        <v/>
      </c>
      <c r="C117">
        <f>M117&amp;"/"&amp;O117</f>
        <v/>
      </c>
      <c r="D117">
        <f>K117</f>
        <v/>
      </c>
      <c r="E117">
        <f>L117</f>
        <v/>
      </c>
      <c r="F117" s="236">
        <f>Z117</f>
        <v/>
      </c>
      <c r="G117">
        <f>U117&amp;"%"</f>
        <v/>
      </c>
      <c r="I117" s="53" t="n">
        <v>2022</v>
      </c>
      <c r="J117" s="53" t="n">
        <v>116</v>
      </c>
      <c r="K117" s="71" t="inlineStr">
        <is>
          <t>Ausgaben</t>
        </is>
      </c>
      <c r="L117" t="inlineStr">
        <is>
          <t>Büromaterial</t>
        </is>
      </c>
      <c r="M117" s="9" t="inlineStr">
        <is>
          <t>DS-ASE-INV-AT-2022-23811775</t>
        </is>
      </c>
      <c r="N117" s="1" t="n">
        <v>44768</v>
      </c>
      <c r="O117" t="inlineStr">
        <is>
          <t>Amazon EU S. à r.l., 38 avenue John F. Kennedy, L-1855 Luxembourg: HJEU: DVI-HDMI, Logitech Maus</t>
        </is>
      </c>
      <c r="Q117" s="76" t="n"/>
      <c r="R117" t="b">
        <v>0</v>
      </c>
      <c r="S117" s="214" t="n">
        <v>26.44</v>
      </c>
      <c r="T117" s="159" t="n">
        <v>1</v>
      </c>
      <c r="U117" t="n">
        <v>20</v>
      </c>
      <c r="V117" s="237" t="n">
        <v>5.288</v>
      </c>
      <c r="W117" s="237" t="n">
        <v>5.288</v>
      </c>
      <c r="X117" s="208" t="n">
        <v>26.44</v>
      </c>
      <c r="Y117" s="251" t="n">
        <v>31.728</v>
      </c>
      <c r="Z117" s="251" t="n">
        <v>31.728</v>
      </c>
      <c r="AA117" s="35" t="n">
        <v>44880</v>
      </c>
      <c r="AB117" s="27" t="n"/>
      <c r="AC117" s="27" t="n"/>
      <c r="AD117" s="210" t="n">
        <v>26.44</v>
      </c>
      <c r="AE117" s="237" t="n">
        <v>0</v>
      </c>
      <c r="AF117" t="b">
        <v>0</v>
      </c>
      <c r="AG117" s="228" t="n">
        <v>-26.44</v>
      </c>
    </row>
    <row r="118">
      <c r="A118">
        <f>I118&amp;"-"&amp;J118</f>
        <v/>
      </c>
      <c r="B118" s="1">
        <f>N118</f>
        <v/>
      </c>
      <c r="C118">
        <f>M118&amp;"/"&amp;O118</f>
        <v/>
      </c>
      <c r="D118">
        <f>K118</f>
        <v/>
      </c>
      <c r="E118">
        <f>L118</f>
        <v/>
      </c>
      <c r="F118" s="236">
        <f>Z118</f>
        <v/>
      </c>
      <c r="G118">
        <f>U118&amp;"%"</f>
        <v/>
      </c>
      <c r="I118" s="53" t="n">
        <v>2022</v>
      </c>
      <c r="J118" s="53" t="n">
        <v>117</v>
      </c>
      <c r="K118" s="71" t="inlineStr">
        <is>
          <t>Ausgaben</t>
        </is>
      </c>
      <c r="L118" t="inlineStr">
        <is>
          <t>Waren, Rohstoffe, Hilfsstoffe</t>
        </is>
      </c>
      <c r="M118" s="9" t="n"/>
      <c r="N118" s="1" t="n">
        <v>44768</v>
      </c>
      <c r="O118" t="inlineStr">
        <is>
          <t>Lemon Technologies GmbH, Unterweißenbach 181, 7330 Feldbach: Bildschirm</t>
        </is>
      </c>
      <c r="Q118" s="76" t="n"/>
      <c r="R118" t="b">
        <v>0</v>
      </c>
      <c r="S118" s="214" t="n">
        <v>184.56</v>
      </c>
      <c r="T118" s="159" t="n">
        <v>1</v>
      </c>
      <c r="U118" t="n">
        <v>20</v>
      </c>
      <c r="V118" s="237" t="n">
        <v>36.912</v>
      </c>
      <c r="W118" s="237" t="n">
        <v>36.912</v>
      </c>
      <c r="X118" s="208" t="n">
        <v>184.56</v>
      </c>
      <c r="Y118" s="251" t="n">
        <v>221.472</v>
      </c>
      <c r="Z118" s="251" t="n">
        <v>221.472</v>
      </c>
      <c r="AA118" s="35" t="n">
        <v>44880</v>
      </c>
      <c r="AB118" s="27" t="n"/>
      <c r="AC118" s="27" t="n"/>
      <c r="AD118" s="210" t="n">
        <v>184.56</v>
      </c>
      <c r="AE118" s="237" t="n">
        <v>0</v>
      </c>
      <c r="AF118" t="b">
        <v>0</v>
      </c>
      <c r="AG118" s="228" t="n">
        <v>-184.56</v>
      </c>
    </row>
    <row r="119">
      <c r="A119">
        <f>I119&amp;"-"&amp;J119</f>
        <v/>
      </c>
      <c r="B119" s="1">
        <f>N119</f>
        <v/>
      </c>
      <c r="C119">
        <f>M119&amp;"/"&amp;O119</f>
        <v/>
      </c>
      <c r="D119">
        <f>K119</f>
        <v/>
      </c>
      <c r="E119">
        <f>L119</f>
        <v/>
      </c>
      <c r="F119" s="236">
        <f>Z119</f>
        <v/>
      </c>
      <c r="G119">
        <f>U119&amp;"%"</f>
        <v/>
      </c>
      <c r="I119" s="53" t="n">
        <v>2022</v>
      </c>
      <c r="J119" s="53" t="n">
        <v>118</v>
      </c>
      <c r="K119" s="71" t="inlineStr">
        <is>
          <t>Einnahmen</t>
        </is>
      </c>
      <c r="L119" t="inlineStr">
        <is>
          <t>Waren-/Leistungserlöse</t>
        </is>
      </c>
      <c r="M119" t="n">
        <v>12022013</v>
      </c>
      <c r="N119" s="1" t="n">
        <v>44770</v>
      </c>
      <c r="O119" t="inlineStr">
        <is>
          <t>Paperholic all bout paper e.U.</t>
        </is>
      </c>
      <c r="Q119" s="76" t="n"/>
      <c r="R119" t="b">
        <v>0</v>
      </c>
      <c r="S119" s="214" t="n">
        <v>27.75</v>
      </c>
      <c r="T119" s="159" t="n">
        <v>1</v>
      </c>
      <c r="U119" t="n">
        <v>20</v>
      </c>
      <c r="V119" s="237" t="n">
        <v>5.55</v>
      </c>
      <c r="W119" s="237" t="n">
        <v>5.55</v>
      </c>
      <c r="X119" s="208" t="n">
        <v>27.75</v>
      </c>
      <c r="Y119" s="251" t="n">
        <v>33.3</v>
      </c>
      <c r="Z119" s="251" t="n">
        <v>33.3</v>
      </c>
      <c r="AA119" s="35" t="n">
        <v>44880</v>
      </c>
      <c r="AB119" s="27" t="n"/>
      <c r="AC119" s="27" t="n"/>
      <c r="AD119" s="210" t="n">
        <v>27.75</v>
      </c>
      <c r="AE119" s="237" t="n">
        <v>0</v>
      </c>
      <c r="AF119" t="b">
        <v>0</v>
      </c>
      <c r="AG119" s="228" t="n">
        <v>27.75</v>
      </c>
    </row>
    <row r="120">
      <c r="A120">
        <f>I120&amp;"-"&amp;J120</f>
        <v/>
      </c>
      <c r="B120" s="1">
        <f>N120</f>
        <v/>
      </c>
      <c r="C120">
        <f>M120&amp;"/"&amp;O120</f>
        <v/>
      </c>
      <c r="D120">
        <f>K120</f>
        <v/>
      </c>
      <c r="E120">
        <f>L120</f>
        <v/>
      </c>
      <c r="F120" s="236">
        <f>Z120</f>
        <v/>
      </c>
      <c r="G120">
        <f>U120&amp;"%"</f>
        <v/>
      </c>
      <c r="I120" s="53" t="n">
        <v>2022</v>
      </c>
      <c r="J120" s="53" t="n">
        <v>119</v>
      </c>
      <c r="K120" s="71" t="inlineStr">
        <is>
          <t>Ausgaben</t>
        </is>
      </c>
      <c r="L120" t="inlineStr">
        <is>
          <t>Miet- und Pachtaufwand, Leasing</t>
        </is>
      </c>
      <c r="M120" s="9" t="n"/>
      <c r="N120" s="1" t="n">
        <v>44774</v>
      </c>
      <c r="O120" t="inlineStr">
        <is>
          <t>Bontus Immobilienverwaltung GmbH, 1010 Wien, Franz Josefs Kai 65</t>
        </is>
      </c>
      <c r="Q120" s="76" t="n"/>
      <c r="R120" t="b">
        <v>0</v>
      </c>
      <c r="S120" s="214" t="n">
        <v>128.125</v>
      </c>
      <c r="T120" s="159" t="n">
        <v>1</v>
      </c>
      <c r="U120" t="n">
        <v>20</v>
      </c>
      <c r="V120" s="237" t="n">
        <v>25.625</v>
      </c>
      <c r="W120" s="237" t="n">
        <v>25.625</v>
      </c>
      <c r="X120" s="208" t="n">
        <v>128.125</v>
      </c>
      <c r="Y120" s="251" t="n">
        <v>153.75</v>
      </c>
      <c r="Z120" s="251" t="n">
        <v>153.75</v>
      </c>
      <c r="AA120" s="35" t="n">
        <v>44880</v>
      </c>
      <c r="AB120" s="27" t="n"/>
      <c r="AC120" s="27" t="n"/>
      <c r="AD120" s="210" t="n">
        <v>128.125</v>
      </c>
      <c r="AE120" s="237" t="n">
        <v>0</v>
      </c>
      <c r="AF120" t="b">
        <v>0</v>
      </c>
      <c r="AG120" s="228" t="n">
        <v>-128.125</v>
      </c>
    </row>
    <row r="121">
      <c r="A121">
        <f>I121&amp;"-"&amp;J121</f>
        <v/>
      </c>
      <c r="B121" s="1">
        <f>N121</f>
        <v/>
      </c>
      <c r="C121">
        <f>M121&amp;"/"&amp;O121</f>
        <v/>
      </c>
      <c r="D121">
        <f>K121</f>
        <v/>
      </c>
      <c r="E121">
        <f>L121</f>
        <v/>
      </c>
      <c r="F121" s="236">
        <f>Z121</f>
        <v/>
      </c>
      <c r="G121">
        <f>U121&amp;"%"</f>
        <v/>
      </c>
      <c r="I121" s="53" t="n">
        <v>2022</v>
      </c>
      <c r="J121" s="53" t="n">
        <v>120</v>
      </c>
      <c r="K121" s="71" t="inlineStr">
        <is>
          <t>Ausgaben</t>
        </is>
      </c>
      <c r="L121" t="inlineStr">
        <is>
          <t>Telefon/Internet</t>
        </is>
      </c>
      <c r="M121" s="9" t="inlineStr">
        <is>
          <t>6246969218</t>
        </is>
      </c>
      <c r="N121" s="1" t="n">
        <v>44775</v>
      </c>
      <c r="O121" t="inlineStr">
        <is>
          <t>Hutchison Drei Austria GmbH, Brünner Straße 52, 1210 Wien, Österreich</t>
        </is>
      </c>
      <c r="Q121" s="76" t="n"/>
      <c r="R121" t="b">
        <v>0</v>
      </c>
      <c r="S121" s="214" t="n">
        <v>15</v>
      </c>
      <c r="T121" s="159" t="n">
        <v>1</v>
      </c>
      <c r="U121" t="n">
        <v>20</v>
      </c>
      <c r="V121" s="237" t="n">
        <v>3</v>
      </c>
      <c r="W121" s="237" t="n">
        <v>3</v>
      </c>
      <c r="X121" s="208" t="n">
        <v>15</v>
      </c>
      <c r="Y121" s="251" t="n">
        <v>18</v>
      </c>
      <c r="Z121" s="251" t="n">
        <v>18</v>
      </c>
      <c r="AA121" s="35" t="n">
        <v>44880</v>
      </c>
      <c r="AB121" s="27" t="n"/>
      <c r="AC121" s="27" t="n"/>
      <c r="AD121" s="210" t="n">
        <v>15</v>
      </c>
      <c r="AE121" s="237" t="n">
        <v>0</v>
      </c>
      <c r="AF121" t="b">
        <v>0</v>
      </c>
      <c r="AG121" s="228" t="n">
        <v>-15</v>
      </c>
    </row>
    <row r="122">
      <c r="A122">
        <f>I122&amp;"-"&amp;J122</f>
        <v/>
      </c>
      <c r="B122" s="1">
        <f>N122</f>
        <v/>
      </c>
      <c r="C122">
        <f>M122&amp;"/"&amp;O122</f>
        <v/>
      </c>
      <c r="D122">
        <f>K122</f>
        <v/>
      </c>
      <c r="E122">
        <f>L122</f>
        <v/>
      </c>
      <c r="F122" s="236">
        <f>Z122</f>
        <v/>
      </c>
      <c r="G122">
        <f>U122&amp;"%"</f>
        <v/>
      </c>
      <c r="I122" s="53" t="n">
        <v>2022</v>
      </c>
      <c r="J122" s="53" t="n">
        <v>121</v>
      </c>
      <c r="K122" s="71" t="inlineStr">
        <is>
          <t>Ausgaben</t>
        </is>
      </c>
      <c r="L122" t="inlineStr">
        <is>
          <t>sonstige Betriebsausgaben</t>
        </is>
      </c>
      <c r="M122" s="9" t="inlineStr">
        <is>
          <t>4322957079</t>
        </is>
      </c>
      <c r="N122" s="1" t="n">
        <v>44776</v>
      </c>
      <c r="O122" t="inlineStr">
        <is>
          <t>Google Ireland Ltd, Gordon House, Barrow Street, Dublin 4, Ireland; VAT number: IE 6388047V</t>
        </is>
      </c>
      <c r="Q122" s="76" t="n"/>
      <c r="R122" t="b">
        <v>0</v>
      </c>
      <c r="S122" s="214" t="n">
        <v>9.359999999999999</v>
      </c>
      <c r="T122" s="159" t="n">
        <v>1</v>
      </c>
      <c r="U122" t="n">
        <v>0</v>
      </c>
      <c r="V122" s="237" t="n">
        <v>0</v>
      </c>
      <c r="W122" s="237" t="n">
        <v>0</v>
      </c>
      <c r="X122" s="208" t="n">
        <v>9.359999999999999</v>
      </c>
      <c r="Y122" s="251" t="n">
        <v>9.359999999999999</v>
      </c>
      <c r="Z122" s="251" t="n">
        <v>9.359999999999999</v>
      </c>
      <c r="AA122" s="35" t="n">
        <v>44880</v>
      </c>
      <c r="AB122" s="27" t="n"/>
      <c r="AC122" s="27" t="n">
        <v>20</v>
      </c>
      <c r="AD122" s="210" t="n">
        <v>9.359999999999999</v>
      </c>
      <c r="AE122" s="237" t="n">
        <v>1.872</v>
      </c>
      <c r="AF122" t="b">
        <v>0</v>
      </c>
      <c r="AG122" s="228" t="n">
        <v>-9.359999999999999</v>
      </c>
    </row>
    <row r="123">
      <c r="A123">
        <f>I123&amp;"-"&amp;J123</f>
        <v/>
      </c>
      <c r="B123" s="1">
        <f>N123</f>
        <v/>
      </c>
      <c r="C123">
        <f>M123&amp;"/"&amp;O123</f>
        <v/>
      </c>
      <c r="D123">
        <f>K123</f>
        <v/>
      </c>
      <c r="E123">
        <f>L123</f>
        <v/>
      </c>
      <c r="F123" s="236">
        <f>Z123</f>
        <v/>
      </c>
      <c r="G123">
        <f>U123&amp;"%"</f>
        <v/>
      </c>
      <c r="I123" s="53" t="n">
        <v>2022</v>
      </c>
      <c r="J123" s="53" t="n">
        <v>122</v>
      </c>
      <c r="K123" s="71" t="inlineStr">
        <is>
          <t>Ausgaben</t>
        </is>
      </c>
      <c r="L123" t="inlineStr">
        <is>
          <t>sonstige Betriebsausgaben</t>
        </is>
      </c>
      <c r="M123" s="153" t="inlineStr">
        <is>
          <t>siehe Jahresabrechnung</t>
        </is>
      </c>
      <c r="N123" s="1" t="n">
        <v>44776</v>
      </c>
      <c r="O123" t="inlineStr">
        <is>
          <t>go green energy GmbH &amp; Co KG</t>
        </is>
      </c>
      <c r="Q123" s="76" t="n"/>
      <c r="R123" t="b">
        <v>0</v>
      </c>
      <c r="S123" s="214" t="n">
        <v>2.5</v>
      </c>
      <c r="T123" s="159" t="n">
        <v>1</v>
      </c>
      <c r="U123" t="n">
        <v>20</v>
      </c>
      <c r="V123" s="237" t="n">
        <v>0.5</v>
      </c>
      <c r="W123" s="237" t="n">
        <v>0.5</v>
      </c>
      <c r="X123" s="208" t="n">
        <v>2.5</v>
      </c>
      <c r="Y123" s="251" t="n">
        <v>3</v>
      </c>
      <c r="Z123" s="251" t="n">
        <v>3</v>
      </c>
      <c r="AA123" s="35" t="n">
        <v>44880</v>
      </c>
      <c r="AB123" s="27" t="n"/>
      <c r="AC123" s="27" t="n"/>
      <c r="AD123" s="210" t="n">
        <v>2.5</v>
      </c>
      <c r="AE123" s="237" t="n">
        <v>0</v>
      </c>
      <c r="AF123" t="b">
        <v>0</v>
      </c>
      <c r="AG123" s="228" t="n">
        <v>-2.5</v>
      </c>
    </row>
    <row r="124">
      <c r="A124">
        <f>I124&amp;"-"&amp;J124</f>
        <v/>
      </c>
      <c r="B124" s="1">
        <f>N124</f>
        <v/>
      </c>
      <c r="C124">
        <f>M124&amp;"/"&amp;O124</f>
        <v/>
      </c>
      <c r="D124">
        <f>K124</f>
        <v/>
      </c>
      <c r="E124">
        <f>L124</f>
        <v/>
      </c>
      <c r="F124" s="236">
        <f>Z124</f>
        <v/>
      </c>
      <c r="G124">
        <f>U124&amp;"%"</f>
        <v/>
      </c>
      <c r="I124" s="53" t="n">
        <v>2022</v>
      </c>
      <c r="J124" s="53" t="n">
        <v>123</v>
      </c>
      <c r="K124" s="71" t="inlineStr">
        <is>
          <t>Ausgaben</t>
        </is>
      </c>
      <c r="L124" t="inlineStr">
        <is>
          <t>Miet- und Pachtaufwand, Leasing</t>
        </is>
      </c>
      <c r="M124" s="61" t="inlineStr">
        <is>
          <t>BELEG FEHLT</t>
        </is>
      </c>
      <c r="N124" s="1" t="n">
        <v>44778</v>
      </c>
      <c r="O124" t="inlineStr">
        <is>
          <t>Techem Messtechnik GmbH; Abnehmernummer 501686-0003-11-</t>
        </is>
      </c>
      <c r="Q124" s="76" t="n"/>
      <c r="R124" t="b">
        <v>0</v>
      </c>
      <c r="S124" s="214" t="n">
        <v>122.6</v>
      </c>
      <c r="T124" s="159" t="n">
        <v>1</v>
      </c>
      <c r="U124" t="n">
        <v>20</v>
      </c>
      <c r="V124" s="237" t="n">
        <v>24.52</v>
      </c>
      <c r="W124" s="237" t="n">
        <v>24.52</v>
      </c>
      <c r="X124" s="208" t="n">
        <v>122.6</v>
      </c>
      <c r="Y124" s="251" t="n">
        <v>147.12</v>
      </c>
      <c r="Z124" s="251" t="n">
        <v>147.12</v>
      </c>
      <c r="AA124" s="35" t="n">
        <v>44880</v>
      </c>
      <c r="AB124" s="27" t="n"/>
      <c r="AC124" s="27" t="n"/>
      <c r="AD124" s="210" t="n">
        <v>122.6</v>
      </c>
      <c r="AE124" s="237" t="n">
        <v>0</v>
      </c>
      <c r="AF124" t="b">
        <v>0</v>
      </c>
      <c r="AG124" s="228" t="n">
        <v>-122.6</v>
      </c>
    </row>
    <row r="125">
      <c r="A125">
        <f>I125&amp;"-"&amp;J125</f>
        <v/>
      </c>
      <c r="B125" s="1">
        <f>N125</f>
        <v/>
      </c>
      <c r="C125">
        <f>M125&amp;"/"&amp;O125</f>
        <v/>
      </c>
      <c r="D125">
        <f>K125</f>
        <v/>
      </c>
      <c r="E125">
        <f>L125</f>
        <v/>
      </c>
      <c r="F125" s="236">
        <f>Z125</f>
        <v/>
      </c>
      <c r="G125">
        <f>U125&amp;"%"</f>
        <v/>
      </c>
      <c r="I125" s="53" t="n">
        <v>2022</v>
      </c>
      <c r="J125" s="53" t="n">
        <v>124</v>
      </c>
      <c r="K125" s="71" t="inlineStr">
        <is>
          <t>Ausgaben</t>
        </is>
      </c>
      <c r="L125" t="inlineStr">
        <is>
          <t>sonstige Betriebsausgaben</t>
        </is>
      </c>
      <c r="M125" s="61" t="inlineStr">
        <is>
          <t>BELEG FEHLT</t>
        </is>
      </c>
      <c r="N125" s="1" t="n">
        <v>44783</v>
      </c>
      <c r="O125" t="inlineStr">
        <is>
          <t>Wiener Netze GmbH, Erdbergstraße 236, 1110 Wien, Postfach 422; Jahresabrechnung vom 17.12.20: GUTSCHRIFT</t>
        </is>
      </c>
      <c r="Q125" s="76" t="n"/>
      <c r="R125" t="b">
        <v>0</v>
      </c>
      <c r="S125" s="214" t="n">
        <v>11</v>
      </c>
      <c r="T125" s="159" t="n">
        <v>1</v>
      </c>
      <c r="U125" t="n">
        <v>20</v>
      </c>
      <c r="V125" s="237" t="n">
        <v>2.2</v>
      </c>
      <c r="W125" s="237" t="n">
        <v>2.2</v>
      </c>
      <c r="X125" s="208" t="n">
        <v>11</v>
      </c>
      <c r="Y125" s="251" t="n">
        <v>13.2</v>
      </c>
      <c r="Z125" s="251" t="n">
        <v>13.2</v>
      </c>
      <c r="AA125" s="35" t="n">
        <v>44880</v>
      </c>
      <c r="AB125" s="27" t="n"/>
      <c r="AC125" s="27" t="n"/>
      <c r="AD125" s="210" t="n">
        <v>11</v>
      </c>
      <c r="AE125" s="237" t="n">
        <v>0</v>
      </c>
      <c r="AF125" t="b">
        <v>0</v>
      </c>
      <c r="AG125" s="228" t="n">
        <v>-11</v>
      </c>
    </row>
    <row r="126">
      <c r="A126">
        <f>I126&amp;"-"&amp;J126</f>
        <v/>
      </c>
      <c r="B126" s="1">
        <f>N126</f>
        <v/>
      </c>
      <c r="C126">
        <f>M126&amp;"/"&amp;O126</f>
        <v/>
      </c>
      <c r="D126">
        <f>K126</f>
        <v/>
      </c>
      <c r="E126">
        <f>L126</f>
        <v/>
      </c>
      <c r="F126" s="236">
        <f>Z126</f>
        <v/>
      </c>
      <c r="G126">
        <f>U126&amp;"%"</f>
        <v/>
      </c>
      <c r="I126" s="53" t="n">
        <v>2022</v>
      </c>
      <c r="J126" s="53" t="n">
        <v>125</v>
      </c>
      <c r="K126" s="71" t="inlineStr">
        <is>
          <t>Ausgaben</t>
        </is>
      </c>
      <c r="L126" t="inlineStr">
        <is>
          <t>sonstige Betriebsausgaben</t>
        </is>
      </c>
      <c r="M126" s="9" t="inlineStr">
        <is>
          <t>R0016545608</t>
        </is>
      </c>
      <c r="N126" s="1" t="n">
        <v>44784</v>
      </c>
      <c r="O126" t="inlineStr">
        <is>
          <t>Hetzner Online GmbH</t>
        </is>
      </c>
      <c r="Q126" s="76" t="n"/>
      <c r="R126" t="b">
        <v>0</v>
      </c>
      <c r="S126" s="214" t="n">
        <v>47.7765</v>
      </c>
      <c r="T126" s="159" t="n">
        <v>1</v>
      </c>
      <c r="U126" t="n">
        <v>0</v>
      </c>
      <c r="V126" s="237" t="n">
        <v>0</v>
      </c>
      <c r="W126" s="237" t="n">
        <v>0</v>
      </c>
      <c r="X126" s="208" t="n">
        <v>47.7765</v>
      </c>
      <c r="Y126" s="251" t="n">
        <v>47.7765</v>
      </c>
      <c r="Z126" s="251" t="n">
        <v>47.7765</v>
      </c>
      <c r="AA126" s="35" t="n">
        <v>44880</v>
      </c>
      <c r="AB126" s="27" t="n"/>
      <c r="AC126" s="27" t="n">
        <v>20</v>
      </c>
      <c r="AD126" s="210" t="n">
        <v>47.7765</v>
      </c>
      <c r="AE126" s="237" t="n">
        <v>9.555300000000001</v>
      </c>
      <c r="AF126" t="b">
        <v>0</v>
      </c>
      <c r="AG126" s="228" t="n">
        <v>-47.7765</v>
      </c>
    </row>
    <row r="127">
      <c r="A127">
        <f>I127&amp;"-"&amp;J127</f>
        <v/>
      </c>
      <c r="B127" s="1">
        <f>N127</f>
        <v/>
      </c>
      <c r="C127">
        <f>M127&amp;"/"&amp;O127</f>
        <v/>
      </c>
      <c r="D127">
        <f>K127</f>
        <v/>
      </c>
      <c r="E127">
        <f>L127</f>
        <v/>
      </c>
      <c r="F127" s="236">
        <f>Z127</f>
        <v/>
      </c>
      <c r="G127">
        <f>U127&amp;"%"</f>
        <v/>
      </c>
      <c r="I127" s="53" t="n">
        <v>2022</v>
      </c>
      <c r="J127" s="53" t="n">
        <v>126</v>
      </c>
      <c r="K127" s="71" t="inlineStr">
        <is>
          <t>Einnahmen</t>
        </is>
      </c>
      <c r="L127" t="inlineStr">
        <is>
          <t>Waren-/Leistungserlöse</t>
        </is>
      </c>
      <c r="M127" t="n">
        <v>168044680</v>
      </c>
      <c r="N127" s="1" t="n">
        <v>44790</v>
      </c>
      <c r="O127" t="inlineStr">
        <is>
          <t>Hays Österreich GmbH, Bahnhof City Wien West , Europaplatz 3/5, 1150 Wien</t>
        </is>
      </c>
      <c r="Q127" s="76" t="n"/>
      <c r="R127" t="b">
        <v>0</v>
      </c>
      <c r="S127" s="214" t="n">
        <v>15293</v>
      </c>
      <c r="T127" s="159" t="n">
        <v>1</v>
      </c>
      <c r="U127" t="n">
        <v>20</v>
      </c>
      <c r="V127" s="237" t="n">
        <v>3058.6</v>
      </c>
      <c r="W127" s="237" t="n">
        <v>3058.6</v>
      </c>
      <c r="X127" s="208" t="n">
        <v>15293</v>
      </c>
      <c r="Y127" s="251" t="n">
        <v>18351.6</v>
      </c>
      <c r="Z127" s="251" t="n">
        <v>18351.6</v>
      </c>
      <c r="AA127" s="35" t="n">
        <v>44880</v>
      </c>
      <c r="AB127" s="27" t="n"/>
      <c r="AC127" s="27" t="n">
        <v>20</v>
      </c>
      <c r="AD127" s="210" t="n">
        <v>15293</v>
      </c>
      <c r="AE127" s="237" t="n">
        <v>3670.32</v>
      </c>
      <c r="AF127" t="b">
        <v>1</v>
      </c>
      <c r="AG127" s="228" t="n">
        <v>15293</v>
      </c>
    </row>
    <row r="128">
      <c r="A128">
        <f>I128&amp;"-"&amp;J128</f>
        <v/>
      </c>
      <c r="B128" s="1">
        <f>N128</f>
        <v/>
      </c>
      <c r="C128">
        <f>M128&amp;"/"&amp;O128</f>
        <v/>
      </c>
      <c r="D128">
        <f>K128</f>
        <v/>
      </c>
      <c r="E128">
        <f>L128</f>
        <v/>
      </c>
      <c r="F128" s="236">
        <f>Z128</f>
        <v/>
      </c>
      <c r="G128">
        <f>U128&amp;"%"</f>
        <v/>
      </c>
      <c r="I128" s="53" t="n">
        <v>2022</v>
      </c>
      <c r="J128" s="53" t="n">
        <v>127</v>
      </c>
      <c r="K128" s="71" t="inlineStr">
        <is>
          <t>Ausgaben</t>
        </is>
      </c>
      <c r="L128" t="inlineStr">
        <is>
          <t>Büromaterial</t>
        </is>
      </c>
      <c r="M128" s="9" t="inlineStr">
        <is>
          <t>DS-ASE-INV-AT-2022-26414264</t>
        </is>
      </c>
      <c r="N128" s="1" t="n">
        <v>44790</v>
      </c>
      <c r="O128" t="inlineStr">
        <is>
          <t>Amazon EU S. à r.l., 38 avenue John F. Kennedy, L-1855 Luxembourg: HJEU: DVI-HDMI, Logitech Maus</t>
        </is>
      </c>
      <c r="Q128" s="76" t="n"/>
      <c r="R128" t="b">
        <v>0</v>
      </c>
      <c r="S128" s="214" t="n">
        <v>29.57</v>
      </c>
      <c r="T128" s="159" t="n">
        <v>1</v>
      </c>
      <c r="U128" t="n">
        <v>20</v>
      </c>
      <c r="V128" s="237" t="n">
        <v>5.914</v>
      </c>
      <c r="W128" s="237" t="n">
        <v>5.914</v>
      </c>
      <c r="X128" s="208" t="n">
        <v>29.57</v>
      </c>
      <c r="Y128" s="251" t="n">
        <v>35.484</v>
      </c>
      <c r="Z128" s="251" t="n">
        <v>35.484</v>
      </c>
      <c r="AA128" s="35" t="n">
        <v>44880</v>
      </c>
      <c r="AB128" s="27" t="n"/>
      <c r="AC128" s="27" t="n"/>
      <c r="AD128" s="210" t="n">
        <v>29.57</v>
      </c>
      <c r="AE128" s="237" t="n">
        <v>0</v>
      </c>
      <c r="AF128" t="b">
        <v>0</v>
      </c>
      <c r="AG128" s="228" t="n">
        <v>-29.57</v>
      </c>
    </row>
    <row r="129">
      <c r="A129">
        <f>I129&amp;"-"&amp;J129</f>
        <v/>
      </c>
      <c r="B129" s="1">
        <f>N129</f>
        <v/>
      </c>
      <c r="C129">
        <f>M129&amp;"/"&amp;O129</f>
        <v/>
      </c>
      <c r="D129">
        <f>K129</f>
        <v/>
      </c>
      <c r="E129">
        <f>L129</f>
        <v/>
      </c>
      <c r="F129" s="236">
        <f>Z129</f>
        <v/>
      </c>
      <c r="G129">
        <f>U129&amp;"%"</f>
        <v/>
      </c>
      <c r="I129" s="53" t="n">
        <v>2022</v>
      </c>
      <c r="J129" s="53" t="n">
        <v>128</v>
      </c>
      <c r="K129" s="71" t="inlineStr">
        <is>
          <t>Ausgaben</t>
        </is>
      </c>
      <c r="L129" t="inlineStr">
        <is>
          <t>Waren, Rohstoffe, Hilfsstoffe</t>
        </is>
      </c>
      <c r="M129" s="9" t="inlineStr">
        <is>
          <t>13616363</t>
        </is>
      </c>
      <c r="N129" s="1" t="n">
        <v>44790</v>
      </c>
      <c r="O129" t="inlineStr">
        <is>
          <t>Primus Office Products Handelsgesmbh,&amp; Co. KG, Margaretengürtel 44, 1050 Wien</t>
        </is>
      </c>
      <c r="Q129" s="76" t="inlineStr">
        <is>
          <t>ja</t>
        </is>
      </c>
      <c r="R129" t="b">
        <v>0</v>
      </c>
      <c r="S129" s="214" t="n">
        <v>347.5</v>
      </c>
      <c r="T129" s="159" t="n">
        <v>1</v>
      </c>
      <c r="U129" t="n">
        <v>20</v>
      </c>
      <c r="V129" s="237" t="n">
        <v>69.5</v>
      </c>
      <c r="W129" s="237" t="n">
        <v>69.5</v>
      </c>
      <c r="X129" s="208" t="n">
        <v>347.5</v>
      </c>
      <c r="Y129" s="251" t="n">
        <v>417</v>
      </c>
      <c r="Z129" s="251" t="n">
        <v>417</v>
      </c>
      <c r="AA129" s="35" t="n">
        <v>44880</v>
      </c>
      <c r="AB129" s="27" t="n"/>
      <c r="AC129" s="27" t="n"/>
      <c r="AD129" s="210" t="n">
        <v>347.5</v>
      </c>
      <c r="AE129" s="237" t="n">
        <v>0</v>
      </c>
      <c r="AF129" t="b">
        <v>0</v>
      </c>
      <c r="AG129" s="228" t="n">
        <v>-347.5</v>
      </c>
    </row>
    <row r="130">
      <c r="A130">
        <f>I130&amp;"-"&amp;J130</f>
        <v/>
      </c>
      <c r="B130" s="1">
        <f>N130</f>
        <v/>
      </c>
      <c r="C130">
        <f>M130&amp;"/"&amp;O130</f>
        <v/>
      </c>
      <c r="D130">
        <f>K130</f>
        <v/>
      </c>
      <c r="E130">
        <f>L130</f>
        <v/>
      </c>
      <c r="F130" s="236">
        <f>Z130</f>
        <v/>
      </c>
      <c r="G130">
        <f>U130&amp;"%"</f>
        <v/>
      </c>
      <c r="I130" s="53" t="n">
        <v>2022</v>
      </c>
      <c r="J130" s="53" t="n">
        <v>129</v>
      </c>
      <c r="K130" s="71" t="inlineStr">
        <is>
          <t>Ausgaben</t>
        </is>
      </c>
      <c r="L130" t="inlineStr">
        <is>
          <t>Telefon/Internet</t>
        </is>
      </c>
      <c r="M130" s="131" t="inlineStr">
        <is>
          <t>901173800822</t>
        </is>
      </c>
      <c r="N130" s="1" t="n">
        <v>44792</v>
      </c>
      <c r="O130" t="inlineStr">
        <is>
          <t>Magenta: T-Mobile Austria GmbH, A-1120 Wien, PF 47</t>
        </is>
      </c>
      <c r="Q130" s="76" t="n"/>
      <c r="R130" t="b">
        <v>0</v>
      </c>
      <c r="S130" s="214" t="n">
        <v>31.92</v>
      </c>
      <c r="T130" s="159" t="n">
        <v>1</v>
      </c>
      <c r="U130" t="n">
        <v>20</v>
      </c>
      <c r="V130" s="237" t="n">
        <v>6.384000000000001</v>
      </c>
      <c r="W130" s="237" t="n">
        <v>6.384000000000001</v>
      </c>
      <c r="X130" s="208" t="n">
        <v>31.92</v>
      </c>
      <c r="Y130" s="251" t="n">
        <v>38.304</v>
      </c>
      <c r="Z130" s="251" t="n">
        <v>38.304</v>
      </c>
      <c r="AA130" s="35" t="n">
        <v>44880</v>
      </c>
      <c r="AB130" s="27" t="n"/>
      <c r="AC130" s="27" t="n"/>
      <c r="AD130" s="210" t="n">
        <v>31.92</v>
      </c>
      <c r="AE130" s="237" t="n">
        <v>0</v>
      </c>
      <c r="AF130" t="b">
        <v>0</v>
      </c>
      <c r="AG130" s="228" t="n">
        <v>-31.92</v>
      </c>
    </row>
    <row r="131">
      <c r="A131">
        <f>I131&amp;"-"&amp;J131</f>
        <v/>
      </c>
      <c r="B131" s="1">
        <f>N131</f>
        <v/>
      </c>
      <c r="C131">
        <f>M131&amp;"/"&amp;O131</f>
        <v/>
      </c>
      <c r="D131">
        <f>K131</f>
        <v/>
      </c>
      <c r="E131">
        <f>L131</f>
        <v/>
      </c>
      <c r="F131" s="236">
        <f>Z131</f>
        <v/>
      </c>
      <c r="G131">
        <f>U131&amp;"%"</f>
        <v/>
      </c>
      <c r="I131" s="53" t="n">
        <v>2022</v>
      </c>
      <c r="J131" s="53" t="n">
        <v>130</v>
      </c>
      <c r="K131" s="71" t="inlineStr">
        <is>
          <t>Ausgaben</t>
        </is>
      </c>
      <c r="L131" t="inlineStr">
        <is>
          <t>sonstige Betriebsausgaben</t>
        </is>
      </c>
      <c r="M131" s="6" t="inlineStr">
        <is>
          <t>E0600JIOEA</t>
        </is>
      </c>
      <c r="N131" s="1" t="n">
        <v>44793</v>
      </c>
      <c r="O131" t="inlineStr">
        <is>
          <t>Microsoft Ireland Operations Ltd. One Microsoft Place, South County, Business Park, Leopardstown, Dublin 18, D18 P521, Ireland</t>
        </is>
      </c>
      <c r="Q131" s="76" t="n"/>
      <c r="R131" t="b">
        <v>0</v>
      </c>
      <c r="S131" s="214" t="n">
        <v>10.5</v>
      </c>
      <c r="T131" s="159" t="n">
        <v>1</v>
      </c>
      <c r="U131" t="n">
        <v>0</v>
      </c>
      <c r="V131" s="237" t="n">
        <v>0</v>
      </c>
      <c r="W131" s="237" t="n">
        <v>0</v>
      </c>
      <c r="X131" s="208" t="n">
        <v>10.5</v>
      </c>
      <c r="Y131" s="251" t="n">
        <v>10.5</v>
      </c>
      <c r="Z131" s="251" t="n">
        <v>10.5</v>
      </c>
      <c r="AA131" s="35" t="n">
        <v>44880</v>
      </c>
      <c r="AB131" s="27" t="n"/>
      <c r="AC131" s="27" t="n">
        <v>20</v>
      </c>
      <c r="AD131" s="210" t="n">
        <v>10.5</v>
      </c>
      <c r="AE131" s="237" t="n">
        <v>2.1</v>
      </c>
      <c r="AF131" t="b">
        <v>0</v>
      </c>
      <c r="AG131" s="228" t="n">
        <v>-10.5</v>
      </c>
    </row>
    <row r="132">
      <c r="A132">
        <f>I132&amp;"-"&amp;J132</f>
        <v/>
      </c>
      <c r="B132" s="1">
        <f>N132</f>
        <v/>
      </c>
      <c r="C132">
        <f>M132&amp;"/"&amp;O132</f>
        <v/>
      </c>
      <c r="D132">
        <f>K132</f>
        <v/>
      </c>
      <c r="E132">
        <f>L132</f>
        <v/>
      </c>
      <c r="F132" s="236">
        <f>Z132</f>
        <v/>
      </c>
      <c r="G132">
        <f>U132&amp;"%"</f>
        <v/>
      </c>
      <c r="I132" s="53" t="n">
        <v>2022</v>
      </c>
      <c r="J132" s="53" t="n">
        <v>131</v>
      </c>
      <c r="K132" s="71" t="inlineStr">
        <is>
          <t>Ausgaben</t>
        </is>
      </c>
      <c r="L132" t="inlineStr">
        <is>
          <t>Miet- und Pachtaufwand, Leasing</t>
        </is>
      </c>
      <c r="M132" s="9" t="n"/>
      <c r="N132" s="1" t="n">
        <v>44805</v>
      </c>
      <c r="O132" t="inlineStr">
        <is>
          <t>Bontus Immobilienverwaltung GmbH, 1010 Wien, Franz Josefs Kai 65</t>
        </is>
      </c>
      <c r="Q132" s="76" t="n"/>
      <c r="R132" t="b">
        <v>0</v>
      </c>
      <c r="S132" s="214" t="n">
        <v>496.4416666666667</v>
      </c>
      <c r="T132" s="159" t="n">
        <v>1</v>
      </c>
      <c r="U132" t="n">
        <v>20</v>
      </c>
      <c r="V132" s="237" t="n">
        <v>99.28833333333334</v>
      </c>
      <c r="W132" s="237" t="n">
        <v>99.28833333333334</v>
      </c>
      <c r="X132" s="208" t="n">
        <v>496.4416666666667</v>
      </c>
      <c r="Y132" s="251" t="n">
        <v>595.73</v>
      </c>
      <c r="Z132" s="251" t="n">
        <v>595.73</v>
      </c>
      <c r="AA132" s="35" t="n">
        <v>44880</v>
      </c>
      <c r="AB132" s="27" t="n"/>
      <c r="AC132" s="27" t="n"/>
      <c r="AD132" s="210" t="n">
        <v>496.4416666666667</v>
      </c>
      <c r="AE132" s="237" t="n">
        <v>0</v>
      </c>
      <c r="AF132" t="b">
        <v>0</v>
      </c>
      <c r="AG132" s="228" t="n">
        <v>-496.4416666666667</v>
      </c>
    </row>
    <row r="133">
      <c r="A133">
        <f>I133&amp;"-"&amp;J133</f>
        <v/>
      </c>
      <c r="B133" s="1">
        <f>N133</f>
        <v/>
      </c>
      <c r="C133">
        <f>M133&amp;"/"&amp;O133</f>
        <v/>
      </c>
      <c r="D133">
        <f>K133</f>
        <v/>
      </c>
      <c r="E133">
        <f>L133</f>
        <v/>
      </c>
      <c r="F133" s="236">
        <f>Z133</f>
        <v/>
      </c>
      <c r="G133">
        <f>U133&amp;"%"</f>
        <v/>
      </c>
      <c r="I133" s="53" t="n">
        <v>2022</v>
      </c>
      <c r="J133" s="53" t="n">
        <v>132</v>
      </c>
      <c r="K133" s="71" t="inlineStr">
        <is>
          <t>Ausgaben</t>
        </is>
      </c>
      <c r="L133" t="inlineStr">
        <is>
          <t>Telefon/Internet</t>
        </is>
      </c>
      <c r="M133" s="9" t="inlineStr">
        <is>
          <t>6246969218</t>
        </is>
      </c>
      <c r="N133" s="1" t="n">
        <v>44805</v>
      </c>
      <c r="O133" t="inlineStr">
        <is>
          <t>Hutchison Drei Austria GmbH, Brünner Straße 52, 1210 Wien, Österreich</t>
        </is>
      </c>
      <c r="Q133" s="76" t="n"/>
      <c r="R133" t="b">
        <v>0</v>
      </c>
      <c r="S133" s="214" t="n">
        <v>15</v>
      </c>
      <c r="T133" s="159" t="n">
        <v>1</v>
      </c>
      <c r="U133" t="n">
        <v>20</v>
      </c>
      <c r="V133" s="237" t="n">
        <v>3</v>
      </c>
      <c r="W133" s="237" t="n">
        <v>3</v>
      </c>
      <c r="X133" s="208" t="n">
        <v>15</v>
      </c>
      <c r="Y133" s="251" t="n">
        <v>18</v>
      </c>
      <c r="Z133" s="251" t="n">
        <v>18</v>
      </c>
      <c r="AA133" s="35" t="n">
        <v>44880</v>
      </c>
      <c r="AB133" s="27" t="n"/>
      <c r="AC133" s="27" t="n"/>
      <c r="AD133" s="210" t="n">
        <v>15</v>
      </c>
      <c r="AE133" s="237" t="n">
        <v>0</v>
      </c>
      <c r="AF133" t="b">
        <v>0</v>
      </c>
      <c r="AG133" s="228" t="n">
        <v>-15</v>
      </c>
    </row>
    <row r="134">
      <c r="A134">
        <f>I134&amp;"-"&amp;J134</f>
        <v/>
      </c>
      <c r="B134" s="1">
        <f>N134</f>
        <v/>
      </c>
      <c r="C134">
        <f>M134&amp;"/"&amp;O134</f>
        <v/>
      </c>
      <c r="D134">
        <f>K134</f>
        <v/>
      </c>
      <c r="E134">
        <f>L134</f>
        <v/>
      </c>
      <c r="F134" s="236">
        <f>Z134</f>
        <v/>
      </c>
      <c r="G134">
        <f>U134&amp;"%"</f>
        <v/>
      </c>
      <c r="I134" s="53" t="n">
        <v>2022</v>
      </c>
      <c r="J134" s="53" t="n">
        <v>133</v>
      </c>
      <c r="K134" s="71" t="inlineStr">
        <is>
          <t>Ausgaben</t>
        </is>
      </c>
      <c r="L134" t="inlineStr">
        <is>
          <t>Büromaterial</t>
        </is>
      </c>
      <c r="M134" s="61" t="inlineStr">
        <is>
          <t>BELEG FEHLT</t>
        </is>
      </c>
      <c r="N134" s="1" t="n">
        <v>44806</v>
      </c>
      <c r="O134" t="inlineStr">
        <is>
          <t>Büroprofi Koch Papier GmbH, 1080 Wien, Josefstädter Str  87</t>
        </is>
      </c>
      <c r="Q134" s="76" t="n"/>
      <c r="R134" t="b">
        <v>0</v>
      </c>
      <c r="S134" s="214" t="n">
        <v>6.208333333333334</v>
      </c>
      <c r="T134" s="159" t="n">
        <v>1</v>
      </c>
      <c r="U134" t="n">
        <v>20</v>
      </c>
      <c r="V134" s="237" t="n">
        <v>1.241666666666667</v>
      </c>
      <c r="W134" s="237" t="n">
        <v>1.241666666666667</v>
      </c>
      <c r="X134" s="208" t="n">
        <v>6.208333333333334</v>
      </c>
      <c r="Y134" s="251" t="n">
        <v>7.450000000000001</v>
      </c>
      <c r="Z134" s="251" t="n">
        <v>7.450000000000001</v>
      </c>
      <c r="AA134" s="35" t="n">
        <v>44880</v>
      </c>
      <c r="AB134" s="27" t="n"/>
      <c r="AC134" s="27" t="n"/>
      <c r="AD134" s="210" t="n">
        <v>6.208333333333334</v>
      </c>
      <c r="AE134" s="237" t="n">
        <v>0</v>
      </c>
      <c r="AF134" t="b">
        <v>0</v>
      </c>
      <c r="AG134" s="228" t="n">
        <v>-6.208333333333334</v>
      </c>
    </row>
    <row r="135">
      <c r="A135">
        <f>I135&amp;"-"&amp;J135</f>
        <v/>
      </c>
      <c r="B135" s="1">
        <f>N135</f>
        <v/>
      </c>
      <c r="C135">
        <f>M135&amp;"/"&amp;O135</f>
        <v/>
      </c>
      <c r="D135">
        <f>K135</f>
        <v/>
      </c>
      <c r="E135">
        <f>L135</f>
        <v/>
      </c>
      <c r="F135" s="236">
        <f>Z135</f>
        <v/>
      </c>
      <c r="G135">
        <f>U135&amp;"%"</f>
        <v/>
      </c>
      <c r="I135" s="53" t="n">
        <v>2022</v>
      </c>
      <c r="J135" s="53" t="n">
        <v>134</v>
      </c>
      <c r="K135" s="71" t="inlineStr">
        <is>
          <t>Ausgaben</t>
        </is>
      </c>
      <c r="L135" t="inlineStr">
        <is>
          <t>sonstige Betriebsausgaben</t>
        </is>
      </c>
      <c r="M135" s="9" t="inlineStr">
        <is>
          <t>4322957079</t>
        </is>
      </c>
      <c r="N135" s="1" t="n">
        <v>44807</v>
      </c>
      <c r="O135" t="inlineStr">
        <is>
          <t>Google Ireland Ltd, Gordon House, Barrow Street, Dublin 4, Ireland; VAT number: IE 6388047V</t>
        </is>
      </c>
      <c r="Q135" s="76" t="n"/>
      <c r="R135" t="b">
        <v>0</v>
      </c>
      <c r="S135" s="214" t="n">
        <v>9.359999999999999</v>
      </c>
      <c r="T135" s="159" t="n">
        <v>1</v>
      </c>
      <c r="U135" t="n">
        <v>0</v>
      </c>
      <c r="V135" s="237" t="n">
        <v>0</v>
      </c>
      <c r="W135" s="237" t="n">
        <v>0</v>
      </c>
      <c r="X135" s="208" t="n">
        <v>9.359999999999999</v>
      </c>
      <c r="Y135" s="251" t="n">
        <v>9.359999999999999</v>
      </c>
      <c r="Z135" s="251" t="n">
        <v>9.359999999999999</v>
      </c>
      <c r="AA135" s="35" t="n">
        <v>44880</v>
      </c>
      <c r="AB135" s="27" t="n"/>
      <c r="AC135" s="27" t="n">
        <v>20</v>
      </c>
      <c r="AD135" s="210" t="n">
        <v>9.359999999999999</v>
      </c>
      <c r="AE135" s="237" t="n">
        <v>1.872</v>
      </c>
      <c r="AF135" t="b">
        <v>0</v>
      </c>
      <c r="AG135" s="228" t="n">
        <v>-9.359999999999999</v>
      </c>
    </row>
    <row r="136">
      <c r="A136">
        <f>I136&amp;"-"&amp;J136</f>
        <v/>
      </c>
      <c r="B136" s="1">
        <f>N136</f>
        <v/>
      </c>
      <c r="C136">
        <f>M136&amp;"/"&amp;O136</f>
        <v/>
      </c>
      <c r="D136">
        <f>K136</f>
        <v/>
      </c>
      <c r="E136">
        <f>L136</f>
        <v/>
      </c>
      <c r="F136" s="236">
        <f>Z136</f>
        <v/>
      </c>
      <c r="G136">
        <f>U136&amp;"%"</f>
        <v/>
      </c>
      <c r="I136" s="53" t="n">
        <v>2022</v>
      </c>
      <c r="J136" s="53" t="n">
        <v>135</v>
      </c>
      <c r="K136" s="71" t="inlineStr">
        <is>
          <t>Ausgaben</t>
        </is>
      </c>
      <c r="L136" t="inlineStr">
        <is>
          <t>sonstige Betriebsausgaben</t>
        </is>
      </c>
      <c r="M136" s="153" t="inlineStr">
        <is>
          <t>siehe Jahresabrechnung</t>
        </is>
      </c>
      <c r="N136" s="1" t="n">
        <v>44809</v>
      </c>
      <c r="O136" t="inlineStr">
        <is>
          <t>go green energy GmbH &amp; Co KG</t>
        </is>
      </c>
      <c r="Q136" s="76" t="n"/>
      <c r="R136" t="b">
        <v>0</v>
      </c>
      <c r="S136" s="214" t="n">
        <v>2.5</v>
      </c>
      <c r="T136" s="159" t="n">
        <v>1</v>
      </c>
      <c r="U136" t="n">
        <v>20</v>
      </c>
      <c r="V136" s="237" t="n">
        <v>0.5</v>
      </c>
      <c r="W136" s="237" t="n">
        <v>0.5</v>
      </c>
      <c r="X136" s="208" t="n">
        <v>2.5</v>
      </c>
      <c r="Y136" s="251" t="n">
        <v>3</v>
      </c>
      <c r="Z136" s="251" t="n">
        <v>3</v>
      </c>
      <c r="AA136" s="35" t="n">
        <v>44880</v>
      </c>
      <c r="AB136" s="27" t="n"/>
      <c r="AC136" s="27" t="n"/>
      <c r="AD136" s="210" t="n">
        <v>2.5</v>
      </c>
      <c r="AE136" s="237" t="n">
        <v>0</v>
      </c>
      <c r="AF136" t="b">
        <v>0</v>
      </c>
      <c r="AG136" s="228" t="n">
        <v>-2.5</v>
      </c>
    </row>
    <row r="137">
      <c r="A137">
        <f>I137&amp;"-"&amp;J137</f>
        <v/>
      </c>
      <c r="B137" s="1">
        <f>N137</f>
        <v/>
      </c>
      <c r="C137">
        <f>M137&amp;"/"&amp;O137</f>
        <v/>
      </c>
      <c r="D137">
        <f>K137</f>
        <v/>
      </c>
      <c r="E137">
        <f>L137</f>
        <v/>
      </c>
      <c r="F137" s="236">
        <f>Z137</f>
        <v/>
      </c>
      <c r="G137">
        <f>U137&amp;"%"</f>
        <v/>
      </c>
      <c r="I137" s="53" t="n">
        <v>2022</v>
      </c>
      <c r="J137" s="53" t="n">
        <v>136</v>
      </c>
      <c r="K137" s="71" t="inlineStr">
        <is>
          <t>Ausgaben</t>
        </is>
      </c>
      <c r="L137" t="inlineStr">
        <is>
          <t>Miet- und Pachtaufwand, Leasing</t>
        </is>
      </c>
      <c r="M137" s="61" t="inlineStr">
        <is>
          <t>BELEG FEHLT</t>
        </is>
      </c>
      <c r="N137" s="1" t="n">
        <v>44809</v>
      </c>
      <c r="O137" t="inlineStr">
        <is>
          <t>Techem Messtechnik GmbH; Abnehmernummer 501686-0003-11-</t>
        </is>
      </c>
      <c r="Q137" s="76" t="n"/>
      <c r="R137" t="b">
        <v>0</v>
      </c>
      <c r="S137" s="214" t="n">
        <v>122.6</v>
      </c>
      <c r="T137" s="159" t="n">
        <v>1</v>
      </c>
      <c r="U137" t="n">
        <v>20</v>
      </c>
      <c r="V137" s="237" t="n">
        <v>24.52</v>
      </c>
      <c r="W137" s="237" t="n">
        <v>24.52</v>
      </c>
      <c r="X137" s="208" t="n">
        <v>122.6</v>
      </c>
      <c r="Y137" s="251" t="n">
        <v>147.12</v>
      </c>
      <c r="Z137" s="251" t="n">
        <v>147.12</v>
      </c>
      <c r="AA137" s="35" t="n">
        <v>44880</v>
      </c>
      <c r="AB137" s="27" t="n"/>
      <c r="AC137" s="27" t="n"/>
      <c r="AD137" s="210" t="n">
        <v>122.6</v>
      </c>
      <c r="AE137" s="237" t="n">
        <v>0</v>
      </c>
      <c r="AF137" t="b">
        <v>0</v>
      </c>
      <c r="AG137" s="228" t="n">
        <v>-122.6</v>
      </c>
    </row>
    <row r="138">
      <c r="A138">
        <f>I138&amp;"-"&amp;J138</f>
        <v/>
      </c>
      <c r="B138" s="1">
        <f>N138</f>
        <v/>
      </c>
      <c r="C138">
        <f>M138&amp;"/"&amp;O138</f>
        <v/>
      </c>
      <c r="D138">
        <f>K138</f>
        <v/>
      </c>
      <c r="E138">
        <f>L138</f>
        <v/>
      </c>
      <c r="F138" s="236">
        <f>Z138</f>
        <v/>
      </c>
      <c r="G138">
        <f>U138&amp;"%"</f>
        <v/>
      </c>
      <c r="I138" s="53" t="n">
        <v>2022</v>
      </c>
      <c r="J138" s="53" t="n">
        <v>137</v>
      </c>
      <c r="K138" s="71" t="inlineStr">
        <is>
          <t>Ausgaben</t>
        </is>
      </c>
      <c r="L138" t="inlineStr">
        <is>
          <t>sonstige Betriebsausgaben</t>
        </is>
      </c>
      <c r="M138" s="61" t="inlineStr">
        <is>
          <t>BELEG FEHLT</t>
        </is>
      </c>
      <c r="N138" s="1" t="n">
        <v>44816</v>
      </c>
      <c r="O138" t="inlineStr">
        <is>
          <t>Wiener Netze GmbH, Erdbergstraße 236, 1110 Wien, Postfach 422; Jahresabrechnung vom 17.12.20: GUTSCHRIFT</t>
        </is>
      </c>
      <c r="Q138" s="76" t="n"/>
      <c r="R138" t="b">
        <v>0</v>
      </c>
      <c r="S138" s="214" t="n">
        <v>11</v>
      </c>
      <c r="T138" s="159" t="n">
        <v>1</v>
      </c>
      <c r="U138" t="n">
        <v>20</v>
      </c>
      <c r="V138" s="237" t="n">
        <v>2.2</v>
      </c>
      <c r="W138" s="237" t="n">
        <v>2.2</v>
      </c>
      <c r="X138" s="208" t="n">
        <v>11</v>
      </c>
      <c r="Y138" s="251" t="n">
        <v>13.2</v>
      </c>
      <c r="Z138" s="251" t="n">
        <v>13.2</v>
      </c>
      <c r="AA138" s="35" t="n">
        <v>44880</v>
      </c>
      <c r="AB138" s="27" t="n"/>
      <c r="AC138" s="27" t="n"/>
      <c r="AD138" s="210" t="n">
        <v>11</v>
      </c>
      <c r="AE138" s="237" t="n">
        <v>0</v>
      </c>
      <c r="AF138" t="b">
        <v>0</v>
      </c>
      <c r="AG138" s="228" t="n">
        <v>-11</v>
      </c>
    </row>
    <row r="139">
      <c r="A139">
        <f>I139&amp;"-"&amp;J139</f>
        <v/>
      </c>
      <c r="B139" s="1">
        <f>N139</f>
        <v/>
      </c>
      <c r="C139">
        <f>M139&amp;"/"&amp;O139</f>
        <v/>
      </c>
      <c r="D139">
        <f>K139</f>
        <v/>
      </c>
      <c r="E139">
        <f>L139</f>
        <v/>
      </c>
      <c r="F139" s="236">
        <f>Z139</f>
        <v/>
      </c>
      <c r="G139">
        <f>U139&amp;"%"</f>
        <v/>
      </c>
      <c r="I139" s="53" t="n">
        <v>2022</v>
      </c>
      <c r="J139" s="53" t="n">
        <v>138</v>
      </c>
      <c r="K139" s="71" t="inlineStr">
        <is>
          <t>Ausgaben</t>
        </is>
      </c>
      <c r="L139" t="inlineStr">
        <is>
          <t>sonstige Betriebsausgaben</t>
        </is>
      </c>
      <c r="M139" s="9" t="inlineStr">
        <is>
          <t>R0016819083</t>
        </is>
      </c>
      <c r="N139" s="1" t="n">
        <v>44817</v>
      </c>
      <c r="O139" t="inlineStr">
        <is>
          <t>Hetzner Online GmbH</t>
        </is>
      </c>
      <c r="Q139" s="76" t="n"/>
      <c r="R139" t="b">
        <v>0</v>
      </c>
      <c r="S139" s="214" t="n">
        <v>47.7765</v>
      </c>
      <c r="T139" s="159" t="n">
        <v>1</v>
      </c>
      <c r="U139" t="n">
        <v>0</v>
      </c>
      <c r="V139" s="237" t="n">
        <v>0</v>
      </c>
      <c r="W139" s="237" t="n">
        <v>0</v>
      </c>
      <c r="X139" s="208" t="n">
        <v>47.7765</v>
      </c>
      <c r="Y139" s="251" t="n">
        <v>47.7765</v>
      </c>
      <c r="Z139" s="251" t="n">
        <v>47.7765</v>
      </c>
      <c r="AA139" s="35" t="n">
        <v>44880</v>
      </c>
      <c r="AB139" s="27" t="n"/>
      <c r="AC139" s="27" t="n">
        <v>20</v>
      </c>
      <c r="AD139" s="210" t="n">
        <v>47.7765</v>
      </c>
      <c r="AE139" s="237" t="n">
        <v>9.555300000000001</v>
      </c>
      <c r="AF139" t="b">
        <v>0</v>
      </c>
      <c r="AG139" s="228" t="n">
        <v>-47.7765</v>
      </c>
    </row>
    <row r="140">
      <c r="A140">
        <f>I140&amp;"-"&amp;J140</f>
        <v/>
      </c>
      <c r="B140" s="1">
        <f>N140</f>
        <v/>
      </c>
      <c r="C140">
        <f>M140&amp;"/"&amp;O140</f>
        <v/>
      </c>
      <c r="D140">
        <f>K140</f>
        <v/>
      </c>
      <c r="E140">
        <f>L140</f>
        <v/>
      </c>
      <c r="F140" s="236">
        <f>Z140</f>
        <v/>
      </c>
      <c r="G140">
        <f>U140&amp;"%"</f>
        <v/>
      </c>
      <c r="I140" s="53" t="n">
        <v>2022</v>
      </c>
      <c r="J140" s="53" t="n">
        <v>139</v>
      </c>
      <c r="K140" s="71" t="inlineStr">
        <is>
          <t>Einnahmen</t>
        </is>
      </c>
      <c r="L140" t="inlineStr">
        <is>
          <t>Waren-/Leistungserlöse</t>
        </is>
      </c>
      <c r="M140" t="n">
        <v>168045114</v>
      </c>
      <c r="N140" s="1" t="n">
        <v>44818</v>
      </c>
      <c r="O140" t="inlineStr">
        <is>
          <t>Hays Österreich GmbH, Bahnhof City Wien West , Europaplatz 3/5, 1150 Wien</t>
        </is>
      </c>
      <c r="Q140" s="76" t="n"/>
      <c r="R140" t="b">
        <v>0</v>
      </c>
      <c r="S140" s="214" t="n">
        <v>19950</v>
      </c>
      <c r="T140" s="159" t="n">
        <v>1</v>
      </c>
      <c r="U140" t="n">
        <v>20</v>
      </c>
      <c r="V140" s="237" t="n">
        <v>3990</v>
      </c>
      <c r="W140" s="237" t="n">
        <v>3990</v>
      </c>
      <c r="X140" s="208" t="n">
        <v>19950</v>
      </c>
      <c r="Y140" s="251" t="n">
        <v>23940</v>
      </c>
      <c r="Z140" s="251" t="n">
        <v>23940</v>
      </c>
      <c r="AA140" s="35" t="n">
        <v>44880</v>
      </c>
      <c r="AB140" s="27" t="n"/>
      <c r="AC140" s="27" t="n">
        <v>20</v>
      </c>
      <c r="AD140" s="210" t="n">
        <v>19950</v>
      </c>
      <c r="AE140" s="237" t="n">
        <v>4788</v>
      </c>
      <c r="AF140" t="b">
        <v>1</v>
      </c>
      <c r="AG140" s="228" t="n">
        <v>19950</v>
      </c>
    </row>
    <row r="141">
      <c r="A141">
        <f>I141&amp;"-"&amp;J141</f>
        <v/>
      </c>
      <c r="B141" s="1">
        <f>N141</f>
        <v/>
      </c>
      <c r="C141">
        <f>M141&amp;"/"&amp;O141</f>
        <v/>
      </c>
      <c r="D141">
        <f>K141</f>
        <v/>
      </c>
      <c r="E141">
        <f>L141</f>
        <v/>
      </c>
      <c r="F141" s="236">
        <f>Z141</f>
        <v/>
      </c>
      <c r="G141">
        <f>U141&amp;"%"</f>
        <v/>
      </c>
      <c r="I141" s="53" t="n">
        <v>2022</v>
      </c>
      <c r="J141" s="53" t="n">
        <v>140</v>
      </c>
      <c r="K141" s="71" t="inlineStr">
        <is>
          <t>Ausgaben</t>
        </is>
      </c>
      <c r="L141" t="inlineStr">
        <is>
          <t>Personalaufwand</t>
        </is>
      </c>
      <c r="M141" s="9" t="n"/>
      <c r="N141" s="1" t="n">
        <v>44819</v>
      </c>
      <c r="O141" t="inlineStr">
        <is>
          <t>Honorar Eva Jaros-Kolbitsch</t>
        </is>
      </c>
      <c r="Q141" s="76" t="n"/>
      <c r="R141" t="b">
        <v>0</v>
      </c>
      <c r="S141" s="214" t="n">
        <v>365</v>
      </c>
      <c r="T141" s="159" t="n">
        <v>1</v>
      </c>
      <c r="U141" t="n">
        <v>0</v>
      </c>
      <c r="V141" s="237" t="n">
        <v>0</v>
      </c>
      <c r="W141" s="237" t="n">
        <v>0</v>
      </c>
      <c r="X141" s="208" t="n">
        <v>365</v>
      </c>
      <c r="Y141" s="251" t="n">
        <v>365</v>
      </c>
      <c r="Z141" s="251" t="n">
        <v>365</v>
      </c>
      <c r="AA141" s="35" t="n">
        <v>44880</v>
      </c>
      <c r="AB141" s="27" t="n"/>
      <c r="AC141" s="27" t="n"/>
      <c r="AD141" s="210" t="n">
        <v>365</v>
      </c>
      <c r="AE141" s="237" t="n">
        <v>0</v>
      </c>
      <c r="AF141" t="b">
        <v>0</v>
      </c>
      <c r="AG141" s="228" t="n">
        <v>-365</v>
      </c>
    </row>
    <row r="142">
      <c r="A142">
        <f>I142&amp;"-"&amp;J142</f>
        <v/>
      </c>
      <c r="B142" s="1">
        <f>N142</f>
        <v/>
      </c>
      <c r="C142">
        <f>M142&amp;"/"&amp;O142</f>
        <v/>
      </c>
      <c r="D142">
        <f>K142</f>
        <v/>
      </c>
      <c r="E142">
        <f>L142</f>
        <v/>
      </c>
      <c r="F142" s="236">
        <f>Z142</f>
        <v/>
      </c>
      <c r="G142">
        <f>U142&amp;"%"</f>
        <v/>
      </c>
      <c r="I142" s="53" t="n">
        <v>2022</v>
      </c>
      <c r="J142" s="53" t="n">
        <v>141</v>
      </c>
      <c r="K142" s="71" t="inlineStr">
        <is>
          <t>Ausgaben</t>
        </is>
      </c>
      <c r="L142" t="inlineStr">
        <is>
          <t>sonstige Betriebsausgaben</t>
        </is>
      </c>
      <c r="M142" s="6" t="n"/>
      <c r="N142" s="1" t="n">
        <v>44824</v>
      </c>
      <c r="O142" t="inlineStr">
        <is>
          <t>Microsoft Ireland Operations Ltd. One Microsoft Place, South County, Business Park, Leopardstown, Dublin 18, D18 P521, Ireland</t>
        </is>
      </c>
      <c r="Q142" s="76" t="n"/>
      <c r="R142" t="b">
        <v>0</v>
      </c>
      <c r="S142" s="214" t="n">
        <v>10.5</v>
      </c>
      <c r="T142" s="159" t="n">
        <v>1</v>
      </c>
      <c r="U142" t="n">
        <v>0</v>
      </c>
      <c r="V142" s="237" t="n">
        <v>0</v>
      </c>
      <c r="W142" s="237" t="n">
        <v>0</v>
      </c>
      <c r="X142" s="208" t="n">
        <v>10.5</v>
      </c>
      <c r="Y142" s="251" t="n">
        <v>10.5</v>
      </c>
      <c r="Z142" s="251" t="n">
        <v>10.5</v>
      </c>
      <c r="AA142" s="35" t="n">
        <v>44880</v>
      </c>
      <c r="AB142" s="27" t="n"/>
      <c r="AC142" s="27" t="n">
        <v>20</v>
      </c>
      <c r="AD142" s="210" t="n">
        <v>10.5</v>
      </c>
      <c r="AE142" s="237" t="n">
        <v>2.1</v>
      </c>
      <c r="AF142" t="b">
        <v>0</v>
      </c>
      <c r="AG142" s="228" t="n">
        <v>-10.5</v>
      </c>
    </row>
    <row r="143">
      <c r="A143">
        <f>I143&amp;"-"&amp;J143</f>
        <v/>
      </c>
      <c r="B143" s="1">
        <f>N143</f>
        <v/>
      </c>
      <c r="C143">
        <f>M143&amp;"/"&amp;O143</f>
        <v/>
      </c>
      <c r="D143">
        <f>K143</f>
        <v/>
      </c>
      <c r="E143">
        <f>L143</f>
        <v/>
      </c>
      <c r="F143" s="236">
        <f>Z143</f>
        <v/>
      </c>
      <c r="G143">
        <f>U143&amp;"%"</f>
        <v/>
      </c>
      <c r="I143" s="53" t="n">
        <v>2022</v>
      </c>
      <c r="J143" s="53" t="n">
        <v>142</v>
      </c>
      <c r="K143" s="71" t="inlineStr">
        <is>
          <t>Ausgaben</t>
        </is>
      </c>
      <c r="L143" t="inlineStr">
        <is>
          <t>Telefon/Internet</t>
        </is>
      </c>
      <c r="M143" s="131" t="inlineStr">
        <is>
          <t>901154810922</t>
        </is>
      </c>
      <c r="N143" s="1" t="n">
        <v>44825</v>
      </c>
      <c r="O143" t="inlineStr">
        <is>
          <t>Magenta: T-Mobile Austria GmbH, A-1120 Wien, PF 47</t>
        </is>
      </c>
      <c r="Q143" s="76" t="n"/>
      <c r="R143" t="b">
        <v>0</v>
      </c>
      <c r="S143" s="214" t="n">
        <v>31.92</v>
      </c>
      <c r="T143" s="159" t="n">
        <v>1</v>
      </c>
      <c r="U143" t="n">
        <v>20</v>
      </c>
      <c r="V143" s="237" t="n">
        <v>6.384000000000001</v>
      </c>
      <c r="W143" s="237" t="n">
        <v>6.384000000000001</v>
      </c>
      <c r="X143" s="208" t="n">
        <v>31.92</v>
      </c>
      <c r="Y143" s="251" t="n">
        <v>38.304</v>
      </c>
      <c r="Z143" s="251" t="n">
        <v>38.304</v>
      </c>
      <c r="AA143" s="35" t="n">
        <v>44880</v>
      </c>
      <c r="AB143" s="27" t="n"/>
      <c r="AC143" s="27" t="n"/>
      <c r="AD143" s="210" t="n">
        <v>31.92</v>
      </c>
      <c r="AE143" s="237" t="n">
        <v>0</v>
      </c>
      <c r="AF143" t="b">
        <v>0</v>
      </c>
      <c r="AG143" s="228" t="n">
        <v>-31.92</v>
      </c>
    </row>
    <row r="144">
      <c r="A144">
        <f>I144&amp;"-"&amp;J144</f>
        <v/>
      </c>
      <c r="B144" s="1">
        <f>N144</f>
        <v/>
      </c>
      <c r="C144">
        <f>M144&amp;"/"&amp;O144</f>
        <v/>
      </c>
      <c r="D144">
        <f>K144</f>
        <v/>
      </c>
      <c r="E144">
        <f>L144</f>
        <v/>
      </c>
      <c r="F144" s="236">
        <f>Z144</f>
        <v/>
      </c>
      <c r="G144">
        <f>U144&amp;"%"</f>
        <v/>
      </c>
      <c r="I144" s="53" t="n">
        <v>2022</v>
      </c>
      <c r="J144" s="53" t="n">
        <v>143</v>
      </c>
      <c r="K144" s="71" t="inlineStr">
        <is>
          <t>Ausgaben</t>
        </is>
      </c>
      <c r="L144" t="inlineStr">
        <is>
          <t>Pflichversicherungsbeiträge</t>
        </is>
      </c>
      <c r="M144" s="9" t="n">
        <v>11561270283</v>
      </c>
      <c r="N144" s="1" t="n">
        <v>44833</v>
      </c>
      <c r="O144" t="inlineStr">
        <is>
          <t>Sozialversicherung der gewerblichen Wirtshaft</t>
        </is>
      </c>
      <c r="Q144" s="76" t="n"/>
      <c r="R144" t="b">
        <v>0</v>
      </c>
      <c r="S144" s="214" t="n">
        <v>1.51</v>
      </c>
      <c r="T144" s="159" t="n">
        <v>1</v>
      </c>
      <c r="U144" t="n">
        <v>0</v>
      </c>
      <c r="V144" s="237" t="n">
        <v>0</v>
      </c>
      <c r="W144" s="237" t="n">
        <v>0</v>
      </c>
      <c r="X144" s="208" t="n">
        <v>1.51</v>
      </c>
      <c r="Y144" s="251" t="n">
        <v>1.51</v>
      </c>
      <c r="Z144" s="251" t="n">
        <v>1.51</v>
      </c>
      <c r="AA144" s="35" t="n">
        <v>44880</v>
      </c>
      <c r="AB144" s="27" t="n"/>
      <c r="AC144" s="27" t="n"/>
      <c r="AD144" s="210" t="n">
        <v>1.51</v>
      </c>
      <c r="AE144" s="237" t="n">
        <v>0</v>
      </c>
      <c r="AF144" t="b">
        <v>0</v>
      </c>
      <c r="AG144" s="228" t="n">
        <v>-1.51</v>
      </c>
    </row>
    <row r="145">
      <c r="A145">
        <f>I145&amp;"-"&amp;J145</f>
        <v/>
      </c>
      <c r="B145" s="1">
        <f>N145</f>
        <v/>
      </c>
      <c r="C145">
        <f>M145&amp;"/"&amp;O145</f>
        <v/>
      </c>
      <c r="D145">
        <f>K145</f>
        <v/>
      </c>
      <c r="E145">
        <f>L145</f>
        <v/>
      </c>
      <c r="F145" s="236">
        <f>Z145</f>
        <v/>
      </c>
      <c r="G145">
        <f>U145&amp;"%"</f>
        <v/>
      </c>
      <c r="I145" s="53" t="n">
        <v>2022</v>
      </c>
      <c r="J145" s="53" t="n">
        <v>144</v>
      </c>
      <c r="K145" s="71" t="inlineStr">
        <is>
          <t>Ausgaben</t>
        </is>
      </c>
      <c r="L145" t="inlineStr">
        <is>
          <t>Pflichversicherungsbeiträge</t>
        </is>
      </c>
      <c r="M145" s="9" t="n">
        <v>11561270283</v>
      </c>
      <c r="N145" s="1" t="n">
        <v>44833</v>
      </c>
      <c r="O145" t="inlineStr">
        <is>
          <t>Sozialversicherung der gewerblichen Wirtshaft</t>
        </is>
      </c>
      <c r="Q145" s="76" t="n"/>
      <c r="R145" t="b">
        <v>0</v>
      </c>
      <c r="S145" s="214" t="n">
        <v>5684.7</v>
      </c>
      <c r="T145" s="159" t="n">
        <v>1</v>
      </c>
      <c r="U145" t="n">
        <v>0</v>
      </c>
      <c r="V145" s="237" t="n">
        <v>0</v>
      </c>
      <c r="W145" s="237" t="n">
        <v>0</v>
      </c>
      <c r="X145" s="208" t="n">
        <v>5684.7</v>
      </c>
      <c r="Y145" s="251" t="n">
        <v>5684.7</v>
      </c>
      <c r="Z145" s="251" t="n">
        <v>5684.7</v>
      </c>
      <c r="AA145" s="35" t="n">
        <v>44880</v>
      </c>
      <c r="AB145" s="27" t="n"/>
      <c r="AC145" s="27" t="n"/>
      <c r="AD145" s="210" t="n">
        <v>5684.7</v>
      </c>
      <c r="AE145" s="237" t="n">
        <v>0</v>
      </c>
      <c r="AF145" t="b">
        <v>0</v>
      </c>
      <c r="AG145" s="228" t="n">
        <v>-5684.7</v>
      </c>
    </row>
    <row r="146">
      <c r="A146">
        <f>I146&amp;"-"&amp;J146</f>
        <v/>
      </c>
      <c r="B146" s="1">
        <f>N146</f>
        <v/>
      </c>
      <c r="C146">
        <f>M146&amp;"/"&amp;O146</f>
        <v/>
      </c>
      <c r="D146">
        <f>K146</f>
        <v/>
      </c>
      <c r="E146">
        <f>L146</f>
        <v/>
      </c>
      <c r="F146" s="236">
        <f>Z146</f>
        <v/>
      </c>
      <c r="G146">
        <f>U146&amp;"%"</f>
        <v/>
      </c>
      <c r="I146" s="53" t="n">
        <v>2022</v>
      </c>
      <c r="J146" s="53" t="n">
        <v>145</v>
      </c>
      <c r="K146" s="71" t="inlineStr">
        <is>
          <t>Ausgaben</t>
        </is>
      </c>
      <c r="L146" t="inlineStr">
        <is>
          <t>Pflichversicherungsbeiträge</t>
        </is>
      </c>
      <c r="M146" s="9" t="n">
        <v>11561270283</v>
      </c>
      <c r="N146" s="1" t="n">
        <v>44836</v>
      </c>
      <c r="O146" t="inlineStr">
        <is>
          <t>Sozialversicherung der gewerblichen Wirtshaft</t>
        </is>
      </c>
      <c r="Q146" s="76" t="n"/>
      <c r="R146" t="b">
        <v>0</v>
      </c>
      <c r="S146" s="214" t="n">
        <v>4.1</v>
      </c>
      <c r="T146" s="159" t="n">
        <v>1</v>
      </c>
      <c r="U146" t="n">
        <v>0</v>
      </c>
      <c r="V146" s="237" t="n">
        <v>0</v>
      </c>
      <c r="W146" s="237" t="n">
        <v>0</v>
      </c>
      <c r="X146" s="208" t="n">
        <v>4.1</v>
      </c>
      <c r="Y146" s="251" t="n">
        <v>4.1</v>
      </c>
      <c r="Z146" s="251" t="n">
        <v>4.1</v>
      </c>
      <c r="AA146" s="35" t="n">
        <v>44972</v>
      </c>
      <c r="AB146" s="27" t="n"/>
      <c r="AC146" s="27" t="n"/>
      <c r="AD146" s="210" t="n">
        <v>4.1</v>
      </c>
      <c r="AE146" s="237" t="n">
        <v>0</v>
      </c>
      <c r="AF146" t="b">
        <v>0</v>
      </c>
      <c r="AG146" s="228" t="n">
        <v>-4.1</v>
      </c>
    </row>
    <row r="147">
      <c r="A147">
        <f>I147&amp;"-"&amp;J147</f>
        <v/>
      </c>
      <c r="B147" s="1">
        <f>N147</f>
        <v/>
      </c>
      <c r="C147">
        <f>M147&amp;"/"&amp;O147</f>
        <v/>
      </c>
      <c r="D147">
        <f>K147</f>
        <v/>
      </c>
      <c r="E147">
        <f>L147</f>
        <v/>
      </c>
      <c r="F147" s="236">
        <f>Z147</f>
        <v/>
      </c>
      <c r="G147">
        <f>U147&amp;"%"</f>
        <v/>
      </c>
      <c r="I147" s="53" t="n">
        <v>2022</v>
      </c>
      <c r="J147" s="53" t="n">
        <v>146</v>
      </c>
      <c r="K147" s="71" t="inlineStr">
        <is>
          <t>Einnahmen</t>
        </is>
      </c>
      <c r="L147" t="inlineStr">
        <is>
          <t>Waren-/Leistungserlöse</t>
        </is>
      </c>
      <c r="M147" s="9" t="inlineStr">
        <is>
          <t>12022020</t>
        </is>
      </c>
      <c r="N147" s="1" t="n">
        <v>44837</v>
      </c>
      <c r="O147" t="inlineStr">
        <is>
          <t>Kolbitsch Engineering &amp; Consulting KNr 45</t>
        </is>
      </c>
      <c r="Q147" s="76" t="n"/>
      <c r="R147" t="b">
        <v>0</v>
      </c>
      <c r="S147" s="214" t="n">
        <v>228.75</v>
      </c>
      <c r="T147" s="159" t="n">
        <v>1</v>
      </c>
      <c r="U147" t="n">
        <v>20</v>
      </c>
      <c r="V147" s="237" t="n">
        <v>45.75</v>
      </c>
      <c r="W147" s="237" t="n">
        <v>45.75</v>
      </c>
      <c r="X147" s="208" t="n">
        <v>228.75</v>
      </c>
      <c r="Y147" s="251" t="n">
        <v>274.5</v>
      </c>
      <c r="Z147" s="251" t="n">
        <v>274.5</v>
      </c>
      <c r="AA147" s="35" t="n">
        <v>44972</v>
      </c>
      <c r="AB147" s="27" t="n"/>
      <c r="AC147" s="27" t="n"/>
      <c r="AD147" s="210" t="n">
        <v>228.75</v>
      </c>
      <c r="AE147" s="237" t="n">
        <v>0</v>
      </c>
      <c r="AF147" t="b">
        <v>0</v>
      </c>
      <c r="AG147" s="228" t="n">
        <v>228.75</v>
      </c>
    </row>
    <row r="148">
      <c r="A148">
        <f>I148&amp;"-"&amp;J148</f>
        <v/>
      </c>
      <c r="B148" s="1">
        <f>N148</f>
        <v/>
      </c>
      <c r="C148">
        <f>M148&amp;"/"&amp;O148</f>
        <v/>
      </c>
      <c r="D148">
        <f>K148</f>
        <v/>
      </c>
      <c r="E148">
        <f>L148</f>
        <v/>
      </c>
      <c r="F148" s="236">
        <f>Z148</f>
        <v/>
      </c>
      <c r="G148">
        <f>U148&amp;"%"</f>
        <v/>
      </c>
      <c r="I148" s="53" t="n">
        <v>2022</v>
      </c>
      <c r="J148" s="53" t="n">
        <v>147</v>
      </c>
      <c r="K148" s="71" t="inlineStr">
        <is>
          <t>Einnahmen</t>
        </is>
      </c>
      <c r="L148" t="inlineStr">
        <is>
          <t>Waren-/Leistungserlöse</t>
        </is>
      </c>
      <c r="M148" s="6" t="n">
        <v>12022019</v>
      </c>
      <c r="N148" s="1" t="n">
        <v>44837</v>
      </c>
      <c r="O148" t="inlineStr">
        <is>
          <t>ZT DI Dr. Arno Kolbitsch, Gütleweg 1, 6822 Satteins</t>
        </is>
      </c>
      <c r="Q148" s="76" t="n"/>
      <c r="R148" t="b">
        <v>0</v>
      </c>
      <c r="S148" s="214" t="n">
        <v>2110.28</v>
      </c>
      <c r="T148" s="159" t="n">
        <v>1</v>
      </c>
      <c r="U148" t="n">
        <v>20</v>
      </c>
      <c r="V148" s="237" t="n">
        <v>422.056</v>
      </c>
      <c r="W148" s="237" t="n">
        <v>422.056</v>
      </c>
      <c r="X148" s="208" t="n">
        <v>2110.28</v>
      </c>
      <c r="Y148" s="251" t="n">
        <v>2532.336</v>
      </c>
      <c r="Z148" s="251" t="n">
        <v>2532.336</v>
      </c>
      <c r="AA148" s="35" t="n">
        <v>44972</v>
      </c>
      <c r="AB148" s="27" t="n"/>
      <c r="AC148" s="27" t="n"/>
      <c r="AD148" s="210" t="n">
        <v>2110.28</v>
      </c>
      <c r="AE148" s="237" t="n">
        <v>0</v>
      </c>
      <c r="AF148" t="b">
        <v>0</v>
      </c>
      <c r="AG148" s="228" t="n">
        <v>2110.28</v>
      </c>
    </row>
    <row r="149">
      <c r="A149">
        <f>I149&amp;"-"&amp;J149</f>
        <v/>
      </c>
      <c r="B149" s="1">
        <f>N149</f>
        <v/>
      </c>
      <c r="C149">
        <f>M149&amp;"/"&amp;O149</f>
        <v/>
      </c>
      <c r="D149">
        <f>K149</f>
        <v/>
      </c>
      <c r="E149">
        <f>L149</f>
        <v/>
      </c>
      <c r="F149" s="236">
        <f>Z149</f>
        <v/>
      </c>
      <c r="G149">
        <f>U149&amp;"%"</f>
        <v/>
      </c>
      <c r="I149" s="53" t="n">
        <v>2022</v>
      </c>
      <c r="J149" s="53" t="n">
        <v>148</v>
      </c>
      <c r="K149" s="71" t="inlineStr">
        <is>
          <t>Ausgaben</t>
        </is>
      </c>
      <c r="L149" t="inlineStr">
        <is>
          <t>Miet- und Pachtaufwand, Leasing</t>
        </is>
      </c>
      <c r="M149" s="9" t="n"/>
      <c r="N149" s="1" t="n">
        <v>44837</v>
      </c>
      <c r="O149" t="inlineStr">
        <is>
          <t>Bontus Immobilienverwaltung GmbH, 1010 Wien, Franz Josefs Kai 65</t>
        </is>
      </c>
      <c r="Q149" s="76" t="n"/>
      <c r="R149" t="b">
        <v>0</v>
      </c>
      <c r="S149" s="214" t="n">
        <v>505.65</v>
      </c>
      <c r="T149" s="159" t="n">
        <v>1</v>
      </c>
      <c r="U149" t="n">
        <v>20</v>
      </c>
      <c r="V149" s="237" t="n">
        <v>101.13</v>
      </c>
      <c r="W149" s="237" t="n">
        <v>101.13</v>
      </c>
      <c r="X149" s="208" t="n">
        <v>505.65</v>
      </c>
      <c r="Y149" s="251" t="n">
        <v>606.78</v>
      </c>
      <c r="Z149" s="251" t="n">
        <v>606.78</v>
      </c>
      <c r="AA149" s="35" t="n">
        <v>44972</v>
      </c>
      <c r="AB149" s="27" t="n"/>
      <c r="AC149" s="27" t="n"/>
      <c r="AD149" s="210" t="n">
        <v>505.65</v>
      </c>
      <c r="AE149" s="237" t="n">
        <v>0</v>
      </c>
      <c r="AF149" t="b">
        <v>0</v>
      </c>
      <c r="AG149" s="228" t="n">
        <v>-505.65</v>
      </c>
    </row>
    <row r="150">
      <c r="A150">
        <f>I150&amp;"-"&amp;J150</f>
        <v/>
      </c>
      <c r="B150" s="1">
        <f>N150</f>
        <v/>
      </c>
      <c r="C150">
        <f>M150&amp;"/"&amp;O150</f>
        <v/>
      </c>
      <c r="D150">
        <f>K150</f>
        <v/>
      </c>
      <c r="E150">
        <f>L150</f>
        <v/>
      </c>
      <c r="F150" s="236">
        <f>Z150</f>
        <v/>
      </c>
      <c r="G150">
        <f>U150&amp;"%"</f>
        <v/>
      </c>
      <c r="I150" s="53" t="n">
        <v>2022</v>
      </c>
      <c r="J150" s="53" t="n">
        <v>149</v>
      </c>
      <c r="K150" s="71" t="inlineStr">
        <is>
          <t>Ausgaben</t>
        </is>
      </c>
      <c r="L150" t="inlineStr">
        <is>
          <t>Reise- und Fahrtspesen inkl. Kilometergeld und Diäten</t>
        </is>
      </c>
      <c r="M150" s="131" t="inlineStr">
        <is>
          <t>4293000000027958</t>
        </is>
      </c>
      <c r="N150" s="1" t="n">
        <v>44837</v>
      </c>
      <c r="O150" t="inlineStr">
        <is>
          <t>car2go Österreich GmbH, Hintere Zollamtstraße 9, 1030 Wien</t>
        </is>
      </c>
      <c r="Q150" s="76" t="n"/>
      <c r="R150" t="b">
        <v>0</v>
      </c>
      <c r="S150" s="214" t="n">
        <v>41.53</v>
      </c>
      <c r="T150" s="159" t="n">
        <v>1</v>
      </c>
      <c r="U150" t="n">
        <v>20</v>
      </c>
      <c r="V150" s="237" t="n">
        <v>8.306000000000001</v>
      </c>
      <c r="W150" s="237" t="n">
        <v>8.306000000000001</v>
      </c>
      <c r="X150" s="208" t="n">
        <v>41.53</v>
      </c>
      <c r="Y150" s="251" t="n">
        <v>49.836</v>
      </c>
      <c r="Z150" s="251" t="n">
        <v>49.836</v>
      </c>
      <c r="AA150" s="35" t="n">
        <v>44972</v>
      </c>
      <c r="AB150" s="27" t="n"/>
      <c r="AC150" s="27" t="n"/>
      <c r="AD150" s="210" t="n">
        <v>41.53</v>
      </c>
      <c r="AE150" s="237" t="n">
        <v>0</v>
      </c>
      <c r="AF150" t="b">
        <v>0</v>
      </c>
      <c r="AG150" s="228" t="n">
        <v>-41.53</v>
      </c>
    </row>
    <row r="151">
      <c r="A151">
        <f>I151&amp;"-"&amp;J151</f>
        <v/>
      </c>
      <c r="B151" s="1">
        <f>N151</f>
        <v/>
      </c>
      <c r="C151">
        <f>M151&amp;"/"&amp;O151</f>
        <v/>
      </c>
      <c r="D151">
        <f>K151</f>
        <v/>
      </c>
      <c r="E151">
        <f>L151</f>
        <v/>
      </c>
      <c r="F151" s="236">
        <f>Z151</f>
        <v/>
      </c>
      <c r="G151">
        <f>U151&amp;"%"</f>
        <v/>
      </c>
      <c r="I151" s="53" t="n">
        <v>2022</v>
      </c>
      <c r="J151" s="53" t="n">
        <v>150</v>
      </c>
      <c r="K151" s="71" t="inlineStr">
        <is>
          <t>Ausgaben</t>
        </is>
      </c>
      <c r="L151" t="inlineStr">
        <is>
          <t>sonstige Betriebsausgaben</t>
        </is>
      </c>
      <c r="M151" s="9" t="n"/>
      <c r="N151" s="1" t="n">
        <v>44839</v>
      </c>
      <c r="O151" t="inlineStr">
        <is>
          <t>Google Ireland Ltd, Gordon House, Barrow Street, Dublin 4, Ireland; VAT number: IE 6388047V</t>
        </is>
      </c>
      <c r="Q151" s="76" t="n"/>
      <c r="R151" t="b">
        <v>0</v>
      </c>
      <c r="S151" s="214" t="n">
        <v>9.359999999999999</v>
      </c>
      <c r="T151" s="159" t="n">
        <v>1</v>
      </c>
      <c r="U151" t="n">
        <v>0</v>
      </c>
      <c r="V151" s="237" t="n">
        <v>0</v>
      </c>
      <c r="W151" s="237" t="n">
        <v>0</v>
      </c>
      <c r="X151" s="208" t="n">
        <v>9.359999999999999</v>
      </c>
      <c r="Y151" s="251" t="n">
        <v>9.359999999999999</v>
      </c>
      <c r="Z151" s="251" t="n">
        <v>9.359999999999999</v>
      </c>
      <c r="AA151" s="35" t="n">
        <v>44972</v>
      </c>
      <c r="AB151" s="27" t="n"/>
      <c r="AC151" s="27" t="n">
        <v>20</v>
      </c>
      <c r="AD151" s="210" t="n">
        <v>9.359999999999999</v>
      </c>
      <c r="AE151" s="237" t="n">
        <v>1.872</v>
      </c>
      <c r="AF151" t="b">
        <v>0</v>
      </c>
      <c r="AG151" s="228" t="n">
        <v>-9.359999999999999</v>
      </c>
    </row>
    <row r="152">
      <c r="A152">
        <f>I152&amp;"-"&amp;J152</f>
        <v/>
      </c>
      <c r="B152" s="1">
        <f>N152</f>
        <v/>
      </c>
      <c r="C152">
        <f>M152&amp;"/"&amp;O152</f>
        <v/>
      </c>
      <c r="D152">
        <f>K152</f>
        <v/>
      </c>
      <c r="E152">
        <f>L152</f>
        <v/>
      </c>
      <c r="F152" s="236">
        <f>Z152</f>
        <v/>
      </c>
      <c r="G152">
        <f>U152&amp;"%"</f>
        <v/>
      </c>
      <c r="I152" s="53" t="n">
        <v>2022</v>
      </c>
      <c r="J152" s="53" t="n">
        <v>151</v>
      </c>
      <c r="K152" s="71" t="inlineStr">
        <is>
          <t>Ausgaben</t>
        </is>
      </c>
      <c r="L152" t="inlineStr">
        <is>
          <t>Personalaufwand</t>
        </is>
      </c>
      <c r="M152" s="9" t="n"/>
      <c r="N152" s="1" t="n">
        <v>44838</v>
      </c>
      <c r="O152" t="inlineStr">
        <is>
          <t>Österreichische Gesundheitskasse, Beiträge Eva Jaros-Kolbitsch 2022/9-12 (im 1. Monat nur UV, ab dem 2. Monat BV+UV)</t>
        </is>
      </c>
      <c r="Q152" s="76" t="n"/>
      <c r="R152" t="b">
        <v>0</v>
      </c>
      <c r="S152" s="214" t="n">
        <v>34.27</v>
      </c>
      <c r="T152" s="159" t="n">
        <v>1</v>
      </c>
      <c r="U152" t="n">
        <v>0</v>
      </c>
      <c r="V152" s="237" t="n">
        <v>0</v>
      </c>
      <c r="W152" s="237" t="n">
        <v>0</v>
      </c>
      <c r="X152" s="208" t="n">
        <v>34.27</v>
      </c>
      <c r="Y152" s="251" t="n">
        <v>34.27</v>
      </c>
      <c r="Z152" s="251" t="n">
        <v>34.27</v>
      </c>
      <c r="AA152" s="35" t="n">
        <v>44972</v>
      </c>
      <c r="AB152" s="27" t="n"/>
      <c r="AC152" s="27" t="n"/>
      <c r="AD152" s="210" t="n">
        <v>34.27</v>
      </c>
      <c r="AE152" s="237" t="n">
        <v>0</v>
      </c>
      <c r="AF152" t="b">
        <v>0</v>
      </c>
      <c r="AG152" s="228" t="n">
        <v>-34.27</v>
      </c>
    </row>
    <row r="153">
      <c r="A153">
        <f>I153&amp;"-"&amp;J153</f>
        <v/>
      </c>
      <c r="B153" s="1">
        <f>N153</f>
        <v/>
      </c>
      <c r="C153">
        <f>M153&amp;"/"&amp;O153</f>
        <v/>
      </c>
      <c r="D153">
        <f>K153</f>
        <v/>
      </c>
      <c r="E153">
        <f>L153</f>
        <v/>
      </c>
      <c r="F153" s="236">
        <f>Z153</f>
        <v/>
      </c>
      <c r="G153">
        <f>U153&amp;"%"</f>
        <v/>
      </c>
      <c r="I153" s="53" t="n">
        <v>2022</v>
      </c>
      <c r="J153" s="53" t="n">
        <v>152</v>
      </c>
      <c r="K153" s="71" t="inlineStr">
        <is>
          <t>Ausgaben</t>
        </is>
      </c>
      <c r="L153" t="inlineStr">
        <is>
          <t>Telefon/Internet</t>
        </is>
      </c>
      <c r="M153" s="9" t="n"/>
      <c r="N153" s="1" t="n">
        <v>44838</v>
      </c>
      <c r="O153" t="inlineStr">
        <is>
          <t>Hutchison Drei Austria GmbH, Brünner Straße 52, 1210 Wien, Österreich</t>
        </is>
      </c>
      <c r="Q153" s="76" t="n"/>
      <c r="R153" t="b">
        <v>0</v>
      </c>
      <c r="S153" s="214" t="n">
        <v>15</v>
      </c>
      <c r="T153" s="159" t="n">
        <v>1</v>
      </c>
      <c r="U153" t="n">
        <v>20</v>
      </c>
      <c r="V153" s="237" t="n">
        <v>3</v>
      </c>
      <c r="W153" s="237" t="n">
        <v>3</v>
      </c>
      <c r="X153" s="208" t="n">
        <v>15</v>
      </c>
      <c r="Y153" s="251" t="n">
        <v>18</v>
      </c>
      <c r="Z153" s="251" t="n">
        <v>18</v>
      </c>
      <c r="AA153" s="35" t="n">
        <v>44972</v>
      </c>
      <c r="AB153" s="27" t="n"/>
      <c r="AC153" s="27" t="n"/>
      <c r="AD153" s="210" t="n">
        <v>15</v>
      </c>
      <c r="AE153" s="237" t="n">
        <v>0</v>
      </c>
      <c r="AF153" t="b">
        <v>0</v>
      </c>
      <c r="AG153" s="228" t="n">
        <v>-15</v>
      </c>
    </row>
    <row r="154">
      <c r="A154">
        <f>I154&amp;"-"&amp;J154</f>
        <v/>
      </c>
      <c r="B154" s="1">
        <f>N154</f>
        <v/>
      </c>
      <c r="C154">
        <f>M154&amp;"/"&amp;O154</f>
        <v/>
      </c>
      <c r="D154">
        <f>K154</f>
        <v/>
      </c>
      <c r="E154">
        <f>L154</f>
        <v/>
      </c>
      <c r="F154" s="236">
        <f>Z154</f>
        <v/>
      </c>
      <c r="G154">
        <f>U154&amp;"%"</f>
        <v/>
      </c>
      <c r="I154" s="53" t="n">
        <v>2022</v>
      </c>
      <c r="J154" s="53" t="n">
        <v>153</v>
      </c>
      <c r="K154" s="71" t="inlineStr">
        <is>
          <t>Ausgaben</t>
        </is>
      </c>
      <c r="L154" t="inlineStr">
        <is>
          <t>Miet- und Pachtaufwand, Leasing</t>
        </is>
      </c>
      <c r="M154" s="61" t="inlineStr">
        <is>
          <t>BELEG FEHLT</t>
        </is>
      </c>
      <c r="N154" s="1" t="n">
        <v>44839</v>
      </c>
      <c r="O154" t="inlineStr">
        <is>
          <t>Techem Messtechnik GmbH; Abnehmernummer 501686-0003-11-</t>
        </is>
      </c>
      <c r="Q154" s="76" t="n"/>
      <c r="R154" t="b">
        <v>0</v>
      </c>
      <c r="S154" s="214" t="n">
        <v>122.6</v>
      </c>
      <c r="T154" s="159" t="n">
        <v>1</v>
      </c>
      <c r="U154" t="n">
        <v>20</v>
      </c>
      <c r="V154" s="237" t="n">
        <v>24.52</v>
      </c>
      <c r="W154" s="237" t="n">
        <v>24.52</v>
      </c>
      <c r="X154" s="208" t="n">
        <v>122.6</v>
      </c>
      <c r="Y154" s="251" t="n">
        <v>147.12</v>
      </c>
      <c r="Z154" s="251" t="n">
        <v>147.12</v>
      </c>
      <c r="AA154" s="35" t="n">
        <v>44972</v>
      </c>
      <c r="AB154" s="27" t="n"/>
      <c r="AC154" s="27" t="n"/>
      <c r="AD154" s="210" t="n">
        <v>122.6</v>
      </c>
      <c r="AE154" s="237" t="n">
        <v>0</v>
      </c>
      <c r="AF154" t="b">
        <v>0</v>
      </c>
      <c r="AG154" s="228" t="n">
        <v>-122.6</v>
      </c>
    </row>
    <row r="155">
      <c r="A155">
        <f>I155&amp;"-"&amp;J155</f>
        <v/>
      </c>
      <c r="B155" s="1">
        <f>N155</f>
        <v/>
      </c>
      <c r="C155">
        <f>M155&amp;"/"&amp;O155</f>
        <v/>
      </c>
      <c r="D155">
        <f>K155</f>
        <v/>
      </c>
      <c r="E155">
        <f>L155</f>
        <v/>
      </c>
      <c r="F155" s="236">
        <f>Z155</f>
        <v/>
      </c>
      <c r="G155">
        <f>U155&amp;"%"</f>
        <v/>
      </c>
      <c r="I155" s="53" t="n">
        <v>2022</v>
      </c>
      <c r="J155" s="53" t="n">
        <v>154</v>
      </c>
      <c r="K155" s="71" t="inlineStr">
        <is>
          <t>Ausgaben</t>
        </is>
      </c>
      <c r="L155" t="inlineStr">
        <is>
          <t>sonstige Betriebsausgaben</t>
        </is>
      </c>
      <c r="M155" s="153" t="inlineStr">
        <is>
          <t>siehe Jahresabrechnung</t>
        </is>
      </c>
      <c r="N155" s="1" t="n">
        <v>44840</v>
      </c>
      <c r="O155" t="inlineStr">
        <is>
          <t>go green energy GmbH &amp; Co KG</t>
        </is>
      </c>
      <c r="Q155" s="76" t="n"/>
      <c r="R155" t="b">
        <v>0</v>
      </c>
      <c r="S155" s="214" t="n">
        <v>2.5</v>
      </c>
      <c r="T155" s="159" t="n">
        <v>1</v>
      </c>
      <c r="U155" t="n">
        <v>20</v>
      </c>
      <c r="V155" s="237" t="n">
        <v>0.5</v>
      </c>
      <c r="W155" s="237" t="n">
        <v>0.5</v>
      </c>
      <c r="X155" s="208" t="n">
        <v>2.5</v>
      </c>
      <c r="Y155" s="251" t="n">
        <v>3</v>
      </c>
      <c r="Z155" s="251" t="n">
        <v>3</v>
      </c>
      <c r="AA155" s="35" t="n">
        <v>44972</v>
      </c>
      <c r="AB155" s="27" t="n"/>
      <c r="AC155" s="27" t="n"/>
      <c r="AD155" s="210" t="n">
        <v>2.5</v>
      </c>
      <c r="AE155" s="237" t="n">
        <v>0</v>
      </c>
      <c r="AF155" t="b">
        <v>0</v>
      </c>
      <c r="AG155" s="228" t="n">
        <v>-2.5</v>
      </c>
    </row>
    <row r="156">
      <c r="A156">
        <f>I156&amp;"-"&amp;J156</f>
        <v/>
      </c>
      <c r="B156" s="1">
        <f>N156</f>
        <v/>
      </c>
      <c r="C156">
        <f>M156&amp;"/"&amp;O156</f>
        <v/>
      </c>
      <c r="D156">
        <f>K156</f>
        <v/>
      </c>
      <c r="E156">
        <f>L156</f>
        <v/>
      </c>
      <c r="F156" s="236">
        <f>Z156</f>
        <v/>
      </c>
      <c r="G156">
        <f>U156&amp;"%"</f>
        <v/>
      </c>
      <c r="I156" s="53" t="n">
        <v>2022</v>
      </c>
      <c r="J156" s="53" t="n">
        <v>155</v>
      </c>
      <c r="K156" s="71" t="inlineStr">
        <is>
          <t>Ausgaben</t>
        </is>
      </c>
      <c r="L156" t="inlineStr">
        <is>
          <t>sonstige Betriebsausgaben</t>
        </is>
      </c>
      <c r="M156" s="9" t="n"/>
      <c r="N156" s="1" t="n">
        <v>44836</v>
      </c>
      <c r="O156" t="inlineStr">
        <is>
          <t>Martin Dürauer e.U., Schreinergasse 7/1, A-3100 St. Pölten</t>
        </is>
      </c>
      <c r="Q156" s="76" t="n"/>
      <c r="R156" t="b">
        <v>0</v>
      </c>
      <c r="S156" s="214" t="n">
        <v>380</v>
      </c>
      <c r="T156" s="159" t="n">
        <v>1</v>
      </c>
      <c r="U156" t="n">
        <v>0</v>
      </c>
      <c r="V156" s="237" t="n">
        <v>0</v>
      </c>
      <c r="W156" s="237" t="n">
        <v>0</v>
      </c>
      <c r="X156" s="208" t="n">
        <v>380</v>
      </c>
      <c r="Y156" s="251" t="n">
        <v>380</v>
      </c>
      <c r="Z156" s="251" t="n">
        <v>380</v>
      </c>
      <c r="AA156" s="35" t="n">
        <v>44972</v>
      </c>
      <c r="AB156" s="27" t="n"/>
      <c r="AC156" s="27" t="n"/>
      <c r="AD156" s="210" t="n">
        <v>380</v>
      </c>
      <c r="AE156" s="237" t="n">
        <v>0</v>
      </c>
      <c r="AF156" t="b">
        <v>0</v>
      </c>
      <c r="AG156" s="228" t="n">
        <v>-380</v>
      </c>
    </row>
    <row r="157">
      <c r="A157">
        <f>I157&amp;"-"&amp;J157</f>
        <v/>
      </c>
      <c r="B157" s="1">
        <f>N157</f>
        <v/>
      </c>
      <c r="C157">
        <f>M157&amp;"/"&amp;O157</f>
        <v/>
      </c>
      <c r="D157">
        <f>K157</f>
        <v/>
      </c>
      <c r="E157">
        <f>L157</f>
        <v/>
      </c>
      <c r="F157" s="236">
        <f>Z157</f>
        <v/>
      </c>
      <c r="G157">
        <f>U157&amp;"%"</f>
        <v/>
      </c>
      <c r="I157" s="53" t="n">
        <v>2022</v>
      </c>
      <c r="J157" s="53" t="n">
        <v>156</v>
      </c>
      <c r="K157" s="71" t="inlineStr">
        <is>
          <t>Ausgaben</t>
        </is>
      </c>
      <c r="L157" t="inlineStr">
        <is>
          <t>sonstige Betriebsausgaben</t>
        </is>
      </c>
      <c r="M157" s="61" t="inlineStr">
        <is>
          <t>BELEG FEHLT</t>
        </is>
      </c>
      <c r="N157" s="1" t="n">
        <v>44844</v>
      </c>
      <c r="O157" t="inlineStr">
        <is>
          <t>Wiener Netze GmbH, Erdbergstraße 236, 1110 Wien, Postfach 422; Jahresabrechnung vom 17.12.20: GUTSCHRIFT</t>
        </is>
      </c>
      <c r="Q157" s="76" t="n"/>
      <c r="R157" t="b">
        <v>0</v>
      </c>
      <c r="S157" s="214" t="n">
        <v>11</v>
      </c>
      <c r="T157" s="159" t="n">
        <v>1</v>
      </c>
      <c r="U157" t="n">
        <v>20</v>
      </c>
      <c r="V157" s="237" t="n">
        <v>2.2</v>
      </c>
      <c r="W157" s="237" t="n">
        <v>2.2</v>
      </c>
      <c r="X157" s="208" t="n">
        <v>11</v>
      </c>
      <c r="Y157" s="251" t="n">
        <v>13.2</v>
      </c>
      <c r="Z157" s="251" t="n">
        <v>13.2</v>
      </c>
      <c r="AA157" s="35" t="n">
        <v>44972</v>
      </c>
      <c r="AB157" s="27" t="n"/>
      <c r="AC157" s="27" t="n"/>
      <c r="AD157" s="210" t="n">
        <v>11</v>
      </c>
      <c r="AE157" s="237" t="n">
        <v>0</v>
      </c>
      <c r="AF157" t="b">
        <v>0</v>
      </c>
      <c r="AG157" s="228" t="n">
        <v>-11</v>
      </c>
    </row>
    <row r="158">
      <c r="A158">
        <f>I158&amp;"-"&amp;J158</f>
        <v/>
      </c>
      <c r="B158" s="1">
        <f>N158</f>
        <v/>
      </c>
      <c r="C158">
        <f>M158&amp;"/"&amp;O158</f>
        <v/>
      </c>
      <c r="D158">
        <f>K158</f>
        <v/>
      </c>
      <c r="E158">
        <f>L158</f>
        <v/>
      </c>
      <c r="F158" s="236">
        <f>Z158</f>
        <v/>
      </c>
      <c r="G158">
        <f>U158&amp;"%"</f>
        <v/>
      </c>
      <c r="I158" s="53" t="n">
        <v>2022</v>
      </c>
      <c r="J158" s="53" t="n">
        <v>157</v>
      </c>
      <c r="K158" s="71" t="inlineStr">
        <is>
          <t>Ausgaben</t>
        </is>
      </c>
      <c r="L158" t="inlineStr">
        <is>
          <t>sonstige Betriebsausgaben</t>
        </is>
      </c>
      <c r="M158" s="9" t="n"/>
      <c r="N158" s="1" t="n">
        <v>44847</v>
      </c>
      <c r="O158" t="inlineStr">
        <is>
          <t>Hetzner Online GmbH</t>
        </is>
      </c>
      <c r="Q158" s="76" t="n"/>
      <c r="R158" t="b">
        <v>0</v>
      </c>
      <c r="S158" s="214" t="n">
        <v>47.7765</v>
      </c>
      <c r="T158" s="159" t="n">
        <v>1</v>
      </c>
      <c r="U158" t="n">
        <v>0</v>
      </c>
      <c r="V158" s="237" t="n">
        <v>0</v>
      </c>
      <c r="W158" s="237" t="n">
        <v>0</v>
      </c>
      <c r="X158" s="208" t="n">
        <v>47.7765</v>
      </c>
      <c r="Y158" s="251" t="n">
        <v>47.7765</v>
      </c>
      <c r="Z158" s="251" t="n">
        <v>47.7765</v>
      </c>
      <c r="AA158" s="35" t="n">
        <v>44972</v>
      </c>
      <c r="AB158" s="27" t="n"/>
      <c r="AC158" s="27" t="n">
        <v>20</v>
      </c>
      <c r="AD158" s="210" t="n">
        <v>47.7765</v>
      </c>
      <c r="AE158" s="237" t="n">
        <v>9.555300000000001</v>
      </c>
      <c r="AF158" t="b">
        <v>0</v>
      </c>
      <c r="AG158" s="228" t="n">
        <v>-47.7765</v>
      </c>
    </row>
    <row r="159">
      <c r="A159">
        <f>I159&amp;"-"&amp;J159</f>
        <v/>
      </c>
      <c r="B159" s="1">
        <f>N159</f>
        <v/>
      </c>
      <c r="C159">
        <f>M159&amp;"/"&amp;O159</f>
        <v/>
      </c>
      <c r="D159">
        <f>K159</f>
        <v/>
      </c>
      <c r="E159">
        <f>L159</f>
        <v/>
      </c>
      <c r="F159" s="236">
        <f>Z159</f>
        <v/>
      </c>
      <c r="G159">
        <f>U159&amp;"%"</f>
        <v/>
      </c>
      <c r="I159" s="53" t="n">
        <v>2022</v>
      </c>
      <c r="J159" s="53" t="n">
        <v>158</v>
      </c>
      <c r="K159" s="71" t="inlineStr">
        <is>
          <t>Einnahmen</t>
        </is>
      </c>
      <c r="L159" t="inlineStr">
        <is>
          <t>Waren-/Leistungserlöse</t>
        </is>
      </c>
      <c r="M159" s="9" t="n">
        <v>12021026</v>
      </c>
      <c r="N159" s="1" t="n">
        <v>44848</v>
      </c>
      <c r="O159" t="inlineStr">
        <is>
          <t>Musikschule Bad Vöslau, Hauptstraße 14, 2540 Bad Vöslau</t>
        </is>
      </c>
      <c r="Q159" s="76" t="n"/>
      <c r="R159" t="b">
        <v>0</v>
      </c>
      <c r="S159" s="214" t="n">
        <v>138</v>
      </c>
      <c r="T159" s="159" t="n">
        <v>1</v>
      </c>
      <c r="U159" t="n">
        <v>20</v>
      </c>
      <c r="V159" s="237" t="n">
        <v>27.6</v>
      </c>
      <c r="W159" s="237" t="n">
        <v>27.6</v>
      </c>
      <c r="X159" s="208" t="n">
        <v>138</v>
      </c>
      <c r="Y159" s="251" t="n">
        <v>165.6</v>
      </c>
      <c r="Z159" s="251" t="n">
        <v>165.6</v>
      </c>
      <c r="AA159" s="35" t="n">
        <v>44972</v>
      </c>
      <c r="AB159" s="27" t="n"/>
      <c r="AC159" s="27" t="n"/>
      <c r="AD159" s="210" t="n">
        <v>138</v>
      </c>
      <c r="AE159" s="237" t="n">
        <v>0</v>
      </c>
      <c r="AF159" t="b">
        <v>0</v>
      </c>
      <c r="AG159" s="228" t="n">
        <v>138</v>
      </c>
    </row>
    <row r="160">
      <c r="A160">
        <f>I160&amp;"-"&amp;J160</f>
        <v/>
      </c>
      <c r="B160" s="1">
        <f>N160</f>
        <v/>
      </c>
      <c r="C160">
        <f>M160&amp;"/"&amp;O160</f>
        <v/>
      </c>
      <c r="D160">
        <f>K160</f>
        <v/>
      </c>
      <c r="E160">
        <f>L160</f>
        <v/>
      </c>
      <c r="F160" s="236">
        <f>Z160</f>
        <v/>
      </c>
      <c r="G160">
        <f>U160&amp;"%"</f>
        <v/>
      </c>
      <c r="I160" s="53" t="n">
        <v>2022</v>
      </c>
      <c r="J160" s="53" t="n">
        <v>159</v>
      </c>
      <c r="K160" s="71" t="inlineStr">
        <is>
          <t>Einnahmen</t>
        </is>
      </c>
      <c r="L160" t="inlineStr">
        <is>
          <t>Waren-/Leistungserlöse</t>
        </is>
      </c>
      <c r="M160" t="n">
        <v>168045568</v>
      </c>
      <c r="N160" s="1" t="n">
        <v>44848</v>
      </c>
      <c r="O160" t="inlineStr">
        <is>
          <t>Hays Österreich GmbH, Bahnhof City Wien West , Europaplatz 3/5, 1150 Wien</t>
        </is>
      </c>
      <c r="Q160" s="76" t="n"/>
      <c r="R160" t="b">
        <v>0</v>
      </c>
      <c r="S160" s="214" t="n">
        <v>20139</v>
      </c>
      <c r="T160" s="159" t="n">
        <v>1</v>
      </c>
      <c r="U160" t="n">
        <v>20</v>
      </c>
      <c r="V160" s="237" t="n">
        <v>4027.8</v>
      </c>
      <c r="W160" s="237" t="n">
        <v>4027.8</v>
      </c>
      <c r="X160" s="208" t="n">
        <v>20139</v>
      </c>
      <c r="Y160" s="251" t="n">
        <v>24166.8</v>
      </c>
      <c r="Z160" s="251" t="n">
        <v>24166.8</v>
      </c>
      <c r="AA160" s="35" t="n">
        <v>44972</v>
      </c>
      <c r="AB160" s="27" t="n"/>
      <c r="AC160" s="27" t="n"/>
      <c r="AD160" s="210" t="n">
        <v>20139</v>
      </c>
      <c r="AE160" s="237" t="n">
        <v>0</v>
      </c>
      <c r="AF160" t="b">
        <v>0</v>
      </c>
      <c r="AG160" s="228" t="n">
        <v>20139</v>
      </c>
    </row>
    <row r="161">
      <c r="A161">
        <f>I161&amp;"-"&amp;J161</f>
        <v/>
      </c>
      <c r="B161" s="1">
        <f>N161</f>
        <v/>
      </c>
      <c r="C161">
        <f>M161&amp;"/"&amp;O161</f>
        <v/>
      </c>
      <c r="D161">
        <f>K161</f>
        <v/>
      </c>
      <c r="E161">
        <f>L161</f>
        <v/>
      </c>
      <c r="F161" s="236">
        <f>Z161</f>
        <v/>
      </c>
      <c r="G161">
        <f>U161&amp;"%"</f>
        <v/>
      </c>
      <c r="I161" s="53" t="n">
        <v>2022</v>
      </c>
      <c r="J161" s="53" t="n">
        <v>160</v>
      </c>
      <c r="K161" s="71" t="inlineStr">
        <is>
          <t>Ausgaben</t>
        </is>
      </c>
      <c r="L161" t="inlineStr">
        <is>
          <t>Personalaufwand</t>
        </is>
      </c>
      <c r="M161" s="9" t="inlineStr">
        <is>
          <t>siehe 2022-140</t>
        </is>
      </c>
      <c r="N161" s="1" t="n">
        <v>44851</v>
      </c>
      <c r="O161" t="inlineStr">
        <is>
          <t>Honorar Eva Jaros-Kolbitsch</t>
        </is>
      </c>
      <c r="Q161" s="76" t="n"/>
      <c r="R161" t="b">
        <v>0</v>
      </c>
      <c r="S161" s="214" t="n">
        <v>365</v>
      </c>
      <c r="T161" s="159" t="n">
        <v>1</v>
      </c>
      <c r="U161" t="n">
        <v>0</v>
      </c>
      <c r="V161" s="237" t="n">
        <v>0</v>
      </c>
      <c r="W161" s="237" t="n">
        <v>0</v>
      </c>
      <c r="X161" s="208" t="n">
        <v>365</v>
      </c>
      <c r="Y161" s="251" t="n">
        <v>365</v>
      </c>
      <c r="Z161" s="251" t="n">
        <v>365</v>
      </c>
      <c r="AA161" s="35" t="n">
        <v>44972</v>
      </c>
      <c r="AB161" s="27" t="n"/>
      <c r="AC161" s="27" t="n"/>
      <c r="AD161" s="210" t="n">
        <v>365</v>
      </c>
      <c r="AE161" s="237" t="n">
        <v>0</v>
      </c>
      <c r="AF161" t="b">
        <v>0</v>
      </c>
      <c r="AG161" s="228" t="n">
        <v>-365</v>
      </c>
    </row>
    <row r="162">
      <c r="A162">
        <f>I162&amp;"-"&amp;J162</f>
        <v/>
      </c>
      <c r="B162" s="1">
        <f>N162</f>
        <v/>
      </c>
      <c r="C162">
        <f>M162&amp;"/"&amp;O162</f>
        <v/>
      </c>
      <c r="D162">
        <f>K162</f>
        <v/>
      </c>
      <c r="E162">
        <f>L162</f>
        <v/>
      </c>
      <c r="F162" s="236">
        <f>Z162</f>
        <v/>
      </c>
      <c r="G162">
        <f>U162&amp;"%"</f>
        <v/>
      </c>
      <c r="I162" s="53" t="n">
        <v>2022</v>
      </c>
      <c r="J162" s="53" t="n">
        <v>161</v>
      </c>
      <c r="K162" s="71" t="inlineStr">
        <is>
          <t>Ausgaben</t>
        </is>
      </c>
      <c r="L162" t="inlineStr">
        <is>
          <t>sonstige Betriebsausgaben</t>
        </is>
      </c>
      <c r="M162" s="6" t="n"/>
      <c r="N162" s="1" t="n">
        <v>44853</v>
      </c>
      <c r="O162" t="inlineStr">
        <is>
          <t>Microsoft Ireland Operations Ltd. One Microsoft Place, South County, Business Park, Leopardstown, Dublin 18, D18 P521, Ireland</t>
        </is>
      </c>
      <c r="Q162" s="76" t="n"/>
      <c r="R162" t="b">
        <v>0</v>
      </c>
      <c r="S162" s="214" t="n">
        <v>10.5</v>
      </c>
      <c r="T162" s="159" t="n">
        <v>1</v>
      </c>
      <c r="U162" t="n">
        <v>0</v>
      </c>
      <c r="V162" s="237" t="n">
        <v>0</v>
      </c>
      <c r="W162" s="237" t="n">
        <v>0</v>
      </c>
      <c r="X162" s="208" t="n">
        <v>10.5</v>
      </c>
      <c r="Y162" s="251" t="n">
        <v>10.5</v>
      </c>
      <c r="Z162" s="251" t="n">
        <v>10.5</v>
      </c>
      <c r="AA162" s="35" t="n">
        <v>44972</v>
      </c>
      <c r="AB162" s="27" t="n"/>
      <c r="AC162" s="27" t="n">
        <v>20</v>
      </c>
      <c r="AD162" s="210" t="n">
        <v>10.5</v>
      </c>
      <c r="AE162" s="237" t="n">
        <v>2.1</v>
      </c>
      <c r="AF162" t="b">
        <v>0</v>
      </c>
      <c r="AG162" s="228" t="n">
        <v>-10.5</v>
      </c>
    </row>
    <row r="163">
      <c r="A163">
        <f>I163&amp;"-"&amp;J163</f>
        <v/>
      </c>
      <c r="B163" s="1">
        <f>N163</f>
        <v/>
      </c>
      <c r="C163">
        <f>M163&amp;"/"&amp;O163</f>
        <v/>
      </c>
      <c r="D163">
        <f>K163</f>
        <v/>
      </c>
      <c r="E163">
        <f>L163</f>
        <v/>
      </c>
      <c r="F163" s="236">
        <f>Z163</f>
        <v/>
      </c>
      <c r="G163">
        <f>U163&amp;"%"</f>
        <v/>
      </c>
      <c r="I163" s="53" t="n">
        <v>2022</v>
      </c>
      <c r="J163" s="53" t="n">
        <v>162</v>
      </c>
      <c r="K163" s="71" t="inlineStr">
        <is>
          <t>Ausgaben</t>
        </is>
      </c>
      <c r="L163" t="inlineStr">
        <is>
          <t>Telefon/Internet</t>
        </is>
      </c>
      <c r="M163" s="131" t="inlineStr">
        <is>
          <t>901154810922</t>
        </is>
      </c>
      <c r="N163" s="1" t="n">
        <v>44855</v>
      </c>
      <c r="O163" t="inlineStr">
        <is>
          <t>Magenta: T-Mobile Austria GmbH, A-1120 Wien, PF 47</t>
        </is>
      </c>
      <c r="Q163" s="76" t="n"/>
      <c r="R163" t="b">
        <v>0</v>
      </c>
      <c r="S163" s="214" t="n">
        <v>31.92</v>
      </c>
      <c r="T163" s="159" t="n">
        <v>1</v>
      </c>
      <c r="U163" t="n">
        <v>20</v>
      </c>
      <c r="V163" s="237" t="n">
        <v>6.384000000000001</v>
      </c>
      <c r="W163" s="237" t="n">
        <v>6.384000000000001</v>
      </c>
      <c r="X163" s="208" t="n">
        <v>31.92</v>
      </c>
      <c r="Y163" s="251" t="n">
        <v>38.304</v>
      </c>
      <c r="Z163" s="251" t="n">
        <v>38.304</v>
      </c>
      <c r="AA163" s="35" t="n">
        <v>44972</v>
      </c>
      <c r="AB163" s="27" t="n"/>
      <c r="AC163" s="27" t="n"/>
      <c r="AD163" s="210" t="n">
        <v>31.92</v>
      </c>
      <c r="AE163" s="237" t="n">
        <v>0</v>
      </c>
      <c r="AF163" t="b">
        <v>0</v>
      </c>
      <c r="AG163" s="228" t="n">
        <v>-31.92</v>
      </c>
    </row>
    <row r="164">
      <c r="A164">
        <f>I164&amp;"-"&amp;J164</f>
        <v/>
      </c>
      <c r="B164" s="1">
        <f>N164</f>
        <v/>
      </c>
      <c r="C164">
        <f>M164&amp;"/"&amp;O164</f>
        <v/>
      </c>
      <c r="D164">
        <f>K164</f>
        <v/>
      </c>
      <c r="E164">
        <f>L164</f>
        <v/>
      </c>
      <c r="F164" s="236">
        <f>Z164</f>
        <v/>
      </c>
      <c r="G164">
        <f>U164&amp;"%"</f>
        <v/>
      </c>
      <c r="I164" s="53" t="n">
        <v>2022</v>
      </c>
      <c r="J164" s="53" t="n">
        <v>163</v>
      </c>
      <c r="K164" s="71" t="inlineStr">
        <is>
          <t>Ausgaben</t>
        </is>
      </c>
      <c r="L164" t="inlineStr">
        <is>
          <t>Büromaterial</t>
        </is>
      </c>
      <c r="M164" s="9" t="n"/>
      <c r="N164" s="1" t="n">
        <v>44858</v>
      </c>
      <c r="O164" t="inlineStr">
        <is>
          <t>A.P. Handelsges.m.b.H., Absberggasse 29/6, 1100 Wien</t>
        </is>
      </c>
      <c r="Q164" s="76" t="n"/>
      <c r="R164" t="b">
        <v>0</v>
      </c>
      <c r="S164" s="214" t="n">
        <v>75</v>
      </c>
      <c r="T164" s="159" t="n">
        <v>1</v>
      </c>
      <c r="U164" t="n">
        <v>20</v>
      </c>
      <c r="V164" s="237" t="n">
        <v>15</v>
      </c>
      <c r="W164" s="237" t="n">
        <v>15</v>
      </c>
      <c r="X164" s="208" t="n">
        <v>75</v>
      </c>
      <c r="Y164" s="251" t="n">
        <v>90</v>
      </c>
      <c r="Z164" s="251" t="n">
        <v>90</v>
      </c>
      <c r="AA164" s="35" t="n">
        <v>44972</v>
      </c>
      <c r="AB164" s="27" t="n"/>
      <c r="AC164" s="27" t="n"/>
      <c r="AD164" s="210" t="n">
        <v>75</v>
      </c>
      <c r="AE164" s="237" t="n">
        <v>0</v>
      </c>
      <c r="AF164" t="b">
        <v>0</v>
      </c>
      <c r="AG164" s="228" t="n">
        <v>-75</v>
      </c>
    </row>
    <row r="165">
      <c r="A165">
        <f>I165&amp;"-"&amp;J165</f>
        <v/>
      </c>
      <c r="B165" s="1">
        <f>N165</f>
        <v/>
      </c>
      <c r="C165">
        <f>M165&amp;"/"&amp;O165</f>
        <v/>
      </c>
      <c r="D165">
        <f>K165</f>
        <v/>
      </c>
      <c r="E165">
        <f>L165</f>
        <v/>
      </c>
      <c r="F165" s="236">
        <f>Z165</f>
        <v/>
      </c>
      <c r="G165">
        <f>U165&amp;"%"</f>
        <v/>
      </c>
      <c r="I165" s="53" t="n">
        <v>2022</v>
      </c>
      <c r="J165" s="53" t="n">
        <v>164</v>
      </c>
      <c r="K165" s="71" t="inlineStr">
        <is>
          <t>Ausgaben</t>
        </is>
      </c>
      <c r="L165" t="inlineStr">
        <is>
          <t>Büromaterial</t>
        </is>
      </c>
      <c r="M165" s="9" t="inlineStr">
        <is>
          <t>AT2KM5F3AEUI</t>
        </is>
      </c>
      <c r="N165" s="1" t="n">
        <v>44858</v>
      </c>
      <c r="O165" t="inlineStr">
        <is>
          <t>Amazon EU S. à r.l., 38 avenue John F. Kennedy, L-1855 Luxembourg: HJEU: DVI-HDMI, Logitech Maus</t>
        </is>
      </c>
      <c r="Q165" s="76" t="n"/>
      <c r="R165" t="b">
        <v>0</v>
      </c>
      <c r="S165" s="214" t="n">
        <v>8.16</v>
      </c>
      <c r="T165" s="159" t="n">
        <v>1</v>
      </c>
      <c r="U165" t="n">
        <v>20</v>
      </c>
      <c r="V165" s="237" t="n">
        <v>1.632</v>
      </c>
      <c r="W165" s="237" t="n">
        <v>1.632</v>
      </c>
      <c r="X165" s="208" t="n">
        <v>8.16</v>
      </c>
      <c r="Y165" s="251" t="n">
        <v>9.792</v>
      </c>
      <c r="Z165" s="251" t="n">
        <v>9.792</v>
      </c>
      <c r="AA165" s="35" t="n">
        <v>44972</v>
      </c>
      <c r="AB165" s="27" t="n"/>
      <c r="AC165" s="27" t="n"/>
      <c r="AD165" s="210" t="n">
        <v>8.16</v>
      </c>
      <c r="AE165" s="237" t="n">
        <v>0</v>
      </c>
      <c r="AF165" t="b">
        <v>0</v>
      </c>
      <c r="AG165" s="228" t="n">
        <v>-8.16</v>
      </c>
    </row>
    <row r="166">
      <c r="A166">
        <f>I166&amp;"-"&amp;J166</f>
        <v/>
      </c>
      <c r="B166" s="1">
        <f>N166</f>
        <v/>
      </c>
      <c r="C166">
        <f>M166&amp;"/"&amp;O166</f>
        <v/>
      </c>
      <c r="D166">
        <f>K166</f>
        <v/>
      </c>
      <c r="E166">
        <f>L166</f>
        <v/>
      </c>
      <c r="F166" s="236">
        <f>Z166</f>
        <v/>
      </c>
      <c r="G166">
        <f>U166&amp;"%"</f>
        <v/>
      </c>
      <c r="I166" s="53" t="n">
        <v>2022</v>
      </c>
      <c r="J166" s="53" t="n">
        <v>165</v>
      </c>
      <c r="K166" s="71" t="inlineStr">
        <is>
          <t>Ausgaben</t>
        </is>
      </c>
      <c r="L166" t="inlineStr">
        <is>
          <t>Lizenzgebühren</t>
        </is>
      </c>
      <c r="M166" s="9" t="n"/>
      <c r="N166" s="1" t="n">
        <v>44861</v>
      </c>
      <c r="O166" t="inlineStr">
        <is>
          <t>Adobe Systems Software Ireland Ltd., 4-6 Riverwalk, Citywest Business Park, Dublin 24, Ireland, VAT ID IE6364992H</t>
        </is>
      </c>
      <c r="Q166" s="76" t="n"/>
      <c r="R166" t="b">
        <v>0</v>
      </c>
      <c r="S166" s="214" t="n">
        <v>20.28</v>
      </c>
      <c r="T166" s="159" t="n">
        <v>1</v>
      </c>
      <c r="U166" t="n">
        <v>0</v>
      </c>
      <c r="V166" s="237" t="n">
        <v>0</v>
      </c>
      <c r="W166" s="237" t="n">
        <v>0</v>
      </c>
      <c r="X166" s="208" t="n">
        <v>20.28</v>
      </c>
      <c r="Y166" s="251" t="n">
        <v>20.28</v>
      </c>
      <c r="Z166" s="251" t="n">
        <v>20.28</v>
      </c>
      <c r="AA166" s="35" t="n">
        <v>44972</v>
      </c>
      <c r="AB166" s="27" t="n"/>
      <c r="AC166" s="27" t="n">
        <v>20</v>
      </c>
      <c r="AD166" s="210" t="n">
        <v>20.28</v>
      </c>
      <c r="AE166" s="237" t="n">
        <v>4.056</v>
      </c>
      <c r="AF166" t="b">
        <v>0</v>
      </c>
      <c r="AG166" s="228" t="n">
        <v>-20.28</v>
      </c>
    </row>
    <row r="167">
      <c r="A167">
        <f>I167&amp;"-"&amp;J167</f>
        <v/>
      </c>
      <c r="B167" s="1">
        <f>N167</f>
        <v/>
      </c>
      <c r="C167">
        <f>M167&amp;"/"&amp;O167</f>
        <v/>
      </c>
      <c r="D167">
        <f>K167</f>
        <v/>
      </c>
      <c r="E167">
        <f>L167</f>
        <v/>
      </c>
      <c r="F167" s="236">
        <f>Z167</f>
        <v/>
      </c>
      <c r="G167">
        <f>U167&amp;"%"</f>
        <v/>
      </c>
      <c r="I167" s="53" t="n">
        <v>2022</v>
      </c>
      <c r="J167" s="53" t="n">
        <v>166</v>
      </c>
      <c r="K167" s="71" t="inlineStr">
        <is>
          <t>Ausgaben</t>
        </is>
      </c>
      <c r="L167" t="inlineStr">
        <is>
          <t>Telefon/Internet</t>
        </is>
      </c>
      <c r="M167" s="9" t="n"/>
      <c r="N167" s="1" t="n">
        <v>44867</v>
      </c>
      <c r="O167" t="inlineStr">
        <is>
          <t>Hutchison Drei Austria GmbH, Brünner Straße 52, 1210 Wien, Österreich</t>
        </is>
      </c>
      <c r="Q167" s="76" t="n"/>
      <c r="R167" t="b">
        <v>0</v>
      </c>
      <c r="S167" s="214" t="n">
        <v>15</v>
      </c>
      <c r="T167" s="159" t="n">
        <v>1</v>
      </c>
      <c r="U167" t="n">
        <v>20</v>
      </c>
      <c r="V167" s="237" t="n">
        <v>3</v>
      </c>
      <c r="W167" s="237" t="n">
        <v>3</v>
      </c>
      <c r="X167" s="208" t="n">
        <v>15</v>
      </c>
      <c r="Y167" s="251" t="n">
        <v>18</v>
      </c>
      <c r="Z167" s="251" t="n">
        <v>18</v>
      </c>
      <c r="AA167" s="35" t="n">
        <v>44972</v>
      </c>
      <c r="AB167" s="27" t="n"/>
      <c r="AC167" s="27" t="n"/>
      <c r="AD167" s="210" t="n">
        <v>15</v>
      </c>
      <c r="AE167" s="237" t="n">
        <v>0</v>
      </c>
      <c r="AF167" t="b">
        <v>0</v>
      </c>
      <c r="AG167" s="228" t="n">
        <v>-15</v>
      </c>
    </row>
    <row r="168">
      <c r="A168">
        <f>I168&amp;"-"&amp;J168</f>
        <v/>
      </c>
      <c r="B168" s="1">
        <f>N168</f>
        <v/>
      </c>
      <c r="C168">
        <f>M168&amp;"/"&amp;O168</f>
        <v/>
      </c>
      <c r="D168">
        <f>K168</f>
        <v/>
      </c>
      <c r="E168">
        <f>L168</f>
        <v/>
      </c>
      <c r="F168" s="236">
        <f>Z168</f>
        <v/>
      </c>
      <c r="G168">
        <f>U168&amp;"%"</f>
        <v/>
      </c>
      <c r="I168" s="53" t="n">
        <v>2022</v>
      </c>
      <c r="J168" s="53" t="n">
        <v>167</v>
      </c>
      <c r="K168" s="71" t="inlineStr">
        <is>
          <t>Ausgaben</t>
        </is>
      </c>
      <c r="L168" t="inlineStr">
        <is>
          <t>Miet- und Pachtaufwand, Leasing</t>
        </is>
      </c>
      <c r="M168" s="9" t="n"/>
      <c r="N168" s="1" t="n">
        <v>44867</v>
      </c>
      <c r="O168" t="inlineStr">
        <is>
          <t>Bontus Immobilienverwaltung GmbH, 1010 Wien, Franz Josefs Kai 65</t>
        </is>
      </c>
      <c r="Q168" s="76" t="n"/>
      <c r="R168" t="b">
        <v>0</v>
      </c>
      <c r="S168" s="214" t="n">
        <v>505.65</v>
      </c>
      <c r="T168" s="159" t="n">
        <v>1</v>
      </c>
      <c r="U168" t="n">
        <v>20</v>
      </c>
      <c r="V168" s="237" t="n">
        <v>101.13</v>
      </c>
      <c r="W168" s="237" t="n">
        <v>101.13</v>
      </c>
      <c r="X168" s="208" t="n">
        <v>505.65</v>
      </c>
      <c r="Y168" s="251" t="n">
        <v>606.78</v>
      </c>
      <c r="Z168" s="251" t="n">
        <v>606.78</v>
      </c>
      <c r="AA168" s="35" t="n">
        <v>44972</v>
      </c>
      <c r="AB168" s="27" t="n"/>
      <c r="AC168" s="27" t="n"/>
      <c r="AD168" s="210" t="n">
        <v>505.65</v>
      </c>
      <c r="AE168" s="237" t="n">
        <v>0</v>
      </c>
      <c r="AF168" t="b">
        <v>0</v>
      </c>
      <c r="AG168" s="228" t="n">
        <v>-505.65</v>
      </c>
    </row>
    <row r="169">
      <c r="A169">
        <f>I169&amp;"-"&amp;J169</f>
        <v/>
      </c>
      <c r="B169" s="1">
        <f>N169</f>
        <v/>
      </c>
      <c r="C169">
        <f>M169&amp;"/"&amp;O169</f>
        <v/>
      </c>
      <c r="D169">
        <f>K169</f>
        <v/>
      </c>
      <c r="E169">
        <f>L169</f>
        <v/>
      </c>
      <c r="F169" s="236">
        <f>Z169</f>
        <v/>
      </c>
      <c r="G169">
        <f>U169&amp;"%"</f>
        <v/>
      </c>
      <c r="I169" s="53" t="n">
        <v>2022</v>
      </c>
      <c r="J169" s="53" t="n">
        <v>168</v>
      </c>
      <c r="K169" s="71" t="inlineStr">
        <is>
          <t>Ausgaben</t>
        </is>
      </c>
      <c r="L169" t="inlineStr">
        <is>
          <t>Reise- und Fahrtspesen inkl. Kilometergeld und Diäten</t>
        </is>
      </c>
      <c r="M169" s="131" t="n"/>
      <c r="N169" s="1" t="n">
        <v>44867</v>
      </c>
      <c r="O169" t="inlineStr">
        <is>
          <t>car2go Österreich GmbH, Hintere Zollamtstraße 9, 1030 Wien</t>
        </is>
      </c>
      <c r="Q169" s="76" t="n"/>
      <c r="R169" t="b">
        <v>0</v>
      </c>
      <c r="S169" s="214" t="n">
        <v>18.98</v>
      </c>
      <c r="T169" s="159" t="n">
        <v>1</v>
      </c>
      <c r="U169" t="n">
        <v>20</v>
      </c>
      <c r="V169" s="237" t="n">
        <v>3.796</v>
      </c>
      <c r="W169" s="237" t="n">
        <v>3.796</v>
      </c>
      <c r="X169" s="208" t="n">
        <v>18.98</v>
      </c>
      <c r="Y169" s="251" t="n">
        <v>22.776</v>
      </c>
      <c r="Z169" s="251" t="n">
        <v>22.776</v>
      </c>
      <c r="AA169" s="35" t="n">
        <v>44972</v>
      </c>
      <c r="AB169" s="27" t="n"/>
      <c r="AC169" s="27" t="n"/>
      <c r="AD169" s="210" t="n">
        <v>18.98</v>
      </c>
      <c r="AE169" s="237" t="n">
        <v>0</v>
      </c>
      <c r="AF169" t="b">
        <v>0</v>
      </c>
      <c r="AG169" s="228" t="n">
        <v>-18.98</v>
      </c>
    </row>
    <row r="170">
      <c r="A170">
        <f>I170&amp;"-"&amp;J170</f>
        <v/>
      </c>
      <c r="B170" s="1">
        <f>N170</f>
        <v/>
      </c>
      <c r="C170">
        <f>M170&amp;"/"&amp;O170</f>
        <v/>
      </c>
      <c r="D170">
        <f>K170</f>
        <v/>
      </c>
      <c r="E170">
        <f>L170</f>
        <v/>
      </c>
      <c r="F170" s="236">
        <f>Z170</f>
        <v/>
      </c>
      <c r="G170">
        <f>U170&amp;"%"</f>
        <v/>
      </c>
      <c r="I170" s="53" t="n">
        <v>2022</v>
      </c>
      <c r="J170" s="53" t="n">
        <v>169</v>
      </c>
      <c r="K170" s="71" t="inlineStr">
        <is>
          <t>Ausgaben</t>
        </is>
      </c>
      <c r="L170" t="inlineStr">
        <is>
          <t>sonstige Betriebsausgaben</t>
        </is>
      </c>
      <c r="M170" s="9" t="n"/>
      <c r="N170" s="1" t="n">
        <v>44867</v>
      </c>
      <c r="O170" t="inlineStr">
        <is>
          <t>Google Ireland Ltd, Gordon House, Barrow Street, Dublin 4, Ireland; VAT number: IE 6388047V</t>
        </is>
      </c>
      <c r="Q170" s="76" t="n"/>
      <c r="R170" t="b">
        <v>0</v>
      </c>
      <c r="S170" s="214" t="n">
        <v>9.359999999999999</v>
      </c>
      <c r="T170" s="159" t="n">
        <v>1</v>
      </c>
      <c r="U170" t="n">
        <v>0</v>
      </c>
      <c r="V170" s="237" t="n">
        <v>0</v>
      </c>
      <c r="W170" s="237" t="n">
        <v>0</v>
      </c>
      <c r="X170" s="208" t="n">
        <v>9.359999999999999</v>
      </c>
      <c r="Y170" s="251" t="n">
        <v>9.359999999999999</v>
      </c>
      <c r="Z170" s="251" t="n">
        <v>9.359999999999999</v>
      </c>
      <c r="AA170" s="35" t="n">
        <v>44972</v>
      </c>
      <c r="AB170" s="27" t="n"/>
      <c r="AC170" s="27" t="n">
        <v>20</v>
      </c>
      <c r="AD170" s="210" t="n">
        <v>9.359999999999999</v>
      </c>
      <c r="AE170" s="237" t="n">
        <v>1.872</v>
      </c>
      <c r="AF170" t="b">
        <v>0</v>
      </c>
      <c r="AG170" s="228" t="n">
        <v>-9.359999999999999</v>
      </c>
    </row>
    <row r="171">
      <c r="A171">
        <f>I171&amp;"-"&amp;J171</f>
        <v/>
      </c>
      <c r="B171" s="1">
        <f>N171</f>
        <v/>
      </c>
      <c r="C171">
        <f>M171&amp;"/"&amp;O171</f>
        <v/>
      </c>
      <c r="D171">
        <f>K171</f>
        <v/>
      </c>
      <c r="E171">
        <f>L171</f>
        <v/>
      </c>
      <c r="F171" s="236">
        <f>Z171</f>
        <v/>
      </c>
      <c r="G171">
        <f>U171&amp;"%"</f>
        <v/>
      </c>
      <c r="I171" s="53" t="n">
        <v>2022</v>
      </c>
      <c r="J171" s="53" t="n">
        <v>170</v>
      </c>
      <c r="K171" s="71" t="inlineStr">
        <is>
          <t>Ausgaben</t>
        </is>
      </c>
      <c r="L171" t="inlineStr">
        <is>
          <t>Lizenzgebühren</t>
        </is>
      </c>
      <c r="M171" s="9" t="n"/>
      <c r="N171" s="1" t="n">
        <v>44861</v>
      </c>
      <c r="O171" s="154" t="inlineStr">
        <is>
          <t>STORNIERT Adobe Systems Software Ireland Ltd., 4-6 Riverwalk, Citywest Business Park, Dublin 24, Ireland, VAT ID IE6364992H</t>
        </is>
      </c>
      <c r="Q171" s="76" t="n"/>
      <c r="S171" s="214" t="n">
        <v>20.28</v>
      </c>
      <c r="T171" s="159" t="n">
        <v>1</v>
      </c>
      <c r="U171" t="n">
        <v>0</v>
      </c>
      <c r="V171" s="237" t="n">
        <v>0</v>
      </c>
      <c r="W171" s="237" t="n">
        <v>0</v>
      </c>
      <c r="X171" s="208" t="n">
        <v>20.28</v>
      </c>
      <c r="Y171" s="251" t="n">
        <v>20.28</v>
      </c>
      <c r="Z171" s="251" t="n">
        <v>20.28</v>
      </c>
      <c r="AA171" s="35" t="n">
        <v>44972</v>
      </c>
      <c r="AB171" s="27" t="n"/>
      <c r="AC171" s="27" t="n">
        <v>20</v>
      </c>
      <c r="AD171" s="210" t="n">
        <v>20.28</v>
      </c>
      <c r="AE171" s="237" t="n">
        <v>4.056</v>
      </c>
      <c r="AF171" t="b">
        <v>0</v>
      </c>
      <c r="AG171" s="228" t="n">
        <v>-20.28</v>
      </c>
    </row>
    <row r="172">
      <c r="A172">
        <f>I172&amp;"-"&amp;J172</f>
        <v/>
      </c>
      <c r="B172" s="1">
        <f>N172</f>
        <v/>
      </c>
      <c r="C172">
        <f>M172&amp;"/"&amp;O172</f>
        <v/>
      </c>
      <c r="D172">
        <f>K172</f>
        <v/>
      </c>
      <c r="E172">
        <f>L172</f>
        <v/>
      </c>
      <c r="F172" s="236">
        <f>Z172</f>
        <v/>
      </c>
      <c r="G172">
        <f>U172&amp;"%"</f>
        <v/>
      </c>
      <c r="I172" s="53" t="n">
        <v>2022</v>
      </c>
      <c r="J172" s="53" t="n">
        <v>171</v>
      </c>
      <c r="K172" s="71" t="inlineStr">
        <is>
          <t>Ausgaben</t>
        </is>
      </c>
      <c r="L172" t="inlineStr">
        <is>
          <t>Reise- und Fahrtspesen inkl. Kilometergeld und Diäten</t>
        </is>
      </c>
      <c r="M172" s="9" t="n"/>
      <c r="N172" s="1" t="n">
        <v>44867</v>
      </c>
      <c r="O172" s="154" t="inlineStr">
        <is>
          <t>STORNIERT car2go Österreich GmbH, Hintere Zollamtstraße 9, 1030 Wien</t>
        </is>
      </c>
      <c r="Q172" s="76" t="n"/>
      <c r="S172" s="214" t="n">
        <v>18.98</v>
      </c>
      <c r="T172" s="159" t="n">
        <v>1</v>
      </c>
      <c r="U172" t="n">
        <v>20</v>
      </c>
      <c r="V172" s="237" t="n">
        <v>3.796</v>
      </c>
      <c r="W172" s="237" t="n">
        <v>3.796</v>
      </c>
      <c r="X172" s="208" t="n">
        <v>18.98</v>
      </c>
      <c r="Y172" s="251" t="n">
        <v>22.776</v>
      </c>
      <c r="Z172" s="251" t="n">
        <v>22.776</v>
      </c>
      <c r="AA172" s="35" t="n">
        <v>44972</v>
      </c>
      <c r="AB172" s="27" t="n"/>
      <c r="AC172" s="27" t="n"/>
      <c r="AD172" s="210" t="n">
        <v>18.98</v>
      </c>
      <c r="AE172" s="237" t="n">
        <v>0</v>
      </c>
      <c r="AF172" t="b">
        <v>0</v>
      </c>
      <c r="AG172" s="228" t="n">
        <v>-18.98</v>
      </c>
    </row>
    <row r="173">
      <c r="A173">
        <f>I173&amp;"-"&amp;J173</f>
        <v/>
      </c>
      <c r="B173" s="1">
        <f>N173</f>
        <v/>
      </c>
      <c r="C173">
        <f>M173&amp;"/"&amp;O173</f>
        <v/>
      </c>
      <c r="D173">
        <f>K173</f>
        <v/>
      </c>
      <c r="E173">
        <f>L173</f>
        <v/>
      </c>
      <c r="F173" s="236">
        <f>Z173</f>
        <v/>
      </c>
      <c r="G173">
        <f>U173&amp;"%"</f>
        <v/>
      </c>
      <c r="I173" s="53" t="n">
        <v>2022</v>
      </c>
      <c r="J173" s="53" t="n">
        <v>172</v>
      </c>
      <c r="K173" s="71" t="inlineStr">
        <is>
          <t>Ausgaben</t>
        </is>
      </c>
      <c r="L173" t="inlineStr">
        <is>
          <t>sonstige Betriebsausgaben</t>
        </is>
      </c>
      <c r="M173" s="9" t="n"/>
      <c r="N173" s="1" t="n">
        <v>44867</v>
      </c>
      <c r="O173" s="154" t="inlineStr">
        <is>
          <t>STORNIERT Google Ireland Ltd, Gordon House, Barrow Street, Dublin 4, Ireland; VAT number: IE 6388047V</t>
        </is>
      </c>
      <c r="Q173" s="76" t="n"/>
      <c r="S173" s="214" t="n">
        <v>9.359999999999999</v>
      </c>
      <c r="T173" s="159" t="n">
        <v>1</v>
      </c>
      <c r="U173" t="n">
        <v>0</v>
      </c>
      <c r="V173" s="237" t="n">
        <v>0</v>
      </c>
      <c r="W173" s="237" t="n">
        <v>0</v>
      </c>
      <c r="X173" s="208" t="n">
        <v>9.359999999999999</v>
      </c>
      <c r="Y173" s="251" t="n">
        <v>9.359999999999999</v>
      </c>
      <c r="Z173" s="251" t="n">
        <v>9.359999999999999</v>
      </c>
      <c r="AA173" s="35" t="n">
        <v>44972</v>
      </c>
      <c r="AB173" s="27" t="n"/>
      <c r="AC173" s="27" t="n">
        <v>20</v>
      </c>
      <c r="AD173" s="210" t="n">
        <v>9.359999999999999</v>
      </c>
      <c r="AE173" s="237" t="n">
        <v>1.872</v>
      </c>
      <c r="AF173" t="b">
        <v>0</v>
      </c>
      <c r="AG173" s="228" t="n">
        <v>-9.359999999999999</v>
      </c>
    </row>
    <row r="174">
      <c r="A174">
        <f>I174&amp;"-"&amp;J174</f>
        <v/>
      </c>
      <c r="B174" s="1">
        <f>N174</f>
        <v/>
      </c>
      <c r="C174">
        <f>M174&amp;"/"&amp;O174</f>
        <v/>
      </c>
      <c r="D174">
        <f>K174</f>
        <v/>
      </c>
      <c r="E174">
        <f>L174</f>
        <v/>
      </c>
      <c r="F174" s="236">
        <f>Z174</f>
        <v/>
      </c>
      <c r="G174">
        <f>U174&amp;"%"</f>
        <v/>
      </c>
      <c r="I174" s="53" t="n">
        <v>2022</v>
      </c>
      <c r="J174" s="53" t="n">
        <v>173</v>
      </c>
      <c r="K174" s="71" t="inlineStr">
        <is>
          <t>Ausgaben</t>
        </is>
      </c>
      <c r="L174" t="inlineStr">
        <is>
          <t>Miet- und Pachtaufwand, Leasing</t>
        </is>
      </c>
      <c r="M174" s="9" t="n"/>
      <c r="N174" s="1" t="n">
        <v>44867</v>
      </c>
      <c r="O174" s="154" t="inlineStr">
        <is>
          <t>STORNIERT Bontus Immobilienverwaltung GmbH, 1010 Wien, Franz Josefs Kai 65</t>
        </is>
      </c>
      <c r="Q174" s="76" t="n"/>
      <c r="S174" s="214" t="n">
        <v>505.65</v>
      </c>
      <c r="T174" s="159" t="n">
        <v>1</v>
      </c>
      <c r="U174" t="n">
        <v>20</v>
      </c>
      <c r="V174" s="237" t="n">
        <v>101.13</v>
      </c>
      <c r="W174" s="237" t="n">
        <v>101.13</v>
      </c>
      <c r="X174" s="208" t="n">
        <v>505.65</v>
      </c>
      <c r="Y174" s="251" t="n">
        <v>606.78</v>
      </c>
      <c r="Z174" s="251" t="n">
        <v>606.78</v>
      </c>
      <c r="AA174" s="35" t="n">
        <v>44972</v>
      </c>
      <c r="AB174" s="27" t="n"/>
      <c r="AC174" s="27" t="n"/>
      <c r="AD174" s="210" t="n">
        <v>505.65</v>
      </c>
      <c r="AE174" s="237" t="n">
        <v>0</v>
      </c>
      <c r="AF174" t="b">
        <v>0</v>
      </c>
      <c r="AG174" s="228" t="n">
        <v>-505.65</v>
      </c>
    </row>
    <row r="175">
      <c r="A175">
        <f>I175&amp;"-"&amp;J175</f>
        <v/>
      </c>
      <c r="B175" s="1">
        <f>N175</f>
        <v/>
      </c>
      <c r="C175">
        <f>M175&amp;"/"&amp;O175</f>
        <v/>
      </c>
      <c r="D175">
        <f>K175</f>
        <v/>
      </c>
      <c r="E175">
        <f>L175</f>
        <v/>
      </c>
      <c r="F175" s="236">
        <f>Z175</f>
        <v/>
      </c>
      <c r="G175">
        <f>U175&amp;"%"</f>
        <v/>
      </c>
      <c r="I175" s="53" t="n">
        <v>2022</v>
      </c>
      <c r="J175" s="53" t="n">
        <v>174</v>
      </c>
      <c r="K175" s="71" t="inlineStr">
        <is>
          <t>Ausgaben</t>
        </is>
      </c>
      <c r="L175" t="inlineStr">
        <is>
          <t>Telefon/Internet</t>
        </is>
      </c>
      <c r="M175" s="9" t="n"/>
      <c r="N175" s="1" t="n">
        <v>44867</v>
      </c>
      <c r="O175" s="154" t="inlineStr">
        <is>
          <t>STORNIERT Hutchison Drei Austria GmbH, Brünner Straße 52, 1210 Wien, Österreich</t>
        </is>
      </c>
      <c r="Q175" s="76" t="n"/>
      <c r="S175" s="214" t="n">
        <v>15</v>
      </c>
      <c r="T175" s="159" t="n">
        <v>1</v>
      </c>
      <c r="U175" t="n">
        <v>20</v>
      </c>
      <c r="V175" s="237" t="n">
        <v>3</v>
      </c>
      <c r="W175" s="237" t="n">
        <v>3</v>
      </c>
      <c r="X175" s="208" t="n">
        <v>15</v>
      </c>
      <c r="Y175" s="251" t="n">
        <v>18</v>
      </c>
      <c r="Z175" s="251" t="n">
        <v>18</v>
      </c>
      <c r="AA175" s="35" t="n">
        <v>44972</v>
      </c>
      <c r="AB175" s="27" t="n"/>
      <c r="AC175" s="27" t="n"/>
      <c r="AD175" s="210" t="n">
        <v>15</v>
      </c>
      <c r="AE175" s="237" t="n">
        <v>0</v>
      </c>
      <c r="AF175" t="b">
        <v>0</v>
      </c>
      <c r="AG175" s="228" t="n">
        <v>-15</v>
      </c>
    </row>
    <row r="176">
      <c r="A176">
        <f>I176&amp;"-"&amp;J176</f>
        <v/>
      </c>
      <c r="B176" s="1">
        <f>N176</f>
        <v/>
      </c>
      <c r="C176">
        <f>M176&amp;"/"&amp;O176</f>
        <v/>
      </c>
      <c r="D176">
        <f>K176</f>
        <v/>
      </c>
      <c r="E176">
        <f>L176</f>
        <v/>
      </c>
      <c r="F176" s="236">
        <f>Z176</f>
        <v/>
      </c>
      <c r="G176">
        <f>U176&amp;"%"</f>
        <v/>
      </c>
      <c r="I176" s="53" t="n">
        <v>2022</v>
      </c>
      <c r="J176" s="53" t="n">
        <v>175</v>
      </c>
      <c r="K176" s="71" t="inlineStr">
        <is>
          <t>Ausgaben</t>
        </is>
      </c>
      <c r="L176" t="inlineStr">
        <is>
          <t>sonstige Betriebsausgaben</t>
        </is>
      </c>
      <c r="M176" s="153" t="inlineStr">
        <is>
          <t>siehe Jahresabrechnung</t>
        </is>
      </c>
      <c r="N176" s="1" t="n">
        <v>44869</v>
      </c>
      <c r="O176" t="inlineStr">
        <is>
          <t>go green energy GmbH &amp; Co KG</t>
        </is>
      </c>
      <c r="Q176" s="76" t="n"/>
      <c r="R176" t="b">
        <v>0</v>
      </c>
      <c r="S176" s="214" t="n">
        <v>2.5</v>
      </c>
      <c r="T176" s="159" t="n">
        <v>1</v>
      </c>
      <c r="U176" t="n">
        <v>20</v>
      </c>
      <c r="V176" s="237" t="n">
        <v>0.5</v>
      </c>
      <c r="W176" s="237" t="n">
        <v>0.5</v>
      </c>
      <c r="X176" s="208" t="n">
        <v>2.5</v>
      </c>
      <c r="Y176" s="251" t="n">
        <v>3</v>
      </c>
      <c r="Z176" s="251" t="n">
        <v>3</v>
      </c>
      <c r="AA176" s="35" t="n">
        <v>44972</v>
      </c>
      <c r="AB176" s="27" t="n"/>
      <c r="AC176" s="27" t="n"/>
      <c r="AD176" s="210" t="n">
        <v>2.5</v>
      </c>
      <c r="AE176" s="237" t="n">
        <v>0</v>
      </c>
      <c r="AF176" t="b">
        <v>0</v>
      </c>
      <c r="AG176" s="228" t="n">
        <v>-2.5</v>
      </c>
    </row>
    <row r="177">
      <c r="A177">
        <f>I177&amp;"-"&amp;J177</f>
        <v/>
      </c>
      <c r="B177" s="1">
        <f>N177</f>
        <v/>
      </c>
      <c r="C177">
        <f>M177&amp;"/"&amp;O177</f>
        <v/>
      </c>
      <c r="D177">
        <f>K177</f>
        <v/>
      </c>
      <c r="E177">
        <f>L177</f>
        <v/>
      </c>
      <c r="F177" s="236">
        <f>Z177</f>
        <v/>
      </c>
      <c r="G177">
        <f>U177&amp;"%"</f>
        <v/>
      </c>
      <c r="I177" s="53" t="n">
        <v>2022</v>
      </c>
      <c r="J177" s="53" t="n">
        <v>176</v>
      </c>
      <c r="K177" s="71" t="inlineStr">
        <is>
          <t>Ausgaben</t>
        </is>
      </c>
      <c r="L177" t="inlineStr">
        <is>
          <t>Miet- und Pachtaufwand, Leasing</t>
        </is>
      </c>
      <c r="M177" s="61" t="inlineStr">
        <is>
          <t>BELEG FEHLT</t>
        </is>
      </c>
      <c r="N177" s="1" t="n">
        <v>44839</v>
      </c>
      <c r="O177" t="inlineStr">
        <is>
          <t>Techem Messtechnik GmbH; Abnehmernummer 501686-0003-11-</t>
        </is>
      </c>
      <c r="Q177" s="76" t="n"/>
      <c r="R177" t="b">
        <v>0</v>
      </c>
      <c r="S177" s="214" t="n">
        <v>122.6</v>
      </c>
      <c r="T177" s="159" t="n">
        <v>1</v>
      </c>
      <c r="U177" t="n">
        <v>20</v>
      </c>
      <c r="V177" s="237" t="n">
        <v>24.52</v>
      </c>
      <c r="W177" s="237" t="n">
        <v>24.52</v>
      </c>
      <c r="X177" s="208" t="n">
        <v>122.6</v>
      </c>
      <c r="Y177" s="251" t="n">
        <v>147.12</v>
      </c>
      <c r="Z177" s="251" t="n">
        <v>147.12</v>
      </c>
      <c r="AA177" s="35" t="n">
        <v>44972</v>
      </c>
      <c r="AB177" s="27" t="n"/>
      <c r="AC177" s="27" t="n"/>
      <c r="AD177" s="210" t="n">
        <v>122.6</v>
      </c>
      <c r="AE177" s="237" t="n">
        <v>0</v>
      </c>
      <c r="AF177" t="b">
        <v>0</v>
      </c>
      <c r="AG177" s="228" t="n">
        <v>-122.6</v>
      </c>
    </row>
    <row r="178">
      <c r="A178">
        <f>I178&amp;"-"&amp;J178</f>
        <v/>
      </c>
      <c r="B178" s="1">
        <f>N178</f>
        <v/>
      </c>
      <c r="C178">
        <f>M178&amp;"/"&amp;O178</f>
        <v/>
      </c>
      <c r="D178">
        <f>K178</f>
        <v/>
      </c>
      <c r="E178">
        <f>L178</f>
        <v/>
      </c>
      <c r="F178" s="236">
        <f>Z178</f>
        <v/>
      </c>
      <c r="G178">
        <f>U178&amp;"%"</f>
        <v/>
      </c>
      <c r="I178" s="53" t="n">
        <v>2022</v>
      </c>
      <c r="J178" s="53" t="n">
        <v>177</v>
      </c>
      <c r="K178" s="71" t="inlineStr">
        <is>
          <t>Ausgaben</t>
        </is>
      </c>
      <c r="L178" t="inlineStr">
        <is>
          <t>Büromaterial</t>
        </is>
      </c>
      <c r="M178" s="9" t="inlineStr">
        <is>
          <t>AT2LV7IUAEUI</t>
        </is>
      </c>
      <c r="N178" s="1" t="n">
        <v>44875</v>
      </c>
      <c r="O178" t="inlineStr">
        <is>
          <t>Amazon EU S. à r.l., 38 avenue John F. Kennedy, L-1855 Luxembourg: HJEU: DVI-HDMI, Logitech Maus</t>
        </is>
      </c>
      <c r="Q178" s="76" t="n"/>
      <c r="R178" t="b">
        <v>0</v>
      </c>
      <c r="S178" s="214" t="n">
        <v>8.600000000000001</v>
      </c>
      <c r="T178" s="159" t="n">
        <v>1</v>
      </c>
      <c r="U178" t="n">
        <v>20</v>
      </c>
      <c r="V178" s="237" t="n">
        <v>1.72</v>
      </c>
      <c r="W178" s="237" t="n">
        <v>1.72</v>
      </c>
      <c r="X178" s="208" t="n">
        <v>8.600000000000001</v>
      </c>
      <c r="Y178" s="251" t="n">
        <v>10.32</v>
      </c>
      <c r="Z178" s="251" t="n">
        <v>10.32</v>
      </c>
      <c r="AA178" s="35" t="n">
        <v>44972</v>
      </c>
      <c r="AB178" s="27" t="n"/>
      <c r="AC178" s="27" t="n"/>
      <c r="AD178" s="210" t="n">
        <v>8.600000000000001</v>
      </c>
      <c r="AE178" s="237" t="n">
        <v>0</v>
      </c>
      <c r="AF178" t="b">
        <v>0</v>
      </c>
      <c r="AG178" s="228" t="n">
        <v>-8.600000000000001</v>
      </c>
    </row>
    <row r="179">
      <c r="A179">
        <f>I179&amp;"-"&amp;J179</f>
        <v/>
      </c>
      <c r="B179" s="1">
        <f>N179</f>
        <v/>
      </c>
      <c r="C179">
        <f>M179&amp;"/"&amp;O179</f>
        <v/>
      </c>
      <c r="D179">
        <f>K179</f>
        <v/>
      </c>
      <c r="E179">
        <f>L179</f>
        <v/>
      </c>
      <c r="F179" s="236">
        <f>Z179</f>
        <v/>
      </c>
      <c r="G179">
        <f>U179&amp;"%"</f>
        <v/>
      </c>
      <c r="I179" s="53" t="n">
        <v>2022</v>
      </c>
      <c r="J179" s="53" t="n">
        <v>178</v>
      </c>
      <c r="K179" s="71" t="inlineStr">
        <is>
          <t>Ausgaben</t>
        </is>
      </c>
      <c r="L179" t="inlineStr">
        <is>
          <t>sonstige Betriebsausgaben</t>
        </is>
      </c>
      <c r="M179" s="9" t="n"/>
      <c r="N179" s="1" t="n">
        <v>44876</v>
      </c>
      <c r="O179" t="inlineStr">
        <is>
          <t>Hetzner Online GmbH</t>
        </is>
      </c>
      <c r="Q179" s="76" t="n"/>
      <c r="R179" t="b">
        <v>0</v>
      </c>
      <c r="S179" s="214" t="n">
        <v>47.7765</v>
      </c>
      <c r="T179" s="159" t="n">
        <v>1</v>
      </c>
      <c r="U179" t="n">
        <v>0</v>
      </c>
      <c r="V179" s="237" t="n">
        <v>0</v>
      </c>
      <c r="W179" s="237" t="n">
        <v>0</v>
      </c>
      <c r="X179" s="208" t="n">
        <v>47.7765</v>
      </c>
      <c r="Y179" s="251" t="n">
        <v>47.7765</v>
      </c>
      <c r="Z179" s="251" t="n">
        <v>47.7765</v>
      </c>
      <c r="AA179" s="35" t="n">
        <v>44972</v>
      </c>
      <c r="AB179" s="27" t="n"/>
      <c r="AC179" s="27" t="n">
        <v>20</v>
      </c>
      <c r="AD179" s="210" t="n">
        <v>47.7765</v>
      </c>
      <c r="AE179" s="237" t="n">
        <v>9.555300000000001</v>
      </c>
      <c r="AF179" t="b">
        <v>0</v>
      </c>
      <c r="AG179" s="228" t="n">
        <v>-47.7765</v>
      </c>
    </row>
    <row r="180">
      <c r="A180">
        <f>I180&amp;"-"&amp;J180</f>
        <v/>
      </c>
      <c r="B180" s="1">
        <f>N180</f>
        <v/>
      </c>
      <c r="C180">
        <f>M180&amp;"/"&amp;O180</f>
        <v/>
      </c>
      <c r="D180">
        <f>K180</f>
        <v/>
      </c>
      <c r="E180">
        <f>L180</f>
        <v/>
      </c>
      <c r="F180" s="236">
        <f>Z180</f>
        <v/>
      </c>
      <c r="G180">
        <f>U180&amp;"%"</f>
        <v/>
      </c>
      <c r="I180" s="53" t="n">
        <v>2022</v>
      </c>
      <c r="J180" s="53" t="n">
        <v>179</v>
      </c>
      <c r="K180" s="71" t="inlineStr">
        <is>
          <t>Ausgaben</t>
        </is>
      </c>
      <c r="L180" t="inlineStr">
        <is>
          <t>Personalaufwand</t>
        </is>
      </c>
      <c r="M180" s="9" t="inlineStr">
        <is>
          <t>siehe 2022-140</t>
        </is>
      </c>
      <c r="N180" s="1" t="n">
        <v>44880</v>
      </c>
      <c r="O180" t="inlineStr">
        <is>
          <t>Honorar Eva Jaros-Kolbitsch</t>
        </is>
      </c>
      <c r="Q180" s="76" t="n"/>
      <c r="R180" t="b">
        <v>0</v>
      </c>
      <c r="S180" s="214" t="n">
        <v>365</v>
      </c>
      <c r="T180" s="159" t="n">
        <v>1</v>
      </c>
      <c r="U180" t="n">
        <v>0</v>
      </c>
      <c r="V180" s="237" t="n">
        <v>0</v>
      </c>
      <c r="W180" s="237" t="n">
        <v>0</v>
      </c>
      <c r="X180" s="208" t="n">
        <v>365</v>
      </c>
      <c r="Y180" s="251" t="n">
        <v>365</v>
      </c>
      <c r="Z180" s="251" t="n">
        <v>365</v>
      </c>
      <c r="AA180" s="35" t="n">
        <v>44972</v>
      </c>
      <c r="AB180" s="27" t="n"/>
      <c r="AC180" s="27" t="n"/>
      <c r="AD180" s="210" t="n">
        <v>365</v>
      </c>
      <c r="AE180" s="237" t="n">
        <v>0</v>
      </c>
      <c r="AF180" t="b">
        <v>0</v>
      </c>
      <c r="AG180" s="228" t="n">
        <v>-365</v>
      </c>
    </row>
    <row r="181">
      <c r="A181">
        <f>I181&amp;"-"&amp;J181</f>
        <v/>
      </c>
      <c r="B181" s="1">
        <f>N181</f>
        <v/>
      </c>
      <c r="C181">
        <f>M181&amp;"/"&amp;O181</f>
        <v/>
      </c>
      <c r="D181">
        <f>K181</f>
        <v/>
      </c>
      <c r="E181">
        <f>L181</f>
        <v/>
      </c>
      <c r="F181" s="236">
        <f>Z181</f>
        <v/>
      </c>
      <c r="G181">
        <f>U181&amp;"%"</f>
        <v/>
      </c>
      <c r="I181" s="53" t="n">
        <v>2022</v>
      </c>
      <c r="J181" s="53" t="n">
        <v>180</v>
      </c>
      <c r="K181" s="71" t="inlineStr">
        <is>
          <t>Einnahmen</t>
        </is>
      </c>
      <c r="L181" t="inlineStr">
        <is>
          <t>Waren-/Leistungserlöse</t>
        </is>
      </c>
      <c r="M181" t="n">
        <v>168046160</v>
      </c>
      <c r="N181" s="1" t="n">
        <v>44882</v>
      </c>
      <c r="O181" t="inlineStr">
        <is>
          <t>Hays Österreich GmbH, Bahnhof City Wien West , Europaplatz 3/5, 1150 Wien</t>
        </is>
      </c>
      <c r="Q181" s="76" t="n"/>
      <c r="R181" t="b">
        <v>0</v>
      </c>
      <c r="S181" s="214" t="n">
        <v>15141</v>
      </c>
      <c r="T181" s="159" t="n">
        <v>1</v>
      </c>
      <c r="U181" t="n">
        <v>20</v>
      </c>
      <c r="V181" s="237" t="n">
        <v>3028.2</v>
      </c>
      <c r="W181" s="237" t="n">
        <v>3028.2</v>
      </c>
      <c r="X181" s="208" t="n">
        <v>15141</v>
      </c>
      <c r="Y181" s="251" t="n">
        <v>18169.2</v>
      </c>
      <c r="Z181" s="251" t="n">
        <v>18169.2</v>
      </c>
      <c r="AA181" s="35" t="n">
        <v>44972</v>
      </c>
      <c r="AB181" s="27" t="n"/>
      <c r="AC181" s="27" t="n"/>
      <c r="AD181" s="210" t="n">
        <v>15141</v>
      </c>
      <c r="AE181" s="237" t="n">
        <v>0</v>
      </c>
      <c r="AF181" t="b">
        <v>0</v>
      </c>
      <c r="AG181" s="228" t="n">
        <v>15141</v>
      </c>
    </row>
    <row r="182">
      <c r="A182">
        <f>I182&amp;"-"&amp;J182</f>
        <v/>
      </c>
      <c r="B182" s="1">
        <f>N182</f>
        <v/>
      </c>
      <c r="C182">
        <f>M182&amp;"/"&amp;O182</f>
        <v/>
      </c>
      <c r="D182">
        <f>K182</f>
        <v/>
      </c>
      <c r="E182">
        <f>L182</f>
        <v/>
      </c>
      <c r="F182" s="236">
        <f>Z182</f>
        <v/>
      </c>
      <c r="G182">
        <f>U182&amp;"%"</f>
        <v/>
      </c>
      <c r="I182" s="53" t="n">
        <v>2022</v>
      </c>
      <c r="J182" s="53" t="n">
        <v>181</v>
      </c>
      <c r="K182" s="71" t="inlineStr">
        <is>
          <t>Ausgaben</t>
        </is>
      </c>
      <c r="L182" t="inlineStr">
        <is>
          <t>Lizenzgebühren</t>
        </is>
      </c>
      <c r="M182" s="9" t="inlineStr">
        <is>
          <t>22542072</t>
        </is>
      </c>
      <c r="N182" s="1" t="n">
        <v>44886</v>
      </c>
      <c r="O182" t="inlineStr">
        <is>
          <t>Sketchup 1Y</t>
        </is>
      </c>
      <c r="Q182" s="76" t="n"/>
      <c r="R182" t="b">
        <v>0</v>
      </c>
      <c r="S182" s="214" t="n">
        <v>285</v>
      </c>
      <c r="T182" s="159" t="n">
        <v>1</v>
      </c>
      <c r="U182" t="n">
        <v>0</v>
      </c>
      <c r="V182" s="237" t="n">
        <v>0</v>
      </c>
      <c r="W182" s="237" t="n">
        <v>0</v>
      </c>
      <c r="X182" s="208" t="n">
        <v>285</v>
      </c>
      <c r="Y182" s="251" t="n">
        <v>285</v>
      </c>
      <c r="Z182" s="251" t="n">
        <v>285</v>
      </c>
      <c r="AA182" s="35" t="n">
        <v>44972</v>
      </c>
      <c r="AB182" s="27" t="n"/>
      <c r="AC182" s="27" t="n">
        <v>20</v>
      </c>
      <c r="AD182" s="210" t="n">
        <v>285</v>
      </c>
      <c r="AE182" s="237" t="n">
        <v>57</v>
      </c>
      <c r="AF182" t="b">
        <v>0</v>
      </c>
      <c r="AG182" s="228" t="n">
        <v>-285</v>
      </c>
    </row>
    <row r="183">
      <c r="A183">
        <f>I183&amp;"-"&amp;J183</f>
        <v/>
      </c>
      <c r="B183" s="1">
        <f>N183</f>
        <v/>
      </c>
      <c r="C183">
        <f>M183&amp;"/"&amp;O183</f>
        <v/>
      </c>
      <c r="D183">
        <f>K183</f>
        <v/>
      </c>
      <c r="E183">
        <f>L183</f>
        <v/>
      </c>
      <c r="F183" s="236">
        <f>Z183</f>
        <v/>
      </c>
      <c r="G183">
        <f>U183&amp;"%"</f>
        <v/>
      </c>
      <c r="I183" s="53" t="n">
        <v>2022</v>
      </c>
      <c r="J183" s="53" t="n">
        <v>182</v>
      </c>
      <c r="K183" s="71" t="inlineStr">
        <is>
          <t>Ausgaben</t>
        </is>
      </c>
      <c r="L183" t="inlineStr">
        <is>
          <t>sonstige Betriebsausgaben</t>
        </is>
      </c>
      <c r="M183" s="6" t="n"/>
      <c r="N183" s="1" t="n">
        <v>44884</v>
      </c>
      <c r="O183" t="inlineStr">
        <is>
          <t>Microsoft Ireland Operations Ltd. One Microsoft Place, South County, Business Park, Leopardstown, Dublin 18, D18 P521, Ireland</t>
        </is>
      </c>
      <c r="Q183" s="76" t="n"/>
      <c r="R183" t="b">
        <v>0</v>
      </c>
      <c r="S183" s="214" t="n">
        <v>10.5</v>
      </c>
      <c r="T183" s="159" t="n">
        <v>1</v>
      </c>
      <c r="U183" t="n">
        <v>0</v>
      </c>
      <c r="V183" s="237" t="n">
        <v>0</v>
      </c>
      <c r="W183" s="237" t="n">
        <v>0</v>
      </c>
      <c r="X183" s="208" t="n">
        <v>10.5</v>
      </c>
      <c r="Y183" s="251" t="n">
        <v>10.5</v>
      </c>
      <c r="Z183" s="251" t="n">
        <v>10.5</v>
      </c>
      <c r="AA183" s="35" t="n">
        <v>44972</v>
      </c>
      <c r="AB183" s="27" t="n"/>
      <c r="AC183" s="27" t="n">
        <v>20</v>
      </c>
      <c r="AD183" s="210" t="n">
        <v>10.5</v>
      </c>
      <c r="AE183" s="237" t="n">
        <v>2.1</v>
      </c>
      <c r="AF183" t="b">
        <v>0</v>
      </c>
      <c r="AG183" s="228" t="n">
        <v>-10.5</v>
      </c>
    </row>
    <row r="184">
      <c r="A184">
        <f>I184&amp;"-"&amp;J184</f>
        <v/>
      </c>
      <c r="B184" s="1">
        <f>N184</f>
        <v/>
      </c>
      <c r="C184">
        <f>M184&amp;"/"&amp;O184</f>
        <v/>
      </c>
      <c r="D184">
        <f>K184</f>
        <v/>
      </c>
      <c r="E184">
        <f>L184</f>
        <v/>
      </c>
      <c r="F184" s="236">
        <f>Z184</f>
        <v/>
      </c>
      <c r="G184">
        <f>U184&amp;"%"</f>
        <v/>
      </c>
      <c r="I184" s="53" t="n">
        <v>2022</v>
      </c>
      <c r="J184" s="53" t="n">
        <v>183</v>
      </c>
      <c r="K184" s="71" t="inlineStr">
        <is>
          <t>Ausgaben</t>
        </is>
      </c>
      <c r="L184" t="inlineStr">
        <is>
          <t>Telefon/Internet</t>
        </is>
      </c>
      <c r="M184" s="131" t="inlineStr">
        <is>
          <t>901150331122</t>
        </is>
      </c>
      <c r="N184" s="1" t="n">
        <v>44887</v>
      </c>
      <c r="O184" t="inlineStr">
        <is>
          <t>Magenta: T-Mobile Austria GmbH, A-1120 Wien, PF 47</t>
        </is>
      </c>
      <c r="Q184" s="76" t="n"/>
      <c r="R184" t="b">
        <v>0</v>
      </c>
      <c r="S184" s="214" t="n">
        <v>31.92</v>
      </c>
      <c r="T184" s="159" t="n">
        <v>1</v>
      </c>
      <c r="U184" t="n">
        <v>20</v>
      </c>
      <c r="V184" s="237" t="n">
        <v>6.384000000000001</v>
      </c>
      <c r="W184" s="237" t="n">
        <v>6.384000000000001</v>
      </c>
      <c r="X184" s="208" t="n">
        <v>31.92</v>
      </c>
      <c r="Y184" s="251" t="n">
        <v>38.304</v>
      </c>
      <c r="Z184" s="251" t="n">
        <v>38.304</v>
      </c>
      <c r="AA184" s="35" t="n">
        <v>44972</v>
      </c>
      <c r="AB184" s="27" t="n"/>
      <c r="AC184" s="27" t="n"/>
      <c r="AD184" s="210" t="n">
        <v>31.92</v>
      </c>
      <c r="AE184" s="237" t="n">
        <v>0</v>
      </c>
      <c r="AF184" t="b">
        <v>0</v>
      </c>
      <c r="AG184" s="228" t="n">
        <v>-31.92</v>
      </c>
    </row>
    <row r="185">
      <c r="A185">
        <f>I185&amp;"-"&amp;J185</f>
        <v/>
      </c>
      <c r="B185" s="1">
        <f>N185</f>
        <v/>
      </c>
      <c r="C185">
        <f>M185&amp;"/"&amp;O185</f>
        <v/>
      </c>
      <c r="D185">
        <f>K185</f>
        <v/>
      </c>
      <c r="E185">
        <f>L185</f>
        <v/>
      </c>
      <c r="F185" s="236">
        <f>Z185</f>
        <v/>
      </c>
      <c r="G185">
        <f>U185&amp;"%"</f>
        <v/>
      </c>
      <c r="I185" s="53" t="n">
        <v>2022</v>
      </c>
      <c r="J185" s="53" t="n">
        <v>184</v>
      </c>
      <c r="K185" s="71" t="inlineStr">
        <is>
          <t>Ausgaben</t>
        </is>
      </c>
      <c r="L185" t="inlineStr">
        <is>
          <t>Waren, Rohstoffe, Hilfsstoffe</t>
        </is>
      </c>
      <c r="M185" s="9" t="n"/>
      <c r="N185" s="1" t="n">
        <v>44887</v>
      </c>
      <c r="O185" t="inlineStr">
        <is>
          <t>Lemon Technologies GmbH, Unterweißenbach 181, 7330 Feldbach: Bildschirm</t>
        </is>
      </c>
      <c r="Q185" s="76" t="n"/>
      <c r="R185" t="b">
        <v>0</v>
      </c>
      <c r="S185" s="214" t="n">
        <v>44.79</v>
      </c>
      <c r="T185" s="159" t="n">
        <v>1</v>
      </c>
      <c r="U185" t="n">
        <v>20</v>
      </c>
      <c r="V185" s="237" t="n">
        <v>8.958</v>
      </c>
      <c r="W185" s="237" t="n">
        <v>8.958</v>
      </c>
      <c r="X185" s="208" t="n">
        <v>44.79</v>
      </c>
      <c r="Y185" s="251" t="n">
        <v>53.748</v>
      </c>
      <c r="Z185" s="251" t="n">
        <v>53.748</v>
      </c>
      <c r="AA185" s="35" t="n">
        <v>44972</v>
      </c>
      <c r="AB185" s="27" t="n"/>
      <c r="AC185" s="27" t="n"/>
      <c r="AD185" s="210" t="n">
        <v>44.79</v>
      </c>
      <c r="AE185" s="237" t="n">
        <v>0</v>
      </c>
      <c r="AF185" t="b">
        <v>0</v>
      </c>
      <c r="AG185" s="228" t="n">
        <v>-44.79</v>
      </c>
    </row>
    <row r="186">
      <c r="A186">
        <f>I186&amp;"-"&amp;J186</f>
        <v/>
      </c>
      <c r="B186" s="1">
        <f>N186</f>
        <v/>
      </c>
      <c r="C186">
        <f>M186&amp;"/"&amp;O186</f>
        <v/>
      </c>
      <c r="D186">
        <f>K186</f>
        <v/>
      </c>
      <c r="E186">
        <f>L186</f>
        <v/>
      </c>
      <c r="F186" s="236">
        <f>Z186</f>
        <v/>
      </c>
      <c r="G186">
        <f>U186&amp;"%"</f>
        <v/>
      </c>
      <c r="I186" s="53" t="n">
        <v>2022</v>
      </c>
      <c r="J186" s="53" t="n">
        <v>185</v>
      </c>
      <c r="K186" s="71" t="inlineStr">
        <is>
          <t>Ausgaben</t>
        </is>
      </c>
      <c r="L186" t="inlineStr">
        <is>
          <t>Pflichversicherungsbeiträge</t>
        </is>
      </c>
      <c r="M186" s="9" t="inlineStr">
        <is>
          <t>1561270283</t>
        </is>
      </c>
      <c r="N186" s="1" t="n">
        <v>44894</v>
      </c>
      <c r="O186" t="inlineStr">
        <is>
          <t>Sozialversicherung der gewerblichen Wirtshaft</t>
        </is>
      </c>
      <c r="Q186" s="76" t="n"/>
      <c r="R186" t="b">
        <v>0</v>
      </c>
      <c r="S186" s="214" t="n">
        <v>5683.5</v>
      </c>
      <c r="T186" s="159" t="n">
        <v>1</v>
      </c>
      <c r="U186" t="n">
        <v>0</v>
      </c>
      <c r="V186" s="237" t="n">
        <v>0</v>
      </c>
      <c r="W186" s="237" t="n">
        <v>0</v>
      </c>
      <c r="X186" s="208" t="n">
        <v>5683.5</v>
      </c>
      <c r="Y186" s="251" t="n">
        <v>5683.5</v>
      </c>
      <c r="Z186" s="251" t="n">
        <v>5683.5</v>
      </c>
      <c r="AA186" s="35" t="n">
        <v>44972</v>
      </c>
      <c r="AB186" s="27" t="n"/>
      <c r="AC186" s="27" t="n"/>
      <c r="AD186" s="210" t="n">
        <v>5683.5</v>
      </c>
      <c r="AE186" s="237" t="n">
        <v>0</v>
      </c>
      <c r="AF186" t="b">
        <v>0</v>
      </c>
      <c r="AG186" s="228" t="n">
        <v>-5683.5</v>
      </c>
    </row>
    <row r="187">
      <c r="A187">
        <f>I187&amp;"-"&amp;J187</f>
        <v/>
      </c>
      <c r="B187" s="1">
        <f>N187</f>
        <v/>
      </c>
      <c r="C187">
        <f>M187&amp;"/"&amp;O187</f>
        <v/>
      </c>
      <c r="D187">
        <f>K187</f>
        <v/>
      </c>
      <c r="E187">
        <f>L187</f>
        <v/>
      </c>
      <c r="F187" s="236">
        <f>Z187</f>
        <v/>
      </c>
      <c r="G187">
        <f>U187&amp;"%"</f>
        <v/>
      </c>
      <c r="I187" s="53" t="n">
        <v>2022</v>
      </c>
      <c r="J187" s="53" t="n">
        <v>186</v>
      </c>
      <c r="K187" s="71" t="inlineStr">
        <is>
          <t>Ausgaben</t>
        </is>
      </c>
      <c r="L187" t="inlineStr">
        <is>
          <t>Miet- und Pachtaufwand, Leasing</t>
        </is>
      </c>
      <c r="M187" s="9" t="n"/>
      <c r="N187" s="1" t="n">
        <v>44896</v>
      </c>
      <c r="O187" t="inlineStr">
        <is>
          <t>Bontus Immobilienverwaltung GmbH, 1010 Wien, Franz Josefs Kai 65</t>
        </is>
      </c>
      <c r="Q187" s="76" t="n"/>
      <c r="R187" t="b">
        <v>0</v>
      </c>
      <c r="S187" s="214" t="n">
        <v>505.65</v>
      </c>
      <c r="T187" s="159" t="n">
        <v>1</v>
      </c>
      <c r="U187" t="n">
        <v>20</v>
      </c>
      <c r="V187" s="237" t="n">
        <v>101.13</v>
      </c>
      <c r="W187" s="237" t="n">
        <v>101.13</v>
      </c>
      <c r="X187" s="208" t="n">
        <v>505.65</v>
      </c>
      <c r="Y187" s="251" t="n">
        <v>606.78</v>
      </c>
      <c r="Z187" s="251" t="n">
        <v>606.78</v>
      </c>
      <c r="AA187" s="35" t="n">
        <v>44972</v>
      </c>
      <c r="AB187" s="27" t="n"/>
      <c r="AC187" s="27" t="n"/>
      <c r="AD187" s="210" t="n">
        <v>505.65</v>
      </c>
      <c r="AE187" s="237" t="n">
        <v>0</v>
      </c>
      <c r="AF187" t="b">
        <v>0</v>
      </c>
      <c r="AG187" s="228" t="n">
        <v>-505.65</v>
      </c>
    </row>
    <row r="188">
      <c r="A188">
        <f>I188&amp;"-"&amp;J188</f>
        <v/>
      </c>
      <c r="B188" s="1">
        <f>N188</f>
        <v/>
      </c>
      <c r="C188">
        <f>M188&amp;"/"&amp;O188</f>
        <v/>
      </c>
      <c r="D188">
        <f>K188</f>
        <v/>
      </c>
      <c r="E188">
        <f>L188</f>
        <v/>
      </c>
      <c r="F188" s="236">
        <f>Z188</f>
        <v/>
      </c>
      <c r="G188">
        <f>U188&amp;"%"</f>
        <v/>
      </c>
      <c r="I188" s="53" t="n">
        <v>2022</v>
      </c>
      <c r="J188" s="53" t="n">
        <v>187</v>
      </c>
      <c r="K188" s="71" t="inlineStr">
        <is>
          <t>Ausgaben</t>
        </is>
      </c>
      <c r="L188" t="inlineStr">
        <is>
          <t>Reise- und Fahrtspesen inkl. Kilometergeld und Diäten</t>
        </is>
      </c>
      <c r="M188" s="131" t="n"/>
      <c r="N188" s="1" t="n">
        <v>44897</v>
      </c>
      <c r="O188" t="inlineStr">
        <is>
          <t>car2go Österreich GmbH, Hintere Zollamtstraße 9, 1030 Wien</t>
        </is>
      </c>
      <c r="Q188" s="76" t="n"/>
      <c r="R188" t="b">
        <v>0</v>
      </c>
      <c r="S188" s="214" t="n">
        <v>10.12</v>
      </c>
      <c r="T188" s="159" t="n">
        <v>1</v>
      </c>
      <c r="U188" t="n">
        <v>20</v>
      </c>
      <c r="V188" s="237" t="n">
        <v>2.024</v>
      </c>
      <c r="W188" s="237" t="n">
        <v>2.024</v>
      </c>
      <c r="X188" s="208" t="n">
        <v>10.12</v>
      </c>
      <c r="Y188" s="251" t="n">
        <v>12.144</v>
      </c>
      <c r="Z188" s="251" t="n">
        <v>12.144</v>
      </c>
      <c r="AA188" s="35" t="n">
        <v>44972</v>
      </c>
      <c r="AB188" s="27" t="n"/>
      <c r="AC188" s="27" t="n"/>
      <c r="AD188" s="210" t="n">
        <v>10.12</v>
      </c>
      <c r="AE188" s="237" t="n">
        <v>0</v>
      </c>
      <c r="AF188" t="b">
        <v>0</v>
      </c>
      <c r="AG188" s="228" t="n">
        <v>-10.12</v>
      </c>
    </row>
    <row r="189">
      <c r="A189">
        <f>I189&amp;"-"&amp;J189</f>
        <v/>
      </c>
      <c r="B189" s="1">
        <f>N189</f>
        <v/>
      </c>
      <c r="C189">
        <f>M189&amp;"/"&amp;O189</f>
        <v/>
      </c>
      <c r="D189">
        <f>K189</f>
        <v/>
      </c>
      <c r="E189">
        <f>L189</f>
        <v/>
      </c>
      <c r="F189" s="236">
        <f>Z189</f>
        <v/>
      </c>
      <c r="G189">
        <f>U189&amp;"%"</f>
        <v/>
      </c>
      <c r="I189" s="53" t="n">
        <v>2022</v>
      </c>
      <c r="J189" s="53" t="n">
        <v>188</v>
      </c>
      <c r="K189" s="71" t="inlineStr">
        <is>
          <t>Ausgaben</t>
        </is>
      </c>
      <c r="L189" t="inlineStr">
        <is>
          <t>Telefon/Internet</t>
        </is>
      </c>
      <c r="M189" s="9" t="n"/>
      <c r="N189" s="1" t="n">
        <v>44897</v>
      </c>
      <c r="O189" t="inlineStr">
        <is>
          <t>Hutchison Drei Austria GmbH, Brünner Straße 52, 1210 Wien, Österreich</t>
        </is>
      </c>
      <c r="Q189" s="76" t="n"/>
      <c r="R189" t="b">
        <v>0</v>
      </c>
      <c r="S189" s="214" t="n">
        <v>15</v>
      </c>
      <c r="T189" s="159" t="n">
        <v>1</v>
      </c>
      <c r="U189" t="n">
        <v>20</v>
      </c>
      <c r="V189" s="237" t="n">
        <v>3</v>
      </c>
      <c r="W189" s="237" t="n">
        <v>3</v>
      </c>
      <c r="X189" s="208" t="n">
        <v>15</v>
      </c>
      <c r="Y189" s="251" t="n">
        <v>18</v>
      </c>
      <c r="Z189" s="251" t="n">
        <v>18</v>
      </c>
      <c r="AA189" s="35" t="n">
        <v>44972</v>
      </c>
      <c r="AB189" s="27" t="n"/>
      <c r="AC189" s="27" t="n"/>
      <c r="AD189" s="210" t="n">
        <v>15</v>
      </c>
      <c r="AE189" s="237" t="n">
        <v>0</v>
      </c>
      <c r="AF189" t="b">
        <v>0</v>
      </c>
      <c r="AG189" s="228" t="n">
        <v>-15</v>
      </c>
    </row>
    <row r="190">
      <c r="A190">
        <f>I190&amp;"-"&amp;J190</f>
        <v/>
      </c>
      <c r="B190" s="1">
        <f>N190</f>
        <v/>
      </c>
      <c r="C190">
        <f>M190&amp;"/"&amp;O190</f>
        <v/>
      </c>
      <c r="D190">
        <f>K190</f>
        <v/>
      </c>
      <c r="E190">
        <f>L190</f>
        <v/>
      </c>
      <c r="F190" s="236">
        <f>Z190</f>
        <v/>
      </c>
      <c r="G190">
        <f>U190&amp;"%"</f>
        <v/>
      </c>
      <c r="I190" s="53" t="n">
        <v>2022</v>
      </c>
      <c r="J190" s="53" t="n">
        <v>189</v>
      </c>
      <c r="K190" s="71" t="inlineStr">
        <is>
          <t>Ausgaben</t>
        </is>
      </c>
      <c r="L190" t="inlineStr">
        <is>
          <t>sonstige Betriebsausgaben</t>
        </is>
      </c>
      <c r="M190" s="9" t="n"/>
      <c r="N190" s="1" t="n">
        <v>44900</v>
      </c>
      <c r="O190" t="inlineStr">
        <is>
          <t>Google Ireland Ltd, Gordon House, Barrow Street, Dublin 4, Ireland; VAT number: IE 6388047V</t>
        </is>
      </c>
      <c r="Q190" s="76" t="n"/>
      <c r="R190" t="b">
        <v>0</v>
      </c>
      <c r="S190" s="214" t="n">
        <v>9.359999999999999</v>
      </c>
      <c r="T190" s="159" t="n">
        <v>1</v>
      </c>
      <c r="U190" t="n">
        <v>0</v>
      </c>
      <c r="V190" s="237" t="n">
        <v>0</v>
      </c>
      <c r="W190" s="237" t="n">
        <v>0</v>
      </c>
      <c r="X190" s="208" t="n">
        <v>9.359999999999999</v>
      </c>
      <c r="Y190" s="251" t="n">
        <v>9.359999999999999</v>
      </c>
      <c r="Z190" s="251" t="n">
        <v>9.359999999999999</v>
      </c>
      <c r="AA190" s="35" t="n">
        <v>44972</v>
      </c>
      <c r="AB190" s="27" t="n"/>
      <c r="AC190" s="27" t="n">
        <v>20</v>
      </c>
      <c r="AD190" s="210" t="n">
        <v>9.359999999999999</v>
      </c>
      <c r="AE190" s="237" t="n">
        <v>1.872</v>
      </c>
      <c r="AF190" t="b">
        <v>0</v>
      </c>
      <c r="AG190" s="228" t="n">
        <v>-9.359999999999999</v>
      </c>
    </row>
    <row r="191">
      <c r="A191">
        <f>I191&amp;"-"&amp;J191</f>
        <v/>
      </c>
      <c r="B191" s="1">
        <f>N191</f>
        <v/>
      </c>
      <c r="C191">
        <f>M191&amp;"/"&amp;O191</f>
        <v/>
      </c>
      <c r="D191">
        <f>K191</f>
        <v/>
      </c>
      <c r="E191">
        <f>L191</f>
        <v/>
      </c>
      <c r="F191" s="236">
        <f>Z191</f>
        <v/>
      </c>
      <c r="G191">
        <f>U191&amp;"%"</f>
        <v/>
      </c>
      <c r="I191" s="53" t="n">
        <v>2022</v>
      </c>
      <c r="J191" s="53" t="n">
        <v>190</v>
      </c>
      <c r="K191" s="71" t="inlineStr">
        <is>
          <t>Ausgaben</t>
        </is>
      </c>
      <c r="L191" t="inlineStr">
        <is>
          <t>sonstige Betriebsausgaben</t>
        </is>
      </c>
      <c r="M191" s="153" t="inlineStr">
        <is>
          <t>siehe Jahresabrechnung</t>
        </is>
      </c>
      <c r="N191" s="1" t="n">
        <v>44900</v>
      </c>
      <c r="O191" t="inlineStr">
        <is>
          <t>go green energy GmbH &amp; Co KG</t>
        </is>
      </c>
      <c r="Q191" s="76" t="n"/>
      <c r="R191" t="b">
        <v>0</v>
      </c>
      <c r="S191" s="214" t="n">
        <v>2.5</v>
      </c>
      <c r="T191" s="159" t="n">
        <v>1</v>
      </c>
      <c r="U191" t="n">
        <v>20</v>
      </c>
      <c r="V191" s="237" t="n">
        <v>0.5</v>
      </c>
      <c r="W191" s="237" t="n">
        <v>0.5</v>
      </c>
      <c r="X191" s="208" t="n">
        <v>2.5</v>
      </c>
      <c r="Y191" s="251" t="n">
        <v>3</v>
      </c>
      <c r="Z191" s="251" t="n">
        <v>3</v>
      </c>
      <c r="AA191" s="35" t="n">
        <v>44972</v>
      </c>
      <c r="AB191" s="27" t="n"/>
      <c r="AC191" s="27" t="n"/>
      <c r="AD191" s="210" t="n">
        <v>2.5</v>
      </c>
      <c r="AE191" s="237" t="n">
        <v>0</v>
      </c>
      <c r="AF191" t="b">
        <v>0</v>
      </c>
      <c r="AG191" s="228" t="n">
        <v>-2.5</v>
      </c>
    </row>
    <row r="192">
      <c r="A192">
        <f>I192&amp;"-"&amp;J192</f>
        <v/>
      </c>
      <c r="B192" s="1">
        <f>N192</f>
        <v/>
      </c>
      <c r="C192">
        <f>M192&amp;"/"&amp;O192</f>
        <v/>
      </c>
      <c r="D192">
        <f>K192</f>
        <v/>
      </c>
      <c r="E192">
        <f>L192</f>
        <v/>
      </c>
      <c r="F192" s="236">
        <f>Z192</f>
        <v/>
      </c>
      <c r="G192">
        <f>U192&amp;"%"</f>
        <v/>
      </c>
      <c r="I192" s="53" t="n">
        <v>2022</v>
      </c>
      <c r="J192" s="53" t="n">
        <v>191</v>
      </c>
      <c r="K192" s="71" t="inlineStr">
        <is>
          <t>Ausgaben</t>
        </is>
      </c>
      <c r="L192" t="inlineStr">
        <is>
          <t>Miet- und Pachtaufwand, Leasing</t>
        </is>
      </c>
      <c r="M192" s="61" t="inlineStr">
        <is>
          <t>BELEG FEHLT</t>
        </is>
      </c>
      <c r="N192" s="1" t="n">
        <v>44900</v>
      </c>
      <c r="O192" t="inlineStr">
        <is>
          <t>Techem Messtechnik GmbH; Abnehmernummer 501686-0003-11-</t>
        </is>
      </c>
      <c r="Q192" s="76" t="n"/>
      <c r="R192" t="b">
        <v>0</v>
      </c>
      <c r="S192" s="214" t="n">
        <v>122.6</v>
      </c>
      <c r="T192" s="159" t="n">
        <v>1</v>
      </c>
      <c r="U192" t="n">
        <v>20</v>
      </c>
      <c r="V192" s="237" t="n">
        <v>24.52</v>
      </c>
      <c r="W192" s="237" t="n">
        <v>24.52</v>
      </c>
      <c r="X192" s="208" t="n">
        <v>122.6</v>
      </c>
      <c r="Y192" s="251" t="n">
        <v>147.12</v>
      </c>
      <c r="Z192" s="251" t="n">
        <v>147.12</v>
      </c>
      <c r="AA192" s="35" t="n">
        <v>44972</v>
      </c>
      <c r="AB192" s="27" t="n"/>
      <c r="AC192" s="27" t="n"/>
      <c r="AD192" s="210" t="n">
        <v>122.6</v>
      </c>
      <c r="AE192" s="237" t="n">
        <v>0</v>
      </c>
      <c r="AF192" t="b">
        <v>0</v>
      </c>
      <c r="AG192" s="228" t="n">
        <v>-122.6</v>
      </c>
    </row>
    <row r="193">
      <c r="A193">
        <f>I193&amp;"-"&amp;J193</f>
        <v/>
      </c>
      <c r="B193" s="1">
        <f>N193</f>
        <v/>
      </c>
      <c r="C193">
        <f>M193&amp;"/"&amp;O193</f>
        <v/>
      </c>
      <c r="D193">
        <f>K193</f>
        <v/>
      </c>
      <c r="E193">
        <f>L193</f>
        <v/>
      </c>
      <c r="F193" s="236">
        <f>Z193</f>
        <v/>
      </c>
      <c r="G193">
        <f>U193&amp;"%"</f>
        <v/>
      </c>
      <c r="I193" s="53" t="n">
        <v>2022</v>
      </c>
      <c r="J193" s="53" t="n">
        <v>192</v>
      </c>
      <c r="K193" s="71" t="inlineStr">
        <is>
          <t>Ausgaben</t>
        </is>
      </c>
      <c r="L193" t="inlineStr">
        <is>
          <t>sonstige Betriebsausgaben</t>
        </is>
      </c>
      <c r="M193" s="9" t="inlineStr">
        <is>
          <t>8040764924</t>
        </is>
      </c>
      <c r="N193" s="1" t="n">
        <v>44908</v>
      </c>
      <c r="O193" t="inlineStr">
        <is>
          <t>Thalia Wien Millenium City, Handelskai 94-96, 1200 Wien</t>
        </is>
      </c>
      <c r="Q193" s="76" t="n"/>
      <c r="R193" t="b">
        <v>0</v>
      </c>
      <c r="S193" s="214" t="n">
        <v>14</v>
      </c>
      <c r="T193" s="159" t="n">
        <v>1</v>
      </c>
      <c r="U193" t="n">
        <v>10</v>
      </c>
      <c r="V193" s="237" t="n">
        <v>1.4</v>
      </c>
      <c r="W193" s="237" t="n">
        <v>1.4</v>
      </c>
      <c r="X193" s="208" t="n">
        <v>14</v>
      </c>
      <c r="Y193" s="251" t="n">
        <v>15.4</v>
      </c>
      <c r="Z193" s="251" t="n">
        <v>15.4</v>
      </c>
      <c r="AA193" s="35" t="n">
        <v>44972</v>
      </c>
      <c r="AB193" s="27" t="n"/>
      <c r="AC193" s="27" t="n"/>
      <c r="AD193" s="210" t="n">
        <v>14</v>
      </c>
      <c r="AE193" s="237" t="n">
        <v>0</v>
      </c>
      <c r="AF193" t="b">
        <v>0</v>
      </c>
      <c r="AG193" s="228" t="n">
        <v>-14</v>
      </c>
    </row>
    <row r="194">
      <c r="A194">
        <f>I194&amp;"-"&amp;J194</f>
        <v/>
      </c>
      <c r="B194" s="1">
        <f>N194</f>
        <v/>
      </c>
      <c r="C194">
        <f>M194&amp;"/"&amp;O194</f>
        <v/>
      </c>
      <c r="D194">
        <f>K194</f>
        <v/>
      </c>
      <c r="E194">
        <f>L194</f>
        <v/>
      </c>
      <c r="F194" s="236">
        <f>Z194</f>
        <v/>
      </c>
      <c r="G194">
        <f>U194&amp;"%"</f>
        <v/>
      </c>
      <c r="I194" s="53" t="n">
        <v>2022</v>
      </c>
      <c r="J194" s="53" t="n">
        <v>193</v>
      </c>
      <c r="K194" s="71" t="inlineStr">
        <is>
          <t>Ausgaben</t>
        </is>
      </c>
      <c r="L194" t="inlineStr">
        <is>
          <t>sonstige Betriebsausgaben</t>
        </is>
      </c>
      <c r="M194" s="9" t="n"/>
      <c r="N194" s="1" t="n">
        <v>44908</v>
      </c>
      <c r="O194" t="inlineStr">
        <is>
          <t>Hetzner Online GmbH</t>
        </is>
      </c>
      <c r="Q194" s="76" t="n"/>
      <c r="R194" t="b">
        <v>0</v>
      </c>
      <c r="S194" s="214" t="n">
        <v>47.7765</v>
      </c>
      <c r="T194" s="159" t="n">
        <v>1</v>
      </c>
      <c r="U194" t="n">
        <v>0</v>
      </c>
      <c r="V194" s="237" t="n">
        <v>0</v>
      </c>
      <c r="W194" s="237" t="n">
        <v>0</v>
      </c>
      <c r="X194" s="208" t="n">
        <v>47.7765</v>
      </c>
      <c r="Y194" s="251" t="n">
        <v>47.7765</v>
      </c>
      <c r="Z194" s="251" t="n">
        <v>47.7765</v>
      </c>
      <c r="AA194" s="35" t="n">
        <v>44972</v>
      </c>
      <c r="AB194" s="27" t="n"/>
      <c r="AC194" s="27" t="n">
        <v>20</v>
      </c>
      <c r="AD194" s="210" t="n">
        <v>47.7765</v>
      </c>
      <c r="AE194" s="237" t="n">
        <v>9.555300000000001</v>
      </c>
      <c r="AF194" t="b">
        <v>0</v>
      </c>
      <c r="AG194" s="228" t="n">
        <v>-47.7765</v>
      </c>
    </row>
    <row r="195">
      <c r="A195">
        <f>I195&amp;"-"&amp;J195</f>
        <v/>
      </c>
      <c r="B195" s="1">
        <f>N195</f>
        <v/>
      </c>
      <c r="C195">
        <f>M195&amp;"/"&amp;O195</f>
        <v/>
      </c>
      <c r="D195">
        <f>K195</f>
        <v/>
      </c>
      <c r="E195">
        <f>L195</f>
        <v/>
      </c>
      <c r="F195" s="236">
        <f>Z195</f>
        <v/>
      </c>
      <c r="G195">
        <f>U195&amp;"%"</f>
        <v/>
      </c>
      <c r="I195" s="53" t="n">
        <v>2022</v>
      </c>
      <c r="J195" s="53" t="n">
        <v>194</v>
      </c>
      <c r="K195" s="71" t="inlineStr">
        <is>
          <t>Ausgaben</t>
        </is>
      </c>
      <c r="L195" t="inlineStr">
        <is>
          <t>Personalaufwand</t>
        </is>
      </c>
      <c r="M195" s="9" t="inlineStr">
        <is>
          <t>siehe 2022-140</t>
        </is>
      </c>
      <c r="N195" s="1" t="n">
        <v>44910</v>
      </c>
      <c r="O195" t="inlineStr">
        <is>
          <t>Honorar Eva Jaros-Kolbitsch</t>
        </is>
      </c>
      <c r="Q195" s="76" t="n"/>
      <c r="R195" t="b">
        <v>0</v>
      </c>
      <c r="S195" s="214" t="n">
        <v>365</v>
      </c>
      <c r="T195" s="159" t="n">
        <v>1</v>
      </c>
      <c r="U195" t="n">
        <v>0</v>
      </c>
      <c r="V195" s="237" t="n">
        <v>0</v>
      </c>
      <c r="W195" s="237" t="n">
        <v>0</v>
      </c>
      <c r="X195" s="208" t="n">
        <v>365</v>
      </c>
      <c r="Y195" s="251" t="n">
        <v>365</v>
      </c>
      <c r="Z195" s="251" t="n">
        <v>365</v>
      </c>
      <c r="AA195" s="35" t="n">
        <v>44972</v>
      </c>
      <c r="AB195" s="27" t="n"/>
      <c r="AC195" s="27" t="n"/>
      <c r="AD195" s="210" t="n">
        <v>365</v>
      </c>
      <c r="AE195" s="237" t="n">
        <v>0</v>
      </c>
      <c r="AF195" t="b">
        <v>0</v>
      </c>
      <c r="AG195" s="228" t="n">
        <v>-365</v>
      </c>
    </row>
    <row r="196">
      <c r="A196">
        <f>I196&amp;"-"&amp;J196</f>
        <v/>
      </c>
      <c r="B196" s="1">
        <f>N196</f>
        <v/>
      </c>
      <c r="C196">
        <f>M196&amp;"/"&amp;O196</f>
        <v/>
      </c>
      <c r="D196">
        <f>K196</f>
        <v/>
      </c>
      <c r="E196">
        <f>L196</f>
        <v/>
      </c>
      <c r="F196" s="236">
        <f>Z196</f>
        <v/>
      </c>
      <c r="G196">
        <f>U196&amp;"%"</f>
        <v/>
      </c>
      <c r="I196" s="53" t="n">
        <v>2022</v>
      </c>
      <c r="J196" s="53" t="n">
        <v>195</v>
      </c>
      <c r="K196" s="71" t="inlineStr">
        <is>
          <t>Ausgaben</t>
        </is>
      </c>
      <c r="L196" t="inlineStr">
        <is>
          <t>Miet- und Pachtaufwand, Leasing</t>
        </is>
      </c>
      <c r="M196" s="9" t="n"/>
      <c r="N196" s="1" t="n">
        <v>44911</v>
      </c>
      <c r="O196" t="inlineStr">
        <is>
          <t>Bontus Immobilienverwaltung GmbH, 1010 Wien, Franz Josefs Kai 65</t>
        </is>
      </c>
      <c r="Q196" s="76" t="n"/>
      <c r="R196" t="b">
        <v>0</v>
      </c>
      <c r="S196" s="214" t="n">
        <v>161.59</v>
      </c>
      <c r="T196" s="159" t="n">
        <v>1</v>
      </c>
      <c r="U196" t="n">
        <v>0</v>
      </c>
      <c r="V196" s="237" t="n">
        <v>0</v>
      </c>
      <c r="W196" s="237" t="n">
        <v>0</v>
      </c>
      <c r="X196" s="208" t="n">
        <v>161.59</v>
      </c>
      <c r="Y196" s="251" t="n">
        <v>161.59</v>
      </c>
      <c r="Z196" s="251" t="n">
        <v>161.59</v>
      </c>
      <c r="AA196" s="35" t="n">
        <v>44972</v>
      </c>
      <c r="AB196" s="27" t="n"/>
      <c r="AC196" s="27" t="n"/>
      <c r="AD196" s="210" t="n">
        <v>161.59</v>
      </c>
      <c r="AE196" s="237" t="n">
        <v>0</v>
      </c>
      <c r="AF196" t="b">
        <v>0</v>
      </c>
      <c r="AG196" s="228" t="n">
        <v>-161.59</v>
      </c>
    </row>
    <row r="197">
      <c r="A197">
        <f>I197&amp;"-"&amp;J197</f>
        <v/>
      </c>
      <c r="B197" s="1">
        <f>N197</f>
        <v/>
      </c>
      <c r="C197">
        <f>M197&amp;"/"&amp;O197</f>
        <v/>
      </c>
      <c r="D197">
        <f>K197</f>
        <v/>
      </c>
      <c r="E197">
        <f>L197</f>
        <v/>
      </c>
      <c r="F197" s="236">
        <f>Z197</f>
        <v/>
      </c>
      <c r="G197">
        <f>U197&amp;"%"</f>
        <v/>
      </c>
      <c r="I197" s="53" t="n">
        <v>2022</v>
      </c>
      <c r="J197" s="53" t="n">
        <v>196</v>
      </c>
      <c r="K197" s="71" t="inlineStr">
        <is>
          <t>Einnahmen</t>
        </is>
      </c>
      <c r="L197" t="inlineStr">
        <is>
          <t>Waren-/Leistungserlöse</t>
        </is>
      </c>
      <c r="M197" t="n">
        <v>168046740</v>
      </c>
      <c r="N197" s="1" t="n">
        <v>44911</v>
      </c>
      <c r="O197" t="inlineStr">
        <is>
          <t>Hays Österreich GmbH, Bahnhof City Wien West , Europaplatz 3/5, 1150 Wien</t>
        </is>
      </c>
      <c r="Q197" s="76" t="n"/>
      <c r="R197" t="b">
        <v>0</v>
      </c>
      <c r="S197" s="214" t="n">
        <v>12222</v>
      </c>
      <c r="T197" s="159" t="n">
        <v>1</v>
      </c>
      <c r="U197" t="n">
        <v>20</v>
      </c>
      <c r="V197" s="237" t="n">
        <v>2444.4</v>
      </c>
      <c r="W197" s="237" t="n">
        <v>2444.4</v>
      </c>
      <c r="X197" s="208" t="n">
        <v>12222</v>
      </c>
      <c r="Y197" s="251" t="n">
        <v>14666.4</v>
      </c>
      <c r="Z197" s="251" t="n">
        <v>14666.4</v>
      </c>
      <c r="AA197" s="35" t="n">
        <v>44972</v>
      </c>
      <c r="AB197" s="27" t="n"/>
      <c r="AC197" s="27" t="n"/>
      <c r="AD197" s="210" t="n">
        <v>12222</v>
      </c>
      <c r="AE197" s="237" t="n">
        <v>0</v>
      </c>
      <c r="AF197" t="b">
        <v>0</v>
      </c>
      <c r="AG197" s="228" t="n">
        <v>12222</v>
      </c>
    </row>
    <row r="198">
      <c r="A198">
        <f>I198&amp;"-"&amp;J198</f>
        <v/>
      </c>
      <c r="B198" s="1">
        <f>N198</f>
        <v/>
      </c>
      <c r="C198">
        <f>M198&amp;"/"&amp;O198</f>
        <v/>
      </c>
      <c r="D198">
        <f>K198</f>
        <v/>
      </c>
      <c r="E198">
        <f>L198</f>
        <v/>
      </c>
      <c r="F198" s="236">
        <f>Z198</f>
        <v/>
      </c>
      <c r="G198">
        <f>U198&amp;"%"</f>
        <v/>
      </c>
      <c r="I198" s="53" t="n">
        <v>2022</v>
      </c>
      <c r="J198" s="53" t="n">
        <v>197</v>
      </c>
      <c r="K198" s="71" t="inlineStr">
        <is>
          <t>Ausgaben</t>
        </is>
      </c>
      <c r="L198" t="inlineStr">
        <is>
          <t>Büromaterial</t>
        </is>
      </c>
      <c r="M198" s="9" t="inlineStr">
        <is>
          <t>AT2Q8NVIAEUI</t>
        </is>
      </c>
      <c r="N198" s="1" t="n">
        <v>44914</v>
      </c>
      <c r="O198" t="inlineStr">
        <is>
          <t>Amazon EU S. à r.l., 38 avenue John F. Kennedy, L-1855 Luxembourg: HJEU: DVI-HDMI, Logitech Maus</t>
        </is>
      </c>
      <c r="Q198" s="76" t="n"/>
      <c r="R198" t="b">
        <v>0</v>
      </c>
      <c r="S198" s="214" t="n">
        <v>16.8</v>
      </c>
      <c r="T198" s="159" t="n">
        <v>1</v>
      </c>
      <c r="U198" t="n">
        <v>20</v>
      </c>
      <c r="V198" s="237" t="n">
        <v>3.36</v>
      </c>
      <c r="W198" s="237" t="n">
        <v>3.36</v>
      </c>
      <c r="X198" s="208" t="n">
        <v>16.8</v>
      </c>
      <c r="Y198" s="251" t="n">
        <v>20.16</v>
      </c>
      <c r="Z198" s="251" t="n">
        <v>20.16</v>
      </c>
      <c r="AA198" s="35" t="n">
        <v>44972</v>
      </c>
      <c r="AB198" s="27" t="n"/>
      <c r="AC198" s="27" t="n"/>
      <c r="AD198" s="210" t="n">
        <v>16.8</v>
      </c>
      <c r="AE198" s="237" t="n">
        <v>0</v>
      </c>
      <c r="AF198" t="b">
        <v>0</v>
      </c>
      <c r="AG198" s="228" t="n">
        <v>-16.8</v>
      </c>
    </row>
    <row r="199">
      <c r="A199">
        <f>I199&amp;"-"&amp;J199</f>
        <v/>
      </c>
      <c r="B199" s="1">
        <f>N199</f>
        <v/>
      </c>
      <c r="C199">
        <f>M199&amp;"/"&amp;O199</f>
        <v/>
      </c>
      <c r="D199">
        <f>K199</f>
        <v/>
      </c>
      <c r="E199">
        <f>L199</f>
        <v/>
      </c>
      <c r="F199" s="236">
        <f>Z199</f>
        <v/>
      </c>
      <c r="G199">
        <f>U199&amp;"%"</f>
        <v/>
      </c>
      <c r="I199" s="53" t="n">
        <v>2022</v>
      </c>
      <c r="J199" s="53" t="n">
        <v>198</v>
      </c>
      <c r="K199" s="71" t="inlineStr">
        <is>
          <t>Ausgaben</t>
        </is>
      </c>
      <c r="L199" t="inlineStr">
        <is>
          <t>sonstige Betriebsausgaben</t>
        </is>
      </c>
      <c r="N199" s="1" t="n">
        <v>44914</v>
      </c>
      <c r="O199" t="inlineStr">
        <is>
          <t>Microsoft Ireland Operations Ltd. One Microsoft Place, South County, Business Park, Leopardstown, Dublin 18, D18 P521, Ireland</t>
        </is>
      </c>
      <c r="Q199" s="76" t="n"/>
      <c r="R199" t="b">
        <v>0</v>
      </c>
      <c r="S199" s="214" t="n">
        <v>10.5</v>
      </c>
      <c r="T199" s="159" t="n">
        <v>1</v>
      </c>
      <c r="U199" t="n">
        <v>0</v>
      </c>
      <c r="V199" s="237" t="n">
        <v>0</v>
      </c>
      <c r="W199" s="237" t="n">
        <v>0</v>
      </c>
      <c r="X199" s="208" t="n">
        <v>10.5</v>
      </c>
      <c r="Y199" s="251" t="n">
        <v>10.5</v>
      </c>
      <c r="Z199" s="251" t="n">
        <v>10.5</v>
      </c>
      <c r="AA199" s="35" t="n">
        <v>44972</v>
      </c>
      <c r="AB199" s="27" t="n"/>
      <c r="AC199" s="27" t="n">
        <v>20</v>
      </c>
      <c r="AD199" s="210" t="n">
        <v>10.5</v>
      </c>
      <c r="AE199" s="237" t="n">
        <v>2.1</v>
      </c>
      <c r="AF199" t="b">
        <v>0</v>
      </c>
      <c r="AG199" s="228" t="n">
        <v>-10.5</v>
      </c>
    </row>
    <row r="200">
      <c r="A200">
        <f>I200&amp;"-"&amp;J200</f>
        <v/>
      </c>
      <c r="B200" s="1">
        <f>N200</f>
        <v/>
      </c>
      <c r="C200">
        <f>M200&amp;"/"&amp;O200</f>
        <v/>
      </c>
      <c r="D200">
        <f>K200</f>
        <v/>
      </c>
      <c r="E200">
        <f>L200</f>
        <v/>
      </c>
      <c r="F200" s="236">
        <f>Z200</f>
        <v/>
      </c>
      <c r="G200">
        <f>U200&amp;"%"</f>
        <v/>
      </c>
      <c r="I200" s="53" t="n">
        <v>2022</v>
      </c>
      <c r="J200" s="53" t="n">
        <v>199</v>
      </c>
      <c r="K200" s="71" t="inlineStr">
        <is>
          <t>Ausgaben</t>
        </is>
      </c>
      <c r="L200" t="inlineStr">
        <is>
          <t>Telefon/Internet</t>
        </is>
      </c>
      <c r="M200" s="131" t="inlineStr">
        <is>
          <t>901153451222</t>
        </is>
      </c>
      <c r="N200" s="1" t="n">
        <v>44916</v>
      </c>
      <c r="O200" t="inlineStr">
        <is>
          <t>Magenta: T-Mobile Austria GmbH, A-1120 Wien, PF 47</t>
        </is>
      </c>
      <c r="Q200" s="76" t="n"/>
      <c r="R200" t="b">
        <v>0</v>
      </c>
      <c r="S200" s="214" t="n">
        <v>31.92</v>
      </c>
      <c r="T200" s="159" t="n">
        <v>1</v>
      </c>
      <c r="U200" t="n">
        <v>20</v>
      </c>
      <c r="V200" s="237" t="n">
        <v>6.384000000000001</v>
      </c>
      <c r="W200" s="237" t="n">
        <v>6.384000000000001</v>
      </c>
      <c r="X200" s="208" t="n">
        <v>31.92</v>
      </c>
      <c r="Y200" s="251" t="n">
        <v>38.304</v>
      </c>
      <c r="Z200" s="251" t="n">
        <v>38.304</v>
      </c>
      <c r="AA200" s="35" t="n">
        <v>44972</v>
      </c>
      <c r="AB200" s="27" t="n"/>
      <c r="AC200" s="27" t="n"/>
      <c r="AD200" s="210" t="n">
        <v>31.92</v>
      </c>
      <c r="AE200" s="237" t="n">
        <v>0</v>
      </c>
      <c r="AF200" t="b">
        <v>0</v>
      </c>
      <c r="AG200" s="228" t="n">
        <v>-31.92</v>
      </c>
    </row>
    <row r="201">
      <c r="A201">
        <f>I201&amp;"-"&amp;J201</f>
        <v/>
      </c>
      <c r="B201" s="1">
        <f>N201</f>
        <v/>
      </c>
      <c r="C201">
        <f>M201&amp;"/"&amp;O201</f>
        <v/>
      </c>
      <c r="D201">
        <f>K201</f>
        <v/>
      </c>
      <c r="E201">
        <f>L201</f>
        <v/>
      </c>
      <c r="F201" s="236">
        <f>Z201</f>
        <v/>
      </c>
      <c r="G201">
        <f>U201&amp;"%"</f>
        <v/>
      </c>
      <c r="I201" s="53" t="n">
        <v>2022</v>
      </c>
      <c r="J201" s="53" t="n">
        <v>200</v>
      </c>
      <c r="K201" s="71" t="inlineStr">
        <is>
          <t>Ausgaben</t>
        </is>
      </c>
      <c r="L201" t="inlineStr">
        <is>
          <t>sonstige Betriebsausgaben</t>
        </is>
      </c>
      <c r="M201" s="9" t="n"/>
      <c r="N201" s="1" t="n">
        <v>44918</v>
      </c>
      <c r="O201" t="inlineStr">
        <is>
          <t>Hetzner Online GmbH</t>
        </is>
      </c>
      <c r="Q201" s="76" t="n"/>
      <c r="R201" t="b">
        <v>0</v>
      </c>
      <c r="S201" s="214" t="n">
        <v>10</v>
      </c>
      <c r="T201" s="159" t="n">
        <v>1</v>
      </c>
      <c r="U201" t="n">
        <v>0</v>
      </c>
      <c r="V201" s="237" t="n">
        <v>0</v>
      </c>
      <c r="W201" s="237" t="n">
        <v>0</v>
      </c>
      <c r="X201" s="208" t="n">
        <v>10</v>
      </c>
      <c r="Y201" s="251" t="n">
        <v>10</v>
      </c>
      <c r="Z201" s="251" t="n">
        <v>10</v>
      </c>
      <c r="AA201" s="35" t="n">
        <v>44972</v>
      </c>
      <c r="AB201" s="27" t="n"/>
      <c r="AC201" s="27" t="n">
        <v>20</v>
      </c>
      <c r="AD201" s="210" t="n">
        <v>10</v>
      </c>
      <c r="AE201" s="237" t="n">
        <v>2</v>
      </c>
      <c r="AF201" t="b">
        <v>0</v>
      </c>
      <c r="AG201" s="228" t="n">
        <v>-10</v>
      </c>
    </row>
    <row r="202">
      <c r="A202">
        <f>I202&amp;"-"&amp;J202</f>
        <v/>
      </c>
      <c r="B202" s="1">
        <f>N202</f>
        <v/>
      </c>
      <c r="C202">
        <f>M202&amp;"/"&amp;O202</f>
        <v/>
      </c>
      <c r="D202">
        <f>K202</f>
        <v/>
      </c>
      <c r="E202">
        <f>L202</f>
        <v/>
      </c>
      <c r="F202" s="236">
        <f>Z202</f>
        <v/>
      </c>
      <c r="G202">
        <f>U202&amp;"%"</f>
        <v/>
      </c>
      <c r="I202" s="53" t="n">
        <v>2022</v>
      </c>
      <c r="J202" s="53" t="n">
        <v>201</v>
      </c>
      <c r="K202" s="71" t="inlineStr">
        <is>
          <t>Ausgaben</t>
        </is>
      </c>
      <c r="L202" t="inlineStr">
        <is>
          <t>sonstige Betriebsausgaben</t>
        </is>
      </c>
      <c r="M202" s="61" t="inlineStr">
        <is>
          <t>BELEG FEHLT</t>
        </is>
      </c>
      <c r="N202" s="1" t="n">
        <v>44922</v>
      </c>
      <c r="O202" t="inlineStr">
        <is>
          <t>Wiener Netze GmbH, Erdbergstraße 236, 1110 Wien, Postfach 422; Jahresabrechnung vom 17.12.20: GUTSCHRIFT</t>
        </is>
      </c>
      <c r="Q202" s="76" t="n"/>
      <c r="R202" t="b">
        <v>0</v>
      </c>
      <c r="S202" s="214" t="n">
        <v>6.15</v>
      </c>
      <c r="T202" s="159" t="n">
        <v>1</v>
      </c>
      <c r="U202" t="n">
        <v>20</v>
      </c>
      <c r="V202" s="237" t="n">
        <v>1.23</v>
      </c>
      <c r="W202" s="237" t="n">
        <v>1.23</v>
      </c>
      <c r="X202" s="208" t="n">
        <v>6.15</v>
      </c>
      <c r="Y202" s="251" t="n">
        <v>7.380000000000001</v>
      </c>
      <c r="Z202" s="251" t="n">
        <v>7.380000000000001</v>
      </c>
      <c r="AA202" s="35" t="n">
        <v>44972</v>
      </c>
      <c r="AB202" s="27" t="n"/>
      <c r="AC202" s="27" t="n"/>
      <c r="AD202" s="210" t="n">
        <v>6.15</v>
      </c>
      <c r="AE202" s="237" t="n">
        <v>0</v>
      </c>
      <c r="AF202" t="b">
        <v>0</v>
      </c>
      <c r="AG202" s="228" t="n">
        <v>-6.15</v>
      </c>
    </row>
    <row r="203">
      <c r="A203">
        <f>I203&amp;"-"&amp;J203</f>
        <v/>
      </c>
      <c r="B203" s="1">
        <f>N203</f>
        <v/>
      </c>
      <c r="C203">
        <f>M203&amp;"/"&amp;O203</f>
        <v/>
      </c>
      <c r="D203">
        <f>K203</f>
        <v/>
      </c>
      <c r="E203">
        <f>L203</f>
        <v/>
      </c>
      <c r="F203" s="236">
        <f>Z203</f>
        <v/>
      </c>
      <c r="G203">
        <f>U203&amp;"%"</f>
        <v/>
      </c>
      <c r="I203" s="53" t="n">
        <v>2022</v>
      </c>
      <c r="J203" s="53" t="n">
        <v>202</v>
      </c>
      <c r="K203" s="71" t="inlineStr">
        <is>
          <t>Ausgaben</t>
        </is>
      </c>
      <c r="L203" t="inlineStr">
        <is>
          <t>Pflichversicherungsbeiträge</t>
        </is>
      </c>
      <c r="M203" s="9" t="inlineStr">
        <is>
          <t>1561270283</t>
        </is>
      </c>
      <c r="N203" s="1" t="n">
        <v>44924</v>
      </c>
      <c r="O203" t="inlineStr">
        <is>
          <t>Sozialversicherung der gewerblichen Wirtshaft</t>
        </is>
      </c>
      <c r="Q203" s="76" t="n"/>
      <c r="R203" t="b">
        <v>0</v>
      </c>
      <c r="S203" s="214" t="n">
        <v>15000</v>
      </c>
      <c r="T203" s="159" t="n">
        <v>1</v>
      </c>
      <c r="U203" t="n">
        <v>0</v>
      </c>
      <c r="V203" s="237" t="n">
        <v>0</v>
      </c>
      <c r="W203" s="237" t="n">
        <v>0</v>
      </c>
      <c r="X203" s="208" t="n">
        <v>15000</v>
      </c>
      <c r="Y203" s="251" t="n">
        <v>15000</v>
      </c>
      <c r="Z203" s="251" t="n">
        <v>15000</v>
      </c>
      <c r="AA203" s="35" t="n">
        <v>44972</v>
      </c>
      <c r="AB203" s="27" t="n"/>
      <c r="AC203" s="27" t="n"/>
      <c r="AD203" s="210" t="n">
        <v>15000</v>
      </c>
      <c r="AE203" s="237" t="n">
        <v>0</v>
      </c>
      <c r="AF203" t="b">
        <v>0</v>
      </c>
      <c r="AG203" s="228" t="n">
        <v>-15000</v>
      </c>
    </row>
    <row r="204">
      <c r="A204">
        <f>I204&amp;"-"&amp;J204</f>
        <v/>
      </c>
      <c r="B204" s="1">
        <f>N204</f>
        <v/>
      </c>
      <c r="C204">
        <f>M204&amp;"/"&amp;O204</f>
        <v/>
      </c>
      <c r="D204">
        <f>K204</f>
        <v/>
      </c>
      <c r="E204">
        <f>L204</f>
        <v/>
      </c>
      <c r="F204" s="236">
        <f>Z204</f>
        <v/>
      </c>
      <c r="G204">
        <f>U204&amp;"%"</f>
        <v/>
      </c>
      <c r="I204" s="53" t="n">
        <v>2022</v>
      </c>
      <c r="J204" s="53" t="n">
        <v>203</v>
      </c>
      <c r="K204" s="71" t="inlineStr">
        <is>
          <t>Ausgaben</t>
        </is>
      </c>
      <c r="L204" t="inlineStr">
        <is>
          <t>Lizenzgebühren</t>
        </is>
      </c>
      <c r="M204" s="6" t="n"/>
      <c r="N204" s="1" t="n">
        <v>44926</v>
      </c>
      <c r="O204" s="154" t="inlineStr">
        <is>
          <t>STORNO Adobe Systems Software Ireland Ltd., 4-6 Riverwalk, Citywest Business Park, Dublin 24, Ireland, VAT ID IE6364992H</t>
        </is>
      </c>
      <c r="Q204" s="76" t="n"/>
      <c r="S204" s="214" t="n">
        <v>-20.28</v>
      </c>
      <c r="T204" s="159" t="n">
        <v>1</v>
      </c>
      <c r="U204" t="n">
        <v>0</v>
      </c>
      <c r="V204" s="237" t="n">
        <v>0</v>
      </c>
      <c r="W204" s="237" t="n">
        <v>0</v>
      </c>
      <c r="X204" s="208" t="n">
        <v>-20.28</v>
      </c>
      <c r="Y204" s="251" t="n">
        <v>-20.28</v>
      </c>
      <c r="Z204" s="251" t="n">
        <v>-20.28</v>
      </c>
      <c r="AA204" s="35" t="n">
        <v>44972</v>
      </c>
      <c r="AB204" s="27" t="n"/>
      <c r="AC204" s="27" t="n"/>
      <c r="AD204" s="210" t="n">
        <v>-20.28</v>
      </c>
      <c r="AE204" s="237" t="n">
        <v>0</v>
      </c>
      <c r="AF204" t="b">
        <v>0</v>
      </c>
      <c r="AG204" s="228" t="n">
        <v>20.28</v>
      </c>
    </row>
    <row r="205">
      <c r="A205">
        <f>I205&amp;"-"&amp;J205</f>
        <v/>
      </c>
      <c r="B205" s="1">
        <f>N205</f>
        <v/>
      </c>
      <c r="C205">
        <f>M205&amp;"/"&amp;O205</f>
        <v/>
      </c>
      <c r="D205">
        <f>K205</f>
        <v/>
      </c>
      <c r="E205">
        <f>L205</f>
        <v/>
      </c>
      <c r="F205" s="236">
        <f>Z205</f>
        <v/>
      </c>
      <c r="G205">
        <f>U205&amp;"%"</f>
        <v/>
      </c>
      <c r="I205" s="53" t="n">
        <v>2022</v>
      </c>
      <c r="J205" s="53" t="n">
        <v>204</v>
      </c>
      <c r="K205" s="71" t="inlineStr">
        <is>
          <t>Ausgaben</t>
        </is>
      </c>
      <c r="L205" t="inlineStr">
        <is>
          <t>Reise- und Fahrtspesen inkl. Kilometergeld und Diäten</t>
        </is>
      </c>
      <c r="M205" s="9" t="n"/>
      <c r="N205" s="1" t="n">
        <v>44926</v>
      </c>
      <c r="O205" s="154" t="inlineStr">
        <is>
          <t>STORNO car2go Österreich GmbH, Hintere Zollamtstraße 9, 1030 Wien</t>
        </is>
      </c>
      <c r="Q205" s="76" t="n"/>
      <c r="S205" s="214" t="n">
        <v>-18.98</v>
      </c>
      <c r="T205" s="159" t="n">
        <v>1</v>
      </c>
      <c r="U205" t="n">
        <v>20</v>
      </c>
      <c r="V205" s="237" t="n">
        <v>-3.796</v>
      </c>
      <c r="W205" s="237" t="n">
        <v>-3.796</v>
      </c>
      <c r="X205" s="208" t="n">
        <v>-18.98</v>
      </c>
      <c r="Y205" s="251" t="n">
        <v>-22.776</v>
      </c>
      <c r="Z205" s="251" t="n">
        <v>-22.776</v>
      </c>
      <c r="AA205" s="35" t="n">
        <v>44972</v>
      </c>
      <c r="AB205" s="27" t="n"/>
      <c r="AC205" s="27" t="n"/>
      <c r="AD205" s="210" t="n">
        <v>-18.98</v>
      </c>
      <c r="AE205" s="237" t="n">
        <v>0</v>
      </c>
      <c r="AF205" t="b">
        <v>0</v>
      </c>
      <c r="AG205" s="228" t="n">
        <v>18.98</v>
      </c>
    </row>
    <row r="206">
      <c r="A206">
        <f>I206&amp;"-"&amp;J206</f>
        <v/>
      </c>
      <c r="B206" s="1">
        <f>N206</f>
        <v/>
      </c>
      <c r="C206">
        <f>M206&amp;"/"&amp;O206</f>
        <v/>
      </c>
      <c r="D206">
        <f>K206</f>
        <v/>
      </c>
      <c r="E206">
        <f>L206</f>
        <v/>
      </c>
      <c r="F206" s="236">
        <f>Z206</f>
        <v/>
      </c>
      <c r="G206">
        <f>U206&amp;"%"</f>
        <v/>
      </c>
      <c r="I206" s="53" t="n">
        <v>2022</v>
      </c>
      <c r="J206" s="53" t="n">
        <v>205</v>
      </c>
      <c r="K206" s="71" t="inlineStr">
        <is>
          <t>Ausgaben</t>
        </is>
      </c>
      <c r="L206" t="inlineStr">
        <is>
          <t>sonstige Betriebsausgaben</t>
        </is>
      </c>
      <c r="M206" s="9" t="n"/>
      <c r="N206" s="1" t="n">
        <v>44926</v>
      </c>
      <c r="O206" s="154" t="inlineStr">
        <is>
          <t>STORNO Google Ireland Ltd, Gordon House, Barrow Street, Dublin 4, Ireland; VAT number: IE 6388047V</t>
        </is>
      </c>
      <c r="Q206" s="76" t="n"/>
      <c r="S206" s="214" t="n">
        <v>-9.359999999999999</v>
      </c>
      <c r="T206" s="159" t="n">
        <v>1</v>
      </c>
      <c r="U206" t="n">
        <v>0</v>
      </c>
      <c r="V206" s="237" t="n">
        <v>0</v>
      </c>
      <c r="W206" s="237" t="n">
        <v>0</v>
      </c>
      <c r="X206" s="208" t="n">
        <v>-9.359999999999999</v>
      </c>
      <c r="Y206" s="251" t="n">
        <v>-9.359999999999999</v>
      </c>
      <c r="Z206" s="251" t="n">
        <v>-9.359999999999999</v>
      </c>
      <c r="AA206" s="35" t="n">
        <v>44972</v>
      </c>
      <c r="AB206" s="27" t="n"/>
      <c r="AC206" s="27" t="n"/>
      <c r="AD206" s="210" t="n">
        <v>-9.359999999999999</v>
      </c>
      <c r="AE206" s="237" t="n">
        <v>0</v>
      </c>
      <c r="AF206" t="b">
        <v>0</v>
      </c>
      <c r="AG206" s="228" t="n">
        <v>9.359999999999999</v>
      </c>
    </row>
    <row r="207">
      <c r="A207">
        <f>I207&amp;"-"&amp;J207</f>
        <v/>
      </c>
      <c r="B207" s="1">
        <f>N207</f>
        <v/>
      </c>
      <c r="C207">
        <f>M207&amp;"/"&amp;O207</f>
        <v/>
      </c>
      <c r="D207">
        <f>K207</f>
        <v/>
      </c>
      <c r="E207">
        <f>L207</f>
        <v/>
      </c>
      <c r="F207" s="236">
        <f>Z207</f>
        <v/>
      </c>
      <c r="G207">
        <f>U207&amp;"%"</f>
        <v/>
      </c>
      <c r="I207" s="53" t="n">
        <v>2022</v>
      </c>
      <c r="J207" s="53" t="n">
        <v>206</v>
      </c>
      <c r="K207" s="71" t="inlineStr">
        <is>
          <t>Ausgaben</t>
        </is>
      </c>
      <c r="L207" t="inlineStr">
        <is>
          <t>Miet- und Pachtaufwand, Leasing</t>
        </is>
      </c>
      <c r="M207" s="9" t="n"/>
      <c r="N207" s="1" t="n">
        <v>44926</v>
      </c>
      <c r="O207" s="154" t="inlineStr">
        <is>
          <t>STORNO Bontus Immobilienverwaltung GmbH, 1010 Wien, Franz Josefs Kai 65</t>
        </is>
      </c>
      <c r="Q207" s="76" t="n"/>
      <c r="S207" s="214" t="n">
        <v>-505.65</v>
      </c>
      <c r="T207" s="159" t="n">
        <v>1</v>
      </c>
      <c r="U207" t="n">
        <v>20</v>
      </c>
      <c r="V207" s="237" t="n">
        <v>-101.13</v>
      </c>
      <c r="W207" s="237" t="n">
        <v>-101.13</v>
      </c>
      <c r="X207" s="208" t="n">
        <v>-505.65</v>
      </c>
      <c r="Y207" s="251" t="n">
        <v>-606.78</v>
      </c>
      <c r="Z207" s="251" t="n">
        <v>-606.78</v>
      </c>
      <c r="AA207" s="35" t="n">
        <v>44972</v>
      </c>
      <c r="AB207" s="27" t="n"/>
      <c r="AC207" s="27" t="n"/>
      <c r="AD207" s="210" t="n">
        <v>-505.65</v>
      </c>
      <c r="AE207" s="237" t="n">
        <v>0</v>
      </c>
      <c r="AF207" t="b">
        <v>0</v>
      </c>
      <c r="AG207" s="228" t="n">
        <v>505.65</v>
      </c>
    </row>
    <row r="208">
      <c r="A208">
        <f>I208&amp;"-"&amp;J208</f>
        <v/>
      </c>
      <c r="B208" s="1">
        <f>N208</f>
        <v/>
      </c>
      <c r="C208">
        <f>M208&amp;"/"&amp;O208</f>
        <v/>
      </c>
      <c r="D208">
        <f>K208</f>
        <v/>
      </c>
      <c r="E208">
        <f>L208</f>
        <v/>
      </c>
      <c r="F208" s="236">
        <f>Z208</f>
        <v/>
      </c>
      <c r="G208">
        <f>U208&amp;"%"</f>
        <v/>
      </c>
      <c r="I208" s="53" t="n">
        <v>2022</v>
      </c>
      <c r="J208" s="53" t="n">
        <v>207</v>
      </c>
      <c r="K208" s="71" t="inlineStr">
        <is>
          <t>Ausgaben</t>
        </is>
      </c>
      <c r="L208" t="inlineStr">
        <is>
          <t>Telefon/Internet</t>
        </is>
      </c>
      <c r="M208" s="9" t="n"/>
      <c r="N208" s="1" t="n">
        <v>44926</v>
      </c>
      <c r="O208" s="154" t="inlineStr">
        <is>
          <t>STORNO Hutchison Drei Austria GmbH, Brünner Straße 52, 1210 Wien, Österreich</t>
        </is>
      </c>
      <c r="Q208" s="76" t="n"/>
      <c r="S208" s="214" t="n">
        <v>-15</v>
      </c>
      <c r="T208" s="159" t="n">
        <v>1</v>
      </c>
      <c r="U208" t="n">
        <v>20</v>
      </c>
      <c r="V208" s="237" t="n">
        <v>-3</v>
      </c>
      <c r="W208" s="237" t="n">
        <v>-3</v>
      </c>
      <c r="X208" s="208" t="n">
        <v>-15</v>
      </c>
      <c r="Y208" s="251" t="n">
        <v>-18</v>
      </c>
      <c r="Z208" s="251" t="n">
        <v>-18</v>
      </c>
      <c r="AA208" s="35" t="n">
        <v>44972</v>
      </c>
      <c r="AB208" s="27" t="n"/>
      <c r="AC208" s="27" t="n"/>
      <c r="AD208" s="210" t="n">
        <v>-15</v>
      </c>
      <c r="AE208" s="237" t="n">
        <v>0</v>
      </c>
      <c r="AF208" t="b">
        <v>0</v>
      </c>
      <c r="AG208" s="228" t="n">
        <v>15</v>
      </c>
    </row>
    <row r="209">
      <c r="A209">
        <f>I209&amp;"-"&amp;J209</f>
        <v/>
      </c>
      <c r="B209" s="1">
        <f>N209</f>
        <v/>
      </c>
      <c r="C209">
        <f>M209&amp;"/"&amp;O209</f>
        <v/>
      </c>
      <c r="D209">
        <f>K209</f>
        <v/>
      </c>
      <c r="E209">
        <f>L209</f>
        <v/>
      </c>
      <c r="F209" s="236">
        <f>Z209</f>
        <v/>
      </c>
      <c r="G209">
        <f>U209&amp;"%"</f>
        <v/>
      </c>
      <c r="I209" s="53" t="n">
        <v>2022</v>
      </c>
      <c r="J209" s="53" t="n">
        <v>208</v>
      </c>
      <c r="K209" s="71" t="inlineStr">
        <is>
          <t>Ausgaben</t>
        </is>
      </c>
      <c r="L209" t="inlineStr">
        <is>
          <t>Büromaterial</t>
        </is>
      </c>
      <c r="M209" s="9" t="inlineStr">
        <is>
          <t>071149</t>
        </is>
      </c>
      <c r="N209" s="1" t="n">
        <v>44909</v>
      </c>
      <c r="O209" t="inlineStr">
        <is>
          <t>"Libro" PL Handelsgesellschaft mbH, 1080 Wien, Josefstädter Straße 105, ATU 56240311 (aus 2023 verschoben - 2023-25)</t>
        </is>
      </c>
      <c r="Q209" s="76" t="n"/>
      <c r="R209" t="b">
        <v>0</v>
      </c>
      <c r="S209" s="214" t="n">
        <v>7.233333333333333</v>
      </c>
      <c r="T209" s="159" t="n">
        <v>1</v>
      </c>
      <c r="U209" t="n">
        <v>20</v>
      </c>
      <c r="V209" s="237" t="n">
        <v>1.446666666666667</v>
      </c>
      <c r="W209" s="237" t="n">
        <v>1.446666666666667</v>
      </c>
      <c r="X209" s="208" t="n">
        <v>7.233333333333333</v>
      </c>
      <c r="Y209" s="251" t="n">
        <v>8.68</v>
      </c>
      <c r="Z209" s="251" t="n">
        <v>8.68</v>
      </c>
      <c r="AA209" s="35" t="n">
        <v>44972</v>
      </c>
      <c r="AB209" s="27" t="n"/>
      <c r="AC209" s="27" t="n"/>
      <c r="AD209" s="210" t="n">
        <v>7.233333333333333</v>
      </c>
      <c r="AE209" s="237" t="n">
        <v>0</v>
      </c>
      <c r="AF209" t="b">
        <v>0</v>
      </c>
      <c r="AG209" s="228" t="n">
        <v>-7.233333333333333</v>
      </c>
    </row>
    <row r="210">
      <c r="F210" s="236" t="n"/>
    </row>
    <row r="211">
      <c r="F211" s="236" t="n"/>
    </row>
    <row r="212">
      <c r="F212" s="236" t="n"/>
    </row>
    <row r="213">
      <c r="F213" s="236" t="n"/>
    </row>
    <row r="214">
      <c r="F214" s="236" t="n"/>
    </row>
    <row r="215">
      <c r="F215" s="236" t="n"/>
    </row>
    <row r="216">
      <c r="F216" s="236" t="n"/>
    </row>
    <row r="217">
      <c r="F217" s="236" t="n"/>
    </row>
    <row r="218">
      <c r="F218" s="236" t="n"/>
    </row>
    <row r="219">
      <c r="F219" s="236" t="n"/>
    </row>
    <row r="220">
      <c r="F220" s="236" t="n"/>
    </row>
    <row r="221">
      <c r="F221" s="236" t="n"/>
    </row>
  </sheetData>
  <autoFilter ref="A1:XEK221"/>
  <conditionalFormatting sqref="D1">
    <cfRule type="containsText" priority="6533" operator="containsText" dxfId="1" text="Einnahmen">
      <formula>NOT(ISERROR(SEARCH("Einnahmen",D1)))</formula>
    </cfRule>
    <cfRule type="containsText" priority="6534" operator="containsText" dxfId="0" text="Ausgaben">
      <formula>NOT(ISERROR(SEARCH("Ausgaben",D1)))</formula>
    </cfRule>
  </conditionalFormatting>
  <conditionalFormatting sqref="B1">
    <cfRule type="expression" priority="6532" dxfId="2">
      <formula>ISBLANK(#REF!)</formula>
    </cfRule>
  </conditionalFormatting>
  <conditionalFormatting sqref="K36 K42 K47 K66 K68 K83 K98:K99">
    <cfRule type="containsText" priority="1656" operator="containsText" dxfId="1" text="Einnahmen">
      <formula>NOT(ISERROR(SEARCH("Einnahmen",K36)))</formula>
    </cfRule>
    <cfRule type="containsText" priority="1657" operator="containsText" dxfId="0" text="Ausgaben">
      <formula>NOT(ISERROR(SEARCH("Ausgaben",K36)))</formula>
    </cfRule>
  </conditionalFormatting>
  <conditionalFormatting sqref="K2">
    <cfRule type="containsText" priority="1654" operator="containsText" dxfId="1" text="Einnahmen">
      <formula>NOT(ISERROR(SEARCH("Einnahmen",K2)))</formula>
    </cfRule>
    <cfRule type="containsText" priority="1655" operator="containsText" dxfId="0" text="Ausgaben">
      <formula>NOT(ISERROR(SEARCH("Ausgaben",K2)))</formula>
    </cfRule>
  </conditionalFormatting>
  <conditionalFormatting sqref="K3">
    <cfRule type="containsText" priority="1652" operator="containsText" dxfId="1" text="Einnahmen">
      <formula>NOT(ISERROR(SEARCH("Einnahmen",K3)))</formula>
    </cfRule>
    <cfRule type="containsText" priority="1653" operator="containsText" dxfId="0" text="Ausgaben">
      <formula>NOT(ISERROR(SEARCH("Ausgaben",K3)))</formula>
    </cfRule>
  </conditionalFormatting>
  <conditionalFormatting sqref="K4">
    <cfRule type="containsText" priority="1650" operator="containsText" dxfId="1" text="Einnahmen">
      <formula>NOT(ISERROR(SEARCH("Einnahmen",K4)))</formula>
    </cfRule>
    <cfRule type="containsText" priority="1651" operator="containsText" dxfId="0" text="Ausgaben">
      <formula>NOT(ISERROR(SEARCH("Ausgaben",K4)))</formula>
    </cfRule>
  </conditionalFormatting>
  <conditionalFormatting sqref="K5">
    <cfRule type="containsText" priority="1648" operator="containsText" dxfId="1" text="Einnahmen">
      <formula>NOT(ISERROR(SEARCH("Einnahmen",K5)))</formula>
    </cfRule>
    <cfRule type="containsText" priority="1649" operator="containsText" dxfId="0" text="Ausgaben">
      <formula>NOT(ISERROR(SEARCH("Ausgaben",K5)))</formula>
    </cfRule>
  </conditionalFormatting>
  <conditionalFormatting sqref="K6">
    <cfRule type="containsText" priority="1646" operator="containsText" dxfId="1" text="Einnahmen">
      <formula>NOT(ISERROR(SEARCH("Einnahmen",K6)))</formula>
    </cfRule>
    <cfRule type="containsText" priority="1647" operator="containsText" dxfId="0" text="Ausgaben">
      <formula>NOT(ISERROR(SEARCH("Ausgaben",K6)))</formula>
    </cfRule>
  </conditionalFormatting>
  <conditionalFormatting sqref="K7">
    <cfRule type="containsText" priority="1644" operator="containsText" dxfId="1" text="Einnahmen">
      <formula>NOT(ISERROR(SEARCH("Einnahmen",K7)))</formula>
    </cfRule>
    <cfRule type="containsText" priority="1645" operator="containsText" dxfId="0" text="Ausgaben">
      <formula>NOT(ISERROR(SEARCH("Ausgaben",K7)))</formula>
    </cfRule>
  </conditionalFormatting>
  <conditionalFormatting sqref="K8">
    <cfRule type="containsText" priority="1642" operator="containsText" dxfId="1" text="Einnahmen">
      <formula>NOT(ISERROR(SEARCH("Einnahmen",K8)))</formula>
    </cfRule>
    <cfRule type="containsText" priority="1643" operator="containsText" dxfId="0" text="Ausgaben">
      <formula>NOT(ISERROR(SEARCH("Ausgaben",K8)))</formula>
    </cfRule>
  </conditionalFormatting>
  <conditionalFormatting sqref="K9">
    <cfRule type="containsText" priority="1640" operator="containsText" dxfId="1" text="Einnahmen">
      <formula>NOT(ISERROR(SEARCH("Einnahmen",K9)))</formula>
    </cfRule>
    <cfRule type="containsText" priority="1641" operator="containsText" dxfId="0" text="Ausgaben">
      <formula>NOT(ISERROR(SEARCH("Ausgaben",K9)))</formula>
    </cfRule>
  </conditionalFormatting>
  <conditionalFormatting sqref="K10">
    <cfRule type="containsText" priority="1638" operator="containsText" dxfId="1" text="Einnahmen">
      <formula>NOT(ISERROR(SEARCH("Einnahmen",K10)))</formula>
    </cfRule>
    <cfRule type="containsText" priority="1639" operator="containsText" dxfId="0" text="Ausgaben">
      <formula>NOT(ISERROR(SEARCH("Ausgaben",K10)))</formula>
    </cfRule>
  </conditionalFormatting>
  <conditionalFormatting sqref="K11">
    <cfRule type="containsText" priority="1636" operator="containsText" dxfId="1" text="Einnahmen">
      <formula>NOT(ISERROR(SEARCH("Einnahmen",K11)))</formula>
    </cfRule>
    <cfRule type="containsText" priority="1637" operator="containsText" dxfId="0" text="Ausgaben">
      <formula>NOT(ISERROR(SEARCH("Ausgaben",K11)))</formula>
    </cfRule>
  </conditionalFormatting>
  <conditionalFormatting sqref="K12">
    <cfRule type="containsText" priority="1634" operator="containsText" dxfId="1" text="Einnahmen">
      <formula>NOT(ISERROR(SEARCH("Einnahmen",K12)))</formula>
    </cfRule>
    <cfRule type="containsText" priority="1635" operator="containsText" dxfId="0" text="Ausgaben">
      <formula>NOT(ISERROR(SEARCH("Ausgaben",K12)))</formula>
    </cfRule>
  </conditionalFormatting>
  <conditionalFormatting sqref="K13">
    <cfRule type="containsText" priority="1632" operator="containsText" dxfId="1" text="Einnahmen">
      <formula>NOT(ISERROR(SEARCH("Einnahmen",K13)))</formula>
    </cfRule>
    <cfRule type="containsText" priority="1633" operator="containsText" dxfId="0" text="Ausgaben">
      <formula>NOT(ISERROR(SEARCH("Ausgaben",K13)))</formula>
    </cfRule>
  </conditionalFormatting>
  <conditionalFormatting sqref="K14">
    <cfRule type="containsText" priority="1630" operator="containsText" dxfId="1" text="Einnahmen">
      <formula>NOT(ISERROR(SEARCH("Einnahmen",K14)))</formula>
    </cfRule>
    <cfRule type="containsText" priority="1631" operator="containsText" dxfId="0" text="Ausgaben">
      <formula>NOT(ISERROR(SEARCH("Ausgaben",K14)))</formula>
    </cfRule>
  </conditionalFormatting>
  <conditionalFormatting sqref="K15">
    <cfRule type="containsText" priority="1628" operator="containsText" dxfId="1" text="Einnahmen">
      <formula>NOT(ISERROR(SEARCH("Einnahmen",K15)))</formula>
    </cfRule>
    <cfRule type="containsText" priority="1629" operator="containsText" dxfId="0" text="Ausgaben">
      <formula>NOT(ISERROR(SEARCH("Ausgaben",K15)))</formula>
    </cfRule>
  </conditionalFormatting>
  <conditionalFormatting sqref="K16">
    <cfRule type="containsText" priority="1626" operator="containsText" dxfId="1" text="Einnahmen">
      <formula>NOT(ISERROR(SEARCH("Einnahmen",K16)))</formula>
    </cfRule>
    <cfRule type="containsText" priority="1627" operator="containsText" dxfId="0" text="Ausgaben">
      <formula>NOT(ISERROR(SEARCH("Ausgaben",K16)))</formula>
    </cfRule>
  </conditionalFormatting>
  <conditionalFormatting sqref="K17">
    <cfRule type="containsText" priority="1624" operator="containsText" dxfId="1" text="Einnahmen">
      <formula>NOT(ISERROR(SEARCH("Einnahmen",K17)))</formula>
    </cfRule>
    <cfRule type="containsText" priority="1625" operator="containsText" dxfId="0" text="Ausgaben">
      <formula>NOT(ISERROR(SEARCH("Ausgaben",K17)))</formula>
    </cfRule>
  </conditionalFormatting>
  <conditionalFormatting sqref="K18">
    <cfRule type="containsText" priority="1622" operator="containsText" dxfId="1" text="Einnahmen">
      <formula>NOT(ISERROR(SEARCH("Einnahmen",K18)))</formula>
    </cfRule>
    <cfRule type="containsText" priority="1623" operator="containsText" dxfId="0" text="Ausgaben">
      <formula>NOT(ISERROR(SEARCH("Ausgaben",K18)))</formula>
    </cfRule>
  </conditionalFormatting>
  <conditionalFormatting sqref="K19">
    <cfRule type="containsText" priority="1620" operator="containsText" dxfId="1" text="Einnahmen">
      <formula>NOT(ISERROR(SEARCH("Einnahmen",K19)))</formula>
    </cfRule>
    <cfRule type="containsText" priority="1621" operator="containsText" dxfId="0" text="Ausgaben">
      <formula>NOT(ISERROR(SEARCH("Ausgaben",K19)))</formula>
    </cfRule>
  </conditionalFormatting>
  <conditionalFormatting sqref="K20">
    <cfRule type="containsText" priority="1618" operator="containsText" dxfId="1" text="Einnahmen">
      <formula>NOT(ISERROR(SEARCH("Einnahmen",K20)))</formula>
    </cfRule>
    <cfRule type="containsText" priority="1619" operator="containsText" dxfId="0" text="Ausgaben">
      <formula>NOT(ISERROR(SEARCH("Ausgaben",K20)))</formula>
    </cfRule>
  </conditionalFormatting>
  <conditionalFormatting sqref="K21">
    <cfRule type="containsText" priority="1616" operator="containsText" dxfId="1" text="Einnahmen">
      <formula>NOT(ISERROR(SEARCH("Einnahmen",K21)))</formula>
    </cfRule>
    <cfRule type="containsText" priority="1617" operator="containsText" dxfId="0" text="Ausgaben">
      <formula>NOT(ISERROR(SEARCH("Ausgaben",K21)))</formula>
    </cfRule>
  </conditionalFormatting>
  <conditionalFormatting sqref="K22">
    <cfRule type="containsText" priority="1614" operator="containsText" dxfId="1" text="Einnahmen">
      <formula>NOT(ISERROR(SEARCH("Einnahmen",K22)))</formula>
    </cfRule>
    <cfRule type="containsText" priority="1615" operator="containsText" dxfId="0" text="Ausgaben">
      <formula>NOT(ISERROR(SEARCH("Ausgaben",K22)))</formula>
    </cfRule>
  </conditionalFormatting>
  <conditionalFormatting sqref="K23">
    <cfRule type="containsText" priority="1612" operator="containsText" dxfId="1" text="Einnahmen">
      <formula>NOT(ISERROR(SEARCH("Einnahmen",K23)))</formula>
    </cfRule>
    <cfRule type="containsText" priority="1613" operator="containsText" dxfId="0" text="Ausgaben">
      <formula>NOT(ISERROR(SEARCH("Ausgaben",K23)))</formula>
    </cfRule>
  </conditionalFormatting>
  <conditionalFormatting sqref="K24">
    <cfRule type="containsText" priority="1610" operator="containsText" dxfId="1" text="Einnahmen">
      <formula>NOT(ISERROR(SEARCH("Einnahmen",K24)))</formula>
    </cfRule>
    <cfRule type="containsText" priority="1611" operator="containsText" dxfId="0" text="Ausgaben">
      <formula>NOT(ISERROR(SEARCH("Ausgaben",K24)))</formula>
    </cfRule>
  </conditionalFormatting>
  <conditionalFormatting sqref="K25">
    <cfRule type="containsText" priority="1608" operator="containsText" dxfId="1" text="Einnahmen">
      <formula>NOT(ISERROR(SEARCH("Einnahmen",K25)))</formula>
    </cfRule>
    <cfRule type="containsText" priority="1609" operator="containsText" dxfId="0" text="Ausgaben">
      <formula>NOT(ISERROR(SEARCH("Ausgaben",K25)))</formula>
    </cfRule>
  </conditionalFormatting>
  <conditionalFormatting sqref="K26">
    <cfRule type="containsText" priority="1606" operator="containsText" dxfId="1" text="Einnahmen">
      <formula>NOT(ISERROR(SEARCH("Einnahmen",K26)))</formula>
    </cfRule>
    <cfRule type="containsText" priority="1607" operator="containsText" dxfId="0" text="Ausgaben">
      <formula>NOT(ISERROR(SEARCH("Ausgaben",K26)))</formula>
    </cfRule>
  </conditionalFormatting>
  <conditionalFormatting sqref="K27">
    <cfRule type="containsText" priority="1604" operator="containsText" dxfId="1" text="Einnahmen">
      <formula>NOT(ISERROR(SEARCH("Einnahmen",K27)))</formula>
    </cfRule>
    <cfRule type="containsText" priority="1605" operator="containsText" dxfId="0" text="Ausgaben">
      <formula>NOT(ISERROR(SEARCH("Ausgaben",K27)))</formula>
    </cfRule>
  </conditionalFormatting>
  <conditionalFormatting sqref="K28">
    <cfRule type="containsText" priority="1602" operator="containsText" dxfId="1" text="Einnahmen">
      <formula>NOT(ISERROR(SEARCH("Einnahmen",K28)))</formula>
    </cfRule>
    <cfRule type="containsText" priority="1603" operator="containsText" dxfId="0" text="Ausgaben">
      <formula>NOT(ISERROR(SEARCH("Ausgaben",K28)))</formula>
    </cfRule>
  </conditionalFormatting>
  <conditionalFormatting sqref="K29">
    <cfRule type="containsText" priority="1600" operator="containsText" dxfId="1" text="Einnahmen">
      <formula>NOT(ISERROR(SEARCH("Einnahmen",K29)))</formula>
    </cfRule>
    <cfRule type="containsText" priority="1601" operator="containsText" dxfId="0" text="Ausgaben">
      <formula>NOT(ISERROR(SEARCH("Ausgaben",K29)))</formula>
    </cfRule>
  </conditionalFormatting>
  <conditionalFormatting sqref="K30">
    <cfRule type="containsText" priority="1598" operator="containsText" dxfId="1" text="Einnahmen">
      <formula>NOT(ISERROR(SEARCH("Einnahmen",K30)))</formula>
    </cfRule>
    <cfRule type="containsText" priority="1599" operator="containsText" dxfId="0" text="Ausgaben">
      <formula>NOT(ISERROR(SEARCH("Ausgaben",K30)))</formula>
    </cfRule>
  </conditionalFormatting>
  <conditionalFormatting sqref="K31">
    <cfRule type="containsText" priority="1596" operator="containsText" dxfId="1" text="Einnahmen">
      <formula>NOT(ISERROR(SEARCH("Einnahmen",K31)))</formula>
    </cfRule>
    <cfRule type="containsText" priority="1597" operator="containsText" dxfId="0" text="Ausgaben">
      <formula>NOT(ISERROR(SEARCH("Ausgaben",K31)))</formula>
    </cfRule>
  </conditionalFormatting>
  <conditionalFormatting sqref="K32">
    <cfRule type="containsText" priority="1594" operator="containsText" dxfId="1" text="Einnahmen">
      <formula>NOT(ISERROR(SEARCH("Einnahmen",K32)))</formula>
    </cfRule>
    <cfRule type="containsText" priority="1595" operator="containsText" dxfId="0" text="Ausgaben">
      <formula>NOT(ISERROR(SEARCH("Ausgaben",K32)))</formula>
    </cfRule>
  </conditionalFormatting>
  <conditionalFormatting sqref="K33">
    <cfRule type="containsText" priority="1592" operator="containsText" dxfId="1" text="Einnahmen">
      <formula>NOT(ISERROR(SEARCH("Einnahmen",K33)))</formula>
    </cfRule>
    <cfRule type="containsText" priority="1593" operator="containsText" dxfId="0" text="Ausgaben">
      <formula>NOT(ISERROR(SEARCH("Ausgaben",K33)))</formula>
    </cfRule>
  </conditionalFormatting>
  <conditionalFormatting sqref="K34">
    <cfRule type="containsText" priority="1590" operator="containsText" dxfId="1" text="Einnahmen">
      <formula>NOT(ISERROR(SEARCH("Einnahmen",K34)))</formula>
    </cfRule>
    <cfRule type="containsText" priority="1591" operator="containsText" dxfId="0" text="Ausgaben">
      <formula>NOT(ISERROR(SEARCH("Ausgaben",K34)))</formula>
    </cfRule>
  </conditionalFormatting>
  <conditionalFormatting sqref="K35">
    <cfRule type="containsText" priority="1588" operator="containsText" dxfId="1" text="Einnahmen">
      <formula>NOT(ISERROR(SEARCH("Einnahmen",K35)))</formula>
    </cfRule>
    <cfRule type="containsText" priority="1589" operator="containsText" dxfId="0" text="Ausgaben">
      <formula>NOT(ISERROR(SEARCH("Ausgaben",K35)))</formula>
    </cfRule>
  </conditionalFormatting>
  <conditionalFormatting sqref="K37">
    <cfRule type="containsText" priority="1586" operator="containsText" dxfId="1" text="Einnahmen">
      <formula>NOT(ISERROR(SEARCH("Einnahmen",K37)))</formula>
    </cfRule>
    <cfRule type="containsText" priority="1587" operator="containsText" dxfId="0" text="Ausgaben">
      <formula>NOT(ISERROR(SEARCH("Ausgaben",K37)))</formula>
    </cfRule>
  </conditionalFormatting>
  <conditionalFormatting sqref="K38">
    <cfRule type="containsText" priority="1584" operator="containsText" dxfId="1" text="Einnahmen">
      <formula>NOT(ISERROR(SEARCH("Einnahmen",K38)))</formula>
    </cfRule>
    <cfRule type="containsText" priority="1585" operator="containsText" dxfId="0" text="Ausgaben">
      <formula>NOT(ISERROR(SEARCH("Ausgaben",K38)))</formula>
    </cfRule>
  </conditionalFormatting>
  <conditionalFormatting sqref="K39">
    <cfRule type="containsText" priority="1582" operator="containsText" dxfId="1" text="Einnahmen">
      <formula>NOT(ISERROR(SEARCH("Einnahmen",K39)))</formula>
    </cfRule>
    <cfRule type="containsText" priority="1583" operator="containsText" dxfId="0" text="Ausgaben">
      <formula>NOT(ISERROR(SEARCH("Ausgaben",K39)))</formula>
    </cfRule>
  </conditionalFormatting>
  <conditionalFormatting sqref="K40">
    <cfRule type="containsText" priority="1580" operator="containsText" dxfId="1" text="Einnahmen">
      <formula>NOT(ISERROR(SEARCH("Einnahmen",K40)))</formula>
    </cfRule>
    <cfRule type="containsText" priority="1581" operator="containsText" dxfId="0" text="Ausgaben">
      <formula>NOT(ISERROR(SEARCH("Ausgaben",K40)))</formula>
    </cfRule>
  </conditionalFormatting>
  <conditionalFormatting sqref="K41">
    <cfRule type="containsText" priority="1578" operator="containsText" dxfId="1" text="Einnahmen">
      <formula>NOT(ISERROR(SEARCH("Einnahmen",K41)))</formula>
    </cfRule>
    <cfRule type="containsText" priority="1579" operator="containsText" dxfId="0" text="Ausgaben">
      <formula>NOT(ISERROR(SEARCH("Ausgaben",K41)))</formula>
    </cfRule>
  </conditionalFormatting>
  <conditionalFormatting sqref="K43">
    <cfRule type="containsText" priority="1576" operator="containsText" dxfId="1" text="Einnahmen">
      <formula>NOT(ISERROR(SEARCH("Einnahmen",K43)))</formula>
    </cfRule>
    <cfRule type="containsText" priority="1577" operator="containsText" dxfId="0" text="Ausgaben">
      <formula>NOT(ISERROR(SEARCH("Ausgaben",K43)))</formula>
    </cfRule>
  </conditionalFormatting>
  <conditionalFormatting sqref="K45">
    <cfRule type="containsText" priority="1574" operator="containsText" dxfId="1" text="Einnahmen">
      <formula>NOT(ISERROR(SEARCH("Einnahmen",K45)))</formula>
    </cfRule>
    <cfRule type="containsText" priority="1575" operator="containsText" dxfId="0" text="Ausgaben">
      <formula>NOT(ISERROR(SEARCH("Ausgaben",K45)))</formula>
    </cfRule>
    <cfRule type="containsText" priority="1570" operator="containsText" dxfId="1" text="Einnahmen">
      <formula>NOT(ISERROR(SEARCH("Einnahmen",K45)))</formula>
    </cfRule>
    <cfRule type="containsText" priority="1571" operator="containsText" dxfId="0" text="Ausgaben">
      <formula>NOT(ISERROR(SEARCH("Ausgaben",K45)))</formula>
    </cfRule>
  </conditionalFormatting>
  <conditionalFormatting sqref="K46">
    <cfRule type="containsText" priority="1572" operator="containsText" dxfId="1" text="Einnahmen">
      <formula>NOT(ISERROR(SEARCH("Einnahmen",K46)))</formula>
    </cfRule>
    <cfRule type="containsText" priority="1573" operator="containsText" dxfId="0" text="Ausgaben">
      <formula>NOT(ISERROR(SEARCH("Ausgaben",K46)))</formula>
    </cfRule>
    <cfRule type="containsText" priority="1568" operator="containsText" dxfId="1" text="Einnahmen">
      <formula>NOT(ISERROR(SEARCH("Einnahmen",K46)))</formula>
    </cfRule>
    <cfRule type="containsText" priority="1569" operator="containsText" dxfId="0" text="Ausgaben">
      <formula>NOT(ISERROR(SEARCH("Ausgaben",K46)))</formula>
    </cfRule>
  </conditionalFormatting>
  <conditionalFormatting sqref="K47">
    <cfRule type="containsText" priority="1566" operator="containsText" dxfId="1" text="Einnahmen">
      <formula>NOT(ISERROR(SEARCH("Einnahmen",K47)))</formula>
    </cfRule>
    <cfRule type="containsText" priority="1567" operator="containsText" dxfId="0" text="Ausgaben">
      <formula>NOT(ISERROR(SEARCH("Ausgaben",K47)))</formula>
    </cfRule>
  </conditionalFormatting>
  <conditionalFormatting sqref="K44">
    <cfRule type="containsText" priority="1564" operator="containsText" dxfId="1" text="Einnahmen">
      <formula>NOT(ISERROR(SEARCH("Einnahmen",K44)))</formula>
    </cfRule>
    <cfRule type="containsText" priority="1565" operator="containsText" dxfId="0" text="Ausgaben">
      <formula>NOT(ISERROR(SEARCH("Ausgaben",K44)))</formula>
    </cfRule>
  </conditionalFormatting>
  <conditionalFormatting sqref="K48">
    <cfRule type="containsText" priority="1562" operator="containsText" dxfId="1" text="Einnahmen">
      <formula>NOT(ISERROR(SEARCH("Einnahmen",K48)))</formula>
    </cfRule>
    <cfRule type="containsText" priority="1563" operator="containsText" dxfId="0" text="Ausgaben">
      <formula>NOT(ISERROR(SEARCH("Ausgaben",K48)))</formula>
    </cfRule>
  </conditionalFormatting>
  <conditionalFormatting sqref="K49">
    <cfRule type="containsText" priority="1560" operator="containsText" dxfId="1" text="Einnahmen">
      <formula>NOT(ISERROR(SEARCH("Einnahmen",K49)))</formula>
    </cfRule>
    <cfRule type="containsText" priority="1561" operator="containsText" dxfId="0" text="Ausgaben">
      <formula>NOT(ISERROR(SEARCH("Ausgaben",K49)))</formula>
    </cfRule>
  </conditionalFormatting>
  <conditionalFormatting sqref="K50">
    <cfRule type="containsText" priority="1558" operator="containsText" dxfId="1" text="Einnahmen">
      <formula>NOT(ISERROR(SEARCH("Einnahmen",K50)))</formula>
    </cfRule>
    <cfRule type="containsText" priority="1559" operator="containsText" dxfId="0" text="Ausgaben">
      <formula>NOT(ISERROR(SEARCH("Ausgaben",K50)))</formula>
    </cfRule>
  </conditionalFormatting>
  <conditionalFormatting sqref="K51">
    <cfRule type="containsText" priority="1556" operator="containsText" dxfId="1" text="Einnahmen">
      <formula>NOT(ISERROR(SEARCH("Einnahmen",K51)))</formula>
    </cfRule>
    <cfRule type="containsText" priority="1557" operator="containsText" dxfId="0" text="Ausgaben">
      <formula>NOT(ISERROR(SEARCH("Ausgaben",K51)))</formula>
    </cfRule>
  </conditionalFormatting>
  <conditionalFormatting sqref="K52">
    <cfRule type="containsText" priority="1554" operator="containsText" dxfId="1" text="Einnahmen">
      <formula>NOT(ISERROR(SEARCH("Einnahmen",K52)))</formula>
    </cfRule>
    <cfRule type="containsText" priority="1555" operator="containsText" dxfId="0" text="Ausgaben">
      <formula>NOT(ISERROR(SEARCH("Ausgaben",K52)))</formula>
    </cfRule>
  </conditionalFormatting>
  <conditionalFormatting sqref="K53">
    <cfRule type="containsText" priority="1552" operator="containsText" dxfId="1" text="Einnahmen">
      <formula>NOT(ISERROR(SEARCH("Einnahmen",K53)))</formula>
    </cfRule>
    <cfRule type="containsText" priority="1553" operator="containsText" dxfId="0" text="Ausgaben">
      <formula>NOT(ISERROR(SEARCH("Ausgaben",K53)))</formula>
    </cfRule>
  </conditionalFormatting>
  <conditionalFormatting sqref="K54">
    <cfRule type="containsText" priority="1550" operator="containsText" dxfId="1" text="Einnahmen">
      <formula>NOT(ISERROR(SEARCH("Einnahmen",K54)))</formula>
    </cfRule>
    <cfRule type="containsText" priority="1551" operator="containsText" dxfId="0" text="Ausgaben">
      <formula>NOT(ISERROR(SEARCH("Ausgaben",K54)))</formula>
    </cfRule>
  </conditionalFormatting>
  <conditionalFormatting sqref="K55">
    <cfRule type="containsText" priority="1548" operator="containsText" dxfId="1" text="Einnahmen">
      <formula>NOT(ISERROR(SEARCH("Einnahmen",K55)))</formula>
    </cfRule>
    <cfRule type="containsText" priority="1549" operator="containsText" dxfId="0" text="Ausgaben">
      <formula>NOT(ISERROR(SEARCH("Ausgaben",K55)))</formula>
    </cfRule>
  </conditionalFormatting>
  <conditionalFormatting sqref="K56">
    <cfRule type="containsText" priority="1546" operator="containsText" dxfId="1" text="Einnahmen">
      <formula>NOT(ISERROR(SEARCH("Einnahmen",K56)))</formula>
    </cfRule>
    <cfRule type="containsText" priority="1547" operator="containsText" dxfId="0" text="Ausgaben">
      <formula>NOT(ISERROR(SEARCH("Ausgaben",K56)))</formula>
    </cfRule>
  </conditionalFormatting>
  <conditionalFormatting sqref="K57">
    <cfRule type="containsText" priority="1544" operator="containsText" dxfId="1" text="Einnahmen">
      <formula>NOT(ISERROR(SEARCH("Einnahmen",K57)))</formula>
    </cfRule>
    <cfRule type="containsText" priority="1545" operator="containsText" dxfId="0" text="Ausgaben">
      <formula>NOT(ISERROR(SEARCH("Ausgaben",K57)))</formula>
    </cfRule>
  </conditionalFormatting>
  <conditionalFormatting sqref="K58">
    <cfRule type="containsText" priority="1542" operator="containsText" dxfId="1" text="Einnahmen">
      <formula>NOT(ISERROR(SEARCH("Einnahmen",K58)))</formula>
    </cfRule>
    <cfRule type="containsText" priority="1543" operator="containsText" dxfId="0" text="Ausgaben">
      <formula>NOT(ISERROR(SEARCH("Ausgaben",K58)))</formula>
    </cfRule>
  </conditionalFormatting>
  <conditionalFormatting sqref="K59">
    <cfRule type="containsText" priority="1540" operator="containsText" dxfId="1" text="Einnahmen">
      <formula>NOT(ISERROR(SEARCH("Einnahmen",K59)))</formula>
    </cfRule>
    <cfRule type="containsText" priority="1541" operator="containsText" dxfId="0" text="Ausgaben">
      <formula>NOT(ISERROR(SEARCH("Ausgaben",K59)))</formula>
    </cfRule>
  </conditionalFormatting>
  <conditionalFormatting sqref="K60">
    <cfRule type="containsText" priority="1538" operator="containsText" dxfId="1" text="Einnahmen">
      <formula>NOT(ISERROR(SEARCH("Einnahmen",K60)))</formula>
    </cfRule>
    <cfRule type="containsText" priority="1539" operator="containsText" dxfId="0" text="Ausgaben">
      <formula>NOT(ISERROR(SEARCH("Ausgaben",K60)))</formula>
    </cfRule>
  </conditionalFormatting>
  <conditionalFormatting sqref="K61">
    <cfRule type="containsText" priority="1536" operator="containsText" dxfId="1" text="Einnahmen">
      <formula>NOT(ISERROR(SEARCH("Einnahmen",K61)))</formula>
    </cfRule>
    <cfRule type="containsText" priority="1537" operator="containsText" dxfId="0" text="Ausgaben">
      <formula>NOT(ISERROR(SEARCH("Ausgaben",K61)))</formula>
    </cfRule>
  </conditionalFormatting>
  <conditionalFormatting sqref="K62">
    <cfRule type="containsText" priority="1534" operator="containsText" dxfId="1" text="Einnahmen">
      <formula>NOT(ISERROR(SEARCH("Einnahmen",K62)))</formula>
    </cfRule>
    <cfRule type="containsText" priority="1535" operator="containsText" dxfId="0" text="Ausgaben">
      <formula>NOT(ISERROR(SEARCH("Ausgaben",K62)))</formula>
    </cfRule>
  </conditionalFormatting>
  <conditionalFormatting sqref="K63">
    <cfRule type="containsText" priority="1532" operator="containsText" dxfId="1" text="Einnahmen">
      <formula>NOT(ISERROR(SEARCH("Einnahmen",K63)))</formula>
    </cfRule>
    <cfRule type="containsText" priority="1533" operator="containsText" dxfId="0" text="Ausgaben">
      <formula>NOT(ISERROR(SEARCH("Ausgaben",K63)))</formula>
    </cfRule>
  </conditionalFormatting>
  <conditionalFormatting sqref="K64">
    <cfRule type="containsText" priority="1530" operator="containsText" dxfId="1" text="Einnahmen">
      <formula>NOT(ISERROR(SEARCH("Einnahmen",K64)))</formula>
    </cfRule>
    <cfRule type="containsText" priority="1531" operator="containsText" dxfId="0" text="Ausgaben">
      <formula>NOT(ISERROR(SEARCH("Ausgaben",K64)))</formula>
    </cfRule>
    <cfRule type="containsText" priority="1528" operator="containsText" dxfId="1" text="Einnahmen">
      <formula>NOT(ISERROR(SEARCH("Einnahmen",K64)))</formula>
    </cfRule>
    <cfRule type="containsText" priority="1529" operator="containsText" dxfId="0" text="Ausgaben">
      <formula>NOT(ISERROR(SEARCH("Ausgaben",K64)))</formula>
    </cfRule>
  </conditionalFormatting>
  <conditionalFormatting sqref="K65">
    <cfRule type="containsText" priority="1526" operator="containsText" dxfId="1" text="Einnahmen">
      <formula>NOT(ISERROR(SEARCH("Einnahmen",K65)))</formula>
    </cfRule>
    <cfRule type="containsText" priority="1527" operator="containsText" dxfId="0" text="Ausgaben">
      <formula>NOT(ISERROR(SEARCH("Ausgaben",K65)))</formula>
    </cfRule>
    <cfRule type="containsText" priority="1524" operator="containsText" dxfId="1" text="Einnahmen">
      <formula>NOT(ISERROR(SEARCH("Einnahmen",K65)))</formula>
    </cfRule>
    <cfRule type="containsText" priority="1525" operator="containsText" dxfId="0" text="Ausgaben">
      <formula>NOT(ISERROR(SEARCH("Ausgaben",K65)))</formula>
    </cfRule>
  </conditionalFormatting>
  <conditionalFormatting sqref="K66">
    <cfRule type="containsText" priority="1522" operator="containsText" dxfId="1" text="Einnahmen">
      <formula>NOT(ISERROR(SEARCH("Einnahmen",K66)))</formula>
    </cfRule>
    <cfRule type="containsText" priority="1523" operator="containsText" dxfId="0" text="Ausgaben">
      <formula>NOT(ISERROR(SEARCH("Ausgaben",K66)))</formula>
    </cfRule>
  </conditionalFormatting>
  <conditionalFormatting sqref="K67">
    <cfRule type="containsText" priority="1520" operator="containsText" dxfId="1" text="Einnahmen">
      <formula>NOT(ISERROR(SEARCH("Einnahmen",K67)))</formula>
    </cfRule>
    <cfRule type="containsText" priority="1521" operator="containsText" dxfId="0" text="Ausgaben">
      <formula>NOT(ISERROR(SEARCH("Ausgaben",K67)))</formula>
    </cfRule>
  </conditionalFormatting>
  <conditionalFormatting sqref="K69">
    <cfRule type="containsText" priority="1518" operator="containsText" dxfId="1" text="Einnahmen">
      <formula>NOT(ISERROR(SEARCH("Einnahmen",K69)))</formula>
    </cfRule>
    <cfRule type="containsText" priority="1519" operator="containsText" dxfId="0" text="Ausgaben">
      <formula>NOT(ISERROR(SEARCH("Ausgaben",K69)))</formula>
    </cfRule>
  </conditionalFormatting>
  <conditionalFormatting sqref="K70:K71">
    <cfRule type="containsText" priority="1516" operator="containsText" dxfId="1" text="Einnahmen">
      <formula>NOT(ISERROR(SEARCH("Einnahmen",K70)))</formula>
    </cfRule>
    <cfRule type="containsText" priority="1517" operator="containsText" dxfId="0" text="Ausgaben">
      <formula>NOT(ISERROR(SEARCH("Ausgaben",K70)))</formula>
    </cfRule>
  </conditionalFormatting>
  <conditionalFormatting sqref="K72">
    <cfRule type="containsText" priority="1514" operator="containsText" dxfId="1" text="Einnahmen">
      <formula>NOT(ISERROR(SEARCH("Einnahmen",K72)))</formula>
    </cfRule>
    <cfRule type="containsText" priority="1515" operator="containsText" dxfId="0" text="Ausgaben">
      <formula>NOT(ISERROR(SEARCH("Ausgaben",K72)))</formula>
    </cfRule>
  </conditionalFormatting>
  <conditionalFormatting sqref="K73">
    <cfRule type="containsText" priority="1512" operator="containsText" dxfId="1" text="Einnahmen">
      <formula>NOT(ISERROR(SEARCH("Einnahmen",K73)))</formula>
    </cfRule>
    <cfRule type="containsText" priority="1513" operator="containsText" dxfId="0" text="Ausgaben">
      <formula>NOT(ISERROR(SEARCH("Ausgaben",K73)))</formula>
    </cfRule>
  </conditionalFormatting>
  <conditionalFormatting sqref="K74">
    <cfRule type="containsText" priority="1510" operator="containsText" dxfId="1" text="Einnahmen">
      <formula>NOT(ISERROR(SEARCH("Einnahmen",K74)))</formula>
    </cfRule>
    <cfRule type="containsText" priority="1511" operator="containsText" dxfId="0" text="Ausgaben">
      <formula>NOT(ISERROR(SEARCH("Ausgaben",K74)))</formula>
    </cfRule>
  </conditionalFormatting>
  <conditionalFormatting sqref="K75">
    <cfRule type="containsText" priority="1508" operator="containsText" dxfId="1" text="Einnahmen">
      <formula>NOT(ISERROR(SEARCH("Einnahmen",K75)))</formula>
    </cfRule>
    <cfRule type="containsText" priority="1509" operator="containsText" dxfId="0" text="Ausgaben">
      <formula>NOT(ISERROR(SEARCH("Ausgaben",K75)))</formula>
    </cfRule>
  </conditionalFormatting>
  <conditionalFormatting sqref="K76">
    <cfRule type="containsText" priority="1506" operator="containsText" dxfId="1" text="Einnahmen">
      <formula>NOT(ISERROR(SEARCH("Einnahmen",K76)))</formula>
    </cfRule>
    <cfRule type="containsText" priority="1507" operator="containsText" dxfId="0" text="Ausgaben">
      <formula>NOT(ISERROR(SEARCH("Ausgaben",K76)))</formula>
    </cfRule>
  </conditionalFormatting>
  <conditionalFormatting sqref="K77">
    <cfRule type="containsText" priority="1504" operator="containsText" dxfId="1" text="Einnahmen">
      <formula>NOT(ISERROR(SEARCH("Einnahmen",K77)))</formula>
    </cfRule>
    <cfRule type="containsText" priority="1505" operator="containsText" dxfId="0" text="Ausgaben">
      <formula>NOT(ISERROR(SEARCH("Ausgaben",K77)))</formula>
    </cfRule>
  </conditionalFormatting>
  <conditionalFormatting sqref="K78">
    <cfRule type="containsText" priority="1502" operator="containsText" dxfId="1" text="Einnahmen">
      <formula>NOT(ISERROR(SEARCH("Einnahmen",K78)))</formula>
    </cfRule>
    <cfRule type="containsText" priority="1503" operator="containsText" dxfId="0" text="Ausgaben">
      <formula>NOT(ISERROR(SEARCH("Ausgaben",K78)))</formula>
    </cfRule>
  </conditionalFormatting>
  <conditionalFormatting sqref="K79">
    <cfRule type="containsText" priority="1500" operator="containsText" dxfId="1" text="Einnahmen">
      <formula>NOT(ISERROR(SEARCH("Einnahmen",K79)))</formula>
    </cfRule>
    <cfRule type="containsText" priority="1501" operator="containsText" dxfId="0" text="Ausgaben">
      <formula>NOT(ISERROR(SEARCH("Ausgaben",K79)))</formula>
    </cfRule>
  </conditionalFormatting>
  <conditionalFormatting sqref="K80">
    <cfRule type="containsText" priority="1498" operator="containsText" dxfId="1" text="Einnahmen">
      <formula>NOT(ISERROR(SEARCH("Einnahmen",K80)))</formula>
    </cfRule>
    <cfRule type="containsText" priority="1499" operator="containsText" dxfId="0" text="Ausgaben">
      <formula>NOT(ISERROR(SEARCH("Ausgaben",K80)))</formula>
    </cfRule>
    <cfRule type="containsText" priority="1496" operator="containsText" dxfId="1" text="Einnahmen">
      <formula>NOT(ISERROR(SEARCH("Einnahmen",K80)))</formula>
    </cfRule>
    <cfRule type="containsText" priority="1497" operator="containsText" dxfId="0" text="Ausgaben">
      <formula>NOT(ISERROR(SEARCH("Ausgaben",K80)))</formula>
    </cfRule>
  </conditionalFormatting>
  <conditionalFormatting sqref="K81">
    <cfRule type="containsText" priority="1494" operator="containsText" dxfId="1" text="Einnahmen">
      <formula>NOT(ISERROR(SEARCH("Einnahmen",K81)))</formula>
    </cfRule>
    <cfRule type="containsText" priority="1495" operator="containsText" dxfId="0" text="Ausgaben">
      <formula>NOT(ISERROR(SEARCH("Ausgaben",K81)))</formula>
    </cfRule>
    <cfRule type="containsText" priority="1492" operator="containsText" dxfId="1" text="Einnahmen">
      <formula>NOT(ISERROR(SEARCH("Einnahmen",K81)))</formula>
    </cfRule>
    <cfRule type="containsText" priority="1493" operator="containsText" dxfId="0" text="Ausgaben">
      <formula>NOT(ISERROR(SEARCH("Ausgaben",K81)))</formula>
    </cfRule>
  </conditionalFormatting>
  <conditionalFormatting sqref="K82">
    <cfRule type="containsText" priority="1490" operator="containsText" dxfId="1" text="Einnahmen">
      <formula>NOT(ISERROR(SEARCH("Einnahmen",K82)))</formula>
    </cfRule>
    <cfRule type="containsText" priority="1491" operator="containsText" dxfId="0" text="Ausgaben">
      <formula>NOT(ISERROR(SEARCH("Ausgaben",K82)))</formula>
    </cfRule>
  </conditionalFormatting>
  <conditionalFormatting sqref="K83">
    <cfRule type="containsText" priority="1488" operator="containsText" dxfId="1" text="Einnahmen">
      <formula>NOT(ISERROR(SEARCH("Einnahmen",K83)))</formula>
    </cfRule>
    <cfRule type="containsText" priority="1489" operator="containsText" dxfId="0" text="Ausgaben">
      <formula>NOT(ISERROR(SEARCH("Ausgaben",K83)))</formula>
    </cfRule>
  </conditionalFormatting>
  <conditionalFormatting sqref="K84">
    <cfRule type="containsText" priority="1486" operator="containsText" dxfId="1" text="Einnahmen">
      <formula>NOT(ISERROR(SEARCH("Einnahmen",K84)))</formula>
    </cfRule>
    <cfRule type="containsText" priority="1487" operator="containsText" dxfId="0" text="Ausgaben">
      <formula>NOT(ISERROR(SEARCH("Ausgaben",K84)))</formula>
    </cfRule>
  </conditionalFormatting>
  <conditionalFormatting sqref="K85">
    <cfRule type="containsText" priority="1484" operator="containsText" dxfId="1" text="Einnahmen">
      <formula>NOT(ISERROR(SEARCH("Einnahmen",K85)))</formula>
    </cfRule>
    <cfRule type="containsText" priority="1485" operator="containsText" dxfId="0" text="Ausgaben">
      <formula>NOT(ISERROR(SEARCH("Ausgaben",K85)))</formula>
    </cfRule>
  </conditionalFormatting>
  <conditionalFormatting sqref="K86">
    <cfRule type="containsText" priority="1482" operator="containsText" dxfId="1" text="Einnahmen">
      <formula>NOT(ISERROR(SEARCH("Einnahmen",K86)))</formula>
    </cfRule>
    <cfRule type="containsText" priority="1483" operator="containsText" dxfId="0" text="Ausgaben">
      <formula>NOT(ISERROR(SEARCH("Ausgaben",K86)))</formula>
    </cfRule>
  </conditionalFormatting>
  <conditionalFormatting sqref="K87">
    <cfRule type="containsText" priority="1480" operator="containsText" dxfId="1" text="Einnahmen">
      <formula>NOT(ISERROR(SEARCH("Einnahmen",K87)))</formula>
    </cfRule>
    <cfRule type="containsText" priority="1481" operator="containsText" dxfId="0" text="Ausgaben">
      <formula>NOT(ISERROR(SEARCH("Ausgaben",K87)))</formula>
    </cfRule>
  </conditionalFormatting>
  <conditionalFormatting sqref="K88">
    <cfRule type="containsText" priority="1478" operator="containsText" dxfId="1" text="Einnahmen">
      <formula>NOT(ISERROR(SEARCH("Einnahmen",K88)))</formula>
    </cfRule>
    <cfRule type="containsText" priority="1479" operator="containsText" dxfId="0" text="Ausgaben">
      <formula>NOT(ISERROR(SEARCH("Ausgaben",K88)))</formula>
    </cfRule>
  </conditionalFormatting>
  <conditionalFormatting sqref="K89">
    <cfRule type="containsText" priority="1476" operator="containsText" dxfId="1" text="Einnahmen">
      <formula>NOT(ISERROR(SEARCH("Einnahmen",K89)))</formula>
    </cfRule>
    <cfRule type="containsText" priority="1477" operator="containsText" dxfId="0" text="Ausgaben">
      <formula>NOT(ISERROR(SEARCH("Ausgaben",K89)))</formula>
    </cfRule>
  </conditionalFormatting>
  <conditionalFormatting sqref="K90">
    <cfRule type="containsText" priority="1474" operator="containsText" dxfId="1" text="Einnahmen">
      <formula>NOT(ISERROR(SEARCH("Einnahmen",K90)))</formula>
    </cfRule>
    <cfRule type="containsText" priority="1475" operator="containsText" dxfId="0" text="Ausgaben">
      <formula>NOT(ISERROR(SEARCH("Ausgaben",K90)))</formula>
    </cfRule>
  </conditionalFormatting>
  <conditionalFormatting sqref="K91">
    <cfRule type="containsText" priority="1472" operator="containsText" dxfId="1" text="Einnahmen">
      <formula>NOT(ISERROR(SEARCH("Einnahmen",K91)))</formula>
    </cfRule>
    <cfRule type="containsText" priority="1473" operator="containsText" dxfId="0" text="Ausgaben">
      <formula>NOT(ISERROR(SEARCH("Ausgaben",K91)))</formula>
    </cfRule>
  </conditionalFormatting>
  <conditionalFormatting sqref="K92">
    <cfRule type="containsText" priority="1470" operator="containsText" dxfId="1" text="Einnahmen">
      <formula>NOT(ISERROR(SEARCH("Einnahmen",K92)))</formula>
    </cfRule>
    <cfRule type="containsText" priority="1471" operator="containsText" dxfId="0" text="Ausgaben">
      <formula>NOT(ISERROR(SEARCH("Ausgaben",K92)))</formula>
    </cfRule>
  </conditionalFormatting>
  <conditionalFormatting sqref="K93">
    <cfRule type="containsText" priority="1468" operator="containsText" dxfId="1" text="Einnahmen">
      <formula>NOT(ISERROR(SEARCH("Einnahmen",K93)))</formula>
    </cfRule>
    <cfRule type="containsText" priority="1469" operator="containsText" dxfId="0" text="Ausgaben">
      <formula>NOT(ISERROR(SEARCH("Ausgaben",K93)))</formula>
    </cfRule>
  </conditionalFormatting>
  <conditionalFormatting sqref="K94">
    <cfRule type="containsText" priority="1466" operator="containsText" dxfId="1" text="Einnahmen">
      <formula>NOT(ISERROR(SEARCH("Einnahmen",K94)))</formula>
    </cfRule>
    <cfRule type="containsText" priority="1467" operator="containsText" dxfId="0" text="Ausgaben">
      <formula>NOT(ISERROR(SEARCH("Ausgaben",K94)))</formula>
    </cfRule>
  </conditionalFormatting>
  <conditionalFormatting sqref="K95">
    <cfRule type="containsText" priority="1464" operator="containsText" dxfId="1" text="Einnahmen">
      <formula>NOT(ISERROR(SEARCH("Einnahmen",K95)))</formula>
    </cfRule>
    <cfRule type="containsText" priority="1465" operator="containsText" dxfId="0" text="Ausgaben">
      <formula>NOT(ISERROR(SEARCH("Ausgaben",K95)))</formula>
    </cfRule>
    <cfRule type="containsText" priority="1462" operator="containsText" dxfId="1" text="Einnahmen">
      <formula>NOT(ISERROR(SEARCH("Einnahmen",K95)))</formula>
    </cfRule>
    <cfRule type="containsText" priority="1463" operator="containsText" dxfId="0" text="Ausgaben">
      <formula>NOT(ISERROR(SEARCH("Ausgaben",K95)))</formula>
    </cfRule>
  </conditionalFormatting>
  <conditionalFormatting sqref="K96">
    <cfRule type="containsText" priority="1460" operator="containsText" dxfId="1" text="Einnahmen">
      <formula>NOT(ISERROR(SEARCH("Einnahmen",K96)))</formula>
    </cfRule>
    <cfRule type="containsText" priority="1461" operator="containsText" dxfId="0" text="Ausgaben">
      <formula>NOT(ISERROR(SEARCH("Ausgaben",K96)))</formula>
    </cfRule>
  </conditionalFormatting>
  <conditionalFormatting sqref="K97">
    <cfRule type="containsText" priority="1458" operator="containsText" dxfId="1" text="Einnahmen">
      <formula>NOT(ISERROR(SEARCH("Einnahmen",K97)))</formula>
    </cfRule>
    <cfRule type="containsText" priority="1459" operator="containsText" dxfId="0" text="Ausgaben">
      <formula>NOT(ISERROR(SEARCH("Ausgaben",K97)))</formula>
    </cfRule>
    <cfRule type="containsText" priority="1456" operator="containsText" dxfId="1" text="Einnahmen">
      <formula>NOT(ISERROR(SEARCH("Einnahmen",K97)))</formula>
    </cfRule>
    <cfRule type="containsText" priority="1457" operator="containsText" dxfId="0" text="Ausgaben">
      <formula>NOT(ISERROR(SEARCH("Ausgaben",K97)))</formula>
    </cfRule>
  </conditionalFormatting>
  <conditionalFormatting sqref="K98:K99">
    <cfRule type="containsText" priority="1454" operator="containsText" dxfId="1" text="Einnahmen">
      <formula>NOT(ISERROR(SEARCH("Einnahmen",K98)))</formula>
    </cfRule>
    <cfRule type="containsText" priority="1455" operator="containsText" dxfId="0" text="Ausgaben">
      <formula>NOT(ISERROR(SEARCH("Ausgaben",K98)))</formula>
    </cfRule>
  </conditionalFormatting>
  <conditionalFormatting sqref="K100">
    <cfRule type="containsText" priority="1452" operator="containsText" dxfId="1" text="Einnahmen">
      <formula>NOT(ISERROR(SEARCH("Einnahmen",K100)))</formula>
    </cfRule>
    <cfRule type="containsText" priority="1453" operator="containsText" dxfId="0" text="Ausgaben">
      <formula>NOT(ISERROR(SEARCH("Ausgaben",K100)))</formula>
    </cfRule>
  </conditionalFormatting>
  <conditionalFormatting sqref="K101">
    <cfRule type="containsText" priority="1450" operator="containsText" dxfId="1" text="Einnahmen">
      <formula>NOT(ISERROR(SEARCH("Einnahmen",K101)))</formula>
    </cfRule>
    <cfRule type="containsText" priority="1451" operator="containsText" dxfId="0" text="Ausgaben">
      <formula>NOT(ISERROR(SEARCH("Ausgaben",K101)))</formula>
    </cfRule>
  </conditionalFormatting>
  <conditionalFormatting sqref="K102">
    <cfRule type="containsText" priority="1448" operator="containsText" dxfId="1" text="Einnahmen">
      <formula>NOT(ISERROR(SEARCH("Einnahmen",K102)))</formula>
    </cfRule>
    <cfRule type="containsText" priority="1449" operator="containsText" dxfId="0" text="Ausgaben">
      <formula>NOT(ISERROR(SEARCH("Ausgaben",K102)))</formula>
    </cfRule>
  </conditionalFormatting>
  <conditionalFormatting sqref="K103">
    <cfRule type="containsText" priority="1446" operator="containsText" dxfId="1" text="Einnahmen">
      <formula>NOT(ISERROR(SEARCH("Einnahmen",K103)))</formula>
    </cfRule>
    <cfRule type="containsText" priority="1447" operator="containsText" dxfId="0" text="Ausgaben">
      <formula>NOT(ISERROR(SEARCH("Ausgaben",K103)))</formula>
    </cfRule>
  </conditionalFormatting>
  <conditionalFormatting sqref="K104">
    <cfRule type="containsText" priority="1444" operator="containsText" dxfId="1" text="Einnahmen">
      <formula>NOT(ISERROR(SEARCH("Einnahmen",K104)))</formula>
    </cfRule>
    <cfRule type="containsText" priority="1445" operator="containsText" dxfId="0" text="Ausgaben">
      <formula>NOT(ISERROR(SEARCH("Ausgaben",K104)))</formula>
    </cfRule>
  </conditionalFormatting>
  <conditionalFormatting sqref="K105">
    <cfRule type="containsText" priority="1442" operator="containsText" dxfId="1" text="Einnahmen">
      <formula>NOT(ISERROR(SEARCH("Einnahmen",K105)))</formula>
    </cfRule>
    <cfRule type="containsText" priority="1443" operator="containsText" dxfId="0" text="Ausgaben">
      <formula>NOT(ISERROR(SEARCH("Ausgaben",K105)))</formula>
    </cfRule>
  </conditionalFormatting>
  <conditionalFormatting sqref="K106">
    <cfRule type="containsText" priority="1440" operator="containsText" dxfId="1" text="Einnahmen">
      <formula>NOT(ISERROR(SEARCH("Einnahmen",K106)))</formula>
    </cfRule>
    <cfRule type="containsText" priority="1441" operator="containsText" dxfId="0" text="Ausgaben">
      <formula>NOT(ISERROR(SEARCH("Ausgaben",K106)))</formula>
    </cfRule>
  </conditionalFormatting>
  <conditionalFormatting sqref="K107">
    <cfRule type="containsText" priority="1438" operator="containsText" dxfId="1" text="Einnahmen">
      <formula>NOT(ISERROR(SEARCH("Einnahmen",K107)))</formula>
    </cfRule>
    <cfRule type="containsText" priority="1439" operator="containsText" dxfId="0" text="Ausgaben">
      <formula>NOT(ISERROR(SEARCH("Ausgaben",K107)))</formula>
    </cfRule>
  </conditionalFormatting>
  <conditionalFormatting sqref="K108">
    <cfRule type="containsText" priority="1436" operator="containsText" dxfId="1" text="Einnahmen">
      <formula>NOT(ISERROR(SEARCH("Einnahmen",K108)))</formula>
    </cfRule>
    <cfRule type="containsText" priority="1437" operator="containsText" dxfId="0" text="Ausgaben">
      <formula>NOT(ISERROR(SEARCH("Ausgaben",K108)))</formula>
    </cfRule>
  </conditionalFormatting>
  <conditionalFormatting sqref="K109">
    <cfRule type="containsText" priority="1434" operator="containsText" dxfId="1" text="Einnahmen">
      <formula>NOT(ISERROR(SEARCH("Einnahmen",K109)))</formula>
    </cfRule>
    <cfRule type="containsText" priority="1435" operator="containsText" dxfId="0" text="Ausgaben">
      <formula>NOT(ISERROR(SEARCH("Ausgaben",K109)))</formula>
    </cfRule>
  </conditionalFormatting>
  <conditionalFormatting sqref="K110">
    <cfRule type="containsText" priority="1432" operator="containsText" dxfId="1" text="Einnahmen">
      <formula>NOT(ISERROR(SEARCH("Einnahmen",K110)))</formula>
    </cfRule>
    <cfRule type="containsText" priority="1433" operator="containsText" dxfId="0" text="Ausgaben">
      <formula>NOT(ISERROR(SEARCH("Ausgaben",K110)))</formula>
    </cfRule>
  </conditionalFormatting>
  <conditionalFormatting sqref="K111">
    <cfRule type="containsText" priority="1430" operator="containsText" dxfId="1" text="Einnahmen">
      <formula>NOT(ISERROR(SEARCH("Einnahmen",K111)))</formula>
    </cfRule>
    <cfRule type="containsText" priority="1431" operator="containsText" dxfId="0" text="Ausgaben">
      <formula>NOT(ISERROR(SEARCH("Ausgaben",K111)))</formula>
    </cfRule>
    <cfRule type="containsText" priority="1428" operator="containsText" dxfId="1" text="Einnahmen">
      <formula>NOT(ISERROR(SEARCH("Einnahmen",K111)))</formula>
    </cfRule>
    <cfRule type="containsText" priority="1429" operator="containsText" dxfId="0" text="Ausgaben">
      <formula>NOT(ISERROR(SEARCH("Ausgaben",K111)))</formula>
    </cfRule>
  </conditionalFormatting>
  <conditionalFormatting sqref="K112">
    <cfRule type="containsText" priority="1426" operator="containsText" dxfId="1" text="Einnahmen">
      <formula>NOT(ISERROR(SEARCH("Einnahmen",K112)))</formula>
    </cfRule>
    <cfRule type="containsText" priority="1427" operator="containsText" dxfId="0" text="Ausgaben">
      <formula>NOT(ISERROR(SEARCH("Ausgaben",K112)))</formula>
    </cfRule>
    <cfRule type="containsText" priority="1424" operator="containsText" dxfId="1" text="Einnahmen">
      <formula>NOT(ISERROR(SEARCH("Einnahmen",K112)))</formula>
    </cfRule>
    <cfRule type="containsText" priority="1425" operator="containsText" dxfId="0" text="Ausgaben">
      <formula>NOT(ISERROR(SEARCH("Ausgaben",K112)))</formula>
    </cfRule>
  </conditionalFormatting>
  <conditionalFormatting sqref="K113">
    <cfRule type="containsText" priority="1422" operator="containsText" dxfId="1" text="Einnahmen">
      <formula>NOT(ISERROR(SEARCH("Einnahmen",K113)))</formula>
    </cfRule>
    <cfRule type="containsText" priority="1423" operator="containsText" dxfId="0" text="Ausgaben">
      <formula>NOT(ISERROR(SEARCH("Ausgaben",K113)))</formula>
    </cfRule>
  </conditionalFormatting>
  <conditionalFormatting sqref="K114">
    <cfRule type="containsText" priority="1420" operator="containsText" dxfId="1" text="Einnahmen">
      <formula>NOT(ISERROR(SEARCH("Einnahmen",K114)))</formula>
    </cfRule>
    <cfRule type="containsText" priority="1421" operator="containsText" dxfId="0" text="Ausgaben">
      <formula>NOT(ISERROR(SEARCH("Ausgaben",K114)))</formula>
    </cfRule>
  </conditionalFormatting>
  <conditionalFormatting sqref="K115">
    <cfRule type="containsText" priority="1418" operator="containsText" dxfId="1" text="Einnahmen">
      <formula>NOT(ISERROR(SEARCH("Einnahmen",K115)))</formula>
    </cfRule>
    <cfRule type="containsText" priority="1419" operator="containsText" dxfId="0" text="Ausgaben">
      <formula>NOT(ISERROR(SEARCH("Ausgaben",K115)))</formula>
    </cfRule>
    <cfRule type="containsText" priority="1416" operator="containsText" dxfId="1" text="Einnahmen">
      <formula>NOT(ISERROR(SEARCH("Einnahmen",K115)))</formula>
    </cfRule>
    <cfRule type="containsText" priority="1417" operator="containsText" dxfId="0" text="Ausgaben">
      <formula>NOT(ISERROR(SEARCH("Ausgaben",K115)))</formula>
    </cfRule>
  </conditionalFormatting>
  <conditionalFormatting sqref="K116">
    <cfRule type="containsText" priority="1414" operator="containsText" dxfId="1" text="Einnahmen">
      <formula>NOT(ISERROR(SEARCH("Einnahmen",K116)))</formula>
    </cfRule>
    <cfRule type="containsText" priority="1415" operator="containsText" dxfId="0" text="Ausgaben">
      <formula>NOT(ISERROR(SEARCH("Ausgaben",K116)))</formula>
    </cfRule>
  </conditionalFormatting>
  <conditionalFormatting sqref="K117">
    <cfRule type="containsText" priority="1412" operator="containsText" dxfId="1" text="Einnahmen">
      <formula>NOT(ISERROR(SEARCH("Einnahmen",K117)))</formula>
    </cfRule>
    <cfRule type="containsText" priority="1413" operator="containsText" dxfId="0" text="Ausgaben">
      <formula>NOT(ISERROR(SEARCH("Ausgaben",K117)))</formula>
    </cfRule>
    <cfRule type="containsText" priority="1410" operator="containsText" dxfId="1" text="Einnahmen">
      <formula>NOT(ISERROR(SEARCH("Einnahmen",K117)))</formula>
    </cfRule>
    <cfRule type="containsText" priority="1411" operator="containsText" dxfId="0" text="Ausgaben">
      <formula>NOT(ISERROR(SEARCH("Ausgaben",K117)))</formula>
    </cfRule>
  </conditionalFormatting>
  <conditionalFormatting sqref="K142 K152 K162 K172 K174 K182:K183 K199 K206 K208">
    <cfRule type="containsText" priority="1408" operator="containsText" dxfId="1" text="Einnahmen">
      <formula>NOT(ISERROR(SEARCH("Einnahmen",K142)))</formula>
    </cfRule>
    <cfRule type="containsText" priority="1409" operator="containsText" dxfId="0" text="Ausgaben">
      <formula>NOT(ISERROR(SEARCH("Ausgaben",K142)))</formula>
    </cfRule>
  </conditionalFormatting>
  <conditionalFormatting sqref="K141 K161 K171 K173 K175 K179:K180 K193:K195 K201 K205 K207">
    <cfRule type="containsText" priority="1406" operator="containsText" dxfId="1" text="Einnahmen">
      <formula>NOT(ISERROR(SEARCH("Einnahmen",K141)))</formula>
    </cfRule>
    <cfRule type="containsText" priority="1407" operator="containsText" dxfId="0" text="Ausgaben">
      <formula>NOT(ISERROR(SEARCH("Ausgaben",K141)))</formula>
    </cfRule>
  </conditionalFormatting>
  <conditionalFormatting sqref="K118">
    <cfRule type="containsText" priority="1404" operator="containsText" dxfId="1" text="Einnahmen">
      <formula>NOT(ISERROR(SEARCH("Einnahmen",K118)))</formula>
    </cfRule>
    <cfRule type="containsText" priority="1405" operator="containsText" dxfId="0" text="Ausgaben">
      <formula>NOT(ISERROR(SEARCH("Ausgaben",K118)))</formula>
    </cfRule>
  </conditionalFormatting>
  <conditionalFormatting sqref="K119">
    <cfRule type="containsText" priority="1402" operator="containsText" dxfId="1" text="Einnahmen">
      <formula>NOT(ISERROR(SEARCH("Einnahmen",K119)))</formula>
    </cfRule>
    <cfRule type="containsText" priority="1403" operator="containsText" dxfId="0" text="Ausgaben">
      <formula>NOT(ISERROR(SEARCH("Ausgaben",K119)))</formula>
    </cfRule>
  </conditionalFormatting>
  <conditionalFormatting sqref="K120">
    <cfRule type="containsText" priority="1400" operator="containsText" dxfId="1" text="Einnahmen">
      <formula>NOT(ISERROR(SEARCH("Einnahmen",K120)))</formula>
    </cfRule>
    <cfRule type="containsText" priority="1401" operator="containsText" dxfId="0" text="Ausgaben">
      <formula>NOT(ISERROR(SEARCH("Ausgaben",K120)))</formula>
    </cfRule>
  </conditionalFormatting>
  <conditionalFormatting sqref="K121">
    <cfRule type="containsText" priority="1398" operator="containsText" dxfId="1" text="Einnahmen">
      <formula>NOT(ISERROR(SEARCH("Einnahmen",K121)))</formula>
    </cfRule>
    <cfRule type="containsText" priority="1399" operator="containsText" dxfId="0" text="Ausgaben">
      <formula>NOT(ISERROR(SEARCH("Ausgaben",K121)))</formula>
    </cfRule>
  </conditionalFormatting>
  <conditionalFormatting sqref="K122">
    <cfRule type="containsText" priority="1396" operator="containsText" dxfId="1" text="Einnahmen">
      <formula>NOT(ISERROR(SEARCH("Einnahmen",K122)))</formula>
    </cfRule>
    <cfRule type="containsText" priority="1397" operator="containsText" dxfId="0" text="Ausgaben">
      <formula>NOT(ISERROR(SEARCH("Ausgaben",K122)))</formula>
    </cfRule>
  </conditionalFormatting>
  <conditionalFormatting sqref="K123">
    <cfRule type="containsText" priority="1394" operator="containsText" dxfId="1" text="Einnahmen">
      <formula>NOT(ISERROR(SEARCH("Einnahmen",K123)))</formula>
    </cfRule>
    <cfRule type="containsText" priority="1395" operator="containsText" dxfId="0" text="Ausgaben">
      <formula>NOT(ISERROR(SEARCH("Ausgaben",K123)))</formula>
    </cfRule>
  </conditionalFormatting>
  <conditionalFormatting sqref="K124">
    <cfRule type="containsText" priority="1392" operator="containsText" dxfId="1" text="Einnahmen">
      <formula>NOT(ISERROR(SEARCH("Einnahmen",K124)))</formula>
    </cfRule>
    <cfRule type="containsText" priority="1393" operator="containsText" dxfId="0" text="Ausgaben">
      <formula>NOT(ISERROR(SEARCH("Ausgaben",K124)))</formula>
    </cfRule>
  </conditionalFormatting>
  <conditionalFormatting sqref="K125">
    <cfRule type="containsText" priority="1390" operator="containsText" dxfId="1" text="Einnahmen">
      <formula>NOT(ISERROR(SEARCH("Einnahmen",K125)))</formula>
    </cfRule>
    <cfRule type="containsText" priority="1391" operator="containsText" dxfId="0" text="Ausgaben">
      <formula>NOT(ISERROR(SEARCH("Ausgaben",K125)))</formula>
    </cfRule>
  </conditionalFormatting>
  <conditionalFormatting sqref="K126">
    <cfRule type="containsText" priority="1388" operator="containsText" dxfId="1" text="Einnahmen">
      <formula>NOT(ISERROR(SEARCH("Einnahmen",K126)))</formula>
    </cfRule>
    <cfRule type="containsText" priority="1389" operator="containsText" dxfId="0" text="Ausgaben">
      <formula>NOT(ISERROR(SEARCH("Ausgaben",K126)))</formula>
    </cfRule>
    <cfRule type="containsText" priority="1386" operator="containsText" dxfId="1" text="Einnahmen">
      <formula>NOT(ISERROR(SEARCH("Einnahmen",K126)))</formula>
    </cfRule>
    <cfRule type="containsText" priority="1387" operator="containsText" dxfId="0" text="Ausgaben">
      <formula>NOT(ISERROR(SEARCH("Ausgaben",K126)))</formula>
    </cfRule>
  </conditionalFormatting>
  <conditionalFormatting sqref="K127">
    <cfRule type="containsText" priority="1384" operator="containsText" dxfId="1" text="Einnahmen">
      <formula>NOT(ISERROR(SEARCH("Einnahmen",K127)))</formula>
    </cfRule>
    <cfRule type="containsText" priority="1385" operator="containsText" dxfId="0" text="Ausgaben">
      <formula>NOT(ISERROR(SEARCH("Ausgaben",K127)))</formula>
    </cfRule>
    <cfRule type="containsText" priority="1382" operator="containsText" dxfId="1" text="Einnahmen">
      <formula>NOT(ISERROR(SEARCH("Einnahmen",K127)))</formula>
    </cfRule>
    <cfRule type="containsText" priority="1383" operator="containsText" dxfId="0" text="Ausgaben">
      <formula>NOT(ISERROR(SEARCH("Ausgaben",K127)))</formula>
    </cfRule>
  </conditionalFormatting>
  <conditionalFormatting sqref="K128">
    <cfRule type="containsText" priority="1380" operator="containsText" dxfId="1" text="Einnahmen">
      <formula>NOT(ISERROR(SEARCH("Einnahmen",K128)))</formula>
    </cfRule>
    <cfRule type="containsText" priority="1381" operator="containsText" dxfId="0" text="Ausgaben">
      <formula>NOT(ISERROR(SEARCH("Ausgaben",K128)))</formula>
    </cfRule>
    <cfRule type="containsText" priority="1378" operator="containsText" dxfId="1" text="Einnahmen">
      <formula>NOT(ISERROR(SEARCH("Einnahmen",K128)))</formula>
    </cfRule>
    <cfRule type="containsText" priority="1379" operator="containsText" dxfId="0" text="Ausgaben">
      <formula>NOT(ISERROR(SEARCH("Ausgaben",K128)))</formula>
    </cfRule>
  </conditionalFormatting>
  <conditionalFormatting sqref="K129">
    <cfRule type="containsText" priority="1376" operator="containsText" dxfId="1" text="Einnahmen">
      <formula>NOT(ISERROR(SEARCH("Einnahmen",K129)))</formula>
    </cfRule>
    <cfRule type="containsText" priority="1377" operator="containsText" dxfId="0" text="Ausgaben">
      <formula>NOT(ISERROR(SEARCH("Ausgaben",K129)))</formula>
    </cfRule>
  </conditionalFormatting>
  <conditionalFormatting sqref="K130">
    <cfRule type="containsText" priority="1374" operator="containsText" dxfId="1" text="Einnahmen">
      <formula>NOT(ISERROR(SEARCH("Einnahmen",K130)))</formula>
    </cfRule>
    <cfRule type="containsText" priority="1375" operator="containsText" dxfId="0" text="Ausgaben">
      <formula>NOT(ISERROR(SEARCH("Ausgaben",K130)))</formula>
    </cfRule>
  </conditionalFormatting>
  <conditionalFormatting sqref="K131">
    <cfRule type="containsText" priority="1372" operator="containsText" dxfId="1" text="Einnahmen">
      <formula>NOT(ISERROR(SEARCH("Einnahmen",K131)))</formula>
    </cfRule>
    <cfRule type="containsText" priority="1373" operator="containsText" dxfId="0" text="Ausgaben">
      <formula>NOT(ISERROR(SEARCH("Ausgaben",K131)))</formula>
    </cfRule>
    <cfRule type="containsText" priority="1370" operator="containsText" dxfId="1" text="Einnahmen">
      <formula>NOT(ISERROR(SEARCH("Einnahmen",K131)))</formula>
    </cfRule>
    <cfRule type="containsText" priority="1371" operator="containsText" dxfId="0" text="Ausgaben">
      <formula>NOT(ISERROR(SEARCH("Ausgaben",K131)))</formula>
    </cfRule>
  </conditionalFormatting>
  <conditionalFormatting sqref="K132">
    <cfRule type="containsText" priority="1368" operator="containsText" dxfId="1" text="Einnahmen">
      <formula>NOT(ISERROR(SEARCH("Einnahmen",K132)))</formula>
    </cfRule>
    <cfRule type="containsText" priority="1369" operator="containsText" dxfId="0" text="Ausgaben">
      <formula>NOT(ISERROR(SEARCH("Ausgaben",K132)))</formula>
    </cfRule>
  </conditionalFormatting>
  <conditionalFormatting sqref="K133">
    <cfRule type="containsText" priority="1366" operator="containsText" dxfId="1" text="Einnahmen">
      <formula>NOT(ISERROR(SEARCH("Einnahmen",K133)))</formula>
    </cfRule>
    <cfRule type="containsText" priority="1367" operator="containsText" dxfId="0" text="Ausgaben">
      <formula>NOT(ISERROR(SEARCH("Ausgaben",K133)))</formula>
    </cfRule>
  </conditionalFormatting>
  <conditionalFormatting sqref="K134">
    <cfRule type="containsText" priority="1364" operator="containsText" dxfId="1" text="Einnahmen">
      <formula>NOT(ISERROR(SEARCH("Einnahmen",K134)))</formula>
    </cfRule>
    <cfRule type="containsText" priority="1365" operator="containsText" dxfId="0" text="Ausgaben">
      <formula>NOT(ISERROR(SEARCH("Ausgaben",K134)))</formula>
    </cfRule>
  </conditionalFormatting>
  <conditionalFormatting sqref="K135">
    <cfRule type="containsText" priority="1362" operator="containsText" dxfId="1" text="Einnahmen">
      <formula>NOT(ISERROR(SEARCH("Einnahmen",K135)))</formula>
    </cfRule>
    <cfRule type="containsText" priority="1363" operator="containsText" dxfId="0" text="Ausgaben">
      <formula>NOT(ISERROR(SEARCH("Ausgaben",K135)))</formula>
    </cfRule>
  </conditionalFormatting>
  <conditionalFormatting sqref="K136">
    <cfRule type="containsText" priority="1360" operator="containsText" dxfId="1" text="Einnahmen">
      <formula>NOT(ISERROR(SEARCH("Einnahmen",K136)))</formula>
    </cfRule>
    <cfRule type="containsText" priority="1361" operator="containsText" dxfId="0" text="Ausgaben">
      <formula>NOT(ISERROR(SEARCH("Ausgaben",K136)))</formula>
    </cfRule>
  </conditionalFormatting>
  <conditionalFormatting sqref="K137">
    <cfRule type="containsText" priority="1358" operator="containsText" dxfId="1" text="Einnahmen">
      <formula>NOT(ISERROR(SEARCH("Einnahmen",K137)))</formula>
    </cfRule>
    <cfRule type="containsText" priority="1359" operator="containsText" dxfId="0" text="Ausgaben">
      <formula>NOT(ISERROR(SEARCH("Ausgaben",K137)))</formula>
    </cfRule>
  </conditionalFormatting>
  <conditionalFormatting sqref="K138">
    <cfRule type="containsText" priority="1356" operator="containsText" dxfId="1" text="Einnahmen">
      <formula>NOT(ISERROR(SEARCH("Einnahmen",K138)))</formula>
    </cfRule>
    <cfRule type="containsText" priority="1357" operator="containsText" dxfId="0" text="Ausgaben">
      <formula>NOT(ISERROR(SEARCH("Ausgaben",K138)))</formula>
    </cfRule>
  </conditionalFormatting>
  <conditionalFormatting sqref="K139">
    <cfRule type="containsText" priority="1354" operator="containsText" dxfId="1" text="Einnahmen">
      <formula>NOT(ISERROR(SEARCH("Einnahmen",K139)))</formula>
    </cfRule>
    <cfRule type="containsText" priority="1355" operator="containsText" dxfId="0" text="Ausgaben">
      <formula>NOT(ISERROR(SEARCH("Ausgaben",K139)))</formula>
    </cfRule>
    <cfRule type="containsText" priority="1352" operator="containsText" dxfId="1" text="Einnahmen">
      <formula>NOT(ISERROR(SEARCH("Einnahmen",K139)))</formula>
    </cfRule>
    <cfRule type="containsText" priority="1353" operator="containsText" dxfId="0" text="Ausgaben">
      <formula>NOT(ISERROR(SEARCH("Ausgaben",K139)))</formula>
    </cfRule>
  </conditionalFormatting>
  <conditionalFormatting sqref="K140">
    <cfRule type="containsText" priority="1350" operator="containsText" dxfId="1" text="Einnahmen">
      <formula>NOT(ISERROR(SEARCH("Einnahmen",K140)))</formula>
    </cfRule>
    <cfRule type="containsText" priority="1351" operator="containsText" dxfId="0" text="Ausgaben">
      <formula>NOT(ISERROR(SEARCH("Ausgaben",K140)))</formula>
    </cfRule>
    <cfRule type="containsText" priority="1348" operator="containsText" dxfId="1" text="Einnahmen">
      <formula>NOT(ISERROR(SEARCH("Einnahmen",K140)))</formula>
    </cfRule>
    <cfRule type="containsText" priority="1349" operator="containsText" dxfId="0" text="Ausgaben">
      <formula>NOT(ISERROR(SEARCH("Ausgaben",K140)))</formula>
    </cfRule>
  </conditionalFormatting>
  <conditionalFormatting sqref="K143">
    <cfRule type="containsText" priority="1346" operator="containsText" dxfId="1" text="Einnahmen">
      <formula>NOT(ISERROR(SEARCH("Einnahmen",K143)))</formula>
    </cfRule>
    <cfRule type="containsText" priority="1347" operator="containsText" dxfId="0" text="Ausgaben">
      <formula>NOT(ISERROR(SEARCH("Ausgaben",K143)))</formula>
    </cfRule>
  </conditionalFormatting>
  <conditionalFormatting sqref="K144:K146">
    <cfRule type="containsText" priority="1344" operator="containsText" dxfId="1" text="Einnahmen">
      <formula>NOT(ISERROR(SEARCH("Einnahmen",K144)))</formula>
    </cfRule>
    <cfRule type="containsText" priority="1345" operator="containsText" dxfId="0" text="Ausgaben">
      <formula>NOT(ISERROR(SEARCH("Ausgaben",K144)))</formula>
    </cfRule>
  </conditionalFormatting>
  <conditionalFormatting sqref="K147">
    <cfRule type="containsText" priority="1342" operator="containsText" dxfId="1" text="Einnahmen">
      <formula>NOT(ISERROR(SEARCH("Einnahmen",K147)))</formula>
    </cfRule>
    <cfRule type="containsText" priority="1343" operator="containsText" dxfId="0" text="Ausgaben">
      <formula>NOT(ISERROR(SEARCH("Ausgaben",K147)))</formula>
    </cfRule>
  </conditionalFormatting>
  <conditionalFormatting sqref="K148">
    <cfRule type="containsText" priority="1340" operator="containsText" dxfId="1" text="Einnahmen">
      <formula>NOT(ISERROR(SEARCH("Einnahmen",K148)))</formula>
    </cfRule>
    <cfRule type="containsText" priority="1341" operator="containsText" dxfId="0" text="Ausgaben">
      <formula>NOT(ISERROR(SEARCH("Ausgaben",K148)))</formula>
    </cfRule>
  </conditionalFormatting>
  <conditionalFormatting sqref="K149">
    <cfRule type="containsText" priority="1338" operator="containsText" dxfId="1" text="Einnahmen">
      <formula>NOT(ISERROR(SEARCH("Einnahmen",K149)))</formula>
    </cfRule>
    <cfRule type="containsText" priority="1339" operator="containsText" dxfId="0" text="Ausgaben">
      <formula>NOT(ISERROR(SEARCH("Ausgaben",K149)))</formula>
    </cfRule>
  </conditionalFormatting>
  <conditionalFormatting sqref="K150">
    <cfRule type="containsText" priority="1336" operator="containsText" dxfId="1" text="Einnahmen">
      <formula>NOT(ISERROR(SEARCH("Einnahmen",K150)))</formula>
    </cfRule>
    <cfRule type="containsText" priority="1337" operator="containsText" dxfId="0" text="Ausgaben">
      <formula>NOT(ISERROR(SEARCH("Ausgaben",K150)))</formula>
    </cfRule>
  </conditionalFormatting>
  <conditionalFormatting sqref="K151">
    <cfRule type="containsText" priority="1334" operator="containsText" dxfId="1" text="Einnahmen">
      <formula>NOT(ISERROR(SEARCH("Einnahmen",K151)))</formula>
    </cfRule>
    <cfRule type="containsText" priority="1335" operator="containsText" dxfId="0" text="Ausgaben">
      <formula>NOT(ISERROR(SEARCH("Ausgaben",K151)))</formula>
    </cfRule>
  </conditionalFormatting>
  <conditionalFormatting sqref="K153">
    <cfRule type="containsText" priority="1332" operator="containsText" dxfId="1" text="Einnahmen">
      <formula>NOT(ISERROR(SEARCH("Einnahmen",K153)))</formula>
    </cfRule>
    <cfRule type="containsText" priority="1333" operator="containsText" dxfId="0" text="Ausgaben">
      <formula>NOT(ISERROR(SEARCH("Ausgaben",K153)))</formula>
    </cfRule>
  </conditionalFormatting>
  <conditionalFormatting sqref="K154">
    <cfRule type="containsText" priority="1330" operator="containsText" dxfId="1" text="Einnahmen">
      <formula>NOT(ISERROR(SEARCH("Einnahmen",K154)))</formula>
    </cfRule>
    <cfRule type="containsText" priority="1331" operator="containsText" dxfId="0" text="Ausgaben">
      <formula>NOT(ISERROR(SEARCH("Ausgaben",K154)))</formula>
    </cfRule>
  </conditionalFormatting>
  <conditionalFormatting sqref="K155">
    <cfRule type="containsText" priority="1328" operator="containsText" dxfId="1" text="Einnahmen">
      <formula>NOT(ISERROR(SEARCH("Einnahmen",K155)))</formula>
    </cfRule>
    <cfRule type="containsText" priority="1329" operator="containsText" dxfId="0" text="Ausgaben">
      <formula>NOT(ISERROR(SEARCH("Ausgaben",K155)))</formula>
    </cfRule>
  </conditionalFormatting>
  <conditionalFormatting sqref="K156">
    <cfRule type="containsText" priority="1326" operator="containsText" dxfId="1" text="Einnahmen">
      <formula>NOT(ISERROR(SEARCH("Einnahmen",K156)))</formula>
    </cfRule>
    <cfRule type="containsText" priority="1327" operator="containsText" dxfId="0" text="Ausgaben">
      <formula>NOT(ISERROR(SEARCH("Ausgaben",K156)))</formula>
    </cfRule>
  </conditionalFormatting>
  <conditionalFormatting sqref="K157">
    <cfRule type="containsText" priority="1324" operator="containsText" dxfId="1" text="Einnahmen">
      <formula>NOT(ISERROR(SEARCH("Einnahmen",K157)))</formula>
    </cfRule>
    <cfRule type="containsText" priority="1325" operator="containsText" dxfId="0" text="Ausgaben">
      <formula>NOT(ISERROR(SEARCH("Ausgaben",K157)))</formula>
    </cfRule>
  </conditionalFormatting>
  <conditionalFormatting sqref="K158">
    <cfRule type="containsText" priority="1322" operator="containsText" dxfId="1" text="Einnahmen">
      <formula>NOT(ISERROR(SEARCH("Einnahmen",K158)))</formula>
    </cfRule>
    <cfRule type="containsText" priority="1323" operator="containsText" dxfId="0" text="Ausgaben">
      <formula>NOT(ISERROR(SEARCH("Ausgaben",K158)))</formula>
    </cfRule>
    <cfRule type="containsText" priority="1320" operator="containsText" dxfId="1" text="Einnahmen">
      <formula>NOT(ISERROR(SEARCH("Einnahmen",K158)))</formula>
    </cfRule>
    <cfRule type="containsText" priority="1321" operator="containsText" dxfId="0" text="Ausgaben">
      <formula>NOT(ISERROR(SEARCH("Ausgaben",K158)))</formula>
    </cfRule>
  </conditionalFormatting>
  <conditionalFormatting sqref="K159">
    <cfRule type="containsText" priority="1318" operator="containsText" dxfId="1" text="Einnahmen">
      <formula>NOT(ISERROR(SEARCH("Einnahmen",K159)))</formula>
    </cfRule>
    <cfRule type="containsText" priority="1319" operator="containsText" dxfId="0" text="Ausgaben">
      <formula>NOT(ISERROR(SEARCH("Ausgaben",K159)))</formula>
    </cfRule>
  </conditionalFormatting>
  <conditionalFormatting sqref="K160">
    <cfRule type="containsText" priority="1316" operator="containsText" dxfId="1" text="Einnahmen">
      <formula>NOT(ISERROR(SEARCH("Einnahmen",K160)))</formula>
    </cfRule>
    <cfRule type="containsText" priority="1317" operator="containsText" dxfId="0" text="Ausgaben">
      <formula>NOT(ISERROR(SEARCH("Ausgaben",K160)))</formula>
    </cfRule>
    <cfRule type="containsText" priority="1314" operator="containsText" dxfId="1" text="Einnahmen">
      <formula>NOT(ISERROR(SEARCH("Einnahmen",K160)))</formula>
    </cfRule>
    <cfRule type="containsText" priority="1315" operator="containsText" dxfId="0" text="Ausgaben">
      <formula>NOT(ISERROR(SEARCH("Ausgaben",K160)))</formula>
    </cfRule>
  </conditionalFormatting>
  <conditionalFormatting sqref="K163">
    <cfRule type="containsText" priority="1312" operator="containsText" dxfId="1" text="Einnahmen">
      <formula>NOT(ISERROR(SEARCH("Einnahmen",K163)))</formula>
    </cfRule>
    <cfRule type="containsText" priority="1313" operator="containsText" dxfId="0" text="Ausgaben">
      <formula>NOT(ISERROR(SEARCH("Ausgaben",K163)))</formula>
    </cfRule>
  </conditionalFormatting>
  <conditionalFormatting sqref="K164">
    <cfRule type="containsText" priority="1310" operator="containsText" dxfId="1" text="Einnahmen">
      <formula>NOT(ISERROR(SEARCH("Einnahmen",K164)))</formula>
    </cfRule>
    <cfRule type="containsText" priority="1311" operator="containsText" dxfId="0" text="Ausgaben">
      <formula>NOT(ISERROR(SEARCH("Ausgaben",K164)))</formula>
    </cfRule>
    <cfRule type="containsText" priority="1308" operator="containsText" dxfId="1" text="Einnahmen">
      <formula>NOT(ISERROR(SEARCH("Einnahmen",K164)))</formula>
    </cfRule>
    <cfRule type="containsText" priority="1309" operator="containsText" dxfId="0" text="Ausgaben">
      <formula>NOT(ISERROR(SEARCH("Ausgaben",K164)))</formula>
    </cfRule>
  </conditionalFormatting>
  <conditionalFormatting sqref="K165">
    <cfRule type="containsText" priority="1306" operator="containsText" dxfId="1" text="Einnahmen">
      <formula>NOT(ISERROR(SEARCH("Einnahmen",K165)))</formula>
    </cfRule>
    <cfRule type="containsText" priority="1307" operator="containsText" dxfId="0" text="Ausgaben">
      <formula>NOT(ISERROR(SEARCH("Ausgaben",K165)))</formula>
    </cfRule>
    <cfRule type="containsText" priority="1304" operator="containsText" dxfId="1" text="Einnahmen">
      <formula>NOT(ISERROR(SEARCH("Einnahmen",K165)))</formula>
    </cfRule>
    <cfRule type="containsText" priority="1305" operator="containsText" dxfId="0" text="Ausgaben">
      <formula>NOT(ISERROR(SEARCH("Ausgaben",K165)))</formula>
    </cfRule>
  </conditionalFormatting>
  <conditionalFormatting sqref="K166">
    <cfRule type="containsText" priority="1302" operator="containsText" dxfId="1" text="Einnahmen">
      <formula>NOT(ISERROR(SEARCH("Einnahmen",K166)))</formula>
    </cfRule>
    <cfRule type="containsText" priority="1303" operator="containsText" dxfId="0" text="Ausgaben">
      <formula>NOT(ISERROR(SEARCH("Ausgaben",K166)))</formula>
    </cfRule>
  </conditionalFormatting>
  <conditionalFormatting sqref="K167">
    <cfRule type="containsText" priority="1300" operator="containsText" dxfId="1" text="Einnahmen">
      <formula>NOT(ISERROR(SEARCH("Einnahmen",K167)))</formula>
    </cfRule>
    <cfRule type="containsText" priority="1301" operator="containsText" dxfId="0" text="Ausgaben">
      <formula>NOT(ISERROR(SEARCH("Ausgaben",K167)))</formula>
    </cfRule>
  </conditionalFormatting>
  <conditionalFormatting sqref="K168">
    <cfRule type="containsText" priority="1298" operator="containsText" dxfId="1" text="Einnahmen">
      <formula>NOT(ISERROR(SEARCH("Einnahmen",K168)))</formula>
    </cfRule>
    <cfRule type="containsText" priority="1299" operator="containsText" dxfId="0" text="Ausgaben">
      <formula>NOT(ISERROR(SEARCH("Ausgaben",K168)))</formula>
    </cfRule>
  </conditionalFormatting>
  <conditionalFormatting sqref="K169">
    <cfRule type="containsText" priority="1296" operator="containsText" dxfId="1" text="Einnahmen">
      <formula>NOT(ISERROR(SEARCH("Einnahmen",K169)))</formula>
    </cfRule>
    <cfRule type="containsText" priority="1297" operator="containsText" dxfId="0" text="Ausgaben">
      <formula>NOT(ISERROR(SEARCH("Ausgaben",K169)))</formula>
    </cfRule>
  </conditionalFormatting>
  <conditionalFormatting sqref="K170">
    <cfRule type="containsText" priority="1294" operator="containsText" dxfId="1" text="Einnahmen">
      <formula>NOT(ISERROR(SEARCH("Einnahmen",K170)))</formula>
    </cfRule>
    <cfRule type="containsText" priority="1295" operator="containsText" dxfId="0" text="Ausgaben">
      <formula>NOT(ISERROR(SEARCH("Ausgaben",K170)))</formula>
    </cfRule>
  </conditionalFormatting>
  <conditionalFormatting sqref="K176">
    <cfRule type="containsText" priority="1292" operator="containsText" dxfId="1" text="Einnahmen">
      <formula>NOT(ISERROR(SEARCH("Einnahmen",K176)))</formula>
    </cfRule>
    <cfRule type="containsText" priority="1293" operator="containsText" dxfId="0" text="Ausgaben">
      <formula>NOT(ISERROR(SEARCH("Ausgaben",K176)))</formula>
    </cfRule>
  </conditionalFormatting>
  <conditionalFormatting sqref="K177">
    <cfRule type="containsText" priority="1290" operator="containsText" dxfId="1" text="Einnahmen">
      <formula>NOT(ISERROR(SEARCH("Einnahmen",K177)))</formula>
    </cfRule>
    <cfRule type="containsText" priority="1291" operator="containsText" dxfId="0" text="Ausgaben">
      <formula>NOT(ISERROR(SEARCH("Ausgaben",K177)))</formula>
    </cfRule>
    <cfRule type="containsText" priority="1288" operator="containsText" dxfId="1" text="Einnahmen">
      <formula>NOT(ISERROR(SEARCH("Einnahmen",K177)))</formula>
    </cfRule>
    <cfRule type="containsText" priority="1289" operator="containsText" dxfId="0" text="Ausgaben">
      <formula>NOT(ISERROR(SEARCH("Ausgaben",K177)))</formula>
    </cfRule>
  </conditionalFormatting>
  <conditionalFormatting sqref="K178">
    <cfRule type="containsText" priority="1286" operator="containsText" dxfId="1" text="Einnahmen">
      <formula>NOT(ISERROR(SEARCH("Einnahmen",K178)))</formula>
    </cfRule>
    <cfRule type="containsText" priority="1287" operator="containsText" dxfId="0" text="Ausgaben">
      <formula>NOT(ISERROR(SEARCH("Ausgaben",K178)))</formula>
    </cfRule>
    <cfRule type="containsText" priority="1284" operator="containsText" dxfId="1" text="Einnahmen">
      <formula>NOT(ISERROR(SEARCH("Einnahmen",K178)))</formula>
    </cfRule>
    <cfRule type="containsText" priority="1285" operator="containsText" dxfId="0" text="Ausgaben">
      <formula>NOT(ISERROR(SEARCH("Ausgaben",K178)))</formula>
    </cfRule>
  </conditionalFormatting>
  <conditionalFormatting sqref="K181">
    <cfRule type="containsText" priority="1282" operator="containsText" dxfId="1" text="Einnahmen">
      <formula>NOT(ISERROR(SEARCH("Einnahmen",K181)))</formula>
    </cfRule>
    <cfRule type="containsText" priority="1283" operator="containsText" dxfId="0" text="Ausgaben">
      <formula>NOT(ISERROR(SEARCH("Ausgaben",K181)))</formula>
    </cfRule>
    <cfRule type="containsText" priority="1280" operator="containsText" dxfId="1" text="Einnahmen">
      <formula>NOT(ISERROR(SEARCH("Einnahmen",K181)))</formula>
    </cfRule>
    <cfRule type="containsText" priority="1281" operator="containsText" dxfId="0" text="Ausgaben">
      <formula>NOT(ISERROR(SEARCH("Ausgaben",K181)))</formula>
    </cfRule>
  </conditionalFormatting>
  <conditionalFormatting sqref="K184">
    <cfRule type="containsText" priority="1278" operator="containsText" dxfId="1" text="Einnahmen">
      <formula>NOT(ISERROR(SEARCH("Einnahmen",K184)))</formula>
    </cfRule>
    <cfRule type="containsText" priority="1279" operator="containsText" dxfId="0" text="Ausgaben">
      <formula>NOT(ISERROR(SEARCH("Ausgaben",K184)))</formula>
    </cfRule>
  </conditionalFormatting>
  <conditionalFormatting sqref="K185">
    <cfRule type="containsText" priority="1276" operator="containsText" dxfId="1" text="Einnahmen">
      <formula>NOT(ISERROR(SEARCH("Einnahmen",K185)))</formula>
    </cfRule>
    <cfRule type="containsText" priority="1277" operator="containsText" dxfId="0" text="Ausgaben">
      <formula>NOT(ISERROR(SEARCH("Ausgaben",K185)))</formula>
    </cfRule>
  </conditionalFormatting>
  <conditionalFormatting sqref="K186">
    <cfRule type="containsText" priority="1274" operator="containsText" dxfId="1" text="Einnahmen">
      <formula>NOT(ISERROR(SEARCH("Einnahmen",K186)))</formula>
    </cfRule>
    <cfRule type="containsText" priority="1275" operator="containsText" dxfId="0" text="Ausgaben">
      <formula>NOT(ISERROR(SEARCH("Ausgaben",K186)))</formula>
    </cfRule>
  </conditionalFormatting>
  <conditionalFormatting sqref="K187">
    <cfRule type="containsText" priority="1272" operator="containsText" dxfId="1" text="Einnahmen">
      <formula>NOT(ISERROR(SEARCH("Einnahmen",K187)))</formula>
    </cfRule>
    <cfRule type="containsText" priority="1273" operator="containsText" dxfId="0" text="Ausgaben">
      <formula>NOT(ISERROR(SEARCH("Ausgaben",K187)))</formula>
    </cfRule>
  </conditionalFormatting>
  <conditionalFormatting sqref="K188">
    <cfRule type="containsText" priority="1270" operator="containsText" dxfId="1" text="Einnahmen">
      <formula>NOT(ISERROR(SEARCH("Einnahmen",K188)))</formula>
    </cfRule>
    <cfRule type="containsText" priority="1271" operator="containsText" dxfId="0" text="Ausgaben">
      <formula>NOT(ISERROR(SEARCH("Ausgaben",K188)))</formula>
    </cfRule>
  </conditionalFormatting>
  <conditionalFormatting sqref="K189">
    <cfRule type="containsText" priority="1268" operator="containsText" dxfId="1" text="Einnahmen">
      <formula>NOT(ISERROR(SEARCH("Einnahmen",K189)))</formula>
    </cfRule>
    <cfRule type="containsText" priority="1269" operator="containsText" dxfId="0" text="Ausgaben">
      <formula>NOT(ISERROR(SEARCH("Ausgaben",K189)))</formula>
    </cfRule>
  </conditionalFormatting>
  <conditionalFormatting sqref="K190">
    <cfRule type="containsText" priority="1266" operator="containsText" dxfId="1" text="Einnahmen">
      <formula>NOT(ISERROR(SEARCH("Einnahmen",K190)))</formula>
    </cfRule>
    <cfRule type="containsText" priority="1267" operator="containsText" dxfId="0" text="Ausgaben">
      <formula>NOT(ISERROR(SEARCH("Ausgaben",K190)))</formula>
    </cfRule>
  </conditionalFormatting>
  <conditionalFormatting sqref="K191">
    <cfRule type="containsText" priority="1264" operator="containsText" dxfId="1" text="Einnahmen">
      <formula>NOT(ISERROR(SEARCH("Einnahmen",K191)))</formula>
    </cfRule>
    <cfRule type="containsText" priority="1265" operator="containsText" dxfId="0" text="Ausgaben">
      <formula>NOT(ISERROR(SEARCH("Ausgaben",K191)))</formula>
    </cfRule>
  </conditionalFormatting>
  <conditionalFormatting sqref="K192">
    <cfRule type="containsText" priority="1262" operator="containsText" dxfId="1" text="Einnahmen">
      <formula>NOT(ISERROR(SEARCH("Einnahmen",K192)))</formula>
    </cfRule>
    <cfRule type="containsText" priority="1263" operator="containsText" dxfId="0" text="Ausgaben">
      <formula>NOT(ISERROR(SEARCH("Ausgaben",K192)))</formula>
    </cfRule>
    <cfRule type="containsText" priority="1260" operator="containsText" dxfId="1" text="Einnahmen">
      <formula>NOT(ISERROR(SEARCH("Einnahmen",K192)))</formula>
    </cfRule>
    <cfRule type="containsText" priority="1261" operator="containsText" dxfId="0" text="Ausgaben">
      <formula>NOT(ISERROR(SEARCH("Ausgaben",K192)))</formula>
    </cfRule>
  </conditionalFormatting>
  <conditionalFormatting sqref="K196">
    <cfRule type="containsText" priority="1258" operator="containsText" dxfId="1" text="Einnahmen">
      <formula>NOT(ISERROR(SEARCH("Einnahmen",K196)))</formula>
    </cfRule>
    <cfRule type="containsText" priority="1259" operator="containsText" dxfId="0" text="Ausgaben">
      <formula>NOT(ISERROR(SEARCH("Ausgaben",K196)))</formula>
    </cfRule>
  </conditionalFormatting>
  <conditionalFormatting sqref="K197">
    <cfRule type="containsText" priority="1256" operator="containsText" dxfId="1" text="Einnahmen">
      <formula>NOT(ISERROR(SEARCH("Einnahmen",K197)))</formula>
    </cfRule>
    <cfRule type="containsText" priority="1257" operator="containsText" dxfId="0" text="Ausgaben">
      <formula>NOT(ISERROR(SEARCH("Ausgaben",K197)))</formula>
    </cfRule>
    <cfRule type="containsText" priority="1254" operator="containsText" dxfId="1" text="Einnahmen">
      <formula>NOT(ISERROR(SEARCH("Einnahmen",K197)))</formula>
    </cfRule>
    <cfRule type="containsText" priority="1255" operator="containsText" dxfId="0" text="Ausgaben">
      <formula>NOT(ISERROR(SEARCH("Ausgaben",K197)))</formula>
    </cfRule>
  </conditionalFormatting>
  <conditionalFormatting sqref="K198">
    <cfRule type="containsText" priority="1252" operator="containsText" dxfId="1" text="Einnahmen">
      <formula>NOT(ISERROR(SEARCH("Einnahmen",K198)))</formula>
    </cfRule>
    <cfRule type="containsText" priority="1253" operator="containsText" dxfId="0" text="Ausgaben">
      <formula>NOT(ISERROR(SEARCH("Ausgaben",K198)))</formula>
    </cfRule>
    <cfRule type="containsText" priority="1250" operator="containsText" dxfId="1" text="Einnahmen">
      <formula>NOT(ISERROR(SEARCH("Einnahmen",K198)))</formula>
    </cfRule>
    <cfRule type="containsText" priority="1251" operator="containsText" dxfId="0" text="Ausgaben">
      <formula>NOT(ISERROR(SEARCH("Ausgaben",K198)))</formula>
    </cfRule>
  </conditionalFormatting>
  <conditionalFormatting sqref="K200">
    <cfRule type="containsText" priority="1248" operator="containsText" dxfId="1" text="Einnahmen">
      <formula>NOT(ISERROR(SEARCH("Einnahmen",K200)))</formula>
    </cfRule>
    <cfRule type="containsText" priority="1249" operator="containsText" dxfId="0" text="Ausgaben">
      <formula>NOT(ISERROR(SEARCH("Ausgaben",K200)))</formula>
    </cfRule>
  </conditionalFormatting>
  <conditionalFormatting sqref="K202">
    <cfRule type="containsText" priority="1246" operator="containsText" dxfId="1" text="Einnahmen">
      <formula>NOT(ISERROR(SEARCH("Einnahmen",K202)))</formula>
    </cfRule>
    <cfRule type="containsText" priority="1247" operator="containsText" dxfId="0" text="Ausgaben">
      <formula>NOT(ISERROR(SEARCH("Ausgaben",K202)))</formula>
    </cfRule>
  </conditionalFormatting>
  <conditionalFormatting sqref="K203:K204">
    <cfRule type="containsText" priority="1244" operator="containsText" dxfId="1" text="Einnahmen">
      <formula>NOT(ISERROR(SEARCH("Einnahmen",K203)))</formula>
    </cfRule>
    <cfRule type="containsText" priority="1245" operator="containsText" dxfId="0" text="Ausgaben">
      <formula>NOT(ISERROR(SEARCH("Ausgaben",K203)))</formula>
    </cfRule>
  </conditionalFormatting>
  <conditionalFormatting sqref="K209">
    <cfRule type="containsText" priority="1242" operator="containsText" dxfId="1" text="Einnahmen">
      <formula>NOT(ISERROR(SEARCH("Einnahmen",K209)))</formula>
    </cfRule>
    <cfRule type="containsText" priority="1243" operator="containsText" dxfId="0" text="Ausgaben">
      <formula>NOT(ISERROR(SEARCH("Ausgaben",K209)))</formula>
    </cfRule>
  </conditionalFormatting>
  <conditionalFormatting sqref="Q13 Q36 Q42 Q47 Q66 Q68:Q69 Q83 Q94 Q98:Q99 Q115 Q117 Q128 Q131 Q134 Q141:Q142 Q152 Q156 Q161:Q162 Q164:Q166 Q171:Q175 Q178 Q180 Q182:Q183 Q193 Q195 Q198:Q199 Q205:Q209">
    <cfRule type="cellIs" priority="1241" operator="equal" dxfId="2034">
      <formula>"ja"</formula>
    </cfRule>
  </conditionalFormatting>
  <conditionalFormatting sqref="AG42 AG47 AG66 AG83 AG98:AG99 AG115 AG131 AG134 AG142 AG162 AG183 AG199">
    <cfRule type="dataBar" priority="1240">
      <dataBar>
        <cfvo type="min"/>
        <cfvo type="max"/>
        <color rgb="FF63C384"/>
      </dataBar>
    </cfRule>
    <cfRule type="dataBar" priority="1239">
      <dataBar>
        <cfvo type="min"/>
        <cfvo type="max"/>
        <color rgb="FF63C384"/>
      </dataBar>
    </cfRule>
  </conditionalFormatting>
  <conditionalFormatting sqref="Q2">
    <cfRule type="cellIs" priority="1238" operator="equal" dxfId="2034">
      <formula>"ja"</formula>
    </cfRule>
    <cfRule type="cellIs" priority="1233" operator="equal" dxfId="2034">
      <formula>"ja"</formula>
    </cfRule>
  </conditionalFormatting>
  <conditionalFormatting sqref="AA2">
    <cfRule type="expression" priority="1237" dxfId="2">
      <formula>AND(AND($W2&lt;TODAY(),$W2&lt;&gt;""),$X2="")</formula>
    </cfRule>
    <cfRule type="expression" priority="1234" dxfId="2">
      <formula>AND(AND($W2&lt;TODAY(),$W2&lt;&gt;""),$X2="")</formula>
    </cfRule>
  </conditionalFormatting>
  <conditionalFormatting sqref="AG2">
    <cfRule type="dataBar" priority="1236">
      <dataBar>
        <cfvo type="min"/>
        <cfvo type="max"/>
        <color rgb="FF63C384"/>
      </dataBar>
    </cfRule>
    <cfRule type="dataBar" priority="1235">
      <dataBar>
        <cfvo type="min"/>
        <cfvo type="max"/>
        <color rgb="FF63C384"/>
      </dataBar>
    </cfRule>
    <cfRule type="dataBar" priority="1232">
      <dataBar>
        <cfvo type="min"/>
        <cfvo type="max"/>
        <color rgb="FF63C384"/>
      </dataBar>
    </cfRule>
    <cfRule type="dataBar" priority="1231">
      <dataBar>
        <cfvo type="min"/>
        <cfvo type="max"/>
        <color rgb="FF63C384"/>
      </dataBar>
    </cfRule>
  </conditionalFormatting>
  <conditionalFormatting sqref="Q3">
    <cfRule type="cellIs" priority="1230" operator="equal" dxfId="2034">
      <formula>"ja"</formula>
    </cfRule>
  </conditionalFormatting>
  <conditionalFormatting sqref="AA3">
    <cfRule type="expression" priority="1229" dxfId="2">
      <formula>AND(AND($W3&lt;TODAY(),$W3&lt;&gt;""),$X3="")</formula>
    </cfRule>
  </conditionalFormatting>
  <conditionalFormatting sqref="AG3">
    <cfRule type="dataBar" priority="1228">
      <dataBar>
        <cfvo type="min"/>
        <cfvo type="max"/>
        <color rgb="FF63C384"/>
      </dataBar>
    </cfRule>
    <cfRule type="dataBar" priority="1227">
      <dataBar>
        <cfvo type="min"/>
        <cfvo type="max"/>
        <color rgb="FF63C384"/>
      </dataBar>
    </cfRule>
  </conditionalFormatting>
  <conditionalFormatting sqref="Q4">
    <cfRule type="cellIs" priority="1226" operator="equal" dxfId="2034">
      <formula>"ja"</formula>
    </cfRule>
  </conditionalFormatting>
  <conditionalFormatting sqref="AA4">
    <cfRule type="expression" priority="1225" dxfId="2">
      <formula>AND(AND($W4&lt;TODAY(),$W4&lt;&gt;""),$X4="")</formula>
    </cfRule>
  </conditionalFormatting>
  <conditionalFormatting sqref="AG4">
    <cfRule type="dataBar" priority="1224">
      <dataBar>
        <cfvo type="min"/>
        <cfvo type="max"/>
        <color rgb="FF63C384"/>
      </dataBar>
    </cfRule>
    <cfRule type="dataBar" priority="1223">
      <dataBar>
        <cfvo type="min"/>
        <cfvo type="max"/>
        <color rgb="FF63C384"/>
      </dataBar>
    </cfRule>
  </conditionalFormatting>
  <conditionalFormatting sqref="AA5">
    <cfRule type="expression" priority="1222" dxfId="2">
      <formula>AND(AND($W5&lt;TODAY(),$W5&lt;&gt;""),$X5="")</formula>
    </cfRule>
  </conditionalFormatting>
  <conditionalFormatting sqref="AG5">
    <cfRule type="dataBar" priority="1221">
      <dataBar>
        <cfvo type="min"/>
        <cfvo type="max"/>
        <color rgb="FF63C384"/>
      </dataBar>
    </cfRule>
    <cfRule type="dataBar" priority="1220">
      <dataBar>
        <cfvo type="min"/>
        <cfvo type="max"/>
        <color rgb="FF63C384"/>
      </dataBar>
    </cfRule>
  </conditionalFormatting>
  <conditionalFormatting sqref="Q5">
    <cfRule type="cellIs" priority="1219" operator="equal" dxfId="2034">
      <formula>"ja"</formula>
    </cfRule>
  </conditionalFormatting>
  <conditionalFormatting sqref="AA6">
    <cfRule type="expression" priority="1218" dxfId="2">
      <formula>AND(AND($W6&lt;TODAY(),$W6&lt;&gt;""),$X6="")</formula>
    </cfRule>
  </conditionalFormatting>
  <conditionalFormatting sqref="Q6">
    <cfRule type="cellIs" priority="1217" operator="equal" dxfId="2034">
      <formula>"ja"</formula>
    </cfRule>
  </conditionalFormatting>
  <conditionalFormatting sqref="AG6">
    <cfRule type="dataBar" priority="1216">
      <dataBar>
        <cfvo type="min"/>
        <cfvo type="max"/>
        <color rgb="FF63C384"/>
      </dataBar>
    </cfRule>
    <cfRule type="dataBar" priority="1215">
      <dataBar>
        <cfvo type="min"/>
        <cfvo type="max"/>
        <color rgb="FF63C384"/>
      </dataBar>
    </cfRule>
  </conditionalFormatting>
  <conditionalFormatting sqref="AA7">
    <cfRule type="expression" priority="1214" dxfId="2">
      <formula>AND(AND($W7&lt;TODAY(),$W7&lt;&gt;""),$X7="")</formula>
    </cfRule>
  </conditionalFormatting>
  <conditionalFormatting sqref="AG7">
    <cfRule type="dataBar" priority="1213">
      <dataBar>
        <cfvo type="min"/>
        <cfvo type="max"/>
        <color rgb="FF63C384"/>
      </dataBar>
    </cfRule>
    <cfRule type="dataBar" priority="1212">
      <dataBar>
        <cfvo type="min"/>
        <cfvo type="max"/>
        <color rgb="FF63C384"/>
      </dataBar>
    </cfRule>
  </conditionalFormatting>
  <conditionalFormatting sqref="Q7">
    <cfRule type="cellIs" priority="1211" operator="equal" dxfId="2034">
      <formula>"ja"</formula>
    </cfRule>
  </conditionalFormatting>
  <conditionalFormatting sqref="AG8">
    <cfRule type="dataBar" priority="1210">
      <dataBar>
        <cfvo type="min"/>
        <cfvo type="max"/>
        <color rgb="FF63C384"/>
      </dataBar>
    </cfRule>
    <cfRule type="dataBar" priority="1209">
      <dataBar>
        <cfvo type="min"/>
        <cfvo type="max"/>
        <color rgb="FF63C384"/>
      </dataBar>
    </cfRule>
  </conditionalFormatting>
  <conditionalFormatting sqref="Q8">
    <cfRule type="cellIs" priority="1208" operator="equal" dxfId="2034">
      <formula>"ja"</formula>
    </cfRule>
  </conditionalFormatting>
  <conditionalFormatting sqref="AA8">
    <cfRule type="expression" priority="1207" dxfId="2">
      <formula>AND(AND($W8&lt;TODAY(),$W8&lt;&gt;""),$X8="")</formula>
    </cfRule>
  </conditionalFormatting>
  <conditionalFormatting sqref="Q9">
    <cfRule type="cellIs" priority="1206" operator="equal" dxfId="2034">
      <formula>"ja"</formula>
    </cfRule>
    <cfRule type="cellIs" priority="1194" operator="equal" dxfId="2034">
      <formula>"ja"</formula>
    </cfRule>
    <cfRule type="cellIs" priority="1202" operator="equal" dxfId="2034">
      <formula>"ja"</formula>
    </cfRule>
    <cfRule type="cellIs" priority="1198" operator="equal" dxfId="2034">
      <formula>"ja"</formula>
    </cfRule>
  </conditionalFormatting>
  <conditionalFormatting sqref="AA9">
    <cfRule type="expression" priority="1193" dxfId="2">
      <formula>AND(AND($W9&lt;TODAY(),$W9&lt;&gt;""),$X9="")</formula>
    </cfRule>
    <cfRule type="expression" priority="1205" dxfId="2">
      <formula>AND(AND($W9&lt;TODAY(),$W9&lt;&gt;""),$X9="")</formula>
    </cfRule>
    <cfRule type="expression" priority="1201" dxfId="2">
      <formula>AND(AND($W9&lt;TODAY(),$W9&lt;&gt;""),$X9="")</formula>
    </cfRule>
    <cfRule type="expression" priority="1197" dxfId="2">
      <formula>AND(AND($W9&lt;TODAY(),$W9&lt;&gt;""),$X9="")</formula>
    </cfRule>
  </conditionalFormatting>
  <conditionalFormatting sqref="AG9">
    <cfRule type="dataBar" priority="1204">
      <dataBar>
        <cfvo type="min"/>
        <cfvo type="max"/>
        <color rgb="FF63C384"/>
      </dataBar>
    </cfRule>
    <cfRule type="dataBar" priority="1203">
      <dataBar>
        <cfvo type="min"/>
        <cfvo type="max"/>
        <color rgb="FF63C384"/>
      </dataBar>
    </cfRule>
    <cfRule type="dataBar" priority="1200">
      <dataBar>
        <cfvo type="min"/>
        <cfvo type="max"/>
        <color rgb="FF63C384"/>
      </dataBar>
    </cfRule>
    <cfRule type="dataBar" priority="1199">
      <dataBar>
        <cfvo type="min"/>
        <cfvo type="max"/>
        <color rgb="FF63C384"/>
      </dataBar>
    </cfRule>
    <cfRule type="dataBar" priority="1196">
      <dataBar>
        <cfvo type="min"/>
        <cfvo type="max"/>
        <color rgb="FF63C384"/>
      </dataBar>
    </cfRule>
    <cfRule type="dataBar" priority="1195">
      <dataBar>
        <cfvo type="min"/>
        <cfvo type="max"/>
        <color rgb="FF63C384"/>
      </dataBar>
    </cfRule>
    <cfRule type="dataBar" priority="1192">
      <dataBar>
        <cfvo type="min"/>
        <cfvo type="max"/>
        <color rgb="FF63C384"/>
      </dataBar>
    </cfRule>
    <cfRule type="dataBar" priority="1191">
      <dataBar>
        <cfvo type="min"/>
        <cfvo type="max"/>
        <color rgb="FF63C384"/>
      </dataBar>
    </cfRule>
  </conditionalFormatting>
  <conditionalFormatting sqref="Q10">
    <cfRule type="cellIs" priority="1190" operator="equal" dxfId="2034">
      <formula>"ja"</formula>
    </cfRule>
  </conditionalFormatting>
  <conditionalFormatting sqref="AA10">
    <cfRule type="expression" priority="1189" dxfId="2">
      <formula>AND(AND($W10&lt;TODAY(),$W10&lt;&gt;""),$X10="")</formula>
    </cfRule>
  </conditionalFormatting>
  <conditionalFormatting sqref="AG10">
    <cfRule type="dataBar" priority="1188">
      <dataBar>
        <cfvo type="min"/>
        <cfvo type="max"/>
        <color rgb="FF63C384"/>
      </dataBar>
    </cfRule>
    <cfRule type="dataBar" priority="1187">
      <dataBar>
        <cfvo type="min"/>
        <cfvo type="max"/>
        <color rgb="FF63C384"/>
      </dataBar>
    </cfRule>
  </conditionalFormatting>
  <conditionalFormatting sqref="Q11">
    <cfRule type="cellIs" priority="1186" operator="equal" dxfId="2034">
      <formula>"ja"</formula>
    </cfRule>
  </conditionalFormatting>
  <conditionalFormatting sqref="AA11">
    <cfRule type="expression" priority="1185" dxfId="2">
      <formula>AND(AND($W11&lt;TODAY(),$W11&lt;&gt;""),$X11="")</formula>
    </cfRule>
  </conditionalFormatting>
  <conditionalFormatting sqref="AG11">
    <cfRule type="dataBar" priority="1184">
      <dataBar>
        <cfvo type="min"/>
        <cfvo type="max"/>
        <color rgb="FF63C384"/>
      </dataBar>
    </cfRule>
    <cfRule type="dataBar" priority="1183">
      <dataBar>
        <cfvo type="min"/>
        <cfvo type="max"/>
        <color rgb="FF63C384"/>
      </dataBar>
    </cfRule>
  </conditionalFormatting>
  <conditionalFormatting sqref="AA12">
    <cfRule type="expression" priority="1182" dxfId="2">
      <formula>AND(AND($W12&lt;TODAY(),$W12&lt;&gt;""),$X12="")</formula>
    </cfRule>
  </conditionalFormatting>
  <conditionalFormatting sqref="Q12">
    <cfRule type="cellIs" priority="1181" operator="equal" dxfId="2034">
      <formula>"ja"</formula>
    </cfRule>
  </conditionalFormatting>
  <conditionalFormatting sqref="AG12">
    <cfRule type="dataBar" priority="1180">
      <dataBar>
        <cfvo type="min"/>
        <cfvo type="max"/>
        <color rgb="FF63C384"/>
      </dataBar>
    </cfRule>
    <cfRule type="dataBar" priority="1179">
      <dataBar>
        <cfvo type="min"/>
        <cfvo type="max"/>
        <color rgb="FF63C384"/>
      </dataBar>
    </cfRule>
  </conditionalFormatting>
  <conditionalFormatting sqref="AA13">
    <cfRule type="expression" priority="1178" dxfId="2">
      <formula>AND(AND($W13&lt;TODAY(),$W13&lt;&gt;""),$X13="")</formula>
    </cfRule>
  </conditionalFormatting>
  <conditionalFormatting sqref="AG13">
    <cfRule type="dataBar" priority="1177">
      <dataBar>
        <cfvo type="min"/>
        <cfvo type="max"/>
        <color rgb="FF63C384"/>
      </dataBar>
    </cfRule>
    <cfRule type="dataBar" priority="1176">
      <dataBar>
        <cfvo type="min"/>
        <cfvo type="max"/>
        <color rgb="FF63C384"/>
      </dataBar>
    </cfRule>
  </conditionalFormatting>
  <conditionalFormatting sqref="Q14">
    <cfRule type="cellIs" priority="1175" operator="equal" dxfId="2034">
      <formula>"ja"</formula>
    </cfRule>
    <cfRule type="cellIs" priority="1163" operator="equal" dxfId="2034">
      <formula>"ja"</formula>
    </cfRule>
    <cfRule type="cellIs" priority="1171" operator="equal" dxfId="2034">
      <formula>"ja"</formula>
    </cfRule>
    <cfRule type="cellIs" priority="1167" operator="equal" dxfId="2034">
      <formula>"ja"</formula>
    </cfRule>
  </conditionalFormatting>
  <conditionalFormatting sqref="AA14">
    <cfRule type="expression" priority="1162" dxfId="2">
      <formula>AND(AND($W14&lt;TODAY(),$W14&lt;&gt;""),$X14="")</formula>
    </cfRule>
    <cfRule type="expression" priority="1174" dxfId="2">
      <formula>AND(AND($W14&lt;TODAY(),$W14&lt;&gt;""),$X14="")</formula>
    </cfRule>
    <cfRule type="expression" priority="1170" dxfId="2">
      <formula>AND(AND($W14&lt;TODAY(),$W14&lt;&gt;""),$X14="")</formula>
    </cfRule>
    <cfRule type="expression" priority="1166" dxfId="2">
      <formula>AND(AND($W14&lt;TODAY(),$W14&lt;&gt;""),$X14="")</formula>
    </cfRule>
  </conditionalFormatting>
  <conditionalFormatting sqref="AG14">
    <cfRule type="dataBar" priority="1173">
      <dataBar>
        <cfvo type="min"/>
        <cfvo type="max"/>
        <color rgb="FF63C384"/>
      </dataBar>
    </cfRule>
    <cfRule type="dataBar" priority="1172">
      <dataBar>
        <cfvo type="min"/>
        <cfvo type="max"/>
        <color rgb="FF63C384"/>
      </dataBar>
    </cfRule>
    <cfRule type="dataBar" priority="1169">
      <dataBar>
        <cfvo type="min"/>
        <cfvo type="max"/>
        <color rgb="FF63C384"/>
      </dataBar>
    </cfRule>
    <cfRule type="dataBar" priority="1168">
      <dataBar>
        <cfvo type="min"/>
        <cfvo type="max"/>
        <color rgb="FF63C384"/>
      </dataBar>
    </cfRule>
    <cfRule type="dataBar" priority="1165">
      <dataBar>
        <cfvo type="min"/>
        <cfvo type="max"/>
        <color rgb="FF63C384"/>
      </dataBar>
    </cfRule>
    <cfRule type="dataBar" priority="1164">
      <dataBar>
        <cfvo type="min"/>
        <cfvo type="max"/>
        <color rgb="FF63C384"/>
      </dataBar>
    </cfRule>
    <cfRule type="dataBar" priority="1161">
      <dataBar>
        <cfvo type="min"/>
        <cfvo type="max"/>
        <color rgb="FF63C384"/>
      </dataBar>
    </cfRule>
    <cfRule type="dataBar" priority="1160">
      <dataBar>
        <cfvo type="min"/>
        <cfvo type="max"/>
        <color rgb="FF63C384"/>
      </dataBar>
    </cfRule>
  </conditionalFormatting>
  <conditionalFormatting sqref="AA15">
    <cfRule type="expression" priority="1159" dxfId="2">
      <formula>AND(AND($W15&lt;TODAY(),$W15&lt;&gt;""),$X15="")</formula>
    </cfRule>
  </conditionalFormatting>
  <conditionalFormatting sqref="Q15">
    <cfRule type="cellIs" priority="1158" operator="equal" dxfId="2034">
      <formula>"ja"</formula>
    </cfRule>
  </conditionalFormatting>
  <conditionalFormatting sqref="AG15">
    <cfRule type="dataBar" priority="1157">
      <dataBar>
        <cfvo type="min"/>
        <cfvo type="max"/>
        <color rgb="FF63C384"/>
      </dataBar>
    </cfRule>
    <cfRule type="dataBar" priority="1156">
      <dataBar>
        <cfvo type="min"/>
        <cfvo type="max"/>
        <color rgb="FF63C384"/>
      </dataBar>
    </cfRule>
  </conditionalFormatting>
  <conditionalFormatting sqref="Q16">
    <cfRule type="cellIs" priority="1155" operator="equal" dxfId="2034">
      <formula>"ja"</formula>
    </cfRule>
    <cfRule type="cellIs" priority="1151" operator="equal" dxfId="2034">
      <formula>"ja"</formula>
    </cfRule>
  </conditionalFormatting>
  <conditionalFormatting sqref="AA16">
    <cfRule type="expression" priority="1154" dxfId="2">
      <formula>AND(AND($W16&lt;TODAY(),$W16&lt;&gt;""),$X16="")</formula>
    </cfRule>
    <cfRule type="expression" priority="1150" dxfId="2">
      <formula>AND(AND($W16&lt;TODAY(),$W16&lt;&gt;""),$X16="")</formula>
    </cfRule>
  </conditionalFormatting>
  <conditionalFormatting sqref="AG16">
    <cfRule type="dataBar" priority="1153">
      <dataBar>
        <cfvo type="min"/>
        <cfvo type="max"/>
        <color rgb="FF63C384"/>
      </dataBar>
    </cfRule>
    <cfRule type="dataBar" priority="1152">
      <dataBar>
        <cfvo type="min"/>
        <cfvo type="max"/>
        <color rgb="FF63C384"/>
      </dataBar>
    </cfRule>
    <cfRule type="dataBar" priority="1149">
      <dataBar>
        <cfvo type="min"/>
        <cfvo type="max"/>
        <color rgb="FF63C384"/>
      </dataBar>
    </cfRule>
    <cfRule type="dataBar" priority="1148">
      <dataBar>
        <cfvo type="min"/>
        <cfvo type="max"/>
        <color rgb="FF63C384"/>
      </dataBar>
    </cfRule>
  </conditionalFormatting>
  <conditionalFormatting sqref="Q17">
    <cfRule type="cellIs" priority="1147" operator="equal" dxfId="2034">
      <formula>"ja"</formula>
    </cfRule>
    <cfRule type="cellIs" priority="1140" operator="equal" dxfId="2034">
      <formula>"ja"</formula>
    </cfRule>
  </conditionalFormatting>
  <conditionalFormatting sqref="AA17">
    <cfRule type="expression" priority="1146" dxfId="2">
      <formula>AND(AND($W17&lt;TODAY(),$W17&lt;&gt;""),$X17="")</formula>
    </cfRule>
    <cfRule type="expression" priority="1143" dxfId="2">
      <formula>AND(AND($W17&lt;TODAY(),$W17&lt;&gt;""),$X17="")</formula>
    </cfRule>
  </conditionalFormatting>
  <conditionalFormatting sqref="AG17">
    <cfRule type="dataBar" priority="1145">
      <dataBar>
        <cfvo type="min"/>
        <cfvo type="max"/>
        <color rgb="FF63C384"/>
      </dataBar>
    </cfRule>
    <cfRule type="dataBar" priority="1144">
      <dataBar>
        <cfvo type="min"/>
        <cfvo type="max"/>
        <color rgb="FF63C384"/>
      </dataBar>
    </cfRule>
    <cfRule type="dataBar" priority="1142">
      <dataBar>
        <cfvo type="min"/>
        <cfvo type="max"/>
        <color rgb="FF63C384"/>
      </dataBar>
    </cfRule>
    <cfRule type="dataBar" priority="1141">
      <dataBar>
        <cfvo type="min"/>
        <cfvo type="max"/>
        <color rgb="FF63C384"/>
      </dataBar>
    </cfRule>
  </conditionalFormatting>
  <conditionalFormatting sqref="Q18">
    <cfRule type="cellIs" priority="1139" operator="equal" dxfId="2034">
      <formula>"ja"</formula>
    </cfRule>
  </conditionalFormatting>
  <conditionalFormatting sqref="AA18">
    <cfRule type="expression" priority="1138" dxfId="2">
      <formula>AND(AND($W18&lt;TODAY(),$W18&lt;&gt;""),$X18="")</formula>
    </cfRule>
  </conditionalFormatting>
  <conditionalFormatting sqref="AG18">
    <cfRule type="dataBar" priority="1137">
      <dataBar>
        <cfvo type="min"/>
        <cfvo type="max"/>
        <color rgb="FF63C384"/>
      </dataBar>
    </cfRule>
    <cfRule type="dataBar" priority="1136">
      <dataBar>
        <cfvo type="min"/>
        <cfvo type="max"/>
        <color rgb="FF63C384"/>
      </dataBar>
    </cfRule>
  </conditionalFormatting>
  <conditionalFormatting sqref="AA19">
    <cfRule type="expression" priority="1135" dxfId="2">
      <formula>AND(AND($W19&lt;TODAY(),$W19&lt;&gt;""),$X19="")</formula>
    </cfRule>
  </conditionalFormatting>
  <conditionalFormatting sqref="Q19">
    <cfRule type="cellIs" priority="1134" operator="equal" dxfId="2034">
      <formula>"ja"</formula>
    </cfRule>
  </conditionalFormatting>
  <conditionalFormatting sqref="AG19">
    <cfRule type="dataBar" priority="1133">
      <dataBar>
        <cfvo type="min"/>
        <cfvo type="max"/>
        <color rgb="FF63C384"/>
      </dataBar>
    </cfRule>
    <cfRule type="dataBar" priority="1132">
      <dataBar>
        <cfvo type="min"/>
        <cfvo type="max"/>
        <color rgb="FF63C384"/>
      </dataBar>
    </cfRule>
  </conditionalFormatting>
  <conditionalFormatting sqref="AA20">
    <cfRule type="expression" priority="1131" dxfId="2">
      <formula>AND(AND($W20&lt;TODAY(),$W20&lt;&gt;""),$X20="")</formula>
    </cfRule>
  </conditionalFormatting>
  <conditionalFormatting sqref="AG20">
    <cfRule type="dataBar" priority="1130">
      <dataBar>
        <cfvo type="min"/>
        <cfvo type="max"/>
        <color rgb="FF63C384"/>
      </dataBar>
    </cfRule>
    <cfRule type="dataBar" priority="1129">
      <dataBar>
        <cfvo type="min"/>
        <cfvo type="max"/>
        <color rgb="FF63C384"/>
      </dataBar>
    </cfRule>
  </conditionalFormatting>
  <conditionalFormatting sqref="Q20">
    <cfRule type="cellIs" priority="1128" operator="equal" dxfId="2034">
      <formula>"ja"</formula>
    </cfRule>
  </conditionalFormatting>
  <conditionalFormatting sqref="AA21">
    <cfRule type="expression" priority="1127" dxfId="2">
      <formula>AND(AND($W21&lt;TODAY(),$W21&lt;&gt;""),$X21="")</formula>
    </cfRule>
  </conditionalFormatting>
  <conditionalFormatting sqref="AG21">
    <cfRule type="dataBar" priority="1126">
      <dataBar>
        <cfvo type="min"/>
        <cfvo type="max"/>
        <color rgb="FF63C384"/>
      </dataBar>
    </cfRule>
    <cfRule type="dataBar" priority="1125">
      <dataBar>
        <cfvo type="min"/>
        <cfvo type="max"/>
        <color rgb="FF63C384"/>
      </dataBar>
    </cfRule>
  </conditionalFormatting>
  <conditionalFormatting sqref="Q21">
    <cfRule type="cellIs" priority="1124" operator="equal" dxfId="2034">
      <formula>"ja"</formula>
    </cfRule>
  </conditionalFormatting>
  <conditionalFormatting sqref="Q22">
    <cfRule type="cellIs" priority="1123" operator="equal" dxfId="2034">
      <formula>"ja"</formula>
    </cfRule>
    <cfRule type="cellIs" priority="1118" operator="equal" dxfId="2034">
      <formula>"ja"</formula>
    </cfRule>
  </conditionalFormatting>
  <conditionalFormatting sqref="AA22">
    <cfRule type="expression" priority="1122" dxfId="2">
      <formula>AND(AND($W22&lt;TODAY(),$W22&lt;&gt;""),$X22="")</formula>
    </cfRule>
    <cfRule type="expression" priority="1119" dxfId="2">
      <formula>AND(AND($W22&lt;TODAY(),$W22&lt;&gt;""),$X22="")</formula>
    </cfRule>
  </conditionalFormatting>
  <conditionalFormatting sqref="AG22">
    <cfRule type="dataBar" priority="1121">
      <dataBar>
        <cfvo type="min"/>
        <cfvo type="max"/>
        <color rgb="FF63C384"/>
      </dataBar>
    </cfRule>
    <cfRule type="dataBar" priority="1120">
      <dataBar>
        <cfvo type="min"/>
        <cfvo type="max"/>
        <color rgb="FF63C384"/>
      </dataBar>
    </cfRule>
    <cfRule type="dataBar" priority="1117">
      <dataBar>
        <cfvo type="min"/>
        <cfvo type="max"/>
        <color rgb="FF63C384"/>
      </dataBar>
    </cfRule>
    <cfRule type="dataBar" priority="1116">
      <dataBar>
        <cfvo type="min"/>
        <cfvo type="max"/>
        <color rgb="FF63C384"/>
      </dataBar>
    </cfRule>
  </conditionalFormatting>
  <conditionalFormatting sqref="Q23">
    <cfRule type="cellIs" priority="1115" operator="equal" dxfId="2034">
      <formula>"ja"</formula>
    </cfRule>
  </conditionalFormatting>
  <conditionalFormatting sqref="AA23">
    <cfRule type="expression" priority="1114" dxfId="2">
      <formula>AND(AND($W23&lt;TODAY(),$W23&lt;&gt;""),$X23="")</formula>
    </cfRule>
  </conditionalFormatting>
  <conditionalFormatting sqref="AG23">
    <cfRule type="dataBar" priority="1113">
      <dataBar>
        <cfvo type="min"/>
        <cfvo type="max"/>
        <color rgb="FF63C384"/>
      </dataBar>
    </cfRule>
    <cfRule type="dataBar" priority="1112">
      <dataBar>
        <cfvo type="min"/>
        <cfvo type="max"/>
        <color rgb="FF63C384"/>
      </dataBar>
    </cfRule>
  </conditionalFormatting>
  <conditionalFormatting sqref="Q24">
    <cfRule type="cellIs" priority="1111" operator="equal" dxfId="2034">
      <formula>"ja"</formula>
    </cfRule>
  </conditionalFormatting>
  <conditionalFormatting sqref="AA24">
    <cfRule type="expression" priority="1110" dxfId="2">
      <formula>AND(AND($W24&lt;TODAY(),$W24&lt;&gt;""),$X24="")</formula>
    </cfRule>
  </conditionalFormatting>
  <conditionalFormatting sqref="AG24">
    <cfRule type="dataBar" priority="1109">
      <dataBar>
        <cfvo type="min"/>
        <cfvo type="max"/>
        <color rgb="FF63C384"/>
      </dataBar>
    </cfRule>
    <cfRule type="dataBar" priority="1108">
      <dataBar>
        <cfvo type="min"/>
        <cfvo type="max"/>
        <color rgb="FF63C384"/>
      </dataBar>
    </cfRule>
  </conditionalFormatting>
  <conditionalFormatting sqref="Q25">
    <cfRule type="cellIs" priority="1107" operator="equal" dxfId="2034">
      <formula>"ja"</formula>
    </cfRule>
    <cfRule type="cellIs" priority="1095" operator="equal" dxfId="2034">
      <formula>"ja"</formula>
    </cfRule>
    <cfRule type="cellIs" priority="1103" operator="equal" dxfId="2034">
      <formula>"ja"</formula>
    </cfRule>
    <cfRule type="cellIs" priority="1099" operator="equal" dxfId="2034">
      <formula>"ja"</formula>
    </cfRule>
  </conditionalFormatting>
  <conditionalFormatting sqref="AA25">
    <cfRule type="expression" priority="1094" dxfId="2">
      <formula>AND(AND($W25&lt;TODAY(),$W25&lt;&gt;""),$X25="")</formula>
    </cfRule>
    <cfRule type="expression" priority="1106" dxfId="2">
      <formula>AND(AND($W25&lt;TODAY(),$W25&lt;&gt;""),$X25="")</formula>
    </cfRule>
    <cfRule type="expression" priority="1102" dxfId="2">
      <formula>AND(AND($W25&lt;TODAY(),$W25&lt;&gt;""),$X25="")</formula>
    </cfRule>
    <cfRule type="expression" priority="1098" dxfId="2">
      <formula>AND(AND($W25&lt;TODAY(),$W25&lt;&gt;""),$X25="")</formula>
    </cfRule>
  </conditionalFormatting>
  <conditionalFormatting sqref="AG25">
    <cfRule type="dataBar" priority="1105">
      <dataBar>
        <cfvo type="min"/>
        <cfvo type="max"/>
        <color rgb="FF63C384"/>
      </dataBar>
    </cfRule>
    <cfRule type="dataBar" priority="1104">
      <dataBar>
        <cfvo type="min"/>
        <cfvo type="max"/>
        <color rgb="FF63C384"/>
      </dataBar>
    </cfRule>
    <cfRule type="dataBar" priority="1101">
      <dataBar>
        <cfvo type="min"/>
        <cfvo type="max"/>
        <color rgb="FF63C384"/>
      </dataBar>
    </cfRule>
    <cfRule type="dataBar" priority="1100">
      <dataBar>
        <cfvo type="min"/>
        <cfvo type="max"/>
        <color rgb="FF63C384"/>
      </dataBar>
    </cfRule>
    <cfRule type="dataBar" priority="1097">
      <dataBar>
        <cfvo type="min"/>
        <cfvo type="max"/>
        <color rgb="FF63C384"/>
      </dataBar>
    </cfRule>
    <cfRule type="dataBar" priority="1096">
      <dataBar>
        <cfvo type="min"/>
        <cfvo type="max"/>
        <color rgb="FF63C384"/>
      </dataBar>
    </cfRule>
    <cfRule type="dataBar" priority="1093">
      <dataBar>
        <cfvo type="min"/>
        <cfvo type="max"/>
        <color rgb="FF63C384"/>
      </dataBar>
    </cfRule>
    <cfRule type="dataBar" priority="1092">
      <dataBar>
        <cfvo type="min"/>
        <cfvo type="max"/>
        <color rgb="FF63C384"/>
      </dataBar>
    </cfRule>
  </conditionalFormatting>
  <conditionalFormatting sqref="Q26">
    <cfRule type="cellIs" priority="1091" operator="equal" dxfId="2034">
      <formula>"ja"</formula>
    </cfRule>
  </conditionalFormatting>
  <conditionalFormatting sqref="AA26">
    <cfRule type="expression" priority="1090" dxfId="2">
      <formula>AND(AND($W26&lt;TODAY(),$W26&lt;&gt;""),$X26="")</formula>
    </cfRule>
  </conditionalFormatting>
  <conditionalFormatting sqref="AG26">
    <cfRule type="dataBar" priority="1089">
      <dataBar>
        <cfvo type="min"/>
        <cfvo type="max"/>
        <color rgb="FF63C384"/>
      </dataBar>
    </cfRule>
    <cfRule type="dataBar" priority="1088">
      <dataBar>
        <cfvo type="min"/>
        <cfvo type="max"/>
        <color rgb="FF63C384"/>
      </dataBar>
    </cfRule>
  </conditionalFormatting>
  <conditionalFormatting sqref="AG27">
    <cfRule type="dataBar" priority="1087">
      <dataBar>
        <cfvo type="min"/>
        <cfvo type="max"/>
        <color rgb="FF63C384"/>
      </dataBar>
    </cfRule>
    <cfRule type="dataBar" priority="1086">
      <dataBar>
        <cfvo type="min"/>
        <cfvo type="max"/>
        <color rgb="FF63C384"/>
      </dataBar>
    </cfRule>
  </conditionalFormatting>
  <conditionalFormatting sqref="Q27">
    <cfRule type="cellIs" priority="1085" operator="equal" dxfId="2034">
      <formula>"ja"</formula>
    </cfRule>
  </conditionalFormatting>
  <conditionalFormatting sqref="AA27">
    <cfRule type="expression" priority="1084" dxfId="2">
      <formula>AND(AND($W27&lt;TODAY(),$W27&lt;&gt;""),$X27="")</formula>
    </cfRule>
  </conditionalFormatting>
  <conditionalFormatting sqref="AA28">
    <cfRule type="expression" priority="1083" dxfId="2">
      <formula>AND(AND($W28&lt;TODAY(),$W28&lt;&gt;""),$X28="")</formula>
    </cfRule>
  </conditionalFormatting>
  <conditionalFormatting sqref="AG28">
    <cfRule type="dataBar" priority="1082">
      <dataBar>
        <cfvo type="min"/>
        <cfvo type="max"/>
        <color rgb="FF63C384"/>
      </dataBar>
    </cfRule>
    <cfRule type="dataBar" priority="1081">
      <dataBar>
        <cfvo type="min"/>
        <cfvo type="max"/>
        <color rgb="FF63C384"/>
      </dataBar>
    </cfRule>
  </conditionalFormatting>
  <conditionalFormatting sqref="Q28">
    <cfRule type="cellIs" priority="1080" operator="equal" dxfId="2034">
      <formula>"ja"</formula>
    </cfRule>
  </conditionalFormatting>
  <conditionalFormatting sqref="Q29">
    <cfRule type="cellIs" priority="1079" operator="equal" dxfId="2034">
      <formula>"ja"</formula>
    </cfRule>
  </conditionalFormatting>
  <conditionalFormatting sqref="AA29">
    <cfRule type="expression" priority="1078" dxfId="2">
      <formula>AND(AND($W29&lt;TODAY(),$W29&lt;&gt;""),$X29="")</formula>
    </cfRule>
  </conditionalFormatting>
  <conditionalFormatting sqref="AG29">
    <cfRule type="dataBar" priority="1077">
      <dataBar>
        <cfvo type="min"/>
        <cfvo type="max"/>
        <color rgb="FF63C384"/>
      </dataBar>
    </cfRule>
    <cfRule type="dataBar" priority="1076">
      <dataBar>
        <cfvo type="min"/>
        <cfvo type="max"/>
        <color rgb="FF63C384"/>
      </dataBar>
    </cfRule>
  </conditionalFormatting>
  <conditionalFormatting sqref="AA30">
    <cfRule type="expression" priority="1075" dxfId="2">
      <formula>AND(AND($W30&lt;TODAY(),$W30&lt;&gt;""),$X30="")</formula>
    </cfRule>
  </conditionalFormatting>
  <conditionalFormatting sqref="Q30">
    <cfRule type="cellIs" priority="1074" operator="equal" dxfId="2034">
      <formula>"ja"</formula>
    </cfRule>
  </conditionalFormatting>
  <conditionalFormatting sqref="AG30">
    <cfRule type="dataBar" priority="1073">
      <dataBar>
        <cfvo type="min"/>
        <cfvo type="max"/>
        <color rgb="FF63C384"/>
      </dataBar>
    </cfRule>
    <cfRule type="dataBar" priority="1072">
      <dataBar>
        <cfvo type="min"/>
        <cfvo type="max"/>
        <color rgb="FF63C384"/>
      </dataBar>
    </cfRule>
  </conditionalFormatting>
  <conditionalFormatting sqref="Q31">
    <cfRule type="cellIs" priority="1071" operator="equal" dxfId="2034">
      <formula>"ja"</formula>
    </cfRule>
  </conditionalFormatting>
  <conditionalFormatting sqref="AA31">
    <cfRule type="expression" priority="1070" dxfId="2">
      <formula>AND(AND($W31&lt;TODAY(),$W31&lt;&gt;""),$X31="")</formula>
    </cfRule>
  </conditionalFormatting>
  <conditionalFormatting sqref="AG31">
    <cfRule type="dataBar" priority="1069">
      <dataBar>
        <cfvo type="min"/>
        <cfvo type="max"/>
        <color rgb="FF63C384"/>
      </dataBar>
    </cfRule>
    <cfRule type="dataBar" priority="1068">
      <dataBar>
        <cfvo type="min"/>
        <cfvo type="max"/>
        <color rgb="FF63C384"/>
      </dataBar>
    </cfRule>
  </conditionalFormatting>
  <conditionalFormatting sqref="Q32">
    <cfRule type="cellIs" priority="1067" operator="equal" dxfId="2034">
      <formula>"ja"</formula>
    </cfRule>
    <cfRule type="cellIs" priority="1063" operator="equal" dxfId="2034">
      <formula>"ja"</formula>
    </cfRule>
  </conditionalFormatting>
  <conditionalFormatting sqref="AA32">
    <cfRule type="expression" priority="1066" dxfId="2">
      <formula>AND(AND($W32&lt;TODAY(),$W32&lt;&gt;""),$X32="")</formula>
    </cfRule>
    <cfRule type="expression" priority="1062" dxfId="2">
      <formula>AND(AND($W32&lt;TODAY(),$W32&lt;&gt;""),$X32="")</formula>
    </cfRule>
  </conditionalFormatting>
  <conditionalFormatting sqref="AG32">
    <cfRule type="dataBar" priority="1065">
      <dataBar>
        <cfvo type="min"/>
        <cfvo type="max"/>
        <color rgb="FF63C384"/>
      </dataBar>
    </cfRule>
    <cfRule type="dataBar" priority="1064">
      <dataBar>
        <cfvo type="min"/>
        <cfvo type="max"/>
        <color rgb="FF63C384"/>
      </dataBar>
    </cfRule>
    <cfRule type="dataBar" priority="1061">
      <dataBar>
        <cfvo type="min"/>
        <cfvo type="max"/>
        <color rgb="FF63C384"/>
      </dataBar>
    </cfRule>
    <cfRule type="dataBar" priority="1060">
      <dataBar>
        <cfvo type="min"/>
        <cfvo type="max"/>
        <color rgb="FF63C384"/>
      </dataBar>
    </cfRule>
  </conditionalFormatting>
  <conditionalFormatting sqref="Q33">
    <cfRule type="cellIs" priority="1059" operator="equal" dxfId="2034">
      <formula>"ja"</formula>
    </cfRule>
    <cfRule type="cellIs" priority="1052" operator="equal" dxfId="2034">
      <formula>"ja"</formula>
    </cfRule>
  </conditionalFormatting>
  <conditionalFormatting sqref="AA33">
    <cfRule type="expression" priority="1058" dxfId="2">
      <formula>AND(AND($W33&lt;TODAY(),$W33&lt;&gt;""),$X33="")</formula>
    </cfRule>
    <cfRule type="expression" priority="1055" dxfId="2">
      <formula>AND(AND($W33&lt;TODAY(),$W33&lt;&gt;""),$X33="")</formula>
    </cfRule>
  </conditionalFormatting>
  <conditionalFormatting sqref="AG33">
    <cfRule type="dataBar" priority="1057">
      <dataBar>
        <cfvo type="min"/>
        <cfvo type="max"/>
        <color rgb="FF63C384"/>
      </dataBar>
    </cfRule>
    <cfRule type="dataBar" priority="1056">
      <dataBar>
        <cfvo type="min"/>
        <cfvo type="max"/>
        <color rgb="FF63C384"/>
      </dataBar>
    </cfRule>
    <cfRule type="dataBar" priority="1054">
      <dataBar>
        <cfvo type="min"/>
        <cfvo type="max"/>
        <color rgb="FF63C384"/>
      </dataBar>
    </cfRule>
    <cfRule type="dataBar" priority="1053">
      <dataBar>
        <cfvo type="min"/>
        <cfvo type="max"/>
        <color rgb="FF63C384"/>
      </dataBar>
    </cfRule>
  </conditionalFormatting>
  <conditionalFormatting sqref="AA34">
    <cfRule type="expression" priority="1051" dxfId="2">
      <formula>AND(AND($W34&lt;TODAY(),$W34&lt;&gt;""),$X34="")</formula>
    </cfRule>
  </conditionalFormatting>
  <conditionalFormatting sqref="Q34">
    <cfRule type="cellIs" priority="1050" operator="equal" dxfId="2034">
      <formula>"ja"</formula>
    </cfRule>
  </conditionalFormatting>
  <conditionalFormatting sqref="AG34">
    <cfRule type="dataBar" priority="1049">
      <dataBar>
        <cfvo type="min"/>
        <cfvo type="max"/>
        <color rgb="FF63C384"/>
      </dataBar>
    </cfRule>
    <cfRule type="dataBar" priority="1048">
      <dataBar>
        <cfvo type="min"/>
        <cfvo type="max"/>
        <color rgb="FF63C384"/>
      </dataBar>
    </cfRule>
  </conditionalFormatting>
  <conditionalFormatting sqref="AA35">
    <cfRule type="expression" priority="1047" dxfId="2">
      <formula>AND(AND($W35&lt;TODAY(),$W35&lt;&gt;""),$X35="")</formula>
    </cfRule>
  </conditionalFormatting>
  <conditionalFormatting sqref="AG35">
    <cfRule type="dataBar" priority="1046">
      <dataBar>
        <cfvo type="min"/>
        <cfvo type="max"/>
        <color rgb="FF63C384"/>
      </dataBar>
    </cfRule>
    <cfRule type="dataBar" priority="1045">
      <dataBar>
        <cfvo type="min"/>
        <cfvo type="max"/>
        <color rgb="FF63C384"/>
      </dataBar>
    </cfRule>
  </conditionalFormatting>
  <conditionalFormatting sqref="Q35">
    <cfRule type="cellIs" priority="1044" operator="equal" dxfId="2034">
      <formula>"ja"</formula>
    </cfRule>
  </conditionalFormatting>
  <conditionalFormatting sqref="AA36">
    <cfRule type="expression" priority="1043" dxfId="2">
      <formula>AND(AND($W36&lt;TODAY(),$W36&lt;&gt;""),$X36="")</formula>
    </cfRule>
  </conditionalFormatting>
  <conditionalFormatting sqref="AG36">
    <cfRule type="dataBar" priority="1042">
      <dataBar>
        <cfvo type="min"/>
        <cfvo type="max"/>
        <color rgb="FF63C384"/>
      </dataBar>
    </cfRule>
    <cfRule type="dataBar" priority="1041">
      <dataBar>
        <cfvo type="min"/>
        <cfvo type="max"/>
        <color rgb="FF63C384"/>
      </dataBar>
    </cfRule>
  </conditionalFormatting>
  <conditionalFormatting sqref="AA37">
    <cfRule type="expression" priority="1040" dxfId="2">
      <formula>AND(AND($W37&lt;TODAY(),$W37&lt;&gt;""),$X37="")</formula>
    </cfRule>
  </conditionalFormatting>
  <conditionalFormatting sqref="AG37">
    <cfRule type="dataBar" priority="1039">
      <dataBar>
        <cfvo type="min"/>
        <cfvo type="max"/>
        <color rgb="FF63C384"/>
      </dataBar>
    </cfRule>
    <cfRule type="dataBar" priority="1038">
      <dataBar>
        <cfvo type="min"/>
        <cfvo type="max"/>
        <color rgb="FF63C384"/>
      </dataBar>
    </cfRule>
  </conditionalFormatting>
  <conditionalFormatting sqref="Q37">
    <cfRule type="cellIs" priority="1037" operator="equal" dxfId="2034">
      <formula>"ja"</formula>
    </cfRule>
  </conditionalFormatting>
  <conditionalFormatting sqref="Q38">
    <cfRule type="cellIs" priority="1036" operator="equal" dxfId="2034">
      <formula>"ja"</formula>
    </cfRule>
  </conditionalFormatting>
  <conditionalFormatting sqref="AA38">
    <cfRule type="expression" priority="1035" dxfId="2">
      <formula>AND(AND($W38&lt;TODAY(),$W38&lt;&gt;""),$X38="")</formula>
    </cfRule>
  </conditionalFormatting>
  <conditionalFormatting sqref="AG38">
    <cfRule type="dataBar" priority="1034">
      <dataBar>
        <cfvo type="min"/>
        <cfvo type="max"/>
        <color rgb="FF63C384"/>
      </dataBar>
    </cfRule>
    <cfRule type="dataBar" priority="1033">
      <dataBar>
        <cfvo type="min"/>
        <cfvo type="max"/>
        <color rgb="FF63C384"/>
      </dataBar>
    </cfRule>
  </conditionalFormatting>
  <conditionalFormatting sqref="Q39">
    <cfRule type="cellIs" priority="1032" operator="equal" dxfId="2034">
      <formula>"ja"</formula>
    </cfRule>
    <cfRule type="cellIs" priority="1020" operator="equal" dxfId="2034">
      <formula>"ja"</formula>
    </cfRule>
    <cfRule type="cellIs" priority="1028" operator="equal" dxfId="2034">
      <formula>"ja"</formula>
    </cfRule>
    <cfRule type="cellIs" priority="1024" operator="equal" dxfId="2034">
      <formula>"ja"</formula>
    </cfRule>
  </conditionalFormatting>
  <conditionalFormatting sqref="AA39">
    <cfRule type="expression" priority="1019" dxfId="2">
      <formula>AND(AND($W39&lt;TODAY(),$W39&lt;&gt;""),$X39="")</formula>
    </cfRule>
    <cfRule type="expression" priority="1031" dxfId="2">
      <formula>AND(AND($W39&lt;TODAY(),$W39&lt;&gt;""),$X39="")</formula>
    </cfRule>
    <cfRule type="expression" priority="1027" dxfId="2">
      <formula>AND(AND($W39&lt;TODAY(),$W39&lt;&gt;""),$X39="")</formula>
    </cfRule>
    <cfRule type="expression" priority="1023" dxfId="2">
      <formula>AND(AND($W39&lt;TODAY(),$W39&lt;&gt;""),$X39="")</formula>
    </cfRule>
  </conditionalFormatting>
  <conditionalFormatting sqref="AG39">
    <cfRule type="dataBar" priority="1030">
      <dataBar>
        <cfvo type="min"/>
        <cfvo type="max"/>
        <color rgb="FF63C384"/>
      </dataBar>
    </cfRule>
    <cfRule type="dataBar" priority="1029">
      <dataBar>
        <cfvo type="min"/>
        <cfvo type="max"/>
        <color rgb="FF63C384"/>
      </dataBar>
    </cfRule>
    <cfRule type="dataBar" priority="1026">
      <dataBar>
        <cfvo type="min"/>
        <cfvo type="max"/>
        <color rgb="FF63C384"/>
      </dataBar>
    </cfRule>
    <cfRule type="dataBar" priority="1025">
      <dataBar>
        <cfvo type="min"/>
        <cfvo type="max"/>
        <color rgb="FF63C384"/>
      </dataBar>
    </cfRule>
    <cfRule type="dataBar" priority="1022">
      <dataBar>
        <cfvo type="min"/>
        <cfvo type="max"/>
        <color rgb="FF63C384"/>
      </dataBar>
    </cfRule>
    <cfRule type="dataBar" priority="1021">
      <dataBar>
        <cfvo type="min"/>
        <cfvo type="max"/>
        <color rgb="FF63C384"/>
      </dataBar>
    </cfRule>
    <cfRule type="dataBar" priority="1018">
      <dataBar>
        <cfvo type="min"/>
        <cfvo type="max"/>
        <color rgb="FF63C384"/>
      </dataBar>
    </cfRule>
    <cfRule type="dataBar" priority="1017">
      <dataBar>
        <cfvo type="min"/>
        <cfvo type="max"/>
        <color rgb="FF63C384"/>
      </dataBar>
    </cfRule>
  </conditionalFormatting>
  <conditionalFormatting sqref="Q41">
    <cfRule type="cellIs" priority="1016" operator="equal" dxfId="2034">
      <formula>"ja"</formula>
    </cfRule>
    <cfRule type="cellIs" priority="1009" operator="equal" dxfId="2034">
      <formula>"ja"</formula>
    </cfRule>
  </conditionalFormatting>
  <conditionalFormatting sqref="AA41">
    <cfRule type="expression" priority="1015" dxfId="2">
      <formula>AND(AND($W41&lt;TODAY(),$W41&lt;&gt;""),$X41="")</formula>
    </cfRule>
    <cfRule type="expression" priority="1012" dxfId="2">
      <formula>AND(AND($W41&lt;TODAY(),$W41&lt;&gt;""),$X41="")</formula>
    </cfRule>
  </conditionalFormatting>
  <conditionalFormatting sqref="AG41">
    <cfRule type="dataBar" priority="1014">
      <dataBar>
        <cfvo type="min"/>
        <cfvo type="max"/>
        <color rgb="FF63C384"/>
      </dataBar>
    </cfRule>
    <cfRule type="dataBar" priority="1013">
      <dataBar>
        <cfvo type="min"/>
        <cfvo type="max"/>
        <color rgb="FF63C384"/>
      </dataBar>
    </cfRule>
    <cfRule type="dataBar" priority="1011">
      <dataBar>
        <cfvo type="min"/>
        <cfvo type="max"/>
        <color rgb="FF63C384"/>
      </dataBar>
    </cfRule>
    <cfRule type="dataBar" priority="1010">
      <dataBar>
        <cfvo type="min"/>
        <cfvo type="max"/>
        <color rgb="FF63C384"/>
      </dataBar>
    </cfRule>
  </conditionalFormatting>
  <conditionalFormatting sqref="Q42">
    <cfRule type="cellIs" priority="1008" operator="equal" dxfId="2034">
      <formula>"ja"</formula>
    </cfRule>
  </conditionalFormatting>
  <conditionalFormatting sqref="AA42">
    <cfRule type="expression" priority="1007" dxfId="2">
      <formula>AND(AND($W42&lt;TODAY(),$W42&lt;&gt;""),$X42="")</formula>
    </cfRule>
  </conditionalFormatting>
  <conditionalFormatting sqref="AG42">
    <cfRule type="dataBar" priority="1006">
      <dataBar>
        <cfvo type="min"/>
        <cfvo type="max"/>
        <color rgb="FF63C384"/>
      </dataBar>
    </cfRule>
    <cfRule type="dataBar" priority="1005">
      <dataBar>
        <cfvo type="min"/>
        <cfvo type="max"/>
        <color rgb="FF63C384"/>
      </dataBar>
    </cfRule>
  </conditionalFormatting>
  <conditionalFormatting sqref="Q40">
    <cfRule type="cellIs" priority="1004" operator="equal" dxfId="2034">
      <formula>"ja"</formula>
    </cfRule>
  </conditionalFormatting>
  <conditionalFormatting sqref="AA40">
    <cfRule type="expression" priority="1003" dxfId="2">
      <formula>AND(AND($W40&lt;TODAY(),$W40&lt;&gt;""),$X40="")</formula>
    </cfRule>
  </conditionalFormatting>
  <conditionalFormatting sqref="AG40">
    <cfRule type="dataBar" priority="1002">
      <dataBar>
        <cfvo type="min"/>
        <cfvo type="max"/>
        <color rgb="FF63C384"/>
      </dataBar>
    </cfRule>
    <cfRule type="dataBar" priority="1001">
      <dataBar>
        <cfvo type="min"/>
        <cfvo type="max"/>
        <color rgb="FF63C384"/>
      </dataBar>
    </cfRule>
  </conditionalFormatting>
  <conditionalFormatting sqref="Q43">
    <cfRule type="cellIs" priority="1000" operator="equal" dxfId="2034">
      <formula>"ja"</formula>
    </cfRule>
    <cfRule type="cellIs" priority="995" operator="equal" dxfId="2034">
      <formula>"ja"</formula>
    </cfRule>
  </conditionalFormatting>
  <conditionalFormatting sqref="AA43">
    <cfRule type="expression" priority="999" dxfId="2">
      <formula>AND(AND($W43&lt;TODAY(),$W43&lt;&gt;""),$X43="")</formula>
    </cfRule>
    <cfRule type="expression" priority="996" dxfId="2">
      <formula>AND(AND($W43&lt;TODAY(),$W43&lt;&gt;""),$X43="")</formula>
    </cfRule>
  </conditionalFormatting>
  <conditionalFormatting sqref="AG43">
    <cfRule type="dataBar" priority="998">
      <dataBar>
        <cfvo type="min"/>
        <cfvo type="max"/>
        <color rgb="FF63C384"/>
      </dataBar>
    </cfRule>
    <cfRule type="dataBar" priority="997">
      <dataBar>
        <cfvo type="min"/>
        <cfvo type="max"/>
        <color rgb="FF63C384"/>
      </dataBar>
    </cfRule>
    <cfRule type="dataBar" priority="994">
      <dataBar>
        <cfvo type="min"/>
        <cfvo type="max"/>
        <color rgb="FF63C384"/>
      </dataBar>
    </cfRule>
    <cfRule type="dataBar" priority="993">
      <dataBar>
        <cfvo type="min"/>
        <cfvo type="max"/>
        <color rgb="FF63C384"/>
      </dataBar>
    </cfRule>
  </conditionalFormatting>
  <conditionalFormatting sqref="Q45">
    <cfRule type="cellIs" priority="992" operator="equal" dxfId="2034">
      <formula>"ja"</formula>
    </cfRule>
    <cfRule type="cellIs" priority="979" operator="equal" dxfId="2034">
      <formula>"ja"</formula>
    </cfRule>
  </conditionalFormatting>
  <conditionalFormatting sqref="AA45">
    <cfRule type="expression" priority="991" dxfId="2">
      <formula>AND(AND($W45&lt;TODAY(),$W45&lt;&gt;""),$X45="")</formula>
    </cfRule>
    <cfRule type="expression" priority="980" dxfId="2">
      <formula>AND(AND($W45&lt;TODAY(),$W45&lt;&gt;""),$X45="")</formula>
    </cfRule>
  </conditionalFormatting>
  <conditionalFormatting sqref="AG45">
    <cfRule type="dataBar" priority="990">
      <dataBar>
        <cfvo type="min"/>
        <cfvo type="max"/>
        <color rgb="FF63C384"/>
      </dataBar>
    </cfRule>
    <cfRule type="dataBar" priority="989">
      <dataBar>
        <cfvo type="min"/>
        <cfvo type="max"/>
        <color rgb="FF63C384"/>
      </dataBar>
    </cfRule>
    <cfRule type="dataBar" priority="978">
      <dataBar>
        <cfvo type="min"/>
        <cfvo type="max"/>
        <color rgb="FF63C384"/>
      </dataBar>
    </cfRule>
    <cfRule type="dataBar" priority="977">
      <dataBar>
        <cfvo type="min"/>
        <cfvo type="max"/>
        <color rgb="FF63C384"/>
      </dataBar>
    </cfRule>
  </conditionalFormatting>
  <conditionalFormatting sqref="Q46">
    <cfRule type="cellIs" priority="988" operator="equal" dxfId="2034">
      <formula>"ja"</formula>
    </cfRule>
    <cfRule type="cellIs" priority="984" operator="equal" dxfId="2034">
      <formula>"ja"</formula>
    </cfRule>
    <cfRule type="cellIs" priority="976" operator="equal" dxfId="2034">
      <formula>"ja"</formula>
    </cfRule>
  </conditionalFormatting>
  <conditionalFormatting sqref="AA46">
    <cfRule type="expression" priority="987" dxfId="2">
      <formula>AND(AND($W46&lt;TODAY(),$W46&lt;&gt;""),$X46="")</formula>
    </cfRule>
    <cfRule type="expression" priority="983" dxfId="2">
      <formula>AND(AND($W46&lt;TODAY(),$W46&lt;&gt;""),$X46="")</formula>
    </cfRule>
    <cfRule type="expression" priority="975" dxfId="2">
      <formula>AND(AND($W46&lt;TODAY(),$W46&lt;&gt;""),$X46="")</formula>
    </cfRule>
  </conditionalFormatting>
  <conditionalFormatting sqref="AG46">
    <cfRule type="dataBar" priority="986">
      <dataBar>
        <cfvo type="min"/>
        <cfvo type="max"/>
        <color rgb="FF63C384"/>
      </dataBar>
    </cfRule>
    <cfRule type="dataBar" priority="985">
      <dataBar>
        <cfvo type="min"/>
        <cfvo type="max"/>
        <color rgb="FF63C384"/>
      </dataBar>
    </cfRule>
    <cfRule type="dataBar" priority="982">
      <dataBar>
        <cfvo type="min"/>
        <cfvo type="max"/>
        <color rgb="FF63C384"/>
      </dataBar>
    </cfRule>
    <cfRule type="dataBar" priority="981">
      <dataBar>
        <cfvo type="min"/>
        <cfvo type="max"/>
        <color rgb="FF63C384"/>
      </dataBar>
    </cfRule>
    <cfRule type="dataBar" priority="974">
      <dataBar>
        <cfvo type="min"/>
        <cfvo type="max"/>
        <color rgb="FF63C384"/>
      </dataBar>
    </cfRule>
    <cfRule type="dataBar" priority="973">
      <dataBar>
        <cfvo type="min"/>
        <cfvo type="max"/>
        <color rgb="FF63C384"/>
      </dataBar>
    </cfRule>
  </conditionalFormatting>
  <conditionalFormatting sqref="Q47">
    <cfRule type="cellIs" priority="972" operator="equal" dxfId="2034">
      <formula>"ja"</formula>
    </cfRule>
    <cfRule type="cellIs" priority="968" operator="equal" dxfId="2034">
      <formula>"ja"</formula>
    </cfRule>
  </conditionalFormatting>
  <conditionalFormatting sqref="AA47">
    <cfRule type="expression" priority="971" dxfId="2">
      <formula>AND(AND($W47&lt;TODAY(),$W47&lt;&gt;""),$X47="")</formula>
    </cfRule>
    <cfRule type="expression" priority="967" dxfId="2">
      <formula>AND(AND($W47&lt;TODAY(),$W47&lt;&gt;""),$X47="")</formula>
    </cfRule>
  </conditionalFormatting>
  <conditionalFormatting sqref="AG47">
    <cfRule type="dataBar" priority="970">
      <dataBar>
        <cfvo type="min"/>
        <cfvo type="max"/>
        <color rgb="FF63C384"/>
      </dataBar>
    </cfRule>
    <cfRule type="dataBar" priority="969">
      <dataBar>
        <cfvo type="min"/>
        <cfvo type="max"/>
        <color rgb="FF63C384"/>
      </dataBar>
    </cfRule>
    <cfRule type="dataBar" priority="966">
      <dataBar>
        <cfvo type="min"/>
        <cfvo type="max"/>
        <color rgb="FF63C384"/>
      </dataBar>
    </cfRule>
    <cfRule type="dataBar" priority="965">
      <dataBar>
        <cfvo type="min"/>
        <cfvo type="max"/>
        <color rgb="FF63C384"/>
      </dataBar>
    </cfRule>
  </conditionalFormatting>
  <conditionalFormatting sqref="Q44">
    <cfRule type="cellIs" priority="964" operator="equal" dxfId="2034">
      <formula>"ja"</formula>
    </cfRule>
  </conditionalFormatting>
  <conditionalFormatting sqref="AA44">
    <cfRule type="expression" priority="963" dxfId="2">
      <formula>AND(AND($W44&lt;TODAY(),$W44&lt;&gt;""),$X44="")</formula>
    </cfRule>
  </conditionalFormatting>
  <conditionalFormatting sqref="AG44">
    <cfRule type="dataBar" priority="962">
      <dataBar>
        <cfvo type="min"/>
        <cfvo type="max"/>
        <color rgb="FF63C384"/>
      </dataBar>
    </cfRule>
    <cfRule type="dataBar" priority="961">
      <dataBar>
        <cfvo type="min"/>
        <cfvo type="max"/>
        <color rgb="FF63C384"/>
      </dataBar>
    </cfRule>
  </conditionalFormatting>
  <conditionalFormatting sqref="Q48">
    <cfRule type="cellIs" priority="960" operator="equal" dxfId="2034">
      <formula>"ja"</formula>
    </cfRule>
    <cfRule type="cellIs" priority="953" operator="equal" dxfId="2034">
      <formula>"ja"</formula>
    </cfRule>
  </conditionalFormatting>
  <conditionalFormatting sqref="AA48">
    <cfRule type="expression" priority="959" dxfId="2">
      <formula>AND(AND($W48&lt;TODAY(),$W48&lt;&gt;""),$X48="")</formula>
    </cfRule>
    <cfRule type="expression" priority="956" dxfId="2">
      <formula>AND(AND($W48&lt;TODAY(),$W48&lt;&gt;""),$X48="")</formula>
    </cfRule>
  </conditionalFormatting>
  <conditionalFormatting sqref="AG48">
    <cfRule type="dataBar" priority="958">
      <dataBar>
        <cfvo type="min"/>
        <cfvo type="max"/>
        <color rgb="FF63C384"/>
      </dataBar>
    </cfRule>
    <cfRule type="dataBar" priority="957">
      <dataBar>
        <cfvo type="min"/>
        <cfvo type="max"/>
        <color rgb="FF63C384"/>
      </dataBar>
    </cfRule>
    <cfRule type="dataBar" priority="955">
      <dataBar>
        <cfvo type="min"/>
        <cfvo type="max"/>
        <color rgb="FF63C384"/>
      </dataBar>
    </cfRule>
    <cfRule type="dataBar" priority="954">
      <dataBar>
        <cfvo type="min"/>
        <cfvo type="max"/>
        <color rgb="FF63C384"/>
      </dataBar>
    </cfRule>
  </conditionalFormatting>
  <conditionalFormatting sqref="AA49">
    <cfRule type="expression" priority="952" dxfId="2">
      <formula>AND(AND($W49&lt;TODAY(),$W49&lt;&gt;""),$X49="")</formula>
    </cfRule>
  </conditionalFormatting>
  <conditionalFormatting sqref="Q49">
    <cfRule type="cellIs" priority="951" operator="equal" dxfId="2034">
      <formula>"ja"</formula>
    </cfRule>
  </conditionalFormatting>
  <conditionalFormatting sqref="AG49">
    <cfRule type="dataBar" priority="950">
      <dataBar>
        <cfvo type="min"/>
        <cfvo type="max"/>
        <color rgb="FF63C384"/>
      </dataBar>
    </cfRule>
    <cfRule type="dataBar" priority="949">
      <dataBar>
        <cfvo type="min"/>
        <cfvo type="max"/>
        <color rgb="FF63C384"/>
      </dataBar>
    </cfRule>
  </conditionalFormatting>
  <conditionalFormatting sqref="Q50">
    <cfRule type="cellIs" priority="948" operator="equal" dxfId="2034">
      <formula>"ja"</formula>
    </cfRule>
  </conditionalFormatting>
  <conditionalFormatting sqref="AA50">
    <cfRule type="expression" priority="947" dxfId="2">
      <formula>AND(AND($W50&lt;TODAY(),$W50&lt;&gt;""),$X50="")</formula>
    </cfRule>
  </conditionalFormatting>
  <conditionalFormatting sqref="AG50">
    <cfRule type="dataBar" priority="946">
      <dataBar>
        <cfvo type="min"/>
        <cfvo type="max"/>
        <color rgb="FF63C384"/>
      </dataBar>
    </cfRule>
    <cfRule type="dataBar" priority="945">
      <dataBar>
        <cfvo type="min"/>
        <cfvo type="max"/>
        <color rgb="FF63C384"/>
      </dataBar>
    </cfRule>
  </conditionalFormatting>
  <conditionalFormatting sqref="Q51">
    <cfRule type="cellIs" priority="944" operator="equal" dxfId="2034">
      <formula>"ja"</formula>
    </cfRule>
  </conditionalFormatting>
  <conditionalFormatting sqref="AA51">
    <cfRule type="expression" priority="943" dxfId="2">
      <formula>AND(AND($W51&lt;TODAY(),$W51&lt;&gt;""),$X51="")</formula>
    </cfRule>
  </conditionalFormatting>
  <conditionalFormatting sqref="AG51">
    <cfRule type="dataBar" priority="942">
      <dataBar>
        <cfvo type="min"/>
        <cfvo type="max"/>
        <color rgb="FF63C384"/>
      </dataBar>
    </cfRule>
    <cfRule type="dataBar" priority="941">
      <dataBar>
        <cfvo type="min"/>
        <cfvo type="max"/>
        <color rgb="FF63C384"/>
      </dataBar>
    </cfRule>
  </conditionalFormatting>
  <conditionalFormatting sqref="Q52">
    <cfRule type="cellIs" priority="940" operator="equal" dxfId="2034">
      <formula>"ja"</formula>
    </cfRule>
    <cfRule type="cellIs" priority="936" operator="equal" dxfId="2034">
      <formula>"ja"</formula>
    </cfRule>
  </conditionalFormatting>
  <conditionalFormatting sqref="AA52">
    <cfRule type="expression" priority="939" dxfId="2">
      <formula>AND(AND($W52&lt;TODAY(),$W52&lt;&gt;""),$X52="")</formula>
    </cfRule>
    <cfRule type="expression" priority="935" dxfId="2">
      <formula>AND(AND($W52&lt;TODAY(),$W52&lt;&gt;""),$X52="")</formula>
    </cfRule>
  </conditionalFormatting>
  <conditionalFormatting sqref="AG52">
    <cfRule type="dataBar" priority="938">
      <dataBar>
        <cfvo type="min"/>
        <cfvo type="max"/>
        <color rgb="FF63C384"/>
      </dataBar>
    </cfRule>
    <cfRule type="dataBar" priority="937">
      <dataBar>
        <cfvo type="min"/>
        <cfvo type="max"/>
        <color rgb="FF63C384"/>
      </dataBar>
    </cfRule>
    <cfRule type="dataBar" priority="934">
      <dataBar>
        <cfvo type="min"/>
        <cfvo type="max"/>
        <color rgb="FF63C384"/>
      </dataBar>
    </cfRule>
    <cfRule type="dataBar" priority="933">
      <dataBar>
        <cfvo type="min"/>
        <cfvo type="max"/>
        <color rgb="FF63C384"/>
      </dataBar>
    </cfRule>
  </conditionalFormatting>
  <conditionalFormatting sqref="AA53">
    <cfRule type="expression" priority="932" dxfId="2">
      <formula>AND(AND($W53&lt;TODAY(),$W53&lt;&gt;""),$X53="")</formula>
    </cfRule>
  </conditionalFormatting>
  <conditionalFormatting sqref="AG53">
    <cfRule type="dataBar" priority="931">
      <dataBar>
        <cfvo type="min"/>
        <cfvo type="max"/>
        <color rgb="FF63C384"/>
      </dataBar>
    </cfRule>
    <cfRule type="dataBar" priority="930">
      <dataBar>
        <cfvo type="min"/>
        <cfvo type="max"/>
        <color rgb="FF63C384"/>
      </dataBar>
    </cfRule>
  </conditionalFormatting>
  <conditionalFormatting sqref="Q53">
    <cfRule type="cellIs" priority="929" operator="equal" dxfId="2034">
      <formula>"ja"</formula>
    </cfRule>
  </conditionalFormatting>
  <conditionalFormatting sqref="Q54">
    <cfRule type="cellIs" priority="928" operator="equal" dxfId="2034">
      <formula>"ja"</formula>
    </cfRule>
    <cfRule type="cellIs" priority="923" operator="equal" dxfId="2034">
      <formula>"ja"</formula>
    </cfRule>
  </conditionalFormatting>
  <conditionalFormatting sqref="AA54">
    <cfRule type="expression" priority="927" dxfId="2">
      <formula>AND(AND($W54&lt;TODAY(),$W54&lt;&gt;""),$X54="")</formula>
    </cfRule>
    <cfRule type="expression" priority="924" dxfId="2">
      <formula>AND(AND($W54&lt;TODAY(),$W54&lt;&gt;""),$X54="")</formula>
    </cfRule>
  </conditionalFormatting>
  <conditionalFormatting sqref="AG54">
    <cfRule type="dataBar" priority="926">
      <dataBar>
        <cfvo type="min"/>
        <cfvo type="max"/>
        <color rgb="FF63C384"/>
      </dataBar>
    </cfRule>
    <cfRule type="dataBar" priority="925">
      <dataBar>
        <cfvo type="min"/>
        <cfvo type="max"/>
        <color rgb="FF63C384"/>
      </dataBar>
    </cfRule>
    <cfRule type="dataBar" priority="922">
      <dataBar>
        <cfvo type="min"/>
        <cfvo type="max"/>
        <color rgb="FF63C384"/>
      </dataBar>
    </cfRule>
    <cfRule type="dataBar" priority="921">
      <dataBar>
        <cfvo type="min"/>
        <cfvo type="max"/>
        <color rgb="FF63C384"/>
      </dataBar>
    </cfRule>
  </conditionalFormatting>
  <conditionalFormatting sqref="Q55">
    <cfRule type="cellIs" priority="920" operator="equal" dxfId="2034">
      <formula>"ja"</formula>
    </cfRule>
  </conditionalFormatting>
  <conditionalFormatting sqref="AA55">
    <cfRule type="expression" priority="919" dxfId="2">
      <formula>AND(AND($W55&lt;TODAY(),$W55&lt;&gt;""),$X55="")</formula>
    </cfRule>
  </conditionalFormatting>
  <conditionalFormatting sqref="AG55">
    <cfRule type="dataBar" priority="918">
      <dataBar>
        <cfvo type="min"/>
        <cfvo type="max"/>
        <color rgb="FF63C384"/>
      </dataBar>
    </cfRule>
    <cfRule type="dataBar" priority="917">
      <dataBar>
        <cfvo type="min"/>
        <cfvo type="max"/>
        <color rgb="FF63C384"/>
      </dataBar>
    </cfRule>
  </conditionalFormatting>
  <conditionalFormatting sqref="Q56">
    <cfRule type="cellIs" priority="916" operator="equal" dxfId="2034">
      <formula>"ja"</formula>
    </cfRule>
  </conditionalFormatting>
  <conditionalFormatting sqref="AA56">
    <cfRule type="expression" priority="915" dxfId="2">
      <formula>AND(AND($W56&lt;TODAY(),$W56&lt;&gt;""),$X56="")</formula>
    </cfRule>
  </conditionalFormatting>
  <conditionalFormatting sqref="AG56">
    <cfRule type="dataBar" priority="914">
      <dataBar>
        <cfvo type="min"/>
        <cfvo type="max"/>
        <color rgb="FF63C384"/>
      </dataBar>
    </cfRule>
    <cfRule type="dataBar" priority="913">
      <dataBar>
        <cfvo type="min"/>
        <cfvo type="max"/>
        <color rgb="FF63C384"/>
      </dataBar>
    </cfRule>
  </conditionalFormatting>
  <conditionalFormatting sqref="AA57">
    <cfRule type="expression" priority="912" dxfId="2">
      <formula>AND(AND($W57&lt;TODAY(),$W57&lt;&gt;""),$X57="")</formula>
    </cfRule>
    <cfRule type="expression" priority="907" dxfId="2">
      <formula>AND(AND($W57&lt;TODAY(),$W57&lt;&gt;""),$X57="")</formula>
    </cfRule>
  </conditionalFormatting>
  <conditionalFormatting sqref="Q57">
    <cfRule type="cellIs" priority="911" operator="equal" dxfId="2034">
      <formula>"ja"</formula>
    </cfRule>
    <cfRule type="cellIs" priority="908" operator="equal" dxfId="2034">
      <formula>"ja"</formula>
    </cfRule>
  </conditionalFormatting>
  <conditionalFormatting sqref="AG57">
    <cfRule type="dataBar" priority="910">
      <dataBar>
        <cfvo type="min"/>
        <cfvo type="max"/>
        <color rgb="FF63C384"/>
      </dataBar>
    </cfRule>
    <cfRule type="dataBar" priority="909">
      <dataBar>
        <cfvo type="min"/>
        <cfvo type="max"/>
        <color rgb="FF63C384"/>
      </dataBar>
    </cfRule>
    <cfRule type="dataBar" priority="906">
      <dataBar>
        <cfvo type="min"/>
        <cfvo type="max"/>
        <color rgb="FF63C384"/>
      </dataBar>
    </cfRule>
    <cfRule type="dataBar" priority="905">
      <dataBar>
        <cfvo type="min"/>
        <cfvo type="max"/>
        <color rgb="FF63C384"/>
      </dataBar>
    </cfRule>
  </conditionalFormatting>
  <conditionalFormatting sqref="Q58">
    <cfRule type="cellIs" priority="904" operator="equal" dxfId="2034">
      <formula>"ja"</formula>
    </cfRule>
  </conditionalFormatting>
  <conditionalFormatting sqref="AA58">
    <cfRule type="expression" priority="903" dxfId="2">
      <formula>AND(AND($W58&lt;TODAY(),$W58&lt;&gt;""),$X58="")</formula>
    </cfRule>
  </conditionalFormatting>
  <conditionalFormatting sqref="AG58">
    <cfRule type="dataBar" priority="902">
      <dataBar>
        <cfvo type="min"/>
        <cfvo type="max"/>
        <color rgb="FF63C384"/>
      </dataBar>
    </cfRule>
    <cfRule type="dataBar" priority="901">
      <dataBar>
        <cfvo type="min"/>
        <cfvo type="max"/>
        <color rgb="FF63C384"/>
      </dataBar>
    </cfRule>
  </conditionalFormatting>
  <conditionalFormatting sqref="Q59">
    <cfRule type="cellIs" priority="900" operator="equal" dxfId="2034">
      <formula>"ja"</formula>
    </cfRule>
    <cfRule type="cellIs" priority="888" operator="equal" dxfId="2034">
      <formula>"ja"</formula>
    </cfRule>
    <cfRule type="cellIs" priority="896" operator="equal" dxfId="2034">
      <formula>"ja"</formula>
    </cfRule>
    <cfRule type="cellIs" priority="892" operator="equal" dxfId="2034">
      <formula>"ja"</formula>
    </cfRule>
  </conditionalFormatting>
  <conditionalFormatting sqref="AA59">
    <cfRule type="expression" priority="887" dxfId="2">
      <formula>AND(AND($W59&lt;TODAY(),$W59&lt;&gt;""),$X59="")</formula>
    </cfRule>
    <cfRule type="expression" priority="899" dxfId="2">
      <formula>AND(AND($W59&lt;TODAY(),$W59&lt;&gt;""),$X59="")</formula>
    </cfRule>
    <cfRule type="expression" priority="895" dxfId="2">
      <formula>AND(AND($W59&lt;TODAY(),$W59&lt;&gt;""),$X59="")</formula>
    </cfRule>
    <cfRule type="expression" priority="891" dxfId="2">
      <formula>AND(AND($W59&lt;TODAY(),$W59&lt;&gt;""),$X59="")</formula>
    </cfRule>
  </conditionalFormatting>
  <conditionalFormatting sqref="AG59">
    <cfRule type="dataBar" priority="898">
      <dataBar>
        <cfvo type="min"/>
        <cfvo type="max"/>
        <color rgb="FF63C384"/>
      </dataBar>
    </cfRule>
    <cfRule type="dataBar" priority="897">
      <dataBar>
        <cfvo type="min"/>
        <cfvo type="max"/>
        <color rgb="FF63C384"/>
      </dataBar>
    </cfRule>
    <cfRule type="dataBar" priority="894">
      <dataBar>
        <cfvo type="min"/>
        <cfvo type="max"/>
        <color rgb="FF63C384"/>
      </dataBar>
    </cfRule>
    <cfRule type="dataBar" priority="893">
      <dataBar>
        <cfvo type="min"/>
        <cfvo type="max"/>
        <color rgb="FF63C384"/>
      </dataBar>
    </cfRule>
    <cfRule type="dataBar" priority="890">
      <dataBar>
        <cfvo type="min"/>
        <cfvo type="max"/>
        <color rgb="FF63C384"/>
      </dataBar>
    </cfRule>
    <cfRule type="dataBar" priority="889">
      <dataBar>
        <cfvo type="min"/>
        <cfvo type="max"/>
        <color rgb="FF63C384"/>
      </dataBar>
    </cfRule>
    <cfRule type="dataBar" priority="886">
      <dataBar>
        <cfvo type="min"/>
        <cfvo type="max"/>
        <color rgb="FF63C384"/>
      </dataBar>
    </cfRule>
    <cfRule type="dataBar" priority="885">
      <dataBar>
        <cfvo type="min"/>
        <cfvo type="max"/>
        <color rgb="FF63C384"/>
      </dataBar>
    </cfRule>
  </conditionalFormatting>
  <conditionalFormatting sqref="Q60">
    <cfRule type="cellIs" priority="884" operator="equal" dxfId="2034">
      <formula>"ja"</formula>
    </cfRule>
    <cfRule type="cellIs" priority="877" operator="equal" dxfId="2034">
      <formula>"ja"</formula>
    </cfRule>
  </conditionalFormatting>
  <conditionalFormatting sqref="AA60">
    <cfRule type="expression" priority="883" dxfId="2">
      <formula>AND(AND($W60&lt;TODAY(),$W60&lt;&gt;""),$X60="")</formula>
    </cfRule>
    <cfRule type="expression" priority="880" dxfId="2">
      <formula>AND(AND($W60&lt;TODAY(),$W60&lt;&gt;""),$X60="")</formula>
    </cfRule>
  </conditionalFormatting>
  <conditionalFormatting sqref="AG60">
    <cfRule type="dataBar" priority="882">
      <dataBar>
        <cfvo type="min"/>
        <cfvo type="max"/>
        <color rgb="FF63C384"/>
      </dataBar>
    </cfRule>
    <cfRule type="dataBar" priority="881">
      <dataBar>
        <cfvo type="min"/>
        <cfvo type="max"/>
        <color rgb="FF63C384"/>
      </dataBar>
    </cfRule>
    <cfRule type="dataBar" priority="879">
      <dataBar>
        <cfvo type="min"/>
        <cfvo type="max"/>
        <color rgb="FF63C384"/>
      </dataBar>
    </cfRule>
    <cfRule type="dataBar" priority="878">
      <dataBar>
        <cfvo type="min"/>
        <cfvo type="max"/>
        <color rgb="FF63C384"/>
      </dataBar>
    </cfRule>
  </conditionalFormatting>
  <conditionalFormatting sqref="AA61">
    <cfRule type="expression" priority="875" dxfId="2">
      <formula>AND(AND($W61&lt;TODAY(),$W61&lt;&gt;""),$X61="")</formula>
    </cfRule>
  </conditionalFormatting>
  <conditionalFormatting sqref="Q61">
    <cfRule type="cellIs" priority="876" operator="equal" dxfId="2034">
      <formula>"ja"</formula>
    </cfRule>
  </conditionalFormatting>
  <conditionalFormatting sqref="AG61">
    <cfRule type="dataBar" priority="874">
      <dataBar>
        <cfvo type="min"/>
        <cfvo type="max"/>
        <color rgb="FF63C384"/>
      </dataBar>
    </cfRule>
    <cfRule type="dataBar" priority="873">
      <dataBar>
        <cfvo type="min"/>
        <cfvo type="max"/>
        <color rgb="FF63C384"/>
      </dataBar>
    </cfRule>
  </conditionalFormatting>
  <conditionalFormatting sqref="Q62">
    <cfRule type="cellIs" priority="872" operator="equal" dxfId="2034">
      <formula>"ja"</formula>
    </cfRule>
  </conditionalFormatting>
  <conditionalFormatting sqref="AA62">
    <cfRule type="expression" priority="871" dxfId="2">
      <formula>AND(AND($W62&lt;TODAY(),$W62&lt;&gt;""),$X62="")</formula>
    </cfRule>
  </conditionalFormatting>
  <conditionalFormatting sqref="AG62">
    <cfRule type="dataBar" priority="870">
      <dataBar>
        <cfvo type="min"/>
        <cfvo type="max"/>
        <color rgb="FF63C384"/>
      </dataBar>
    </cfRule>
    <cfRule type="dataBar" priority="869">
      <dataBar>
        <cfvo type="min"/>
        <cfvo type="max"/>
        <color rgb="FF63C384"/>
      </dataBar>
    </cfRule>
  </conditionalFormatting>
  <conditionalFormatting sqref="Q63">
    <cfRule type="cellIs" priority="868" operator="equal" dxfId="2034">
      <formula>"ja"</formula>
    </cfRule>
  </conditionalFormatting>
  <conditionalFormatting sqref="AA63">
    <cfRule type="expression" priority="867" dxfId="2">
      <formula>AND(AND($W63&lt;TODAY(),$W63&lt;&gt;""),$X63="")</formula>
    </cfRule>
  </conditionalFormatting>
  <conditionalFormatting sqref="AG63">
    <cfRule type="dataBar" priority="866">
      <dataBar>
        <cfvo type="min"/>
        <cfvo type="max"/>
        <color rgb="FF63C384"/>
      </dataBar>
    </cfRule>
    <cfRule type="dataBar" priority="865">
      <dataBar>
        <cfvo type="min"/>
        <cfvo type="max"/>
        <color rgb="FF63C384"/>
      </dataBar>
    </cfRule>
  </conditionalFormatting>
  <conditionalFormatting sqref="Q64">
    <cfRule type="cellIs" priority="864" operator="equal" dxfId="2034">
      <formula>"ja"</formula>
    </cfRule>
    <cfRule type="cellIs" priority="859" operator="equal" dxfId="2034">
      <formula>"ja"</formula>
    </cfRule>
  </conditionalFormatting>
  <conditionalFormatting sqref="AA64">
    <cfRule type="expression" priority="863" dxfId="2">
      <formula>AND(AND($W64&lt;TODAY(),$W64&lt;&gt;""),$X64="")</formula>
    </cfRule>
    <cfRule type="expression" priority="860" dxfId="2">
      <formula>AND(AND($W64&lt;TODAY(),$W64&lt;&gt;""),$X64="")</formula>
    </cfRule>
  </conditionalFormatting>
  <conditionalFormatting sqref="AG64">
    <cfRule type="dataBar" priority="862">
      <dataBar>
        <cfvo type="min"/>
        <cfvo type="max"/>
        <color rgb="FF63C384"/>
      </dataBar>
    </cfRule>
    <cfRule type="dataBar" priority="861">
      <dataBar>
        <cfvo type="min"/>
        <cfvo type="max"/>
        <color rgb="FF63C384"/>
      </dataBar>
    </cfRule>
    <cfRule type="dataBar" priority="858">
      <dataBar>
        <cfvo type="min"/>
        <cfvo type="max"/>
        <color rgb="FF63C384"/>
      </dataBar>
    </cfRule>
    <cfRule type="dataBar" priority="857">
      <dataBar>
        <cfvo type="min"/>
        <cfvo type="max"/>
        <color rgb="FF63C384"/>
      </dataBar>
    </cfRule>
  </conditionalFormatting>
  <conditionalFormatting sqref="Q65">
    <cfRule type="cellIs" priority="856" operator="equal" dxfId="2034">
      <formula>"ja"</formula>
    </cfRule>
    <cfRule type="cellIs" priority="852" operator="equal" dxfId="2034">
      <formula>"ja"</formula>
    </cfRule>
    <cfRule type="cellIs" priority="848" operator="equal" dxfId="2034">
      <formula>"ja"</formula>
    </cfRule>
  </conditionalFormatting>
  <conditionalFormatting sqref="AA65">
    <cfRule type="expression" priority="855" dxfId="2">
      <formula>AND(AND($W65&lt;TODAY(),$W65&lt;&gt;""),$X65="")</formula>
    </cfRule>
    <cfRule type="expression" priority="851" dxfId="2">
      <formula>AND(AND($W65&lt;TODAY(),$W65&lt;&gt;""),$X65="")</formula>
    </cfRule>
    <cfRule type="expression" priority="847" dxfId="2">
      <formula>AND(AND($W65&lt;TODAY(),$W65&lt;&gt;""),$X65="")</formula>
    </cfRule>
  </conditionalFormatting>
  <conditionalFormatting sqref="AG65">
    <cfRule type="dataBar" priority="854">
      <dataBar>
        <cfvo type="min"/>
        <cfvo type="max"/>
        <color rgb="FF63C384"/>
      </dataBar>
    </cfRule>
    <cfRule type="dataBar" priority="853">
      <dataBar>
        <cfvo type="min"/>
        <cfvo type="max"/>
        <color rgb="FF63C384"/>
      </dataBar>
    </cfRule>
    <cfRule type="dataBar" priority="850">
      <dataBar>
        <cfvo type="min"/>
        <cfvo type="max"/>
        <color rgb="FF63C384"/>
      </dataBar>
    </cfRule>
    <cfRule type="dataBar" priority="849">
      <dataBar>
        <cfvo type="min"/>
        <cfvo type="max"/>
        <color rgb="FF63C384"/>
      </dataBar>
    </cfRule>
    <cfRule type="dataBar" priority="846">
      <dataBar>
        <cfvo type="min"/>
        <cfvo type="max"/>
        <color rgb="FF63C384"/>
      </dataBar>
    </cfRule>
    <cfRule type="dataBar" priority="845">
      <dataBar>
        <cfvo type="min"/>
        <cfvo type="max"/>
        <color rgb="FF63C384"/>
      </dataBar>
    </cfRule>
  </conditionalFormatting>
  <conditionalFormatting sqref="Q66">
    <cfRule type="cellIs" priority="844" operator="equal" dxfId="2034">
      <formula>"ja"</formula>
    </cfRule>
    <cfRule type="cellIs" priority="840" operator="equal" dxfId="2034">
      <formula>"ja"</formula>
    </cfRule>
  </conditionalFormatting>
  <conditionalFormatting sqref="AA66">
    <cfRule type="expression" priority="843" dxfId="2">
      <formula>AND(AND($W66&lt;TODAY(),$W66&lt;&gt;""),$X66="")</formula>
    </cfRule>
    <cfRule type="expression" priority="839" dxfId="2">
      <formula>AND(AND($W66&lt;TODAY(),$W66&lt;&gt;""),$X66="")</formula>
    </cfRule>
  </conditionalFormatting>
  <conditionalFormatting sqref="AG66">
    <cfRule type="dataBar" priority="842">
      <dataBar>
        <cfvo type="min"/>
        <cfvo type="max"/>
        <color rgb="FF63C384"/>
      </dataBar>
    </cfRule>
    <cfRule type="dataBar" priority="841">
      <dataBar>
        <cfvo type="min"/>
        <cfvo type="max"/>
        <color rgb="FF63C384"/>
      </dataBar>
    </cfRule>
    <cfRule type="dataBar" priority="838">
      <dataBar>
        <cfvo type="min"/>
        <cfvo type="max"/>
        <color rgb="FF63C384"/>
      </dataBar>
    </cfRule>
    <cfRule type="dataBar" priority="837">
      <dataBar>
        <cfvo type="min"/>
        <cfvo type="max"/>
        <color rgb="FF63C384"/>
      </dataBar>
    </cfRule>
  </conditionalFormatting>
  <conditionalFormatting sqref="Q67">
    <cfRule type="cellIs" priority="836" operator="equal" dxfId="2034">
      <formula>"ja"</formula>
    </cfRule>
    <cfRule type="cellIs" priority="829" operator="equal" dxfId="2034">
      <formula>"ja"</formula>
    </cfRule>
  </conditionalFormatting>
  <conditionalFormatting sqref="AA67">
    <cfRule type="expression" priority="835" dxfId="2">
      <formula>AND(AND($W67&lt;TODAY(),$W67&lt;&gt;""),$X67="")</formula>
    </cfRule>
    <cfRule type="expression" priority="832" dxfId="2">
      <formula>AND(AND($W67&lt;TODAY(),$W67&lt;&gt;""),$X67="")</formula>
    </cfRule>
  </conditionalFormatting>
  <conditionalFormatting sqref="AG67">
    <cfRule type="dataBar" priority="834">
      <dataBar>
        <cfvo type="min"/>
        <cfvo type="max"/>
        <color rgb="FF63C384"/>
      </dataBar>
    </cfRule>
    <cfRule type="dataBar" priority="833">
      <dataBar>
        <cfvo type="min"/>
        <cfvo type="max"/>
        <color rgb="FF63C384"/>
      </dataBar>
    </cfRule>
    <cfRule type="dataBar" priority="831">
      <dataBar>
        <cfvo type="min"/>
        <cfvo type="max"/>
        <color rgb="FF63C384"/>
      </dataBar>
    </cfRule>
    <cfRule type="dataBar" priority="830">
      <dataBar>
        <cfvo type="min"/>
        <cfvo type="max"/>
        <color rgb="FF63C384"/>
      </dataBar>
    </cfRule>
  </conditionalFormatting>
  <conditionalFormatting sqref="AA68">
    <cfRule type="expression" priority="828" dxfId="2">
      <formula>AND(AND($W68&lt;TODAY(),$W68&lt;&gt;""),$X68="")</formula>
    </cfRule>
  </conditionalFormatting>
  <conditionalFormatting sqref="AG68">
    <cfRule type="dataBar" priority="827">
      <dataBar>
        <cfvo type="min"/>
        <cfvo type="max"/>
        <color rgb="FF63C384"/>
      </dataBar>
    </cfRule>
    <cfRule type="dataBar" priority="826">
      <dataBar>
        <cfvo type="min"/>
        <cfvo type="max"/>
        <color rgb="FF63C384"/>
      </dataBar>
    </cfRule>
  </conditionalFormatting>
  <conditionalFormatting sqref="AA69">
    <cfRule type="expression" priority="825" dxfId="2">
      <formula>AND(AND($W69&lt;TODAY(),$W69&lt;&gt;""),$X69="")</formula>
    </cfRule>
  </conditionalFormatting>
  <conditionalFormatting sqref="AG69">
    <cfRule type="dataBar" priority="824">
      <dataBar>
        <cfvo type="min"/>
        <cfvo type="max"/>
        <color rgb="FF63C384"/>
      </dataBar>
    </cfRule>
    <cfRule type="dataBar" priority="823">
      <dataBar>
        <cfvo type="min"/>
        <cfvo type="max"/>
        <color rgb="FF63C384"/>
      </dataBar>
    </cfRule>
  </conditionalFormatting>
  <conditionalFormatting sqref="Q70:Q71">
    <cfRule type="cellIs" priority="822" operator="equal" dxfId="2034">
      <formula>"ja"</formula>
    </cfRule>
  </conditionalFormatting>
  <conditionalFormatting sqref="AA70:AA71">
    <cfRule type="expression" priority="821" dxfId="2">
      <formula>AND(AND($W70&lt;TODAY(),$W70&lt;&gt;""),$X70="")</formula>
    </cfRule>
  </conditionalFormatting>
  <conditionalFormatting sqref="AG70:AG71">
    <cfRule type="dataBar" priority="820">
      <dataBar>
        <cfvo type="min"/>
        <cfvo type="max"/>
        <color rgb="FF63C384"/>
      </dataBar>
    </cfRule>
    <cfRule type="dataBar" priority="819">
      <dataBar>
        <cfvo type="min"/>
        <cfvo type="max"/>
        <color rgb="FF63C384"/>
      </dataBar>
    </cfRule>
  </conditionalFormatting>
  <conditionalFormatting sqref="AA72">
    <cfRule type="expression" priority="818" dxfId="2">
      <formula>AND(AND($W72&lt;TODAY(),$W72&lt;&gt;""),$X72="")</formula>
    </cfRule>
  </conditionalFormatting>
  <conditionalFormatting sqref="AG72">
    <cfRule type="dataBar" priority="817">
      <dataBar>
        <cfvo type="min"/>
        <cfvo type="max"/>
        <color rgb="FF63C384"/>
      </dataBar>
    </cfRule>
    <cfRule type="dataBar" priority="816">
      <dataBar>
        <cfvo type="min"/>
        <cfvo type="max"/>
        <color rgb="FF63C384"/>
      </dataBar>
    </cfRule>
  </conditionalFormatting>
  <conditionalFormatting sqref="Q72">
    <cfRule type="cellIs" priority="815" operator="equal" dxfId="2034">
      <formula>"ja"</formula>
    </cfRule>
  </conditionalFormatting>
  <conditionalFormatting sqref="Q73">
    <cfRule type="cellIs" priority="814" operator="equal" dxfId="2034">
      <formula>"ja"</formula>
    </cfRule>
  </conditionalFormatting>
  <conditionalFormatting sqref="AA73">
    <cfRule type="expression" priority="813" dxfId="2">
      <formula>AND(AND($W73&lt;TODAY(),$W73&lt;&gt;""),$X73="")</formula>
    </cfRule>
  </conditionalFormatting>
  <conditionalFormatting sqref="AG73">
    <cfRule type="dataBar" priority="812">
      <dataBar>
        <cfvo type="min"/>
        <cfvo type="max"/>
        <color rgb="FF63C384"/>
      </dataBar>
    </cfRule>
    <cfRule type="dataBar" priority="811">
      <dataBar>
        <cfvo type="min"/>
        <cfvo type="max"/>
        <color rgb="FF63C384"/>
      </dataBar>
    </cfRule>
  </conditionalFormatting>
  <conditionalFormatting sqref="Q74">
    <cfRule type="cellIs" priority="810" operator="equal" dxfId="2034">
      <formula>"ja"</formula>
    </cfRule>
  </conditionalFormatting>
  <conditionalFormatting sqref="AA74">
    <cfRule type="expression" priority="809" dxfId="2">
      <formula>AND(AND($W74&lt;TODAY(),$W74&lt;&gt;""),$X74="")</formula>
    </cfRule>
  </conditionalFormatting>
  <conditionalFormatting sqref="AG74">
    <cfRule type="dataBar" priority="808">
      <dataBar>
        <cfvo type="min"/>
        <cfvo type="max"/>
        <color rgb="FF63C384"/>
      </dataBar>
    </cfRule>
    <cfRule type="dataBar" priority="807">
      <dataBar>
        <cfvo type="min"/>
        <cfvo type="max"/>
        <color rgb="FF63C384"/>
      </dataBar>
    </cfRule>
  </conditionalFormatting>
  <conditionalFormatting sqref="Q75">
    <cfRule type="cellIs" priority="806" operator="equal" dxfId="2034">
      <formula>"ja"</formula>
    </cfRule>
    <cfRule type="cellIs" priority="801" operator="equal" dxfId="2034">
      <formula>"ja"</formula>
    </cfRule>
  </conditionalFormatting>
  <conditionalFormatting sqref="AA75">
    <cfRule type="expression" priority="805" dxfId="2">
      <formula>AND(AND($W75&lt;TODAY(),$W75&lt;&gt;""),$X75="")</formula>
    </cfRule>
    <cfRule type="expression" priority="802" dxfId="2">
      <formula>AND(AND($W75&lt;TODAY(),$W75&lt;&gt;""),$X75="")</formula>
    </cfRule>
  </conditionalFormatting>
  <conditionalFormatting sqref="AG75">
    <cfRule type="dataBar" priority="804">
      <dataBar>
        <cfvo type="min"/>
        <cfvo type="max"/>
        <color rgb="FF63C384"/>
      </dataBar>
    </cfRule>
    <cfRule type="dataBar" priority="803">
      <dataBar>
        <cfvo type="min"/>
        <cfvo type="max"/>
        <color rgb="FF63C384"/>
      </dataBar>
    </cfRule>
    <cfRule type="dataBar" priority="800">
      <dataBar>
        <cfvo type="min"/>
        <cfvo type="max"/>
        <color rgb="FF63C384"/>
      </dataBar>
    </cfRule>
    <cfRule type="dataBar" priority="799">
      <dataBar>
        <cfvo type="min"/>
        <cfvo type="max"/>
        <color rgb="FF63C384"/>
      </dataBar>
    </cfRule>
  </conditionalFormatting>
  <conditionalFormatting sqref="AA76">
    <cfRule type="expression" priority="798" dxfId="2">
      <formula>AND(AND($W76&lt;TODAY(),$W76&lt;&gt;""),$X76="")</formula>
    </cfRule>
    <cfRule type="expression" priority="793" dxfId="2">
      <formula>AND(AND($W76&lt;TODAY(),$W76&lt;&gt;""),$X76="")</formula>
    </cfRule>
  </conditionalFormatting>
  <conditionalFormatting sqref="Q76">
    <cfRule type="cellIs" priority="797" operator="equal" dxfId="2034">
      <formula>"ja"</formula>
    </cfRule>
    <cfRule type="cellIs" priority="794" operator="equal" dxfId="2034">
      <formula>"ja"</formula>
    </cfRule>
  </conditionalFormatting>
  <conditionalFormatting sqref="AG76">
    <cfRule type="dataBar" priority="796">
      <dataBar>
        <cfvo type="min"/>
        <cfvo type="max"/>
        <color rgb="FF63C384"/>
      </dataBar>
    </cfRule>
    <cfRule type="dataBar" priority="795">
      <dataBar>
        <cfvo type="min"/>
        <cfvo type="max"/>
        <color rgb="FF63C384"/>
      </dataBar>
    </cfRule>
    <cfRule type="dataBar" priority="792">
      <dataBar>
        <cfvo type="min"/>
        <cfvo type="max"/>
        <color rgb="FF63C384"/>
      </dataBar>
    </cfRule>
    <cfRule type="dataBar" priority="791">
      <dataBar>
        <cfvo type="min"/>
        <cfvo type="max"/>
        <color rgb="FF63C384"/>
      </dataBar>
    </cfRule>
  </conditionalFormatting>
  <conditionalFormatting sqref="Q77">
    <cfRule type="cellIs" priority="790" operator="equal" dxfId="2034">
      <formula>"ja"</formula>
    </cfRule>
    <cfRule type="cellIs" priority="778" operator="equal" dxfId="2034">
      <formula>"ja"</formula>
    </cfRule>
    <cfRule type="cellIs" priority="786" operator="equal" dxfId="2034">
      <formula>"ja"</formula>
    </cfRule>
    <cfRule type="cellIs" priority="782" operator="equal" dxfId="2034">
      <formula>"ja"</formula>
    </cfRule>
  </conditionalFormatting>
  <conditionalFormatting sqref="AA77">
    <cfRule type="expression" priority="777" dxfId="2">
      <formula>AND(AND($W77&lt;TODAY(),$W77&lt;&gt;""),$X77="")</formula>
    </cfRule>
    <cfRule type="expression" priority="789" dxfId="2">
      <formula>AND(AND($W77&lt;TODAY(),$W77&lt;&gt;""),$X77="")</formula>
    </cfRule>
    <cfRule type="expression" priority="785" dxfId="2">
      <formula>AND(AND($W77&lt;TODAY(),$W77&lt;&gt;""),$X77="")</formula>
    </cfRule>
    <cfRule type="expression" priority="781" dxfId="2">
      <formula>AND(AND($W77&lt;TODAY(),$W77&lt;&gt;""),$X77="")</formula>
    </cfRule>
  </conditionalFormatting>
  <conditionalFormatting sqref="AG77">
    <cfRule type="dataBar" priority="788">
      <dataBar>
        <cfvo type="min"/>
        <cfvo type="max"/>
        <color rgb="FF63C384"/>
      </dataBar>
    </cfRule>
    <cfRule type="dataBar" priority="787">
      <dataBar>
        <cfvo type="min"/>
        <cfvo type="max"/>
        <color rgb="FF63C384"/>
      </dataBar>
    </cfRule>
    <cfRule type="dataBar" priority="784">
      <dataBar>
        <cfvo type="min"/>
        <cfvo type="max"/>
        <color rgb="FF63C384"/>
      </dataBar>
    </cfRule>
    <cfRule type="dataBar" priority="783">
      <dataBar>
        <cfvo type="min"/>
        <cfvo type="max"/>
        <color rgb="FF63C384"/>
      </dataBar>
    </cfRule>
    <cfRule type="dataBar" priority="780">
      <dataBar>
        <cfvo type="min"/>
        <cfvo type="max"/>
        <color rgb="FF63C384"/>
      </dataBar>
    </cfRule>
    <cfRule type="dataBar" priority="779">
      <dataBar>
        <cfvo type="min"/>
        <cfvo type="max"/>
        <color rgb="FF63C384"/>
      </dataBar>
    </cfRule>
    <cfRule type="dataBar" priority="776">
      <dataBar>
        <cfvo type="min"/>
        <cfvo type="max"/>
        <color rgb="FF63C384"/>
      </dataBar>
    </cfRule>
    <cfRule type="dataBar" priority="775">
      <dataBar>
        <cfvo type="min"/>
        <cfvo type="max"/>
        <color rgb="FF63C384"/>
      </dataBar>
    </cfRule>
  </conditionalFormatting>
  <conditionalFormatting sqref="Q78">
    <cfRule type="cellIs" priority="774" operator="equal" dxfId="2034">
      <formula>"ja"</formula>
    </cfRule>
    <cfRule type="cellIs" priority="767" operator="equal" dxfId="2034">
      <formula>"ja"</formula>
    </cfRule>
  </conditionalFormatting>
  <conditionalFormatting sqref="AA78">
    <cfRule type="expression" priority="773" dxfId="2">
      <formula>AND(AND($W78&lt;TODAY(),$W78&lt;&gt;""),$X78="")</formula>
    </cfRule>
    <cfRule type="expression" priority="770" dxfId="2">
      <formula>AND(AND($W78&lt;TODAY(),$W78&lt;&gt;""),$X78="")</formula>
    </cfRule>
  </conditionalFormatting>
  <conditionalFormatting sqref="AG78">
    <cfRule type="dataBar" priority="772">
      <dataBar>
        <cfvo type="min"/>
        <cfvo type="max"/>
        <color rgb="FF63C384"/>
      </dataBar>
    </cfRule>
    <cfRule type="dataBar" priority="771">
      <dataBar>
        <cfvo type="min"/>
        <cfvo type="max"/>
        <color rgb="FF63C384"/>
      </dataBar>
    </cfRule>
    <cfRule type="dataBar" priority="769">
      <dataBar>
        <cfvo type="min"/>
        <cfvo type="max"/>
        <color rgb="FF63C384"/>
      </dataBar>
    </cfRule>
    <cfRule type="dataBar" priority="768">
      <dataBar>
        <cfvo type="min"/>
        <cfvo type="max"/>
        <color rgb="FF63C384"/>
      </dataBar>
    </cfRule>
  </conditionalFormatting>
  <conditionalFormatting sqref="Q79">
    <cfRule type="cellIs" priority="766" operator="equal" dxfId="2034">
      <formula>"ja"</formula>
    </cfRule>
  </conditionalFormatting>
  <conditionalFormatting sqref="AA79">
    <cfRule type="expression" priority="765" dxfId="2">
      <formula>AND(AND($W79&lt;TODAY(),$W79&lt;&gt;""),$X79="")</formula>
    </cfRule>
  </conditionalFormatting>
  <conditionalFormatting sqref="AG79">
    <cfRule type="dataBar" priority="764">
      <dataBar>
        <cfvo type="min"/>
        <cfvo type="max"/>
        <color rgb="FF63C384"/>
      </dataBar>
    </cfRule>
    <cfRule type="dataBar" priority="763">
      <dataBar>
        <cfvo type="min"/>
        <cfvo type="max"/>
        <color rgb="FF63C384"/>
      </dataBar>
    </cfRule>
  </conditionalFormatting>
  <conditionalFormatting sqref="Q80">
    <cfRule type="cellIs" priority="762" operator="equal" dxfId="2034">
      <formula>"ja"</formula>
    </cfRule>
    <cfRule type="cellIs" priority="757" operator="equal" dxfId="2034">
      <formula>"ja"</formula>
    </cfRule>
  </conditionalFormatting>
  <conditionalFormatting sqref="AA80">
    <cfRule type="expression" priority="761" dxfId="2">
      <formula>AND(AND($W80&lt;TODAY(),$W80&lt;&gt;""),$X80="")</formula>
    </cfRule>
    <cfRule type="expression" priority="758" dxfId="2">
      <formula>AND(AND($W80&lt;TODAY(),$W80&lt;&gt;""),$X80="")</formula>
    </cfRule>
  </conditionalFormatting>
  <conditionalFormatting sqref="AG80">
    <cfRule type="dataBar" priority="760">
      <dataBar>
        <cfvo type="min"/>
        <cfvo type="max"/>
        <color rgb="FF63C384"/>
      </dataBar>
    </cfRule>
    <cfRule type="dataBar" priority="759">
      <dataBar>
        <cfvo type="min"/>
        <cfvo type="max"/>
        <color rgb="FF63C384"/>
      </dataBar>
    </cfRule>
    <cfRule type="dataBar" priority="756">
      <dataBar>
        <cfvo type="min"/>
        <cfvo type="max"/>
        <color rgb="FF63C384"/>
      </dataBar>
    </cfRule>
    <cfRule type="dataBar" priority="755">
      <dataBar>
        <cfvo type="min"/>
        <cfvo type="max"/>
        <color rgb="FF63C384"/>
      </dataBar>
    </cfRule>
  </conditionalFormatting>
  <conditionalFormatting sqref="Q81">
    <cfRule type="cellIs" priority="754" operator="equal" dxfId="2034">
      <formula>"ja"</formula>
    </cfRule>
    <cfRule type="cellIs" priority="750" operator="equal" dxfId="2034">
      <formula>"ja"</formula>
    </cfRule>
    <cfRule type="cellIs" priority="746" operator="equal" dxfId="2034">
      <formula>"ja"</formula>
    </cfRule>
  </conditionalFormatting>
  <conditionalFormatting sqref="AA81">
    <cfRule type="expression" priority="753" dxfId="2">
      <formula>AND(AND($W81&lt;TODAY(),$W81&lt;&gt;""),$X81="")</formula>
    </cfRule>
    <cfRule type="expression" priority="749" dxfId="2">
      <formula>AND(AND($W81&lt;TODAY(),$W81&lt;&gt;""),$X81="")</formula>
    </cfRule>
    <cfRule type="expression" priority="745" dxfId="2">
      <formula>AND(AND($W81&lt;TODAY(),$W81&lt;&gt;""),$X81="")</formula>
    </cfRule>
  </conditionalFormatting>
  <conditionalFormatting sqref="AG81">
    <cfRule type="dataBar" priority="752">
      <dataBar>
        <cfvo type="min"/>
        <cfvo type="max"/>
        <color rgb="FF63C384"/>
      </dataBar>
    </cfRule>
    <cfRule type="dataBar" priority="751">
      <dataBar>
        <cfvo type="min"/>
        <cfvo type="max"/>
        <color rgb="FF63C384"/>
      </dataBar>
    </cfRule>
    <cfRule type="dataBar" priority="748">
      <dataBar>
        <cfvo type="min"/>
        <cfvo type="max"/>
        <color rgb="FF63C384"/>
      </dataBar>
    </cfRule>
    <cfRule type="dataBar" priority="747">
      <dataBar>
        <cfvo type="min"/>
        <cfvo type="max"/>
        <color rgb="FF63C384"/>
      </dataBar>
    </cfRule>
    <cfRule type="dataBar" priority="744">
      <dataBar>
        <cfvo type="min"/>
        <cfvo type="max"/>
        <color rgb="FF63C384"/>
      </dataBar>
    </cfRule>
    <cfRule type="dataBar" priority="743">
      <dataBar>
        <cfvo type="min"/>
        <cfvo type="max"/>
        <color rgb="FF63C384"/>
      </dataBar>
    </cfRule>
  </conditionalFormatting>
  <conditionalFormatting sqref="Q82">
    <cfRule type="cellIs" priority="742" operator="equal" dxfId="2034">
      <formula>"ja"</formula>
    </cfRule>
  </conditionalFormatting>
  <conditionalFormatting sqref="AA82">
    <cfRule type="expression" priority="741" dxfId="2">
      <formula>AND(AND($W82&lt;TODAY(),$W82&lt;&gt;""),$X82="")</formula>
    </cfRule>
  </conditionalFormatting>
  <conditionalFormatting sqref="AG82">
    <cfRule type="dataBar" priority="740">
      <dataBar>
        <cfvo type="min"/>
        <cfvo type="max"/>
        <color rgb="FF63C384"/>
      </dataBar>
    </cfRule>
    <cfRule type="dataBar" priority="739">
      <dataBar>
        <cfvo type="min"/>
        <cfvo type="max"/>
        <color rgb="FF63C384"/>
      </dataBar>
    </cfRule>
  </conditionalFormatting>
  <conditionalFormatting sqref="Q83">
    <cfRule type="cellIs" priority="738" operator="equal" dxfId="2034">
      <formula>"ja"</formula>
    </cfRule>
    <cfRule type="cellIs" priority="734" operator="equal" dxfId="2034">
      <formula>"ja"</formula>
    </cfRule>
  </conditionalFormatting>
  <conditionalFormatting sqref="AA83">
    <cfRule type="expression" priority="737" dxfId="2">
      <formula>AND(AND($W83&lt;TODAY(),$W83&lt;&gt;""),$X83="")</formula>
    </cfRule>
    <cfRule type="expression" priority="733" dxfId="2">
      <formula>AND(AND($W83&lt;TODAY(),$W83&lt;&gt;""),$X83="")</formula>
    </cfRule>
  </conditionalFormatting>
  <conditionalFormatting sqref="AG83">
    <cfRule type="dataBar" priority="736">
      <dataBar>
        <cfvo type="min"/>
        <cfvo type="max"/>
        <color rgb="FF63C384"/>
      </dataBar>
    </cfRule>
    <cfRule type="dataBar" priority="735">
      <dataBar>
        <cfvo type="min"/>
        <cfvo type="max"/>
        <color rgb="FF63C384"/>
      </dataBar>
    </cfRule>
    <cfRule type="dataBar" priority="732">
      <dataBar>
        <cfvo type="min"/>
        <cfvo type="max"/>
        <color rgb="FF63C384"/>
      </dataBar>
    </cfRule>
    <cfRule type="dataBar" priority="731">
      <dataBar>
        <cfvo type="min"/>
        <cfvo type="max"/>
        <color rgb="FF63C384"/>
      </dataBar>
    </cfRule>
  </conditionalFormatting>
  <conditionalFormatting sqref="Q84">
    <cfRule type="cellIs" priority="730" operator="equal" dxfId="2034">
      <formula>"ja"</formula>
    </cfRule>
    <cfRule type="cellIs" priority="723" operator="equal" dxfId="2034">
      <formula>"ja"</formula>
    </cfRule>
  </conditionalFormatting>
  <conditionalFormatting sqref="AA84">
    <cfRule type="expression" priority="729" dxfId="2">
      <formula>AND(AND($W84&lt;TODAY(),$W84&lt;&gt;""),$X84="")</formula>
    </cfRule>
    <cfRule type="expression" priority="726" dxfId="2">
      <formula>AND(AND($W84&lt;TODAY(),$W84&lt;&gt;""),$X84="")</formula>
    </cfRule>
  </conditionalFormatting>
  <conditionalFormatting sqref="AG84">
    <cfRule type="dataBar" priority="728">
      <dataBar>
        <cfvo type="min"/>
        <cfvo type="max"/>
        <color rgb="FF63C384"/>
      </dataBar>
    </cfRule>
    <cfRule type="dataBar" priority="727">
      <dataBar>
        <cfvo type="min"/>
        <cfvo type="max"/>
        <color rgb="FF63C384"/>
      </dataBar>
    </cfRule>
    <cfRule type="dataBar" priority="725">
      <dataBar>
        <cfvo type="min"/>
        <cfvo type="max"/>
        <color rgb="FF63C384"/>
      </dataBar>
    </cfRule>
    <cfRule type="dataBar" priority="724">
      <dataBar>
        <cfvo type="min"/>
        <cfvo type="max"/>
        <color rgb="FF63C384"/>
      </dataBar>
    </cfRule>
  </conditionalFormatting>
  <conditionalFormatting sqref="AA85">
    <cfRule type="expression" priority="722" dxfId="2">
      <formula>AND(AND($W85&lt;TODAY(),$W85&lt;&gt;""),$X85="")</formula>
    </cfRule>
  </conditionalFormatting>
  <conditionalFormatting sqref="Q85">
    <cfRule type="cellIs" priority="721" operator="equal" dxfId="2034">
      <formula>"ja"</formula>
    </cfRule>
  </conditionalFormatting>
  <conditionalFormatting sqref="AG85">
    <cfRule type="dataBar" priority="720">
      <dataBar>
        <cfvo type="min"/>
        <cfvo type="max"/>
        <color rgb="FF63C384"/>
      </dataBar>
    </cfRule>
    <cfRule type="dataBar" priority="719">
      <dataBar>
        <cfvo type="min"/>
        <cfvo type="max"/>
        <color rgb="FF63C384"/>
      </dataBar>
    </cfRule>
  </conditionalFormatting>
  <conditionalFormatting sqref="AA86">
    <cfRule type="expression" priority="718" dxfId="2">
      <formula>AND(AND($W86&lt;TODAY(),$W86&lt;&gt;""),$X86="")</formula>
    </cfRule>
  </conditionalFormatting>
  <conditionalFormatting sqref="AG86">
    <cfRule type="dataBar" priority="717">
      <dataBar>
        <cfvo type="min"/>
        <cfvo type="max"/>
        <color rgb="FF63C384"/>
      </dataBar>
    </cfRule>
    <cfRule type="dataBar" priority="716">
      <dataBar>
        <cfvo type="min"/>
        <cfvo type="max"/>
        <color rgb="FF63C384"/>
      </dataBar>
    </cfRule>
  </conditionalFormatting>
  <conditionalFormatting sqref="Q86">
    <cfRule type="cellIs" priority="715" operator="equal" dxfId="2034">
      <formula>"ja"</formula>
    </cfRule>
  </conditionalFormatting>
  <conditionalFormatting sqref="Q87">
    <cfRule type="cellIs" priority="714" operator="equal" dxfId="2034">
      <formula>"ja"</formula>
    </cfRule>
  </conditionalFormatting>
  <conditionalFormatting sqref="AA87">
    <cfRule type="expression" priority="713" dxfId="2">
      <formula>AND(AND($W87&lt;TODAY(),$W87&lt;&gt;""),$X87="")</formula>
    </cfRule>
  </conditionalFormatting>
  <conditionalFormatting sqref="AG87">
    <cfRule type="dataBar" priority="712">
      <dataBar>
        <cfvo type="min"/>
        <cfvo type="max"/>
        <color rgb="FF63C384"/>
      </dataBar>
    </cfRule>
    <cfRule type="dataBar" priority="711">
      <dataBar>
        <cfvo type="min"/>
        <cfvo type="max"/>
        <color rgb="FF63C384"/>
      </dataBar>
    </cfRule>
  </conditionalFormatting>
  <conditionalFormatting sqref="Q88">
    <cfRule type="cellIs" priority="710" operator="equal" dxfId="2034">
      <formula>"ja"</formula>
    </cfRule>
  </conditionalFormatting>
  <conditionalFormatting sqref="AA88">
    <cfRule type="expression" priority="709" dxfId="2">
      <formula>AND(AND($W88&lt;TODAY(),$W88&lt;&gt;""),$X88="")</formula>
    </cfRule>
  </conditionalFormatting>
  <conditionalFormatting sqref="AG88">
    <cfRule type="dataBar" priority="708">
      <dataBar>
        <cfvo type="min"/>
        <cfvo type="max"/>
        <color rgb="FF63C384"/>
      </dataBar>
    </cfRule>
    <cfRule type="dataBar" priority="707">
      <dataBar>
        <cfvo type="min"/>
        <cfvo type="max"/>
        <color rgb="FF63C384"/>
      </dataBar>
    </cfRule>
  </conditionalFormatting>
  <conditionalFormatting sqref="Q89">
    <cfRule type="cellIs" priority="706" operator="equal" dxfId="2034">
      <formula>"ja"</formula>
    </cfRule>
    <cfRule type="cellIs" priority="694" operator="equal" dxfId="2034">
      <formula>"ja"</formula>
    </cfRule>
    <cfRule type="cellIs" priority="702" operator="equal" dxfId="2034">
      <formula>"ja"</formula>
    </cfRule>
    <cfRule type="cellIs" priority="698" operator="equal" dxfId="2034">
      <formula>"ja"</formula>
    </cfRule>
  </conditionalFormatting>
  <conditionalFormatting sqref="AA89">
    <cfRule type="expression" priority="693" dxfId="2">
      <formula>AND(AND($W89&lt;TODAY(),$W89&lt;&gt;""),$X89="")</formula>
    </cfRule>
    <cfRule type="expression" priority="705" dxfId="2">
      <formula>AND(AND($W89&lt;TODAY(),$W89&lt;&gt;""),$X89="")</formula>
    </cfRule>
    <cfRule type="expression" priority="701" dxfId="2">
      <formula>AND(AND($W89&lt;TODAY(),$W89&lt;&gt;""),$X89="")</formula>
    </cfRule>
    <cfRule type="expression" priority="697" dxfId="2">
      <formula>AND(AND($W89&lt;TODAY(),$W89&lt;&gt;""),$X89="")</formula>
    </cfRule>
  </conditionalFormatting>
  <conditionalFormatting sqref="AG89">
    <cfRule type="dataBar" priority="704">
      <dataBar>
        <cfvo type="min"/>
        <cfvo type="max"/>
        <color rgb="FF63C384"/>
      </dataBar>
    </cfRule>
    <cfRule type="dataBar" priority="703">
      <dataBar>
        <cfvo type="min"/>
        <cfvo type="max"/>
        <color rgb="FF63C384"/>
      </dataBar>
    </cfRule>
    <cfRule type="dataBar" priority="700">
      <dataBar>
        <cfvo type="min"/>
        <cfvo type="max"/>
        <color rgb="FF63C384"/>
      </dataBar>
    </cfRule>
    <cfRule type="dataBar" priority="699">
      <dataBar>
        <cfvo type="min"/>
        <cfvo type="max"/>
        <color rgb="FF63C384"/>
      </dataBar>
    </cfRule>
    <cfRule type="dataBar" priority="696">
      <dataBar>
        <cfvo type="min"/>
        <cfvo type="max"/>
        <color rgb="FF63C384"/>
      </dataBar>
    </cfRule>
    <cfRule type="dataBar" priority="695">
      <dataBar>
        <cfvo type="min"/>
        <cfvo type="max"/>
        <color rgb="FF63C384"/>
      </dataBar>
    </cfRule>
    <cfRule type="dataBar" priority="692">
      <dataBar>
        <cfvo type="min"/>
        <cfvo type="max"/>
        <color rgb="FF63C384"/>
      </dataBar>
    </cfRule>
    <cfRule type="dataBar" priority="691">
      <dataBar>
        <cfvo type="min"/>
        <cfvo type="max"/>
        <color rgb="FF63C384"/>
      </dataBar>
    </cfRule>
  </conditionalFormatting>
  <conditionalFormatting sqref="Q90">
    <cfRule type="cellIs" priority="690" operator="equal" dxfId="2034">
      <formula>"ja"</formula>
    </cfRule>
    <cfRule type="cellIs" priority="683" operator="equal" dxfId="2034">
      <formula>"ja"</formula>
    </cfRule>
  </conditionalFormatting>
  <conditionalFormatting sqref="AA90">
    <cfRule type="expression" priority="689" dxfId="2">
      <formula>AND(AND($W90&lt;TODAY(),$W90&lt;&gt;""),$X90="")</formula>
    </cfRule>
    <cfRule type="expression" priority="686" dxfId="2">
      <formula>AND(AND($W90&lt;TODAY(),$W90&lt;&gt;""),$X90="")</formula>
    </cfRule>
  </conditionalFormatting>
  <conditionalFormatting sqref="AG90">
    <cfRule type="dataBar" priority="688">
      <dataBar>
        <cfvo type="min"/>
        <cfvo type="max"/>
        <color rgb="FF63C384"/>
      </dataBar>
    </cfRule>
    <cfRule type="dataBar" priority="687">
      <dataBar>
        <cfvo type="min"/>
        <cfvo type="max"/>
        <color rgb="FF63C384"/>
      </dataBar>
    </cfRule>
    <cfRule type="dataBar" priority="685">
      <dataBar>
        <cfvo type="min"/>
        <cfvo type="max"/>
        <color rgb="FF63C384"/>
      </dataBar>
    </cfRule>
    <cfRule type="dataBar" priority="684">
      <dataBar>
        <cfvo type="min"/>
        <cfvo type="max"/>
        <color rgb="FF63C384"/>
      </dataBar>
    </cfRule>
  </conditionalFormatting>
  <conditionalFormatting sqref="Q91">
    <cfRule type="cellIs" priority="682" operator="equal" dxfId="2034">
      <formula>"ja"</formula>
    </cfRule>
    <cfRule type="cellIs" priority="677" operator="equal" dxfId="2034">
      <formula>"ja"</formula>
    </cfRule>
  </conditionalFormatting>
  <conditionalFormatting sqref="AA91">
    <cfRule type="expression" priority="681" dxfId="2">
      <formula>AND(AND($W91&lt;TODAY(),$W91&lt;&gt;""),$X91="")</formula>
    </cfRule>
    <cfRule type="expression" priority="678" dxfId="2">
      <formula>AND(AND($W91&lt;TODAY(),$W91&lt;&gt;""),$X91="")</formula>
    </cfRule>
  </conditionalFormatting>
  <conditionalFormatting sqref="AG91">
    <cfRule type="dataBar" priority="680">
      <dataBar>
        <cfvo type="min"/>
        <cfvo type="max"/>
        <color rgb="FF63C384"/>
      </dataBar>
    </cfRule>
    <cfRule type="dataBar" priority="679">
      <dataBar>
        <cfvo type="min"/>
        <cfvo type="max"/>
        <color rgb="FF63C384"/>
      </dataBar>
    </cfRule>
    <cfRule type="dataBar" priority="676">
      <dataBar>
        <cfvo type="min"/>
        <cfvo type="max"/>
        <color rgb="FF63C384"/>
      </dataBar>
    </cfRule>
    <cfRule type="dataBar" priority="675">
      <dataBar>
        <cfvo type="min"/>
        <cfvo type="max"/>
        <color rgb="FF63C384"/>
      </dataBar>
    </cfRule>
  </conditionalFormatting>
  <conditionalFormatting sqref="Q92">
    <cfRule type="cellIs" priority="674" operator="equal" dxfId="2034">
      <formula>"ja"</formula>
    </cfRule>
    <cfRule type="cellIs" priority="667" operator="equal" dxfId="2034">
      <formula>"ja"</formula>
    </cfRule>
  </conditionalFormatting>
  <conditionalFormatting sqref="AA92">
    <cfRule type="expression" priority="673" dxfId="2">
      <formula>AND(AND($W92&lt;TODAY(),$W92&lt;&gt;""),$X92="")</formula>
    </cfRule>
    <cfRule type="expression" priority="670" dxfId="2">
      <formula>AND(AND($W92&lt;TODAY(),$W92&lt;&gt;""),$X92="")</formula>
    </cfRule>
  </conditionalFormatting>
  <conditionalFormatting sqref="AG92">
    <cfRule type="dataBar" priority="672">
      <dataBar>
        <cfvo type="min"/>
        <cfvo type="max"/>
        <color rgb="FF63C384"/>
      </dataBar>
    </cfRule>
    <cfRule type="dataBar" priority="671">
      <dataBar>
        <cfvo type="min"/>
        <cfvo type="max"/>
        <color rgb="FF63C384"/>
      </dataBar>
    </cfRule>
    <cfRule type="dataBar" priority="669">
      <dataBar>
        <cfvo type="min"/>
        <cfvo type="max"/>
        <color rgb="FF63C384"/>
      </dataBar>
    </cfRule>
    <cfRule type="dataBar" priority="668">
      <dataBar>
        <cfvo type="min"/>
        <cfvo type="max"/>
        <color rgb="FF63C384"/>
      </dataBar>
    </cfRule>
  </conditionalFormatting>
  <conditionalFormatting sqref="Q93">
    <cfRule type="cellIs" priority="666" operator="equal" dxfId="2034">
      <formula>"ja"</formula>
    </cfRule>
  </conditionalFormatting>
  <conditionalFormatting sqref="AA93">
    <cfRule type="expression" priority="665" dxfId="2">
      <formula>AND(AND($W93&lt;TODAY(),$W93&lt;&gt;""),$X93="")</formula>
    </cfRule>
  </conditionalFormatting>
  <conditionalFormatting sqref="AG93">
    <cfRule type="dataBar" priority="664">
      <dataBar>
        <cfvo type="min"/>
        <cfvo type="max"/>
        <color rgb="FF63C384"/>
      </dataBar>
    </cfRule>
    <cfRule type="dataBar" priority="663">
      <dataBar>
        <cfvo type="min"/>
        <cfvo type="max"/>
        <color rgb="FF63C384"/>
      </dataBar>
    </cfRule>
  </conditionalFormatting>
  <conditionalFormatting sqref="AA94">
    <cfRule type="expression" priority="662" dxfId="2">
      <formula>AND(AND($W94&lt;TODAY(),$W94&lt;&gt;""),$X94="")</formula>
    </cfRule>
  </conditionalFormatting>
  <conditionalFormatting sqref="AG94">
    <cfRule type="dataBar" priority="661">
      <dataBar>
        <cfvo type="min"/>
        <cfvo type="max"/>
        <color rgb="FF63C384"/>
      </dataBar>
    </cfRule>
    <cfRule type="dataBar" priority="660">
      <dataBar>
        <cfvo type="min"/>
        <cfvo type="max"/>
        <color rgb="FF63C384"/>
      </dataBar>
    </cfRule>
  </conditionalFormatting>
  <conditionalFormatting sqref="Q95">
    <cfRule type="cellIs" priority="659" operator="equal" dxfId="2034">
      <formula>"ja"</formula>
    </cfRule>
    <cfRule type="cellIs" priority="654" operator="equal" dxfId="2034">
      <formula>"ja"</formula>
    </cfRule>
  </conditionalFormatting>
  <conditionalFormatting sqref="AA95">
    <cfRule type="expression" priority="658" dxfId="2">
      <formula>AND(AND($W95&lt;TODAY(),$W95&lt;&gt;""),$X95="")</formula>
    </cfRule>
    <cfRule type="expression" priority="655" dxfId="2">
      <formula>AND(AND($W95&lt;TODAY(),$W95&lt;&gt;""),$X95="")</formula>
    </cfRule>
  </conditionalFormatting>
  <conditionalFormatting sqref="AG95">
    <cfRule type="dataBar" priority="657">
      <dataBar>
        <cfvo type="min"/>
        <cfvo type="max"/>
        <color rgb="FF63C384"/>
      </dataBar>
    </cfRule>
    <cfRule type="dataBar" priority="656">
      <dataBar>
        <cfvo type="min"/>
        <cfvo type="max"/>
        <color rgb="FF63C384"/>
      </dataBar>
    </cfRule>
    <cfRule type="dataBar" priority="653">
      <dataBar>
        <cfvo type="min"/>
        <cfvo type="max"/>
        <color rgb="FF63C384"/>
      </dataBar>
    </cfRule>
    <cfRule type="dataBar" priority="652">
      <dataBar>
        <cfvo type="min"/>
        <cfvo type="max"/>
        <color rgb="FF63C384"/>
      </dataBar>
    </cfRule>
  </conditionalFormatting>
  <conditionalFormatting sqref="Q96">
    <cfRule type="cellIs" priority="651" operator="equal" dxfId="2034">
      <formula>"ja"</formula>
    </cfRule>
  </conditionalFormatting>
  <conditionalFormatting sqref="AA96">
    <cfRule type="expression" priority="650" dxfId="2">
      <formula>AND(AND($W96&lt;TODAY(),$W96&lt;&gt;""),$X96="")</formula>
    </cfRule>
  </conditionalFormatting>
  <conditionalFormatting sqref="AG96">
    <cfRule type="dataBar" priority="649">
      <dataBar>
        <cfvo type="min"/>
        <cfvo type="max"/>
        <color rgb="FF63C384"/>
      </dataBar>
    </cfRule>
    <cfRule type="dataBar" priority="648">
      <dataBar>
        <cfvo type="min"/>
        <cfvo type="max"/>
        <color rgb="FF63C384"/>
      </dataBar>
    </cfRule>
  </conditionalFormatting>
  <conditionalFormatting sqref="Q97">
    <cfRule type="cellIs" priority="647" operator="equal" dxfId="2034">
      <formula>"ja"</formula>
    </cfRule>
    <cfRule type="cellIs" priority="643" operator="equal" dxfId="2034">
      <formula>"ja"</formula>
    </cfRule>
    <cfRule type="cellIs" priority="639" operator="equal" dxfId="2034">
      <formula>"ja"</formula>
    </cfRule>
  </conditionalFormatting>
  <conditionalFormatting sqref="AA97">
    <cfRule type="expression" priority="646" dxfId="2">
      <formula>AND(AND($W97&lt;TODAY(),$W97&lt;&gt;""),$X97="")</formula>
    </cfRule>
    <cfRule type="expression" priority="642" dxfId="2">
      <formula>AND(AND($W97&lt;TODAY(),$W97&lt;&gt;""),$X97="")</formula>
    </cfRule>
    <cfRule type="expression" priority="638" dxfId="2">
      <formula>AND(AND($W97&lt;TODAY(),$W97&lt;&gt;""),$X97="")</formula>
    </cfRule>
  </conditionalFormatting>
  <conditionalFormatting sqref="AG97">
    <cfRule type="dataBar" priority="645">
      <dataBar>
        <cfvo type="min"/>
        <cfvo type="max"/>
        <color rgb="FF63C384"/>
      </dataBar>
    </cfRule>
    <cfRule type="dataBar" priority="644">
      <dataBar>
        <cfvo type="min"/>
        <cfvo type="max"/>
        <color rgb="FF63C384"/>
      </dataBar>
    </cfRule>
    <cfRule type="dataBar" priority="641">
      <dataBar>
        <cfvo type="min"/>
        <cfvo type="max"/>
        <color rgb="FF63C384"/>
      </dataBar>
    </cfRule>
    <cfRule type="dataBar" priority="640">
      <dataBar>
        <cfvo type="min"/>
        <cfvo type="max"/>
        <color rgb="FF63C384"/>
      </dataBar>
    </cfRule>
    <cfRule type="dataBar" priority="637">
      <dataBar>
        <cfvo type="min"/>
        <cfvo type="max"/>
        <color rgb="FF63C384"/>
      </dataBar>
    </cfRule>
    <cfRule type="dataBar" priority="636">
      <dataBar>
        <cfvo type="min"/>
        <cfvo type="max"/>
        <color rgb="FF63C384"/>
      </dataBar>
    </cfRule>
  </conditionalFormatting>
  <conditionalFormatting sqref="Q98:Q99">
    <cfRule type="cellIs" priority="635" operator="equal" dxfId="2034">
      <formula>"ja"</formula>
    </cfRule>
    <cfRule type="cellIs" priority="631" operator="equal" dxfId="2034">
      <formula>"ja"</formula>
    </cfRule>
  </conditionalFormatting>
  <conditionalFormatting sqref="AA98:AA99">
    <cfRule type="expression" priority="634" dxfId="2">
      <formula>AND(AND($W98&lt;TODAY(),$W98&lt;&gt;""),$X98="")</formula>
    </cfRule>
    <cfRule type="expression" priority="630" dxfId="2">
      <formula>AND(AND($W98&lt;TODAY(),$W98&lt;&gt;""),$X98="")</formula>
    </cfRule>
  </conditionalFormatting>
  <conditionalFormatting sqref="AG98:AG99">
    <cfRule type="dataBar" priority="633">
      <dataBar>
        <cfvo type="min"/>
        <cfvo type="max"/>
        <color rgb="FF63C384"/>
      </dataBar>
    </cfRule>
    <cfRule type="dataBar" priority="632">
      <dataBar>
        <cfvo type="min"/>
        <cfvo type="max"/>
        <color rgb="FF63C384"/>
      </dataBar>
    </cfRule>
    <cfRule type="dataBar" priority="629">
      <dataBar>
        <cfvo type="min"/>
        <cfvo type="max"/>
        <color rgb="FF63C384"/>
      </dataBar>
    </cfRule>
    <cfRule type="dataBar" priority="628">
      <dataBar>
        <cfvo type="min"/>
        <cfvo type="max"/>
        <color rgb="FF63C384"/>
      </dataBar>
    </cfRule>
  </conditionalFormatting>
  <conditionalFormatting sqref="Q100">
    <cfRule type="cellIs" priority="627" operator="equal" dxfId="2034">
      <formula>"ja"</formula>
    </cfRule>
    <cfRule type="cellIs" priority="620" operator="equal" dxfId="2034">
      <formula>"ja"</formula>
    </cfRule>
  </conditionalFormatting>
  <conditionalFormatting sqref="AA100">
    <cfRule type="expression" priority="626" dxfId="2">
      <formula>AND(AND($W100&lt;TODAY(),$W100&lt;&gt;""),$X100="")</formula>
    </cfRule>
    <cfRule type="expression" priority="623" dxfId="2">
      <formula>AND(AND($W100&lt;TODAY(),$W100&lt;&gt;""),$X100="")</formula>
    </cfRule>
  </conditionalFormatting>
  <conditionalFormatting sqref="AG100">
    <cfRule type="dataBar" priority="625">
      <dataBar>
        <cfvo type="min"/>
        <cfvo type="max"/>
        <color rgb="FF63C384"/>
      </dataBar>
    </cfRule>
    <cfRule type="dataBar" priority="624">
      <dataBar>
        <cfvo type="min"/>
        <cfvo type="max"/>
        <color rgb="FF63C384"/>
      </dataBar>
    </cfRule>
    <cfRule type="dataBar" priority="622">
      <dataBar>
        <cfvo type="min"/>
        <cfvo type="max"/>
        <color rgb="FF63C384"/>
      </dataBar>
    </cfRule>
    <cfRule type="dataBar" priority="621">
      <dataBar>
        <cfvo type="min"/>
        <cfvo type="max"/>
        <color rgb="FF63C384"/>
      </dataBar>
    </cfRule>
  </conditionalFormatting>
  <conditionalFormatting sqref="AA101">
    <cfRule type="expression" priority="619" dxfId="2">
      <formula>AND(AND($W101&lt;TODAY(),$W101&lt;&gt;""),$X101="")</formula>
    </cfRule>
  </conditionalFormatting>
  <conditionalFormatting sqref="AG101">
    <cfRule type="dataBar" priority="618">
      <dataBar>
        <cfvo type="min"/>
        <cfvo type="max"/>
        <color rgb="FF63C384"/>
      </dataBar>
    </cfRule>
    <cfRule type="dataBar" priority="617">
      <dataBar>
        <cfvo type="min"/>
        <cfvo type="max"/>
        <color rgb="FF63C384"/>
      </dataBar>
    </cfRule>
  </conditionalFormatting>
  <conditionalFormatting sqref="Q101">
    <cfRule type="cellIs" priority="616" operator="equal" dxfId="2034">
      <formula>"ja"</formula>
    </cfRule>
  </conditionalFormatting>
  <conditionalFormatting sqref="Q102">
    <cfRule type="cellIs" priority="615" operator="equal" dxfId="2034">
      <formula>"ja"</formula>
    </cfRule>
  </conditionalFormatting>
  <conditionalFormatting sqref="AA102">
    <cfRule type="expression" priority="614" dxfId="2">
      <formula>AND(AND($W102&lt;TODAY(),$W102&lt;&gt;""),$X102="")</formula>
    </cfRule>
  </conditionalFormatting>
  <conditionalFormatting sqref="AG102">
    <cfRule type="dataBar" priority="613">
      <dataBar>
        <cfvo type="min"/>
        <cfvo type="max"/>
        <color rgb="FF63C384"/>
      </dataBar>
    </cfRule>
    <cfRule type="dataBar" priority="612">
      <dataBar>
        <cfvo type="min"/>
        <cfvo type="max"/>
        <color rgb="FF63C384"/>
      </dataBar>
    </cfRule>
  </conditionalFormatting>
  <conditionalFormatting sqref="Q103">
    <cfRule type="cellIs" priority="611" operator="equal" dxfId="2034">
      <formula>"ja"</formula>
    </cfRule>
  </conditionalFormatting>
  <conditionalFormatting sqref="AA103">
    <cfRule type="expression" priority="610" dxfId="2">
      <formula>AND(AND($W103&lt;TODAY(),$W103&lt;&gt;""),$X103="")</formula>
    </cfRule>
  </conditionalFormatting>
  <conditionalFormatting sqref="AG103">
    <cfRule type="dataBar" priority="609">
      <dataBar>
        <cfvo type="min"/>
        <cfvo type="max"/>
        <color rgb="FF63C384"/>
      </dataBar>
    </cfRule>
    <cfRule type="dataBar" priority="608">
      <dataBar>
        <cfvo type="min"/>
        <cfvo type="max"/>
        <color rgb="FF63C384"/>
      </dataBar>
    </cfRule>
  </conditionalFormatting>
  <conditionalFormatting sqref="Q104">
    <cfRule type="cellIs" priority="607" operator="equal" dxfId="2034">
      <formula>"ja"</formula>
    </cfRule>
  </conditionalFormatting>
  <conditionalFormatting sqref="AA104">
    <cfRule type="expression" priority="606" dxfId="2">
      <formula>AND(AND($W104&lt;TODAY(),$W104&lt;&gt;""),$X104="")</formula>
    </cfRule>
  </conditionalFormatting>
  <conditionalFormatting sqref="AG104">
    <cfRule type="dataBar" priority="605">
      <dataBar>
        <cfvo type="min"/>
        <cfvo type="max"/>
        <color rgb="FF63C384"/>
      </dataBar>
    </cfRule>
    <cfRule type="dataBar" priority="604">
      <dataBar>
        <cfvo type="min"/>
        <cfvo type="max"/>
        <color rgb="FF63C384"/>
      </dataBar>
    </cfRule>
  </conditionalFormatting>
  <conditionalFormatting sqref="Q105">
    <cfRule type="cellIs" priority="603" operator="equal" dxfId="2034">
      <formula>"ja"</formula>
    </cfRule>
    <cfRule type="cellIs" priority="599" operator="equal" dxfId="2034">
      <formula>"ja"</formula>
    </cfRule>
  </conditionalFormatting>
  <conditionalFormatting sqref="AA105">
    <cfRule type="expression" priority="602" dxfId="2">
      <formula>AND(AND($W105&lt;TODAY(),$W105&lt;&gt;""),$X105="")</formula>
    </cfRule>
    <cfRule type="expression" priority="598" dxfId="2">
      <formula>AND(AND($W105&lt;TODAY(),$W105&lt;&gt;""),$X105="")</formula>
    </cfRule>
  </conditionalFormatting>
  <conditionalFormatting sqref="AG105">
    <cfRule type="dataBar" priority="601">
      <dataBar>
        <cfvo type="min"/>
        <cfvo type="max"/>
        <color rgb="FF63C384"/>
      </dataBar>
    </cfRule>
    <cfRule type="dataBar" priority="600">
      <dataBar>
        <cfvo type="min"/>
        <cfvo type="max"/>
        <color rgb="FF63C384"/>
      </dataBar>
    </cfRule>
    <cfRule type="dataBar" priority="597">
      <dataBar>
        <cfvo type="min"/>
        <cfvo type="max"/>
        <color rgb="FF63C384"/>
      </dataBar>
    </cfRule>
    <cfRule type="dataBar" priority="596">
      <dataBar>
        <cfvo type="min"/>
        <cfvo type="max"/>
        <color rgb="FF63C384"/>
      </dataBar>
    </cfRule>
  </conditionalFormatting>
  <conditionalFormatting sqref="Q106">
    <cfRule type="cellIs" priority="595" operator="equal" dxfId="2034">
      <formula>"ja"</formula>
    </cfRule>
  </conditionalFormatting>
  <conditionalFormatting sqref="AA106">
    <cfRule type="expression" priority="594" dxfId="2">
      <formula>AND(AND($W106&lt;TODAY(),$W106&lt;&gt;""),$X106="")</formula>
    </cfRule>
  </conditionalFormatting>
  <conditionalFormatting sqref="AG106">
    <cfRule type="dataBar" priority="593">
      <dataBar>
        <cfvo type="min"/>
        <cfvo type="max"/>
        <color rgb="FF63C384"/>
      </dataBar>
    </cfRule>
    <cfRule type="dataBar" priority="592">
      <dataBar>
        <cfvo type="min"/>
        <cfvo type="max"/>
        <color rgb="FF63C384"/>
      </dataBar>
    </cfRule>
  </conditionalFormatting>
  <conditionalFormatting sqref="Q107">
    <cfRule type="cellIs" priority="591" operator="equal" dxfId="2034">
      <formula>"ja"</formula>
    </cfRule>
    <cfRule type="cellIs" priority="579" operator="equal" dxfId="2034">
      <formula>"ja"</formula>
    </cfRule>
    <cfRule type="cellIs" priority="587" operator="equal" dxfId="2034">
      <formula>"ja"</formula>
    </cfRule>
    <cfRule type="cellIs" priority="583" operator="equal" dxfId="2034">
      <formula>"ja"</formula>
    </cfRule>
  </conditionalFormatting>
  <conditionalFormatting sqref="AA107">
    <cfRule type="expression" priority="578" dxfId="2">
      <formula>AND(AND($W107&lt;TODAY(),$W107&lt;&gt;""),$X107="")</formula>
    </cfRule>
    <cfRule type="expression" priority="590" dxfId="2">
      <formula>AND(AND($W107&lt;TODAY(),$W107&lt;&gt;""),$X107="")</formula>
    </cfRule>
    <cfRule type="expression" priority="586" dxfId="2">
      <formula>AND(AND($W107&lt;TODAY(),$W107&lt;&gt;""),$X107="")</formula>
    </cfRule>
    <cfRule type="expression" priority="582" dxfId="2">
      <formula>AND(AND($W107&lt;TODAY(),$W107&lt;&gt;""),$X107="")</formula>
    </cfRule>
  </conditionalFormatting>
  <conditionalFormatting sqref="AG107">
    <cfRule type="dataBar" priority="589">
      <dataBar>
        <cfvo type="min"/>
        <cfvo type="max"/>
        <color rgb="FF63C384"/>
      </dataBar>
    </cfRule>
    <cfRule type="dataBar" priority="588">
      <dataBar>
        <cfvo type="min"/>
        <cfvo type="max"/>
        <color rgb="FF63C384"/>
      </dataBar>
    </cfRule>
    <cfRule type="dataBar" priority="585">
      <dataBar>
        <cfvo type="min"/>
        <cfvo type="max"/>
        <color rgb="FF63C384"/>
      </dataBar>
    </cfRule>
    <cfRule type="dataBar" priority="584">
      <dataBar>
        <cfvo type="min"/>
        <cfvo type="max"/>
        <color rgb="FF63C384"/>
      </dataBar>
    </cfRule>
    <cfRule type="dataBar" priority="581">
      <dataBar>
        <cfvo type="min"/>
        <cfvo type="max"/>
        <color rgb="FF63C384"/>
      </dataBar>
    </cfRule>
    <cfRule type="dataBar" priority="580">
      <dataBar>
        <cfvo type="min"/>
        <cfvo type="max"/>
        <color rgb="FF63C384"/>
      </dataBar>
    </cfRule>
    <cfRule type="dataBar" priority="577">
      <dataBar>
        <cfvo type="min"/>
        <cfvo type="max"/>
        <color rgb="FF63C384"/>
      </dataBar>
    </cfRule>
    <cfRule type="dataBar" priority="576">
      <dataBar>
        <cfvo type="min"/>
        <cfvo type="max"/>
        <color rgb="FF63C384"/>
      </dataBar>
    </cfRule>
  </conditionalFormatting>
  <conditionalFormatting sqref="Q108">
    <cfRule type="cellIs" priority="575" operator="equal" dxfId="2034">
      <formula>"ja"</formula>
    </cfRule>
    <cfRule type="cellIs" priority="570" operator="equal" dxfId="2034">
      <formula>"ja"</formula>
    </cfRule>
  </conditionalFormatting>
  <conditionalFormatting sqref="AA108">
    <cfRule type="expression" priority="574" dxfId="2">
      <formula>AND(AND($W108&lt;TODAY(),$W108&lt;&gt;""),$X108="")</formula>
    </cfRule>
    <cfRule type="expression" priority="571" dxfId="2">
      <formula>AND(AND($W108&lt;TODAY(),$W108&lt;&gt;""),$X108="")</formula>
    </cfRule>
  </conditionalFormatting>
  <conditionalFormatting sqref="AG108">
    <cfRule type="dataBar" priority="573">
      <dataBar>
        <cfvo type="min"/>
        <cfvo type="max"/>
        <color rgb="FF63C384"/>
      </dataBar>
    </cfRule>
    <cfRule type="dataBar" priority="572">
      <dataBar>
        <cfvo type="min"/>
        <cfvo type="max"/>
        <color rgb="FF63C384"/>
      </dataBar>
    </cfRule>
    <cfRule type="dataBar" priority="569">
      <dataBar>
        <cfvo type="min"/>
        <cfvo type="max"/>
        <color rgb="FF63C384"/>
      </dataBar>
    </cfRule>
    <cfRule type="dataBar" priority="568">
      <dataBar>
        <cfvo type="min"/>
        <cfvo type="max"/>
        <color rgb="FF63C384"/>
      </dataBar>
    </cfRule>
  </conditionalFormatting>
  <conditionalFormatting sqref="Q109">
    <cfRule type="cellIs" priority="567" operator="equal" dxfId="2034">
      <formula>"ja"</formula>
    </cfRule>
    <cfRule type="cellIs" priority="560" operator="equal" dxfId="2034">
      <formula>"ja"</formula>
    </cfRule>
  </conditionalFormatting>
  <conditionalFormatting sqref="AA109">
    <cfRule type="expression" priority="566" dxfId="2">
      <formula>AND(AND($W109&lt;TODAY(),$W109&lt;&gt;""),$X109="")</formula>
    </cfRule>
    <cfRule type="expression" priority="563" dxfId="2">
      <formula>AND(AND($W109&lt;TODAY(),$W109&lt;&gt;""),$X109="")</formula>
    </cfRule>
  </conditionalFormatting>
  <conditionalFormatting sqref="AG109">
    <cfRule type="dataBar" priority="565">
      <dataBar>
        <cfvo type="min"/>
        <cfvo type="max"/>
        <color rgb="FF63C384"/>
      </dataBar>
    </cfRule>
    <cfRule type="dataBar" priority="564">
      <dataBar>
        <cfvo type="min"/>
        <cfvo type="max"/>
        <color rgb="FF63C384"/>
      </dataBar>
    </cfRule>
    <cfRule type="dataBar" priority="562">
      <dataBar>
        <cfvo type="min"/>
        <cfvo type="max"/>
        <color rgb="FF63C384"/>
      </dataBar>
    </cfRule>
    <cfRule type="dataBar" priority="561">
      <dataBar>
        <cfvo type="min"/>
        <cfvo type="max"/>
        <color rgb="FF63C384"/>
      </dataBar>
    </cfRule>
  </conditionalFormatting>
  <conditionalFormatting sqref="Q110">
    <cfRule type="cellIs" priority="559" operator="equal" dxfId="2034">
      <formula>"ja"</formula>
    </cfRule>
  </conditionalFormatting>
  <conditionalFormatting sqref="AA110">
    <cfRule type="expression" priority="558" dxfId="2">
      <formula>AND(AND($W110&lt;TODAY(),$W110&lt;&gt;""),$X110="")</formula>
    </cfRule>
  </conditionalFormatting>
  <conditionalFormatting sqref="AG110">
    <cfRule type="dataBar" priority="557">
      <dataBar>
        <cfvo type="min"/>
        <cfvo type="max"/>
        <color rgb="FF63C384"/>
      </dataBar>
    </cfRule>
    <cfRule type="dataBar" priority="556">
      <dataBar>
        <cfvo type="min"/>
        <cfvo type="max"/>
        <color rgb="FF63C384"/>
      </dataBar>
    </cfRule>
  </conditionalFormatting>
  <conditionalFormatting sqref="Q111">
    <cfRule type="cellIs" priority="555" operator="equal" dxfId="2034">
      <formula>"ja"</formula>
    </cfRule>
    <cfRule type="cellIs" priority="550" operator="equal" dxfId="2034">
      <formula>"ja"</formula>
    </cfRule>
  </conditionalFormatting>
  <conditionalFormatting sqref="AA111">
    <cfRule type="expression" priority="554" dxfId="2">
      <formula>AND(AND($W111&lt;TODAY(),$W111&lt;&gt;""),$X111="")</formula>
    </cfRule>
    <cfRule type="expression" priority="551" dxfId="2">
      <formula>AND(AND($W111&lt;TODAY(),$W111&lt;&gt;""),$X111="")</formula>
    </cfRule>
  </conditionalFormatting>
  <conditionalFormatting sqref="AG111">
    <cfRule type="dataBar" priority="553">
      <dataBar>
        <cfvo type="min"/>
        <cfvo type="max"/>
        <color rgb="FF63C384"/>
      </dataBar>
    </cfRule>
    <cfRule type="dataBar" priority="552">
      <dataBar>
        <cfvo type="min"/>
        <cfvo type="max"/>
        <color rgb="FF63C384"/>
      </dataBar>
    </cfRule>
    <cfRule type="dataBar" priority="549">
      <dataBar>
        <cfvo type="min"/>
        <cfvo type="max"/>
        <color rgb="FF63C384"/>
      </dataBar>
    </cfRule>
    <cfRule type="dataBar" priority="548">
      <dataBar>
        <cfvo type="min"/>
        <cfvo type="max"/>
        <color rgb="FF63C384"/>
      </dataBar>
    </cfRule>
  </conditionalFormatting>
  <conditionalFormatting sqref="Q112">
    <cfRule type="cellIs" priority="547" operator="equal" dxfId="2034">
      <formula>"ja"</formula>
    </cfRule>
    <cfRule type="cellIs" priority="543" operator="equal" dxfId="2034">
      <formula>"ja"</formula>
    </cfRule>
    <cfRule type="cellIs" priority="539" operator="equal" dxfId="2034">
      <formula>"ja"</formula>
    </cfRule>
  </conditionalFormatting>
  <conditionalFormatting sqref="AA112">
    <cfRule type="expression" priority="546" dxfId="2">
      <formula>AND(AND($W112&lt;TODAY(),$W112&lt;&gt;""),$X112="")</formula>
    </cfRule>
    <cfRule type="expression" priority="542" dxfId="2">
      <formula>AND(AND($W112&lt;TODAY(),$W112&lt;&gt;""),$X112="")</formula>
    </cfRule>
    <cfRule type="expression" priority="538" dxfId="2">
      <formula>AND(AND($W112&lt;TODAY(),$W112&lt;&gt;""),$X112="")</formula>
    </cfRule>
  </conditionalFormatting>
  <conditionalFormatting sqref="AG112">
    <cfRule type="dataBar" priority="545">
      <dataBar>
        <cfvo type="min"/>
        <cfvo type="max"/>
        <color rgb="FF63C384"/>
      </dataBar>
    </cfRule>
    <cfRule type="dataBar" priority="544">
      <dataBar>
        <cfvo type="min"/>
        <cfvo type="max"/>
        <color rgb="FF63C384"/>
      </dataBar>
    </cfRule>
    <cfRule type="dataBar" priority="541">
      <dataBar>
        <cfvo type="min"/>
        <cfvo type="max"/>
        <color rgb="FF63C384"/>
      </dataBar>
    </cfRule>
    <cfRule type="dataBar" priority="540">
      <dataBar>
        <cfvo type="min"/>
        <cfvo type="max"/>
        <color rgb="FF63C384"/>
      </dataBar>
    </cfRule>
    <cfRule type="dataBar" priority="537">
      <dataBar>
        <cfvo type="min"/>
        <cfvo type="max"/>
        <color rgb="FF63C384"/>
      </dataBar>
    </cfRule>
    <cfRule type="dataBar" priority="536">
      <dataBar>
        <cfvo type="min"/>
        <cfvo type="max"/>
        <color rgb="FF63C384"/>
      </dataBar>
    </cfRule>
  </conditionalFormatting>
  <conditionalFormatting sqref="Q113">
    <cfRule type="cellIs" priority="535" operator="equal" dxfId="2034">
      <formula>"ja"</formula>
    </cfRule>
  </conditionalFormatting>
  <conditionalFormatting sqref="AA113">
    <cfRule type="expression" priority="534" dxfId="2">
      <formula>AND(AND($W113&lt;TODAY(),$W113&lt;&gt;""),$X113="")</formula>
    </cfRule>
  </conditionalFormatting>
  <conditionalFormatting sqref="AG113">
    <cfRule type="dataBar" priority="533">
      <dataBar>
        <cfvo type="min"/>
        <cfvo type="max"/>
        <color rgb="FF63C384"/>
      </dataBar>
    </cfRule>
    <cfRule type="dataBar" priority="532">
      <dataBar>
        <cfvo type="min"/>
        <cfvo type="max"/>
        <color rgb="FF63C384"/>
      </dataBar>
    </cfRule>
  </conditionalFormatting>
  <conditionalFormatting sqref="Q114">
    <cfRule type="cellIs" priority="531" operator="equal" dxfId="2034">
      <formula>"ja"</formula>
    </cfRule>
    <cfRule type="cellIs" priority="524" operator="equal" dxfId="2034">
      <formula>"ja"</formula>
    </cfRule>
  </conditionalFormatting>
  <conditionalFormatting sqref="AA114">
    <cfRule type="expression" priority="530" dxfId="2">
      <formula>AND(AND($W114&lt;TODAY(),$W114&lt;&gt;""),$X114="")</formula>
    </cfRule>
    <cfRule type="expression" priority="527" dxfId="2">
      <formula>AND(AND($W114&lt;TODAY(),$W114&lt;&gt;""),$X114="")</formula>
    </cfRule>
  </conditionalFormatting>
  <conditionalFormatting sqref="AG114">
    <cfRule type="dataBar" priority="529">
      <dataBar>
        <cfvo type="min"/>
        <cfvo type="max"/>
        <color rgb="FF63C384"/>
      </dataBar>
    </cfRule>
    <cfRule type="dataBar" priority="528">
      <dataBar>
        <cfvo type="min"/>
        <cfvo type="max"/>
        <color rgb="FF63C384"/>
      </dataBar>
    </cfRule>
    <cfRule type="dataBar" priority="526">
      <dataBar>
        <cfvo type="min"/>
        <cfvo type="max"/>
        <color rgb="FF63C384"/>
      </dataBar>
    </cfRule>
    <cfRule type="dataBar" priority="525">
      <dataBar>
        <cfvo type="min"/>
        <cfvo type="max"/>
        <color rgb="FF63C384"/>
      </dataBar>
    </cfRule>
  </conditionalFormatting>
  <conditionalFormatting sqref="Q115">
    <cfRule type="cellIs" priority="523" operator="equal" dxfId="2034">
      <formula>"ja"</formula>
    </cfRule>
    <cfRule type="cellIs" priority="519" operator="equal" dxfId="2034">
      <formula>"ja"</formula>
    </cfRule>
  </conditionalFormatting>
  <conditionalFormatting sqref="AA115">
    <cfRule type="expression" priority="522" dxfId="2">
      <formula>AND(AND($W115&lt;TODAY(),$W115&lt;&gt;""),$X115="")</formula>
    </cfRule>
    <cfRule type="expression" priority="518" dxfId="2">
      <formula>AND(AND($W115&lt;TODAY(),$W115&lt;&gt;""),$X115="")</formula>
    </cfRule>
  </conditionalFormatting>
  <conditionalFormatting sqref="AG115">
    <cfRule type="dataBar" priority="521">
      <dataBar>
        <cfvo type="min"/>
        <cfvo type="max"/>
        <color rgb="FF63C384"/>
      </dataBar>
    </cfRule>
    <cfRule type="dataBar" priority="520">
      <dataBar>
        <cfvo type="min"/>
        <cfvo type="max"/>
        <color rgb="FF63C384"/>
      </dataBar>
    </cfRule>
    <cfRule type="dataBar" priority="517">
      <dataBar>
        <cfvo type="min"/>
        <cfvo type="max"/>
        <color rgb="FF63C384"/>
      </dataBar>
    </cfRule>
    <cfRule type="dataBar" priority="516">
      <dataBar>
        <cfvo type="min"/>
        <cfvo type="max"/>
        <color rgb="FF63C384"/>
      </dataBar>
    </cfRule>
  </conditionalFormatting>
  <conditionalFormatting sqref="Q116">
    <cfRule type="cellIs" priority="515" operator="equal" dxfId="2034">
      <formula>"ja"</formula>
    </cfRule>
  </conditionalFormatting>
  <conditionalFormatting sqref="AA116:AA117">
    <cfRule type="expression" priority="514" dxfId="2">
      <formula>AND(AND($W116&lt;TODAY(),$W116&lt;&gt;""),$X116="")</formula>
    </cfRule>
  </conditionalFormatting>
  <conditionalFormatting sqref="AG116:AG117">
    <cfRule type="dataBar" priority="513">
      <dataBar>
        <cfvo type="min"/>
        <cfvo type="max"/>
        <color rgb="FF63C384"/>
      </dataBar>
    </cfRule>
    <cfRule type="dataBar" priority="512">
      <dataBar>
        <cfvo type="min"/>
        <cfvo type="max"/>
        <color rgb="FF63C384"/>
      </dataBar>
    </cfRule>
  </conditionalFormatting>
  <conditionalFormatting sqref="AA118">
    <cfRule type="expression" priority="511" dxfId="2">
      <formula>AND(AND($W118&lt;TODAY(),$W118&lt;&gt;""),$X118="")</formula>
    </cfRule>
  </conditionalFormatting>
  <conditionalFormatting sqref="AG118">
    <cfRule type="dataBar" priority="510">
      <dataBar>
        <cfvo type="min"/>
        <cfvo type="max"/>
        <color rgb="FF63C384"/>
      </dataBar>
    </cfRule>
    <cfRule type="dataBar" priority="509">
      <dataBar>
        <cfvo type="min"/>
        <cfvo type="max"/>
        <color rgb="FF63C384"/>
      </dataBar>
    </cfRule>
  </conditionalFormatting>
  <conditionalFormatting sqref="Q118">
    <cfRule type="cellIs" priority="508" operator="equal" dxfId="2034">
      <formula>"ja"</formula>
    </cfRule>
  </conditionalFormatting>
  <conditionalFormatting sqref="AA119">
    <cfRule type="expression" priority="506" dxfId="2">
      <formula>AND(AND($W119&lt;TODAY(),$W119&lt;&gt;""),$X119="")</formula>
    </cfRule>
  </conditionalFormatting>
  <conditionalFormatting sqref="Q119">
    <cfRule type="cellIs" priority="507" operator="equal" dxfId="2034">
      <formula>"ja"</formula>
    </cfRule>
  </conditionalFormatting>
  <conditionalFormatting sqref="AG119">
    <cfRule type="dataBar" priority="505">
      <dataBar>
        <cfvo type="min"/>
        <cfvo type="max"/>
        <color rgb="FF63C384"/>
      </dataBar>
    </cfRule>
    <cfRule type="dataBar" priority="504">
      <dataBar>
        <cfvo type="min"/>
        <cfvo type="max"/>
        <color rgb="FF63C384"/>
      </dataBar>
    </cfRule>
  </conditionalFormatting>
  <conditionalFormatting sqref="AA120">
    <cfRule type="expression" priority="503" dxfId="2">
      <formula>AND(AND($W120&lt;TODAY(),$W120&lt;&gt;""),$X120="")</formula>
    </cfRule>
  </conditionalFormatting>
  <conditionalFormatting sqref="AG120">
    <cfRule type="dataBar" priority="502">
      <dataBar>
        <cfvo type="min"/>
        <cfvo type="max"/>
        <color rgb="FF63C384"/>
      </dataBar>
    </cfRule>
    <cfRule type="dataBar" priority="501">
      <dataBar>
        <cfvo type="min"/>
        <cfvo type="max"/>
        <color rgb="FF63C384"/>
      </dataBar>
    </cfRule>
  </conditionalFormatting>
  <conditionalFormatting sqref="Q120">
    <cfRule type="cellIs" priority="500" operator="equal" dxfId="2034">
      <formula>"ja"</formula>
    </cfRule>
  </conditionalFormatting>
  <conditionalFormatting sqref="Q121">
    <cfRule type="cellIs" priority="499" operator="equal" dxfId="2034">
      <formula>"ja"</formula>
    </cfRule>
    <cfRule type="cellIs" priority="494" operator="equal" dxfId="2034">
      <formula>"ja"</formula>
    </cfRule>
  </conditionalFormatting>
  <conditionalFormatting sqref="AA121">
    <cfRule type="expression" priority="498" dxfId="2">
      <formula>AND(AND($W121&lt;TODAY(),$W121&lt;&gt;""),$X121="")</formula>
    </cfRule>
    <cfRule type="expression" priority="495" dxfId="2">
      <formula>AND(AND($W121&lt;TODAY(),$W121&lt;&gt;""),$X121="")</formula>
    </cfRule>
  </conditionalFormatting>
  <conditionalFormatting sqref="AG121">
    <cfRule type="dataBar" priority="497">
      <dataBar>
        <cfvo type="min"/>
        <cfvo type="max"/>
        <color rgb="FF63C384"/>
      </dataBar>
    </cfRule>
    <cfRule type="dataBar" priority="496">
      <dataBar>
        <cfvo type="min"/>
        <cfvo type="max"/>
        <color rgb="FF63C384"/>
      </dataBar>
    </cfRule>
    <cfRule type="dataBar" priority="493">
      <dataBar>
        <cfvo type="min"/>
        <cfvo type="max"/>
        <color rgb="FF63C384"/>
      </dataBar>
    </cfRule>
    <cfRule type="dataBar" priority="492">
      <dataBar>
        <cfvo type="min"/>
        <cfvo type="max"/>
        <color rgb="FF63C384"/>
      </dataBar>
    </cfRule>
  </conditionalFormatting>
  <conditionalFormatting sqref="Q122">
    <cfRule type="cellIs" priority="491" operator="equal" dxfId="2034">
      <formula>"ja"</formula>
    </cfRule>
  </conditionalFormatting>
  <conditionalFormatting sqref="AA122">
    <cfRule type="expression" priority="490" dxfId="2">
      <formula>AND(AND($W122&lt;TODAY(),$W122&lt;&gt;""),$X122="")</formula>
    </cfRule>
  </conditionalFormatting>
  <conditionalFormatting sqref="AG122">
    <cfRule type="dataBar" priority="489">
      <dataBar>
        <cfvo type="min"/>
        <cfvo type="max"/>
        <color rgb="FF63C384"/>
      </dataBar>
    </cfRule>
    <cfRule type="dataBar" priority="488">
      <dataBar>
        <cfvo type="min"/>
        <cfvo type="max"/>
        <color rgb="FF63C384"/>
      </dataBar>
    </cfRule>
  </conditionalFormatting>
  <conditionalFormatting sqref="Q123">
    <cfRule type="cellIs" priority="487" operator="equal" dxfId="2034">
      <formula>"ja"</formula>
    </cfRule>
    <cfRule type="cellIs" priority="475" operator="equal" dxfId="2034">
      <formula>"ja"</formula>
    </cfRule>
    <cfRule type="cellIs" priority="483" operator="equal" dxfId="2034">
      <formula>"ja"</formula>
    </cfRule>
    <cfRule type="cellIs" priority="479" operator="equal" dxfId="2034">
      <formula>"ja"</formula>
    </cfRule>
  </conditionalFormatting>
  <conditionalFormatting sqref="AA123">
    <cfRule type="expression" priority="474" dxfId="2">
      <formula>AND(AND($W123&lt;TODAY(),$W123&lt;&gt;""),$X123="")</formula>
    </cfRule>
    <cfRule type="expression" priority="486" dxfId="2">
      <formula>AND(AND($W123&lt;TODAY(),$W123&lt;&gt;""),$X123="")</formula>
    </cfRule>
    <cfRule type="expression" priority="482" dxfId="2">
      <formula>AND(AND($W123&lt;TODAY(),$W123&lt;&gt;""),$X123="")</formula>
    </cfRule>
    <cfRule type="expression" priority="478" dxfId="2">
      <formula>AND(AND($W123&lt;TODAY(),$W123&lt;&gt;""),$X123="")</formula>
    </cfRule>
  </conditionalFormatting>
  <conditionalFormatting sqref="AG123">
    <cfRule type="dataBar" priority="485">
      <dataBar>
        <cfvo type="min"/>
        <cfvo type="max"/>
        <color rgb="FF63C384"/>
      </dataBar>
    </cfRule>
    <cfRule type="dataBar" priority="484">
      <dataBar>
        <cfvo type="min"/>
        <cfvo type="max"/>
        <color rgb="FF63C384"/>
      </dataBar>
    </cfRule>
    <cfRule type="dataBar" priority="481">
      <dataBar>
        <cfvo type="min"/>
        <cfvo type="max"/>
        <color rgb="FF63C384"/>
      </dataBar>
    </cfRule>
    <cfRule type="dataBar" priority="480">
      <dataBar>
        <cfvo type="min"/>
        <cfvo type="max"/>
        <color rgb="FF63C384"/>
      </dataBar>
    </cfRule>
    <cfRule type="dataBar" priority="477">
      <dataBar>
        <cfvo type="min"/>
        <cfvo type="max"/>
        <color rgb="FF63C384"/>
      </dataBar>
    </cfRule>
    <cfRule type="dataBar" priority="476">
      <dataBar>
        <cfvo type="min"/>
        <cfvo type="max"/>
        <color rgb="FF63C384"/>
      </dataBar>
    </cfRule>
    <cfRule type="dataBar" priority="473">
      <dataBar>
        <cfvo type="min"/>
        <cfvo type="max"/>
        <color rgb="FF63C384"/>
      </dataBar>
    </cfRule>
    <cfRule type="dataBar" priority="472">
      <dataBar>
        <cfvo type="min"/>
        <cfvo type="max"/>
        <color rgb="FF63C384"/>
      </dataBar>
    </cfRule>
  </conditionalFormatting>
  <conditionalFormatting sqref="Q124">
    <cfRule type="cellIs" priority="471" operator="equal" dxfId="2034">
      <formula>"ja"</formula>
    </cfRule>
    <cfRule type="cellIs" priority="464" operator="equal" dxfId="2034">
      <formula>"ja"</formula>
    </cfRule>
  </conditionalFormatting>
  <conditionalFormatting sqref="AA124">
    <cfRule type="expression" priority="470" dxfId="2">
      <formula>AND(AND($W124&lt;TODAY(),$W124&lt;&gt;""),$X124="")</formula>
    </cfRule>
    <cfRule type="expression" priority="467" dxfId="2">
      <formula>AND(AND($W124&lt;TODAY(),$W124&lt;&gt;""),$X124="")</formula>
    </cfRule>
  </conditionalFormatting>
  <conditionalFormatting sqref="AG124">
    <cfRule type="dataBar" priority="469">
      <dataBar>
        <cfvo type="min"/>
        <cfvo type="max"/>
        <color rgb="FF63C384"/>
      </dataBar>
    </cfRule>
    <cfRule type="dataBar" priority="468">
      <dataBar>
        <cfvo type="min"/>
        <cfvo type="max"/>
        <color rgb="FF63C384"/>
      </dataBar>
    </cfRule>
    <cfRule type="dataBar" priority="466">
      <dataBar>
        <cfvo type="min"/>
        <cfvo type="max"/>
        <color rgb="FF63C384"/>
      </dataBar>
    </cfRule>
    <cfRule type="dataBar" priority="465">
      <dataBar>
        <cfvo type="min"/>
        <cfvo type="max"/>
        <color rgb="FF63C384"/>
      </dataBar>
    </cfRule>
  </conditionalFormatting>
  <conditionalFormatting sqref="Q125">
    <cfRule type="cellIs" priority="463" operator="equal" dxfId="2034">
      <formula>"ja"</formula>
    </cfRule>
  </conditionalFormatting>
  <conditionalFormatting sqref="AA125">
    <cfRule type="expression" priority="462" dxfId="2">
      <formula>AND(AND($W125&lt;TODAY(),$W125&lt;&gt;""),$X125="")</formula>
    </cfRule>
  </conditionalFormatting>
  <conditionalFormatting sqref="AG125">
    <cfRule type="dataBar" priority="461">
      <dataBar>
        <cfvo type="min"/>
        <cfvo type="max"/>
        <color rgb="FF63C384"/>
      </dataBar>
    </cfRule>
    <cfRule type="dataBar" priority="460">
      <dataBar>
        <cfvo type="min"/>
        <cfvo type="max"/>
        <color rgb="FF63C384"/>
      </dataBar>
    </cfRule>
  </conditionalFormatting>
  <conditionalFormatting sqref="Q126">
    <cfRule type="cellIs" priority="459" operator="equal" dxfId="2034">
      <formula>"ja"</formula>
    </cfRule>
    <cfRule type="cellIs" priority="454" operator="equal" dxfId="2034">
      <formula>"ja"</formula>
    </cfRule>
  </conditionalFormatting>
  <conditionalFormatting sqref="AA126">
    <cfRule type="expression" priority="458" dxfId="2">
      <formula>AND(AND($W126&lt;TODAY(),$W126&lt;&gt;""),$X126="")</formula>
    </cfRule>
    <cfRule type="expression" priority="455" dxfId="2">
      <formula>AND(AND($W126&lt;TODAY(),$W126&lt;&gt;""),$X126="")</formula>
    </cfRule>
  </conditionalFormatting>
  <conditionalFormatting sqref="AG126">
    <cfRule type="dataBar" priority="457">
      <dataBar>
        <cfvo type="min"/>
        <cfvo type="max"/>
        <color rgb="FF63C384"/>
      </dataBar>
    </cfRule>
    <cfRule type="dataBar" priority="456">
      <dataBar>
        <cfvo type="min"/>
        <cfvo type="max"/>
        <color rgb="FF63C384"/>
      </dataBar>
    </cfRule>
    <cfRule type="dataBar" priority="453">
      <dataBar>
        <cfvo type="min"/>
        <cfvo type="max"/>
        <color rgb="FF63C384"/>
      </dataBar>
    </cfRule>
    <cfRule type="dataBar" priority="452">
      <dataBar>
        <cfvo type="min"/>
        <cfvo type="max"/>
        <color rgb="FF63C384"/>
      </dataBar>
    </cfRule>
  </conditionalFormatting>
  <conditionalFormatting sqref="Q127">
    <cfRule type="cellIs" priority="451" operator="equal" dxfId="2034">
      <formula>"ja"</formula>
    </cfRule>
    <cfRule type="cellIs" priority="447" operator="equal" dxfId="2034">
      <formula>"ja"</formula>
    </cfRule>
    <cfRule type="cellIs" priority="443" operator="equal" dxfId="2034">
      <formula>"ja"</formula>
    </cfRule>
  </conditionalFormatting>
  <conditionalFormatting sqref="AA127">
    <cfRule type="expression" priority="450" dxfId="2">
      <formula>AND(AND($W127&lt;TODAY(),$W127&lt;&gt;""),$X127="")</formula>
    </cfRule>
    <cfRule type="expression" priority="446" dxfId="2">
      <formula>AND(AND($W127&lt;TODAY(),$W127&lt;&gt;""),$X127="")</formula>
    </cfRule>
    <cfRule type="expression" priority="442" dxfId="2">
      <formula>AND(AND($W127&lt;TODAY(),$W127&lt;&gt;""),$X127="")</formula>
    </cfRule>
  </conditionalFormatting>
  <conditionalFormatting sqref="AG127">
    <cfRule type="dataBar" priority="449">
      <dataBar>
        <cfvo type="min"/>
        <cfvo type="max"/>
        <color rgb="FF63C384"/>
      </dataBar>
    </cfRule>
    <cfRule type="dataBar" priority="448">
      <dataBar>
        <cfvo type="min"/>
        <cfvo type="max"/>
        <color rgb="FF63C384"/>
      </dataBar>
    </cfRule>
    <cfRule type="dataBar" priority="445">
      <dataBar>
        <cfvo type="min"/>
        <cfvo type="max"/>
        <color rgb="FF63C384"/>
      </dataBar>
    </cfRule>
    <cfRule type="dataBar" priority="444">
      <dataBar>
        <cfvo type="min"/>
        <cfvo type="max"/>
        <color rgb="FF63C384"/>
      </dataBar>
    </cfRule>
    <cfRule type="dataBar" priority="441">
      <dataBar>
        <cfvo type="min"/>
        <cfvo type="max"/>
        <color rgb="FF63C384"/>
      </dataBar>
    </cfRule>
    <cfRule type="dataBar" priority="440">
      <dataBar>
        <cfvo type="min"/>
        <cfvo type="max"/>
        <color rgb="FF63C384"/>
      </dataBar>
    </cfRule>
  </conditionalFormatting>
  <conditionalFormatting sqref="AA128">
    <cfRule type="expression" priority="439" dxfId="2">
      <formula>AND(AND($W128&lt;TODAY(),$W128&lt;&gt;""),$X128="")</formula>
    </cfRule>
  </conditionalFormatting>
  <conditionalFormatting sqref="AG128">
    <cfRule type="dataBar" priority="438">
      <dataBar>
        <cfvo type="min"/>
        <cfvo type="max"/>
        <color rgb="FF63C384"/>
      </dataBar>
    </cfRule>
    <cfRule type="dataBar" priority="437">
      <dataBar>
        <cfvo type="min"/>
        <cfvo type="max"/>
        <color rgb="FF63C384"/>
      </dataBar>
    </cfRule>
  </conditionalFormatting>
  <conditionalFormatting sqref="AA129">
    <cfRule type="expression" priority="436" dxfId="2">
      <formula>AND(AND($W129&lt;TODAY(),$W129&lt;&gt;""),$X129="")</formula>
    </cfRule>
  </conditionalFormatting>
  <conditionalFormatting sqref="AG129">
    <cfRule type="dataBar" priority="435">
      <dataBar>
        <cfvo type="min"/>
        <cfvo type="max"/>
        <color rgb="FF63C384"/>
      </dataBar>
    </cfRule>
    <cfRule type="dataBar" priority="434">
      <dataBar>
        <cfvo type="min"/>
        <cfvo type="max"/>
        <color rgb="FF63C384"/>
      </dataBar>
    </cfRule>
  </conditionalFormatting>
  <conditionalFormatting sqref="Q129">
    <cfRule type="cellIs" priority="433" operator="equal" dxfId="2034">
      <formula>"ja"</formula>
    </cfRule>
  </conditionalFormatting>
  <conditionalFormatting sqref="Q130">
    <cfRule type="cellIs" priority="432" operator="equal" dxfId="2034">
      <formula>"ja"</formula>
    </cfRule>
    <cfRule type="cellIs" priority="425" operator="equal" dxfId="2034">
      <formula>"ja"</formula>
    </cfRule>
  </conditionalFormatting>
  <conditionalFormatting sqref="AA130">
    <cfRule type="expression" priority="431" dxfId="2">
      <formula>AND(AND($W130&lt;TODAY(),$W130&lt;&gt;""),$X130="")</formula>
    </cfRule>
    <cfRule type="expression" priority="428" dxfId="2">
      <formula>AND(AND($W130&lt;TODAY(),$W130&lt;&gt;""),$X130="")</formula>
    </cfRule>
  </conditionalFormatting>
  <conditionalFormatting sqref="AG130">
    <cfRule type="dataBar" priority="430">
      <dataBar>
        <cfvo type="min"/>
        <cfvo type="max"/>
        <color rgb="FF63C384"/>
      </dataBar>
    </cfRule>
    <cfRule type="dataBar" priority="429">
      <dataBar>
        <cfvo type="min"/>
        <cfvo type="max"/>
        <color rgb="FF63C384"/>
      </dataBar>
    </cfRule>
    <cfRule type="dataBar" priority="427">
      <dataBar>
        <cfvo type="min"/>
        <cfvo type="max"/>
        <color rgb="FF63C384"/>
      </dataBar>
    </cfRule>
    <cfRule type="dataBar" priority="426">
      <dataBar>
        <cfvo type="min"/>
        <cfvo type="max"/>
        <color rgb="FF63C384"/>
      </dataBar>
    </cfRule>
  </conditionalFormatting>
  <conditionalFormatting sqref="Q131">
    <cfRule type="cellIs" priority="424" operator="equal" dxfId="2034">
      <formula>"ja"</formula>
    </cfRule>
    <cfRule type="cellIs" priority="420" operator="equal" dxfId="2034">
      <formula>"ja"</formula>
    </cfRule>
  </conditionalFormatting>
  <conditionalFormatting sqref="AA131">
    <cfRule type="expression" priority="423" dxfId="2">
      <formula>AND(AND($W131&lt;TODAY(),$W131&lt;&gt;""),$X131="")</formula>
    </cfRule>
    <cfRule type="expression" priority="419" dxfId="2">
      <formula>AND(AND($W131&lt;TODAY(),$W131&lt;&gt;""),$X131="")</formula>
    </cfRule>
  </conditionalFormatting>
  <conditionalFormatting sqref="AG131">
    <cfRule type="dataBar" priority="422">
      <dataBar>
        <cfvo type="min"/>
        <cfvo type="max"/>
        <color rgb="FF63C384"/>
      </dataBar>
    </cfRule>
    <cfRule type="dataBar" priority="421">
      <dataBar>
        <cfvo type="min"/>
        <cfvo type="max"/>
        <color rgb="FF63C384"/>
      </dataBar>
    </cfRule>
    <cfRule type="dataBar" priority="418">
      <dataBar>
        <cfvo type="min"/>
        <cfvo type="max"/>
        <color rgb="FF63C384"/>
      </dataBar>
    </cfRule>
    <cfRule type="dataBar" priority="417">
      <dataBar>
        <cfvo type="min"/>
        <cfvo type="max"/>
        <color rgb="FF63C384"/>
      </dataBar>
    </cfRule>
  </conditionalFormatting>
  <conditionalFormatting sqref="AA132">
    <cfRule type="expression" priority="416" dxfId="2">
      <formula>AND(AND($W132&lt;TODAY(),$W132&lt;&gt;""),$X132="")</formula>
    </cfRule>
  </conditionalFormatting>
  <conditionalFormatting sqref="AG132">
    <cfRule type="dataBar" priority="415">
      <dataBar>
        <cfvo type="min"/>
        <cfvo type="max"/>
        <color rgb="FF63C384"/>
      </dataBar>
    </cfRule>
    <cfRule type="dataBar" priority="414">
      <dataBar>
        <cfvo type="min"/>
        <cfvo type="max"/>
        <color rgb="FF63C384"/>
      </dataBar>
    </cfRule>
  </conditionalFormatting>
  <conditionalFormatting sqref="Q132">
    <cfRule type="cellIs" priority="413" operator="equal" dxfId="2034">
      <formula>"ja"</formula>
    </cfRule>
  </conditionalFormatting>
  <conditionalFormatting sqref="Q133">
    <cfRule type="cellIs" priority="412" operator="equal" dxfId="2034">
      <formula>"ja"</formula>
    </cfRule>
    <cfRule type="cellIs" priority="407" operator="equal" dxfId="2034">
      <formula>"ja"</formula>
    </cfRule>
  </conditionalFormatting>
  <conditionalFormatting sqref="AA133">
    <cfRule type="expression" priority="411" dxfId="2">
      <formula>AND(AND($W133&lt;TODAY(),$W133&lt;&gt;""),$X133="")</formula>
    </cfRule>
    <cfRule type="expression" priority="408" dxfId="2">
      <formula>AND(AND($W133&lt;TODAY(),$W133&lt;&gt;""),$X133="")</formula>
    </cfRule>
  </conditionalFormatting>
  <conditionalFormatting sqref="AG133">
    <cfRule type="dataBar" priority="410">
      <dataBar>
        <cfvo type="min"/>
        <cfvo type="max"/>
        <color rgb="FF63C384"/>
      </dataBar>
    </cfRule>
    <cfRule type="dataBar" priority="409">
      <dataBar>
        <cfvo type="min"/>
        <cfvo type="max"/>
        <color rgb="FF63C384"/>
      </dataBar>
    </cfRule>
    <cfRule type="dataBar" priority="406">
      <dataBar>
        <cfvo type="min"/>
        <cfvo type="max"/>
        <color rgb="FF63C384"/>
      </dataBar>
    </cfRule>
    <cfRule type="dataBar" priority="405">
      <dataBar>
        <cfvo type="min"/>
        <cfvo type="max"/>
        <color rgb="FF63C384"/>
      </dataBar>
    </cfRule>
  </conditionalFormatting>
  <conditionalFormatting sqref="AA134">
    <cfRule type="expression" priority="404" dxfId="2">
      <formula>AND(AND($W134&lt;TODAY(),$W134&lt;&gt;""),$X134="")</formula>
    </cfRule>
  </conditionalFormatting>
  <conditionalFormatting sqref="Q135">
    <cfRule type="cellIs" priority="403" operator="equal" dxfId="2034">
      <formula>"ja"</formula>
    </cfRule>
  </conditionalFormatting>
  <conditionalFormatting sqref="AA135">
    <cfRule type="expression" priority="402" dxfId="2">
      <formula>AND(AND($W135&lt;TODAY(),$W135&lt;&gt;""),$X135="")</formula>
    </cfRule>
  </conditionalFormatting>
  <conditionalFormatting sqref="AG135">
    <cfRule type="dataBar" priority="401">
      <dataBar>
        <cfvo type="min"/>
        <cfvo type="max"/>
        <color rgb="FF63C384"/>
      </dataBar>
    </cfRule>
    <cfRule type="dataBar" priority="400">
      <dataBar>
        <cfvo type="min"/>
        <cfvo type="max"/>
        <color rgb="FF63C384"/>
      </dataBar>
    </cfRule>
  </conditionalFormatting>
  <conditionalFormatting sqref="Q136">
    <cfRule type="cellIs" priority="399" operator="equal" dxfId="2034">
      <formula>"ja"</formula>
    </cfRule>
    <cfRule type="cellIs" priority="387" operator="equal" dxfId="2034">
      <formula>"ja"</formula>
    </cfRule>
    <cfRule type="cellIs" priority="395" operator="equal" dxfId="2034">
      <formula>"ja"</formula>
    </cfRule>
    <cfRule type="cellIs" priority="391" operator="equal" dxfId="2034">
      <formula>"ja"</formula>
    </cfRule>
  </conditionalFormatting>
  <conditionalFormatting sqref="AA136">
    <cfRule type="expression" priority="386" dxfId="2">
      <formula>AND(AND($W136&lt;TODAY(),$W136&lt;&gt;""),$X136="")</formula>
    </cfRule>
    <cfRule type="expression" priority="398" dxfId="2">
      <formula>AND(AND($W136&lt;TODAY(),$W136&lt;&gt;""),$X136="")</formula>
    </cfRule>
    <cfRule type="expression" priority="394" dxfId="2">
      <formula>AND(AND($W136&lt;TODAY(),$W136&lt;&gt;""),$X136="")</formula>
    </cfRule>
    <cfRule type="expression" priority="390" dxfId="2">
      <formula>AND(AND($W136&lt;TODAY(),$W136&lt;&gt;""),$X136="")</formula>
    </cfRule>
  </conditionalFormatting>
  <conditionalFormatting sqref="AG136">
    <cfRule type="dataBar" priority="397">
      <dataBar>
        <cfvo type="min"/>
        <cfvo type="max"/>
        <color rgb="FF63C384"/>
      </dataBar>
    </cfRule>
    <cfRule type="dataBar" priority="396">
      <dataBar>
        <cfvo type="min"/>
        <cfvo type="max"/>
        <color rgb="FF63C384"/>
      </dataBar>
    </cfRule>
    <cfRule type="dataBar" priority="393">
      <dataBar>
        <cfvo type="min"/>
        <cfvo type="max"/>
        <color rgb="FF63C384"/>
      </dataBar>
    </cfRule>
    <cfRule type="dataBar" priority="392">
      <dataBar>
        <cfvo type="min"/>
        <cfvo type="max"/>
        <color rgb="FF63C384"/>
      </dataBar>
    </cfRule>
    <cfRule type="dataBar" priority="389">
      <dataBar>
        <cfvo type="min"/>
        <cfvo type="max"/>
        <color rgb="FF63C384"/>
      </dataBar>
    </cfRule>
    <cfRule type="dataBar" priority="388">
      <dataBar>
        <cfvo type="min"/>
        <cfvo type="max"/>
        <color rgb="FF63C384"/>
      </dataBar>
    </cfRule>
    <cfRule type="dataBar" priority="385">
      <dataBar>
        <cfvo type="min"/>
        <cfvo type="max"/>
        <color rgb="FF63C384"/>
      </dataBar>
    </cfRule>
    <cfRule type="dataBar" priority="384">
      <dataBar>
        <cfvo type="min"/>
        <cfvo type="max"/>
        <color rgb="FF63C384"/>
      </dataBar>
    </cfRule>
  </conditionalFormatting>
  <conditionalFormatting sqref="Q137">
    <cfRule type="cellIs" priority="383" operator="equal" dxfId="2034">
      <formula>"ja"</formula>
    </cfRule>
    <cfRule type="cellIs" priority="376" operator="equal" dxfId="2034">
      <formula>"ja"</formula>
    </cfRule>
  </conditionalFormatting>
  <conditionalFormatting sqref="AA137">
    <cfRule type="expression" priority="382" dxfId="2">
      <formula>AND(AND($W137&lt;TODAY(),$W137&lt;&gt;""),$X137="")</formula>
    </cfRule>
    <cfRule type="expression" priority="379" dxfId="2">
      <formula>AND(AND($W137&lt;TODAY(),$W137&lt;&gt;""),$X137="")</formula>
    </cfRule>
  </conditionalFormatting>
  <conditionalFormatting sqref="AG137">
    <cfRule type="dataBar" priority="381">
      <dataBar>
        <cfvo type="min"/>
        <cfvo type="max"/>
        <color rgb="FF63C384"/>
      </dataBar>
    </cfRule>
    <cfRule type="dataBar" priority="380">
      <dataBar>
        <cfvo type="min"/>
        <cfvo type="max"/>
        <color rgb="FF63C384"/>
      </dataBar>
    </cfRule>
    <cfRule type="dataBar" priority="378">
      <dataBar>
        <cfvo type="min"/>
        <cfvo type="max"/>
        <color rgb="FF63C384"/>
      </dataBar>
    </cfRule>
    <cfRule type="dataBar" priority="377">
      <dataBar>
        <cfvo type="min"/>
        <cfvo type="max"/>
        <color rgb="FF63C384"/>
      </dataBar>
    </cfRule>
  </conditionalFormatting>
  <conditionalFormatting sqref="Q138">
    <cfRule type="cellIs" priority="375" operator="equal" dxfId="2034">
      <formula>"ja"</formula>
    </cfRule>
  </conditionalFormatting>
  <conditionalFormatting sqref="AA138">
    <cfRule type="expression" priority="374" dxfId="2">
      <formula>AND(AND($W138&lt;TODAY(),$W138&lt;&gt;""),$X138="")</formula>
    </cfRule>
  </conditionalFormatting>
  <conditionalFormatting sqref="AG138">
    <cfRule type="dataBar" priority="373">
      <dataBar>
        <cfvo type="min"/>
        <cfvo type="max"/>
        <color rgb="FF63C384"/>
      </dataBar>
    </cfRule>
    <cfRule type="dataBar" priority="372">
      <dataBar>
        <cfvo type="min"/>
        <cfvo type="max"/>
        <color rgb="FF63C384"/>
      </dataBar>
    </cfRule>
  </conditionalFormatting>
  <conditionalFormatting sqref="Q139">
    <cfRule type="cellIs" priority="371" operator="equal" dxfId="2034">
      <formula>"ja"</formula>
    </cfRule>
    <cfRule type="cellIs" priority="366" operator="equal" dxfId="2034">
      <formula>"ja"</formula>
    </cfRule>
  </conditionalFormatting>
  <conditionalFormatting sqref="AA139">
    <cfRule type="expression" priority="370" dxfId="2">
      <formula>AND(AND($W139&lt;TODAY(),$W139&lt;&gt;""),$X139="")</formula>
    </cfRule>
    <cfRule type="expression" priority="367" dxfId="2">
      <formula>AND(AND($W139&lt;TODAY(),$W139&lt;&gt;""),$X139="")</formula>
    </cfRule>
  </conditionalFormatting>
  <conditionalFormatting sqref="AG139">
    <cfRule type="dataBar" priority="369">
      <dataBar>
        <cfvo type="min"/>
        <cfvo type="max"/>
        <color rgb="FF63C384"/>
      </dataBar>
    </cfRule>
    <cfRule type="dataBar" priority="368">
      <dataBar>
        <cfvo type="min"/>
        <cfvo type="max"/>
        <color rgb="FF63C384"/>
      </dataBar>
    </cfRule>
    <cfRule type="dataBar" priority="365">
      <dataBar>
        <cfvo type="min"/>
        <cfvo type="max"/>
        <color rgb="FF63C384"/>
      </dataBar>
    </cfRule>
    <cfRule type="dataBar" priority="364">
      <dataBar>
        <cfvo type="min"/>
        <cfvo type="max"/>
        <color rgb="FF63C384"/>
      </dataBar>
    </cfRule>
  </conditionalFormatting>
  <conditionalFormatting sqref="Q140">
    <cfRule type="cellIs" priority="363" operator="equal" dxfId="2034">
      <formula>"ja"</formula>
    </cfRule>
    <cfRule type="cellIs" priority="359" operator="equal" dxfId="2034">
      <formula>"ja"</formula>
    </cfRule>
    <cfRule type="cellIs" priority="355" operator="equal" dxfId="2034">
      <formula>"ja"</formula>
    </cfRule>
  </conditionalFormatting>
  <conditionalFormatting sqref="AA140">
    <cfRule type="expression" priority="362" dxfId="2">
      <formula>AND(AND($W140&lt;TODAY(),$W140&lt;&gt;""),$X140="")</formula>
    </cfRule>
    <cfRule type="expression" priority="358" dxfId="2">
      <formula>AND(AND($W140&lt;TODAY(),$W140&lt;&gt;""),$X140="")</formula>
    </cfRule>
    <cfRule type="expression" priority="354" dxfId="2">
      <formula>AND(AND($W140&lt;TODAY(),$W140&lt;&gt;""),$X140="")</formula>
    </cfRule>
  </conditionalFormatting>
  <conditionalFormatting sqref="AG140">
    <cfRule type="dataBar" priority="361">
      <dataBar>
        <cfvo type="min"/>
        <cfvo type="max"/>
        <color rgb="FF63C384"/>
      </dataBar>
    </cfRule>
    <cfRule type="dataBar" priority="360">
      <dataBar>
        <cfvo type="min"/>
        <cfvo type="max"/>
        <color rgb="FF63C384"/>
      </dataBar>
    </cfRule>
    <cfRule type="dataBar" priority="357">
      <dataBar>
        <cfvo type="min"/>
        <cfvo type="max"/>
        <color rgb="FF63C384"/>
      </dataBar>
    </cfRule>
    <cfRule type="dataBar" priority="356">
      <dataBar>
        <cfvo type="min"/>
        <cfvo type="max"/>
        <color rgb="FF63C384"/>
      </dataBar>
    </cfRule>
    <cfRule type="dataBar" priority="353">
      <dataBar>
        <cfvo type="min"/>
        <cfvo type="max"/>
        <color rgb="FF63C384"/>
      </dataBar>
    </cfRule>
    <cfRule type="dataBar" priority="352">
      <dataBar>
        <cfvo type="min"/>
        <cfvo type="max"/>
        <color rgb="FF63C384"/>
      </dataBar>
    </cfRule>
  </conditionalFormatting>
  <conditionalFormatting sqref="AA141:AA142">
    <cfRule type="expression" priority="351" dxfId="2">
      <formula>AND(AND($W141&lt;TODAY(),$W141&lt;&gt;""),$X141="")</formula>
    </cfRule>
    <cfRule type="expression" priority="348" dxfId="2">
      <formula>AND(AND($W141&lt;TODAY(),$W141&lt;&gt;""),$X141="")</formula>
    </cfRule>
  </conditionalFormatting>
  <conditionalFormatting sqref="AG141">
    <cfRule type="dataBar" priority="350">
      <dataBar>
        <cfvo type="min"/>
        <cfvo type="max"/>
        <color rgb="FF63C384"/>
      </dataBar>
    </cfRule>
    <cfRule type="dataBar" priority="349">
      <dataBar>
        <cfvo type="min"/>
        <cfvo type="max"/>
        <color rgb="FF63C384"/>
      </dataBar>
    </cfRule>
    <cfRule type="dataBar" priority="347">
      <dataBar>
        <cfvo type="min"/>
        <cfvo type="max"/>
        <color rgb="FF63C384"/>
      </dataBar>
    </cfRule>
    <cfRule type="dataBar" priority="346">
      <dataBar>
        <cfvo type="min"/>
        <cfvo type="max"/>
        <color rgb="FF63C384"/>
      </dataBar>
    </cfRule>
  </conditionalFormatting>
  <conditionalFormatting sqref="Q142">
    <cfRule type="cellIs" priority="345" operator="equal" dxfId="2034">
      <formula>"ja"</formula>
    </cfRule>
    <cfRule type="cellIs" priority="342" operator="equal" dxfId="2034">
      <formula>"ja"</formula>
    </cfRule>
  </conditionalFormatting>
  <conditionalFormatting sqref="AG142">
    <cfRule type="dataBar" priority="344">
      <dataBar>
        <cfvo type="min"/>
        <cfvo type="max"/>
        <color rgb="FF63C384"/>
      </dataBar>
    </cfRule>
    <cfRule type="dataBar" priority="343">
      <dataBar>
        <cfvo type="min"/>
        <cfvo type="max"/>
        <color rgb="FF63C384"/>
      </dataBar>
    </cfRule>
    <cfRule type="dataBar" priority="341">
      <dataBar>
        <cfvo type="min"/>
        <cfvo type="max"/>
        <color rgb="FF63C384"/>
      </dataBar>
    </cfRule>
    <cfRule type="dataBar" priority="340">
      <dataBar>
        <cfvo type="min"/>
        <cfvo type="max"/>
        <color rgb="FF63C384"/>
      </dataBar>
    </cfRule>
  </conditionalFormatting>
  <conditionalFormatting sqref="Q143">
    <cfRule type="cellIs" priority="339" operator="equal" dxfId="2034">
      <formula>"ja"</formula>
    </cfRule>
    <cfRule type="cellIs" priority="332" operator="equal" dxfId="2034">
      <formula>"ja"</formula>
    </cfRule>
  </conditionalFormatting>
  <conditionalFormatting sqref="AA143">
    <cfRule type="expression" priority="338" dxfId="2">
      <formula>AND(AND($W143&lt;TODAY(),$W143&lt;&gt;""),$X143="")</formula>
    </cfRule>
    <cfRule type="expression" priority="335" dxfId="2">
      <formula>AND(AND($W143&lt;TODAY(),$W143&lt;&gt;""),$X143="")</formula>
    </cfRule>
  </conditionalFormatting>
  <conditionalFormatting sqref="AG143">
    <cfRule type="dataBar" priority="337">
      <dataBar>
        <cfvo type="min"/>
        <cfvo type="max"/>
        <color rgb="FF63C384"/>
      </dataBar>
    </cfRule>
    <cfRule type="dataBar" priority="336">
      <dataBar>
        <cfvo type="min"/>
        <cfvo type="max"/>
        <color rgb="FF63C384"/>
      </dataBar>
    </cfRule>
    <cfRule type="dataBar" priority="334">
      <dataBar>
        <cfvo type="min"/>
        <cfvo type="max"/>
        <color rgb="FF63C384"/>
      </dataBar>
    </cfRule>
    <cfRule type="dataBar" priority="333">
      <dataBar>
        <cfvo type="min"/>
        <cfvo type="max"/>
        <color rgb="FF63C384"/>
      </dataBar>
    </cfRule>
  </conditionalFormatting>
  <conditionalFormatting sqref="AA144:AA146">
    <cfRule type="expression" priority="331" dxfId="2">
      <formula>AND(AND($W144&lt;TODAY(),$W144&lt;&gt;""),$X144="")</formula>
    </cfRule>
  </conditionalFormatting>
  <conditionalFormatting sqref="Q144:Q146">
    <cfRule type="cellIs" priority="330" operator="equal" dxfId="2034">
      <formula>"ja"</formula>
    </cfRule>
  </conditionalFormatting>
  <conditionalFormatting sqref="AG144:AG146">
    <cfRule type="dataBar" priority="329">
      <dataBar>
        <cfvo type="min"/>
        <cfvo type="max"/>
        <color rgb="FF63C384"/>
      </dataBar>
    </cfRule>
    <cfRule type="dataBar" priority="328">
      <dataBar>
        <cfvo type="min"/>
        <cfvo type="max"/>
        <color rgb="FF63C384"/>
      </dataBar>
    </cfRule>
  </conditionalFormatting>
  <conditionalFormatting sqref="Q147">
    <cfRule type="cellIs" priority="327" operator="equal" dxfId="2034">
      <formula>"ja"</formula>
    </cfRule>
  </conditionalFormatting>
  <conditionalFormatting sqref="AA147">
    <cfRule type="expression" priority="326" dxfId="2">
      <formula>AND(AND($W147&lt;TODAY(),$W147&lt;&gt;""),$X147="")</formula>
    </cfRule>
  </conditionalFormatting>
  <conditionalFormatting sqref="AG147">
    <cfRule type="dataBar" priority="325">
      <dataBar>
        <cfvo type="min"/>
        <cfvo type="max"/>
        <color rgb="FF63C384"/>
      </dataBar>
    </cfRule>
    <cfRule type="dataBar" priority="324">
      <dataBar>
        <cfvo type="min"/>
        <cfvo type="max"/>
        <color rgb="FF63C384"/>
      </dataBar>
    </cfRule>
  </conditionalFormatting>
  <conditionalFormatting sqref="Q148">
    <cfRule type="cellIs" priority="323" operator="equal" dxfId="2034">
      <formula>"ja"</formula>
    </cfRule>
    <cfRule type="cellIs" priority="319" operator="equal" dxfId="2034">
      <formula>"ja"</formula>
    </cfRule>
  </conditionalFormatting>
  <conditionalFormatting sqref="AA148">
    <cfRule type="expression" priority="322" dxfId="2">
      <formula>AND(AND($W148&lt;TODAY(),$W148&lt;&gt;""),$X148="")</formula>
    </cfRule>
    <cfRule type="expression" priority="318" dxfId="2">
      <formula>AND(AND($W148&lt;TODAY(),$W148&lt;&gt;""),$X148="")</formula>
    </cfRule>
  </conditionalFormatting>
  <conditionalFormatting sqref="AG148">
    <cfRule type="dataBar" priority="321">
      <dataBar>
        <cfvo type="min"/>
        <cfvo type="max"/>
        <color rgb="FF63C384"/>
      </dataBar>
    </cfRule>
    <cfRule type="dataBar" priority="320">
      <dataBar>
        <cfvo type="min"/>
        <cfvo type="max"/>
        <color rgb="FF63C384"/>
      </dataBar>
    </cfRule>
    <cfRule type="dataBar" priority="317">
      <dataBar>
        <cfvo type="min"/>
        <cfvo type="max"/>
        <color rgb="FF63C384"/>
      </dataBar>
    </cfRule>
    <cfRule type="dataBar" priority="316">
      <dataBar>
        <cfvo type="min"/>
        <cfvo type="max"/>
        <color rgb="FF63C384"/>
      </dataBar>
    </cfRule>
  </conditionalFormatting>
  <conditionalFormatting sqref="AA149">
    <cfRule type="expression" priority="315" dxfId="2">
      <formula>AND(AND($W149&lt;TODAY(),$W149&lt;&gt;""),$X149="")</formula>
    </cfRule>
  </conditionalFormatting>
  <conditionalFormatting sqref="AG149">
    <cfRule type="dataBar" priority="314">
      <dataBar>
        <cfvo type="min"/>
        <cfvo type="max"/>
        <color rgb="FF63C384"/>
      </dataBar>
    </cfRule>
    <cfRule type="dataBar" priority="313">
      <dataBar>
        <cfvo type="min"/>
        <cfvo type="max"/>
        <color rgb="FF63C384"/>
      </dataBar>
    </cfRule>
  </conditionalFormatting>
  <conditionalFormatting sqref="Q149">
    <cfRule type="cellIs" priority="312" operator="equal" dxfId="2034">
      <formula>"ja"</formula>
    </cfRule>
  </conditionalFormatting>
  <conditionalFormatting sqref="Q150">
    <cfRule type="cellIs" priority="311" operator="equal" dxfId="2034">
      <formula>"ja"</formula>
    </cfRule>
  </conditionalFormatting>
  <conditionalFormatting sqref="AA150">
    <cfRule type="expression" priority="310" dxfId="2">
      <formula>AND(AND($W150&lt;TODAY(),$W150&lt;&gt;""),$X150="")</formula>
    </cfRule>
  </conditionalFormatting>
  <conditionalFormatting sqref="AG150">
    <cfRule type="dataBar" priority="309">
      <dataBar>
        <cfvo type="min"/>
        <cfvo type="max"/>
        <color rgb="FF63C384"/>
      </dataBar>
    </cfRule>
    <cfRule type="dataBar" priority="308">
      <dataBar>
        <cfvo type="min"/>
        <cfvo type="max"/>
        <color rgb="FF63C384"/>
      </dataBar>
    </cfRule>
  </conditionalFormatting>
  <conditionalFormatting sqref="Q151">
    <cfRule type="cellIs" priority="307" operator="equal" dxfId="2034">
      <formula>"ja"</formula>
    </cfRule>
  </conditionalFormatting>
  <conditionalFormatting sqref="AA151:AA152">
    <cfRule type="expression" priority="306" dxfId="2">
      <formula>AND(AND($W151&lt;TODAY(),$W151&lt;&gt;""),$X151="")</formula>
    </cfRule>
  </conditionalFormatting>
  <conditionalFormatting sqref="AG151:AG152">
    <cfRule type="dataBar" priority="305">
      <dataBar>
        <cfvo type="min"/>
        <cfvo type="max"/>
        <color rgb="FF63C384"/>
      </dataBar>
    </cfRule>
    <cfRule type="dataBar" priority="304">
      <dataBar>
        <cfvo type="min"/>
        <cfvo type="max"/>
        <color rgb="FF63C384"/>
      </dataBar>
    </cfRule>
  </conditionalFormatting>
  <conditionalFormatting sqref="Q153">
    <cfRule type="cellIs" priority="303" operator="equal" dxfId="2034">
      <formula>"ja"</formula>
    </cfRule>
    <cfRule type="cellIs" priority="298" operator="equal" dxfId="2034">
      <formula>"ja"</formula>
    </cfRule>
  </conditionalFormatting>
  <conditionalFormatting sqref="AA153">
    <cfRule type="expression" priority="302" dxfId="2">
      <formula>AND(AND($W153&lt;TODAY(),$W153&lt;&gt;""),$X153="")</formula>
    </cfRule>
    <cfRule type="expression" priority="299" dxfId="2">
      <formula>AND(AND($W153&lt;TODAY(),$W153&lt;&gt;""),$X153="")</formula>
    </cfRule>
  </conditionalFormatting>
  <conditionalFormatting sqref="AG153">
    <cfRule type="dataBar" priority="301">
      <dataBar>
        <cfvo type="min"/>
        <cfvo type="max"/>
        <color rgb="FF63C384"/>
      </dataBar>
    </cfRule>
    <cfRule type="dataBar" priority="300">
      <dataBar>
        <cfvo type="min"/>
        <cfvo type="max"/>
        <color rgb="FF63C384"/>
      </dataBar>
    </cfRule>
    <cfRule type="dataBar" priority="297">
      <dataBar>
        <cfvo type="min"/>
        <cfvo type="max"/>
        <color rgb="FF63C384"/>
      </dataBar>
    </cfRule>
    <cfRule type="dataBar" priority="296">
      <dataBar>
        <cfvo type="min"/>
        <cfvo type="max"/>
        <color rgb="FF63C384"/>
      </dataBar>
    </cfRule>
  </conditionalFormatting>
  <conditionalFormatting sqref="Q154">
    <cfRule type="cellIs" priority="295" operator="equal" dxfId="2034">
      <formula>"ja"</formula>
    </cfRule>
    <cfRule type="cellIs" priority="288" operator="equal" dxfId="2034">
      <formula>"ja"</formula>
    </cfRule>
  </conditionalFormatting>
  <conditionalFormatting sqref="AA154">
    <cfRule type="expression" priority="294" dxfId="2">
      <formula>AND(AND($W154&lt;TODAY(),$W154&lt;&gt;""),$X154="")</formula>
    </cfRule>
    <cfRule type="expression" priority="291" dxfId="2">
      <formula>AND(AND($W154&lt;TODAY(),$W154&lt;&gt;""),$X154="")</formula>
    </cfRule>
  </conditionalFormatting>
  <conditionalFormatting sqref="AG154">
    <cfRule type="dataBar" priority="293">
      <dataBar>
        <cfvo type="min"/>
        <cfvo type="max"/>
        <color rgb="FF63C384"/>
      </dataBar>
    </cfRule>
    <cfRule type="dataBar" priority="292">
      <dataBar>
        <cfvo type="min"/>
        <cfvo type="max"/>
        <color rgb="FF63C384"/>
      </dataBar>
    </cfRule>
    <cfRule type="dataBar" priority="290">
      <dataBar>
        <cfvo type="min"/>
        <cfvo type="max"/>
        <color rgb="FF63C384"/>
      </dataBar>
    </cfRule>
    <cfRule type="dataBar" priority="289">
      <dataBar>
        <cfvo type="min"/>
        <cfvo type="max"/>
        <color rgb="FF63C384"/>
      </dataBar>
    </cfRule>
  </conditionalFormatting>
  <conditionalFormatting sqref="Q155">
    <cfRule type="cellIs" priority="287" operator="equal" dxfId="2034">
      <formula>"ja"</formula>
    </cfRule>
    <cfRule type="cellIs" priority="275" operator="equal" dxfId="2034">
      <formula>"ja"</formula>
    </cfRule>
    <cfRule type="cellIs" priority="283" operator="equal" dxfId="2034">
      <formula>"ja"</formula>
    </cfRule>
    <cfRule type="cellIs" priority="279" operator="equal" dxfId="2034">
      <formula>"ja"</formula>
    </cfRule>
  </conditionalFormatting>
  <conditionalFormatting sqref="AA155">
    <cfRule type="expression" priority="274" dxfId="2">
      <formula>AND(AND($W155&lt;TODAY(),$W155&lt;&gt;""),$X155="")</formula>
    </cfRule>
    <cfRule type="expression" priority="286" dxfId="2">
      <formula>AND(AND($W155&lt;TODAY(),$W155&lt;&gt;""),$X155="")</formula>
    </cfRule>
    <cfRule type="expression" priority="282" dxfId="2">
      <formula>AND(AND($W155&lt;TODAY(),$W155&lt;&gt;""),$X155="")</formula>
    </cfRule>
    <cfRule type="expression" priority="278" dxfId="2">
      <formula>AND(AND($W155&lt;TODAY(),$W155&lt;&gt;""),$X155="")</formula>
    </cfRule>
  </conditionalFormatting>
  <conditionalFormatting sqref="AG155">
    <cfRule type="dataBar" priority="285">
      <dataBar>
        <cfvo type="min"/>
        <cfvo type="max"/>
        <color rgb="FF63C384"/>
      </dataBar>
    </cfRule>
    <cfRule type="dataBar" priority="284">
      <dataBar>
        <cfvo type="min"/>
        <cfvo type="max"/>
        <color rgb="FF63C384"/>
      </dataBar>
    </cfRule>
    <cfRule type="dataBar" priority="281">
      <dataBar>
        <cfvo type="min"/>
        <cfvo type="max"/>
        <color rgb="FF63C384"/>
      </dataBar>
    </cfRule>
    <cfRule type="dataBar" priority="280">
      <dataBar>
        <cfvo type="min"/>
        <cfvo type="max"/>
        <color rgb="FF63C384"/>
      </dataBar>
    </cfRule>
    <cfRule type="dataBar" priority="277">
      <dataBar>
        <cfvo type="min"/>
        <cfvo type="max"/>
        <color rgb="FF63C384"/>
      </dataBar>
    </cfRule>
    <cfRule type="dataBar" priority="276">
      <dataBar>
        <cfvo type="min"/>
        <cfvo type="max"/>
        <color rgb="FF63C384"/>
      </dataBar>
    </cfRule>
    <cfRule type="dataBar" priority="273">
      <dataBar>
        <cfvo type="min"/>
        <cfvo type="max"/>
        <color rgb="FF63C384"/>
      </dataBar>
    </cfRule>
    <cfRule type="dataBar" priority="272">
      <dataBar>
        <cfvo type="min"/>
        <cfvo type="max"/>
        <color rgb="FF63C384"/>
      </dataBar>
    </cfRule>
  </conditionalFormatting>
  <conditionalFormatting sqref="AA156">
    <cfRule type="expression" priority="271" dxfId="2">
      <formula>AND(AND($W156&lt;TODAY(),$W156&lt;&gt;""),$X156="")</formula>
    </cfRule>
  </conditionalFormatting>
  <conditionalFormatting sqref="AG156">
    <cfRule type="dataBar" priority="270">
      <dataBar>
        <cfvo type="min"/>
        <cfvo type="max"/>
        <color rgb="FF63C384"/>
      </dataBar>
    </cfRule>
    <cfRule type="dataBar" priority="269">
      <dataBar>
        <cfvo type="min"/>
        <cfvo type="max"/>
        <color rgb="FF63C384"/>
      </dataBar>
    </cfRule>
  </conditionalFormatting>
  <conditionalFormatting sqref="Q157">
    <cfRule type="cellIs" priority="268" operator="equal" dxfId="2034">
      <formula>"ja"</formula>
    </cfRule>
  </conditionalFormatting>
  <conditionalFormatting sqref="AA157">
    <cfRule type="expression" priority="267" dxfId="2">
      <formula>AND(AND($W157&lt;TODAY(),$W157&lt;&gt;""),$X157="")</formula>
    </cfRule>
  </conditionalFormatting>
  <conditionalFormatting sqref="AG157">
    <cfRule type="dataBar" priority="266">
      <dataBar>
        <cfvo type="min"/>
        <cfvo type="max"/>
        <color rgb="FF63C384"/>
      </dataBar>
    </cfRule>
    <cfRule type="dataBar" priority="265">
      <dataBar>
        <cfvo type="min"/>
        <cfvo type="max"/>
        <color rgb="FF63C384"/>
      </dataBar>
    </cfRule>
  </conditionalFormatting>
  <conditionalFormatting sqref="Q158">
    <cfRule type="cellIs" priority="264" operator="equal" dxfId="2034">
      <formula>"ja"</formula>
    </cfRule>
    <cfRule type="cellIs" priority="259" operator="equal" dxfId="2034">
      <formula>"ja"</formula>
    </cfRule>
  </conditionalFormatting>
  <conditionalFormatting sqref="AA158">
    <cfRule type="expression" priority="263" dxfId="2">
      <formula>AND(AND($W158&lt;TODAY(),$W158&lt;&gt;""),$X158="")</formula>
    </cfRule>
    <cfRule type="expression" priority="260" dxfId="2">
      <formula>AND(AND($W158&lt;TODAY(),$W158&lt;&gt;""),$X158="")</formula>
    </cfRule>
  </conditionalFormatting>
  <conditionalFormatting sqref="AG158">
    <cfRule type="dataBar" priority="262">
      <dataBar>
        <cfvo type="min"/>
        <cfvo type="max"/>
        <color rgb="FF63C384"/>
      </dataBar>
    </cfRule>
    <cfRule type="dataBar" priority="261">
      <dataBar>
        <cfvo type="min"/>
        <cfvo type="max"/>
        <color rgb="FF63C384"/>
      </dataBar>
    </cfRule>
    <cfRule type="dataBar" priority="258">
      <dataBar>
        <cfvo type="min"/>
        <cfvo type="max"/>
        <color rgb="FF63C384"/>
      </dataBar>
    </cfRule>
    <cfRule type="dataBar" priority="257">
      <dataBar>
        <cfvo type="min"/>
        <cfvo type="max"/>
        <color rgb="FF63C384"/>
      </dataBar>
    </cfRule>
  </conditionalFormatting>
  <conditionalFormatting sqref="Q159">
    <cfRule type="cellIs" priority="256" operator="equal" dxfId="2034">
      <formula>"ja"</formula>
    </cfRule>
  </conditionalFormatting>
  <conditionalFormatting sqref="AA159">
    <cfRule type="expression" priority="255" dxfId="2">
      <formula>AND(AND($W159&lt;TODAY(),$W159&lt;&gt;""),$X159="")</formula>
    </cfRule>
  </conditionalFormatting>
  <conditionalFormatting sqref="AG159">
    <cfRule type="dataBar" priority="254">
      <dataBar>
        <cfvo type="min"/>
        <cfvo type="max"/>
        <color rgb="FF63C384"/>
      </dataBar>
    </cfRule>
    <cfRule type="dataBar" priority="253">
      <dataBar>
        <cfvo type="min"/>
        <cfvo type="max"/>
        <color rgb="FF63C384"/>
      </dataBar>
    </cfRule>
  </conditionalFormatting>
  <conditionalFormatting sqref="Q160">
    <cfRule type="cellIs" priority="252" operator="equal" dxfId="2034">
      <formula>"ja"</formula>
    </cfRule>
    <cfRule type="cellIs" priority="248" operator="equal" dxfId="2034">
      <formula>"ja"</formula>
    </cfRule>
    <cfRule type="cellIs" priority="244" operator="equal" dxfId="2034">
      <formula>"ja"</formula>
    </cfRule>
  </conditionalFormatting>
  <conditionalFormatting sqref="AA160">
    <cfRule type="expression" priority="251" dxfId="2">
      <formula>AND(AND($W160&lt;TODAY(),$W160&lt;&gt;""),$X160="")</formula>
    </cfRule>
    <cfRule type="expression" priority="247" dxfId="2">
      <formula>AND(AND($W160&lt;TODAY(),$W160&lt;&gt;""),$X160="")</formula>
    </cfRule>
    <cfRule type="expression" priority="243" dxfId="2">
      <formula>AND(AND($W160&lt;TODAY(),$W160&lt;&gt;""),$X160="")</formula>
    </cfRule>
  </conditionalFormatting>
  <conditionalFormatting sqref="AG160">
    <cfRule type="dataBar" priority="250">
      <dataBar>
        <cfvo type="min"/>
        <cfvo type="max"/>
        <color rgb="FF63C384"/>
      </dataBar>
    </cfRule>
    <cfRule type="dataBar" priority="249">
      <dataBar>
        <cfvo type="min"/>
        <cfvo type="max"/>
        <color rgb="FF63C384"/>
      </dataBar>
    </cfRule>
    <cfRule type="dataBar" priority="246">
      <dataBar>
        <cfvo type="min"/>
        <cfvo type="max"/>
        <color rgb="FF63C384"/>
      </dataBar>
    </cfRule>
    <cfRule type="dataBar" priority="245">
      <dataBar>
        <cfvo type="min"/>
        <cfvo type="max"/>
        <color rgb="FF63C384"/>
      </dataBar>
    </cfRule>
    <cfRule type="dataBar" priority="242">
      <dataBar>
        <cfvo type="min"/>
        <cfvo type="max"/>
        <color rgb="FF63C384"/>
      </dataBar>
    </cfRule>
    <cfRule type="dataBar" priority="241">
      <dataBar>
        <cfvo type="min"/>
        <cfvo type="max"/>
        <color rgb="FF63C384"/>
      </dataBar>
    </cfRule>
  </conditionalFormatting>
  <conditionalFormatting sqref="AA161:AA162">
    <cfRule type="expression" priority="240" dxfId="2">
      <formula>AND(AND($W161&lt;TODAY(),$W161&lt;&gt;""),$X161="")</formula>
    </cfRule>
    <cfRule type="expression" priority="237" dxfId="2">
      <formula>AND(AND($W161&lt;TODAY(),$W161&lt;&gt;""),$X161="")</formula>
    </cfRule>
  </conditionalFormatting>
  <conditionalFormatting sqref="AG161">
    <cfRule type="dataBar" priority="239">
      <dataBar>
        <cfvo type="min"/>
        <cfvo type="max"/>
        <color rgb="FF63C384"/>
      </dataBar>
    </cfRule>
    <cfRule type="dataBar" priority="238">
      <dataBar>
        <cfvo type="min"/>
        <cfvo type="max"/>
        <color rgb="FF63C384"/>
      </dataBar>
    </cfRule>
    <cfRule type="dataBar" priority="236">
      <dataBar>
        <cfvo type="min"/>
        <cfvo type="max"/>
        <color rgb="FF63C384"/>
      </dataBar>
    </cfRule>
    <cfRule type="dataBar" priority="235">
      <dataBar>
        <cfvo type="min"/>
        <cfvo type="max"/>
        <color rgb="FF63C384"/>
      </dataBar>
    </cfRule>
  </conditionalFormatting>
  <conditionalFormatting sqref="Q162">
    <cfRule type="cellIs" priority="234" operator="equal" dxfId="2034">
      <formula>"ja"</formula>
    </cfRule>
    <cfRule type="cellIs" priority="231" operator="equal" dxfId="2034">
      <formula>"ja"</formula>
    </cfRule>
  </conditionalFormatting>
  <conditionalFormatting sqref="AG162">
    <cfRule type="dataBar" priority="233">
      <dataBar>
        <cfvo type="min"/>
        <cfvo type="max"/>
        <color rgb="FF63C384"/>
      </dataBar>
    </cfRule>
    <cfRule type="dataBar" priority="232">
      <dataBar>
        <cfvo type="min"/>
        <cfvo type="max"/>
        <color rgb="FF63C384"/>
      </dataBar>
    </cfRule>
    <cfRule type="dataBar" priority="230">
      <dataBar>
        <cfvo type="min"/>
        <cfvo type="max"/>
        <color rgb="FF63C384"/>
      </dataBar>
    </cfRule>
    <cfRule type="dataBar" priority="229">
      <dataBar>
        <cfvo type="min"/>
        <cfvo type="max"/>
        <color rgb="FF63C384"/>
      </dataBar>
    </cfRule>
  </conditionalFormatting>
  <conditionalFormatting sqref="Q163">
    <cfRule type="cellIs" priority="228" operator="equal" dxfId="2034">
      <formula>"ja"</formula>
    </cfRule>
    <cfRule type="cellIs" priority="221" operator="equal" dxfId="2034">
      <formula>"ja"</formula>
    </cfRule>
  </conditionalFormatting>
  <conditionalFormatting sqref="AA163">
    <cfRule type="expression" priority="227" dxfId="2">
      <formula>AND(AND($W163&lt;TODAY(),$W163&lt;&gt;""),$X163="")</formula>
    </cfRule>
    <cfRule type="expression" priority="224" dxfId="2">
      <formula>AND(AND($W163&lt;TODAY(),$W163&lt;&gt;""),$X163="")</formula>
    </cfRule>
  </conditionalFormatting>
  <conditionalFormatting sqref="AG163">
    <cfRule type="dataBar" priority="226">
      <dataBar>
        <cfvo type="min"/>
        <cfvo type="max"/>
        <color rgb="FF63C384"/>
      </dataBar>
    </cfRule>
    <cfRule type="dataBar" priority="225">
      <dataBar>
        <cfvo type="min"/>
        <cfvo type="max"/>
        <color rgb="FF63C384"/>
      </dataBar>
    </cfRule>
    <cfRule type="dataBar" priority="223">
      <dataBar>
        <cfvo type="min"/>
        <cfvo type="max"/>
        <color rgb="FF63C384"/>
      </dataBar>
    </cfRule>
    <cfRule type="dataBar" priority="222">
      <dataBar>
        <cfvo type="min"/>
        <cfvo type="max"/>
        <color rgb="FF63C384"/>
      </dataBar>
    </cfRule>
  </conditionalFormatting>
  <conditionalFormatting sqref="AA164">
    <cfRule type="expression" priority="220" dxfId="2">
      <formula>AND(AND($W164&lt;TODAY(),$W164&lt;&gt;""),$X164="")</formula>
    </cfRule>
  </conditionalFormatting>
  <conditionalFormatting sqref="AG164">
    <cfRule type="dataBar" priority="219">
      <dataBar>
        <cfvo type="min"/>
        <cfvo type="max"/>
        <color rgb="FF63C384"/>
      </dataBar>
    </cfRule>
    <cfRule type="dataBar" priority="218">
      <dataBar>
        <cfvo type="min"/>
        <cfvo type="max"/>
        <color rgb="FF63C384"/>
      </dataBar>
    </cfRule>
  </conditionalFormatting>
  <conditionalFormatting sqref="AA165">
    <cfRule type="expression" priority="217" dxfId="2">
      <formula>AND(AND($W165&lt;TODAY(),$W165&lt;&gt;""),$X165="")</formula>
    </cfRule>
  </conditionalFormatting>
  <conditionalFormatting sqref="AG165">
    <cfRule type="dataBar" priority="216">
      <dataBar>
        <cfvo type="min"/>
        <cfvo type="max"/>
        <color rgb="FF63C384"/>
      </dataBar>
    </cfRule>
    <cfRule type="dataBar" priority="215">
      <dataBar>
        <cfvo type="min"/>
        <cfvo type="max"/>
        <color rgb="FF63C384"/>
      </dataBar>
    </cfRule>
  </conditionalFormatting>
  <conditionalFormatting sqref="AA166">
    <cfRule type="expression" priority="214" dxfId="2">
      <formula>AND(AND($W166&lt;TODAY(),$W166&lt;&gt;""),$X166="")</formula>
    </cfRule>
  </conditionalFormatting>
  <conditionalFormatting sqref="AG166">
    <cfRule type="dataBar" priority="213">
      <dataBar>
        <cfvo type="min"/>
        <cfvo type="max"/>
        <color rgb="FF63C384"/>
      </dataBar>
    </cfRule>
    <cfRule type="dataBar" priority="212">
      <dataBar>
        <cfvo type="min"/>
        <cfvo type="max"/>
        <color rgb="FF63C384"/>
      </dataBar>
    </cfRule>
  </conditionalFormatting>
  <conditionalFormatting sqref="Q167">
    <cfRule type="cellIs" priority="211" operator="equal" dxfId="2034">
      <formula>"ja"</formula>
    </cfRule>
    <cfRule type="cellIs" priority="206" operator="equal" dxfId="2034">
      <formula>"ja"</formula>
    </cfRule>
  </conditionalFormatting>
  <conditionalFormatting sqref="AA167">
    <cfRule type="expression" priority="210" dxfId="2">
      <formula>AND(AND($W167&lt;TODAY(),$W167&lt;&gt;""),$X167="")</formula>
    </cfRule>
    <cfRule type="expression" priority="207" dxfId="2">
      <formula>AND(AND($W167&lt;TODAY(),$W167&lt;&gt;""),$X167="")</formula>
    </cfRule>
  </conditionalFormatting>
  <conditionalFormatting sqref="AG167">
    <cfRule type="dataBar" priority="209">
      <dataBar>
        <cfvo type="min"/>
        <cfvo type="max"/>
        <color rgb="FF63C384"/>
      </dataBar>
    </cfRule>
    <cfRule type="dataBar" priority="208">
      <dataBar>
        <cfvo type="min"/>
        <cfvo type="max"/>
        <color rgb="FF63C384"/>
      </dataBar>
    </cfRule>
    <cfRule type="dataBar" priority="205">
      <dataBar>
        <cfvo type="min"/>
        <cfvo type="max"/>
        <color rgb="FF63C384"/>
      </dataBar>
    </cfRule>
    <cfRule type="dataBar" priority="204">
      <dataBar>
        <cfvo type="min"/>
        <cfvo type="max"/>
        <color rgb="FF63C384"/>
      </dataBar>
    </cfRule>
  </conditionalFormatting>
  <conditionalFormatting sqref="AA168">
    <cfRule type="expression" priority="203" dxfId="2">
      <formula>AND(AND($W168&lt;TODAY(),$W168&lt;&gt;""),$X168="")</formula>
    </cfRule>
  </conditionalFormatting>
  <conditionalFormatting sqref="AG168">
    <cfRule type="dataBar" priority="202">
      <dataBar>
        <cfvo type="min"/>
        <cfvo type="max"/>
        <color rgb="FF63C384"/>
      </dataBar>
    </cfRule>
    <cfRule type="dataBar" priority="201">
      <dataBar>
        <cfvo type="min"/>
        <cfvo type="max"/>
        <color rgb="FF63C384"/>
      </dataBar>
    </cfRule>
  </conditionalFormatting>
  <conditionalFormatting sqref="Q168">
    <cfRule type="cellIs" priority="200" operator="equal" dxfId="2034">
      <formula>"ja"</formula>
    </cfRule>
  </conditionalFormatting>
  <conditionalFormatting sqref="Q169">
    <cfRule type="cellIs" priority="199" operator="equal" dxfId="2034">
      <formula>"ja"</formula>
    </cfRule>
  </conditionalFormatting>
  <conditionalFormatting sqref="AA169">
    <cfRule type="expression" priority="198" dxfId="2">
      <formula>AND(AND($W169&lt;TODAY(),$W169&lt;&gt;""),$X169="")</formula>
    </cfRule>
  </conditionalFormatting>
  <conditionalFormatting sqref="AG169">
    <cfRule type="dataBar" priority="197">
      <dataBar>
        <cfvo type="min"/>
        <cfvo type="max"/>
        <color rgb="FF63C384"/>
      </dataBar>
    </cfRule>
    <cfRule type="dataBar" priority="196">
      <dataBar>
        <cfvo type="min"/>
        <cfvo type="max"/>
        <color rgb="FF63C384"/>
      </dataBar>
    </cfRule>
  </conditionalFormatting>
  <conditionalFormatting sqref="Q170">
    <cfRule type="cellIs" priority="195" operator="equal" dxfId="2034">
      <formula>"ja"</formula>
    </cfRule>
  </conditionalFormatting>
  <conditionalFormatting sqref="AA170:AA175">
    <cfRule type="expression" priority="194" dxfId="2">
      <formula>AND(AND($W170&lt;TODAY(),$W170&lt;&gt;""),$X170="")</formula>
    </cfRule>
  </conditionalFormatting>
  <conditionalFormatting sqref="AG170:AG175">
    <cfRule type="dataBar" priority="193">
      <dataBar>
        <cfvo type="min"/>
        <cfvo type="max"/>
        <color rgb="FF63C384"/>
      </dataBar>
    </cfRule>
    <cfRule type="dataBar" priority="192">
      <dataBar>
        <cfvo type="min"/>
        <cfvo type="max"/>
        <color rgb="FF63C384"/>
      </dataBar>
    </cfRule>
  </conditionalFormatting>
  <conditionalFormatting sqref="Q176">
    <cfRule type="cellIs" priority="191" operator="equal" dxfId="2034">
      <formula>"ja"</formula>
    </cfRule>
    <cfRule type="cellIs" priority="179" operator="equal" dxfId="2034">
      <formula>"ja"</formula>
    </cfRule>
    <cfRule type="cellIs" priority="187" operator="equal" dxfId="2034">
      <formula>"ja"</formula>
    </cfRule>
    <cfRule type="cellIs" priority="183" operator="equal" dxfId="2034">
      <formula>"ja"</formula>
    </cfRule>
  </conditionalFormatting>
  <conditionalFormatting sqref="AA176">
    <cfRule type="expression" priority="178" dxfId="2">
      <formula>AND(AND($W176&lt;TODAY(),$W176&lt;&gt;""),$X176="")</formula>
    </cfRule>
    <cfRule type="expression" priority="190" dxfId="2">
      <formula>AND(AND($W176&lt;TODAY(),$W176&lt;&gt;""),$X176="")</formula>
    </cfRule>
    <cfRule type="expression" priority="186" dxfId="2">
      <formula>AND(AND($W176&lt;TODAY(),$W176&lt;&gt;""),$X176="")</formula>
    </cfRule>
    <cfRule type="expression" priority="182" dxfId="2">
      <formula>AND(AND($W176&lt;TODAY(),$W176&lt;&gt;""),$X176="")</formula>
    </cfRule>
  </conditionalFormatting>
  <conditionalFormatting sqref="AG176">
    <cfRule type="dataBar" priority="189">
      <dataBar>
        <cfvo type="min"/>
        <cfvo type="max"/>
        <color rgb="FF63C384"/>
      </dataBar>
    </cfRule>
    <cfRule type="dataBar" priority="188">
      <dataBar>
        <cfvo type="min"/>
        <cfvo type="max"/>
        <color rgb="FF63C384"/>
      </dataBar>
    </cfRule>
    <cfRule type="dataBar" priority="185">
      <dataBar>
        <cfvo type="min"/>
        <cfvo type="max"/>
        <color rgb="FF63C384"/>
      </dataBar>
    </cfRule>
    <cfRule type="dataBar" priority="184">
      <dataBar>
        <cfvo type="min"/>
        <cfvo type="max"/>
        <color rgb="FF63C384"/>
      </dataBar>
    </cfRule>
    <cfRule type="dataBar" priority="181">
      <dataBar>
        <cfvo type="min"/>
        <cfvo type="max"/>
        <color rgb="FF63C384"/>
      </dataBar>
    </cfRule>
    <cfRule type="dataBar" priority="180">
      <dataBar>
        <cfvo type="min"/>
        <cfvo type="max"/>
        <color rgb="FF63C384"/>
      </dataBar>
    </cfRule>
    <cfRule type="dataBar" priority="177">
      <dataBar>
        <cfvo type="min"/>
        <cfvo type="max"/>
        <color rgb="FF63C384"/>
      </dataBar>
    </cfRule>
    <cfRule type="dataBar" priority="176">
      <dataBar>
        <cfvo type="min"/>
        <cfvo type="max"/>
        <color rgb="FF63C384"/>
      </dataBar>
    </cfRule>
  </conditionalFormatting>
  <conditionalFormatting sqref="AA178">
    <cfRule type="expression" priority="175" dxfId="2">
      <formula>AND(AND($W178&lt;TODAY(),$W178&lt;&gt;""),$X178="")</formula>
    </cfRule>
  </conditionalFormatting>
  <conditionalFormatting sqref="AG178">
    <cfRule type="dataBar" priority="174">
      <dataBar>
        <cfvo type="min"/>
        <cfvo type="max"/>
        <color rgb="FF63C384"/>
      </dataBar>
    </cfRule>
    <cfRule type="dataBar" priority="173">
      <dataBar>
        <cfvo type="min"/>
        <cfvo type="max"/>
        <color rgb="FF63C384"/>
      </dataBar>
    </cfRule>
  </conditionalFormatting>
  <conditionalFormatting sqref="Q179">
    <cfRule type="cellIs" priority="172" operator="equal" dxfId="2034">
      <formula>"ja"</formula>
    </cfRule>
    <cfRule type="cellIs" priority="167" operator="equal" dxfId="2034">
      <formula>"ja"</formula>
    </cfRule>
  </conditionalFormatting>
  <conditionalFormatting sqref="AA179">
    <cfRule type="expression" priority="171" dxfId="2">
      <formula>AND(AND($W179&lt;TODAY(),$W179&lt;&gt;""),$X179="")</formula>
    </cfRule>
    <cfRule type="expression" priority="168" dxfId="2">
      <formula>AND(AND($W179&lt;TODAY(),$W179&lt;&gt;""),$X179="")</formula>
    </cfRule>
  </conditionalFormatting>
  <conditionalFormatting sqref="AG179">
    <cfRule type="dataBar" priority="170">
      <dataBar>
        <cfvo type="min"/>
        <cfvo type="max"/>
        <color rgb="FF63C384"/>
      </dataBar>
    </cfRule>
    <cfRule type="dataBar" priority="169">
      <dataBar>
        <cfvo type="min"/>
        <cfvo type="max"/>
        <color rgb="FF63C384"/>
      </dataBar>
    </cfRule>
    <cfRule type="dataBar" priority="166">
      <dataBar>
        <cfvo type="min"/>
        <cfvo type="max"/>
        <color rgb="FF63C384"/>
      </dataBar>
    </cfRule>
    <cfRule type="dataBar" priority="165">
      <dataBar>
        <cfvo type="min"/>
        <cfvo type="max"/>
        <color rgb="FF63C384"/>
      </dataBar>
    </cfRule>
  </conditionalFormatting>
  <conditionalFormatting sqref="AA180">
    <cfRule type="expression" priority="164" dxfId="2">
      <formula>AND(AND($W180&lt;TODAY(),$W180&lt;&gt;""),$X180="")</formula>
    </cfRule>
    <cfRule type="expression" priority="161" dxfId="2">
      <formula>AND(AND($W180&lt;TODAY(),$W180&lt;&gt;""),$X180="")</formula>
    </cfRule>
  </conditionalFormatting>
  <conditionalFormatting sqref="AG180">
    <cfRule type="dataBar" priority="163">
      <dataBar>
        <cfvo type="min"/>
        <cfvo type="max"/>
        <color rgb="FF63C384"/>
      </dataBar>
    </cfRule>
    <cfRule type="dataBar" priority="162">
      <dataBar>
        <cfvo type="min"/>
        <cfvo type="max"/>
        <color rgb="FF63C384"/>
      </dataBar>
    </cfRule>
    <cfRule type="dataBar" priority="160">
      <dataBar>
        <cfvo type="min"/>
        <cfvo type="max"/>
        <color rgb="FF63C384"/>
      </dataBar>
    </cfRule>
    <cfRule type="dataBar" priority="159">
      <dataBar>
        <cfvo type="min"/>
        <cfvo type="max"/>
        <color rgb="FF63C384"/>
      </dataBar>
    </cfRule>
  </conditionalFormatting>
  <conditionalFormatting sqref="Q181">
    <cfRule type="cellIs" priority="158" operator="equal" dxfId="2034">
      <formula>"ja"</formula>
    </cfRule>
    <cfRule type="cellIs" priority="154" operator="equal" dxfId="2034">
      <formula>"ja"</formula>
    </cfRule>
    <cfRule type="cellIs" priority="150" operator="equal" dxfId="2034">
      <formula>"ja"</formula>
    </cfRule>
  </conditionalFormatting>
  <conditionalFormatting sqref="AA181:AA183">
    <cfRule type="expression" priority="157" dxfId="2">
      <formula>AND(AND($W181&lt;TODAY(),$W181&lt;&gt;""),$X181="")</formula>
    </cfRule>
    <cfRule type="expression" priority="153" dxfId="2">
      <formula>AND(AND($W181&lt;TODAY(),$W181&lt;&gt;""),$X181="")</formula>
    </cfRule>
    <cfRule type="expression" priority="149" dxfId="2">
      <formula>AND(AND($W181&lt;TODAY(),$W181&lt;&gt;""),$X181="")</formula>
    </cfRule>
  </conditionalFormatting>
  <conditionalFormatting sqref="AG181:AG182">
    <cfRule type="dataBar" priority="156">
      <dataBar>
        <cfvo type="min"/>
        <cfvo type="max"/>
        <color rgb="FF63C384"/>
      </dataBar>
    </cfRule>
    <cfRule type="dataBar" priority="155">
      <dataBar>
        <cfvo type="min"/>
        <cfvo type="max"/>
        <color rgb="FF63C384"/>
      </dataBar>
    </cfRule>
    <cfRule type="dataBar" priority="152">
      <dataBar>
        <cfvo type="min"/>
        <cfvo type="max"/>
        <color rgb="FF63C384"/>
      </dataBar>
    </cfRule>
    <cfRule type="dataBar" priority="151">
      <dataBar>
        <cfvo type="min"/>
        <cfvo type="max"/>
        <color rgb="FF63C384"/>
      </dataBar>
    </cfRule>
    <cfRule type="dataBar" priority="148">
      <dataBar>
        <cfvo type="min"/>
        <cfvo type="max"/>
        <color rgb="FF63C384"/>
      </dataBar>
    </cfRule>
    <cfRule type="dataBar" priority="147">
      <dataBar>
        <cfvo type="min"/>
        <cfvo type="max"/>
        <color rgb="FF63C384"/>
      </dataBar>
    </cfRule>
  </conditionalFormatting>
  <conditionalFormatting sqref="Q177">
    <cfRule type="cellIs" priority="146" operator="equal" dxfId="2034">
      <formula>"ja"</formula>
    </cfRule>
    <cfRule type="cellIs" priority="139" operator="equal" dxfId="2034">
      <formula>"ja"</formula>
    </cfRule>
  </conditionalFormatting>
  <conditionalFormatting sqref="AA177">
    <cfRule type="expression" priority="145" dxfId="2">
      <formula>AND(AND($W177&lt;TODAY(),$W177&lt;&gt;""),$X177="")</formula>
    </cfRule>
    <cfRule type="expression" priority="142" dxfId="2">
      <formula>AND(AND($W177&lt;TODAY(),$W177&lt;&gt;""),$X177="")</formula>
    </cfRule>
  </conditionalFormatting>
  <conditionalFormatting sqref="AG177">
    <cfRule type="dataBar" priority="144">
      <dataBar>
        <cfvo type="min"/>
        <cfvo type="max"/>
        <color rgb="FF63C384"/>
      </dataBar>
    </cfRule>
    <cfRule type="dataBar" priority="143">
      <dataBar>
        <cfvo type="min"/>
        <cfvo type="max"/>
        <color rgb="FF63C384"/>
      </dataBar>
    </cfRule>
    <cfRule type="dataBar" priority="141">
      <dataBar>
        <cfvo type="min"/>
        <cfvo type="max"/>
        <color rgb="FF63C384"/>
      </dataBar>
    </cfRule>
    <cfRule type="dataBar" priority="140">
      <dataBar>
        <cfvo type="min"/>
        <cfvo type="max"/>
        <color rgb="FF63C384"/>
      </dataBar>
    </cfRule>
  </conditionalFormatting>
  <conditionalFormatting sqref="Q183">
    <cfRule type="cellIs" priority="138" operator="equal" dxfId="2034">
      <formula>"ja"</formula>
    </cfRule>
    <cfRule type="cellIs" priority="135" operator="equal" dxfId="2034">
      <formula>"ja"</formula>
    </cfRule>
  </conditionalFormatting>
  <conditionalFormatting sqref="AG183">
    <cfRule type="dataBar" priority="137">
      <dataBar>
        <cfvo type="min"/>
        <cfvo type="max"/>
        <color rgb="FF63C384"/>
      </dataBar>
    </cfRule>
    <cfRule type="dataBar" priority="136">
      <dataBar>
        <cfvo type="min"/>
        <cfvo type="max"/>
        <color rgb="FF63C384"/>
      </dataBar>
    </cfRule>
    <cfRule type="dataBar" priority="134">
      <dataBar>
        <cfvo type="min"/>
        <cfvo type="max"/>
        <color rgb="FF63C384"/>
      </dataBar>
    </cfRule>
    <cfRule type="dataBar" priority="133">
      <dataBar>
        <cfvo type="min"/>
        <cfvo type="max"/>
        <color rgb="FF63C384"/>
      </dataBar>
    </cfRule>
  </conditionalFormatting>
  <conditionalFormatting sqref="Q184">
    <cfRule type="cellIs" priority="132" operator="equal" dxfId="2034">
      <formula>"ja"</formula>
    </cfRule>
    <cfRule type="cellIs" priority="125" operator="equal" dxfId="2034">
      <formula>"ja"</formula>
    </cfRule>
  </conditionalFormatting>
  <conditionalFormatting sqref="AA184">
    <cfRule type="expression" priority="131" dxfId="2">
      <formula>AND(AND($W184&lt;TODAY(),$W184&lt;&gt;""),$X184="")</formula>
    </cfRule>
    <cfRule type="expression" priority="128" dxfId="2">
      <formula>AND(AND($W184&lt;TODAY(),$W184&lt;&gt;""),$X184="")</formula>
    </cfRule>
  </conditionalFormatting>
  <conditionalFormatting sqref="AG184">
    <cfRule type="dataBar" priority="130">
      <dataBar>
        <cfvo type="min"/>
        <cfvo type="max"/>
        <color rgb="FF63C384"/>
      </dataBar>
    </cfRule>
    <cfRule type="dataBar" priority="129">
      <dataBar>
        <cfvo type="min"/>
        <cfvo type="max"/>
        <color rgb="FF63C384"/>
      </dataBar>
    </cfRule>
    <cfRule type="dataBar" priority="127">
      <dataBar>
        <cfvo type="min"/>
        <cfvo type="max"/>
        <color rgb="FF63C384"/>
      </dataBar>
    </cfRule>
    <cfRule type="dataBar" priority="126">
      <dataBar>
        <cfvo type="min"/>
        <cfvo type="max"/>
        <color rgb="FF63C384"/>
      </dataBar>
    </cfRule>
  </conditionalFormatting>
  <conditionalFormatting sqref="AA185">
    <cfRule type="expression" priority="124" dxfId="2">
      <formula>AND(AND($W185&lt;TODAY(),$W185&lt;&gt;""),$X185="")</formula>
    </cfRule>
  </conditionalFormatting>
  <conditionalFormatting sqref="AG185">
    <cfRule type="dataBar" priority="123">
      <dataBar>
        <cfvo type="min"/>
        <cfvo type="max"/>
        <color rgb="FF63C384"/>
      </dataBar>
    </cfRule>
    <cfRule type="dataBar" priority="122">
      <dataBar>
        <cfvo type="min"/>
        <cfvo type="max"/>
        <color rgb="FF63C384"/>
      </dataBar>
    </cfRule>
  </conditionalFormatting>
  <conditionalFormatting sqref="Q185">
    <cfRule type="cellIs" priority="121" operator="equal" dxfId="2034">
      <formula>"ja"</formula>
    </cfRule>
  </conditionalFormatting>
  <conditionalFormatting sqref="AA186">
    <cfRule type="expression" priority="120" dxfId="2">
      <formula>AND(AND($W186&lt;TODAY(),$W186&lt;&gt;""),$X186="")</formula>
    </cfRule>
  </conditionalFormatting>
  <conditionalFormatting sqref="Q186">
    <cfRule type="cellIs" priority="119" operator="equal" dxfId="2034">
      <formula>"ja"</formula>
    </cfRule>
  </conditionalFormatting>
  <conditionalFormatting sqref="AG186">
    <cfRule type="dataBar" priority="118">
      <dataBar>
        <cfvo type="min"/>
        <cfvo type="max"/>
        <color rgb="FF63C384"/>
      </dataBar>
    </cfRule>
    <cfRule type="dataBar" priority="117">
      <dataBar>
        <cfvo type="min"/>
        <cfvo type="max"/>
        <color rgb="FF63C384"/>
      </dataBar>
    </cfRule>
  </conditionalFormatting>
  <conditionalFormatting sqref="AA187">
    <cfRule type="expression" priority="116" dxfId="2">
      <formula>AND(AND($W187&lt;TODAY(),$W187&lt;&gt;""),$X187="")</formula>
    </cfRule>
  </conditionalFormatting>
  <conditionalFormatting sqref="AG187">
    <cfRule type="dataBar" priority="115">
      <dataBar>
        <cfvo type="min"/>
        <cfvo type="max"/>
        <color rgb="FF63C384"/>
      </dataBar>
    </cfRule>
    <cfRule type="dataBar" priority="114">
      <dataBar>
        <cfvo type="min"/>
        <cfvo type="max"/>
        <color rgb="FF63C384"/>
      </dataBar>
    </cfRule>
  </conditionalFormatting>
  <conditionalFormatting sqref="Q187">
    <cfRule type="cellIs" priority="113" operator="equal" dxfId="2034">
      <formula>"ja"</formula>
    </cfRule>
  </conditionalFormatting>
  <conditionalFormatting sqref="Q188">
    <cfRule type="cellIs" priority="112" operator="equal" dxfId="2034">
      <formula>"ja"</formula>
    </cfRule>
  </conditionalFormatting>
  <conditionalFormatting sqref="AA188">
    <cfRule type="expression" priority="111" dxfId="2">
      <formula>AND(AND($W188&lt;TODAY(),$W188&lt;&gt;""),$X188="")</formula>
    </cfRule>
  </conditionalFormatting>
  <conditionalFormatting sqref="AG188">
    <cfRule type="dataBar" priority="110">
      <dataBar>
        <cfvo type="min"/>
        <cfvo type="max"/>
        <color rgb="FF63C384"/>
      </dataBar>
    </cfRule>
    <cfRule type="dataBar" priority="109">
      <dataBar>
        <cfvo type="min"/>
        <cfvo type="max"/>
        <color rgb="FF63C384"/>
      </dataBar>
    </cfRule>
  </conditionalFormatting>
  <conditionalFormatting sqref="Q189">
    <cfRule type="cellIs" priority="108" operator="equal" dxfId="2034">
      <formula>"ja"</formula>
    </cfRule>
    <cfRule type="cellIs" priority="103" operator="equal" dxfId="2034">
      <formula>"ja"</formula>
    </cfRule>
  </conditionalFormatting>
  <conditionalFormatting sqref="AA189">
    <cfRule type="expression" priority="107" dxfId="2">
      <formula>AND(AND($W189&lt;TODAY(),$W189&lt;&gt;""),$X189="")</formula>
    </cfRule>
    <cfRule type="expression" priority="104" dxfId="2">
      <formula>AND(AND($W189&lt;TODAY(),$W189&lt;&gt;""),$X189="")</formula>
    </cfRule>
  </conditionalFormatting>
  <conditionalFormatting sqref="AG189">
    <cfRule type="dataBar" priority="106">
      <dataBar>
        <cfvo type="min"/>
        <cfvo type="max"/>
        <color rgb="FF63C384"/>
      </dataBar>
    </cfRule>
    <cfRule type="dataBar" priority="105">
      <dataBar>
        <cfvo type="min"/>
        <cfvo type="max"/>
        <color rgb="FF63C384"/>
      </dataBar>
    </cfRule>
    <cfRule type="dataBar" priority="102">
      <dataBar>
        <cfvo type="min"/>
        <cfvo type="max"/>
        <color rgb="FF63C384"/>
      </dataBar>
    </cfRule>
    <cfRule type="dataBar" priority="101">
      <dataBar>
        <cfvo type="min"/>
        <cfvo type="max"/>
        <color rgb="FF63C384"/>
      </dataBar>
    </cfRule>
  </conditionalFormatting>
  <conditionalFormatting sqref="Q190">
    <cfRule type="cellIs" priority="100" operator="equal" dxfId="2034">
      <formula>"ja"</formula>
    </cfRule>
  </conditionalFormatting>
  <conditionalFormatting sqref="AA190">
    <cfRule type="expression" priority="99" dxfId="2">
      <formula>AND(AND($W190&lt;TODAY(),$W190&lt;&gt;""),$X190="")</formula>
    </cfRule>
  </conditionalFormatting>
  <conditionalFormatting sqref="AG190">
    <cfRule type="dataBar" priority="98">
      <dataBar>
        <cfvo type="min"/>
        <cfvo type="max"/>
        <color rgb="FF63C384"/>
      </dataBar>
    </cfRule>
    <cfRule type="dataBar" priority="97">
      <dataBar>
        <cfvo type="min"/>
        <cfvo type="max"/>
        <color rgb="FF63C384"/>
      </dataBar>
    </cfRule>
  </conditionalFormatting>
  <conditionalFormatting sqref="Q191">
    <cfRule type="cellIs" priority="96" operator="equal" dxfId="2034">
      <formula>"ja"</formula>
    </cfRule>
    <cfRule type="cellIs" priority="84" operator="equal" dxfId="2034">
      <formula>"ja"</formula>
    </cfRule>
    <cfRule type="cellIs" priority="92" operator="equal" dxfId="2034">
      <formula>"ja"</formula>
    </cfRule>
    <cfRule type="cellIs" priority="88" operator="equal" dxfId="2034">
      <formula>"ja"</formula>
    </cfRule>
  </conditionalFormatting>
  <conditionalFormatting sqref="AA191">
    <cfRule type="expression" priority="83" dxfId="2">
      <formula>AND(AND($W191&lt;TODAY(),$W191&lt;&gt;""),$X191="")</formula>
    </cfRule>
    <cfRule type="expression" priority="95" dxfId="2">
      <formula>AND(AND($W191&lt;TODAY(),$W191&lt;&gt;""),$X191="")</formula>
    </cfRule>
    <cfRule type="expression" priority="91" dxfId="2">
      <formula>AND(AND($W191&lt;TODAY(),$W191&lt;&gt;""),$X191="")</formula>
    </cfRule>
    <cfRule type="expression" priority="87" dxfId="2">
      <formula>AND(AND($W191&lt;TODAY(),$W191&lt;&gt;""),$X191="")</formula>
    </cfRule>
  </conditionalFormatting>
  <conditionalFormatting sqref="AG191">
    <cfRule type="dataBar" priority="94">
      <dataBar>
        <cfvo type="min"/>
        <cfvo type="max"/>
        <color rgb="FF63C384"/>
      </dataBar>
    </cfRule>
    <cfRule type="dataBar" priority="93">
      <dataBar>
        <cfvo type="min"/>
        <cfvo type="max"/>
        <color rgb="FF63C384"/>
      </dataBar>
    </cfRule>
    <cfRule type="dataBar" priority="90">
      <dataBar>
        <cfvo type="min"/>
        <cfvo type="max"/>
        <color rgb="FF63C384"/>
      </dataBar>
    </cfRule>
    <cfRule type="dataBar" priority="89">
      <dataBar>
        <cfvo type="min"/>
        <cfvo type="max"/>
        <color rgb="FF63C384"/>
      </dataBar>
    </cfRule>
    <cfRule type="dataBar" priority="86">
      <dataBar>
        <cfvo type="min"/>
        <cfvo type="max"/>
        <color rgb="FF63C384"/>
      </dataBar>
    </cfRule>
    <cfRule type="dataBar" priority="85">
      <dataBar>
        <cfvo type="min"/>
        <cfvo type="max"/>
        <color rgb="FF63C384"/>
      </dataBar>
    </cfRule>
    <cfRule type="dataBar" priority="82">
      <dataBar>
        <cfvo type="min"/>
        <cfvo type="max"/>
        <color rgb="FF63C384"/>
      </dataBar>
    </cfRule>
    <cfRule type="dataBar" priority="81">
      <dataBar>
        <cfvo type="min"/>
        <cfvo type="max"/>
        <color rgb="FF63C384"/>
      </dataBar>
    </cfRule>
  </conditionalFormatting>
  <conditionalFormatting sqref="Q192">
    <cfRule type="cellIs" priority="80" operator="equal" dxfId="2034">
      <formula>"ja"</formula>
    </cfRule>
    <cfRule type="cellIs" priority="73" operator="equal" dxfId="2034">
      <formula>"ja"</formula>
    </cfRule>
  </conditionalFormatting>
  <conditionalFormatting sqref="AA192:AA193">
    <cfRule type="expression" priority="79" dxfId="2">
      <formula>AND(AND($W192&lt;TODAY(),$W192&lt;&gt;""),$X192="")</formula>
    </cfRule>
    <cfRule type="expression" priority="76" dxfId="2">
      <formula>AND(AND($W192&lt;TODAY(),$W192&lt;&gt;""),$X192="")</formula>
    </cfRule>
  </conditionalFormatting>
  <conditionalFormatting sqref="AG192:AG193">
    <cfRule type="dataBar" priority="78">
      <dataBar>
        <cfvo type="min"/>
        <cfvo type="max"/>
        <color rgb="FF63C384"/>
      </dataBar>
    </cfRule>
    <cfRule type="dataBar" priority="77">
      <dataBar>
        <cfvo type="min"/>
        <cfvo type="max"/>
        <color rgb="FF63C384"/>
      </dataBar>
    </cfRule>
    <cfRule type="dataBar" priority="75">
      <dataBar>
        <cfvo type="min"/>
        <cfvo type="max"/>
        <color rgb="FF63C384"/>
      </dataBar>
    </cfRule>
    <cfRule type="dataBar" priority="74">
      <dataBar>
        <cfvo type="min"/>
        <cfvo type="max"/>
        <color rgb="FF63C384"/>
      </dataBar>
    </cfRule>
  </conditionalFormatting>
  <conditionalFormatting sqref="Q194">
    <cfRule type="cellIs" priority="72" operator="equal" dxfId="2034">
      <formula>"ja"</formula>
    </cfRule>
    <cfRule type="cellIs" priority="67" operator="equal" dxfId="2034">
      <formula>"ja"</formula>
    </cfRule>
  </conditionalFormatting>
  <conditionalFormatting sqref="AA194">
    <cfRule type="expression" priority="71" dxfId="2">
      <formula>AND(AND($W194&lt;TODAY(),$W194&lt;&gt;""),$X194="")</formula>
    </cfRule>
    <cfRule type="expression" priority="68" dxfId="2">
      <formula>AND(AND($W194&lt;TODAY(),$W194&lt;&gt;""),$X194="")</formula>
    </cfRule>
  </conditionalFormatting>
  <conditionalFormatting sqref="AG194">
    <cfRule type="dataBar" priority="70">
      <dataBar>
        <cfvo type="min"/>
        <cfvo type="max"/>
        <color rgb="FF63C384"/>
      </dataBar>
    </cfRule>
    <cfRule type="dataBar" priority="69">
      <dataBar>
        <cfvo type="min"/>
        <cfvo type="max"/>
        <color rgb="FF63C384"/>
      </dataBar>
    </cfRule>
    <cfRule type="dataBar" priority="66">
      <dataBar>
        <cfvo type="min"/>
        <cfvo type="max"/>
        <color rgb="FF63C384"/>
      </dataBar>
    </cfRule>
    <cfRule type="dataBar" priority="65">
      <dataBar>
        <cfvo type="min"/>
        <cfvo type="max"/>
        <color rgb="FF63C384"/>
      </dataBar>
    </cfRule>
  </conditionalFormatting>
  <conditionalFormatting sqref="AA195">
    <cfRule type="expression" priority="64" dxfId="2">
      <formula>AND(AND($W195&lt;TODAY(),$W195&lt;&gt;""),$X195="")</formula>
    </cfRule>
    <cfRule type="expression" priority="61" dxfId="2">
      <formula>AND(AND($W195&lt;TODAY(),$W195&lt;&gt;""),$X195="")</formula>
    </cfRule>
  </conditionalFormatting>
  <conditionalFormatting sqref="AG195">
    <cfRule type="dataBar" priority="63">
      <dataBar>
        <cfvo type="min"/>
        <cfvo type="max"/>
        <color rgb="FF63C384"/>
      </dataBar>
    </cfRule>
    <cfRule type="dataBar" priority="62">
      <dataBar>
        <cfvo type="min"/>
        <cfvo type="max"/>
        <color rgb="FF63C384"/>
      </dataBar>
    </cfRule>
    <cfRule type="dataBar" priority="60">
      <dataBar>
        <cfvo type="min"/>
        <cfvo type="max"/>
        <color rgb="FF63C384"/>
      </dataBar>
    </cfRule>
    <cfRule type="dataBar" priority="59">
      <dataBar>
        <cfvo type="min"/>
        <cfvo type="max"/>
        <color rgb="FF63C384"/>
      </dataBar>
    </cfRule>
  </conditionalFormatting>
  <conditionalFormatting sqref="AA196">
    <cfRule type="expression" priority="58" dxfId="2">
      <formula>AND(AND($W196&lt;TODAY(),$W196&lt;&gt;""),$X196="")</formula>
    </cfRule>
  </conditionalFormatting>
  <conditionalFormatting sqref="AG196">
    <cfRule type="dataBar" priority="57">
      <dataBar>
        <cfvo type="min"/>
        <cfvo type="max"/>
        <color rgb="FF63C384"/>
      </dataBar>
    </cfRule>
    <cfRule type="dataBar" priority="56">
      <dataBar>
        <cfvo type="min"/>
        <cfvo type="max"/>
        <color rgb="FF63C384"/>
      </dataBar>
    </cfRule>
  </conditionalFormatting>
  <conditionalFormatting sqref="Q196">
    <cfRule type="cellIs" priority="55" operator="equal" dxfId="2034">
      <formula>"ja"</formula>
    </cfRule>
  </conditionalFormatting>
  <conditionalFormatting sqref="Q197">
    <cfRule type="cellIs" priority="54" operator="equal" dxfId="2034">
      <formula>"ja"</formula>
    </cfRule>
    <cfRule type="cellIs" priority="50" operator="equal" dxfId="2034">
      <formula>"ja"</formula>
    </cfRule>
    <cfRule type="cellIs" priority="46" operator="equal" dxfId="2034">
      <formula>"ja"</formula>
    </cfRule>
  </conditionalFormatting>
  <conditionalFormatting sqref="AA197">
    <cfRule type="expression" priority="53" dxfId="2">
      <formula>AND(AND($W197&lt;TODAY(),$W197&lt;&gt;""),$X197="")</formula>
    </cfRule>
    <cfRule type="expression" priority="49" dxfId="2">
      <formula>AND(AND($W197&lt;TODAY(),$W197&lt;&gt;""),$X197="")</formula>
    </cfRule>
    <cfRule type="expression" priority="45" dxfId="2">
      <formula>AND(AND($W197&lt;TODAY(),$W197&lt;&gt;""),$X197="")</formula>
    </cfRule>
  </conditionalFormatting>
  <conditionalFormatting sqref="AG197">
    <cfRule type="dataBar" priority="52">
      <dataBar>
        <cfvo type="min"/>
        <cfvo type="max"/>
        <color rgb="FF63C384"/>
      </dataBar>
    </cfRule>
    <cfRule type="dataBar" priority="51">
      <dataBar>
        <cfvo type="min"/>
        <cfvo type="max"/>
        <color rgb="FF63C384"/>
      </dataBar>
    </cfRule>
    <cfRule type="dataBar" priority="48">
      <dataBar>
        <cfvo type="min"/>
        <cfvo type="max"/>
        <color rgb="FF63C384"/>
      </dataBar>
    </cfRule>
    <cfRule type="dataBar" priority="47">
      <dataBar>
        <cfvo type="min"/>
        <cfvo type="max"/>
        <color rgb="FF63C384"/>
      </dataBar>
    </cfRule>
    <cfRule type="dataBar" priority="44">
      <dataBar>
        <cfvo type="min"/>
        <cfvo type="max"/>
        <color rgb="FF63C384"/>
      </dataBar>
    </cfRule>
    <cfRule type="dataBar" priority="43">
      <dataBar>
        <cfvo type="min"/>
        <cfvo type="max"/>
        <color rgb="FF63C384"/>
      </dataBar>
    </cfRule>
  </conditionalFormatting>
  <conditionalFormatting sqref="AA198:AA199">
    <cfRule type="expression" priority="42" dxfId="2">
      <formula>AND(AND($W198&lt;TODAY(),$W198&lt;&gt;""),$X198="")</formula>
    </cfRule>
  </conditionalFormatting>
  <conditionalFormatting sqref="AG198">
    <cfRule type="dataBar" priority="41">
      <dataBar>
        <cfvo type="min"/>
        <cfvo type="max"/>
        <color rgb="FF63C384"/>
      </dataBar>
    </cfRule>
    <cfRule type="dataBar" priority="40">
      <dataBar>
        <cfvo type="min"/>
        <cfvo type="max"/>
        <color rgb="FF63C384"/>
      </dataBar>
    </cfRule>
  </conditionalFormatting>
  <conditionalFormatting sqref="Q199">
    <cfRule type="cellIs" priority="39" operator="equal" dxfId="2034">
      <formula>"ja"</formula>
    </cfRule>
    <cfRule type="cellIs" priority="36" operator="equal" dxfId="2034">
      <formula>"ja"</formula>
    </cfRule>
  </conditionalFormatting>
  <conditionalFormatting sqref="AG199">
    <cfRule type="dataBar" priority="38">
      <dataBar>
        <cfvo type="min"/>
        <cfvo type="max"/>
        <color rgb="FF63C384"/>
      </dataBar>
    </cfRule>
    <cfRule type="dataBar" priority="37">
      <dataBar>
        <cfvo type="min"/>
        <cfvo type="max"/>
        <color rgb="FF63C384"/>
      </dataBar>
    </cfRule>
    <cfRule type="dataBar" priority="35">
      <dataBar>
        <cfvo type="min"/>
        <cfvo type="max"/>
        <color rgb="FF63C384"/>
      </dataBar>
    </cfRule>
    <cfRule type="dataBar" priority="34">
      <dataBar>
        <cfvo type="min"/>
        <cfvo type="max"/>
        <color rgb="FF63C384"/>
      </dataBar>
    </cfRule>
  </conditionalFormatting>
  <conditionalFormatting sqref="Q200">
    <cfRule type="cellIs" priority="33" operator="equal" dxfId="2034">
      <formula>"ja"</formula>
    </cfRule>
    <cfRule type="cellIs" priority="26" operator="equal" dxfId="2034">
      <formula>"ja"</formula>
    </cfRule>
  </conditionalFormatting>
  <conditionalFormatting sqref="AA200">
    <cfRule type="expression" priority="32" dxfId="2">
      <formula>AND(AND($W200&lt;TODAY(),$W200&lt;&gt;""),$X200="")</formula>
    </cfRule>
    <cfRule type="expression" priority="29" dxfId="2">
      <formula>AND(AND($W200&lt;TODAY(),$W200&lt;&gt;""),$X200="")</formula>
    </cfRule>
  </conditionalFormatting>
  <conditionalFormatting sqref="AG200">
    <cfRule type="dataBar" priority="31">
      <dataBar>
        <cfvo type="min"/>
        <cfvo type="max"/>
        <color rgb="FF63C384"/>
      </dataBar>
    </cfRule>
    <cfRule type="dataBar" priority="30">
      <dataBar>
        <cfvo type="min"/>
        <cfvo type="max"/>
        <color rgb="FF63C384"/>
      </dataBar>
    </cfRule>
    <cfRule type="dataBar" priority="28">
      <dataBar>
        <cfvo type="min"/>
        <cfvo type="max"/>
        <color rgb="FF63C384"/>
      </dataBar>
    </cfRule>
    <cfRule type="dataBar" priority="27">
      <dataBar>
        <cfvo type="min"/>
        <cfvo type="max"/>
        <color rgb="FF63C384"/>
      </dataBar>
    </cfRule>
  </conditionalFormatting>
  <conditionalFormatting sqref="Q201">
    <cfRule type="cellIs" priority="25" operator="equal" dxfId="2034">
      <formula>"ja"</formula>
    </cfRule>
    <cfRule type="cellIs" priority="20" operator="equal" dxfId="2034">
      <formula>"ja"</formula>
    </cfRule>
  </conditionalFormatting>
  <conditionalFormatting sqref="AA201">
    <cfRule type="expression" priority="24" dxfId="2">
      <formula>AND(AND($W201&lt;TODAY(),$W201&lt;&gt;""),$X201="")</formula>
    </cfRule>
    <cfRule type="expression" priority="21" dxfId="2">
      <formula>AND(AND($W201&lt;TODAY(),$W201&lt;&gt;""),$X201="")</formula>
    </cfRule>
  </conditionalFormatting>
  <conditionalFormatting sqref="AG201">
    <cfRule type="dataBar" priority="23">
      <dataBar>
        <cfvo type="min"/>
        <cfvo type="max"/>
        <color rgb="FF63C384"/>
      </dataBar>
    </cfRule>
    <cfRule type="dataBar" priority="22">
      <dataBar>
        <cfvo type="min"/>
        <cfvo type="max"/>
        <color rgb="FF63C384"/>
      </dataBar>
    </cfRule>
    <cfRule type="dataBar" priority="19">
      <dataBar>
        <cfvo type="min"/>
        <cfvo type="max"/>
        <color rgb="FF63C384"/>
      </dataBar>
    </cfRule>
    <cfRule type="dataBar" priority="18">
      <dataBar>
        <cfvo type="min"/>
        <cfvo type="max"/>
        <color rgb="FF63C384"/>
      </dataBar>
    </cfRule>
  </conditionalFormatting>
  <conditionalFormatting sqref="Q202">
    <cfRule type="cellIs" priority="17" operator="equal" dxfId="2034">
      <formula>"ja"</formula>
    </cfRule>
  </conditionalFormatting>
  <conditionalFormatting sqref="AA202">
    <cfRule type="expression" priority="16" dxfId="2">
      <formula>AND(AND($W202&lt;TODAY(),$W202&lt;&gt;""),$X202="")</formula>
    </cfRule>
  </conditionalFormatting>
  <conditionalFormatting sqref="AG202">
    <cfRule type="dataBar" priority="15">
      <dataBar>
        <cfvo type="min"/>
        <cfvo type="max"/>
        <color rgb="FF63C384"/>
      </dataBar>
    </cfRule>
    <cfRule type="dataBar" priority="14">
      <dataBar>
        <cfvo type="min"/>
        <cfvo type="max"/>
        <color rgb="FF63C384"/>
      </dataBar>
    </cfRule>
  </conditionalFormatting>
  <conditionalFormatting sqref="AA203">
    <cfRule type="expression" priority="13" dxfId="2">
      <formula>AND(AND($W203&lt;TODAY(),$W203&lt;&gt;""),$X203="")</formula>
    </cfRule>
  </conditionalFormatting>
  <conditionalFormatting sqref="Q203">
    <cfRule type="cellIs" priority="12" operator="equal" dxfId="2034">
      <formula>"ja"</formula>
    </cfRule>
  </conditionalFormatting>
  <conditionalFormatting sqref="AG203">
    <cfRule type="dataBar" priority="11">
      <dataBar>
        <cfvo type="min"/>
        <cfvo type="max"/>
        <color rgb="FF63C384"/>
      </dataBar>
    </cfRule>
    <cfRule type="dataBar" priority="10">
      <dataBar>
        <cfvo type="min"/>
        <cfvo type="max"/>
        <color rgb="FF63C384"/>
      </dataBar>
    </cfRule>
  </conditionalFormatting>
  <conditionalFormatting sqref="Q204">
    <cfRule type="cellIs" priority="9" operator="equal" dxfId="2034">
      <formula>"ja"</formula>
    </cfRule>
    <cfRule type="cellIs" priority="8" operator="equal" dxfId="2034">
      <formula>"ja"</formula>
    </cfRule>
  </conditionalFormatting>
  <conditionalFormatting sqref="AA204:AA209">
    <cfRule type="expression" priority="7" dxfId="2">
      <formula>AND(AND($W204&lt;TODAY(),$W204&lt;&gt;""),$X204="")</formula>
    </cfRule>
  </conditionalFormatting>
  <conditionalFormatting sqref="AG204:AG208">
    <cfRule type="dataBar" priority="6">
      <dataBar>
        <cfvo type="min"/>
        <cfvo type="max"/>
        <color rgb="FF63C384"/>
      </dataBar>
    </cfRule>
    <cfRule type="dataBar" priority="5">
      <dataBar>
        <cfvo type="min"/>
        <cfvo type="max"/>
        <color rgb="FF63C384"/>
      </dataBar>
    </cfRule>
  </conditionalFormatting>
  <conditionalFormatting sqref="AG209">
    <cfRule type="dataBar" priority="4">
      <dataBar>
        <cfvo type="min"/>
        <cfvo type="max"/>
        <color rgb="FF63C384"/>
      </dataBar>
    </cfRule>
    <cfRule type="dataBar" priority="3">
      <dataBar>
        <cfvo type="min"/>
        <cfvo type="max"/>
        <color rgb="FF63C384"/>
      </dataBar>
    </cfRule>
    <cfRule type="dataBar" priority="2">
      <dataBar>
        <cfvo type="min"/>
        <cfvo type="max"/>
        <color rgb="FF63C384"/>
      </dataBar>
    </cfRule>
    <cfRule type="dataBar" priority="1">
      <dataBar>
        <cfvo type="min"/>
        <cfvo type="max"/>
        <color rgb="FF63C384"/>
      </dataBar>
    </cfRule>
  </conditionalFormatting>
  <dataValidations count="3">
    <dataValidation sqref="L2:L209" showDropDown="0" showInputMessage="1" showErrorMessage="1" allowBlank="1" type="list">
      <formula1>Spesenart</formula1>
    </dataValidation>
    <dataValidation sqref="K6 K10 K13 K19 K26 K34 K41 K46 K49:K51 K60 K62 K65 K78 K81 K85 K90 K92 K97 K109 K112:K113 K124 K127 K134 K137 K140:K141 K144:K146 K154 K160:K161 K171 K173 K175 K179:K181 K186 K193:K195 K197 K201 K203:K205 K207" showDropDown="0" showInputMessage="1" showErrorMessage="1" allowBlank="1" type="list">
      <formula1>"Einnahmen,Ausgaben"</formula1>
    </dataValidation>
    <dataValidation sqref="Q2 Q6 Q22 Q43 Q54 Q75 Q91 Q108 Q121 Q133 Q153 Q167 Q189" showDropDown="0" showInputMessage="1" showErrorMessage="1" allowBlank="1" type="list">
      <formula1>"Weiterverkauf,"</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21.xml><?xml version="1.0" encoding="utf-8"?>
<worksheet xmlns="http://schemas.openxmlformats.org/spreadsheetml/2006/main">
  <sheetPr codeName="Tabelle24">
    <outlinePr summaryBelow="1" summaryRight="1"/>
    <pageSetUpPr/>
  </sheetPr>
  <dimension ref="A1:XEK221"/>
  <sheetViews>
    <sheetView zoomScaleNormal="100" workbookViewId="0">
      <selection activeCell="A1" sqref="A1"/>
    </sheetView>
  </sheetViews>
  <sheetFormatPr baseColWidth="10" defaultColWidth="11.42578125" defaultRowHeight="15"/>
  <cols>
    <col width="11.42578125" customWidth="1" style="1" min="2" max="2"/>
    <col width="35.7109375" customWidth="1" min="3" max="3"/>
    <col width="11.42578125" customWidth="1" style="214" min="6" max="6"/>
    <col width="13.85546875" customWidth="1" min="14" max="14"/>
  </cols>
  <sheetData>
    <row r="1">
      <c r="A1" s="63" t="inlineStr">
        <is>
          <t>lfd. Nr.</t>
        </is>
      </c>
      <c r="B1" s="96" t="inlineStr">
        <is>
          <t>Datum</t>
        </is>
      </c>
      <c r="C1" s="63" t="inlineStr">
        <is>
          <t>Text</t>
        </is>
      </c>
      <c r="D1" s="63" t="inlineStr">
        <is>
          <t>Kategorie</t>
        </is>
      </c>
      <c r="E1" s="63" t="inlineStr">
        <is>
          <t>Spesenart</t>
        </is>
      </c>
      <c r="F1" s="235" t="inlineStr">
        <is>
          <t>Bruttobetrag</t>
        </is>
      </c>
      <c r="G1" s="63" t="inlineStr">
        <is>
          <t>Steuersatz</t>
        </is>
      </c>
      <c r="H1" s="87" t="n"/>
      <c r="I1" s="87" t="n"/>
      <c r="J1" s="87" t="n"/>
      <c r="K1" s="87" t="n"/>
      <c r="L1" s="87" t="n"/>
      <c r="M1" s="87" t="n"/>
      <c r="N1" s="87" t="n"/>
      <c r="O1" s="87" t="n"/>
      <c r="P1" s="87" t="n"/>
      <c r="Q1" s="87" t="n"/>
      <c r="R1" s="87" t="n"/>
      <c r="S1" s="87" t="n"/>
      <c r="T1" s="87" t="n"/>
      <c r="U1" s="87" t="n"/>
      <c r="V1" s="87" t="n"/>
      <c r="W1" s="87" t="n"/>
      <c r="X1" s="87" t="n"/>
      <c r="Y1" s="87" t="n"/>
      <c r="Z1" s="87" t="n"/>
      <c r="AA1" s="87" t="n"/>
      <c r="AB1" s="87" t="n"/>
      <c r="AC1" s="87" t="n"/>
      <c r="AD1" s="87" t="n"/>
      <c r="AE1" s="87" t="n"/>
      <c r="AF1" s="87" t="n"/>
      <c r="AG1" s="87" t="n"/>
      <c r="AH1" s="87" t="n"/>
      <c r="AI1" s="87" t="n"/>
      <c r="AJ1" s="87" t="n"/>
      <c r="AK1" s="87" t="n"/>
      <c r="AL1" s="87" t="n"/>
      <c r="AM1" s="87" t="n"/>
      <c r="AN1" s="87" t="n"/>
      <c r="AO1" s="87" t="n"/>
      <c r="AP1" s="87" t="n"/>
      <c r="AQ1" s="87" t="n"/>
      <c r="AR1" s="87" t="n"/>
      <c r="AS1" s="87" t="n"/>
      <c r="AT1" s="87" t="n"/>
      <c r="AU1" s="87" t="n"/>
      <c r="AV1" s="87" t="n"/>
      <c r="AW1" s="87" t="n"/>
      <c r="AX1" s="87" t="n"/>
      <c r="AY1" s="87" t="n"/>
      <c r="AZ1" s="87" t="n"/>
      <c r="BA1" s="87" t="n"/>
      <c r="BB1" s="87" t="n"/>
      <c r="BC1" s="87" t="n"/>
      <c r="BD1" s="87" t="n"/>
      <c r="BE1" s="87" t="n"/>
      <c r="BF1" s="87" t="n"/>
      <c r="BG1" s="87" t="n"/>
      <c r="BH1" s="87" t="n"/>
      <c r="BI1" s="87" t="n"/>
      <c r="BJ1" s="87" t="n"/>
      <c r="BK1" s="87" t="n"/>
      <c r="BL1" s="87" t="n"/>
      <c r="BM1" s="87" t="n"/>
      <c r="BN1" s="87" t="n"/>
      <c r="BO1" s="87" t="n"/>
      <c r="BP1" s="87" t="n"/>
      <c r="BQ1" s="87" t="n"/>
      <c r="BR1" s="87" t="n"/>
      <c r="BS1" s="87" t="n"/>
      <c r="BT1" s="87" t="n"/>
      <c r="BU1" s="87" t="n"/>
      <c r="BV1" s="87" t="n"/>
      <c r="BW1" s="87" t="n"/>
      <c r="BX1" s="87" t="n"/>
      <c r="BY1" s="87" t="n"/>
      <c r="BZ1" s="87" t="n"/>
      <c r="CA1" s="87" t="n"/>
      <c r="CB1" s="87" t="n"/>
      <c r="CC1" s="87" t="n"/>
      <c r="CD1" s="87" t="n"/>
      <c r="CE1" s="87" t="n"/>
      <c r="CF1" s="87" t="n"/>
      <c r="CG1" s="87" t="n"/>
      <c r="CH1" s="87" t="n"/>
      <c r="CI1" s="87" t="n"/>
      <c r="CJ1" s="87" t="n"/>
      <c r="CK1" s="87" t="n"/>
      <c r="CL1" s="87" t="n"/>
      <c r="CM1" s="87" t="n"/>
      <c r="CN1" s="87" t="n"/>
      <c r="CO1" s="87" t="n"/>
      <c r="CP1" s="87" t="n"/>
      <c r="CQ1" s="87" t="n"/>
      <c r="CR1" s="87" t="n"/>
      <c r="CS1" s="87" t="n"/>
      <c r="CT1" s="87" t="n"/>
      <c r="CU1" s="87" t="n"/>
      <c r="CV1" s="87" t="n"/>
      <c r="CW1" s="87" t="n"/>
      <c r="CX1" s="87" t="n"/>
      <c r="CY1" s="87" t="n"/>
      <c r="CZ1" s="87" t="n"/>
      <c r="DA1" s="87" t="n"/>
      <c r="DB1" s="87" t="n"/>
      <c r="DC1" s="87" t="n"/>
      <c r="DD1" s="87" t="n"/>
      <c r="DE1" s="87" t="n"/>
      <c r="DF1" s="87" t="n"/>
      <c r="DG1" s="87" t="n"/>
      <c r="DH1" s="87" t="n"/>
      <c r="DI1" s="87" t="n"/>
      <c r="DJ1" s="87" t="n"/>
      <c r="DK1" s="87" t="n"/>
      <c r="DL1" s="87" t="n"/>
      <c r="DM1" s="87" t="n"/>
      <c r="DN1" s="87" t="n"/>
      <c r="DO1" s="87" t="n"/>
      <c r="DP1" s="87" t="n"/>
      <c r="DQ1" s="87" t="n"/>
      <c r="DR1" s="87" t="n"/>
      <c r="DS1" s="87" t="n"/>
      <c r="DT1" s="87" t="n"/>
      <c r="DU1" s="87" t="n"/>
      <c r="DV1" s="87" t="n"/>
      <c r="DW1" s="87" t="n"/>
      <c r="DX1" s="87" t="n"/>
      <c r="DY1" s="87" t="n"/>
      <c r="DZ1" s="87" t="n"/>
      <c r="EA1" s="87" t="n"/>
      <c r="EB1" s="87" t="n"/>
      <c r="EC1" s="87" t="n"/>
      <c r="ED1" s="87" t="n"/>
      <c r="EE1" s="87" t="n"/>
      <c r="EF1" s="87" t="n"/>
      <c r="EG1" s="87" t="n"/>
      <c r="EH1" s="87" t="n"/>
      <c r="EI1" s="87" t="n"/>
      <c r="EJ1" s="87" t="n"/>
      <c r="EK1" s="87" t="n"/>
      <c r="EL1" s="87" t="n"/>
      <c r="EM1" s="87" t="n"/>
      <c r="EN1" s="87" t="n"/>
      <c r="EO1" s="87" t="n"/>
      <c r="EP1" s="87" t="n"/>
      <c r="EQ1" s="87" t="n"/>
      <c r="ER1" s="87" t="n"/>
      <c r="ES1" s="87" t="n"/>
      <c r="ET1" s="87" t="n"/>
      <c r="EU1" s="87" t="n"/>
      <c r="EV1" s="87" t="n"/>
      <c r="EW1" s="87" t="n"/>
      <c r="EX1" s="87" t="n"/>
      <c r="EY1" s="87" t="n"/>
      <c r="EZ1" s="87" t="n"/>
      <c r="FA1" s="87" t="n"/>
      <c r="FB1" s="87" t="n"/>
      <c r="FC1" s="87" t="n"/>
      <c r="FD1" s="87" t="n"/>
      <c r="FE1" s="87" t="n"/>
      <c r="FF1" s="87" t="n"/>
      <c r="FG1" s="87" t="n"/>
      <c r="FH1" s="87" t="n"/>
      <c r="FI1" s="87" t="n"/>
      <c r="FJ1" s="87" t="n"/>
      <c r="FK1" s="87" t="n"/>
      <c r="FL1" s="87" t="n"/>
      <c r="FM1" s="87" t="n"/>
      <c r="FN1" s="87" t="n"/>
      <c r="FO1" s="87" t="n"/>
      <c r="FP1" s="87" t="n"/>
      <c r="FQ1" s="87" t="n"/>
      <c r="FR1" s="87" t="n"/>
      <c r="FS1" s="87" t="n"/>
      <c r="FT1" s="87" t="n"/>
      <c r="FU1" s="87" t="n"/>
      <c r="FV1" s="87" t="n"/>
      <c r="FW1" s="87" t="n"/>
      <c r="FX1" s="87" t="n"/>
      <c r="FY1" s="87" t="n"/>
      <c r="FZ1" s="87" t="n"/>
      <c r="GA1" s="87" t="n"/>
      <c r="GB1" s="87" t="n"/>
      <c r="GC1" s="87" t="n"/>
      <c r="GD1" s="87" t="n"/>
      <c r="GE1" s="87" t="n"/>
      <c r="GF1" s="87" t="n"/>
      <c r="GG1" s="87" t="n"/>
      <c r="GH1" s="87" t="n"/>
      <c r="GI1" s="87" t="n"/>
      <c r="GJ1" s="87" t="n"/>
      <c r="GK1" s="87" t="n"/>
      <c r="GL1" s="87" t="n"/>
      <c r="GM1" s="87" t="n"/>
      <c r="GN1" s="87" t="n"/>
      <c r="GO1" s="87" t="n"/>
      <c r="GP1" s="87" t="n"/>
      <c r="GQ1" s="87" t="n"/>
      <c r="GR1" s="87" t="n"/>
      <c r="GS1" s="87" t="n"/>
      <c r="GT1" s="87" t="n"/>
      <c r="GU1" s="87" t="n"/>
      <c r="GV1" s="87" t="n"/>
      <c r="GW1" s="87" t="n"/>
      <c r="GX1" s="87" t="n"/>
      <c r="GY1" s="87" t="n"/>
      <c r="GZ1" s="87" t="n"/>
      <c r="HA1" s="87" t="n"/>
      <c r="HB1" s="87" t="n"/>
      <c r="HC1" s="87" t="n"/>
      <c r="HD1" s="87" t="n"/>
      <c r="HE1" s="87" t="n"/>
      <c r="HF1" s="87" t="n"/>
      <c r="HG1" s="87" t="n"/>
      <c r="HH1" s="87" t="n"/>
      <c r="HI1" s="87" t="n"/>
      <c r="HJ1" s="87" t="n"/>
      <c r="HK1" s="87" t="n"/>
      <c r="HL1" s="87" t="n"/>
      <c r="HM1" s="87" t="n"/>
      <c r="HN1" s="87" t="n"/>
      <c r="HO1" s="87" t="n"/>
      <c r="HP1" s="87" t="n"/>
      <c r="HQ1" s="87" t="n"/>
      <c r="HR1" s="87" t="n"/>
      <c r="HS1" s="87" t="n"/>
      <c r="HT1" s="87" t="n"/>
      <c r="HU1" s="87" t="n"/>
      <c r="HV1" s="87" t="n"/>
      <c r="HW1" s="87" t="n"/>
      <c r="HX1" s="87" t="n"/>
      <c r="HY1" s="87" t="n"/>
      <c r="HZ1" s="87" t="n"/>
      <c r="IA1" s="87" t="n"/>
      <c r="IB1" s="87" t="n"/>
      <c r="IC1" s="87" t="n"/>
      <c r="ID1" s="87" t="n"/>
      <c r="IE1" s="87" t="n"/>
      <c r="IF1" s="87" t="n"/>
      <c r="IG1" s="87" t="n"/>
      <c r="IH1" s="87" t="n"/>
      <c r="II1" s="87" t="n"/>
      <c r="IJ1" s="87" t="n"/>
      <c r="IK1" s="87" t="n"/>
      <c r="IL1" s="87" t="n"/>
      <c r="IM1" s="87" t="n"/>
      <c r="IN1" s="87" t="n"/>
      <c r="IO1" s="87" t="n"/>
      <c r="IP1" s="87" t="n"/>
      <c r="IQ1" s="87" t="n"/>
      <c r="IR1" s="87" t="n"/>
      <c r="IS1" s="87" t="n"/>
      <c r="IT1" s="87" t="n"/>
      <c r="IU1" s="87" t="n"/>
      <c r="IV1" s="87" t="n"/>
      <c r="IW1" s="87" t="n"/>
      <c r="IX1" s="87" t="n"/>
      <c r="IY1" s="87" t="n"/>
      <c r="IZ1" s="87" t="n"/>
      <c r="JA1" s="87" t="n"/>
      <c r="JB1" s="87" t="n"/>
      <c r="JC1" s="87" t="n"/>
      <c r="JD1" s="87" t="n"/>
      <c r="JE1" s="87" t="n"/>
      <c r="JF1" s="87" t="n"/>
      <c r="JG1" s="87" t="n"/>
      <c r="JH1" s="87" t="n"/>
      <c r="JI1" s="87" t="n"/>
      <c r="JJ1" s="87" t="n"/>
      <c r="JK1" s="87" t="n"/>
      <c r="JL1" s="87" t="n"/>
      <c r="JM1" s="87" t="n"/>
      <c r="JN1" s="87" t="n"/>
      <c r="JO1" s="87" t="n"/>
      <c r="JP1" s="87" t="n"/>
      <c r="JQ1" s="87" t="n"/>
      <c r="JR1" s="87" t="n"/>
      <c r="JS1" s="87" t="n"/>
      <c r="JT1" s="87" t="n"/>
      <c r="JU1" s="87" t="n"/>
      <c r="JV1" s="87" t="n"/>
      <c r="JW1" s="87" t="n"/>
      <c r="JX1" s="87" t="n"/>
      <c r="JY1" s="87" t="n"/>
      <c r="JZ1" s="87" t="n"/>
      <c r="KA1" s="87" t="n"/>
      <c r="KB1" s="87" t="n"/>
      <c r="KC1" s="87" t="n"/>
      <c r="KD1" s="87" t="n"/>
      <c r="KE1" s="87" t="n"/>
      <c r="KF1" s="87" t="n"/>
      <c r="KG1" s="87" t="n"/>
      <c r="KH1" s="87" t="n"/>
      <c r="KI1" s="87" t="n"/>
      <c r="KJ1" s="87" t="n"/>
      <c r="KK1" s="87" t="n"/>
      <c r="KL1" s="87" t="n"/>
      <c r="KM1" s="87" t="n"/>
      <c r="KN1" s="87" t="n"/>
      <c r="KO1" s="87" t="n"/>
      <c r="KP1" s="87" t="n"/>
      <c r="KQ1" s="87" t="n"/>
      <c r="KR1" s="87" t="n"/>
      <c r="KS1" s="87" t="n"/>
      <c r="KT1" s="87" t="n"/>
      <c r="KU1" s="87" t="n"/>
      <c r="KV1" s="87" t="n"/>
      <c r="KW1" s="87" t="n"/>
      <c r="KX1" s="87" t="n"/>
      <c r="KY1" s="87" t="n"/>
      <c r="KZ1" s="87" t="n"/>
      <c r="LA1" s="87" t="n"/>
      <c r="LB1" s="87" t="n"/>
      <c r="LC1" s="87" t="n"/>
      <c r="LD1" s="87" t="n"/>
      <c r="LE1" s="87" t="n"/>
      <c r="LF1" s="87" t="n"/>
      <c r="LG1" s="87" t="n"/>
      <c r="LH1" s="87" t="n"/>
      <c r="LI1" s="87" t="n"/>
      <c r="LJ1" s="87" t="n"/>
      <c r="LK1" s="87" t="n"/>
      <c r="LL1" s="87" t="n"/>
      <c r="LM1" s="87" t="n"/>
      <c r="LN1" s="87" t="n"/>
      <c r="LO1" s="87" t="n"/>
      <c r="LP1" s="87" t="n"/>
      <c r="LQ1" s="87" t="n"/>
      <c r="LR1" s="87" t="n"/>
      <c r="LS1" s="87" t="n"/>
      <c r="LT1" s="87" t="n"/>
      <c r="LU1" s="87" t="n"/>
      <c r="LV1" s="87" t="n"/>
      <c r="LW1" s="87" t="n"/>
      <c r="LX1" s="87" t="n"/>
      <c r="LY1" s="87" t="n"/>
      <c r="LZ1" s="87" t="n"/>
      <c r="MA1" s="87" t="n"/>
      <c r="MB1" s="87" t="n"/>
      <c r="MC1" s="87" t="n"/>
      <c r="MD1" s="87" t="n"/>
      <c r="ME1" s="87" t="n"/>
      <c r="MF1" s="87" t="n"/>
      <c r="MG1" s="87" t="n"/>
      <c r="MH1" s="87" t="n"/>
      <c r="MI1" s="87" t="n"/>
      <c r="MJ1" s="87" t="n"/>
      <c r="MK1" s="87" t="n"/>
      <c r="ML1" s="87" t="n"/>
      <c r="MM1" s="87" t="n"/>
      <c r="MN1" s="87" t="n"/>
      <c r="MO1" s="87" t="n"/>
      <c r="MP1" s="87" t="n"/>
      <c r="MQ1" s="87" t="n"/>
      <c r="MR1" s="87" t="n"/>
      <c r="MS1" s="87" t="n"/>
      <c r="MT1" s="87" t="n"/>
      <c r="MU1" s="87" t="n"/>
      <c r="MV1" s="87" t="n"/>
      <c r="MW1" s="87" t="n"/>
      <c r="MX1" s="87" t="n"/>
      <c r="MY1" s="87" t="n"/>
      <c r="MZ1" s="87" t="n"/>
      <c r="NA1" s="87" t="n"/>
      <c r="NB1" s="87" t="n"/>
      <c r="NC1" s="87" t="n"/>
      <c r="ND1" s="87" t="n"/>
      <c r="NE1" s="87" t="n"/>
      <c r="NF1" s="87" t="n"/>
      <c r="NG1" s="87" t="n"/>
      <c r="NH1" s="87" t="n"/>
      <c r="NI1" s="87" t="n"/>
      <c r="NJ1" s="87" t="n"/>
      <c r="NK1" s="87" t="n"/>
      <c r="NL1" s="87" t="n"/>
      <c r="NM1" s="87" t="n"/>
      <c r="NN1" s="87" t="n"/>
      <c r="NO1" s="87" t="n"/>
      <c r="NP1" s="87" t="n"/>
      <c r="NQ1" s="87" t="n"/>
      <c r="NR1" s="87" t="n"/>
      <c r="NS1" s="87" t="n"/>
      <c r="NT1" s="87" t="n"/>
      <c r="NU1" s="87" t="n"/>
      <c r="NV1" s="87" t="n"/>
      <c r="NW1" s="87" t="n"/>
      <c r="NX1" s="87" t="n"/>
      <c r="NY1" s="87" t="n"/>
      <c r="NZ1" s="87" t="n"/>
      <c r="OA1" s="87" t="n"/>
      <c r="OB1" s="87" t="n"/>
      <c r="OC1" s="87" t="n"/>
      <c r="OD1" s="87" t="n"/>
      <c r="OE1" s="87" t="n"/>
      <c r="OF1" s="87" t="n"/>
      <c r="OG1" s="87" t="n"/>
      <c r="OH1" s="87" t="n"/>
      <c r="OI1" s="87" t="n"/>
      <c r="OJ1" s="87" t="n"/>
      <c r="OK1" s="87" t="n"/>
      <c r="OL1" s="87" t="n"/>
      <c r="OM1" s="87" t="n"/>
      <c r="ON1" s="87" t="n"/>
      <c r="OO1" s="87" t="n"/>
      <c r="OP1" s="87" t="n"/>
      <c r="OQ1" s="87" t="n"/>
      <c r="OR1" s="87" t="n"/>
      <c r="OS1" s="87" t="n"/>
      <c r="OT1" s="87" t="n"/>
      <c r="OU1" s="87" t="n"/>
      <c r="OV1" s="87" t="n"/>
      <c r="OW1" s="87" t="n"/>
      <c r="OX1" s="87" t="n"/>
      <c r="OY1" s="87" t="n"/>
      <c r="OZ1" s="87" t="n"/>
      <c r="PA1" s="87" t="n"/>
      <c r="PB1" s="87" t="n"/>
      <c r="PC1" s="87" t="n"/>
      <c r="PD1" s="87" t="n"/>
      <c r="PE1" s="87" t="n"/>
      <c r="PF1" s="87" t="n"/>
      <c r="PG1" s="87" t="n"/>
      <c r="PH1" s="87" t="n"/>
      <c r="PI1" s="87" t="n"/>
      <c r="PJ1" s="87" t="n"/>
      <c r="PK1" s="87" t="n"/>
      <c r="PL1" s="87" t="n"/>
      <c r="PM1" s="87" t="n"/>
      <c r="PN1" s="87" t="n"/>
      <c r="PO1" s="87" t="n"/>
      <c r="PP1" s="87" t="n"/>
      <c r="PQ1" s="87" t="n"/>
      <c r="PR1" s="87" t="n"/>
      <c r="PS1" s="87" t="n"/>
      <c r="PT1" s="87" t="n"/>
      <c r="PU1" s="87" t="n"/>
      <c r="PV1" s="87" t="n"/>
      <c r="PW1" s="87" t="n"/>
      <c r="PX1" s="87" t="n"/>
      <c r="PY1" s="87" t="n"/>
      <c r="PZ1" s="87" t="n"/>
      <c r="QA1" s="87" t="n"/>
      <c r="QB1" s="87" t="n"/>
      <c r="QC1" s="87" t="n"/>
      <c r="QD1" s="87" t="n"/>
      <c r="QE1" s="87" t="n"/>
      <c r="QF1" s="87" t="n"/>
      <c r="QG1" s="87" t="n"/>
      <c r="QH1" s="87" t="n"/>
      <c r="QI1" s="87" t="n"/>
      <c r="QJ1" s="87" t="n"/>
      <c r="QK1" s="87" t="n"/>
      <c r="QL1" s="87" t="n"/>
      <c r="QM1" s="87" t="n"/>
      <c r="QN1" s="87" t="n"/>
      <c r="QO1" s="87" t="n"/>
      <c r="QP1" s="87" t="n"/>
      <c r="QQ1" s="87" t="n"/>
      <c r="QR1" s="87" t="n"/>
      <c r="QS1" s="87" t="n"/>
      <c r="QT1" s="87" t="n"/>
      <c r="QU1" s="87" t="n"/>
      <c r="QV1" s="87" t="n"/>
      <c r="QW1" s="87" t="n"/>
      <c r="QX1" s="87" t="n"/>
      <c r="QY1" s="87" t="n"/>
      <c r="QZ1" s="87" t="n"/>
      <c r="RA1" s="87" t="n"/>
      <c r="RB1" s="87" t="n"/>
      <c r="RC1" s="87" t="n"/>
      <c r="RD1" s="87" t="n"/>
      <c r="RE1" s="87" t="n"/>
      <c r="RF1" s="87" t="n"/>
      <c r="RG1" s="87" t="n"/>
      <c r="RH1" s="87" t="n"/>
      <c r="RI1" s="87" t="n"/>
      <c r="RJ1" s="87" t="n"/>
      <c r="RK1" s="87" t="n"/>
      <c r="RL1" s="87" t="n"/>
      <c r="RM1" s="87" t="n"/>
      <c r="RN1" s="87" t="n"/>
      <c r="RO1" s="87" t="n"/>
      <c r="RP1" s="87" t="n"/>
      <c r="RQ1" s="87" t="n"/>
      <c r="RR1" s="87" t="n"/>
      <c r="RS1" s="87" t="n"/>
      <c r="RT1" s="87" t="n"/>
      <c r="RU1" s="87" t="n"/>
      <c r="RV1" s="87" t="n"/>
      <c r="RW1" s="87" t="n"/>
      <c r="RX1" s="87" t="n"/>
      <c r="RY1" s="87" t="n"/>
      <c r="RZ1" s="87" t="n"/>
      <c r="SA1" s="87" t="n"/>
      <c r="SB1" s="87" t="n"/>
      <c r="SC1" s="87" t="n"/>
      <c r="SD1" s="87" t="n"/>
      <c r="SE1" s="87" t="n"/>
      <c r="SF1" s="87" t="n"/>
      <c r="SG1" s="87" t="n"/>
      <c r="SH1" s="87" t="n"/>
      <c r="SI1" s="87" t="n"/>
      <c r="SJ1" s="87" t="n"/>
      <c r="SK1" s="87" t="n"/>
      <c r="SL1" s="87" t="n"/>
      <c r="SM1" s="87" t="n"/>
      <c r="SN1" s="87" t="n"/>
      <c r="SO1" s="87" t="n"/>
      <c r="SP1" s="87" t="n"/>
      <c r="SQ1" s="87" t="n"/>
      <c r="SR1" s="87" t="n"/>
      <c r="SS1" s="87" t="n"/>
      <c r="ST1" s="87" t="n"/>
      <c r="SU1" s="87" t="n"/>
      <c r="SV1" s="87" t="n"/>
      <c r="SW1" s="87" t="n"/>
      <c r="SX1" s="87" t="n"/>
      <c r="SY1" s="87" t="n"/>
      <c r="SZ1" s="87" t="n"/>
      <c r="TA1" s="87" t="n"/>
      <c r="TB1" s="87" t="n"/>
      <c r="TC1" s="87" t="n"/>
      <c r="TD1" s="87" t="n"/>
      <c r="TE1" s="87" t="n"/>
      <c r="TF1" s="87" t="n"/>
      <c r="TG1" s="87" t="n"/>
      <c r="TH1" s="87" t="n"/>
      <c r="TI1" s="87" t="n"/>
      <c r="TJ1" s="87" t="n"/>
      <c r="TK1" s="87" t="n"/>
      <c r="TL1" s="87" t="n"/>
      <c r="TM1" s="87" t="n"/>
      <c r="TN1" s="87" t="n"/>
      <c r="TO1" s="87" t="n"/>
      <c r="TP1" s="87" t="n"/>
      <c r="TQ1" s="87" t="n"/>
      <c r="TR1" s="87" t="n"/>
      <c r="TS1" s="87" t="n"/>
      <c r="TT1" s="87" t="n"/>
      <c r="TU1" s="87" t="n"/>
      <c r="TV1" s="87" t="n"/>
      <c r="TW1" s="87" t="n"/>
      <c r="TX1" s="87" t="n"/>
      <c r="TY1" s="87" t="n"/>
      <c r="TZ1" s="87" t="n"/>
      <c r="UA1" s="87" t="n"/>
      <c r="UB1" s="87" t="n"/>
      <c r="UC1" s="87" t="n"/>
      <c r="UD1" s="87" t="n"/>
      <c r="UE1" s="87" t="n"/>
      <c r="UF1" s="87" t="n"/>
      <c r="UG1" s="87" t="n"/>
      <c r="UH1" s="87" t="n"/>
      <c r="UI1" s="87" t="n"/>
      <c r="UJ1" s="87" t="n"/>
      <c r="UK1" s="87" t="n"/>
      <c r="UL1" s="87" t="n"/>
      <c r="UM1" s="87" t="n"/>
      <c r="UN1" s="87" t="n"/>
      <c r="UO1" s="87" t="n"/>
      <c r="UP1" s="87" t="n"/>
      <c r="UQ1" s="87" t="n"/>
      <c r="UR1" s="87" t="n"/>
      <c r="US1" s="87" t="n"/>
      <c r="UT1" s="87" t="n"/>
      <c r="UU1" s="87" t="n"/>
      <c r="UV1" s="87" t="n"/>
      <c r="UW1" s="87" t="n"/>
      <c r="UX1" s="87" t="n"/>
      <c r="UY1" s="87" t="n"/>
      <c r="UZ1" s="87" t="n"/>
      <c r="VA1" s="87" t="n"/>
      <c r="VB1" s="87" t="n"/>
      <c r="VC1" s="87" t="n"/>
      <c r="VD1" s="87" t="n"/>
      <c r="VE1" s="87" t="n"/>
      <c r="VF1" s="87" t="n"/>
      <c r="VG1" s="87" t="n"/>
      <c r="VH1" s="87" t="n"/>
      <c r="VI1" s="87" t="n"/>
      <c r="VJ1" s="87" t="n"/>
      <c r="VK1" s="87" t="n"/>
      <c r="VL1" s="87" t="n"/>
      <c r="VM1" s="87" t="n"/>
      <c r="VN1" s="87" t="n"/>
      <c r="VO1" s="87" t="n"/>
      <c r="VP1" s="87" t="n"/>
      <c r="VQ1" s="87" t="n"/>
      <c r="VR1" s="87" t="n"/>
      <c r="VS1" s="87" t="n"/>
      <c r="VT1" s="87" t="n"/>
      <c r="VU1" s="87" t="n"/>
      <c r="VV1" s="87" t="n"/>
      <c r="VW1" s="87" t="n"/>
      <c r="VX1" s="87" t="n"/>
      <c r="VY1" s="87" t="n"/>
      <c r="VZ1" s="87" t="n"/>
      <c r="WA1" s="87" t="n"/>
      <c r="WB1" s="87" t="n"/>
      <c r="WC1" s="87" t="n"/>
      <c r="WD1" s="87" t="n"/>
      <c r="WE1" s="87" t="n"/>
      <c r="WF1" s="87" t="n"/>
      <c r="WG1" s="87" t="n"/>
      <c r="WH1" s="87" t="n"/>
      <c r="WI1" s="87" t="n"/>
      <c r="WJ1" s="87" t="n"/>
      <c r="WK1" s="87" t="n"/>
      <c r="WL1" s="87" t="n"/>
      <c r="WM1" s="87" t="n"/>
      <c r="WN1" s="87" t="n"/>
      <c r="WO1" s="87" t="n"/>
      <c r="WP1" s="87" t="n"/>
      <c r="WQ1" s="87" t="n"/>
      <c r="WR1" s="87" t="n"/>
      <c r="WS1" s="87" t="n"/>
      <c r="WT1" s="87" t="n"/>
      <c r="WU1" s="87" t="n"/>
      <c r="WV1" s="87" t="n"/>
      <c r="WW1" s="87" t="n"/>
      <c r="WX1" s="87" t="n"/>
      <c r="WY1" s="87" t="n"/>
      <c r="WZ1" s="87" t="n"/>
      <c r="XA1" s="87" t="n"/>
      <c r="XB1" s="87" t="n"/>
      <c r="XC1" s="87" t="n"/>
      <c r="XD1" s="87" t="n"/>
      <c r="XE1" s="87" t="n"/>
      <c r="XF1" s="87" t="n"/>
      <c r="XG1" s="87" t="n"/>
      <c r="XH1" s="87" t="n"/>
      <c r="XI1" s="87" t="n"/>
      <c r="XJ1" s="87" t="n"/>
      <c r="XK1" s="87" t="n"/>
      <c r="XL1" s="87" t="n"/>
      <c r="XM1" s="87" t="n"/>
      <c r="XN1" s="87" t="n"/>
      <c r="XO1" s="87" t="n"/>
      <c r="XP1" s="87" t="n"/>
      <c r="XQ1" s="87" t="n"/>
      <c r="XR1" s="87" t="n"/>
      <c r="XS1" s="87" t="n"/>
      <c r="XT1" s="87" t="n"/>
      <c r="XU1" s="87" t="n"/>
      <c r="XV1" s="87" t="n"/>
      <c r="XW1" s="87" t="n"/>
      <c r="XX1" s="87" t="n"/>
      <c r="XY1" s="87" t="n"/>
      <c r="XZ1" s="87" t="n"/>
      <c r="YA1" s="87" t="n"/>
      <c r="YB1" s="87" t="n"/>
      <c r="YC1" s="87" t="n"/>
      <c r="YD1" s="87" t="n"/>
      <c r="YE1" s="87" t="n"/>
      <c r="YF1" s="87" t="n"/>
      <c r="YG1" s="87" t="n"/>
      <c r="YH1" s="87" t="n"/>
      <c r="YI1" s="87" t="n"/>
      <c r="YJ1" s="87" t="n"/>
      <c r="YK1" s="87" t="n"/>
      <c r="YL1" s="87" t="n"/>
      <c r="YM1" s="87" t="n"/>
      <c r="YN1" s="87" t="n"/>
      <c r="YO1" s="87" t="n"/>
      <c r="YP1" s="87" t="n"/>
      <c r="YQ1" s="87" t="n"/>
      <c r="YR1" s="87" t="n"/>
      <c r="YS1" s="87" t="n"/>
      <c r="YT1" s="87" t="n"/>
      <c r="YU1" s="87" t="n"/>
      <c r="YV1" s="87" t="n"/>
      <c r="YW1" s="87" t="n"/>
      <c r="YX1" s="87" t="n"/>
      <c r="YY1" s="87" t="n"/>
      <c r="YZ1" s="87" t="n"/>
      <c r="ZA1" s="87" t="n"/>
      <c r="ZB1" s="87" t="n"/>
      <c r="ZC1" s="87" t="n"/>
      <c r="ZD1" s="87" t="n"/>
      <c r="ZE1" s="87" t="n"/>
      <c r="ZF1" s="87" t="n"/>
      <c r="ZG1" s="87" t="n"/>
      <c r="ZH1" s="87" t="n"/>
      <c r="ZI1" s="87" t="n"/>
      <c r="ZJ1" s="87" t="n"/>
      <c r="ZK1" s="87" t="n"/>
      <c r="ZL1" s="87" t="n"/>
      <c r="ZM1" s="87" t="n"/>
      <c r="ZN1" s="87" t="n"/>
      <c r="ZO1" s="87" t="n"/>
      <c r="ZP1" s="87" t="n"/>
      <c r="ZQ1" s="87" t="n"/>
      <c r="ZR1" s="87" t="n"/>
      <c r="ZS1" s="87" t="n"/>
      <c r="ZT1" s="87" t="n"/>
      <c r="ZU1" s="87" t="n"/>
      <c r="ZV1" s="87" t="n"/>
      <c r="ZW1" s="87" t="n"/>
      <c r="ZX1" s="87" t="n"/>
      <c r="ZY1" s="87" t="n"/>
      <c r="ZZ1" s="87" t="n"/>
      <c r="AAA1" s="87" t="n"/>
      <c r="AAB1" s="87" t="n"/>
      <c r="AAC1" s="87" t="n"/>
      <c r="AAD1" s="87" t="n"/>
      <c r="AAE1" s="87" t="n"/>
      <c r="AAF1" s="87" t="n"/>
      <c r="AAG1" s="87" t="n"/>
      <c r="AAH1" s="87" t="n"/>
      <c r="AAI1" s="87" t="n"/>
      <c r="AAJ1" s="87" t="n"/>
      <c r="AAK1" s="87" t="n"/>
      <c r="AAL1" s="87" t="n"/>
      <c r="AAM1" s="87" t="n"/>
      <c r="AAN1" s="87" t="n"/>
      <c r="AAO1" s="87" t="n"/>
      <c r="AAP1" s="87" t="n"/>
      <c r="AAQ1" s="87" t="n"/>
      <c r="AAR1" s="87" t="n"/>
      <c r="AAS1" s="87" t="n"/>
      <c r="AAT1" s="87" t="n"/>
      <c r="AAU1" s="87" t="n"/>
      <c r="AAV1" s="87" t="n"/>
      <c r="AAW1" s="87" t="n"/>
      <c r="AAX1" s="87" t="n"/>
      <c r="AAY1" s="87" t="n"/>
      <c r="AAZ1" s="87" t="n"/>
      <c r="ABA1" s="87" t="n"/>
      <c r="ABB1" s="87" t="n"/>
      <c r="ABC1" s="87" t="n"/>
      <c r="ABD1" s="87" t="n"/>
      <c r="ABE1" s="87" t="n"/>
      <c r="ABF1" s="87" t="n"/>
      <c r="ABG1" s="87" t="n"/>
      <c r="ABH1" s="87" t="n"/>
      <c r="ABI1" s="87" t="n"/>
      <c r="ABJ1" s="87" t="n"/>
      <c r="ABK1" s="87" t="n"/>
      <c r="ABL1" s="87" t="n"/>
      <c r="ABM1" s="87" t="n"/>
      <c r="ABN1" s="87" t="n"/>
      <c r="ABO1" s="87" t="n"/>
      <c r="ABP1" s="87" t="n"/>
      <c r="ABQ1" s="87" t="n"/>
      <c r="ABR1" s="87" t="n"/>
      <c r="ABS1" s="87" t="n"/>
      <c r="ABT1" s="87" t="n"/>
      <c r="ABU1" s="87" t="n"/>
      <c r="ABV1" s="87" t="n"/>
      <c r="ABW1" s="87" t="n"/>
      <c r="ABX1" s="87" t="n"/>
      <c r="ABY1" s="87" t="n"/>
      <c r="ABZ1" s="87" t="n"/>
      <c r="ACA1" s="87" t="n"/>
      <c r="ACB1" s="87" t="n"/>
      <c r="ACC1" s="87" t="n"/>
      <c r="ACD1" s="87" t="n"/>
      <c r="ACE1" s="87" t="n"/>
      <c r="ACF1" s="87" t="n"/>
      <c r="ACG1" s="87" t="n"/>
      <c r="ACH1" s="87" t="n"/>
      <c r="ACI1" s="87" t="n"/>
      <c r="ACJ1" s="87" t="n"/>
      <c r="ACK1" s="87" t="n"/>
      <c r="ACL1" s="87" t="n"/>
      <c r="ACM1" s="87" t="n"/>
      <c r="ACN1" s="87" t="n"/>
      <c r="ACO1" s="87" t="n"/>
      <c r="ACP1" s="87" t="n"/>
      <c r="ACQ1" s="87" t="n"/>
      <c r="ACR1" s="87" t="n"/>
      <c r="ACS1" s="87" t="n"/>
      <c r="ACT1" s="87" t="n"/>
      <c r="ACU1" s="87" t="n"/>
      <c r="ACV1" s="87" t="n"/>
      <c r="ACW1" s="87" t="n"/>
      <c r="ACX1" s="87" t="n"/>
      <c r="ACY1" s="87" t="n"/>
      <c r="ACZ1" s="87" t="n"/>
      <c r="ADA1" s="87" t="n"/>
      <c r="ADB1" s="87" t="n"/>
      <c r="ADC1" s="87" t="n"/>
      <c r="ADD1" s="87" t="n"/>
      <c r="ADE1" s="87" t="n"/>
      <c r="ADF1" s="87" t="n"/>
      <c r="ADG1" s="87" t="n"/>
      <c r="ADH1" s="87" t="n"/>
      <c r="ADI1" s="87" t="n"/>
      <c r="ADJ1" s="87" t="n"/>
      <c r="ADK1" s="87" t="n"/>
      <c r="ADL1" s="87" t="n"/>
      <c r="ADM1" s="87" t="n"/>
      <c r="ADN1" s="87" t="n"/>
      <c r="ADO1" s="87" t="n"/>
      <c r="ADP1" s="87" t="n"/>
      <c r="ADQ1" s="87" t="n"/>
      <c r="ADR1" s="87" t="n"/>
      <c r="ADS1" s="87" t="n"/>
      <c r="ADT1" s="87" t="n"/>
      <c r="ADU1" s="87" t="n"/>
      <c r="ADV1" s="87" t="n"/>
      <c r="ADW1" s="87" t="n"/>
      <c r="ADX1" s="87" t="n"/>
      <c r="ADY1" s="87" t="n"/>
      <c r="ADZ1" s="87" t="n"/>
      <c r="AEA1" s="87" t="n"/>
      <c r="AEB1" s="87" t="n"/>
      <c r="AEC1" s="87" t="n"/>
      <c r="AED1" s="87" t="n"/>
      <c r="AEE1" s="87" t="n"/>
      <c r="AEF1" s="87" t="n"/>
      <c r="AEG1" s="87" t="n"/>
      <c r="AEH1" s="87" t="n"/>
      <c r="AEI1" s="87" t="n"/>
      <c r="AEJ1" s="87" t="n"/>
      <c r="AEK1" s="87" t="n"/>
      <c r="AEL1" s="87" t="n"/>
      <c r="AEM1" s="87" t="n"/>
      <c r="AEN1" s="87" t="n"/>
      <c r="AEO1" s="87" t="n"/>
      <c r="AEP1" s="87" t="n"/>
      <c r="AEQ1" s="87" t="n"/>
      <c r="AER1" s="87" t="n"/>
      <c r="AES1" s="87" t="n"/>
      <c r="AET1" s="87" t="n"/>
      <c r="AEU1" s="87" t="n"/>
      <c r="AEV1" s="87" t="n"/>
      <c r="AEW1" s="87" t="n"/>
      <c r="AEX1" s="87" t="n"/>
      <c r="AEY1" s="87" t="n"/>
      <c r="AEZ1" s="87" t="n"/>
      <c r="AFA1" s="87" t="n"/>
      <c r="AFB1" s="87" t="n"/>
      <c r="AFC1" s="87" t="n"/>
      <c r="AFD1" s="87" t="n"/>
      <c r="AFE1" s="87" t="n"/>
      <c r="AFF1" s="87" t="n"/>
      <c r="AFG1" s="87" t="n"/>
      <c r="AFH1" s="87" t="n"/>
      <c r="AFI1" s="87" t="n"/>
      <c r="AFJ1" s="87" t="n"/>
      <c r="AFK1" s="87" t="n"/>
      <c r="AFL1" s="87" t="n"/>
      <c r="AFM1" s="87" t="n"/>
      <c r="AFN1" s="87" t="n"/>
      <c r="AFO1" s="87" t="n"/>
      <c r="AFP1" s="87" t="n"/>
      <c r="AFQ1" s="87" t="n"/>
      <c r="AFR1" s="87" t="n"/>
      <c r="AFS1" s="87" t="n"/>
      <c r="AFT1" s="87" t="n"/>
      <c r="AFU1" s="87" t="n"/>
      <c r="AFV1" s="87" t="n"/>
      <c r="AFW1" s="87" t="n"/>
      <c r="AFX1" s="87" t="n"/>
      <c r="AFY1" s="87" t="n"/>
      <c r="AFZ1" s="87" t="n"/>
      <c r="AGA1" s="87" t="n"/>
      <c r="AGB1" s="87" t="n"/>
      <c r="AGC1" s="87" t="n"/>
      <c r="AGD1" s="87" t="n"/>
      <c r="AGE1" s="87" t="n"/>
      <c r="AGF1" s="87" t="n"/>
      <c r="AGG1" s="87" t="n"/>
      <c r="AGH1" s="87" t="n"/>
      <c r="AGI1" s="87" t="n"/>
      <c r="AGJ1" s="87" t="n"/>
      <c r="AGK1" s="87" t="n"/>
      <c r="AGL1" s="87" t="n"/>
      <c r="AGM1" s="87" t="n"/>
      <c r="AGN1" s="87" t="n"/>
      <c r="AGO1" s="87" t="n"/>
      <c r="AGP1" s="87" t="n"/>
      <c r="AGQ1" s="87" t="n"/>
      <c r="AGR1" s="87" t="n"/>
      <c r="AGS1" s="87" t="n"/>
      <c r="AGT1" s="87" t="n"/>
      <c r="AGU1" s="87" t="n"/>
      <c r="AGV1" s="87" t="n"/>
      <c r="AGW1" s="87" t="n"/>
      <c r="AGX1" s="87" t="n"/>
      <c r="AGY1" s="87" t="n"/>
      <c r="AGZ1" s="87" t="n"/>
      <c r="AHA1" s="87" t="n"/>
      <c r="AHB1" s="87" t="n"/>
      <c r="AHC1" s="87" t="n"/>
      <c r="AHD1" s="87" t="n"/>
      <c r="AHE1" s="87" t="n"/>
      <c r="AHF1" s="87" t="n"/>
      <c r="AHG1" s="87" t="n"/>
      <c r="AHH1" s="87" t="n"/>
      <c r="AHI1" s="87" t="n"/>
      <c r="AHJ1" s="87" t="n"/>
      <c r="AHK1" s="87" t="n"/>
      <c r="AHL1" s="87" t="n"/>
      <c r="AHM1" s="87" t="n"/>
      <c r="AHN1" s="87" t="n"/>
      <c r="AHO1" s="87" t="n"/>
      <c r="AHP1" s="87" t="n"/>
      <c r="AHQ1" s="87" t="n"/>
      <c r="AHR1" s="87" t="n"/>
      <c r="AHS1" s="87" t="n"/>
      <c r="AHT1" s="87" t="n"/>
      <c r="AHU1" s="87" t="n"/>
      <c r="AHV1" s="87" t="n"/>
      <c r="AHW1" s="87" t="n"/>
      <c r="AHX1" s="87" t="n"/>
      <c r="AHY1" s="87" t="n"/>
      <c r="AHZ1" s="87" t="n"/>
      <c r="AIA1" s="87" t="n"/>
      <c r="AIB1" s="87" t="n"/>
      <c r="AIC1" s="87" t="n"/>
      <c r="AID1" s="87" t="n"/>
      <c r="AIE1" s="87" t="n"/>
      <c r="AIF1" s="87" t="n"/>
      <c r="AIG1" s="87" t="n"/>
      <c r="AIH1" s="87" t="n"/>
      <c r="AII1" s="87" t="n"/>
      <c r="AIJ1" s="87" t="n"/>
      <c r="AIK1" s="87" t="n"/>
      <c r="AIL1" s="87" t="n"/>
      <c r="AIM1" s="87" t="n"/>
      <c r="AIN1" s="87" t="n"/>
      <c r="AIO1" s="87" t="n"/>
      <c r="AIP1" s="87" t="n"/>
      <c r="AIQ1" s="87" t="n"/>
      <c r="AIR1" s="87" t="n"/>
      <c r="AIS1" s="87" t="n"/>
      <c r="AIT1" s="87" t="n"/>
      <c r="AIU1" s="87" t="n"/>
      <c r="AIV1" s="87" t="n"/>
      <c r="AIW1" s="87" t="n"/>
      <c r="AIX1" s="87" t="n"/>
      <c r="AIY1" s="87" t="n"/>
      <c r="AIZ1" s="87" t="n"/>
      <c r="AJA1" s="87" t="n"/>
      <c r="AJB1" s="87" t="n"/>
      <c r="AJC1" s="87" t="n"/>
      <c r="AJD1" s="87" t="n"/>
      <c r="AJE1" s="87" t="n"/>
      <c r="AJF1" s="87" t="n"/>
      <c r="AJG1" s="87" t="n"/>
      <c r="AJH1" s="87" t="n"/>
      <c r="AJI1" s="87" t="n"/>
      <c r="AJJ1" s="87" t="n"/>
      <c r="AJK1" s="87" t="n"/>
      <c r="AJL1" s="87" t="n"/>
      <c r="AJM1" s="87" t="n"/>
      <c r="AJN1" s="87" t="n"/>
      <c r="AJO1" s="87" t="n"/>
      <c r="AJP1" s="87" t="n"/>
      <c r="AJQ1" s="87" t="n"/>
      <c r="AJR1" s="87" t="n"/>
      <c r="AJS1" s="87" t="n"/>
      <c r="AJT1" s="87" t="n"/>
      <c r="AJU1" s="87" t="n"/>
      <c r="AJV1" s="87" t="n"/>
      <c r="AJW1" s="87" t="n"/>
      <c r="AJX1" s="87" t="n"/>
      <c r="AJY1" s="87" t="n"/>
      <c r="AJZ1" s="87" t="n"/>
      <c r="AKA1" s="87" t="n"/>
      <c r="AKB1" s="87" t="n"/>
      <c r="AKC1" s="87" t="n"/>
      <c r="AKD1" s="87" t="n"/>
      <c r="AKE1" s="87" t="n"/>
      <c r="AKF1" s="87" t="n"/>
      <c r="AKG1" s="87" t="n"/>
      <c r="AKH1" s="87" t="n"/>
      <c r="AKI1" s="87" t="n"/>
      <c r="AKJ1" s="87" t="n"/>
      <c r="AKK1" s="87" t="n"/>
      <c r="AKL1" s="87" t="n"/>
      <c r="AKM1" s="87" t="n"/>
      <c r="AKN1" s="87" t="n"/>
      <c r="AKO1" s="87" t="n"/>
      <c r="AKP1" s="87" t="n"/>
      <c r="AKQ1" s="87" t="n"/>
      <c r="AKR1" s="87" t="n"/>
      <c r="AKS1" s="87" t="n"/>
      <c r="AKT1" s="87" t="n"/>
      <c r="AKU1" s="87" t="n"/>
      <c r="AKV1" s="87" t="n"/>
      <c r="AKW1" s="87" t="n"/>
      <c r="AKX1" s="87" t="n"/>
      <c r="AKY1" s="87" t="n"/>
      <c r="AKZ1" s="87" t="n"/>
      <c r="ALA1" s="87" t="n"/>
      <c r="ALB1" s="87" t="n"/>
      <c r="ALC1" s="87" t="n"/>
      <c r="ALD1" s="87" t="n"/>
      <c r="ALE1" s="87" t="n"/>
      <c r="ALF1" s="87" t="n"/>
      <c r="ALG1" s="87" t="n"/>
      <c r="ALH1" s="87" t="n"/>
      <c r="ALI1" s="87" t="n"/>
      <c r="ALJ1" s="87" t="n"/>
      <c r="ALK1" s="87" t="n"/>
      <c r="ALL1" s="87" t="n"/>
      <c r="ALM1" s="87" t="n"/>
      <c r="ALN1" s="87" t="n"/>
      <c r="ALO1" s="87" t="n"/>
      <c r="ALP1" s="87" t="n"/>
      <c r="ALQ1" s="87" t="n"/>
      <c r="ALR1" s="87" t="n"/>
      <c r="ALS1" s="87" t="n"/>
      <c r="ALT1" s="87" t="n"/>
      <c r="ALU1" s="87" t="n"/>
      <c r="ALV1" s="87" t="n"/>
      <c r="ALW1" s="87" t="n"/>
      <c r="ALX1" s="87" t="n"/>
      <c r="ALY1" s="87" t="n"/>
      <c r="ALZ1" s="87" t="n"/>
      <c r="AMA1" s="87" t="n"/>
      <c r="AMB1" s="87" t="n"/>
      <c r="AMC1" s="87" t="n"/>
      <c r="AMD1" s="87" t="n"/>
      <c r="AME1" s="87" t="n"/>
      <c r="AMF1" s="87" t="n"/>
      <c r="AMG1" s="87" t="n"/>
      <c r="AMH1" s="87" t="n"/>
      <c r="AMI1" s="87" t="n"/>
      <c r="AMJ1" s="87" t="n"/>
      <c r="AMK1" s="87" t="n"/>
      <c r="AML1" s="87" t="n"/>
      <c r="AMM1" s="87" t="n"/>
      <c r="AMN1" s="87" t="n"/>
      <c r="AMO1" s="87" t="n"/>
      <c r="AMP1" s="87" t="n"/>
      <c r="AMQ1" s="87" t="n"/>
      <c r="AMR1" s="87" t="n"/>
      <c r="AMS1" s="87" t="n"/>
      <c r="AMT1" s="87" t="n"/>
      <c r="AMU1" s="87" t="n"/>
      <c r="AMV1" s="87" t="n"/>
      <c r="AMW1" s="87" t="n"/>
      <c r="AMX1" s="87" t="n"/>
      <c r="AMY1" s="87" t="n"/>
      <c r="AMZ1" s="87" t="n"/>
      <c r="ANA1" s="87" t="n"/>
      <c r="ANB1" s="87" t="n"/>
      <c r="ANC1" s="87" t="n"/>
      <c r="AND1" s="87" t="n"/>
      <c r="ANE1" s="87" t="n"/>
      <c r="ANF1" s="87" t="n"/>
      <c r="ANG1" s="87" t="n"/>
      <c r="ANH1" s="87" t="n"/>
      <c r="ANI1" s="87" t="n"/>
      <c r="ANJ1" s="87" t="n"/>
      <c r="ANK1" s="87" t="n"/>
      <c r="ANL1" s="87" t="n"/>
      <c r="ANM1" s="87" t="n"/>
      <c r="ANN1" s="87" t="n"/>
      <c r="ANO1" s="87" t="n"/>
      <c r="ANP1" s="87" t="n"/>
      <c r="ANQ1" s="87" t="n"/>
      <c r="ANR1" s="87" t="n"/>
      <c r="ANS1" s="87" t="n"/>
      <c r="ANT1" s="87" t="n"/>
      <c r="ANU1" s="87" t="n"/>
      <c r="ANV1" s="87" t="n"/>
      <c r="ANW1" s="87" t="n"/>
      <c r="ANX1" s="87" t="n"/>
      <c r="ANY1" s="87" t="n"/>
      <c r="ANZ1" s="87" t="n"/>
      <c r="AOA1" s="87" t="n"/>
      <c r="AOB1" s="87" t="n"/>
      <c r="AOC1" s="87" t="n"/>
      <c r="AOD1" s="87" t="n"/>
      <c r="AOE1" s="87" t="n"/>
      <c r="AOF1" s="87" t="n"/>
      <c r="AOG1" s="87" t="n"/>
      <c r="AOH1" s="87" t="n"/>
      <c r="AOI1" s="87" t="n"/>
      <c r="AOJ1" s="87" t="n"/>
      <c r="AOK1" s="87" t="n"/>
      <c r="AOL1" s="87" t="n"/>
      <c r="AOM1" s="87" t="n"/>
      <c r="AON1" s="87" t="n"/>
      <c r="AOO1" s="87" t="n"/>
      <c r="AOP1" s="87" t="n"/>
      <c r="AOQ1" s="87" t="n"/>
      <c r="AOR1" s="87" t="n"/>
      <c r="AOS1" s="87" t="n"/>
      <c r="AOT1" s="87" t="n"/>
      <c r="AOU1" s="87" t="n"/>
      <c r="AOV1" s="87" t="n"/>
      <c r="AOW1" s="87" t="n"/>
      <c r="AOX1" s="87" t="n"/>
      <c r="AOY1" s="87" t="n"/>
      <c r="AOZ1" s="87" t="n"/>
      <c r="APA1" s="87" t="n"/>
      <c r="APB1" s="87" t="n"/>
      <c r="APC1" s="87" t="n"/>
      <c r="APD1" s="87" t="n"/>
      <c r="APE1" s="87" t="n"/>
      <c r="APF1" s="87" t="n"/>
      <c r="APG1" s="87" t="n"/>
      <c r="APH1" s="87" t="n"/>
      <c r="API1" s="87" t="n"/>
      <c r="APJ1" s="87" t="n"/>
      <c r="APK1" s="87" t="n"/>
      <c r="APL1" s="87" t="n"/>
      <c r="APM1" s="87" t="n"/>
      <c r="APN1" s="87" t="n"/>
      <c r="APO1" s="87" t="n"/>
      <c r="APP1" s="87" t="n"/>
      <c r="APQ1" s="87" t="n"/>
      <c r="APR1" s="87" t="n"/>
      <c r="APS1" s="87" t="n"/>
      <c r="APT1" s="87" t="n"/>
      <c r="APU1" s="87" t="n"/>
      <c r="APV1" s="87" t="n"/>
      <c r="APW1" s="87" t="n"/>
      <c r="APX1" s="87" t="n"/>
      <c r="APY1" s="87" t="n"/>
      <c r="APZ1" s="87" t="n"/>
      <c r="AQA1" s="87" t="n"/>
      <c r="AQB1" s="87" t="n"/>
      <c r="AQC1" s="87" t="n"/>
      <c r="AQD1" s="87" t="n"/>
      <c r="AQE1" s="87" t="n"/>
      <c r="AQF1" s="87" t="n"/>
      <c r="AQG1" s="87" t="n"/>
      <c r="AQH1" s="87" t="n"/>
      <c r="AQI1" s="87" t="n"/>
      <c r="AQJ1" s="87" t="n"/>
      <c r="AQK1" s="87" t="n"/>
      <c r="AQL1" s="87" t="n"/>
      <c r="AQM1" s="87" t="n"/>
      <c r="AQN1" s="87" t="n"/>
      <c r="AQO1" s="87" t="n"/>
      <c r="AQP1" s="87" t="n"/>
      <c r="AQQ1" s="87" t="n"/>
      <c r="AQR1" s="87" t="n"/>
      <c r="AQS1" s="87" t="n"/>
      <c r="AQT1" s="87" t="n"/>
      <c r="AQU1" s="87" t="n"/>
      <c r="AQV1" s="87" t="n"/>
      <c r="AQW1" s="87" t="n"/>
      <c r="AQX1" s="87" t="n"/>
      <c r="AQY1" s="87" t="n"/>
      <c r="AQZ1" s="87" t="n"/>
      <c r="ARA1" s="87" t="n"/>
      <c r="ARB1" s="87" t="n"/>
      <c r="ARC1" s="87" t="n"/>
      <c r="ARD1" s="87" t="n"/>
      <c r="ARE1" s="87" t="n"/>
      <c r="ARF1" s="87" t="n"/>
      <c r="ARG1" s="87" t="n"/>
      <c r="ARH1" s="87" t="n"/>
      <c r="ARI1" s="87" t="n"/>
      <c r="ARJ1" s="87" t="n"/>
      <c r="ARK1" s="87" t="n"/>
      <c r="ARL1" s="87" t="n"/>
      <c r="ARM1" s="87" t="n"/>
      <c r="ARN1" s="87" t="n"/>
      <c r="ARO1" s="87" t="n"/>
      <c r="ARP1" s="87" t="n"/>
      <c r="ARQ1" s="87" t="n"/>
      <c r="ARR1" s="87" t="n"/>
      <c r="ARS1" s="87" t="n"/>
      <c r="ART1" s="87" t="n"/>
      <c r="ARU1" s="87" t="n"/>
      <c r="ARV1" s="87" t="n"/>
      <c r="ARW1" s="87" t="n"/>
      <c r="ARX1" s="87" t="n"/>
      <c r="ARY1" s="87" t="n"/>
      <c r="ARZ1" s="87" t="n"/>
      <c r="ASA1" s="87" t="n"/>
      <c r="ASB1" s="87" t="n"/>
      <c r="ASC1" s="87" t="n"/>
      <c r="ASD1" s="87" t="n"/>
      <c r="ASE1" s="87" t="n"/>
      <c r="ASF1" s="87" t="n"/>
      <c r="ASG1" s="87" t="n"/>
      <c r="ASH1" s="87" t="n"/>
      <c r="ASI1" s="87" t="n"/>
      <c r="ASJ1" s="87" t="n"/>
      <c r="ASK1" s="87" t="n"/>
      <c r="ASL1" s="87" t="n"/>
      <c r="ASM1" s="87" t="n"/>
      <c r="ASN1" s="87" t="n"/>
      <c r="ASO1" s="87" t="n"/>
      <c r="ASP1" s="87" t="n"/>
      <c r="ASQ1" s="87" t="n"/>
      <c r="ASR1" s="87" t="n"/>
      <c r="ASS1" s="87" t="n"/>
      <c r="AST1" s="87" t="n"/>
      <c r="ASU1" s="87" t="n"/>
      <c r="ASV1" s="87" t="n"/>
      <c r="ASW1" s="87" t="n"/>
      <c r="ASX1" s="87" t="n"/>
      <c r="ASY1" s="87" t="n"/>
      <c r="ASZ1" s="87" t="n"/>
      <c r="ATA1" s="87" t="n"/>
      <c r="ATB1" s="87" t="n"/>
      <c r="ATC1" s="87" t="n"/>
      <c r="ATD1" s="87" t="n"/>
      <c r="ATE1" s="87" t="n"/>
      <c r="ATF1" s="87" t="n"/>
      <c r="ATG1" s="87" t="n"/>
      <c r="ATH1" s="87" t="n"/>
      <c r="ATI1" s="87" t="n"/>
      <c r="ATJ1" s="87" t="n"/>
      <c r="ATK1" s="87" t="n"/>
      <c r="ATL1" s="87" t="n"/>
      <c r="ATM1" s="87" t="n"/>
      <c r="ATN1" s="87" t="n"/>
      <c r="ATO1" s="87" t="n"/>
      <c r="ATP1" s="87" t="n"/>
      <c r="ATQ1" s="87" t="n"/>
      <c r="ATR1" s="87" t="n"/>
      <c r="ATS1" s="87" t="n"/>
      <c r="ATT1" s="87" t="n"/>
      <c r="ATU1" s="87" t="n"/>
      <c r="ATV1" s="87" t="n"/>
      <c r="ATW1" s="87" t="n"/>
      <c r="ATX1" s="87" t="n"/>
      <c r="ATY1" s="87" t="n"/>
      <c r="ATZ1" s="87" t="n"/>
      <c r="AUA1" s="87" t="n"/>
      <c r="AUB1" s="87" t="n"/>
      <c r="AUC1" s="87" t="n"/>
      <c r="AUD1" s="87" t="n"/>
      <c r="AUE1" s="87" t="n"/>
      <c r="AUF1" s="87" t="n"/>
      <c r="AUG1" s="87" t="n"/>
      <c r="AUH1" s="87" t="n"/>
      <c r="AUI1" s="87" t="n"/>
      <c r="AUJ1" s="87" t="n"/>
      <c r="AUK1" s="87" t="n"/>
      <c r="AUL1" s="87" t="n"/>
      <c r="AUM1" s="87" t="n"/>
      <c r="AUN1" s="87" t="n"/>
      <c r="AUO1" s="87" t="n"/>
      <c r="AUP1" s="87" t="n"/>
      <c r="AUQ1" s="87" t="n"/>
      <c r="AUR1" s="87" t="n"/>
      <c r="AUS1" s="87" t="n"/>
      <c r="AUT1" s="87" t="n"/>
      <c r="AUU1" s="87" t="n"/>
      <c r="AUV1" s="87" t="n"/>
      <c r="AUW1" s="87" t="n"/>
      <c r="AUX1" s="87" t="n"/>
      <c r="AUY1" s="87" t="n"/>
      <c r="AUZ1" s="87" t="n"/>
      <c r="AVA1" s="87" t="n"/>
      <c r="AVB1" s="87" t="n"/>
      <c r="AVC1" s="87" t="n"/>
      <c r="AVD1" s="87" t="n"/>
      <c r="AVE1" s="87" t="n"/>
      <c r="AVF1" s="87" t="n"/>
      <c r="AVG1" s="87" t="n"/>
      <c r="AVH1" s="87" t="n"/>
      <c r="AVI1" s="87" t="n"/>
      <c r="AVJ1" s="87" t="n"/>
      <c r="AVK1" s="87" t="n"/>
      <c r="AVL1" s="87" t="n"/>
      <c r="AVM1" s="87" t="n"/>
      <c r="AVN1" s="87" t="n"/>
      <c r="AVO1" s="87" t="n"/>
      <c r="AVP1" s="87" t="n"/>
      <c r="AVQ1" s="87" t="n"/>
      <c r="AVR1" s="87" t="n"/>
      <c r="AVS1" s="87" t="n"/>
      <c r="AVT1" s="87" t="n"/>
      <c r="AVU1" s="87" t="n"/>
      <c r="AVV1" s="87" t="n"/>
      <c r="AVW1" s="87" t="n"/>
      <c r="AVX1" s="87" t="n"/>
      <c r="AVY1" s="87" t="n"/>
      <c r="AVZ1" s="87" t="n"/>
      <c r="AWA1" s="87" t="n"/>
      <c r="AWB1" s="87" t="n"/>
      <c r="AWC1" s="87" t="n"/>
      <c r="AWD1" s="87" t="n"/>
      <c r="AWE1" s="87" t="n"/>
      <c r="AWF1" s="87" t="n"/>
      <c r="AWG1" s="87" t="n"/>
      <c r="AWH1" s="87" t="n"/>
      <c r="AWI1" s="87" t="n"/>
      <c r="AWJ1" s="87" t="n"/>
      <c r="AWK1" s="87" t="n"/>
      <c r="AWL1" s="87" t="n"/>
      <c r="AWM1" s="87" t="n"/>
      <c r="AWN1" s="87" t="n"/>
      <c r="AWO1" s="87" t="n"/>
      <c r="AWP1" s="87" t="n"/>
      <c r="AWQ1" s="87" t="n"/>
      <c r="AWR1" s="87" t="n"/>
      <c r="AWS1" s="87" t="n"/>
      <c r="AWT1" s="87" t="n"/>
      <c r="AWU1" s="87" t="n"/>
      <c r="AWV1" s="87" t="n"/>
      <c r="AWW1" s="87" t="n"/>
      <c r="AWX1" s="87" t="n"/>
      <c r="AWY1" s="87" t="n"/>
      <c r="AWZ1" s="87" t="n"/>
      <c r="AXA1" s="87" t="n"/>
      <c r="AXB1" s="87" t="n"/>
      <c r="AXC1" s="87" t="n"/>
      <c r="AXD1" s="87" t="n"/>
      <c r="AXE1" s="87" t="n"/>
      <c r="AXF1" s="87" t="n"/>
      <c r="AXG1" s="87" t="n"/>
      <c r="AXH1" s="87" t="n"/>
      <c r="AXI1" s="87" t="n"/>
      <c r="AXJ1" s="87" t="n"/>
      <c r="AXK1" s="87" t="n"/>
      <c r="AXL1" s="87" t="n"/>
      <c r="AXM1" s="87" t="n"/>
      <c r="AXN1" s="87" t="n"/>
      <c r="AXO1" s="87" t="n"/>
      <c r="AXP1" s="87" t="n"/>
      <c r="AXQ1" s="87" t="n"/>
      <c r="AXR1" s="87" t="n"/>
      <c r="AXS1" s="87" t="n"/>
      <c r="AXT1" s="87" t="n"/>
      <c r="AXU1" s="87" t="n"/>
      <c r="AXV1" s="87" t="n"/>
      <c r="AXW1" s="87" t="n"/>
      <c r="AXX1" s="87" t="n"/>
      <c r="AXY1" s="87" t="n"/>
      <c r="AXZ1" s="87" t="n"/>
      <c r="AYA1" s="87" t="n"/>
      <c r="AYB1" s="87" t="n"/>
      <c r="AYC1" s="87" t="n"/>
      <c r="AYD1" s="87" t="n"/>
      <c r="AYE1" s="87" t="n"/>
      <c r="AYF1" s="87" t="n"/>
      <c r="AYG1" s="87" t="n"/>
      <c r="AYH1" s="87" t="n"/>
      <c r="AYI1" s="87" t="n"/>
      <c r="AYJ1" s="87" t="n"/>
      <c r="AYK1" s="87" t="n"/>
      <c r="AYL1" s="87" t="n"/>
      <c r="AYM1" s="87" t="n"/>
      <c r="AYN1" s="87" t="n"/>
      <c r="AYO1" s="87" t="n"/>
      <c r="AYP1" s="87" t="n"/>
      <c r="AYQ1" s="87" t="n"/>
      <c r="AYR1" s="87" t="n"/>
      <c r="AYS1" s="87" t="n"/>
      <c r="AYT1" s="87" t="n"/>
      <c r="AYU1" s="87" t="n"/>
      <c r="AYV1" s="87" t="n"/>
      <c r="AYW1" s="87" t="n"/>
      <c r="AYX1" s="87" t="n"/>
      <c r="AYY1" s="87" t="n"/>
      <c r="AYZ1" s="87" t="n"/>
      <c r="AZA1" s="87" t="n"/>
      <c r="AZB1" s="87" t="n"/>
      <c r="AZC1" s="87" t="n"/>
      <c r="AZD1" s="87" t="n"/>
      <c r="AZE1" s="87" t="n"/>
      <c r="AZF1" s="87" t="n"/>
      <c r="AZG1" s="87" t="n"/>
      <c r="AZH1" s="87" t="n"/>
      <c r="AZI1" s="87" t="n"/>
      <c r="AZJ1" s="87" t="n"/>
      <c r="AZK1" s="87" t="n"/>
      <c r="AZL1" s="87" t="n"/>
      <c r="AZM1" s="87" t="n"/>
      <c r="AZN1" s="87" t="n"/>
      <c r="AZO1" s="87" t="n"/>
      <c r="AZP1" s="87" t="n"/>
      <c r="AZQ1" s="87" t="n"/>
      <c r="AZR1" s="87" t="n"/>
      <c r="AZS1" s="87" t="n"/>
      <c r="AZT1" s="87" t="n"/>
      <c r="AZU1" s="87" t="n"/>
      <c r="AZV1" s="87" t="n"/>
      <c r="AZW1" s="87" t="n"/>
      <c r="AZX1" s="87" t="n"/>
      <c r="AZY1" s="87" t="n"/>
      <c r="AZZ1" s="87" t="n"/>
      <c r="BAA1" s="87" t="n"/>
      <c r="BAB1" s="87" t="n"/>
      <c r="BAC1" s="87" t="n"/>
      <c r="BAD1" s="87" t="n"/>
      <c r="BAE1" s="87" t="n"/>
      <c r="BAF1" s="87" t="n"/>
      <c r="BAG1" s="87" t="n"/>
      <c r="BAH1" s="87" t="n"/>
      <c r="BAI1" s="87" t="n"/>
      <c r="BAJ1" s="87" t="n"/>
      <c r="BAK1" s="87" t="n"/>
      <c r="BAL1" s="87" t="n"/>
      <c r="BAM1" s="87" t="n"/>
      <c r="BAN1" s="87" t="n"/>
      <c r="BAO1" s="87" t="n"/>
      <c r="BAP1" s="87" t="n"/>
      <c r="BAQ1" s="87" t="n"/>
      <c r="BAR1" s="87" t="n"/>
      <c r="BAS1" s="87" t="n"/>
      <c r="BAT1" s="87" t="n"/>
      <c r="BAU1" s="87" t="n"/>
      <c r="BAV1" s="87" t="n"/>
      <c r="BAW1" s="87" t="n"/>
      <c r="BAX1" s="87" t="n"/>
      <c r="BAY1" s="87" t="n"/>
      <c r="BAZ1" s="87" t="n"/>
      <c r="BBA1" s="87" t="n"/>
      <c r="BBB1" s="87" t="n"/>
      <c r="BBC1" s="87" t="n"/>
      <c r="BBD1" s="87" t="n"/>
      <c r="BBE1" s="87" t="n"/>
      <c r="BBF1" s="87" t="n"/>
      <c r="BBG1" s="87" t="n"/>
      <c r="BBH1" s="87" t="n"/>
      <c r="BBI1" s="87" t="n"/>
      <c r="BBJ1" s="87" t="n"/>
      <c r="BBK1" s="87" t="n"/>
      <c r="BBL1" s="87" t="n"/>
      <c r="BBM1" s="87" t="n"/>
      <c r="BBN1" s="87" t="n"/>
      <c r="BBO1" s="87" t="n"/>
      <c r="BBP1" s="87" t="n"/>
      <c r="BBQ1" s="87" t="n"/>
      <c r="BBR1" s="87" t="n"/>
      <c r="BBS1" s="87" t="n"/>
      <c r="BBT1" s="87" t="n"/>
      <c r="BBU1" s="87" t="n"/>
      <c r="BBV1" s="87" t="n"/>
      <c r="BBW1" s="87" t="n"/>
      <c r="BBX1" s="87" t="n"/>
      <c r="BBY1" s="87" t="n"/>
      <c r="BBZ1" s="87" t="n"/>
      <c r="BCA1" s="87" t="n"/>
      <c r="BCB1" s="87" t="n"/>
      <c r="BCC1" s="87" t="n"/>
      <c r="BCD1" s="87" t="n"/>
      <c r="BCE1" s="87" t="n"/>
      <c r="BCF1" s="87" t="n"/>
      <c r="BCG1" s="87" t="n"/>
      <c r="BCH1" s="87" t="n"/>
      <c r="BCI1" s="87" t="n"/>
      <c r="BCJ1" s="87" t="n"/>
      <c r="BCK1" s="87" t="n"/>
      <c r="BCL1" s="87" t="n"/>
      <c r="BCM1" s="87" t="n"/>
      <c r="BCN1" s="87" t="n"/>
      <c r="BCO1" s="87" t="n"/>
      <c r="BCP1" s="87" t="n"/>
      <c r="BCQ1" s="87" t="n"/>
      <c r="BCR1" s="87" t="n"/>
      <c r="BCS1" s="87" t="n"/>
      <c r="BCT1" s="87" t="n"/>
      <c r="BCU1" s="87" t="n"/>
      <c r="BCV1" s="87" t="n"/>
      <c r="BCW1" s="87" t="n"/>
      <c r="BCX1" s="87" t="n"/>
      <c r="BCY1" s="87" t="n"/>
      <c r="BCZ1" s="87" t="n"/>
      <c r="BDA1" s="87" t="n"/>
      <c r="BDB1" s="87" t="n"/>
      <c r="BDC1" s="87" t="n"/>
      <c r="BDD1" s="87" t="n"/>
      <c r="BDE1" s="87" t="n"/>
      <c r="BDF1" s="87" t="n"/>
      <c r="BDG1" s="87" t="n"/>
      <c r="BDH1" s="87" t="n"/>
      <c r="BDI1" s="87" t="n"/>
      <c r="BDJ1" s="87" t="n"/>
      <c r="BDK1" s="87" t="n"/>
      <c r="BDL1" s="87" t="n"/>
      <c r="BDM1" s="87" t="n"/>
      <c r="BDN1" s="87" t="n"/>
      <c r="BDO1" s="87" t="n"/>
      <c r="BDP1" s="87" t="n"/>
      <c r="BDQ1" s="87" t="n"/>
      <c r="BDR1" s="87" t="n"/>
      <c r="BDS1" s="87" t="n"/>
      <c r="BDT1" s="87" t="n"/>
      <c r="BDU1" s="87" t="n"/>
      <c r="BDV1" s="87" t="n"/>
      <c r="BDW1" s="87" t="n"/>
      <c r="BDX1" s="87" t="n"/>
      <c r="BDY1" s="87" t="n"/>
      <c r="BDZ1" s="87" t="n"/>
      <c r="BEA1" s="87" t="n"/>
      <c r="BEB1" s="87" t="n"/>
      <c r="BEC1" s="87" t="n"/>
      <c r="BED1" s="87" t="n"/>
      <c r="BEE1" s="87" t="n"/>
      <c r="BEF1" s="87" t="n"/>
      <c r="BEG1" s="87" t="n"/>
      <c r="BEH1" s="87" t="n"/>
      <c r="BEI1" s="87" t="n"/>
      <c r="BEJ1" s="87" t="n"/>
      <c r="BEK1" s="87" t="n"/>
      <c r="BEL1" s="87" t="n"/>
      <c r="BEM1" s="87" t="n"/>
      <c r="BEN1" s="87" t="n"/>
      <c r="BEO1" s="87" t="n"/>
      <c r="BEP1" s="87" t="n"/>
      <c r="BEQ1" s="87" t="n"/>
      <c r="BER1" s="87" t="n"/>
      <c r="BES1" s="87" t="n"/>
      <c r="BET1" s="87" t="n"/>
      <c r="BEU1" s="87" t="n"/>
      <c r="BEV1" s="87" t="n"/>
      <c r="BEW1" s="87" t="n"/>
      <c r="BEX1" s="87" t="n"/>
      <c r="BEY1" s="87" t="n"/>
      <c r="BEZ1" s="87" t="n"/>
      <c r="BFA1" s="87" t="n"/>
      <c r="BFB1" s="87" t="n"/>
      <c r="BFC1" s="87" t="n"/>
      <c r="BFD1" s="87" t="n"/>
      <c r="BFE1" s="87" t="n"/>
      <c r="BFF1" s="87" t="n"/>
      <c r="BFG1" s="87" t="n"/>
      <c r="BFH1" s="87" t="n"/>
      <c r="BFI1" s="87" t="n"/>
      <c r="BFJ1" s="87" t="n"/>
      <c r="BFK1" s="87" t="n"/>
      <c r="BFL1" s="87" t="n"/>
      <c r="BFM1" s="87" t="n"/>
      <c r="BFN1" s="87" t="n"/>
      <c r="BFO1" s="87" t="n"/>
      <c r="BFP1" s="87" t="n"/>
      <c r="BFQ1" s="87" t="n"/>
      <c r="BFR1" s="87" t="n"/>
      <c r="BFS1" s="87" t="n"/>
      <c r="BFT1" s="87" t="n"/>
      <c r="BFU1" s="87" t="n"/>
      <c r="BFV1" s="87" t="n"/>
      <c r="BFW1" s="87" t="n"/>
      <c r="BFX1" s="87" t="n"/>
      <c r="BFY1" s="87" t="n"/>
      <c r="BFZ1" s="87" t="n"/>
      <c r="BGA1" s="87" t="n"/>
      <c r="BGB1" s="87" t="n"/>
      <c r="BGC1" s="87" t="n"/>
      <c r="BGD1" s="87" t="n"/>
      <c r="BGE1" s="87" t="n"/>
      <c r="BGF1" s="87" t="n"/>
      <c r="BGG1" s="87" t="n"/>
      <c r="BGH1" s="87" t="n"/>
      <c r="BGI1" s="87" t="n"/>
      <c r="BGJ1" s="87" t="n"/>
      <c r="BGK1" s="87" t="n"/>
      <c r="BGL1" s="87" t="n"/>
      <c r="BGM1" s="87" t="n"/>
      <c r="BGN1" s="87" t="n"/>
      <c r="BGO1" s="87" t="n"/>
      <c r="BGP1" s="87" t="n"/>
      <c r="BGQ1" s="87" t="n"/>
      <c r="BGR1" s="87" t="n"/>
      <c r="BGS1" s="87" t="n"/>
      <c r="BGT1" s="87" t="n"/>
      <c r="BGU1" s="87" t="n"/>
      <c r="BGV1" s="87" t="n"/>
      <c r="BGW1" s="87" t="n"/>
      <c r="BGX1" s="87" t="n"/>
      <c r="BGY1" s="87" t="n"/>
      <c r="BGZ1" s="87" t="n"/>
      <c r="BHA1" s="87" t="n"/>
      <c r="BHB1" s="87" t="n"/>
      <c r="BHC1" s="87" t="n"/>
      <c r="BHD1" s="87" t="n"/>
      <c r="BHE1" s="87" t="n"/>
      <c r="BHF1" s="87" t="n"/>
      <c r="BHG1" s="87" t="n"/>
      <c r="BHH1" s="87" t="n"/>
      <c r="BHI1" s="87" t="n"/>
      <c r="BHJ1" s="87" t="n"/>
      <c r="BHK1" s="87" t="n"/>
      <c r="BHL1" s="87" t="n"/>
      <c r="BHM1" s="87" t="n"/>
      <c r="BHN1" s="87" t="n"/>
      <c r="BHO1" s="87" t="n"/>
      <c r="BHP1" s="87" t="n"/>
      <c r="BHQ1" s="87" t="n"/>
      <c r="BHR1" s="87" t="n"/>
      <c r="BHS1" s="87" t="n"/>
      <c r="BHT1" s="87" t="n"/>
      <c r="BHU1" s="87" t="n"/>
      <c r="BHV1" s="87" t="n"/>
      <c r="BHW1" s="87" t="n"/>
      <c r="BHX1" s="87" t="n"/>
      <c r="BHY1" s="87" t="n"/>
      <c r="BHZ1" s="87" t="n"/>
      <c r="BIA1" s="87" t="n"/>
      <c r="BIB1" s="87" t="n"/>
      <c r="BIC1" s="87" t="n"/>
      <c r="BID1" s="87" t="n"/>
      <c r="BIE1" s="87" t="n"/>
      <c r="BIF1" s="87" t="n"/>
      <c r="BIG1" s="87" t="n"/>
      <c r="BIH1" s="87" t="n"/>
      <c r="BII1" s="87" t="n"/>
      <c r="BIJ1" s="87" t="n"/>
      <c r="BIK1" s="87" t="n"/>
      <c r="BIL1" s="87" t="n"/>
      <c r="BIM1" s="87" t="n"/>
      <c r="BIN1" s="87" t="n"/>
      <c r="BIO1" s="87" t="n"/>
      <c r="BIP1" s="87" t="n"/>
      <c r="BIQ1" s="87" t="n"/>
      <c r="BIR1" s="87" t="n"/>
      <c r="BIS1" s="87" t="n"/>
      <c r="BIT1" s="87" t="n"/>
      <c r="BIU1" s="87" t="n"/>
      <c r="BIV1" s="87" t="n"/>
      <c r="BIW1" s="87" t="n"/>
      <c r="BIX1" s="87" t="n"/>
      <c r="BIY1" s="87" t="n"/>
      <c r="BIZ1" s="87" t="n"/>
      <c r="BJA1" s="87" t="n"/>
      <c r="BJB1" s="87" t="n"/>
      <c r="BJC1" s="87" t="n"/>
      <c r="BJD1" s="87" t="n"/>
      <c r="BJE1" s="87" t="n"/>
      <c r="BJF1" s="87" t="n"/>
      <c r="BJG1" s="87" t="n"/>
      <c r="BJH1" s="87" t="n"/>
      <c r="BJI1" s="87" t="n"/>
      <c r="BJJ1" s="87" t="n"/>
      <c r="BJK1" s="87" t="n"/>
      <c r="BJL1" s="87" t="n"/>
      <c r="BJM1" s="87" t="n"/>
      <c r="BJN1" s="87" t="n"/>
      <c r="BJO1" s="87" t="n"/>
      <c r="BJP1" s="87" t="n"/>
      <c r="BJQ1" s="87" t="n"/>
      <c r="BJR1" s="87" t="n"/>
      <c r="BJS1" s="87" t="n"/>
      <c r="BJT1" s="87" t="n"/>
      <c r="BJU1" s="87" t="n"/>
      <c r="BJV1" s="87" t="n"/>
      <c r="BJW1" s="87" t="n"/>
      <c r="BJX1" s="87" t="n"/>
      <c r="BJY1" s="87" t="n"/>
      <c r="BJZ1" s="87" t="n"/>
      <c r="BKA1" s="87" t="n"/>
      <c r="BKB1" s="87" t="n"/>
      <c r="BKC1" s="87" t="n"/>
      <c r="BKD1" s="87" t="n"/>
      <c r="BKE1" s="87" t="n"/>
      <c r="BKF1" s="87" t="n"/>
      <c r="BKG1" s="87" t="n"/>
      <c r="BKH1" s="87" t="n"/>
      <c r="BKI1" s="87" t="n"/>
      <c r="BKJ1" s="87" t="n"/>
      <c r="BKK1" s="87" t="n"/>
      <c r="BKL1" s="87" t="n"/>
      <c r="BKM1" s="87" t="n"/>
      <c r="BKN1" s="87" t="n"/>
      <c r="BKO1" s="87" t="n"/>
      <c r="BKP1" s="87" t="n"/>
      <c r="BKQ1" s="87" t="n"/>
      <c r="BKR1" s="87" t="n"/>
      <c r="BKS1" s="87" t="n"/>
      <c r="BKT1" s="87" t="n"/>
      <c r="BKU1" s="87" t="n"/>
      <c r="BKV1" s="87" t="n"/>
      <c r="BKW1" s="87" t="n"/>
      <c r="BKX1" s="87" t="n"/>
      <c r="BKY1" s="87" t="n"/>
      <c r="BKZ1" s="87" t="n"/>
      <c r="BLA1" s="87" t="n"/>
      <c r="BLB1" s="87" t="n"/>
      <c r="BLC1" s="87" t="n"/>
      <c r="BLD1" s="87" t="n"/>
      <c r="BLE1" s="87" t="n"/>
      <c r="BLF1" s="87" t="n"/>
      <c r="BLG1" s="87" t="n"/>
      <c r="BLH1" s="87" t="n"/>
      <c r="BLI1" s="87" t="n"/>
      <c r="BLJ1" s="87" t="n"/>
      <c r="BLK1" s="87" t="n"/>
      <c r="BLL1" s="87" t="n"/>
      <c r="BLM1" s="87" t="n"/>
      <c r="BLN1" s="87" t="n"/>
      <c r="BLO1" s="87" t="n"/>
      <c r="BLP1" s="87" t="n"/>
      <c r="BLQ1" s="87" t="n"/>
      <c r="BLR1" s="87" t="n"/>
      <c r="BLS1" s="87" t="n"/>
      <c r="BLT1" s="87" t="n"/>
      <c r="BLU1" s="87" t="n"/>
      <c r="BLV1" s="87" t="n"/>
      <c r="BLW1" s="87" t="n"/>
      <c r="BLX1" s="87" t="n"/>
      <c r="BLY1" s="87" t="n"/>
      <c r="BLZ1" s="87" t="n"/>
      <c r="BMA1" s="87" t="n"/>
      <c r="BMB1" s="87" t="n"/>
      <c r="BMC1" s="87" t="n"/>
      <c r="BMD1" s="87" t="n"/>
      <c r="BME1" s="87" t="n"/>
      <c r="BMF1" s="87" t="n"/>
      <c r="BMG1" s="87" t="n"/>
      <c r="BMH1" s="87" t="n"/>
      <c r="BMI1" s="87" t="n"/>
      <c r="BMJ1" s="87" t="n"/>
      <c r="BMK1" s="87" t="n"/>
      <c r="BML1" s="87" t="n"/>
      <c r="BMM1" s="87" t="n"/>
      <c r="BMN1" s="87" t="n"/>
      <c r="BMO1" s="87" t="n"/>
      <c r="BMP1" s="87" t="n"/>
      <c r="BMQ1" s="87" t="n"/>
      <c r="BMR1" s="87" t="n"/>
      <c r="BMS1" s="87" t="n"/>
      <c r="BMT1" s="87" t="n"/>
      <c r="BMU1" s="87" t="n"/>
      <c r="BMV1" s="87" t="n"/>
      <c r="BMW1" s="87" t="n"/>
      <c r="BMX1" s="87" t="n"/>
      <c r="BMY1" s="87" t="n"/>
      <c r="BMZ1" s="87" t="n"/>
      <c r="BNA1" s="87" t="n"/>
      <c r="BNB1" s="87" t="n"/>
      <c r="BNC1" s="87" t="n"/>
      <c r="BND1" s="87" t="n"/>
      <c r="BNE1" s="87" t="n"/>
      <c r="BNF1" s="87" t="n"/>
      <c r="BNG1" s="87" t="n"/>
      <c r="BNH1" s="87" t="n"/>
      <c r="BNI1" s="87" t="n"/>
      <c r="BNJ1" s="87" t="n"/>
      <c r="BNK1" s="87" t="n"/>
      <c r="BNL1" s="87" t="n"/>
      <c r="BNM1" s="87" t="n"/>
      <c r="BNN1" s="87" t="n"/>
      <c r="BNO1" s="87" t="n"/>
      <c r="BNP1" s="87" t="n"/>
      <c r="BNQ1" s="87" t="n"/>
      <c r="BNR1" s="87" t="n"/>
      <c r="BNS1" s="87" t="n"/>
      <c r="BNT1" s="87" t="n"/>
      <c r="BNU1" s="87" t="n"/>
      <c r="BNV1" s="87" t="n"/>
      <c r="BNW1" s="87" t="n"/>
      <c r="BNX1" s="87" t="n"/>
      <c r="BNY1" s="87" t="n"/>
      <c r="BNZ1" s="87" t="n"/>
      <c r="BOA1" s="87" t="n"/>
      <c r="BOB1" s="87" t="n"/>
      <c r="BOC1" s="87" t="n"/>
      <c r="BOD1" s="87" t="n"/>
      <c r="BOE1" s="87" t="n"/>
      <c r="BOF1" s="87" t="n"/>
      <c r="BOG1" s="87" t="n"/>
      <c r="BOH1" s="87" t="n"/>
      <c r="BOI1" s="87" t="n"/>
      <c r="BOJ1" s="87" t="n"/>
      <c r="BOK1" s="87" t="n"/>
      <c r="BOL1" s="87" t="n"/>
      <c r="BOM1" s="87" t="n"/>
      <c r="BON1" s="87" t="n"/>
      <c r="BOO1" s="87" t="n"/>
      <c r="BOP1" s="87" t="n"/>
      <c r="BOQ1" s="87" t="n"/>
      <c r="BOR1" s="87" t="n"/>
      <c r="BOS1" s="87" t="n"/>
      <c r="BOT1" s="87" t="n"/>
      <c r="BOU1" s="87" t="n"/>
      <c r="BOV1" s="87" t="n"/>
      <c r="BOW1" s="87" t="n"/>
      <c r="BOX1" s="87" t="n"/>
      <c r="BOY1" s="87" t="n"/>
      <c r="BOZ1" s="87" t="n"/>
      <c r="BPA1" s="87" t="n"/>
      <c r="BPB1" s="87" t="n"/>
      <c r="BPC1" s="87" t="n"/>
      <c r="BPD1" s="87" t="n"/>
      <c r="BPE1" s="87" t="n"/>
      <c r="BPF1" s="87" t="n"/>
      <c r="BPG1" s="87" t="n"/>
      <c r="BPH1" s="87" t="n"/>
      <c r="BPI1" s="87" t="n"/>
      <c r="BPJ1" s="87" t="n"/>
      <c r="BPK1" s="87" t="n"/>
      <c r="BPL1" s="87" t="n"/>
      <c r="BPM1" s="87" t="n"/>
      <c r="BPN1" s="87" t="n"/>
      <c r="BPO1" s="87" t="n"/>
      <c r="BPP1" s="87" t="n"/>
      <c r="BPQ1" s="87" t="n"/>
      <c r="BPR1" s="87" t="n"/>
      <c r="BPS1" s="87" t="n"/>
      <c r="BPT1" s="87" t="n"/>
      <c r="BPU1" s="87" t="n"/>
      <c r="BPV1" s="87" t="n"/>
      <c r="BPW1" s="87" t="n"/>
      <c r="BPX1" s="87" t="n"/>
      <c r="BPY1" s="87" t="n"/>
      <c r="BPZ1" s="87" t="n"/>
      <c r="BQA1" s="87" t="n"/>
      <c r="BQB1" s="87" t="n"/>
      <c r="BQC1" s="87" t="n"/>
      <c r="BQD1" s="87" t="n"/>
      <c r="BQE1" s="87" t="n"/>
      <c r="BQF1" s="87" t="n"/>
      <c r="BQG1" s="87" t="n"/>
      <c r="BQH1" s="87" t="n"/>
      <c r="BQI1" s="87" t="n"/>
      <c r="BQJ1" s="87" t="n"/>
      <c r="BQK1" s="87" t="n"/>
      <c r="BQL1" s="87" t="n"/>
      <c r="BQM1" s="87" t="n"/>
      <c r="BQN1" s="87" t="n"/>
      <c r="BQO1" s="87" t="n"/>
      <c r="BQP1" s="87" t="n"/>
      <c r="BQQ1" s="87" t="n"/>
      <c r="BQR1" s="87" t="n"/>
      <c r="BQS1" s="87" t="n"/>
      <c r="BQT1" s="87" t="n"/>
      <c r="BQU1" s="87" t="n"/>
      <c r="BQV1" s="87" t="n"/>
      <c r="BQW1" s="87" t="n"/>
      <c r="BQX1" s="87" t="n"/>
      <c r="BQY1" s="87" t="n"/>
      <c r="BQZ1" s="87" t="n"/>
      <c r="BRA1" s="87" t="n"/>
      <c r="BRB1" s="87" t="n"/>
      <c r="BRC1" s="87" t="n"/>
      <c r="BRD1" s="87" t="n"/>
      <c r="BRE1" s="87" t="n"/>
      <c r="BRF1" s="87" t="n"/>
      <c r="BRG1" s="87" t="n"/>
      <c r="BRH1" s="87" t="n"/>
      <c r="BRI1" s="87" t="n"/>
      <c r="BRJ1" s="87" t="n"/>
      <c r="BRK1" s="87" t="n"/>
      <c r="BRL1" s="87" t="n"/>
      <c r="BRM1" s="87" t="n"/>
      <c r="BRN1" s="87" t="n"/>
      <c r="BRO1" s="87" t="n"/>
      <c r="BRP1" s="87" t="n"/>
      <c r="BRQ1" s="87" t="n"/>
      <c r="BRR1" s="87" t="n"/>
      <c r="BRS1" s="87" t="n"/>
      <c r="BRT1" s="87" t="n"/>
      <c r="BRU1" s="87" t="n"/>
      <c r="BRV1" s="87" t="n"/>
      <c r="BRW1" s="87" t="n"/>
      <c r="BRX1" s="87" t="n"/>
      <c r="BRY1" s="87" t="n"/>
      <c r="BRZ1" s="87" t="n"/>
      <c r="BSA1" s="87" t="n"/>
      <c r="BSB1" s="87" t="n"/>
      <c r="BSC1" s="87" t="n"/>
      <c r="BSD1" s="87" t="n"/>
      <c r="BSE1" s="87" t="n"/>
      <c r="BSF1" s="87" t="n"/>
      <c r="BSG1" s="87" t="n"/>
      <c r="BSH1" s="87" t="n"/>
      <c r="BSI1" s="87" t="n"/>
      <c r="BSJ1" s="87" t="n"/>
      <c r="BSK1" s="87" t="n"/>
      <c r="BSL1" s="87" t="n"/>
      <c r="BSM1" s="87" t="n"/>
      <c r="BSN1" s="87" t="n"/>
      <c r="BSO1" s="87" t="n"/>
      <c r="BSP1" s="87" t="n"/>
      <c r="BSQ1" s="87" t="n"/>
      <c r="BSR1" s="87" t="n"/>
      <c r="BSS1" s="87" t="n"/>
      <c r="BST1" s="87" t="n"/>
      <c r="BSU1" s="87" t="n"/>
      <c r="BSV1" s="87" t="n"/>
      <c r="BSW1" s="87" t="n"/>
      <c r="BSX1" s="87" t="n"/>
      <c r="BSY1" s="87" t="n"/>
      <c r="BSZ1" s="87" t="n"/>
      <c r="BTA1" s="87" t="n"/>
      <c r="BTB1" s="87" t="n"/>
      <c r="BTC1" s="87" t="n"/>
      <c r="BTD1" s="87" t="n"/>
      <c r="BTE1" s="87" t="n"/>
      <c r="BTF1" s="87" t="n"/>
      <c r="BTG1" s="87" t="n"/>
      <c r="BTH1" s="87" t="n"/>
      <c r="BTI1" s="87" t="n"/>
      <c r="BTJ1" s="87" t="n"/>
      <c r="BTK1" s="87" t="n"/>
      <c r="BTL1" s="87" t="n"/>
      <c r="BTM1" s="87" t="n"/>
      <c r="BTN1" s="87" t="n"/>
      <c r="BTO1" s="87" t="n"/>
      <c r="BTP1" s="87" t="n"/>
      <c r="BTQ1" s="87" t="n"/>
      <c r="BTR1" s="87" t="n"/>
      <c r="BTS1" s="87" t="n"/>
      <c r="BTT1" s="87" t="n"/>
      <c r="BTU1" s="87" t="n"/>
      <c r="BTV1" s="87" t="n"/>
      <c r="BTW1" s="87" t="n"/>
      <c r="BTX1" s="87" t="n"/>
      <c r="BTY1" s="87" t="n"/>
      <c r="BTZ1" s="87" t="n"/>
      <c r="BUA1" s="87" t="n"/>
      <c r="BUB1" s="87" t="n"/>
      <c r="BUC1" s="87" t="n"/>
      <c r="BUD1" s="87" t="n"/>
      <c r="BUE1" s="87" t="n"/>
      <c r="BUF1" s="87" t="n"/>
      <c r="BUG1" s="87" t="n"/>
      <c r="BUH1" s="87" t="n"/>
      <c r="BUI1" s="87" t="n"/>
      <c r="BUJ1" s="87" t="n"/>
      <c r="BUK1" s="87" t="n"/>
      <c r="BUL1" s="87" t="n"/>
      <c r="BUM1" s="87" t="n"/>
      <c r="BUN1" s="87" t="n"/>
      <c r="BUO1" s="87" t="n"/>
      <c r="BUP1" s="87" t="n"/>
      <c r="BUQ1" s="87" t="n"/>
      <c r="BUR1" s="87" t="n"/>
      <c r="BUS1" s="87" t="n"/>
      <c r="BUT1" s="87" t="n"/>
      <c r="BUU1" s="87" t="n"/>
      <c r="BUV1" s="87" t="n"/>
      <c r="BUW1" s="87" t="n"/>
      <c r="BUX1" s="87" t="n"/>
      <c r="BUY1" s="87" t="n"/>
      <c r="BUZ1" s="87" t="n"/>
      <c r="BVA1" s="87" t="n"/>
      <c r="BVB1" s="87" t="n"/>
      <c r="BVC1" s="87" t="n"/>
      <c r="BVD1" s="87" t="n"/>
      <c r="BVE1" s="87" t="n"/>
      <c r="BVF1" s="87" t="n"/>
      <c r="BVG1" s="87" t="n"/>
      <c r="BVH1" s="87" t="n"/>
      <c r="BVI1" s="87" t="n"/>
      <c r="BVJ1" s="87" t="n"/>
      <c r="BVK1" s="87" t="n"/>
      <c r="BVL1" s="87" t="n"/>
      <c r="BVM1" s="87" t="n"/>
      <c r="BVN1" s="87" t="n"/>
      <c r="BVO1" s="87" t="n"/>
      <c r="BVP1" s="87" t="n"/>
      <c r="BVQ1" s="87" t="n"/>
      <c r="BVR1" s="87" t="n"/>
      <c r="BVS1" s="87" t="n"/>
      <c r="BVT1" s="87" t="n"/>
      <c r="BVU1" s="87" t="n"/>
      <c r="BVV1" s="87" t="n"/>
      <c r="BVW1" s="87" t="n"/>
      <c r="BVX1" s="87" t="n"/>
      <c r="BVY1" s="87" t="n"/>
      <c r="BVZ1" s="87" t="n"/>
      <c r="BWA1" s="87" t="n"/>
      <c r="BWB1" s="87" t="n"/>
      <c r="BWC1" s="87" t="n"/>
      <c r="BWD1" s="87" t="n"/>
      <c r="BWE1" s="87" t="n"/>
      <c r="BWF1" s="87" t="n"/>
      <c r="BWG1" s="87" t="n"/>
      <c r="BWH1" s="87" t="n"/>
      <c r="BWI1" s="87" t="n"/>
      <c r="BWJ1" s="87" t="n"/>
      <c r="BWK1" s="87" t="n"/>
      <c r="BWL1" s="87" t="n"/>
      <c r="BWM1" s="87" t="n"/>
      <c r="BWN1" s="87" t="n"/>
      <c r="BWO1" s="87" t="n"/>
      <c r="BWP1" s="87" t="n"/>
      <c r="BWQ1" s="87" t="n"/>
      <c r="BWR1" s="87" t="n"/>
      <c r="BWS1" s="87" t="n"/>
      <c r="BWT1" s="87" t="n"/>
      <c r="BWU1" s="87" t="n"/>
      <c r="BWV1" s="87" t="n"/>
      <c r="BWW1" s="87" t="n"/>
      <c r="BWX1" s="87" t="n"/>
      <c r="BWY1" s="87" t="n"/>
      <c r="BWZ1" s="87" t="n"/>
      <c r="BXA1" s="87" t="n"/>
      <c r="BXB1" s="87" t="n"/>
      <c r="BXC1" s="87" t="n"/>
      <c r="BXD1" s="87" t="n"/>
      <c r="BXE1" s="87" t="n"/>
      <c r="BXF1" s="87" t="n"/>
      <c r="BXG1" s="87" t="n"/>
      <c r="BXH1" s="87" t="n"/>
      <c r="BXI1" s="87" t="n"/>
      <c r="BXJ1" s="87" t="n"/>
      <c r="BXK1" s="87" t="n"/>
      <c r="BXL1" s="87" t="n"/>
      <c r="BXM1" s="87" t="n"/>
      <c r="BXN1" s="87" t="n"/>
      <c r="BXO1" s="87" t="n"/>
      <c r="BXP1" s="87" t="n"/>
      <c r="BXQ1" s="87" t="n"/>
      <c r="BXR1" s="87" t="n"/>
      <c r="BXS1" s="87" t="n"/>
      <c r="BXT1" s="87" t="n"/>
      <c r="BXU1" s="87" t="n"/>
      <c r="BXV1" s="87" t="n"/>
      <c r="BXW1" s="87" t="n"/>
      <c r="BXX1" s="87" t="n"/>
      <c r="BXY1" s="87" t="n"/>
      <c r="BXZ1" s="87" t="n"/>
      <c r="BYA1" s="87" t="n"/>
      <c r="BYB1" s="87" t="n"/>
      <c r="BYC1" s="87" t="n"/>
      <c r="BYD1" s="87" t="n"/>
      <c r="BYE1" s="87" t="n"/>
      <c r="BYF1" s="87" t="n"/>
      <c r="BYG1" s="87" t="n"/>
      <c r="BYH1" s="87" t="n"/>
      <c r="BYI1" s="87" t="n"/>
      <c r="BYJ1" s="87" t="n"/>
      <c r="BYK1" s="87" t="n"/>
      <c r="BYL1" s="87" t="n"/>
      <c r="BYM1" s="87" t="n"/>
      <c r="BYN1" s="87" t="n"/>
      <c r="BYO1" s="87" t="n"/>
      <c r="BYP1" s="87" t="n"/>
      <c r="BYQ1" s="87" t="n"/>
      <c r="BYR1" s="87" t="n"/>
      <c r="BYS1" s="87" t="n"/>
      <c r="BYT1" s="87" t="n"/>
      <c r="BYU1" s="87" t="n"/>
      <c r="BYV1" s="87" t="n"/>
      <c r="BYW1" s="87" t="n"/>
      <c r="BYX1" s="87" t="n"/>
      <c r="BYY1" s="87" t="n"/>
      <c r="BYZ1" s="87" t="n"/>
      <c r="BZA1" s="87" t="n"/>
      <c r="BZB1" s="87" t="n"/>
      <c r="BZC1" s="87" t="n"/>
      <c r="BZD1" s="87" t="n"/>
      <c r="BZE1" s="87" t="n"/>
      <c r="BZF1" s="87" t="n"/>
      <c r="BZG1" s="87" t="n"/>
      <c r="BZH1" s="87" t="n"/>
      <c r="BZI1" s="87" t="n"/>
      <c r="BZJ1" s="87" t="n"/>
      <c r="BZK1" s="87" t="n"/>
      <c r="BZL1" s="87" t="n"/>
      <c r="BZM1" s="87" t="n"/>
      <c r="BZN1" s="87" t="n"/>
      <c r="BZO1" s="87" t="n"/>
      <c r="BZP1" s="87" t="n"/>
      <c r="BZQ1" s="87" t="n"/>
      <c r="BZR1" s="87" t="n"/>
      <c r="BZS1" s="87" t="n"/>
      <c r="BZT1" s="87" t="n"/>
      <c r="BZU1" s="87" t="n"/>
      <c r="BZV1" s="87" t="n"/>
      <c r="BZW1" s="87" t="n"/>
      <c r="BZX1" s="87" t="n"/>
      <c r="BZY1" s="87" t="n"/>
      <c r="BZZ1" s="87" t="n"/>
      <c r="CAA1" s="87" t="n"/>
      <c r="CAB1" s="87" t="n"/>
      <c r="CAC1" s="87" t="n"/>
      <c r="CAD1" s="87" t="n"/>
      <c r="CAE1" s="87" t="n"/>
      <c r="CAF1" s="87" t="n"/>
      <c r="CAG1" s="87" t="n"/>
      <c r="CAH1" s="87" t="n"/>
      <c r="CAI1" s="87" t="n"/>
      <c r="CAJ1" s="87" t="n"/>
      <c r="CAK1" s="87" t="n"/>
      <c r="CAL1" s="87" t="n"/>
      <c r="CAM1" s="87" t="n"/>
      <c r="CAN1" s="87" t="n"/>
      <c r="CAO1" s="87" t="n"/>
      <c r="CAP1" s="87" t="n"/>
      <c r="CAQ1" s="87" t="n"/>
      <c r="CAR1" s="87" t="n"/>
      <c r="CAS1" s="87" t="n"/>
      <c r="CAT1" s="87" t="n"/>
      <c r="CAU1" s="87" t="n"/>
      <c r="CAV1" s="87" t="n"/>
      <c r="CAW1" s="87" t="n"/>
      <c r="CAX1" s="87" t="n"/>
      <c r="CAY1" s="87" t="n"/>
      <c r="CAZ1" s="87" t="n"/>
      <c r="CBA1" s="87" t="n"/>
      <c r="CBB1" s="87" t="n"/>
      <c r="CBC1" s="87" t="n"/>
      <c r="CBD1" s="87" t="n"/>
      <c r="CBE1" s="87" t="n"/>
      <c r="CBF1" s="87" t="n"/>
      <c r="CBG1" s="87" t="n"/>
      <c r="CBH1" s="87" t="n"/>
      <c r="CBI1" s="87" t="n"/>
      <c r="CBJ1" s="87" t="n"/>
      <c r="CBK1" s="87" t="n"/>
      <c r="CBL1" s="87" t="n"/>
      <c r="CBM1" s="87" t="n"/>
      <c r="CBN1" s="87" t="n"/>
      <c r="CBO1" s="87" t="n"/>
      <c r="CBP1" s="87" t="n"/>
      <c r="CBQ1" s="87" t="n"/>
      <c r="CBR1" s="87" t="n"/>
      <c r="CBS1" s="87" t="n"/>
      <c r="CBT1" s="87" t="n"/>
      <c r="CBU1" s="87" t="n"/>
      <c r="CBV1" s="87" t="n"/>
      <c r="CBW1" s="87" t="n"/>
      <c r="CBX1" s="87" t="n"/>
      <c r="CBY1" s="87" t="n"/>
      <c r="CBZ1" s="87" t="n"/>
      <c r="CCA1" s="87" t="n"/>
      <c r="CCB1" s="87" t="n"/>
      <c r="CCC1" s="87" t="n"/>
      <c r="CCD1" s="87" t="n"/>
      <c r="CCE1" s="87" t="n"/>
      <c r="CCF1" s="87" t="n"/>
      <c r="CCG1" s="87" t="n"/>
      <c r="CCH1" s="87" t="n"/>
      <c r="CCI1" s="87" t="n"/>
      <c r="CCJ1" s="87" t="n"/>
      <c r="CCK1" s="87" t="n"/>
      <c r="CCL1" s="87" t="n"/>
      <c r="CCM1" s="87" t="n"/>
      <c r="CCN1" s="87" t="n"/>
      <c r="CCO1" s="87" t="n"/>
      <c r="CCP1" s="87" t="n"/>
      <c r="CCQ1" s="87" t="n"/>
      <c r="CCR1" s="87" t="n"/>
      <c r="CCS1" s="87" t="n"/>
      <c r="CCT1" s="87" t="n"/>
      <c r="CCU1" s="87" t="n"/>
      <c r="CCV1" s="87" t="n"/>
      <c r="CCW1" s="87" t="n"/>
      <c r="CCX1" s="87" t="n"/>
      <c r="CCY1" s="87" t="n"/>
      <c r="CCZ1" s="87" t="n"/>
      <c r="CDA1" s="87" t="n"/>
      <c r="CDB1" s="87" t="n"/>
      <c r="CDC1" s="87" t="n"/>
      <c r="CDD1" s="87" t="n"/>
      <c r="CDE1" s="87" t="n"/>
      <c r="CDF1" s="87" t="n"/>
      <c r="CDG1" s="87" t="n"/>
      <c r="CDH1" s="87" t="n"/>
      <c r="CDI1" s="87" t="n"/>
      <c r="CDJ1" s="87" t="n"/>
      <c r="CDK1" s="87" t="n"/>
      <c r="CDL1" s="87" t="n"/>
      <c r="CDM1" s="87" t="n"/>
      <c r="CDN1" s="87" t="n"/>
      <c r="CDO1" s="87" t="n"/>
      <c r="CDP1" s="87" t="n"/>
      <c r="CDQ1" s="87" t="n"/>
      <c r="CDR1" s="87" t="n"/>
      <c r="CDS1" s="87" t="n"/>
      <c r="CDT1" s="87" t="n"/>
      <c r="CDU1" s="87" t="n"/>
      <c r="CDV1" s="87" t="n"/>
      <c r="CDW1" s="87" t="n"/>
      <c r="CDX1" s="87" t="n"/>
      <c r="CDY1" s="87" t="n"/>
      <c r="CDZ1" s="87" t="n"/>
      <c r="CEA1" s="87" t="n"/>
      <c r="CEB1" s="87" t="n"/>
      <c r="CEC1" s="87" t="n"/>
      <c r="CED1" s="87" t="n"/>
      <c r="CEE1" s="87" t="n"/>
      <c r="CEF1" s="87" t="n"/>
      <c r="CEG1" s="87" t="n"/>
      <c r="CEH1" s="87" t="n"/>
      <c r="CEI1" s="87" t="n"/>
      <c r="CEJ1" s="87" t="n"/>
      <c r="CEK1" s="87" t="n"/>
      <c r="CEL1" s="87" t="n"/>
      <c r="CEM1" s="87" t="n"/>
      <c r="CEN1" s="87" t="n"/>
      <c r="CEO1" s="87" t="n"/>
      <c r="CEP1" s="87" t="n"/>
      <c r="CEQ1" s="87" t="n"/>
      <c r="CER1" s="87" t="n"/>
      <c r="CES1" s="87" t="n"/>
      <c r="CET1" s="87" t="n"/>
      <c r="CEU1" s="87" t="n"/>
      <c r="CEV1" s="87" t="n"/>
      <c r="CEW1" s="87" t="n"/>
      <c r="CEX1" s="87" t="n"/>
      <c r="CEY1" s="87" t="n"/>
      <c r="CEZ1" s="87" t="n"/>
      <c r="CFA1" s="87" t="n"/>
      <c r="CFB1" s="87" t="n"/>
      <c r="CFC1" s="87" t="n"/>
      <c r="CFD1" s="87" t="n"/>
      <c r="CFE1" s="87" t="n"/>
      <c r="CFF1" s="87" t="n"/>
      <c r="CFG1" s="87" t="n"/>
      <c r="CFH1" s="87" t="n"/>
      <c r="CFI1" s="87" t="n"/>
      <c r="CFJ1" s="87" t="n"/>
      <c r="CFK1" s="87" t="n"/>
      <c r="CFL1" s="87" t="n"/>
      <c r="CFM1" s="87" t="n"/>
      <c r="CFN1" s="87" t="n"/>
      <c r="CFO1" s="87" t="n"/>
      <c r="CFP1" s="87" t="n"/>
      <c r="CFQ1" s="87" t="n"/>
      <c r="CFR1" s="87" t="n"/>
      <c r="CFS1" s="87" t="n"/>
      <c r="CFT1" s="87" t="n"/>
      <c r="CFU1" s="87" t="n"/>
      <c r="CFV1" s="87" t="n"/>
      <c r="CFW1" s="87" t="n"/>
      <c r="CFX1" s="87" t="n"/>
      <c r="CFY1" s="87" t="n"/>
      <c r="CFZ1" s="87" t="n"/>
      <c r="CGA1" s="87" t="n"/>
      <c r="CGB1" s="87" t="n"/>
      <c r="CGC1" s="87" t="n"/>
      <c r="CGD1" s="87" t="n"/>
      <c r="CGE1" s="87" t="n"/>
      <c r="CGF1" s="87" t="n"/>
      <c r="CGG1" s="87" t="n"/>
      <c r="CGH1" s="87" t="n"/>
      <c r="CGI1" s="87" t="n"/>
      <c r="CGJ1" s="87" t="n"/>
      <c r="CGK1" s="87" t="n"/>
      <c r="CGL1" s="87" t="n"/>
      <c r="CGM1" s="87" t="n"/>
      <c r="CGN1" s="87" t="n"/>
      <c r="CGO1" s="87" t="n"/>
      <c r="CGP1" s="87" t="n"/>
      <c r="CGQ1" s="87" t="n"/>
      <c r="CGR1" s="87" t="n"/>
      <c r="CGS1" s="87" t="n"/>
      <c r="CGT1" s="87" t="n"/>
      <c r="CGU1" s="87" t="n"/>
      <c r="CGV1" s="87" t="n"/>
      <c r="CGW1" s="87" t="n"/>
      <c r="CGX1" s="87" t="n"/>
      <c r="CGY1" s="87" t="n"/>
      <c r="CGZ1" s="87" t="n"/>
      <c r="CHA1" s="87" t="n"/>
      <c r="CHB1" s="87" t="n"/>
      <c r="CHC1" s="87" t="n"/>
      <c r="CHD1" s="87" t="n"/>
      <c r="CHE1" s="87" t="n"/>
      <c r="CHF1" s="87" t="n"/>
      <c r="CHG1" s="87" t="n"/>
      <c r="CHH1" s="87" t="n"/>
      <c r="CHI1" s="87" t="n"/>
      <c r="CHJ1" s="87" t="n"/>
      <c r="CHK1" s="87" t="n"/>
      <c r="CHL1" s="87" t="n"/>
      <c r="CHM1" s="87" t="n"/>
      <c r="CHN1" s="87" t="n"/>
      <c r="CHO1" s="87" t="n"/>
      <c r="CHP1" s="87" t="n"/>
      <c r="CHQ1" s="87" t="n"/>
      <c r="CHR1" s="87" t="n"/>
      <c r="CHS1" s="87" t="n"/>
      <c r="CHT1" s="87" t="n"/>
      <c r="CHU1" s="87" t="n"/>
      <c r="CHV1" s="87" t="n"/>
      <c r="CHW1" s="87" t="n"/>
      <c r="CHX1" s="87" t="n"/>
      <c r="CHY1" s="87" t="n"/>
      <c r="CHZ1" s="87" t="n"/>
      <c r="CIA1" s="87" t="n"/>
      <c r="CIB1" s="87" t="n"/>
      <c r="CIC1" s="87" t="n"/>
      <c r="CID1" s="87" t="n"/>
      <c r="CIE1" s="87" t="n"/>
      <c r="CIF1" s="87" t="n"/>
      <c r="CIG1" s="87" t="n"/>
      <c r="CIH1" s="87" t="n"/>
      <c r="CII1" s="87" t="n"/>
      <c r="CIJ1" s="87" t="n"/>
      <c r="CIK1" s="87" t="n"/>
      <c r="CIL1" s="87" t="n"/>
      <c r="CIM1" s="87" t="n"/>
      <c r="CIN1" s="87" t="n"/>
      <c r="CIO1" s="87" t="n"/>
      <c r="CIP1" s="87" t="n"/>
      <c r="CIQ1" s="87" t="n"/>
      <c r="CIR1" s="87" t="n"/>
      <c r="CIS1" s="87" t="n"/>
      <c r="CIT1" s="87" t="n"/>
      <c r="CIU1" s="87" t="n"/>
      <c r="CIV1" s="87" t="n"/>
      <c r="CIW1" s="87" t="n"/>
      <c r="CIX1" s="87" t="n"/>
      <c r="CIY1" s="87" t="n"/>
      <c r="CIZ1" s="87" t="n"/>
      <c r="CJA1" s="87" t="n"/>
      <c r="CJB1" s="87" t="n"/>
      <c r="CJC1" s="87" t="n"/>
      <c r="CJD1" s="87" t="n"/>
      <c r="CJE1" s="87" t="n"/>
      <c r="CJF1" s="87" t="n"/>
      <c r="CJG1" s="87" t="n"/>
      <c r="CJH1" s="87" t="n"/>
      <c r="CJI1" s="87" t="n"/>
      <c r="CJJ1" s="87" t="n"/>
      <c r="CJK1" s="87" t="n"/>
      <c r="CJL1" s="87" t="n"/>
      <c r="CJM1" s="87" t="n"/>
      <c r="CJN1" s="87" t="n"/>
      <c r="CJO1" s="87" t="n"/>
      <c r="CJP1" s="87" t="n"/>
      <c r="CJQ1" s="87" t="n"/>
      <c r="CJR1" s="87" t="n"/>
      <c r="CJS1" s="87" t="n"/>
      <c r="CJT1" s="87" t="n"/>
      <c r="CJU1" s="87" t="n"/>
      <c r="CJV1" s="87" t="n"/>
      <c r="CJW1" s="87" t="n"/>
      <c r="CJX1" s="87" t="n"/>
      <c r="CJY1" s="87" t="n"/>
      <c r="CJZ1" s="87" t="n"/>
      <c r="CKA1" s="87" t="n"/>
      <c r="CKB1" s="87" t="n"/>
      <c r="CKC1" s="87" t="n"/>
      <c r="CKD1" s="87" t="n"/>
      <c r="CKE1" s="87" t="n"/>
      <c r="CKF1" s="87" t="n"/>
      <c r="CKG1" s="87" t="n"/>
      <c r="CKH1" s="87" t="n"/>
      <c r="CKI1" s="87" t="n"/>
      <c r="CKJ1" s="87" t="n"/>
      <c r="CKK1" s="87" t="n"/>
      <c r="CKL1" s="87" t="n"/>
      <c r="CKM1" s="87" t="n"/>
      <c r="CKN1" s="87" t="n"/>
      <c r="CKO1" s="87" t="n"/>
      <c r="CKP1" s="87" t="n"/>
      <c r="CKQ1" s="87" t="n"/>
      <c r="CKR1" s="87" t="n"/>
      <c r="CKS1" s="87" t="n"/>
      <c r="CKT1" s="87" t="n"/>
      <c r="CKU1" s="87" t="n"/>
      <c r="CKV1" s="87" t="n"/>
      <c r="CKW1" s="87" t="n"/>
      <c r="CKX1" s="87" t="n"/>
      <c r="CKY1" s="87" t="n"/>
      <c r="CKZ1" s="87" t="n"/>
      <c r="CLA1" s="87" t="n"/>
      <c r="CLB1" s="87" t="n"/>
      <c r="CLC1" s="87" t="n"/>
      <c r="CLD1" s="87" t="n"/>
      <c r="CLE1" s="87" t="n"/>
      <c r="CLF1" s="87" t="n"/>
      <c r="CLG1" s="87" t="n"/>
      <c r="CLH1" s="87" t="n"/>
      <c r="CLI1" s="87" t="n"/>
      <c r="CLJ1" s="87" t="n"/>
      <c r="CLK1" s="87" t="n"/>
      <c r="CLL1" s="87" t="n"/>
      <c r="CLM1" s="87" t="n"/>
      <c r="CLN1" s="87" t="n"/>
      <c r="CLO1" s="87" t="n"/>
      <c r="CLP1" s="87" t="n"/>
      <c r="CLQ1" s="87" t="n"/>
      <c r="CLR1" s="87" t="n"/>
      <c r="CLS1" s="87" t="n"/>
      <c r="CLT1" s="87" t="n"/>
      <c r="CLU1" s="87" t="n"/>
      <c r="CLV1" s="87" t="n"/>
      <c r="CLW1" s="87" t="n"/>
      <c r="CLX1" s="87" t="n"/>
      <c r="CLY1" s="87" t="n"/>
      <c r="CLZ1" s="87" t="n"/>
      <c r="CMA1" s="87" t="n"/>
      <c r="CMB1" s="87" t="n"/>
      <c r="CMC1" s="87" t="n"/>
      <c r="CMD1" s="87" t="n"/>
      <c r="CME1" s="87" t="n"/>
      <c r="CMF1" s="87" t="n"/>
      <c r="CMG1" s="87" t="n"/>
      <c r="CMH1" s="87" t="n"/>
      <c r="CMI1" s="87" t="n"/>
      <c r="CMJ1" s="87" t="n"/>
      <c r="CMK1" s="87" t="n"/>
      <c r="CML1" s="87" t="n"/>
      <c r="CMM1" s="87" t="n"/>
      <c r="CMN1" s="87" t="n"/>
      <c r="CMO1" s="87" t="n"/>
      <c r="CMP1" s="87" t="n"/>
      <c r="CMQ1" s="87" t="n"/>
      <c r="CMR1" s="87" t="n"/>
      <c r="CMS1" s="87" t="n"/>
      <c r="CMT1" s="87" t="n"/>
      <c r="CMU1" s="87" t="n"/>
      <c r="CMV1" s="87" t="n"/>
      <c r="CMW1" s="87" t="n"/>
      <c r="CMX1" s="87" t="n"/>
      <c r="CMY1" s="87" t="n"/>
      <c r="CMZ1" s="87" t="n"/>
      <c r="CNA1" s="87" t="n"/>
      <c r="CNB1" s="87" t="n"/>
      <c r="CNC1" s="87" t="n"/>
      <c r="CND1" s="87" t="n"/>
      <c r="CNE1" s="87" t="n"/>
      <c r="CNF1" s="87" t="n"/>
      <c r="CNG1" s="87" t="n"/>
      <c r="CNH1" s="87" t="n"/>
      <c r="CNI1" s="87" t="n"/>
      <c r="CNJ1" s="87" t="n"/>
      <c r="CNK1" s="87" t="n"/>
      <c r="CNL1" s="87" t="n"/>
      <c r="CNM1" s="87" t="n"/>
      <c r="CNN1" s="87" t="n"/>
      <c r="CNO1" s="87" t="n"/>
      <c r="CNP1" s="87" t="n"/>
      <c r="CNQ1" s="87" t="n"/>
      <c r="CNR1" s="87" t="n"/>
      <c r="CNS1" s="87" t="n"/>
      <c r="CNT1" s="87" t="n"/>
      <c r="CNU1" s="87" t="n"/>
      <c r="CNV1" s="87" t="n"/>
      <c r="CNW1" s="87" t="n"/>
      <c r="CNX1" s="87" t="n"/>
      <c r="CNY1" s="87" t="n"/>
      <c r="CNZ1" s="87" t="n"/>
      <c r="COA1" s="87" t="n"/>
      <c r="COB1" s="87" t="n"/>
      <c r="COC1" s="87" t="n"/>
      <c r="COD1" s="87" t="n"/>
      <c r="COE1" s="87" t="n"/>
      <c r="COF1" s="87" t="n"/>
      <c r="COG1" s="87" t="n"/>
      <c r="COH1" s="87" t="n"/>
      <c r="COI1" s="87" t="n"/>
      <c r="COJ1" s="87" t="n"/>
      <c r="COK1" s="87" t="n"/>
      <c r="COL1" s="87" t="n"/>
      <c r="COM1" s="87" t="n"/>
      <c r="CON1" s="87" t="n"/>
      <c r="COO1" s="87" t="n"/>
      <c r="COP1" s="87" t="n"/>
      <c r="COQ1" s="87" t="n"/>
      <c r="COR1" s="87" t="n"/>
      <c r="COS1" s="87" t="n"/>
      <c r="COT1" s="87" t="n"/>
      <c r="COU1" s="87" t="n"/>
      <c r="COV1" s="87" t="n"/>
      <c r="COW1" s="87" t="n"/>
      <c r="COX1" s="87" t="n"/>
      <c r="COY1" s="87" t="n"/>
      <c r="COZ1" s="87" t="n"/>
      <c r="CPA1" s="87" t="n"/>
      <c r="CPB1" s="87" t="n"/>
      <c r="CPC1" s="87" t="n"/>
      <c r="CPD1" s="87" t="n"/>
      <c r="CPE1" s="87" t="n"/>
      <c r="CPF1" s="87" t="n"/>
      <c r="CPG1" s="87" t="n"/>
      <c r="CPH1" s="87" t="n"/>
      <c r="CPI1" s="87" t="n"/>
      <c r="CPJ1" s="87" t="n"/>
      <c r="CPK1" s="87" t="n"/>
      <c r="CPL1" s="87" t="n"/>
      <c r="CPM1" s="87" t="n"/>
      <c r="CPN1" s="87" t="n"/>
      <c r="CPO1" s="87" t="n"/>
      <c r="CPP1" s="87" t="n"/>
      <c r="CPQ1" s="87" t="n"/>
      <c r="CPR1" s="87" t="n"/>
      <c r="CPS1" s="87" t="n"/>
      <c r="CPT1" s="87" t="n"/>
      <c r="CPU1" s="87" t="n"/>
      <c r="CPV1" s="87" t="n"/>
      <c r="CPW1" s="87" t="n"/>
      <c r="CPX1" s="87" t="n"/>
      <c r="CPY1" s="87" t="n"/>
      <c r="CPZ1" s="87" t="n"/>
      <c r="CQA1" s="87" t="n"/>
      <c r="CQB1" s="87" t="n"/>
      <c r="CQC1" s="87" t="n"/>
      <c r="CQD1" s="87" t="n"/>
      <c r="CQE1" s="87" t="n"/>
      <c r="CQF1" s="87" t="n"/>
      <c r="CQG1" s="87" t="n"/>
      <c r="CQH1" s="87" t="n"/>
      <c r="CQI1" s="87" t="n"/>
      <c r="CQJ1" s="87" t="n"/>
      <c r="CQK1" s="87" t="n"/>
      <c r="CQL1" s="87" t="n"/>
      <c r="CQM1" s="87" t="n"/>
      <c r="CQN1" s="87" t="n"/>
      <c r="CQO1" s="87" t="n"/>
      <c r="CQP1" s="87" t="n"/>
      <c r="CQQ1" s="87" t="n"/>
      <c r="CQR1" s="87" t="n"/>
      <c r="CQS1" s="87" t="n"/>
      <c r="CQT1" s="87" t="n"/>
      <c r="CQU1" s="87" t="n"/>
      <c r="CQV1" s="87" t="n"/>
      <c r="CQW1" s="87" t="n"/>
      <c r="CQX1" s="87" t="n"/>
      <c r="CQY1" s="87" t="n"/>
      <c r="CQZ1" s="87" t="n"/>
      <c r="CRA1" s="87" t="n"/>
      <c r="CRB1" s="87" t="n"/>
      <c r="CRC1" s="87" t="n"/>
      <c r="CRD1" s="87" t="n"/>
      <c r="CRE1" s="87" t="n"/>
      <c r="CRF1" s="87" t="n"/>
      <c r="CRG1" s="87" t="n"/>
      <c r="CRH1" s="87" t="n"/>
      <c r="CRI1" s="87" t="n"/>
      <c r="CRJ1" s="87" t="n"/>
      <c r="CRK1" s="87" t="n"/>
      <c r="CRL1" s="87" t="n"/>
      <c r="CRM1" s="87" t="n"/>
      <c r="CRN1" s="87" t="n"/>
      <c r="CRO1" s="87" t="n"/>
      <c r="CRP1" s="87" t="n"/>
      <c r="CRQ1" s="87" t="n"/>
      <c r="CRR1" s="87" t="n"/>
      <c r="CRS1" s="87" t="n"/>
      <c r="CRT1" s="87" t="n"/>
      <c r="CRU1" s="87" t="n"/>
      <c r="CRV1" s="87" t="n"/>
      <c r="CRW1" s="87" t="n"/>
      <c r="CRX1" s="87" t="n"/>
      <c r="CRY1" s="87" t="n"/>
      <c r="CRZ1" s="87" t="n"/>
      <c r="CSA1" s="87" t="n"/>
      <c r="CSB1" s="87" t="n"/>
      <c r="CSC1" s="87" t="n"/>
      <c r="CSD1" s="87" t="n"/>
      <c r="CSE1" s="87" t="n"/>
      <c r="CSF1" s="87" t="n"/>
      <c r="CSG1" s="87" t="n"/>
      <c r="CSH1" s="87" t="n"/>
      <c r="CSI1" s="87" t="n"/>
      <c r="CSJ1" s="87" t="n"/>
      <c r="CSK1" s="87" t="n"/>
      <c r="CSL1" s="87" t="n"/>
      <c r="CSM1" s="87" t="n"/>
      <c r="CSN1" s="87" t="n"/>
      <c r="CSO1" s="87" t="n"/>
      <c r="CSP1" s="87" t="n"/>
      <c r="CSQ1" s="87" t="n"/>
      <c r="CSR1" s="87" t="n"/>
      <c r="CSS1" s="87" t="n"/>
      <c r="CST1" s="87" t="n"/>
      <c r="CSU1" s="87" t="n"/>
      <c r="CSV1" s="87" t="n"/>
      <c r="CSW1" s="87" t="n"/>
      <c r="CSX1" s="87" t="n"/>
      <c r="CSY1" s="87" t="n"/>
      <c r="CSZ1" s="87" t="n"/>
      <c r="CTA1" s="87" t="n"/>
      <c r="CTB1" s="87" t="n"/>
      <c r="CTC1" s="87" t="n"/>
      <c r="CTD1" s="87" t="n"/>
      <c r="CTE1" s="87" t="n"/>
      <c r="CTF1" s="87" t="n"/>
      <c r="CTG1" s="87" t="n"/>
      <c r="CTH1" s="87" t="n"/>
      <c r="CTI1" s="87" t="n"/>
      <c r="CTJ1" s="87" t="n"/>
      <c r="CTK1" s="87" t="n"/>
      <c r="CTL1" s="87" t="n"/>
      <c r="CTM1" s="87" t="n"/>
      <c r="CTN1" s="87" t="n"/>
      <c r="CTO1" s="87" t="n"/>
      <c r="CTP1" s="87" t="n"/>
      <c r="CTQ1" s="87" t="n"/>
      <c r="CTR1" s="87" t="n"/>
      <c r="CTS1" s="87" t="n"/>
      <c r="CTT1" s="87" t="n"/>
      <c r="CTU1" s="87" t="n"/>
      <c r="CTV1" s="87" t="n"/>
      <c r="CTW1" s="87" t="n"/>
      <c r="CTX1" s="87" t="n"/>
      <c r="CTY1" s="87" t="n"/>
      <c r="CTZ1" s="87" t="n"/>
      <c r="CUA1" s="87" t="n"/>
      <c r="CUB1" s="87" t="n"/>
      <c r="CUC1" s="87" t="n"/>
      <c r="CUD1" s="87" t="n"/>
      <c r="CUE1" s="87" t="n"/>
      <c r="CUF1" s="87" t="n"/>
      <c r="CUG1" s="87" t="n"/>
      <c r="CUH1" s="87" t="n"/>
      <c r="CUI1" s="87" t="n"/>
      <c r="CUJ1" s="87" t="n"/>
      <c r="CUK1" s="87" t="n"/>
      <c r="CUL1" s="87" t="n"/>
      <c r="CUM1" s="87" t="n"/>
      <c r="CUN1" s="87" t="n"/>
      <c r="CUO1" s="87" t="n"/>
      <c r="CUP1" s="87" t="n"/>
      <c r="CUQ1" s="87" t="n"/>
      <c r="CUR1" s="87" t="n"/>
      <c r="CUS1" s="87" t="n"/>
      <c r="CUT1" s="87" t="n"/>
      <c r="CUU1" s="87" t="n"/>
      <c r="CUV1" s="87" t="n"/>
      <c r="CUW1" s="87" t="n"/>
      <c r="CUX1" s="87" t="n"/>
      <c r="CUY1" s="87" t="n"/>
      <c r="CUZ1" s="87" t="n"/>
      <c r="CVA1" s="87" t="n"/>
      <c r="CVB1" s="87" t="n"/>
      <c r="CVC1" s="87" t="n"/>
      <c r="CVD1" s="87" t="n"/>
      <c r="CVE1" s="87" t="n"/>
      <c r="CVF1" s="87" t="n"/>
      <c r="CVG1" s="87" t="n"/>
      <c r="CVH1" s="87" t="n"/>
      <c r="CVI1" s="87" t="n"/>
      <c r="CVJ1" s="87" t="n"/>
      <c r="CVK1" s="87" t="n"/>
      <c r="CVL1" s="87" t="n"/>
      <c r="CVM1" s="87" t="n"/>
      <c r="CVN1" s="87" t="n"/>
      <c r="CVO1" s="87" t="n"/>
      <c r="CVP1" s="87" t="n"/>
      <c r="CVQ1" s="87" t="n"/>
      <c r="CVR1" s="87" t="n"/>
      <c r="CVS1" s="87" t="n"/>
      <c r="CVT1" s="87" t="n"/>
      <c r="CVU1" s="87" t="n"/>
      <c r="CVV1" s="87" t="n"/>
      <c r="CVW1" s="87" t="n"/>
      <c r="CVX1" s="87" t="n"/>
      <c r="CVY1" s="87" t="n"/>
      <c r="CVZ1" s="87" t="n"/>
      <c r="CWA1" s="87" t="n"/>
      <c r="CWB1" s="87" t="n"/>
      <c r="CWC1" s="87" t="n"/>
      <c r="CWD1" s="87" t="n"/>
      <c r="CWE1" s="87" t="n"/>
      <c r="CWF1" s="87" t="n"/>
      <c r="CWG1" s="87" t="n"/>
      <c r="CWH1" s="87" t="n"/>
      <c r="CWI1" s="87" t="n"/>
      <c r="CWJ1" s="87" t="n"/>
      <c r="CWK1" s="87" t="n"/>
      <c r="CWL1" s="87" t="n"/>
      <c r="CWM1" s="87" t="n"/>
      <c r="CWN1" s="87" t="n"/>
      <c r="CWO1" s="87" t="n"/>
      <c r="CWP1" s="87" t="n"/>
      <c r="CWQ1" s="87" t="n"/>
      <c r="CWR1" s="87" t="n"/>
      <c r="CWS1" s="87" t="n"/>
      <c r="CWT1" s="87" t="n"/>
      <c r="CWU1" s="87" t="n"/>
      <c r="CWV1" s="87" t="n"/>
      <c r="CWW1" s="87" t="n"/>
      <c r="CWX1" s="87" t="n"/>
      <c r="CWY1" s="87" t="n"/>
      <c r="CWZ1" s="87" t="n"/>
      <c r="CXA1" s="87" t="n"/>
      <c r="CXB1" s="87" t="n"/>
      <c r="CXC1" s="87" t="n"/>
      <c r="CXD1" s="87" t="n"/>
      <c r="CXE1" s="87" t="n"/>
      <c r="CXF1" s="87" t="n"/>
      <c r="CXG1" s="87" t="n"/>
      <c r="CXH1" s="87" t="n"/>
      <c r="CXI1" s="87" t="n"/>
      <c r="CXJ1" s="87" t="n"/>
      <c r="CXK1" s="87" t="n"/>
      <c r="CXL1" s="87" t="n"/>
      <c r="CXM1" s="87" t="n"/>
      <c r="CXN1" s="87" t="n"/>
      <c r="CXO1" s="87" t="n"/>
      <c r="CXP1" s="87" t="n"/>
      <c r="CXQ1" s="87" t="n"/>
      <c r="CXR1" s="87" t="n"/>
      <c r="CXS1" s="87" t="n"/>
      <c r="CXT1" s="87" t="n"/>
      <c r="CXU1" s="87" t="n"/>
      <c r="CXV1" s="87" t="n"/>
      <c r="CXW1" s="87" t="n"/>
      <c r="CXX1" s="87" t="n"/>
      <c r="CXY1" s="87" t="n"/>
      <c r="CXZ1" s="87" t="n"/>
      <c r="CYA1" s="87" t="n"/>
      <c r="CYB1" s="87" t="n"/>
      <c r="CYC1" s="87" t="n"/>
      <c r="CYD1" s="87" t="n"/>
      <c r="CYE1" s="87" t="n"/>
      <c r="CYF1" s="87" t="n"/>
      <c r="CYG1" s="87" t="n"/>
      <c r="CYH1" s="87" t="n"/>
      <c r="CYI1" s="87" t="n"/>
      <c r="CYJ1" s="87" t="n"/>
      <c r="CYK1" s="87" t="n"/>
      <c r="CYL1" s="87" t="n"/>
      <c r="CYM1" s="87" t="n"/>
      <c r="CYN1" s="87" t="n"/>
      <c r="CYO1" s="87" t="n"/>
      <c r="CYP1" s="87" t="n"/>
      <c r="CYQ1" s="87" t="n"/>
      <c r="CYR1" s="87" t="n"/>
      <c r="CYS1" s="87" t="n"/>
      <c r="CYT1" s="87" t="n"/>
      <c r="CYU1" s="87" t="n"/>
      <c r="CYV1" s="87" t="n"/>
      <c r="CYW1" s="87" t="n"/>
      <c r="CYX1" s="87" t="n"/>
      <c r="CYY1" s="87" t="n"/>
      <c r="CYZ1" s="87" t="n"/>
      <c r="CZA1" s="87" t="n"/>
      <c r="CZB1" s="87" t="n"/>
      <c r="CZC1" s="87" t="n"/>
      <c r="CZD1" s="87" t="n"/>
      <c r="CZE1" s="87" t="n"/>
      <c r="CZF1" s="87" t="n"/>
      <c r="CZG1" s="87" t="n"/>
      <c r="CZH1" s="87" t="n"/>
      <c r="CZI1" s="87" t="n"/>
      <c r="CZJ1" s="87" t="n"/>
      <c r="CZK1" s="87" t="n"/>
      <c r="CZL1" s="87" t="n"/>
      <c r="CZM1" s="87" t="n"/>
      <c r="CZN1" s="87" t="n"/>
      <c r="CZO1" s="87" t="n"/>
      <c r="CZP1" s="87" t="n"/>
      <c r="CZQ1" s="87" t="n"/>
      <c r="CZR1" s="87" t="n"/>
      <c r="CZS1" s="87" t="n"/>
      <c r="CZT1" s="87" t="n"/>
      <c r="CZU1" s="87" t="n"/>
      <c r="CZV1" s="87" t="n"/>
      <c r="CZW1" s="87" t="n"/>
      <c r="CZX1" s="87" t="n"/>
      <c r="CZY1" s="87" t="n"/>
      <c r="CZZ1" s="87" t="n"/>
      <c r="DAA1" s="87" t="n"/>
      <c r="DAB1" s="87" t="n"/>
      <c r="DAC1" s="87" t="n"/>
      <c r="DAD1" s="87" t="n"/>
      <c r="DAE1" s="87" t="n"/>
      <c r="DAF1" s="87" t="n"/>
      <c r="DAG1" s="87" t="n"/>
      <c r="DAH1" s="87" t="n"/>
      <c r="DAI1" s="87" t="n"/>
      <c r="DAJ1" s="87" t="n"/>
      <c r="DAK1" s="87" t="n"/>
      <c r="DAL1" s="87" t="n"/>
      <c r="DAM1" s="87" t="n"/>
      <c r="DAN1" s="87" t="n"/>
      <c r="DAO1" s="87" t="n"/>
      <c r="DAP1" s="87" t="n"/>
      <c r="DAQ1" s="87" t="n"/>
      <c r="DAR1" s="87" t="n"/>
      <c r="DAS1" s="87" t="n"/>
      <c r="DAT1" s="87" t="n"/>
      <c r="DAU1" s="87" t="n"/>
      <c r="DAV1" s="87" t="n"/>
      <c r="DAW1" s="87" t="n"/>
      <c r="DAX1" s="87" t="n"/>
      <c r="DAY1" s="87" t="n"/>
      <c r="DAZ1" s="87" t="n"/>
      <c r="DBA1" s="87" t="n"/>
      <c r="DBB1" s="87" t="n"/>
      <c r="DBC1" s="87" t="n"/>
      <c r="DBD1" s="87" t="n"/>
      <c r="DBE1" s="87" t="n"/>
      <c r="DBF1" s="87" t="n"/>
      <c r="DBG1" s="87" t="n"/>
      <c r="DBH1" s="87" t="n"/>
      <c r="DBI1" s="87" t="n"/>
      <c r="DBJ1" s="87" t="n"/>
      <c r="DBK1" s="87" t="n"/>
      <c r="DBL1" s="87" t="n"/>
      <c r="DBM1" s="87" t="n"/>
      <c r="DBN1" s="87" t="n"/>
      <c r="DBO1" s="87" t="n"/>
      <c r="DBP1" s="87" t="n"/>
      <c r="DBQ1" s="87" t="n"/>
      <c r="DBR1" s="87" t="n"/>
      <c r="DBS1" s="87" t="n"/>
      <c r="DBT1" s="87" t="n"/>
      <c r="DBU1" s="87" t="n"/>
      <c r="DBV1" s="87" t="n"/>
      <c r="DBW1" s="87" t="n"/>
      <c r="DBX1" s="87" t="n"/>
      <c r="DBY1" s="87" t="n"/>
      <c r="DBZ1" s="87" t="n"/>
      <c r="DCA1" s="87" t="n"/>
      <c r="DCB1" s="87" t="n"/>
      <c r="DCC1" s="87" t="n"/>
      <c r="DCD1" s="87" t="n"/>
      <c r="DCE1" s="87" t="n"/>
      <c r="DCF1" s="87" t="n"/>
      <c r="DCG1" s="87" t="n"/>
      <c r="DCH1" s="87" t="n"/>
      <c r="DCI1" s="87" t="n"/>
      <c r="DCJ1" s="87" t="n"/>
      <c r="DCK1" s="87" t="n"/>
      <c r="DCL1" s="87" t="n"/>
      <c r="DCM1" s="87" t="n"/>
      <c r="DCN1" s="87" t="n"/>
      <c r="DCO1" s="87" t="n"/>
      <c r="DCP1" s="87" t="n"/>
      <c r="DCQ1" s="87" t="n"/>
      <c r="DCR1" s="87" t="n"/>
      <c r="DCS1" s="87" t="n"/>
      <c r="DCT1" s="87" t="n"/>
      <c r="DCU1" s="87" t="n"/>
      <c r="DCV1" s="87" t="n"/>
      <c r="DCW1" s="87" t="n"/>
      <c r="DCX1" s="87" t="n"/>
      <c r="DCY1" s="87" t="n"/>
      <c r="DCZ1" s="87" t="n"/>
      <c r="DDA1" s="87" t="n"/>
      <c r="DDB1" s="87" t="n"/>
      <c r="DDC1" s="87" t="n"/>
      <c r="DDD1" s="87" t="n"/>
      <c r="DDE1" s="87" t="n"/>
      <c r="DDF1" s="87" t="n"/>
      <c r="DDG1" s="87" t="n"/>
      <c r="DDH1" s="87" t="n"/>
      <c r="DDI1" s="87" t="n"/>
      <c r="DDJ1" s="87" t="n"/>
      <c r="DDK1" s="87" t="n"/>
      <c r="DDL1" s="87" t="n"/>
      <c r="DDM1" s="87" t="n"/>
      <c r="DDN1" s="87" t="n"/>
      <c r="DDO1" s="87" t="n"/>
      <c r="DDP1" s="87" t="n"/>
      <c r="DDQ1" s="87" t="n"/>
      <c r="DDR1" s="87" t="n"/>
      <c r="DDS1" s="87" t="n"/>
      <c r="DDT1" s="87" t="n"/>
      <c r="DDU1" s="87" t="n"/>
      <c r="DDV1" s="87" t="n"/>
      <c r="DDW1" s="87" t="n"/>
      <c r="DDX1" s="87" t="n"/>
      <c r="DDY1" s="87" t="n"/>
      <c r="DDZ1" s="87" t="n"/>
      <c r="DEA1" s="87" t="n"/>
      <c r="DEB1" s="87" t="n"/>
      <c r="DEC1" s="87" t="n"/>
      <c r="DED1" s="87" t="n"/>
      <c r="DEE1" s="87" t="n"/>
      <c r="DEF1" s="87" t="n"/>
      <c r="DEG1" s="87" t="n"/>
      <c r="DEH1" s="87" t="n"/>
      <c r="DEI1" s="87" t="n"/>
      <c r="DEJ1" s="87" t="n"/>
      <c r="DEK1" s="87" t="n"/>
      <c r="DEL1" s="87" t="n"/>
      <c r="DEM1" s="87" t="n"/>
      <c r="DEN1" s="87" t="n"/>
      <c r="DEO1" s="87" t="n"/>
      <c r="DEP1" s="87" t="n"/>
      <c r="DEQ1" s="87" t="n"/>
      <c r="DER1" s="87" t="n"/>
      <c r="DES1" s="87" t="n"/>
      <c r="DET1" s="87" t="n"/>
      <c r="DEU1" s="87" t="n"/>
      <c r="DEV1" s="87" t="n"/>
      <c r="DEW1" s="87" t="n"/>
      <c r="DEX1" s="87" t="n"/>
      <c r="DEY1" s="87" t="n"/>
      <c r="DEZ1" s="87" t="n"/>
      <c r="DFA1" s="87" t="n"/>
      <c r="DFB1" s="87" t="n"/>
      <c r="DFC1" s="87" t="n"/>
      <c r="DFD1" s="87" t="n"/>
      <c r="DFE1" s="87" t="n"/>
      <c r="DFF1" s="87" t="n"/>
      <c r="DFG1" s="87" t="n"/>
      <c r="DFH1" s="87" t="n"/>
      <c r="DFI1" s="87" t="n"/>
      <c r="DFJ1" s="87" t="n"/>
      <c r="DFK1" s="87" t="n"/>
      <c r="DFL1" s="87" t="n"/>
      <c r="DFM1" s="87" t="n"/>
      <c r="DFN1" s="87" t="n"/>
      <c r="DFO1" s="87" t="n"/>
      <c r="DFP1" s="87" t="n"/>
      <c r="DFQ1" s="87" t="n"/>
      <c r="DFR1" s="87" t="n"/>
      <c r="DFS1" s="87" t="n"/>
      <c r="DFT1" s="87" t="n"/>
      <c r="DFU1" s="87" t="n"/>
      <c r="DFV1" s="87" t="n"/>
      <c r="DFW1" s="87" t="n"/>
      <c r="DFX1" s="87" t="n"/>
      <c r="DFY1" s="87" t="n"/>
      <c r="DFZ1" s="87" t="n"/>
      <c r="DGA1" s="87" t="n"/>
      <c r="DGB1" s="87" t="n"/>
      <c r="DGC1" s="87" t="n"/>
      <c r="DGD1" s="87" t="n"/>
      <c r="DGE1" s="87" t="n"/>
      <c r="DGF1" s="87" t="n"/>
      <c r="DGG1" s="87" t="n"/>
      <c r="DGH1" s="87" t="n"/>
      <c r="DGI1" s="87" t="n"/>
      <c r="DGJ1" s="87" t="n"/>
      <c r="DGK1" s="87" t="n"/>
      <c r="DGL1" s="87" t="n"/>
      <c r="DGM1" s="87" t="n"/>
      <c r="DGN1" s="87" t="n"/>
      <c r="DGO1" s="87" t="n"/>
      <c r="DGP1" s="87" t="n"/>
      <c r="DGQ1" s="87" t="n"/>
      <c r="DGR1" s="87" t="n"/>
      <c r="DGS1" s="87" t="n"/>
      <c r="DGT1" s="87" t="n"/>
      <c r="DGU1" s="87" t="n"/>
      <c r="DGV1" s="87" t="n"/>
      <c r="DGW1" s="87" t="n"/>
      <c r="DGX1" s="87" t="n"/>
      <c r="DGY1" s="87" t="n"/>
      <c r="DGZ1" s="87" t="n"/>
      <c r="DHA1" s="87" t="n"/>
      <c r="DHB1" s="87" t="n"/>
      <c r="DHC1" s="87" t="n"/>
      <c r="DHD1" s="87" t="n"/>
      <c r="DHE1" s="87" t="n"/>
      <c r="DHF1" s="87" t="n"/>
      <c r="DHG1" s="87" t="n"/>
      <c r="DHH1" s="87" t="n"/>
      <c r="DHI1" s="87" t="n"/>
      <c r="DHJ1" s="87" t="n"/>
      <c r="DHK1" s="87" t="n"/>
      <c r="DHL1" s="87" t="n"/>
      <c r="DHM1" s="87" t="n"/>
      <c r="DHN1" s="87" t="n"/>
      <c r="DHO1" s="87" t="n"/>
      <c r="DHP1" s="87" t="n"/>
      <c r="DHQ1" s="87" t="n"/>
      <c r="DHR1" s="87" t="n"/>
      <c r="DHS1" s="87" t="n"/>
      <c r="DHT1" s="87" t="n"/>
      <c r="DHU1" s="87" t="n"/>
      <c r="DHV1" s="87" t="n"/>
      <c r="DHW1" s="87" t="n"/>
      <c r="DHX1" s="87" t="n"/>
      <c r="DHY1" s="87" t="n"/>
      <c r="DHZ1" s="87" t="n"/>
      <c r="DIA1" s="87" t="n"/>
      <c r="DIB1" s="87" t="n"/>
      <c r="DIC1" s="87" t="n"/>
      <c r="DID1" s="87" t="n"/>
      <c r="DIE1" s="87" t="n"/>
      <c r="DIF1" s="87" t="n"/>
      <c r="DIG1" s="87" t="n"/>
      <c r="DIH1" s="87" t="n"/>
      <c r="DII1" s="87" t="n"/>
      <c r="DIJ1" s="87" t="n"/>
      <c r="DIK1" s="87" t="n"/>
      <c r="DIL1" s="87" t="n"/>
      <c r="DIM1" s="87" t="n"/>
      <c r="DIN1" s="87" t="n"/>
      <c r="DIO1" s="87" t="n"/>
      <c r="DIP1" s="87" t="n"/>
      <c r="DIQ1" s="87" t="n"/>
      <c r="DIR1" s="87" t="n"/>
      <c r="DIS1" s="87" t="n"/>
      <c r="DIT1" s="87" t="n"/>
      <c r="DIU1" s="87" t="n"/>
      <c r="DIV1" s="87" t="n"/>
      <c r="DIW1" s="87" t="n"/>
      <c r="DIX1" s="87" t="n"/>
      <c r="DIY1" s="87" t="n"/>
      <c r="DIZ1" s="87" t="n"/>
      <c r="DJA1" s="87" t="n"/>
      <c r="DJB1" s="87" t="n"/>
      <c r="DJC1" s="87" t="n"/>
      <c r="DJD1" s="87" t="n"/>
      <c r="DJE1" s="87" t="n"/>
      <c r="DJF1" s="87" t="n"/>
      <c r="DJG1" s="87" t="n"/>
      <c r="DJH1" s="87" t="n"/>
      <c r="DJI1" s="87" t="n"/>
      <c r="DJJ1" s="87" t="n"/>
      <c r="DJK1" s="87" t="n"/>
      <c r="DJL1" s="87" t="n"/>
      <c r="DJM1" s="87" t="n"/>
      <c r="DJN1" s="87" t="n"/>
      <c r="DJO1" s="87" t="n"/>
      <c r="DJP1" s="87" t="n"/>
      <c r="DJQ1" s="87" t="n"/>
      <c r="DJR1" s="87" t="n"/>
      <c r="DJS1" s="87" t="n"/>
      <c r="DJT1" s="87" t="n"/>
      <c r="DJU1" s="87" t="n"/>
      <c r="DJV1" s="87" t="n"/>
      <c r="DJW1" s="87" t="n"/>
      <c r="DJX1" s="87" t="n"/>
      <c r="DJY1" s="87" t="n"/>
      <c r="DJZ1" s="87" t="n"/>
      <c r="DKA1" s="87" t="n"/>
      <c r="DKB1" s="87" t="n"/>
      <c r="DKC1" s="87" t="n"/>
      <c r="DKD1" s="87" t="n"/>
      <c r="DKE1" s="87" t="n"/>
      <c r="DKF1" s="87" t="n"/>
      <c r="DKG1" s="87" t="n"/>
      <c r="DKH1" s="87" t="n"/>
      <c r="DKI1" s="87" t="n"/>
      <c r="DKJ1" s="87" t="n"/>
      <c r="DKK1" s="87" t="n"/>
      <c r="DKL1" s="87" t="n"/>
      <c r="DKM1" s="87" t="n"/>
      <c r="DKN1" s="87" t="n"/>
      <c r="DKO1" s="87" t="n"/>
      <c r="DKP1" s="87" t="n"/>
      <c r="DKQ1" s="87" t="n"/>
      <c r="DKR1" s="87" t="n"/>
      <c r="DKS1" s="87" t="n"/>
      <c r="DKT1" s="87" t="n"/>
      <c r="DKU1" s="87" t="n"/>
      <c r="DKV1" s="87" t="n"/>
      <c r="DKW1" s="87" t="n"/>
      <c r="DKX1" s="87" t="n"/>
      <c r="DKY1" s="87" t="n"/>
      <c r="DKZ1" s="87" t="n"/>
      <c r="DLA1" s="87" t="n"/>
      <c r="DLB1" s="87" t="n"/>
      <c r="DLC1" s="87" t="n"/>
      <c r="DLD1" s="87" t="n"/>
      <c r="DLE1" s="87" t="n"/>
      <c r="DLF1" s="87" t="n"/>
      <c r="DLG1" s="87" t="n"/>
      <c r="DLH1" s="87" t="n"/>
      <c r="DLI1" s="87" t="n"/>
      <c r="DLJ1" s="87" t="n"/>
      <c r="DLK1" s="87" t="n"/>
      <c r="DLL1" s="87" t="n"/>
      <c r="DLM1" s="87" t="n"/>
      <c r="DLN1" s="87" t="n"/>
      <c r="DLO1" s="87" t="n"/>
      <c r="DLP1" s="87" t="n"/>
      <c r="DLQ1" s="87" t="n"/>
      <c r="DLR1" s="87" t="n"/>
      <c r="DLS1" s="87" t="n"/>
      <c r="DLT1" s="87" t="n"/>
      <c r="DLU1" s="87" t="n"/>
      <c r="DLV1" s="87" t="n"/>
      <c r="DLW1" s="87" t="n"/>
      <c r="DLX1" s="87" t="n"/>
      <c r="DLY1" s="87" t="n"/>
      <c r="DLZ1" s="87" t="n"/>
      <c r="DMA1" s="87" t="n"/>
      <c r="DMB1" s="87" t="n"/>
      <c r="DMC1" s="87" t="n"/>
      <c r="DMD1" s="87" t="n"/>
      <c r="DME1" s="87" t="n"/>
      <c r="DMF1" s="87" t="n"/>
      <c r="DMG1" s="87" t="n"/>
      <c r="DMH1" s="87" t="n"/>
      <c r="DMI1" s="87" t="n"/>
      <c r="DMJ1" s="87" t="n"/>
      <c r="DMK1" s="87" t="n"/>
      <c r="DML1" s="87" t="n"/>
      <c r="DMM1" s="87" t="n"/>
      <c r="DMN1" s="87" t="n"/>
      <c r="DMO1" s="87" t="n"/>
      <c r="DMP1" s="87" t="n"/>
      <c r="DMQ1" s="87" t="n"/>
      <c r="DMR1" s="87" t="n"/>
      <c r="DMS1" s="87" t="n"/>
      <c r="DMT1" s="87" t="n"/>
      <c r="DMU1" s="87" t="n"/>
      <c r="DMV1" s="87" t="n"/>
      <c r="DMW1" s="87" t="n"/>
      <c r="DMX1" s="87" t="n"/>
      <c r="DMY1" s="87" t="n"/>
      <c r="DMZ1" s="87" t="n"/>
      <c r="DNA1" s="87" t="n"/>
      <c r="DNB1" s="87" t="n"/>
      <c r="DNC1" s="87" t="n"/>
      <c r="DND1" s="87" t="n"/>
      <c r="DNE1" s="87" t="n"/>
      <c r="DNF1" s="87" t="n"/>
      <c r="DNG1" s="87" t="n"/>
      <c r="DNH1" s="87" t="n"/>
      <c r="DNI1" s="87" t="n"/>
      <c r="DNJ1" s="87" t="n"/>
      <c r="DNK1" s="87" t="n"/>
      <c r="DNL1" s="87" t="n"/>
      <c r="DNM1" s="87" t="n"/>
      <c r="DNN1" s="87" t="n"/>
      <c r="DNO1" s="87" t="n"/>
      <c r="DNP1" s="87" t="n"/>
      <c r="DNQ1" s="87" t="n"/>
      <c r="DNR1" s="87" t="n"/>
      <c r="DNS1" s="87" t="n"/>
      <c r="DNT1" s="87" t="n"/>
      <c r="DNU1" s="87" t="n"/>
      <c r="DNV1" s="87" t="n"/>
      <c r="DNW1" s="87" t="n"/>
      <c r="DNX1" s="87" t="n"/>
      <c r="DNY1" s="87" t="n"/>
      <c r="DNZ1" s="87" t="n"/>
      <c r="DOA1" s="87" t="n"/>
      <c r="DOB1" s="87" t="n"/>
      <c r="DOC1" s="87" t="n"/>
      <c r="DOD1" s="87" t="n"/>
      <c r="DOE1" s="87" t="n"/>
      <c r="DOF1" s="87" t="n"/>
      <c r="DOG1" s="87" t="n"/>
      <c r="DOH1" s="87" t="n"/>
      <c r="DOI1" s="87" t="n"/>
      <c r="DOJ1" s="87" t="n"/>
      <c r="DOK1" s="87" t="n"/>
      <c r="DOL1" s="87" t="n"/>
      <c r="DOM1" s="87" t="n"/>
      <c r="DON1" s="87" t="n"/>
      <c r="DOO1" s="87" t="n"/>
      <c r="DOP1" s="87" t="n"/>
      <c r="DOQ1" s="87" t="n"/>
      <c r="DOR1" s="87" t="n"/>
      <c r="DOS1" s="87" t="n"/>
      <c r="DOT1" s="87" t="n"/>
      <c r="DOU1" s="87" t="n"/>
      <c r="DOV1" s="87" t="n"/>
      <c r="DOW1" s="87" t="n"/>
      <c r="DOX1" s="87" t="n"/>
      <c r="DOY1" s="87" t="n"/>
      <c r="DOZ1" s="87" t="n"/>
      <c r="DPA1" s="87" t="n"/>
      <c r="DPB1" s="87" t="n"/>
      <c r="DPC1" s="87" t="n"/>
      <c r="DPD1" s="87" t="n"/>
      <c r="DPE1" s="87" t="n"/>
      <c r="DPF1" s="87" t="n"/>
      <c r="DPG1" s="87" t="n"/>
      <c r="DPH1" s="87" t="n"/>
      <c r="DPI1" s="87" t="n"/>
      <c r="DPJ1" s="87" t="n"/>
      <c r="DPK1" s="87" t="n"/>
      <c r="DPL1" s="87" t="n"/>
      <c r="DPM1" s="87" t="n"/>
      <c r="DPN1" s="87" t="n"/>
      <c r="DPO1" s="87" t="n"/>
      <c r="DPP1" s="87" t="n"/>
      <c r="DPQ1" s="87" t="n"/>
      <c r="DPR1" s="87" t="n"/>
      <c r="DPS1" s="87" t="n"/>
      <c r="DPT1" s="87" t="n"/>
      <c r="DPU1" s="87" t="n"/>
      <c r="DPV1" s="87" t="n"/>
      <c r="DPW1" s="87" t="n"/>
      <c r="DPX1" s="87" t="n"/>
      <c r="DPY1" s="87" t="n"/>
      <c r="DPZ1" s="87" t="n"/>
      <c r="DQA1" s="87" t="n"/>
      <c r="DQB1" s="87" t="n"/>
      <c r="DQC1" s="87" t="n"/>
      <c r="DQD1" s="87" t="n"/>
      <c r="DQE1" s="87" t="n"/>
      <c r="DQF1" s="87" t="n"/>
      <c r="DQG1" s="87" t="n"/>
      <c r="DQH1" s="87" t="n"/>
      <c r="DQI1" s="87" t="n"/>
      <c r="DQJ1" s="87" t="n"/>
      <c r="DQK1" s="87" t="n"/>
      <c r="DQL1" s="87" t="n"/>
      <c r="DQM1" s="87" t="n"/>
      <c r="DQN1" s="87" t="n"/>
      <c r="DQO1" s="87" t="n"/>
      <c r="DQP1" s="87" t="n"/>
      <c r="DQQ1" s="87" t="n"/>
      <c r="DQR1" s="87" t="n"/>
      <c r="DQS1" s="87" t="n"/>
      <c r="DQT1" s="87" t="n"/>
      <c r="DQU1" s="87" t="n"/>
      <c r="DQV1" s="87" t="n"/>
      <c r="DQW1" s="87" t="n"/>
      <c r="DQX1" s="87" t="n"/>
      <c r="DQY1" s="87" t="n"/>
      <c r="DQZ1" s="87" t="n"/>
      <c r="DRA1" s="87" t="n"/>
      <c r="DRB1" s="87" t="n"/>
      <c r="DRC1" s="87" t="n"/>
      <c r="DRD1" s="87" t="n"/>
      <c r="DRE1" s="87" t="n"/>
      <c r="DRF1" s="87" t="n"/>
      <c r="DRG1" s="87" t="n"/>
      <c r="DRH1" s="87" t="n"/>
      <c r="DRI1" s="87" t="n"/>
      <c r="DRJ1" s="87" t="n"/>
      <c r="DRK1" s="87" t="n"/>
      <c r="DRL1" s="87" t="n"/>
      <c r="DRM1" s="87" t="n"/>
      <c r="DRN1" s="87" t="n"/>
      <c r="DRO1" s="87" t="n"/>
      <c r="DRP1" s="87" t="n"/>
      <c r="DRQ1" s="87" t="n"/>
      <c r="DRR1" s="87" t="n"/>
      <c r="DRS1" s="87" t="n"/>
      <c r="DRT1" s="87" t="n"/>
      <c r="DRU1" s="87" t="n"/>
      <c r="DRV1" s="87" t="n"/>
      <c r="DRW1" s="87" t="n"/>
      <c r="DRX1" s="87" t="n"/>
      <c r="DRY1" s="87" t="n"/>
      <c r="DRZ1" s="87" t="n"/>
      <c r="DSA1" s="87" t="n"/>
      <c r="DSB1" s="87" t="n"/>
      <c r="DSC1" s="87" t="n"/>
      <c r="DSD1" s="87" t="n"/>
      <c r="DSE1" s="87" t="n"/>
      <c r="DSF1" s="87" t="n"/>
      <c r="DSG1" s="87" t="n"/>
      <c r="DSH1" s="87" t="n"/>
      <c r="DSI1" s="87" t="n"/>
      <c r="DSJ1" s="87" t="n"/>
      <c r="DSK1" s="87" t="n"/>
      <c r="DSL1" s="87" t="n"/>
      <c r="DSM1" s="87" t="n"/>
      <c r="DSN1" s="87" t="n"/>
      <c r="DSO1" s="87" t="n"/>
      <c r="DSP1" s="87" t="n"/>
      <c r="DSQ1" s="87" t="n"/>
      <c r="DSR1" s="87" t="n"/>
      <c r="DSS1" s="87" t="n"/>
      <c r="DST1" s="87" t="n"/>
      <c r="DSU1" s="87" t="n"/>
      <c r="DSV1" s="87" t="n"/>
      <c r="DSW1" s="87" t="n"/>
      <c r="DSX1" s="87" t="n"/>
      <c r="DSY1" s="87" t="n"/>
      <c r="DSZ1" s="87" t="n"/>
      <c r="DTA1" s="87" t="n"/>
      <c r="DTB1" s="87" t="n"/>
      <c r="DTC1" s="87" t="n"/>
      <c r="DTD1" s="87" t="n"/>
      <c r="DTE1" s="87" t="n"/>
      <c r="DTF1" s="87" t="n"/>
      <c r="DTG1" s="87" t="n"/>
      <c r="DTH1" s="87" t="n"/>
      <c r="DTI1" s="87" t="n"/>
      <c r="DTJ1" s="87" t="n"/>
      <c r="DTK1" s="87" t="n"/>
      <c r="DTL1" s="87" t="n"/>
      <c r="DTM1" s="87" t="n"/>
      <c r="DTN1" s="87" t="n"/>
      <c r="DTO1" s="87" t="n"/>
      <c r="DTP1" s="87" t="n"/>
      <c r="DTQ1" s="87" t="n"/>
      <c r="DTR1" s="87" t="n"/>
      <c r="DTS1" s="87" t="n"/>
      <c r="DTT1" s="87" t="n"/>
      <c r="DTU1" s="87" t="n"/>
      <c r="DTV1" s="87" t="n"/>
      <c r="DTW1" s="87" t="n"/>
      <c r="DTX1" s="87" t="n"/>
      <c r="DTY1" s="87" t="n"/>
      <c r="DTZ1" s="87" t="n"/>
      <c r="DUA1" s="87" t="n"/>
      <c r="DUB1" s="87" t="n"/>
      <c r="DUC1" s="87" t="n"/>
      <c r="DUD1" s="87" t="n"/>
      <c r="DUE1" s="87" t="n"/>
      <c r="DUF1" s="87" t="n"/>
      <c r="DUG1" s="87" t="n"/>
      <c r="DUH1" s="87" t="n"/>
      <c r="DUI1" s="87" t="n"/>
      <c r="DUJ1" s="87" t="n"/>
      <c r="DUK1" s="87" t="n"/>
      <c r="DUL1" s="87" t="n"/>
      <c r="DUM1" s="87" t="n"/>
      <c r="DUN1" s="87" t="n"/>
      <c r="DUO1" s="87" t="n"/>
      <c r="DUP1" s="87" t="n"/>
      <c r="DUQ1" s="87" t="n"/>
      <c r="DUR1" s="87" t="n"/>
      <c r="DUS1" s="87" t="n"/>
      <c r="DUT1" s="87" t="n"/>
      <c r="DUU1" s="87" t="n"/>
      <c r="DUV1" s="87" t="n"/>
      <c r="DUW1" s="87" t="n"/>
      <c r="DUX1" s="87" t="n"/>
      <c r="DUY1" s="87" t="n"/>
      <c r="DUZ1" s="87" t="n"/>
      <c r="DVA1" s="87" t="n"/>
      <c r="DVB1" s="87" t="n"/>
      <c r="DVC1" s="87" t="n"/>
      <c r="DVD1" s="87" t="n"/>
      <c r="DVE1" s="87" t="n"/>
      <c r="DVF1" s="87" t="n"/>
      <c r="DVG1" s="87" t="n"/>
      <c r="DVH1" s="87" t="n"/>
      <c r="DVI1" s="87" t="n"/>
      <c r="DVJ1" s="87" t="n"/>
      <c r="DVK1" s="87" t="n"/>
      <c r="DVL1" s="87" t="n"/>
      <c r="DVM1" s="87" t="n"/>
      <c r="DVN1" s="87" t="n"/>
      <c r="DVO1" s="87" t="n"/>
      <c r="DVP1" s="87" t="n"/>
      <c r="DVQ1" s="87" t="n"/>
      <c r="DVR1" s="87" t="n"/>
      <c r="DVS1" s="87" t="n"/>
      <c r="DVT1" s="87" t="n"/>
      <c r="DVU1" s="87" t="n"/>
      <c r="DVV1" s="87" t="n"/>
      <c r="DVW1" s="87" t="n"/>
      <c r="DVX1" s="87" t="n"/>
      <c r="DVY1" s="87" t="n"/>
      <c r="DVZ1" s="87" t="n"/>
      <c r="DWA1" s="87" t="n"/>
      <c r="DWB1" s="87" t="n"/>
      <c r="DWC1" s="87" t="n"/>
      <c r="DWD1" s="87" t="n"/>
      <c r="DWE1" s="87" t="n"/>
      <c r="DWF1" s="87" t="n"/>
      <c r="DWG1" s="87" t="n"/>
      <c r="DWH1" s="87" t="n"/>
      <c r="DWI1" s="87" t="n"/>
      <c r="DWJ1" s="87" t="n"/>
      <c r="DWK1" s="87" t="n"/>
      <c r="DWL1" s="87" t="n"/>
      <c r="DWM1" s="87" t="n"/>
      <c r="DWN1" s="87" t="n"/>
      <c r="DWO1" s="87" t="n"/>
      <c r="DWP1" s="87" t="n"/>
      <c r="DWQ1" s="87" t="n"/>
      <c r="DWR1" s="87" t="n"/>
      <c r="DWS1" s="87" t="n"/>
      <c r="DWT1" s="87" t="n"/>
      <c r="DWU1" s="87" t="n"/>
      <c r="DWV1" s="87" t="n"/>
      <c r="DWW1" s="87" t="n"/>
      <c r="DWX1" s="87" t="n"/>
      <c r="DWY1" s="87" t="n"/>
      <c r="DWZ1" s="87" t="n"/>
      <c r="DXA1" s="87" t="n"/>
      <c r="DXB1" s="87" t="n"/>
      <c r="DXC1" s="87" t="n"/>
      <c r="DXD1" s="87" t="n"/>
      <c r="DXE1" s="87" t="n"/>
      <c r="DXF1" s="87" t="n"/>
      <c r="DXG1" s="87" t="n"/>
      <c r="DXH1" s="87" t="n"/>
      <c r="DXI1" s="87" t="n"/>
      <c r="DXJ1" s="87" t="n"/>
      <c r="DXK1" s="87" t="n"/>
      <c r="DXL1" s="87" t="n"/>
      <c r="DXM1" s="87" t="n"/>
      <c r="DXN1" s="87" t="n"/>
      <c r="DXO1" s="87" t="n"/>
      <c r="DXP1" s="87" t="n"/>
      <c r="DXQ1" s="87" t="n"/>
      <c r="DXR1" s="87" t="n"/>
      <c r="DXS1" s="87" t="n"/>
      <c r="DXT1" s="87" t="n"/>
      <c r="DXU1" s="87" t="n"/>
      <c r="DXV1" s="87" t="n"/>
      <c r="DXW1" s="87" t="n"/>
      <c r="DXX1" s="87" t="n"/>
      <c r="DXY1" s="87" t="n"/>
      <c r="DXZ1" s="87" t="n"/>
      <c r="DYA1" s="87" t="n"/>
      <c r="DYB1" s="87" t="n"/>
      <c r="DYC1" s="87" t="n"/>
      <c r="DYD1" s="87" t="n"/>
      <c r="DYE1" s="87" t="n"/>
      <c r="DYF1" s="87" t="n"/>
      <c r="DYG1" s="87" t="n"/>
      <c r="DYH1" s="87" t="n"/>
      <c r="DYI1" s="87" t="n"/>
      <c r="DYJ1" s="87" t="n"/>
      <c r="DYK1" s="87" t="n"/>
      <c r="DYL1" s="87" t="n"/>
      <c r="DYM1" s="87" t="n"/>
      <c r="DYN1" s="87" t="n"/>
      <c r="DYO1" s="87" t="n"/>
      <c r="DYP1" s="87" t="n"/>
      <c r="DYQ1" s="87" t="n"/>
      <c r="DYR1" s="87" t="n"/>
      <c r="DYS1" s="87" t="n"/>
      <c r="DYT1" s="87" t="n"/>
      <c r="DYU1" s="87" t="n"/>
      <c r="DYV1" s="87" t="n"/>
      <c r="DYW1" s="87" t="n"/>
      <c r="DYX1" s="87" t="n"/>
      <c r="DYY1" s="87" t="n"/>
      <c r="DYZ1" s="87" t="n"/>
      <c r="DZA1" s="87" t="n"/>
      <c r="DZB1" s="87" t="n"/>
      <c r="DZC1" s="87" t="n"/>
      <c r="DZD1" s="87" t="n"/>
      <c r="DZE1" s="87" t="n"/>
      <c r="DZF1" s="87" t="n"/>
      <c r="DZG1" s="87" t="n"/>
      <c r="DZH1" s="87" t="n"/>
      <c r="DZI1" s="87" t="n"/>
      <c r="DZJ1" s="87" t="n"/>
      <c r="DZK1" s="87" t="n"/>
      <c r="DZL1" s="87" t="n"/>
      <c r="DZM1" s="87" t="n"/>
      <c r="DZN1" s="87" t="n"/>
      <c r="DZO1" s="87" t="n"/>
      <c r="DZP1" s="87" t="n"/>
      <c r="DZQ1" s="87" t="n"/>
      <c r="DZR1" s="87" t="n"/>
      <c r="DZS1" s="87" t="n"/>
      <c r="DZT1" s="87" t="n"/>
      <c r="DZU1" s="87" t="n"/>
      <c r="DZV1" s="87" t="n"/>
      <c r="DZW1" s="87" t="n"/>
      <c r="DZX1" s="87" t="n"/>
      <c r="DZY1" s="87" t="n"/>
      <c r="DZZ1" s="87" t="n"/>
      <c r="EAA1" s="87" t="n"/>
      <c r="EAB1" s="87" t="n"/>
      <c r="EAC1" s="87" t="n"/>
      <c r="EAD1" s="87" t="n"/>
      <c r="EAE1" s="87" t="n"/>
      <c r="EAF1" s="87" t="n"/>
      <c r="EAG1" s="87" t="n"/>
      <c r="EAH1" s="87" t="n"/>
      <c r="EAI1" s="87" t="n"/>
      <c r="EAJ1" s="87" t="n"/>
      <c r="EAK1" s="87" t="n"/>
      <c r="EAL1" s="87" t="n"/>
      <c r="EAM1" s="87" t="n"/>
      <c r="EAN1" s="87" t="n"/>
      <c r="EAO1" s="87" t="n"/>
      <c r="EAP1" s="87" t="n"/>
      <c r="EAQ1" s="87" t="n"/>
      <c r="EAR1" s="87" t="n"/>
      <c r="EAS1" s="87" t="n"/>
      <c r="EAT1" s="87" t="n"/>
      <c r="EAU1" s="87" t="n"/>
      <c r="EAV1" s="87" t="n"/>
      <c r="EAW1" s="87" t="n"/>
      <c r="EAX1" s="87" t="n"/>
      <c r="EAY1" s="87" t="n"/>
      <c r="EAZ1" s="87" t="n"/>
      <c r="EBA1" s="87" t="n"/>
      <c r="EBB1" s="87" t="n"/>
      <c r="EBC1" s="87" t="n"/>
      <c r="EBD1" s="87" t="n"/>
      <c r="EBE1" s="87" t="n"/>
      <c r="EBF1" s="87" t="n"/>
      <c r="EBG1" s="87" t="n"/>
      <c r="EBH1" s="87" t="n"/>
      <c r="EBI1" s="87" t="n"/>
      <c r="EBJ1" s="87" t="n"/>
      <c r="EBK1" s="87" t="n"/>
      <c r="EBL1" s="87" t="n"/>
      <c r="EBM1" s="87" t="n"/>
      <c r="EBN1" s="87" t="n"/>
      <c r="EBO1" s="87" t="n"/>
      <c r="EBP1" s="87" t="n"/>
      <c r="EBQ1" s="87" t="n"/>
      <c r="EBR1" s="87" t="n"/>
      <c r="EBS1" s="87" t="n"/>
      <c r="EBT1" s="87" t="n"/>
      <c r="EBU1" s="87" t="n"/>
      <c r="EBV1" s="87" t="n"/>
      <c r="EBW1" s="87" t="n"/>
      <c r="EBX1" s="87" t="n"/>
      <c r="EBY1" s="87" t="n"/>
      <c r="EBZ1" s="87" t="n"/>
      <c r="ECA1" s="87" t="n"/>
      <c r="ECB1" s="87" t="n"/>
      <c r="ECC1" s="87" t="n"/>
      <c r="ECD1" s="87" t="n"/>
      <c r="ECE1" s="87" t="n"/>
      <c r="ECF1" s="87" t="n"/>
      <c r="ECG1" s="87" t="n"/>
      <c r="ECH1" s="87" t="n"/>
      <c r="ECI1" s="87" t="n"/>
      <c r="ECJ1" s="87" t="n"/>
      <c r="ECK1" s="87" t="n"/>
      <c r="ECL1" s="87" t="n"/>
      <c r="ECM1" s="87" t="n"/>
      <c r="ECN1" s="87" t="n"/>
      <c r="ECO1" s="87" t="n"/>
      <c r="ECP1" s="87" t="n"/>
      <c r="ECQ1" s="87" t="n"/>
      <c r="ECR1" s="87" t="n"/>
      <c r="ECS1" s="87" t="n"/>
      <c r="ECT1" s="87" t="n"/>
      <c r="ECU1" s="87" t="n"/>
      <c r="ECV1" s="87" t="n"/>
      <c r="ECW1" s="87" t="n"/>
      <c r="ECX1" s="87" t="n"/>
      <c r="ECY1" s="87" t="n"/>
      <c r="ECZ1" s="87" t="n"/>
      <c r="EDA1" s="87" t="n"/>
      <c r="EDB1" s="87" t="n"/>
      <c r="EDC1" s="87" t="n"/>
      <c r="EDD1" s="87" t="n"/>
      <c r="EDE1" s="87" t="n"/>
      <c r="EDF1" s="87" t="n"/>
      <c r="EDG1" s="87" t="n"/>
      <c r="EDH1" s="87" t="n"/>
      <c r="EDI1" s="87" t="n"/>
      <c r="EDJ1" s="87" t="n"/>
      <c r="EDK1" s="87" t="n"/>
      <c r="EDL1" s="87" t="n"/>
      <c r="EDM1" s="87" t="n"/>
      <c r="EDN1" s="87" t="n"/>
      <c r="EDO1" s="87" t="n"/>
      <c r="EDP1" s="87" t="n"/>
      <c r="EDQ1" s="87" t="n"/>
      <c r="EDR1" s="87" t="n"/>
      <c r="EDS1" s="87" t="n"/>
      <c r="EDT1" s="87" t="n"/>
      <c r="EDU1" s="87" t="n"/>
      <c r="EDV1" s="87" t="n"/>
      <c r="EDW1" s="87" t="n"/>
      <c r="EDX1" s="87" t="n"/>
      <c r="EDY1" s="87" t="n"/>
      <c r="EDZ1" s="87" t="n"/>
      <c r="EEA1" s="87" t="n"/>
      <c r="EEB1" s="87" t="n"/>
      <c r="EEC1" s="87" t="n"/>
      <c r="EED1" s="87" t="n"/>
      <c r="EEE1" s="87" t="n"/>
      <c r="EEF1" s="87" t="n"/>
      <c r="EEG1" s="87" t="n"/>
      <c r="EEH1" s="87" t="n"/>
      <c r="EEI1" s="87" t="n"/>
      <c r="EEJ1" s="87" t="n"/>
      <c r="EEK1" s="87" t="n"/>
      <c r="EEL1" s="87" t="n"/>
      <c r="EEM1" s="87" t="n"/>
      <c r="EEN1" s="87" t="n"/>
      <c r="EEO1" s="87" t="n"/>
      <c r="EEP1" s="87" t="n"/>
      <c r="EEQ1" s="87" t="n"/>
      <c r="EER1" s="87" t="n"/>
      <c r="EES1" s="87" t="n"/>
      <c r="EET1" s="87" t="n"/>
      <c r="EEU1" s="87" t="n"/>
      <c r="EEV1" s="87" t="n"/>
      <c r="EEW1" s="87" t="n"/>
      <c r="EEX1" s="87" t="n"/>
      <c r="EEY1" s="87" t="n"/>
      <c r="EEZ1" s="87" t="n"/>
      <c r="EFA1" s="87" t="n"/>
      <c r="EFB1" s="87" t="n"/>
      <c r="EFC1" s="87" t="n"/>
      <c r="EFD1" s="87" t="n"/>
      <c r="EFE1" s="87" t="n"/>
      <c r="EFF1" s="87" t="n"/>
      <c r="EFG1" s="87" t="n"/>
      <c r="EFH1" s="87" t="n"/>
      <c r="EFI1" s="87" t="n"/>
      <c r="EFJ1" s="87" t="n"/>
      <c r="EFK1" s="87" t="n"/>
      <c r="EFL1" s="87" t="n"/>
      <c r="EFM1" s="87" t="n"/>
      <c r="EFN1" s="87" t="n"/>
      <c r="EFO1" s="87" t="n"/>
      <c r="EFP1" s="87" t="n"/>
      <c r="EFQ1" s="87" t="n"/>
      <c r="EFR1" s="87" t="n"/>
      <c r="EFS1" s="87" t="n"/>
      <c r="EFT1" s="87" t="n"/>
      <c r="EFU1" s="87" t="n"/>
      <c r="EFV1" s="87" t="n"/>
      <c r="EFW1" s="87" t="n"/>
      <c r="EFX1" s="87" t="n"/>
      <c r="EFY1" s="87" t="n"/>
      <c r="EFZ1" s="87" t="n"/>
      <c r="EGA1" s="87" t="n"/>
      <c r="EGB1" s="87" t="n"/>
      <c r="EGC1" s="87" t="n"/>
      <c r="EGD1" s="87" t="n"/>
      <c r="EGE1" s="87" t="n"/>
      <c r="EGF1" s="87" t="n"/>
      <c r="EGG1" s="87" t="n"/>
      <c r="EGH1" s="87" t="n"/>
      <c r="EGI1" s="87" t="n"/>
      <c r="EGJ1" s="87" t="n"/>
      <c r="EGK1" s="87" t="n"/>
      <c r="EGL1" s="87" t="n"/>
      <c r="EGM1" s="87" t="n"/>
      <c r="EGN1" s="87" t="n"/>
      <c r="EGO1" s="87" t="n"/>
      <c r="EGP1" s="87" t="n"/>
      <c r="EGQ1" s="87" t="n"/>
      <c r="EGR1" s="87" t="n"/>
      <c r="EGS1" s="87" t="n"/>
      <c r="EGT1" s="87" t="n"/>
      <c r="EGU1" s="87" t="n"/>
      <c r="EGV1" s="87" t="n"/>
      <c r="EGW1" s="87" t="n"/>
      <c r="EGX1" s="87" t="n"/>
      <c r="EGY1" s="87" t="n"/>
      <c r="EGZ1" s="87" t="n"/>
      <c r="EHA1" s="87" t="n"/>
      <c r="EHB1" s="87" t="n"/>
      <c r="EHC1" s="87" t="n"/>
      <c r="EHD1" s="87" t="n"/>
      <c r="EHE1" s="87" t="n"/>
      <c r="EHF1" s="87" t="n"/>
      <c r="EHG1" s="87" t="n"/>
      <c r="EHH1" s="87" t="n"/>
      <c r="EHI1" s="87" t="n"/>
      <c r="EHJ1" s="87" t="n"/>
      <c r="EHK1" s="87" t="n"/>
      <c r="EHL1" s="87" t="n"/>
      <c r="EHM1" s="87" t="n"/>
      <c r="EHN1" s="87" t="n"/>
      <c r="EHO1" s="87" t="n"/>
      <c r="EHP1" s="87" t="n"/>
      <c r="EHQ1" s="87" t="n"/>
      <c r="EHR1" s="87" t="n"/>
      <c r="EHS1" s="87" t="n"/>
      <c r="EHT1" s="87" t="n"/>
      <c r="EHU1" s="87" t="n"/>
      <c r="EHV1" s="87" t="n"/>
      <c r="EHW1" s="87" t="n"/>
      <c r="EHX1" s="87" t="n"/>
      <c r="EHY1" s="87" t="n"/>
      <c r="EHZ1" s="87" t="n"/>
      <c r="EIA1" s="87" t="n"/>
      <c r="EIB1" s="87" t="n"/>
      <c r="EIC1" s="87" t="n"/>
      <c r="EID1" s="87" t="n"/>
      <c r="EIE1" s="87" t="n"/>
      <c r="EIF1" s="87" t="n"/>
      <c r="EIG1" s="87" t="n"/>
      <c r="EIH1" s="87" t="n"/>
      <c r="EII1" s="87" t="n"/>
      <c r="EIJ1" s="87" t="n"/>
      <c r="EIK1" s="87" t="n"/>
      <c r="EIL1" s="87" t="n"/>
      <c r="EIM1" s="87" t="n"/>
      <c r="EIN1" s="87" t="n"/>
      <c r="EIO1" s="87" t="n"/>
      <c r="EIP1" s="87" t="n"/>
      <c r="EIQ1" s="87" t="n"/>
      <c r="EIR1" s="87" t="n"/>
      <c r="EIS1" s="87" t="n"/>
      <c r="EIT1" s="87" t="n"/>
      <c r="EIU1" s="87" t="n"/>
      <c r="EIV1" s="87" t="n"/>
      <c r="EIW1" s="87" t="n"/>
      <c r="EIX1" s="87" t="n"/>
      <c r="EIY1" s="87" t="n"/>
      <c r="EIZ1" s="87" t="n"/>
      <c r="EJA1" s="87" t="n"/>
      <c r="EJB1" s="87" t="n"/>
      <c r="EJC1" s="87" t="n"/>
      <c r="EJD1" s="87" t="n"/>
      <c r="EJE1" s="87" t="n"/>
      <c r="EJF1" s="87" t="n"/>
      <c r="EJG1" s="87" t="n"/>
      <c r="EJH1" s="87" t="n"/>
      <c r="EJI1" s="87" t="n"/>
      <c r="EJJ1" s="87" t="n"/>
      <c r="EJK1" s="87" t="n"/>
      <c r="EJL1" s="87" t="n"/>
      <c r="EJM1" s="87" t="n"/>
      <c r="EJN1" s="87" t="n"/>
      <c r="EJO1" s="87" t="n"/>
      <c r="EJP1" s="87" t="n"/>
      <c r="EJQ1" s="87" t="n"/>
      <c r="EJR1" s="87" t="n"/>
      <c r="EJS1" s="87" t="n"/>
      <c r="EJT1" s="87" t="n"/>
      <c r="EJU1" s="87" t="n"/>
      <c r="EJV1" s="87" t="n"/>
      <c r="EJW1" s="87" t="n"/>
      <c r="EJX1" s="87" t="n"/>
      <c r="EJY1" s="87" t="n"/>
      <c r="EJZ1" s="87" t="n"/>
      <c r="EKA1" s="87" t="n"/>
      <c r="EKB1" s="87" t="n"/>
      <c r="EKC1" s="87" t="n"/>
      <c r="EKD1" s="87" t="n"/>
      <c r="EKE1" s="87" t="n"/>
      <c r="EKF1" s="87" t="n"/>
      <c r="EKG1" s="87" t="n"/>
      <c r="EKH1" s="87" t="n"/>
      <c r="EKI1" s="87" t="n"/>
      <c r="EKJ1" s="87" t="n"/>
      <c r="EKK1" s="87" t="n"/>
      <c r="EKL1" s="87" t="n"/>
      <c r="EKM1" s="87" t="n"/>
      <c r="EKN1" s="87" t="n"/>
      <c r="EKO1" s="87" t="n"/>
      <c r="EKP1" s="87" t="n"/>
      <c r="EKQ1" s="87" t="n"/>
      <c r="EKR1" s="87" t="n"/>
      <c r="EKS1" s="87" t="n"/>
      <c r="EKT1" s="87" t="n"/>
      <c r="EKU1" s="87" t="n"/>
      <c r="EKV1" s="87" t="n"/>
      <c r="EKW1" s="87" t="n"/>
      <c r="EKX1" s="87" t="n"/>
      <c r="EKY1" s="87" t="n"/>
      <c r="EKZ1" s="87" t="n"/>
      <c r="ELA1" s="87" t="n"/>
      <c r="ELB1" s="87" t="n"/>
      <c r="ELC1" s="87" t="n"/>
      <c r="ELD1" s="87" t="n"/>
      <c r="ELE1" s="87" t="n"/>
      <c r="ELF1" s="87" t="n"/>
      <c r="ELG1" s="87" t="n"/>
      <c r="ELH1" s="87" t="n"/>
      <c r="ELI1" s="87" t="n"/>
      <c r="ELJ1" s="87" t="n"/>
      <c r="ELK1" s="87" t="n"/>
      <c r="ELL1" s="87" t="n"/>
      <c r="ELM1" s="87" t="n"/>
      <c r="ELN1" s="87" t="n"/>
      <c r="ELO1" s="87" t="n"/>
      <c r="ELP1" s="87" t="n"/>
      <c r="ELQ1" s="87" t="n"/>
      <c r="ELR1" s="87" t="n"/>
      <c r="ELS1" s="87" t="n"/>
      <c r="ELT1" s="87" t="n"/>
      <c r="ELU1" s="87" t="n"/>
      <c r="ELV1" s="87" t="n"/>
      <c r="ELW1" s="87" t="n"/>
      <c r="ELX1" s="87" t="n"/>
      <c r="ELY1" s="87" t="n"/>
      <c r="ELZ1" s="87" t="n"/>
      <c r="EMA1" s="87" t="n"/>
      <c r="EMB1" s="87" t="n"/>
      <c r="EMC1" s="87" t="n"/>
      <c r="EMD1" s="87" t="n"/>
      <c r="EME1" s="87" t="n"/>
      <c r="EMF1" s="87" t="n"/>
      <c r="EMG1" s="87" t="n"/>
      <c r="EMH1" s="87" t="n"/>
      <c r="EMI1" s="87" t="n"/>
      <c r="EMJ1" s="87" t="n"/>
      <c r="EMK1" s="87" t="n"/>
      <c r="EML1" s="87" t="n"/>
      <c r="EMM1" s="87" t="n"/>
      <c r="EMN1" s="87" t="n"/>
      <c r="EMO1" s="87" t="n"/>
      <c r="EMP1" s="87" t="n"/>
      <c r="EMQ1" s="87" t="n"/>
      <c r="EMR1" s="87" t="n"/>
      <c r="EMS1" s="87" t="n"/>
      <c r="EMT1" s="87" t="n"/>
      <c r="EMU1" s="87" t="n"/>
      <c r="EMV1" s="87" t="n"/>
      <c r="EMW1" s="87" t="n"/>
      <c r="EMX1" s="87" t="n"/>
      <c r="EMY1" s="87" t="n"/>
      <c r="EMZ1" s="87" t="n"/>
      <c r="ENA1" s="87" t="n"/>
      <c r="ENB1" s="87" t="n"/>
      <c r="ENC1" s="87" t="n"/>
      <c r="END1" s="87" t="n"/>
      <c r="ENE1" s="87" t="n"/>
      <c r="ENF1" s="87" t="n"/>
      <c r="ENG1" s="87" t="n"/>
      <c r="ENH1" s="87" t="n"/>
      <c r="ENI1" s="87" t="n"/>
      <c r="ENJ1" s="87" t="n"/>
      <c r="ENK1" s="87" t="n"/>
      <c r="ENL1" s="87" t="n"/>
      <c r="ENM1" s="87" t="n"/>
      <c r="ENN1" s="87" t="n"/>
      <c r="ENO1" s="87" t="n"/>
      <c r="ENP1" s="87" t="n"/>
      <c r="ENQ1" s="87" t="n"/>
      <c r="ENR1" s="87" t="n"/>
      <c r="ENS1" s="87" t="n"/>
      <c r="ENT1" s="87" t="n"/>
      <c r="ENU1" s="87" t="n"/>
      <c r="ENV1" s="87" t="n"/>
      <c r="ENW1" s="87" t="n"/>
      <c r="ENX1" s="87" t="n"/>
      <c r="ENY1" s="87" t="n"/>
      <c r="ENZ1" s="87" t="n"/>
      <c r="EOA1" s="87" t="n"/>
      <c r="EOB1" s="87" t="n"/>
      <c r="EOC1" s="87" t="n"/>
      <c r="EOD1" s="87" t="n"/>
      <c r="EOE1" s="87" t="n"/>
      <c r="EOF1" s="87" t="n"/>
      <c r="EOG1" s="87" t="n"/>
      <c r="EOH1" s="87" t="n"/>
      <c r="EOI1" s="87" t="n"/>
      <c r="EOJ1" s="87" t="n"/>
      <c r="EOK1" s="87" t="n"/>
      <c r="EOL1" s="87" t="n"/>
      <c r="EOM1" s="87" t="n"/>
      <c r="EON1" s="87" t="n"/>
      <c r="EOO1" s="87" t="n"/>
      <c r="EOP1" s="87" t="n"/>
      <c r="EOQ1" s="87" t="n"/>
      <c r="EOR1" s="87" t="n"/>
      <c r="EOS1" s="87" t="n"/>
      <c r="EOT1" s="87" t="n"/>
      <c r="EOU1" s="87" t="n"/>
      <c r="EOV1" s="87" t="n"/>
      <c r="EOW1" s="87" t="n"/>
      <c r="EOX1" s="87" t="n"/>
      <c r="EOY1" s="87" t="n"/>
      <c r="EOZ1" s="87" t="n"/>
      <c r="EPA1" s="87" t="n"/>
      <c r="EPB1" s="87" t="n"/>
      <c r="EPC1" s="87" t="n"/>
      <c r="EPD1" s="87" t="n"/>
      <c r="EPE1" s="87" t="n"/>
      <c r="EPF1" s="87" t="n"/>
      <c r="EPG1" s="87" t="n"/>
      <c r="EPH1" s="87" t="n"/>
      <c r="EPI1" s="87" t="n"/>
      <c r="EPJ1" s="87" t="n"/>
      <c r="EPK1" s="87" t="n"/>
      <c r="EPL1" s="87" t="n"/>
      <c r="EPM1" s="87" t="n"/>
      <c r="EPN1" s="87" t="n"/>
      <c r="EPO1" s="87" t="n"/>
      <c r="EPP1" s="87" t="n"/>
      <c r="EPQ1" s="87" t="n"/>
      <c r="EPR1" s="87" t="n"/>
      <c r="EPS1" s="87" t="n"/>
      <c r="EPT1" s="87" t="n"/>
      <c r="EPU1" s="87" t="n"/>
      <c r="EPV1" s="87" t="n"/>
      <c r="EPW1" s="87" t="n"/>
      <c r="EPX1" s="87" t="n"/>
      <c r="EPY1" s="87" t="n"/>
      <c r="EPZ1" s="87" t="n"/>
      <c r="EQA1" s="87" t="n"/>
      <c r="EQB1" s="87" t="n"/>
      <c r="EQC1" s="87" t="n"/>
      <c r="EQD1" s="87" t="n"/>
      <c r="EQE1" s="87" t="n"/>
      <c r="EQF1" s="87" t="n"/>
      <c r="EQG1" s="87" t="n"/>
      <c r="EQH1" s="87" t="n"/>
      <c r="EQI1" s="87" t="n"/>
      <c r="EQJ1" s="87" t="n"/>
      <c r="EQK1" s="87" t="n"/>
      <c r="EQL1" s="87" t="n"/>
      <c r="EQM1" s="87" t="n"/>
      <c r="EQN1" s="87" t="n"/>
      <c r="EQO1" s="87" t="n"/>
      <c r="EQP1" s="87" t="n"/>
      <c r="EQQ1" s="87" t="n"/>
      <c r="EQR1" s="87" t="n"/>
      <c r="EQS1" s="87" t="n"/>
      <c r="EQT1" s="87" t="n"/>
      <c r="EQU1" s="87" t="n"/>
      <c r="EQV1" s="87" t="n"/>
      <c r="EQW1" s="87" t="n"/>
      <c r="EQX1" s="87" t="n"/>
      <c r="EQY1" s="87" t="n"/>
      <c r="EQZ1" s="87" t="n"/>
      <c r="ERA1" s="87" t="n"/>
      <c r="ERB1" s="87" t="n"/>
      <c r="ERC1" s="87" t="n"/>
      <c r="ERD1" s="87" t="n"/>
      <c r="ERE1" s="87" t="n"/>
      <c r="ERF1" s="87" t="n"/>
      <c r="ERG1" s="87" t="n"/>
      <c r="ERH1" s="87" t="n"/>
      <c r="ERI1" s="87" t="n"/>
      <c r="ERJ1" s="87" t="n"/>
      <c r="ERK1" s="87" t="n"/>
      <c r="ERL1" s="87" t="n"/>
      <c r="ERM1" s="87" t="n"/>
      <c r="ERN1" s="87" t="n"/>
      <c r="ERO1" s="87" t="n"/>
      <c r="ERP1" s="87" t="n"/>
      <c r="ERQ1" s="87" t="n"/>
      <c r="ERR1" s="87" t="n"/>
      <c r="ERS1" s="87" t="n"/>
      <c r="ERT1" s="87" t="n"/>
      <c r="ERU1" s="87" t="n"/>
      <c r="ERV1" s="87" t="n"/>
      <c r="ERW1" s="87" t="n"/>
      <c r="ERX1" s="87" t="n"/>
      <c r="ERY1" s="87" t="n"/>
      <c r="ERZ1" s="87" t="n"/>
      <c r="ESA1" s="87" t="n"/>
      <c r="ESB1" s="87" t="n"/>
      <c r="ESC1" s="87" t="n"/>
      <c r="ESD1" s="87" t="n"/>
      <c r="ESE1" s="87" t="n"/>
      <c r="ESF1" s="87" t="n"/>
      <c r="ESG1" s="87" t="n"/>
      <c r="ESH1" s="87" t="n"/>
      <c r="ESI1" s="87" t="n"/>
      <c r="ESJ1" s="87" t="n"/>
      <c r="ESK1" s="87" t="n"/>
      <c r="ESL1" s="87" t="n"/>
      <c r="ESM1" s="87" t="n"/>
      <c r="ESN1" s="87" t="n"/>
      <c r="ESO1" s="87" t="n"/>
      <c r="ESP1" s="87" t="n"/>
      <c r="ESQ1" s="87" t="n"/>
      <c r="ESR1" s="87" t="n"/>
      <c r="ESS1" s="87" t="n"/>
      <c r="EST1" s="87" t="n"/>
      <c r="ESU1" s="87" t="n"/>
      <c r="ESV1" s="87" t="n"/>
      <c r="ESW1" s="87" t="n"/>
      <c r="ESX1" s="87" t="n"/>
      <c r="ESY1" s="87" t="n"/>
      <c r="ESZ1" s="87" t="n"/>
      <c r="ETA1" s="87" t="n"/>
      <c r="ETB1" s="87" t="n"/>
      <c r="ETC1" s="87" t="n"/>
      <c r="ETD1" s="87" t="n"/>
      <c r="ETE1" s="87" t="n"/>
      <c r="ETF1" s="87" t="n"/>
      <c r="ETG1" s="87" t="n"/>
      <c r="ETH1" s="87" t="n"/>
      <c r="ETI1" s="87" t="n"/>
      <c r="ETJ1" s="87" t="n"/>
      <c r="ETK1" s="87" t="n"/>
      <c r="ETL1" s="87" t="n"/>
      <c r="ETM1" s="87" t="n"/>
      <c r="ETN1" s="87" t="n"/>
      <c r="ETO1" s="87" t="n"/>
      <c r="ETP1" s="87" t="n"/>
      <c r="ETQ1" s="87" t="n"/>
      <c r="ETR1" s="87" t="n"/>
      <c r="ETS1" s="87" t="n"/>
      <c r="ETT1" s="87" t="n"/>
      <c r="ETU1" s="87" t="n"/>
      <c r="ETV1" s="87" t="n"/>
      <c r="ETW1" s="87" t="n"/>
      <c r="ETX1" s="87" t="n"/>
      <c r="ETY1" s="87" t="n"/>
      <c r="ETZ1" s="87" t="n"/>
      <c r="EUA1" s="87" t="n"/>
      <c r="EUB1" s="87" t="n"/>
      <c r="EUC1" s="87" t="n"/>
      <c r="EUD1" s="87" t="n"/>
      <c r="EUE1" s="87" t="n"/>
      <c r="EUF1" s="87" t="n"/>
      <c r="EUG1" s="87" t="n"/>
      <c r="EUH1" s="87" t="n"/>
      <c r="EUI1" s="87" t="n"/>
      <c r="EUJ1" s="87" t="n"/>
      <c r="EUK1" s="87" t="n"/>
      <c r="EUL1" s="87" t="n"/>
      <c r="EUM1" s="87" t="n"/>
      <c r="EUN1" s="87" t="n"/>
      <c r="EUO1" s="87" t="n"/>
      <c r="EUP1" s="87" t="n"/>
      <c r="EUQ1" s="87" t="n"/>
      <c r="EUR1" s="87" t="n"/>
      <c r="EUS1" s="87" t="n"/>
      <c r="EUT1" s="87" t="n"/>
      <c r="EUU1" s="87" t="n"/>
      <c r="EUV1" s="87" t="n"/>
      <c r="EUW1" s="87" t="n"/>
      <c r="EUX1" s="87" t="n"/>
      <c r="EUY1" s="87" t="n"/>
      <c r="EUZ1" s="87" t="n"/>
      <c r="EVA1" s="87" t="n"/>
      <c r="EVB1" s="87" t="n"/>
      <c r="EVC1" s="87" t="n"/>
      <c r="EVD1" s="87" t="n"/>
      <c r="EVE1" s="87" t="n"/>
      <c r="EVF1" s="87" t="n"/>
      <c r="EVG1" s="87" t="n"/>
      <c r="EVH1" s="87" t="n"/>
      <c r="EVI1" s="87" t="n"/>
      <c r="EVJ1" s="87" t="n"/>
      <c r="EVK1" s="87" t="n"/>
      <c r="EVL1" s="87" t="n"/>
      <c r="EVM1" s="87" t="n"/>
      <c r="EVN1" s="87" t="n"/>
      <c r="EVO1" s="87" t="n"/>
      <c r="EVP1" s="87" t="n"/>
      <c r="EVQ1" s="87" t="n"/>
      <c r="EVR1" s="87" t="n"/>
      <c r="EVS1" s="87" t="n"/>
      <c r="EVT1" s="87" t="n"/>
      <c r="EVU1" s="87" t="n"/>
      <c r="EVV1" s="87" t="n"/>
      <c r="EVW1" s="87" t="n"/>
      <c r="EVX1" s="87" t="n"/>
      <c r="EVY1" s="87" t="n"/>
      <c r="EVZ1" s="87" t="n"/>
      <c r="EWA1" s="87" t="n"/>
      <c r="EWB1" s="87" t="n"/>
      <c r="EWC1" s="87" t="n"/>
      <c r="EWD1" s="87" t="n"/>
      <c r="EWE1" s="87" t="n"/>
      <c r="EWF1" s="87" t="n"/>
      <c r="EWG1" s="87" t="n"/>
      <c r="EWH1" s="87" t="n"/>
      <c r="EWI1" s="87" t="n"/>
      <c r="EWJ1" s="87" t="n"/>
      <c r="EWK1" s="87" t="n"/>
      <c r="EWL1" s="87" t="n"/>
      <c r="EWM1" s="87" t="n"/>
      <c r="EWN1" s="87" t="n"/>
      <c r="EWO1" s="87" t="n"/>
      <c r="EWP1" s="87" t="n"/>
      <c r="EWQ1" s="87" t="n"/>
      <c r="EWR1" s="87" t="n"/>
      <c r="EWS1" s="87" t="n"/>
      <c r="EWT1" s="87" t="n"/>
      <c r="EWU1" s="87" t="n"/>
      <c r="EWV1" s="87" t="n"/>
      <c r="EWW1" s="87" t="n"/>
      <c r="EWX1" s="87" t="n"/>
      <c r="EWY1" s="87" t="n"/>
      <c r="EWZ1" s="87" t="n"/>
      <c r="EXA1" s="87" t="n"/>
      <c r="EXB1" s="87" t="n"/>
      <c r="EXC1" s="87" t="n"/>
      <c r="EXD1" s="87" t="n"/>
      <c r="EXE1" s="87" t="n"/>
      <c r="EXF1" s="87" t="n"/>
      <c r="EXG1" s="87" t="n"/>
      <c r="EXH1" s="87" t="n"/>
      <c r="EXI1" s="87" t="n"/>
      <c r="EXJ1" s="87" t="n"/>
      <c r="EXK1" s="87" t="n"/>
      <c r="EXL1" s="87" t="n"/>
      <c r="EXM1" s="87" t="n"/>
      <c r="EXN1" s="87" t="n"/>
      <c r="EXO1" s="87" t="n"/>
      <c r="EXP1" s="87" t="n"/>
      <c r="EXQ1" s="87" t="n"/>
      <c r="EXR1" s="87" t="n"/>
      <c r="EXS1" s="87" t="n"/>
      <c r="EXT1" s="87" t="n"/>
      <c r="EXU1" s="87" t="n"/>
      <c r="EXV1" s="87" t="n"/>
      <c r="EXW1" s="87" t="n"/>
      <c r="EXX1" s="87" t="n"/>
      <c r="EXY1" s="87" t="n"/>
      <c r="EXZ1" s="87" t="n"/>
      <c r="EYA1" s="87" t="n"/>
      <c r="EYB1" s="87" t="n"/>
      <c r="EYC1" s="87" t="n"/>
      <c r="EYD1" s="87" t="n"/>
      <c r="EYE1" s="87" t="n"/>
      <c r="EYF1" s="87" t="n"/>
      <c r="EYG1" s="87" t="n"/>
      <c r="EYH1" s="87" t="n"/>
      <c r="EYI1" s="87" t="n"/>
      <c r="EYJ1" s="87" t="n"/>
      <c r="EYK1" s="87" t="n"/>
      <c r="EYL1" s="87" t="n"/>
      <c r="EYM1" s="87" t="n"/>
      <c r="EYN1" s="87" t="n"/>
      <c r="EYO1" s="87" t="n"/>
      <c r="EYP1" s="87" t="n"/>
      <c r="EYQ1" s="87" t="n"/>
      <c r="EYR1" s="87" t="n"/>
      <c r="EYS1" s="87" t="n"/>
      <c r="EYT1" s="87" t="n"/>
      <c r="EYU1" s="87" t="n"/>
      <c r="EYV1" s="87" t="n"/>
      <c r="EYW1" s="87" t="n"/>
      <c r="EYX1" s="87" t="n"/>
      <c r="EYY1" s="87" t="n"/>
      <c r="EYZ1" s="87" t="n"/>
      <c r="EZA1" s="87" t="n"/>
      <c r="EZB1" s="87" t="n"/>
      <c r="EZC1" s="87" t="n"/>
      <c r="EZD1" s="87" t="n"/>
      <c r="EZE1" s="87" t="n"/>
      <c r="EZF1" s="87" t="n"/>
      <c r="EZG1" s="87" t="n"/>
      <c r="EZH1" s="87" t="n"/>
      <c r="EZI1" s="87" t="n"/>
      <c r="EZJ1" s="87" t="n"/>
      <c r="EZK1" s="87" t="n"/>
      <c r="EZL1" s="87" t="n"/>
      <c r="EZM1" s="87" t="n"/>
      <c r="EZN1" s="87" t="n"/>
      <c r="EZO1" s="87" t="n"/>
      <c r="EZP1" s="87" t="n"/>
      <c r="EZQ1" s="87" t="n"/>
      <c r="EZR1" s="87" t="n"/>
      <c r="EZS1" s="87" t="n"/>
      <c r="EZT1" s="87" t="n"/>
      <c r="EZU1" s="87" t="n"/>
      <c r="EZV1" s="87" t="n"/>
      <c r="EZW1" s="87" t="n"/>
      <c r="EZX1" s="87" t="n"/>
      <c r="EZY1" s="87" t="n"/>
      <c r="EZZ1" s="87" t="n"/>
      <c r="FAA1" s="87" t="n"/>
      <c r="FAB1" s="87" t="n"/>
      <c r="FAC1" s="87" t="n"/>
      <c r="FAD1" s="87" t="n"/>
      <c r="FAE1" s="87" t="n"/>
      <c r="FAF1" s="87" t="n"/>
      <c r="FAG1" s="87" t="n"/>
      <c r="FAH1" s="87" t="n"/>
      <c r="FAI1" s="87" t="n"/>
      <c r="FAJ1" s="87" t="n"/>
      <c r="FAK1" s="87" t="n"/>
      <c r="FAL1" s="87" t="n"/>
      <c r="FAM1" s="87" t="n"/>
      <c r="FAN1" s="87" t="n"/>
      <c r="FAO1" s="87" t="n"/>
      <c r="FAP1" s="87" t="n"/>
      <c r="FAQ1" s="87" t="n"/>
      <c r="FAR1" s="87" t="n"/>
      <c r="FAS1" s="87" t="n"/>
      <c r="FAT1" s="87" t="n"/>
      <c r="FAU1" s="87" t="n"/>
      <c r="FAV1" s="87" t="n"/>
      <c r="FAW1" s="87" t="n"/>
      <c r="FAX1" s="87" t="n"/>
      <c r="FAY1" s="87" t="n"/>
      <c r="FAZ1" s="87" t="n"/>
      <c r="FBA1" s="87" t="n"/>
      <c r="FBB1" s="87" t="n"/>
      <c r="FBC1" s="87" t="n"/>
      <c r="FBD1" s="87" t="n"/>
      <c r="FBE1" s="87" t="n"/>
      <c r="FBF1" s="87" t="n"/>
      <c r="FBG1" s="87" t="n"/>
      <c r="FBH1" s="87" t="n"/>
      <c r="FBI1" s="87" t="n"/>
      <c r="FBJ1" s="87" t="n"/>
      <c r="FBK1" s="87" t="n"/>
      <c r="FBL1" s="87" t="n"/>
      <c r="FBM1" s="87" t="n"/>
      <c r="FBN1" s="87" t="n"/>
      <c r="FBO1" s="87" t="n"/>
      <c r="FBP1" s="87" t="n"/>
      <c r="FBQ1" s="87" t="n"/>
      <c r="FBR1" s="87" t="n"/>
      <c r="FBS1" s="87" t="n"/>
      <c r="FBT1" s="87" t="n"/>
      <c r="FBU1" s="87" t="n"/>
      <c r="FBV1" s="87" t="n"/>
      <c r="FBW1" s="87" t="n"/>
      <c r="FBX1" s="87" t="n"/>
      <c r="FBY1" s="87" t="n"/>
      <c r="FBZ1" s="87" t="n"/>
      <c r="FCA1" s="87" t="n"/>
      <c r="FCB1" s="87" t="n"/>
      <c r="FCC1" s="87" t="n"/>
      <c r="FCD1" s="87" t="n"/>
      <c r="FCE1" s="87" t="n"/>
      <c r="FCF1" s="87" t="n"/>
      <c r="FCG1" s="87" t="n"/>
      <c r="FCH1" s="87" t="n"/>
      <c r="FCI1" s="87" t="n"/>
      <c r="FCJ1" s="87" t="n"/>
      <c r="FCK1" s="87" t="n"/>
      <c r="FCL1" s="87" t="n"/>
      <c r="FCM1" s="87" t="n"/>
      <c r="FCN1" s="87" t="n"/>
      <c r="FCO1" s="87" t="n"/>
      <c r="FCP1" s="87" t="n"/>
      <c r="FCQ1" s="87" t="n"/>
      <c r="FCR1" s="87" t="n"/>
      <c r="FCS1" s="87" t="n"/>
      <c r="FCT1" s="87" t="n"/>
      <c r="FCU1" s="87" t="n"/>
      <c r="FCV1" s="87" t="n"/>
      <c r="FCW1" s="87" t="n"/>
      <c r="FCX1" s="87" t="n"/>
      <c r="FCY1" s="87" t="n"/>
      <c r="FCZ1" s="87" t="n"/>
      <c r="FDA1" s="87" t="n"/>
      <c r="FDB1" s="87" t="n"/>
      <c r="FDC1" s="87" t="n"/>
      <c r="FDD1" s="87" t="n"/>
      <c r="FDE1" s="87" t="n"/>
      <c r="FDF1" s="87" t="n"/>
      <c r="FDG1" s="87" t="n"/>
      <c r="FDH1" s="87" t="n"/>
      <c r="FDI1" s="87" t="n"/>
      <c r="FDJ1" s="87" t="n"/>
      <c r="FDK1" s="87" t="n"/>
      <c r="FDL1" s="87" t="n"/>
      <c r="FDM1" s="87" t="n"/>
      <c r="FDN1" s="87" t="n"/>
      <c r="FDO1" s="87" t="n"/>
      <c r="FDP1" s="87" t="n"/>
      <c r="FDQ1" s="87" t="n"/>
      <c r="FDR1" s="87" t="n"/>
      <c r="FDS1" s="87" t="n"/>
      <c r="FDT1" s="87" t="n"/>
      <c r="FDU1" s="87" t="n"/>
      <c r="FDV1" s="87" t="n"/>
      <c r="FDW1" s="87" t="n"/>
      <c r="FDX1" s="87" t="n"/>
      <c r="FDY1" s="87" t="n"/>
      <c r="FDZ1" s="87" t="n"/>
      <c r="FEA1" s="87" t="n"/>
      <c r="FEB1" s="87" t="n"/>
      <c r="FEC1" s="87" t="n"/>
      <c r="FED1" s="87" t="n"/>
      <c r="FEE1" s="87" t="n"/>
      <c r="FEF1" s="87" t="n"/>
      <c r="FEG1" s="87" t="n"/>
      <c r="FEH1" s="87" t="n"/>
      <c r="FEI1" s="87" t="n"/>
      <c r="FEJ1" s="87" t="n"/>
      <c r="FEK1" s="87" t="n"/>
      <c r="FEL1" s="87" t="n"/>
      <c r="FEM1" s="87" t="n"/>
      <c r="FEN1" s="87" t="n"/>
      <c r="FEO1" s="87" t="n"/>
      <c r="FEP1" s="87" t="n"/>
      <c r="FEQ1" s="87" t="n"/>
      <c r="FER1" s="87" t="n"/>
      <c r="FES1" s="87" t="n"/>
      <c r="FET1" s="87" t="n"/>
      <c r="FEU1" s="87" t="n"/>
      <c r="FEV1" s="87" t="n"/>
      <c r="FEW1" s="87" t="n"/>
      <c r="FEX1" s="87" t="n"/>
      <c r="FEY1" s="87" t="n"/>
      <c r="FEZ1" s="87" t="n"/>
      <c r="FFA1" s="87" t="n"/>
      <c r="FFB1" s="87" t="n"/>
      <c r="FFC1" s="87" t="n"/>
      <c r="FFD1" s="87" t="n"/>
      <c r="FFE1" s="87" t="n"/>
      <c r="FFF1" s="87" t="n"/>
      <c r="FFG1" s="87" t="n"/>
      <c r="FFH1" s="87" t="n"/>
      <c r="FFI1" s="87" t="n"/>
      <c r="FFJ1" s="87" t="n"/>
      <c r="FFK1" s="87" t="n"/>
      <c r="FFL1" s="87" t="n"/>
      <c r="FFM1" s="87" t="n"/>
      <c r="FFN1" s="87" t="n"/>
      <c r="FFO1" s="87" t="n"/>
      <c r="FFP1" s="87" t="n"/>
      <c r="FFQ1" s="87" t="n"/>
      <c r="FFR1" s="87" t="n"/>
      <c r="FFS1" s="87" t="n"/>
      <c r="FFT1" s="87" t="n"/>
      <c r="FFU1" s="87" t="n"/>
      <c r="FFV1" s="87" t="n"/>
      <c r="FFW1" s="87" t="n"/>
      <c r="FFX1" s="87" t="n"/>
      <c r="FFY1" s="87" t="n"/>
      <c r="FFZ1" s="87" t="n"/>
      <c r="FGA1" s="87" t="n"/>
      <c r="FGB1" s="87" t="n"/>
      <c r="FGC1" s="87" t="n"/>
      <c r="FGD1" s="87" t="n"/>
      <c r="FGE1" s="87" t="n"/>
      <c r="FGF1" s="87" t="n"/>
      <c r="FGG1" s="87" t="n"/>
      <c r="FGH1" s="87" t="n"/>
      <c r="FGI1" s="87" t="n"/>
      <c r="FGJ1" s="87" t="n"/>
      <c r="FGK1" s="87" t="n"/>
      <c r="FGL1" s="87" t="n"/>
      <c r="FGM1" s="87" t="n"/>
      <c r="FGN1" s="87" t="n"/>
      <c r="FGO1" s="87" t="n"/>
      <c r="FGP1" s="87" t="n"/>
      <c r="FGQ1" s="87" t="n"/>
      <c r="FGR1" s="87" t="n"/>
      <c r="FGS1" s="87" t="n"/>
      <c r="FGT1" s="87" t="n"/>
      <c r="FGU1" s="87" t="n"/>
      <c r="FGV1" s="87" t="n"/>
      <c r="FGW1" s="87" t="n"/>
      <c r="FGX1" s="87" t="n"/>
      <c r="FGY1" s="87" t="n"/>
      <c r="FGZ1" s="87" t="n"/>
      <c r="FHA1" s="87" t="n"/>
      <c r="FHB1" s="87" t="n"/>
      <c r="FHC1" s="87" t="n"/>
      <c r="FHD1" s="87" t="n"/>
      <c r="FHE1" s="87" t="n"/>
      <c r="FHF1" s="87" t="n"/>
      <c r="FHG1" s="87" t="n"/>
      <c r="FHH1" s="87" t="n"/>
      <c r="FHI1" s="87" t="n"/>
      <c r="FHJ1" s="87" t="n"/>
      <c r="FHK1" s="87" t="n"/>
      <c r="FHL1" s="87" t="n"/>
      <c r="FHM1" s="87" t="n"/>
      <c r="FHN1" s="87" t="n"/>
      <c r="FHO1" s="87" t="n"/>
      <c r="FHP1" s="87" t="n"/>
      <c r="FHQ1" s="87" t="n"/>
      <c r="FHR1" s="87" t="n"/>
      <c r="FHS1" s="87" t="n"/>
      <c r="FHT1" s="87" t="n"/>
      <c r="FHU1" s="87" t="n"/>
      <c r="FHV1" s="87" t="n"/>
      <c r="FHW1" s="87" t="n"/>
      <c r="FHX1" s="87" t="n"/>
      <c r="FHY1" s="87" t="n"/>
      <c r="FHZ1" s="87" t="n"/>
      <c r="FIA1" s="87" t="n"/>
      <c r="FIB1" s="87" t="n"/>
      <c r="FIC1" s="87" t="n"/>
      <c r="FID1" s="87" t="n"/>
      <c r="FIE1" s="87" t="n"/>
      <c r="FIF1" s="87" t="n"/>
      <c r="FIG1" s="87" t="n"/>
      <c r="FIH1" s="87" t="n"/>
      <c r="FII1" s="87" t="n"/>
      <c r="FIJ1" s="87" t="n"/>
      <c r="FIK1" s="87" t="n"/>
      <c r="FIL1" s="87" t="n"/>
      <c r="FIM1" s="87" t="n"/>
      <c r="FIN1" s="87" t="n"/>
      <c r="FIO1" s="87" t="n"/>
      <c r="FIP1" s="87" t="n"/>
      <c r="FIQ1" s="87" t="n"/>
      <c r="FIR1" s="87" t="n"/>
      <c r="FIS1" s="87" t="n"/>
      <c r="FIT1" s="87" t="n"/>
      <c r="FIU1" s="87" t="n"/>
      <c r="FIV1" s="87" t="n"/>
      <c r="FIW1" s="87" t="n"/>
      <c r="FIX1" s="87" t="n"/>
      <c r="FIY1" s="87" t="n"/>
      <c r="FIZ1" s="87" t="n"/>
      <c r="FJA1" s="87" t="n"/>
      <c r="FJB1" s="87" t="n"/>
      <c r="FJC1" s="87" t="n"/>
      <c r="FJD1" s="87" t="n"/>
      <c r="FJE1" s="87" t="n"/>
      <c r="FJF1" s="87" t="n"/>
      <c r="FJG1" s="87" t="n"/>
      <c r="FJH1" s="87" t="n"/>
      <c r="FJI1" s="87" t="n"/>
      <c r="FJJ1" s="87" t="n"/>
      <c r="FJK1" s="87" t="n"/>
      <c r="FJL1" s="87" t="n"/>
      <c r="FJM1" s="87" t="n"/>
      <c r="FJN1" s="87" t="n"/>
      <c r="FJO1" s="87" t="n"/>
      <c r="FJP1" s="87" t="n"/>
      <c r="FJQ1" s="87" t="n"/>
      <c r="FJR1" s="87" t="n"/>
      <c r="FJS1" s="87" t="n"/>
      <c r="FJT1" s="87" t="n"/>
      <c r="FJU1" s="87" t="n"/>
      <c r="FJV1" s="87" t="n"/>
      <c r="FJW1" s="87" t="n"/>
      <c r="FJX1" s="87" t="n"/>
      <c r="FJY1" s="87" t="n"/>
      <c r="FJZ1" s="87" t="n"/>
      <c r="FKA1" s="87" t="n"/>
      <c r="FKB1" s="87" t="n"/>
      <c r="FKC1" s="87" t="n"/>
      <c r="FKD1" s="87" t="n"/>
      <c r="FKE1" s="87" t="n"/>
      <c r="FKF1" s="87" t="n"/>
      <c r="FKG1" s="87" t="n"/>
      <c r="FKH1" s="87" t="n"/>
      <c r="FKI1" s="87" t="n"/>
      <c r="FKJ1" s="87" t="n"/>
      <c r="FKK1" s="87" t="n"/>
      <c r="FKL1" s="87" t="n"/>
      <c r="FKM1" s="87" t="n"/>
      <c r="FKN1" s="87" t="n"/>
      <c r="FKO1" s="87" t="n"/>
      <c r="FKP1" s="87" t="n"/>
      <c r="FKQ1" s="87" t="n"/>
      <c r="FKR1" s="87" t="n"/>
      <c r="FKS1" s="87" t="n"/>
      <c r="FKT1" s="87" t="n"/>
      <c r="FKU1" s="87" t="n"/>
      <c r="FKV1" s="87" t="n"/>
      <c r="FKW1" s="87" t="n"/>
      <c r="FKX1" s="87" t="n"/>
      <c r="FKY1" s="87" t="n"/>
      <c r="FKZ1" s="87" t="n"/>
      <c r="FLA1" s="87" t="n"/>
      <c r="FLB1" s="87" t="n"/>
      <c r="FLC1" s="87" t="n"/>
      <c r="FLD1" s="87" t="n"/>
      <c r="FLE1" s="87" t="n"/>
      <c r="FLF1" s="87" t="n"/>
      <c r="FLG1" s="87" t="n"/>
      <c r="FLH1" s="87" t="n"/>
      <c r="FLI1" s="87" t="n"/>
      <c r="FLJ1" s="87" t="n"/>
      <c r="FLK1" s="87" t="n"/>
      <c r="FLL1" s="87" t="n"/>
      <c r="FLM1" s="87" t="n"/>
      <c r="FLN1" s="87" t="n"/>
      <c r="FLO1" s="87" t="n"/>
      <c r="FLP1" s="87" t="n"/>
      <c r="FLQ1" s="87" t="n"/>
      <c r="FLR1" s="87" t="n"/>
      <c r="FLS1" s="87" t="n"/>
      <c r="FLT1" s="87" t="n"/>
      <c r="FLU1" s="87" t="n"/>
      <c r="FLV1" s="87" t="n"/>
      <c r="FLW1" s="87" t="n"/>
      <c r="FLX1" s="87" t="n"/>
      <c r="FLY1" s="87" t="n"/>
      <c r="FLZ1" s="87" t="n"/>
      <c r="FMA1" s="87" t="n"/>
      <c r="FMB1" s="87" t="n"/>
      <c r="FMC1" s="87" t="n"/>
      <c r="FMD1" s="87" t="n"/>
      <c r="FME1" s="87" t="n"/>
      <c r="FMF1" s="87" t="n"/>
      <c r="FMG1" s="87" t="n"/>
      <c r="FMH1" s="87" t="n"/>
      <c r="FMI1" s="87" t="n"/>
      <c r="FMJ1" s="87" t="n"/>
      <c r="FMK1" s="87" t="n"/>
      <c r="FML1" s="87" t="n"/>
      <c r="FMM1" s="87" t="n"/>
      <c r="FMN1" s="87" t="n"/>
      <c r="FMO1" s="87" t="n"/>
      <c r="FMP1" s="87" t="n"/>
      <c r="FMQ1" s="87" t="n"/>
      <c r="FMR1" s="87" t="n"/>
      <c r="FMS1" s="87" t="n"/>
      <c r="FMT1" s="87" t="n"/>
      <c r="FMU1" s="87" t="n"/>
      <c r="FMV1" s="87" t="n"/>
      <c r="FMW1" s="87" t="n"/>
      <c r="FMX1" s="87" t="n"/>
      <c r="FMY1" s="87" t="n"/>
      <c r="FMZ1" s="87" t="n"/>
      <c r="FNA1" s="87" t="n"/>
      <c r="FNB1" s="87" t="n"/>
      <c r="FNC1" s="87" t="n"/>
      <c r="FND1" s="87" t="n"/>
      <c r="FNE1" s="87" t="n"/>
      <c r="FNF1" s="87" t="n"/>
      <c r="FNG1" s="87" t="n"/>
      <c r="FNH1" s="87" t="n"/>
      <c r="FNI1" s="87" t="n"/>
      <c r="FNJ1" s="87" t="n"/>
      <c r="FNK1" s="87" t="n"/>
      <c r="FNL1" s="87" t="n"/>
      <c r="FNM1" s="87" t="n"/>
      <c r="FNN1" s="87" t="n"/>
      <c r="FNO1" s="87" t="n"/>
      <c r="FNP1" s="87" t="n"/>
      <c r="FNQ1" s="87" t="n"/>
      <c r="FNR1" s="87" t="n"/>
      <c r="FNS1" s="87" t="n"/>
      <c r="FNT1" s="87" t="n"/>
      <c r="FNU1" s="87" t="n"/>
      <c r="FNV1" s="87" t="n"/>
      <c r="FNW1" s="87" t="n"/>
      <c r="FNX1" s="87" t="n"/>
      <c r="FNY1" s="87" t="n"/>
      <c r="FNZ1" s="87" t="n"/>
      <c r="FOA1" s="87" t="n"/>
      <c r="FOB1" s="87" t="n"/>
      <c r="FOC1" s="87" t="n"/>
      <c r="FOD1" s="87" t="n"/>
      <c r="FOE1" s="87" t="n"/>
      <c r="FOF1" s="87" t="n"/>
      <c r="FOG1" s="87" t="n"/>
      <c r="FOH1" s="87" t="n"/>
      <c r="FOI1" s="87" t="n"/>
      <c r="FOJ1" s="87" t="n"/>
      <c r="FOK1" s="87" t="n"/>
      <c r="FOL1" s="87" t="n"/>
      <c r="FOM1" s="87" t="n"/>
      <c r="FON1" s="87" t="n"/>
      <c r="FOO1" s="87" t="n"/>
      <c r="FOP1" s="87" t="n"/>
      <c r="FOQ1" s="87" t="n"/>
      <c r="FOR1" s="87" t="n"/>
      <c r="FOS1" s="87" t="n"/>
      <c r="FOT1" s="87" t="n"/>
      <c r="FOU1" s="87" t="n"/>
      <c r="FOV1" s="87" t="n"/>
      <c r="FOW1" s="87" t="n"/>
      <c r="FOX1" s="87" t="n"/>
      <c r="FOY1" s="87" t="n"/>
      <c r="FOZ1" s="87" t="n"/>
      <c r="FPA1" s="87" t="n"/>
      <c r="FPB1" s="87" t="n"/>
      <c r="FPC1" s="87" t="n"/>
      <c r="FPD1" s="87" t="n"/>
      <c r="FPE1" s="87" t="n"/>
      <c r="FPF1" s="87" t="n"/>
      <c r="FPG1" s="87" t="n"/>
      <c r="FPH1" s="87" t="n"/>
      <c r="FPI1" s="87" t="n"/>
      <c r="FPJ1" s="87" t="n"/>
      <c r="FPK1" s="87" t="n"/>
      <c r="FPL1" s="87" t="n"/>
      <c r="FPM1" s="87" t="n"/>
      <c r="FPN1" s="87" t="n"/>
      <c r="FPO1" s="87" t="n"/>
      <c r="FPP1" s="87" t="n"/>
      <c r="FPQ1" s="87" t="n"/>
      <c r="FPR1" s="87" t="n"/>
      <c r="FPS1" s="87" t="n"/>
      <c r="FPT1" s="87" t="n"/>
      <c r="FPU1" s="87" t="n"/>
      <c r="FPV1" s="87" t="n"/>
      <c r="FPW1" s="87" t="n"/>
      <c r="FPX1" s="87" t="n"/>
      <c r="FPY1" s="87" t="n"/>
      <c r="FPZ1" s="87" t="n"/>
      <c r="FQA1" s="87" t="n"/>
      <c r="FQB1" s="87" t="n"/>
      <c r="FQC1" s="87" t="n"/>
      <c r="FQD1" s="87" t="n"/>
      <c r="FQE1" s="87" t="n"/>
      <c r="FQF1" s="87" t="n"/>
      <c r="FQG1" s="87" t="n"/>
      <c r="FQH1" s="87" t="n"/>
      <c r="FQI1" s="87" t="n"/>
      <c r="FQJ1" s="87" t="n"/>
      <c r="FQK1" s="87" t="n"/>
      <c r="FQL1" s="87" t="n"/>
      <c r="FQM1" s="87" t="n"/>
      <c r="FQN1" s="87" t="n"/>
      <c r="FQO1" s="87" t="n"/>
      <c r="FQP1" s="87" t="n"/>
      <c r="FQQ1" s="87" t="n"/>
      <c r="FQR1" s="87" t="n"/>
      <c r="FQS1" s="87" t="n"/>
      <c r="FQT1" s="87" t="n"/>
      <c r="FQU1" s="87" t="n"/>
      <c r="FQV1" s="87" t="n"/>
      <c r="FQW1" s="87" t="n"/>
      <c r="FQX1" s="87" t="n"/>
      <c r="FQY1" s="87" t="n"/>
      <c r="FQZ1" s="87" t="n"/>
      <c r="FRA1" s="87" t="n"/>
      <c r="FRB1" s="87" t="n"/>
      <c r="FRC1" s="87" t="n"/>
      <c r="FRD1" s="87" t="n"/>
      <c r="FRE1" s="87" t="n"/>
      <c r="FRF1" s="87" t="n"/>
      <c r="FRG1" s="87" t="n"/>
      <c r="FRH1" s="87" t="n"/>
      <c r="FRI1" s="87" t="n"/>
      <c r="FRJ1" s="87" t="n"/>
      <c r="FRK1" s="87" t="n"/>
      <c r="FRL1" s="87" t="n"/>
      <c r="FRM1" s="87" t="n"/>
      <c r="FRN1" s="87" t="n"/>
      <c r="FRO1" s="87" t="n"/>
      <c r="FRP1" s="87" t="n"/>
      <c r="FRQ1" s="87" t="n"/>
      <c r="FRR1" s="87" t="n"/>
      <c r="FRS1" s="87" t="n"/>
      <c r="FRT1" s="87" t="n"/>
      <c r="FRU1" s="87" t="n"/>
      <c r="FRV1" s="87" t="n"/>
      <c r="FRW1" s="87" t="n"/>
      <c r="FRX1" s="87" t="n"/>
      <c r="FRY1" s="87" t="n"/>
      <c r="FRZ1" s="87" t="n"/>
      <c r="FSA1" s="87" t="n"/>
      <c r="FSB1" s="87" t="n"/>
      <c r="FSC1" s="87" t="n"/>
      <c r="FSD1" s="87" t="n"/>
      <c r="FSE1" s="87" t="n"/>
      <c r="FSF1" s="87" t="n"/>
      <c r="FSG1" s="87" t="n"/>
      <c r="FSH1" s="87" t="n"/>
      <c r="FSI1" s="87" t="n"/>
      <c r="FSJ1" s="87" t="n"/>
      <c r="FSK1" s="87" t="n"/>
      <c r="FSL1" s="87" t="n"/>
      <c r="FSM1" s="87" t="n"/>
      <c r="FSN1" s="87" t="n"/>
      <c r="FSO1" s="87" t="n"/>
      <c r="FSP1" s="87" t="n"/>
      <c r="FSQ1" s="87" t="n"/>
      <c r="FSR1" s="87" t="n"/>
      <c r="FSS1" s="87" t="n"/>
      <c r="FST1" s="87" t="n"/>
      <c r="FSU1" s="87" t="n"/>
      <c r="FSV1" s="87" t="n"/>
      <c r="FSW1" s="87" t="n"/>
      <c r="FSX1" s="87" t="n"/>
      <c r="FSY1" s="87" t="n"/>
      <c r="FSZ1" s="87" t="n"/>
      <c r="FTA1" s="87" t="n"/>
      <c r="FTB1" s="87" t="n"/>
      <c r="FTC1" s="87" t="n"/>
      <c r="FTD1" s="87" t="n"/>
      <c r="FTE1" s="87" t="n"/>
      <c r="FTF1" s="87" t="n"/>
      <c r="FTG1" s="87" t="n"/>
      <c r="FTH1" s="87" t="n"/>
      <c r="FTI1" s="87" t="n"/>
      <c r="FTJ1" s="87" t="n"/>
      <c r="FTK1" s="87" t="n"/>
      <c r="FTL1" s="87" t="n"/>
      <c r="FTM1" s="87" t="n"/>
      <c r="FTN1" s="87" t="n"/>
      <c r="FTO1" s="87" t="n"/>
      <c r="FTP1" s="87" t="n"/>
      <c r="FTQ1" s="87" t="n"/>
      <c r="FTR1" s="87" t="n"/>
      <c r="FTS1" s="87" t="n"/>
      <c r="FTT1" s="87" t="n"/>
      <c r="FTU1" s="87" t="n"/>
      <c r="FTV1" s="87" t="n"/>
      <c r="FTW1" s="87" t="n"/>
      <c r="FTX1" s="87" t="n"/>
      <c r="FTY1" s="87" t="n"/>
      <c r="FTZ1" s="87" t="n"/>
      <c r="FUA1" s="87" t="n"/>
      <c r="FUB1" s="87" t="n"/>
      <c r="FUC1" s="87" t="n"/>
      <c r="FUD1" s="87" t="n"/>
      <c r="FUE1" s="87" t="n"/>
      <c r="FUF1" s="87" t="n"/>
      <c r="FUG1" s="87" t="n"/>
      <c r="FUH1" s="87" t="n"/>
      <c r="FUI1" s="87" t="n"/>
      <c r="FUJ1" s="87" t="n"/>
      <c r="FUK1" s="87" t="n"/>
      <c r="FUL1" s="87" t="n"/>
      <c r="FUM1" s="87" t="n"/>
      <c r="FUN1" s="87" t="n"/>
      <c r="FUO1" s="87" t="n"/>
      <c r="FUP1" s="87" t="n"/>
      <c r="FUQ1" s="87" t="n"/>
      <c r="FUR1" s="87" t="n"/>
      <c r="FUS1" s="87" t="n"/>
      <c r="FUT1" s="87" t="n"/>
      <c r="FUU1" s="87" t="n"/>
      <c r="FUV1" s="87" t="n"/>
      <c r="FUW1" s="87" t="n"/>
      <c r="FUX1" s="87" t="n"/>
      <c r="FUY1" s="87" t="n"/>
      <c r="FUZ1" s="87" t="n"/>
      <c r="FVA1" s="87" t="n"/>
      <c r="FVB1" s="87" t="n"/>
      <c r="FVC1" s="87" t="n"/>
      <c r="FVD1" s="87" t="n"/>
      <c r="FVE1" s="87" t="n"/>
      <c r="FVF1" s="87" t="n"/>
      <c r="FVG1" s="87" t="n"/>
      <c r="FVH1" s="87" t="n"/>
      <c r="FVI1" s="87" t="n"/>
      <c r="FVJ1" s="87" t="n"/>
      <c r="FVK1" s="87" t="n"/>
      <c r="FVL1" s="87" t="n"/>
      <c r="FVM1" s="87" t="n"/>
      <c r="FVN1" s="87" t="n"/>
      <c r="FVO1" s="87" t="n"/>
      <c r="FVP1" s="87" t="n"/>
      <c r="FVQ1" s="87" t="n"/>
      <c r="FVR1" s="87" t="n"/>
      <c r="FVS1" s="87" t="n"/>
      <c r="FVT1" s="87" t="n"/>
      <c r="FVU1" s="87" t="n"/>
      <c r="FVV1" s="87" t="n"/>
      <c r="FVW1" s="87" t="n"/>
      <c r="FVX1" s="87" t="n"/>
      <c r="FVY1" s="87" t="n"/>
      <c r="FVZ1" s="87" t="n"/>
      <c r="FWA1" s="87" t="n"/>
      <c r="FWB1" s="87" t="n"/>
      <c r="FWC1" s="87" t="n"/>
      <c r="FWD1" s="87" t="n"/>
      <c r="FWE1" s="87" t="n"/>
      <c r="FWF1" s="87" t="n"/>
      <c r="FWG1" s="87" t="n"/>
      <c r="FWH1" s="87" t="n"/>
      <c r="FWI1" s="87" t="n"/>
      <c r="FWJ1" s="87" t="n"/>
      <c r="FWK1" s="87" t="n"/>
      <c r="FWL1" s="87" t="n"/>
      <c r="FWM1" s="87" t="n"/>
      <c r="FWN1" s="87" t="n"/>
      <c r="FWO1" s="87" t="n"/>
      <c r="FWP1" s="87" t="n"/>
      <c r="FWQ1" s="87" t="n"/>
      <c r="FWR1" s="87" t="n"/>
      <c r="FWS1" s="87" t="n"/>
      <c r="FWT1" s="87" t="n"/>
      <c r="FWU1" s="87" t="n"/>
      <c r="FWV1" s="87" t="n"/>
      <c r="FWW1" s="87" t="n"/>
      <c r="FWX1" s="87" t="n"/>
      <c r="FWY1" s="87" t="n"/>
      <c r="FWZ1" s="87" t="n"/>
      <c r="FXA1" s="87" t="n"/>
      <c r="FXB1" s="87" t="n"/>
      <c r="FXC1" s="87" t="n"/>
      <c r="FXD1" s="87" t="n"/>
      <c r="FXE1" s="87" t="n"/>
      <c r="FXF1" s="87" t="n"/>
      <c r="FXG1" s="87" t="n"/>
      <c r="FXH1" s="87" t="n"/>
      <c r="FXI1" s="87" t="n"/>
      <c r="FXJ1" s="87" t="n"/>
      <c r="FXK1" s="87" t="n"/>
      <c r="FXL1" s="87" t="n"/>
      <c r="FXM1" s="87" t="n"/>
      <c r="FXN1" s="87" t="n"/>
      <c r="FXO1" s="87" t="n"/>
      <c r="FXP1" s="87" t="n"/>
      <c r="FXQ1" s="87" t="n"/>
      <c r="FXR1" s="87" t="n"/>
      <c r="FXS1" s="87" t="n"/>
      <c r="FXT1" s="87" t="n"/>
      <c r="FXU1" s="87" t="n"/>
      <c r="FXV1" s="87" t="n"/>
      <c r="FXW1" s="87" t="n"/>
      <c r="FXX1" s="87" t="n"/>
      <c r="FXY1" s="87" t="n"/>
      <c r="FXZ1" s="87" t="n"/>
      <c r="FYA1" s="87" t="n"/>
      <c r="FYB1" s="87" t="n"/>
      <c r="FYC1" s="87" t="n"/>
      <c r="FYD1" s="87" t="n"/>
      <c r="FYE1" s="87" t="n"/>
      <c r="FYF1" s="87" t="n"/>
      <c r="FYG1" s="87" t="n"/>
      <c r="FYH1" s="87" t="n"/>
      <c r="FYI1" s="87" t="n"/>
      <c r="FYJ1" s="87" t="n"/>
      <c r="FYK1" s="87" t="n"/>
      <c r="FYL1" s="87" t="n"/>
      <c r="FYM1" s="87" t="n"/>
      <c r="FYN1" s="87" t="n"/>
      <c r="FYO1" s="87" t="n"/>
      <c r="FYP1" s="87" t="n"/>
      <c r="FYQ1" s="87" t="n"/>
      <c r="FYR1" s="87" t="n"/>
      <c r="FYS1" s="87" t="n"/>
      <c r="FYT1" s="87" t="n"/>
      <c r="FYU1" s="87" t="n"/>
      <c r="FYV1" s="87" t="n"/>
      <c r="FYW1" s="87" t="n"/>
      <c r="FYX1" s="87" t="n"/>
      <c r="FYY1" s="87" t="n"/>
      <c r="FYZ1" s="87" t="n"/>
      <c r="FZA1" s="87" t="n"/>
      <c r="FZB1" s="87" t="n"/>
      <c r="FZC1" s="87" t="n"/>
      <c r="FZD1" s="87" t="n"/>
      <c r="FZE1" s="87" t="n"/>
      <c r="FZF1" s="87" t="n"/>
      <c r="FZG1" s="87" t="n"/>
      <c r="FZH1" s="87" t="n"/>
      <c r="FZI1" s="87" t="n"/>
      <c r="FZJ1" s="87" t="n"/>
      <c r="FZK1" s="87" t="n"/>
      <c r="FZL1" s="87" t="n"/>
      <c r="FZM1" s="87" t="n"/>
      <c r="FZN1" s="87" t="n"/>
      <c r="FZO1" s="87" t="n"/>
      <c r="FZP1" s="87" t="n"/>
      <c r="FZQ1" s="87" t="n"/>
      <c r="FZR1" s="87" t="n"/>
      <c r="FZS1" s="87" t="n"/>
      <c r="FZT1" s="87" t="n"/>
      <c r="FZU1" s="87" t="n"/>
      <c r="FZV1" s="87" t="n"/>
      <c r="FZW1" s="87" t="n"/>
      <c r="FZX1" s="87" t="n"/>
      <c r="FZY1" s="87" t="n"/>
      <c r="FZZ1" s="87" t="n"/>
      <c r="GAA1" s="87" t="n"/>
      <c r="GAB1" s="87" t="n"/>
      <c r="GAC1" s="87" t="n"/>
      <c r="GAD1" s="87" t="n"/>
      <c r="GAE1" s="87" t="n"/>
      <c r="GAF1" s="87" t="n"/>
      <c r="GAG1" s="87" t="n"/>
      <c r="GAH1" s="87" t="n"/>
      <c r="GAI1" s="87" t="n"/>
      <c r="GAJ1" s="87" t="n"/>
      <c r="GAK1" s="87" t="n"/>
      <c r="GAL1" s="87" t="n"/>
      <c r="GAM1" s="87" t="n"/>
      <c r="GAN1" s="87" t="n"/>
      <c r="GAO1" s="87" t="n"/>
      <c r="GAP1" s="87" t="n"/>
      <c r="GAQ1" s="87" t="n"/>
      <c r="GAR1" s="87" t="n"/>
      <c r="GAS1" s="87" t="n"/>
      <c r="GAT1" s="87" t="n"/>
      <c r="GAU1" s="87" t="n"/>
      <c r="GAV1" s="87" t="n"/>
      <c r="GAW1" s="87" t="n"/>
      <c r="GAX1" s="87" t="n"/>
      <c r="GAY1" s="87" t="n"/>
      <c r="GAZ1" s="87" t="n"/>
      <c r="GBA1" s="87" t="n"/>
      <c r="GBB1" s="87" t="n"/>
      <c r="GBC1" s="87" t="n"/>
      <c r="GBD1" s="87" t="n"/>
      <c r="GBE1" s="87" t="n"/>
      <c r="GBF1" s="87" t="n"/>
      <c r="GBG1" s="87" t="n"/>
      <c r="GBH1" s="87" t="n"/>
      <c r="GBI1" s="87" t="n"/>
      <c r="GBJ1" s="87" t="n"/>
      <c r="GBK1" s="87" t="n"/>
      <c r="GBL1" s="87" t="n"/>
      <c r="GBM1" s="87" t="n"/>
      <c r="GBN1" s="87" t="n"/>
      <c r="GBO1" s="87" t="n"/>
      <c r="GBP1" s="87" t="n"/>
      <c r="GBQ1" s="87" t="n"/>
      <c r="GBR1" s="87" t="n"/>
      <c r="GBS1" s="87" t="n"/>
      <c r="GBT1" s="87" t="n"/>
      <c r="GBU1" s="87" t="n"/>
      <c r="GBV1" s="87" t="n"/>
      <c r="GBW1" s="87" t="n"/>
      <c r="GBX1" s="87" t="n"/>
      <c r="GBY1" s="87" t="n"/>
      <c r="GBZ1" s="87" t="n"/>
      <c r="GCA1" s="87" t="n"/>
      <c r="GCB1" s="87" t="n"/>
      <c r="GCC1" s="87" t="n"/>
      <c r="GCD1" s="87" t="n"/>
      <c r="GCE1" s="87" t="n"/>
      <c r="GCF1" s="87" t="n"/>
      <c r="GCG1" s="87" t="n"/>
      <c r="GCH1" s="87" t="n"/>
      <c r="GCI1" s="87" t="n"/>
      <c r="GCJ1" s="87" t="n"/>
      <c r="GCK1" s="87" t="n"/>
      <c r="GCL1" s="87" t="n"/>
      <c r="GCM1" s="87" t="n"/>
      <c r="GCN1" s="87" t="n"/>
      <c r="GCO1" s="87" t="n"/>
      <c r="GCP1" s="87" t="n"/>
      <c r="GCQ1" s="87" t="n"/>
      <c r="GCR1" s="87" t="n"/>
      <c r="GCS1" s="87" t="n"/>
      <c r="GCT1" s="87" t="n"/>
      <c r="GCU1" s="87" t="n"/>
      <c r="GCV1" s="87" t="n"/>
      <c r="GCW1" s="87" t="n"/>
      <c r="GCX1" s="87" t="n"/>
      <c r="GCY1" s="87" t="n"/>
      <c r="GCZ1" s="87" t="n"/>
      <c r="GDA1" s="87" t="n"/>
      <c r="GDB1" s="87" t="n"/>
      <c r="GDC1" s="87" t="n"/>
      <c r="GDD1" s="87" t="n"/>
      <c r="GDE1" s="87" t="n"/>
      <c r="GDF1" s="87" t="n"/>
      <c r="GDG1" s="87" t="n"/>
      <c r="GDH1" s="87" t="n"/>
      <c r="GDI1" s="87" t="n"/>
      <c r="GDJ1" s="87" t="n"/>
      <c r="GDK1" s="87" t="n"/>
      <c r="GDL1" s="87" t="n"/>
      <c r="GDM1" s="87" t="n"/>
      <c r="GDN1" s="87" t="n"/>
      <c r="GDO1" s="87" t="n"/>
      <c r="GDP1" s="87" t="n"/>
      <c r="GDQ1" s="87" t="n"/>
      <c r="GDR1" s="87" t="n"/>
      <c r="GDS1" s="87" t="n"/>
      <c r="GDT1" s="87" t="n"/>
      <c r="GDU1" s="87" t="n"/>
      <c r="GDV1" s="87" t="n"/>
      <c r="GDW1" s="87" t="n"/>
      <c r="GDX1" s="87" t="n"/>
      <c r="GDY1" s="87" t="n"/>
      <c r="GDZ1" s="87" t="n"/>
      <c r="GEA1" s="87" t="n"/>
      <c r="GEB1" s="87" t="n"/>
      <c r="GEC1" s="87" t="n"/>
      <c r="GED1" s="87" t="n"/>
      <c r="GEE1" s="87" t="n"/>
      <c r="GEF1" s="87" t="n"/>
      <c r="GEG1" s="87" t="n"/>
      <c r="GEH1" s="87" t="n"/>
      <c r="GEI1" s="87" t="n"/>
      <c r="GEJ1" s="87" t="n"/>
      <c r="GEK1" s="87" t="n"/>
      <c r="GEL1" s="87" t="n"/>
      <c r="GEM1" s="87" t="n"/>
      <c r="GEN1" s="87" t="n"/>
      <c r="GEO1" s="87" t="n"/>
      <c r="GEP1" s="87" t="n"/>
      <c r="GEQ1" s="87" t="n"/>
      <c r="GER1" s="87" t="n"/>
      <c r="GES1" s="87" t="n"/>
      <c r="GET1" s="87" t="n"/>
      <c r="GEU1" s="87" t="n"/>
      <c r="GEV1" s="87" t="n"/>
      <c r="GEW1" s="87" t="n"/>
      <c r="GEX1" s="87" t="n"/>
      <c r="GEY1" s="87" t="n"/>
      <c r="GEZ1" s="87" t="n"/>
      <c r="GFA1" s="87" t="n"/>
      <c r="GFB1" s="87" t="n"/>
      <c r="GFC1" s="87" t="n"/>
      <c r="GFD1" s="87" t="n"/>
      <c r="GFE1" s="87" t="n"/>
      <c r="GFF1" s="87" t="n"/>
      <c r="GFG1" s="87" t="n"/>
      <c r="GFH1" s="87" t="n"/>
      <c r="GFI1" s="87" t="n"/>
      <c r="GFJ1" s="87" t="n"/>
      <c r="GFK1" s="87" t="n"/>
      <c r="GFL1" s="87" t="n"/>
      <c r="GFM1" s="87" t="n"/>
      <c r="GFN1" s="87" t="n"/>
      <c r="GFO1" s="87" t="n"/>
      <c r="GFP1" s="87" t="n"/>
      <c r="GFQ1" s="87" t="n"/>
      <c r="GFR1" s="87" t="n"/>
      <c r="GFS1" s="87" t="n"/>
      <c r="GFT1" s="87" t="n"/>
      <c r="GFU1" s="87" t="n"/>
      <c r="GFV1" s="87" t="n"/>
      <c r="GFW1" s="87" t="n"/>
      <c r="GFX1" s="87" t="n"/>
      <c r="GFY1" s="87" t="n"/>
      <c r="GFZ1" s="87" t="n"/>
      <c r="GGA1" s="87" t="n"/>
      <c r="GGB1" s="87" t="n"/>
      <c r="GGC1" s="87" t="n"/>
      <c r="GGD1" s="87" t="n"/>
      <c r="GGE1" s="87" t="n"/>
      <c r="GGF1" s="87" t="n"/>
      <c r="GGG1" s="87" t="n"/>
      <c r="GGH1" s="87" t="n"/>
      <c r="GGI1" s="87" t="n"/>
      <c r="GGJ1" s="87" t="n"/>
      <c r="GGK1" s="87" t="n"/>
      <c r="GGL1" s="87" t="n"/>
      <c r="GGM1" s="87" t="n"/>
      <c r="GGN1" s="87" t="n"/>
      <c r="GGO1" s="87" t="n"/>
      <c r="GGP1" s="87" t="n"/>
      <c r="GGQ1" s="87" t="n"/>
      <c r="GGR1" s="87" t="n"/>
      <c r="GGS1" s="87" t="n"/>
      <c r="GGT1" s="87" t="n"/>
      <c r="GGU1" s="87" t="n"/>
      <c r="GGV1" s="87" t="n"/>
      <c r="GGW1" s="87" t="n"/>
      <c r="GGX1" s="87" t="n"/>
      <c r="GGY1" s="87" t="n"/>
      <c r="GGZ1" s="87" t="n"/>
      <c r="GHA1" s="87" t="n"/>
      <c r="GHB1" s="87" t="n"/>
      <c r="GHC1" s="87" t="n"/>
      <c r="GHD1" s="87" t="n"/>
      <c r="GHE1" s="87" t="n"/>
      <c r="GHF1" s="87" t="n"/>
      <c r="GHG1" s="87" t="n"/>
      <c r="GHH1" s="87" t="n"/>
      <c r="GHI1" s="87" t="n"/>
      <c r="GHJ1" s="87" t="n"/>
      <c r="GHK1" s="87" t="n"/>
      <c r="GHL1" s="87" t="n"/>
      <c r="GHM1" s="87" t="n"/>
      <c r="GHN1" s="87" t="n"/>
      <c r="GHO1" s="87" t="n"/>
      <c r="GHP1" s="87" t="n"/>
      <c r="GHQ1" s="87" t="n"/>
      <c r="GHR1" s="87" t="n"/>
      <c r="GHS1" s="87" t="n"/>
      <c r="GHT1" s="87" t="n"/>
      <c r="GHU1" s="87" t="n"/>
      <c r="GHV1" s="87" t="n"/>
      <c r="GHW1" s="87" t="n"/>
      <c r="GHX1" s="87" t="n"/>
      <c r="GHY1" s="87" t="n"/>
      <c r="GHZ1" s="87" t="n"/>
      <c r="GIA1" s="87" t="n"/>
      <c r="GIB1" s="87" t="n"/>
      <c r="GIC1" s="87" t="n"/>
      <c r="GID1" s="87" t="n"/>
      <c r="GIE1" s="87" t="n"/>
      <c r="GIF1" s="87" t="n"/>
      <c r="GIG1" s="87" t="n"/>
      <c r="GIH1" s="87" t="n"/>
      <c r="GII1" s="87" t="n"/>
      <c r="GIJ1" s="87" t="n"/>
      <c r="GIK1" s="87" t="n"/>
      <c r="GIL1" s="87" t="n"/>
      <c r="GIM1" s="87" t="n"/>
      <c r="GIN1" s="87" t="n"/>
      <c r="GIO1" s="87" t="n"/>
      <c r="GIP1" s="87" t="n"/>
      <c r="GIQ1" s="87" t="n"/>
      <c r="GIR1" s="87" t="n"/>
      <c r="GIS1" s="87" t="n"/>
      <c r="GIT1" s="87" t="n"/>
      <c r="GIU1" s="87" t="n"/>
      <c r="GIV1" s="87" t="n"/>
      <c r="GIW1" s="87" t="n"/>
      <c r="GIX1" s="87" t="n"/>
      <c r="GIY1" s="87" t="n"/>
      <c r="GIZ1" s="87" t="n"/>
      <c r="GJA1" s="87" t="n"/>
      <c r="GJB1" s="87" t="n"/>
      <c r="GJC1" s="87" t="n"/>
      <c r="GJD1" s="87" t="n"/>
      <c r="GJE1" s="87" t="n"/>
      <c r="GJF1" s="87" t="n"/>
      <c r="GJG1" s="87" t="n"/>
      <c r="GJH1" s="87" t="n"/>
      <c r="GJI1" s="87" t="n"/>
      <c r="GJJ1" s="87" t="n"/>
      <c r="GJK1" s="87" t="n"/>
      <c r="GJL1" s="87" t="n"/>
      <c r="GJM1" s="87" t="n"/>
      <c r="GJN1" s="87" t="n"/>
      <c r="GJO1" s="87" t="n"/>
      <c r="GJP1" s="87" t="n"/>
      <c r="GJQ1" s="87" t="n"/>
      <c r="GJR1" s="87" t="n"/>
      <c r="GJS1" s="87" t="n"/>
      <c r="GJT1" s="87" t="n"/>
      <c r="GJU1" s="87" t="n"/>
      <c r="GJV1" s="87" t="n"/>
      <c r="GJW1" s="87" t="n"/>
      <c r="GJX1" s="87" t="n"/>
      <c r="GJY1" s="87" t="n"/>
      <c r="GJZ1" s="87" t="n"/>
      <c r="GKA1" s="87" t="n"/>
      <c r="GKB1" s="87" t="n"/>
      <c r="GKC1" s="87" t="n"/>
      <c r="GKD1" s="87" t="n"/>
      <c r="GKE1" s="87" t="n"/>
      <c r="GKF1" s="87" t="n"/>
      <c r="GKG1" s="87" t="n"/>
      <c r="GKH1" s="87" t="n"/>
      <c r="GKI1" s="87" t="n"/>
      <c r="GKJ1" s="87" t="n"/>
      <c r="GKK1" s="87" t="n"/>
      <c r="GKL1" s="87" t="n"/>
      <c r="GKM1" s="87" t="n"/>
      <c r="GKN1" s="87" t="n"/>
      <c r="GKO1" s="87" t="n"/>
      <c r="GKP1" s="87" t="n"/>
      <c r="GKQ1" s="87" t="n"/>
      <c r="GKR1" s="87" t="n"/>
      <c r="GKS1" s="87" t="n"/>
      <c r="GKT1" s="87" t="n"/>
      <c r="GKU1" s="87" t="n"/>
      <c r="GKV1" s="87" t="n"/>
      <c r="GKW1" s="87" t="n"/>
      <c r="GKX1" s="87" t="n"/>
      <c r="GKY1" s="87" t="n"/>
      <c r="GKZ1" s="87" t="n"/>
      <c r="GLA1" s="87" t="n"/>
      <c r="GLB1" s="87" t="n"/>
      <c r="GLC1" s="87" t="n"/>
      <c r="GLD1" s="87" t="n"/>
      <c r="GLE1" s="87" t="n"/>
      <c r="GLF1" s="87" t="n"/>
      <c r="GLG1" s="87" t="n"/>
      <c r="GLH1" s="87" t="n"/>
      <c r="GLI1" s="87" t="n"/>
      <c r="GLJ1" s="87" t="n"/>
      <c r="GLK1" s="87" t="n"/>
      <c r="GLL1" s="87" t="n"/>
      <c r="GLM1" s="87" t="n"/>
      <c r="GLN1" s="87" t="n"/>
      <c r="GLO1" s="87" t="n"/>
      <c r="GLP1" s="87" t="n"/>
      <c r="GLQ1" s="87" t="n"/>
      <c r="GLR1" s="87" t="n"/>
      <c r="GLS1" s="87" t="n"/>
      <c r="GLT1" s="87" t="n"/>
      <c r="GLU1" s="87" t="n"/>
      <c r="GLV1" s="87" t="n"/>
      <c r="GLW1" s="87" t="n"/>
      <c r="GLX1" s="87" t="n"/>
      <c r="GLY1" s="87" t="n"/>
      <c r="GLZ1" s="87" t="n"/>
      <c r="GMA1" s="87" t="n"/>
      <c r="GMB1" s="87" t="n"/>
      <c r="GMC1" s="87" t="n"/>
      <c r="GMD1" s="87" t="n"/>
      <c r="GME1" s="87" t="n"/>
      <c r="GMF1" s="87" t="n"/>
      <c r="GMG1" s="87" t="n"/>
      <c r="GMH1" s="87" t="n"/>
      <c r="GMI1" s="87" t="n"/>
      <c r="GMJ1" s="87" t="n"/>
      <c r="GMK1" s="87" t="n"/>
      <c r="GML1" s="87" t="n"/>
      <c r="GMM1" s="87" t="n"/>
      <c r="GMN1" s="87" t="n"/>
      <c r="GMO1" s="87" t="n"/>
      <c r="GMP1" s="87" t="n"/>
      <c r="GMQ1" s="87" t="n"/>
      <c r="GMR1" s="87" t="n"/>
      <c r="GMS1" s="87" t="n"/>
      <c r="GMT1" s="87" t="n"/>
      <c r="GMU1" s="87" t="n"/>
      <c r="GMV1" s="87" t="n"/>
      <c r="GMW1" s="87" t="n"/>
      <c r="GMX1" s="87" t="n"/>
      <c r="GMY1" s="87" t="n"/>
      <c r="GMZ1" s="87" t="n"/>
      <c r="GNA1" s="87" t="n"/>
      <c r="GNB1" s="87" t="n"/>
      <c r="GNC1" s="87" t="n"/>
      <c r="GND1" s="87" t="n"/>
      <c r="GNE1" s="87" t="n"/>
      <c r="GNF1" s="87" t="n"/>
      <c r="GNG1" s="87" t="n"/>
      <c r="GNH1" s="87" t="n"/>
      <c r="GNI1" s="87" t="n"/>
      <c r="GNJ1" s="87" t="n"/>
      <c r="GNK1" s="87" t="n"/>
      <c r="GNL1" s="87" t="n"/>
      <c r="GNM1" s="87" t="n"/>
      <c r="GNN1" s="87" t="n"/>
      <c r="GNO1" s="87" t="n"/>
      <c r="GNP1" s="87" t="n"/>
      <c r="GNQ1" s="87" t="n"/>
      <c r="GNR1" s="87" t="n"/>
      <c r="GNS1" s="87" t="n"/>
      <c r="GNT1" s="87" t="n"/>
      <c r="GNU1" s="87" t="n"/>
      <c r="GNV1" s="87" t="n"/>
      <c r="GNW1" s="87" t="n"/>
      <c r="GNX1" s="87" t="n"/>
      <c r="GNY1" s="87" t="n"/>
      <c r="GNZ1" s="87" t="n"/>
      <c r="GOA1" s="87" t="n"/>
      <c r="GOB1" s="87" t="n"/>
      <c r="GOC1" s="87" t="n"/>
      <c r="GOD1" s="87" t="n"/>
      <c r="GOE1" s="87" t="n"/>
      <c r="GOF1" s="87" t="n"/>
      <c r="GOG1" s="87" t="n"/>
      <c r="GOH1" s="87" t="n"/>
      <c r="GOI1" s="87" t="n"/>
      <c r="GOJ1" s="87" t="n"/>
      <c r="GOK1" s="87" t="n"/>
      <c r="GOL1" s="87" t="n"/>
      <c r="GOM1" s="87" t="n"/>
      <c r="GON1" s="87" t="n"/>
      <c r="GOO1" s="87" t="n"/>
      <c r="GOP1" s="87" t="n"/>
      <c r="GOQ1" s="87" t="n"/>
      <c r="GOR1" s="87" t="n"/>
      <c r="GOS1" s="87" t="n"/>
      <c r="GOT1" s="87" t="n"/>
      <c r="GOU1" s="87" t="n"/>
      <c r="GOV1" s="87" t="n"/>
      <c r="GOW1" s="87" t="n"/>
      <c r="GOX1" s="87" t="n"/>
      <c r="GOY1" s="87" t="n"/>
      <c r="GOZ1" s="87" t="n"/>
      <c r="GPA1" s="87" t="n"/>
      <c r="GPB1" s="87" t="n"/>
      <c r="GPC1" s="87" t="n"/>
      <c r="GPD1" s="87" t="n"/>
      <c r="GPE1" s="87" t="n"/>
      <c r="GPF1" s="87" t="n"/>
      <c r="GPG1" s="87" t="n"/>
      <c r="GPH1" s="87" t="n"/>
      <c r="GPI1" s="87" t="n"/>
      <c r="GPJ1" s="87" t="n"/>
      <c r="GPK1" s="87" t="n"/>
      <c r="GPL1" s="87" t="n"/>
      <c r="GPM1" s="87" t="n"/>
      <c r="GPN1" s="87" t="n"/>
      <c r="GPO1" s="87" t="n"/>
      <c r="GPP1" s="87" t="n"/>
      <c r="GPQ1" s="87" t="n"/>
      <c r="GPR1" s="87" t="n"/>
      <c r="GPS1" s="87" t="n"/>
      <c r="GPT1" s="87" t="n"/>
      <c r="GPU1" s="87" t="n"/>
      <c r="GPV1" s="87" t="n"/>
      <c r="GPW1" s="87" t="n"/>
      <c r="GPX1" s="87" t="n"/>
      <c r="GPY1" s="87" t="n"/>
      <c r="GPZ1" s="87" t="n"/>
      <c r="GQA1" s="87" t="n"/>
      <c r="GQB1" s="87" t="n"/>
      <c r="GQC1" s="87" t="n"/>
      <c r="GQD1" s="87" t="n"/>
      <c r="GQE1" s="87" t="n"/>
      <c r="GQF1" s="87" t="n"/>
      <c r="GQG1" s="87" t="n"/>
      <c r="GQH1" s="87" t="n"/>
      <c r="GQI1" s="87" t="n"/>
      <c r="GQJ1" s="87" t="n"/>
      <c r="GQK1" s="87" t="n"/>
      <c r="GQL1" s="87" t="n"/>
      <c r="GQM1" s="87" t="n"/>
      <c r="GQN1" s="87" t="n"/>
      <c r="GQO1" s="87" t="n"/>
      <c r="GQP1" s="87" t="n"/>
      <c r="GQQ1" s="87" t="n"/>
      <c r="GQR1" s="87" t="n"/>
      <c r="GQS1" s="87" t="n"/>
      <c r="GQT1" s="87" t="n"/>
      <c r="GQU1" s="87" t="n"/>
      <c r="GQV1" s="87" t="n"/>
      <c r="GQW1" s="87" t="n"/>
      <c r="GQX1" s="87" t="n"/>
      <c r="GQY1" s="87" t="n"/>
      <c r="GQZ1" s="87" t="n"/>
      <c r="GRA1" s="87" t="n"/>
      <c r="GRB1" s="87" t="n"/>
      <c r="GRC1" s="87" t="n"/>
      <c r="GRD1" s="87" t="n"/>
      <c r="GRE1" s="87" t="n"/>
      <c r="GRF1" s="87" t="n"/>
      <c r="GRG1" s="87" t="n"/>
      <c r="GRH1" s="87" t="n"/>
      <c r="GRI1" s="87" t="n"/>
      <c r="GRJ1" s="87" t="n"/>
      <c r="GRK1" s="87" t="n"/>
      <c r="GRL1" s="87" t="n"/>
      <c r="GRM1" s="87" t="n"/>
      <c r="GRN1" s="87" t="n"/>
      <c r="GRO1" s="87" t="n"/>
      <c r="GRP1" s="87" t="n"/>
      <c r="GRQ1" s="87" t="n"/>
      <c r="GRR1" s="87" t="n"/>
      <c r="GRS1" s="87" t="n"/>
      <c r="GRT1" s="87" t="n"/>
      <c r="GRU1" s="87" t="n"/>
      <c r="GRV1" s="87" t="n"/>
      <c r="GRW1" s="87" t="n"/>
      <c r="GRX1" s="87" t="n"/>
      <c r="GRY1" s="87" t="n"/>
      <c r="GRZ1" s="87" t="n"/>
      <c r="GSA1" s="87" t="n"/>
      <c r="GSB1" s="87" t="n"/>
      <c r="GSC1" s="87" t="n"/>
      <c r="GSD1" s="87" t="n"/>
      <c r="GSE1" s="87" t="n"/>
      <c r="GSF1" s="87" t="n"/>
      <c r="GSG1" s="87" t="n"/>
      <c r="GSH1" s="87" t="n"/>
      <c r="GSI1" s="87" t="n"/>
      <c r="GSJ1" s="87" t="n"/>
      <c r="GSK1" s="87" t="n"/>
      <c r="GSL1" s="87" t="n"/>
      <c r="GSM1" s="87" t="n"/>
      <c r="GSN1" s="87" t="n"/>
      <c r="GSO1" s="87" t="n"/>
      <c r="GSP1" s="87" t="n"/>
      <c r="GSQ1" s="87" t="n"/>
      <c r="GSR1" s="87" t="n"/>
      <c r="GSS1" s="87" t="n"/>
      <c r="GST1" s="87" t="n"/>
      <c r="GSU1" s="87" t="n"/>
      <c r="GSV1" s="87" t="n"/>
      <c r="GSW1" s="87" t="n"/>
      <c r="GSX1" s="87" t="n"/>
      <c r="GSY1" s="87" t="n"/>
      <c r="GSZ1" s="87" t="n"/>
      <c r="GTA1" s="87" t="n"/>
      <c r="GTB1" s="87" t="n"/>
      <c r="GTC1" s="87" t="n"/>
      <c r="GTD1" s="87" t="n"/>
      <c r="GTE1" s="87" t="n"/>
      <c r="GTF1" s="87" t="n"/>
      <c r="GTG1" s="87" t="n"/>
      <c r="GTH1" s="87" t="n"/>
      <c r="GTI1" s="87" t="n"/>
      <c r="GTJ1" s="87" t="n"/>
      <c r="GTK1" s="87" t="n"/>
      <c r="GTL1" s="87" t="n"/>
      <c r="GTM1" s="87" t="n"/>
      <c r="GTN1" s="87" t="n"/>
      <c r="GTO1" s="87" t="n"/>
      <c r="GTP1" s="87" t="n"/>
      <c r="GTQ1" s="87" t="n"/>
      <c r="GTR1" s="87" t="n"/>
      <c r="GTS1" s="87" t="n"/>
      <c r="GTT1" s="87" t="n"/>
      <c r="GTU1" s="87" t="n"/>
      <c r="GTV1" s="87" t="n"/>
      <c r="GTW1" s="87" t="n"/>
      <c r="GTX1" s="87" t="n"/>
      <c r="GTY1" s="87" t="n"/>
      <c r="GTZ1" s="87" t="n"/>
      <c r="GUA1" s="87" t="n"/>
      <c r="GUB1" s="87" t="n"/>
      <c r="GUC1" s="87" t="n"/>
      <c r="GUD1" s="87" t="n"/>
      <c r="GUE1" s="87" t="n"/>
      <c r="GUF1" s="87" t="n"/>
      <c r="GUG1" s="87" t="n"/>
      <c r="GUH1" s="87" t="n"/>
      <c r="GUI1" s="87" t="n"/>
      <c r="GUJ1" s="87" t="n"/>
      <c r="GUK1" s="87" t="n"/>
      <c r="GUL1" s="87" t="n"/>
      <c r="GUM1" s="87" t="n"/>
      <c r="GUN1" s="87" t="n"/>
      <c r="GUO1" s="87" t="n"/>
      <c r="GUP1" s="87" t="n"/>
      <c r="GUQ1" s="87" t="n"/>
      <c r="GUR1" s="87" t="n"/>
      <c r="GUS1" s="87" t="n"/>
      <c r="GUT1" s="87" t="n"/>
      <c r="GUU1" s="87" t="n"/>
      <c r="GUV1" s="87" t="n"/>
      <c r="GUW1" s="87" t="n"/>
      <c r="GUX1" s="87" t="n"/>
      <c r="GUY1" s="87" t="n"/>
      <c r="GUZ1" s="87" t="n"/>
      <c r="GVA1" s="87" t="n"/>
      <c r="GVB1" s="87" t="n"/>
      <c r="GVC1" s="87" t="n"/>
      <c r="GVD1" s="87" t="n"/>
      <c r="GVE1" s="87" t="n"/>
      <c r="GVF1" s="87" t="n"/>
      <c r="GVG1" s="87" t="n"/>
      <c r="GVH1" s="87" t="n"/>
      <c r="GVI1" s="87" t="n"/>
      <c r="GVJ1" s="87" t="n"/>
      <c r="GVK1" s="87" t="n"/>
      <c r="GVL1" s="87" t="n"/>
      <c r="GVM1" s="87" t="n"/>
      <c r="GVN1" s="87" t="n"/>
      <c r="GVO1" s="87" t="n"/>
      <c r="GVP1" s="87" t="n"/>
      <c r="GVQ1" s="87" t="n"/>
      <c r="GVR1" s="87" t="n"/>
      <c r="GVS1" s="87" t="n"/>
      <c r="GVT1" s="87" t="n"/>
      <c r="GVU1" s="87" t="n"/>
      <c r="GVV1" s="87" t="n"/>
      <c r="GVW1" s="87" t="n"/>
      <c r="GVX1" s="87" t="n"/>
      <c r="GVY1" s="87" t="n"/>
      <c r="GVZ1" s="87" t="n"/>
      <c r="GWA1" s="87" t="n"/>
      <c r="GWB1" s="87" t="n"/>
      <c r="GWC1" s="87" t="n"/>
      <c r="GWD1" s="87" t="n"/>
      <c r="GWE1" s="87" t="n"/>
      <c r="GWF1" s="87" t="n"/>
      <c r="GWG1" s="87" t="n"/>
      <c r="GWH1" s="87" t="n"/>
      <c r="GWI1" s="87" t="n"/>
      <c r="GWJ1" s="87" t="n"/>
      <c r="GWK1" s="87" t="n"/>
      <c r="GWL1" s="87" t="n"/>
      <c r="GWM1" s="87" t="n"/>
      <c r="GWN1" s="87" t="n"/>
      <c r="GWO1" s="87" t="n"/>
      <c r="GWP1" s="87" t="n"/>
      <c r="GWQ1" s="87" t="n"/>
      <c r="GWR1" s="87" t="n"/>
      <c r="GWS1" s="87" t="n"/>
      <c r="GWT1" s="87" t="n"/>
      <c r="GWU1" s="87" t="n"/>
      <c r="GWV1" s="87" t="n"/>
      <c r="GWW1" s="87" t="n"/>
      <c r="GWX1" s="87" t="n"/>
      <c r="GWY1" s="87" t="n"/>
      <c r="GWZ1" s="87" t="n"/>
      <c r="GXA1" s="87" t="n"/>
      <c r="GXB1" s="87" t="n"/>
      <c r="GXC1" s="87" t="n"/>
      <c r="GXD1" s="87" t="n"/>
      <c r="GXE1" s="87" t="n"/>
      <c r="GXF1" s="87" t="n"/>
      <c r="GXG1" s="87" t="n"/>
      <c r="GXH1" s="87" t="n"/>
      <c r="GXI1" s="87" t="n"/>
      <c r="GXJ1" s="87" t="n"/>
      <c r="GXK1" s="87" t="n"/>
      <c r="GXL1" s="87" t="n"/>
      <c r="GXM1" s="87" t="n"/>
      <c r="GXN1" s="87" t="n"/>
      <c r="GXO1" s="87" t="n"/>
      <c r="GXP1" s="87" t="n"/>
      <c r="GXQ1" s="87" t="n"/>
      <c r="GXR1" s="87" t="n"/>
      <c r="GXS1" s="87" t="n"/>
      <c r="GXT1" s="87" t="n"/>
      <c r="GXU1" s="87" t="n"/>
      <c r="GXV1" s="87" t="n"/>
      <c r="GXW1" s="87" t="n"/>
      <c r="GXX1" s="87" t="n"/>
      <c r="GXY1" s="87" t="n"/>
      <c r="GXZ1" s="87" t="n"/>
      <c r="GYA1" s="87" t="n"/>
      <c r="GYB1" s="87" t="n"/>
      <c r="GYC1" s="87" t="n"/>
      <c r="GYD1" s="87" t="n"/>
      <c r="GYE1" s="87" t="n"/>
      <c r="GYF1" s="87" t="n"/>
      <c r="GYG1" s="87" t="n"/>
      <c r="GYH1" s="87" t="n"/>
      <c r="GYI1" s="87" t="n"/>
      <c r="GYJ1" s="87" t="n"/>
      <c r="GYK1" s="87" t="n"/>
      <c r="GYL1" s="87" t="n"/>
      <c r="GYM1" s="87" t="n"/>
      <c r="GYN1" s="87" t="n"/>
      <c r="GYO1" s="87" t="n"/>
      <c r="GYP1" s="87" t="n"/>
      <c r="GYQ1" s="87" t="n"/>
      <c r="GYR1" s="87" t="n"/>
      <c r="GYS1" s="87" t="n"/>
      <c r="GYT1" s="87" t="n"/>
      <c r="GYU1" s="87" t="n"/>
      <c r="GYV1" s="87" t="n"/>
      <c r="GYW1" s="87" t="n"/>
      <c r="GYX1" s="87" t="n"/>
      <c r="GYY1" s="87" t="n"/>
      <c r="GYZ1" s="87" t="n"/>
      <c r="GZA1" s="87" t="n"/>
      <c r="GZB1" s="87" t="n"/>
      <c r="GZC1" s="87" t="n"/>
      <c r="GZD1" s="87" t="n"/>
      <c r="GZE1" s="87" t="n"/>
      <c r="GZF1" s="87" t="n"/>
      <c r="GZG1" s="87" t="n"/>
      <c r="GZH1" s="87" t="n"/>
      <c r="GZI1" s="87" t="n"/>
      <c r="GZJ1" s="87" t="n"/>
      <c r="GZK1" s="87" t="n"/>
      <c r="GZL1" s="87" t="n"/>
      <c r="GZM1" s="87" t="n"/>
      <c r="GZN1" s="87" t="n"/>
      <c r="GZO1" s="87" t="n"/>
      <c r="GZP1" s="87" t="n"/>
      <c r="GZQ1" s="87" t="n"/>
      <c r="GZR1" s="87" t="n"/>
      <c r="GZS1" s="87" t="n"/>
      <c r="GZT1" s="87" t="n"/>
      <c r="GZU1" s="87" t="n"/>
      <c r="GZV1" s="87" t="n"/>
      <c r="GZW1" s="87" t="n"/>
      <c r="GZX1" s="87" t="n"/>
      <c r="GZY1" s="87" t="n"/>
      <c r="GZZ1" s="87" t="n"/>
      <c r="HAA1" s="87" t="n"/>
      <c r="HAB1" s="87" t="n"/>
      <c r="HAC1" s="87" t="n"/>
      <c r="HAD1" s="87" t="n"/>
      <c r="HAE1" s="87" t="n"/>
      <c r="HAF1" s="87" t="n"/>
      <c r="HAG1" s="87" t="n"/>
      <c r="HAH1" s="87" t="n"/>
      <c r="HAI1" s="87" t="n"/>
      <c r="HAJ1" s="87" t="n"/>
      <c r="HAK1" s="87" t="n"/>
      <c r="HAL1" s="87" t="n"/>
      <c r="HAM1" s="87" t="n"/>
      <c r="HAN1" s="87" t="n"/>
      <c r="HAO1" s="87" t="n"/>
      <c r="HAP1" s="87" t="n"/>
      <c r="HAQ1" s="87" t="n"/>
      <c r="HAR1" s="87" t="n"/>
      <c r="HAS1" s="87" t="n"/>
      <c r="HAT1" s="87" t="n"/>
      <c r="HAU1" s="87" t="n"/>
      <c r="HAV1" s="87" t="n"/>
      <c r="HAW1" s="87" t="n"/>
      <c r="HAX1" s="87" t="n"/>
      <c r="HAY1" s="87" t="n"/>
      <c r="HAZ1" s="87" t="n"/>
      <c r="HBA1" s="87" t="n"/>
      <c r="HBB1" s="87" t="n"/>
      <c r="HBC1" s="87" t="n"/>
      <c r="HBD1" s="87" t="n"/>
      <c r="HBE1" s="87" t="n"/>
      <c r="HBF1" s="87" t="n"/>
      <c r="HBG1" s="87" t="n"/>
      <c r="HBH1" s="87" t="n"/>
      <c r="HBI1" s="87" t="n"/>
      <c r="HBJ1" s="87" t="n"/>
      <c r="HBK1" s="87" t="n"/>
      <c r="HBL1" s="87" t="n"/>
      <c r="HBM1" s="87" t="n"/>
      <c r="HBN1" s="87" t="n"/>
      <c r="HBO1" s="87" t="n"/>
      <c r="HBP1" s="87" t="n"/>
      <c r="HBQ1" s="87" t="n"/>
      <c r="HBR1" s="87" t="n"/>
      <c r="HBS1" s="87" t="n"/>
      <c r="HBT1" s="87" t="n"/>
      <c r="HBU1" s="87" t="n"/>
      <c r="HBV1" s="87" t="n"/>
      <c r="HBW1" s="87" t="n"/>
      <c r="HBX1" s="87" t="n"/>
      <c r="HBY1" s="87" t="n"/>
      <c r="HBZ1" s="87" t="n"/>
      <c r="HCA1" s="87" t="n"/>
      <c r="HCB1" s="87" t="n"/>
      <c r="HCC1" s="87" t="n"/>
      <c r="HCD1" s="87" t="n"/>
      <c r="HCE1" s="87" t="n"/>
      <c r="HCF1" s="87" t="n"/>
      <c r="HCG1" s="87" t="n"/>
      <c r="HCH1" s="87" t="n"/>
      <c r="HCI1" s="87" t="n"/>
      <c r="HCJ1" s="87" t="n"/>
      <c r="HCK1" s="87" t="n"/>
      <c r="HCL1" s="87" t="n"/>
      <c r="HCM1" s="87" t="n"/>
      <c r="HCN1" s="87" t="n"/>
      <c r="HCO1" s="87" t="n"/>
      <c r="HCP1" s="87" t="n"/>
      <c r="HCQ1" s="87" t="n"/>
      <c r="HCR1" s="87" t="n"/>
      <c r="HCS1" s="87" t="n"/>
      <c r="HCT1" s="87" t="n"/>
      <c r="HCU1" s="87" t="n"/>
      <c r="HCV1" s="87" t="n"/>
      <c r="HCW1" s="87" t="n"/>
      <c r="HCX1" s="87" t="n"/>
      <c r="HCY1" s="87" t="n"/>
      <c r="HCZ1" s="87" t="n"/>
      <c r="HDA1" s="87" t="n"/>
      <c r="HDB1" s="87" t="n"/>
      <c r="HDC1" s="87" t="n"/>
      <c r="HDD1" s="87" t="n"/>
      <c r="HDE1" s="87" t="n"/>
      <c r="HDF1" s="87" t="n"/>
      <c r="HDG1" s="87" t="n"/>
      <c r="HDH1" s="87" t="n"/>
      <c r="HDI1" s="87" t="n"/>
      <c r="HDJ1" s="87" t="n"/>
      <c r="HDK1" s="87" t="n"/>
      <c r="HDL1" s="87" t="n"/>
      <c r="HDM1" s="87" t="n"/>
      <c r="HDN1" s="87" t="n"/>
      <c r="HDO1" s="87" t="n"/>
      <c r="HDP1" s="87" t="n"/>
      <c r="HDQ1" s="87" t="n"/>
      <c r="HDR1" s="87" t="n"/>
      <c r="HDS1" s="87" t="n"/>
      <c r="HDT1" s="87" t="n"/>
      <c r="HDU1" s="87" t="n"/>
      <c r="HDV1" s="87" t="n"/>
      <c r="HDW1" s="87" t="n"/>
      <c r="HDX1" s="87" t="n"/>
      <c r="HDY1" s="87" t="n"/>
      <c r="HDZ1" s="87" t="n"/>
      <c r="HEA1" s="87" t="n"/>
      <c r="HEB1" s="87" t="n"/>
      <c r="HEC1" s="87" t="n"/>
      <c r="HED1" s="87" t="n"/>
      <c r="HEE1" s="87" t="n"/>
      <c r="HEF1" s="87" t="n"/>
      <c r="HEG1" s="87" t="n"/>
      <c r="HEH1" s="87" t="n"/>
      <c r="HEI1" s="87" t="n"/>
      <c r="HEJ1" s="87" t="n"/>
      <c r="HEK1" s="87" t="n"/>
      <c r="HEL1" s="87" t="n"/>
      <c r="HEM1" s="87" t="n"/>
      <c r="HEN1" s="87" t="n"/>
      <c r="HEO1" s="87" t="n"/>
      <c r="HEP1" s="87" t="n"/>
      <c r="HEQ1" s="87" t="n"/>
      <c r="HER1" s="87" t="n"/>
      <c r="HES1" s="87" t="n"/>
      <c r="HET1" s="87" t="n"/>
      <c r="HEU1" s="87" t="n"/>
      <c r="HEV1" s="87" t="n"/>
      <c r="HEW1" s="87" t="n"/>
      <c r="HEX1" s="87" t="n"/>
      <c r="HEY1" s="87" t="n"/>
      <c r="HEZ1" s="87" t="n"/>
      <c r="HFA1" s="87" t="n"/>
      <c r="HFB1" s="87" t="n"/>
      <c r="HFC1" s="87" t="n"/>
      <c r="HFD1" s="87" t="n"/>
      <c r="HFE1" s="87" t="n"/>
      <c r="HFF1" s="87" t="n"/>
      <c r="HFG1" s="87" t="n"/>
      <c r="HFH1" s="87" t="n"/>
      <c r="HFI1" s="87" t="n"/>
      <c r="HFJ1" s="87" t="n"/>
      <c r="HFK1" s="87" t="n"/>
      <c r="HFL1" s="87" t="n"/>
      <c r="HFM1" s="87" t="n"/>
      <c r="HFN1" s="87" t="n"/>
      <c r="HFO1" s="87" t="n"/>
      <c r="HFP1" s="87" t="n"/>
      <c r="HFQ1" s="87" t="n"/>
      <c r="HFR1" s="87" t="n"/>
      <c r="HFS1" s="87" t="n"/>
      <c r="HFT1" s="87" t="n"/>
      <c r="HFU1" s="87" t="n"/>
      <c r="HFV1" s="87" t="n"/>
      <c r="HFW1" s="87" t="n"/>
      <c r="HFX1" s="87" t="n"/>
      <c r="HFY1" s="87" t="n"/>
      <c r="HFZ1" s="87" t="n"/>
      <c r="HGA1" s="87" t="n"/>
      <c r="HGB1" s="87" t="n"/>
      <c r="HGC1" s="87" t="n"/>
      <c r="HGD1" s="87" t="n"/>
      <c r="HGE1" s="87" t="n"/>
      <c r="HGF1" s="87" t="n"/>
      <c r="HGG1" s="87" t="n"/>
      <c r="HGH1" s="87" t="n"/>
      <c r="HGI1" s="87" t="n"/>
      <c r="HGJ1" s="87" t="n"/>
      <c r="HGK1" s="87" t="n"/>
      <c r="HGL1" s="87" t="n"/>
      <c r="HGM1" s="87" t="n"/>
      <c r="HGN1" s="87" t="n"/>
      <c r="HGO1" s="87" t="n"/>
      <c r="HGP1" s="87" t="n"/>
      <c r="HGQ1" s="87" t="n"/>
      <c r="HGR1" s="87" t="n"/>
      <c r="HGS1" s="87" t="n"/>
      <c r="HGT1" s="87" t="n"/>
      <c r="HGU1" s="87" t="n"/>
      <c r="HGV1" s="87" t="n"/>
      <c r="HGW1" s="87" t="n"/>
      <c r="HGX1" s="87" t="n"/>
      <c r="HGY1" s="87" t="n"/>
      <c r="HGZ1" s="87" t="n"/>
      <c r="HHA1" s="87" t="n"/>
      <c r="HHB1" s="87" t="n"/>
      <c r="HHC1" s="87" t="n"/>
      <c r="HHD1" s="87" t="n"/>
      <c r="HHE1" s="87" t="n"/>
      <c r="HHF1" s="87" t="n"/>
      <c r="HHG1" s="87" t="n"/>
      <c r="HHH1" s="87" t="n"/>
      <c r="HHI1" s="87" t="n"/>
      <c r="HHJ1" s="87" t="n"/>
      <c r="HHK1" s="87" t="n"/>
      <c r="HHL1" s="87" t="n"/>
      <c r="HHM1" s="87" t="n"/>
      <c r="HHN1" s="87" t="n"/>
      <c r="HHO1" s="87" t="n"/>
      <c r="HHP1" s="87" t="n"/>
      <c r="HHQ1" s="87" t="n"/>
      <c r="HHR1" s="87" t="n"/>
      <c r="HHS1" s="87" t="n"/>
      <c r="HHT1" s="87" t="n"/>
      <c r="HHU1" s="87" t="n"/>
      <c r="HHV1" s="87" t="n"/>
      <c r="HHW1" s="87" t="n"/>
      <c r="HHX1" s="87" t="n"/>
      <c r="HHY1" s="87" t="n"/>
      <c r="HHZ1" s="87" t="n"/>
      <c r="HIA1" s="87" t="n"/>
      <c r="HIB1" s="87" t="n"/>
      <c r="HIC1" s="87" t="n"/>
      <c r="HID1" s="87" t="n"/>
      <c r="HIE1" s="87" t="n"/>
      <c r="HIF1" s="87" t="n"/>
      <c r="HIG1" s="87" t="n"/>
      <c r="HIH1" s="87" t="n"/>
      <c r="HII1" s="87" t="n"/>
      <c r="HIJ1" s="87" t="n"/>
      <c r="HIK1" s="87" t="n"/>
      <c r="HIL1" s="87" t="n"/>
      <c r="HIM1" s="87" t="n"/>
      <c r="HIN1" s="87" t="n"/>
      <c r="HIO1" s="87" t="n"/>
      <c r="HIP1" s="87" t="n"/>
      <c r="HIQ1" s="87" t="n"/>
      <c r="HIR1" s="87" t="n"/>
      <c r="HIS1" s="87" t="n"/>
      <c r="HIT1" s="87" t="n"/>
      <c r="HIU1" s="87" t="n"/>
      <c r="HIV1" s="87" t="n"/>
      <c r="HIW1" s="87" t="n"/>
      <c r="HIX1" s="87" t="n"/>
      <c r="HIY1" s="87" t="n"/>
      <c r="HIZ1" s="87" t="n"/>
      <c r="HJA1" s="87" t="n"/>
      <c r="HJB1" s="87" t="n"/>
      <c r="HJC1" s="87" t="n"/>
      <c r="HJD1" s="87" t="n"/>
      <c r="HJE1" s="87" t="n"/>
      <c r="HJF1" s="87" t="n"/>
      <c r="HJG1" s="87" t="n"/>
      <c r="HJH1" s="87" t="n"/>
      <c r="HJI1" s="87" t="n"/>
      <c r="HJJ1" s="87" t="n"/>
      <c r="HJK1" s="87" t="n"/>
      <c r="HJL1" s="87" t="n"/>
      <c r="HJM1" s="87" t="n"/>
      <c r="HJN1" s="87" t="n"/>
      <c r="HJO1" s="87" t="n"/>
      <c r="HJP1" s="87" t="n"/>
      <c r="HJQ1" s="87" t="n"/>
      <c r="HJR1" s="87" t="n"/>
      <c r="HJS1" s="87" t="n"/>
      <c r="HJT1" s="87" t="n"/>
      <c r="HJU1" s="87" t="n"/>
      <c r="HJV1" s="87" t="n"/>
      <c r="HJW1" s="87" t="n"/>
      <c r="HJX1" s="87" t="n"/>
      <c r="HJY1" s="87" t="n"/>
      <c r="HJZ1" s="87" t="n"/>
      <c r="HKA1" s="87" t="n"/>
      <c r="HKB1" s="87" t="n"/>
      <c r="HKC1" s="87" t="n"/>
      <c r="HKD1" s="87" t="n"/>
      <c r="HKE1" s="87" t="n"/>
      <c r="HKF1" s="87" t="n"/>
      <c r="HKG1" s="87" t="n"/>
      <c r="HKH1" s="87" t="n"/>
      <c r="HKI1" s="87" t="n"/>
      <c r="HKJ1" s="87" t="n"/>
      <c r="HKK1" s="87" t="n"/>
      <c r="HKL1" s="87" t="n"/>
      <c r="HKM1" s="87" t="n"/>
      <c r="HKN1" s="87" t="n"/>
      <c r="HKO1" s="87" t="n"/>
      <c r="HKP1" s="87" t="n"/>
      <c r="HKQ1" s="87" t="n"/>
      <c r="HKR1" s="87" t="n"/>
      <c r="HKS1" s="87" t="n"/>
      <c r="HKT1" s="87" t="n"/>
      <c r="HKU1" s="87" t="n"/>
      <c r="HKV1" s="87" t="n"/>
      <c r="HKW1" s="87" t="n"/>
      <c r="HKX1" s="87" t="n"/>
      <c r="HKY1" s="87" t="n"/>
      <c r="HKZ1" s="87" t="n"/>
      <c r="HLA1" s="87" t="n"/>
      <c r="HLB1" s="87" t="n"/>
      <c r="HLC1" s="87" t="n"/>
      <c r="HLD1" s="87" t="n"/>
      <c r="HLE1" s="87" t="n"/>
      <c r="HLF1" s="87" t="n"/>
      <c r="HLG1" s="87" t="n"/>
      <c r="HLH1" s="87" t="n"/>
      <c r="HLI1" s="87" t="n"/>
      <c r="HLJ1" s="87" t="n"/>
      <c r="HLK1" s="87" t="n"/>
      <c r="HLL1" s="87" t="n"/>
      <c r="HLM1" s="87" t="n"/>
      <c r="HLN1" s="87" t="n"/>
      <c r="HLO1" s="87" t="n"/>
      <c r="HLP1" s="87" t="n"/>
      <c r="HLQ1" s="87" t="n"/>
      <c r="HLR1" s="87" t="n"/>
      <c r="HLS1" s="87" t="n"/>
      <c r="HLT1" s="87" t="n"/>
      <c r="HLU1" s="87" t="n"/>
      <c r="HLV1" s="87" t="n"/>
      <c r="HLW1" s="87" t="n"/>
      <c r="HLX1" s="87" t="n"/>
      <c r="HLY1" s="87" t="n"/>
      <c r="HLZ1" s="87" t="n"/>
      <c r="HMA1" s="87" t="n"/>
      <c r="HMB1" s="87" t="n"/>
      <c r="HMC1" s="87" t="n"/>
      <c r="HMD1" s="87" t="n"/>
      <c r="HME1" s="87" t="n"/>
      <c r="HMF1" s="87" t="n"/>
      <c r="HMG1" s="87" t="n"/>
      <c r="HMH1" s="87" t="n"/>
      <c r="HMI1" s="87" t="n"/>
      <c r="HMJ1" s="87" t="n"/>
      <c r="HMK1" s="87" t="n"/>
      <c r="HML1" s="87" t="n"/>
      <c r="HMM1" s="87" t="n"/>
      <c r="HMN1" s="87" t="n"/>
      <c r="HMO1" s="87" t="n"/>
      <c r="HMP1" s="87" t="n"/>
      <c r="HMQ1" s="87" t="n"/>
      <c r="HMR1" s="87" t="n"/>
      <c r="HMS1" s="87" t="n"/>
      <c r="HMT1" s="87" t="n"/>
      <c r="HMU1" s="87" t="n"/>
      <c r="HMV1" s="87" t="n"/>
      <c r="HMW1" s="87" t="n"/>
      <c r="HMX1" s="87" t="n"/>
      <c r="HMY1" s="87" t="n"/>
      <c r="HMZ1" s="87" t="n"/>
      <c r="HNA1" s="87" t="n"/>
      <c r="HNB1" s="87" t="n"/>
      <c r="HNC1" s="87" t="n"/>
      <c r="HND1" s="87" t="n"/>
      <c r="HNE1" s="87" t="n"/>
      <c r="HNF1" s="87" t="n"/>
      <c r="HNG1" s="87" t="n"/>
      <c r="HNH1" s="87" t="n"/>
      <c r="HNI1" s="87" t="n"/>
      <c r="HNJ1" s="87" t="n"/>
      <c r="HNK1" s="87" t="n"/>
      <c r="HNL1" s="87" t="n"/>
      <c r="HNM1" s="87" t="n"/>
      <c r="HNN1" s="87" t="n"/>
      <c r="HNO1" s="87" t="n"/>
      <c r="HNP1" s="87" t="n"/>
      <c r="HNQ1" s="87" t="n"/>
      <c r="HNR1" s="87" t="n"/>
      <c r="HNS1" s="87" t="n"/>
      <c r="HNT1" s="87" t="n"/>
      <c r="HNU1" s="87" t="n"/>
      <c r="HNV1" s="87" t="n"/>
      <c r="HNW1" s="87" t="n"/>
      <c r="HNX1" s="87" t="n"/>
      <c r="HNY1" s="87" t="n"/>
      <c r="HNZ1" s="87" t="n"/>
      <c r="HOA1" s="87" t="n"/>
      <c r="HOB1" s="87" t="n"/>
      <c r="HOC1" s="87" t="n"/>
      <c r="HOD1" s="87" t="n"/>
      <c r="HOE1" s="87" t="n"/>
      <c r="HOF1" s="87" t="n"/>
      <c r="HOG1" s="87" t="n"/>
      <c r="HOH1" s="87" t="n"/>
      <c r="HOI1" s="87" t="n"/>
      <c r="HOJ1" s="87" t="n"/>
      <c r="HOK1" s="87" t="n"/>
      <c r="HOL1" s="87" t="n"/>
      <c r="HOM1" s="87" t="n"/>
      <c r="HON1" s="87" t="n"/>
      <c r="HOO1" s="87" t="n"/>
      <c r="HOP1" s="87" t="n"/>
      <c r="HOQ1" s="87" t="n"/>
      <c r="HOR1" s="87" t="n"/>
      <c r="HOS1" s="87" t="n"/>
      <c r="HOT1" s="87" t="n"/>
      <c r="HOU1" s="87" t="n"/>
      <c r="HOV1" s="87" t="n"/>
      <c r="HOW1" s="87" t="n"/>
      <c r="HOX1" s="87" t="n"/>
      <c r="HOY1" s="87" t="n"/>
      <c r="HOZ1" s="87" t="n"/>
      <c r="HPA1" s="87" t="n"/>
      <c r="HPB1" s="87" t="n"/>
      <c r="HPC1" s="87" t="n"/>
      <c r="HPD1" s="87" t="n"/>
      <c r="HPE1" s="87" t="n"/>
      <c r="HPF1" s="87" t="n"/>
      <c r="HPG1" s="87" t="n"/>
      <c r="HPH1" s="87" t="n"/>
      <c r="HPI1" s="87" t="n"/>
      <c r="HPJ1" s="87" t="n"/>
      <c r="HPK1" s="87" t="n"/>
      <c r="HPL1" s="87" t="n"/>
      <c r="HPM1" s="87" t="n"/>
      <c r="HPN1" s="87" t="n"/>
      <c r="HPO1" s="87" t="n"/>
      <c r="HPP1" s="87" t="n"/>
      <c r="HPQ1" s="87" t="n"/>
      <c r="HPR1" s="87" t="n"/>
      <c r="HPS1" s="87" t="n"/>
      <c r="HPT1" s="87" t="n"/>
      <c r="HPU1" s="87" t="n"/>
      <c r="HPV1" s="87" t="n"/>
      <c r="HPW1" s="87" t="n"/>
      <c r="HPX1" s="87" t="n"/>
      <c r="HPY1" s="87" t="n"/>
      <c r="HPZ1" s="87" t="n"/>
      <c r="HQA1" s="87" t="n"/>
      <c r="HQB1" s="87" t="n"/>
      <c r="HQC1" s="87" t="n"/>
      <c r="HQD1" s="87" t="n"/>
      <c r="HQE1" s="87" t="n"/>
      <c r="HQF1" s="87" t="n"/>
      <c r="HQG1" s="87" t="n"/>
      <c r="HQH1" s="87" t="n"/>
      <c r="HQI1" s="87" t="n"/>
      <c r="HQJ1" s="87" t="n"/>
      <c r="HQK1" s="87" t="n"/>
      <c r="HQL1" s="87" t="n"/>
      <c r="HQM1" s="87" t="n"/>
      <c r="HQN1" s="87" t="n"/>
      <c r="HQO1" s="87" t="n"/>
      <c r="HQP1" s="87" t="n"/>
      <c r="HQQ1" s="87" t="n"/>
      <c r="HQR1" s="87" t="n"/>
      <c r="HQS1" s="87" t="n"/>
      <c r="HQT1" s="87" t="n"/>
      <c r="HQU1" s="87" t="n"/>
      <c r="HQV1" s="87" t="n"/>
      <c r="HQW1" s="87" t="n"/>
      <c r="HQX1" s="87" t="n"/>
      <c r="HQY1" s="87" t="n"/>
      <c r="HQZ1" s="87" t="n"/>
      <c r="HRA1" s="87" t="n"/>
      <c r="HRB1" s="87" t="n"/>
      <c r="HRC1" s="87" t="n"/>
      <c r="HRD1" s="87" t="n"/>
      <c r="HRE1" s="87" t="n"/>
      <c r="HRF1" s="87" t="n"/>
      <c r="HRG1" s="87" t="n"/>
      <c r="HRH1" s="87" t="n"/>
      <c r="HRI1" s="87" t="n"/>
      <c r="HRJ1" s="87" t="n"/>
      <c r="HRK1" s="87" t="n"/>
      <c r="HRL1" s="87" t="n"/>
      <c r="HRM1" s="87" t="n"/>
      <c r="HRN1" s="87" t="n"/>
      <c r="HRO1" s="87" t="n"/>
      <c r="HRP1" s="87" t="n"/>
      <c r="HRQ1" s="87" t="n"/>
      <c r="HRR1" s="87" t="n"/>
      <c r="HRS1" s="87" t="n"/>
      <c r="HRT1" s="87" t="n"/>
      <c r="HRU1" s="87" t="n"/>
      <c r="HRV1" s="87" t="n"/>
      <c r="HRW1" s="87" t="n"/>
      <c r="HRX1" s="87" t="n"/>
      <c r="HRY1" s="87" t="n"/>
      <c r="HRZ1" s="87" t="n"/>
      <c r="HSA1" s="87" t="n"/>
      <c r="HSB1" s="87" t="n"/>
      <c r="HSC1" s="87" t="n"/>
      <c r="HSD1" s="87" t="n"/>
      <c r="HSE1" s="87" t="n"/>
      <c r="HSF1" s="87" t="n"/>
      <c r="HSG1" s="87" t="n"/>
      <c r="HSH1" s="87" t="n"/>
      <c r="HSI1" s="87" t="n"/>
      <c r="HSJ1" s="87" t="n"/>
      <c r="HSK1" s="87" t="n"/>
      <c r="HSL1" s="87" t="n"/>
      <c r="HSM1" s="87" t="n"/>
      <c r="HSN1" s="87" t="n"/>
      <c r="HSO1" s="87" t="n"/>
      <c r="HSP1" s="87" t="n"/>
      <c r="HSQ1" s="87" t="n"/>
      <c r="HSR1" s="87" t="n"/>
      <c r="HSS1" s="87" t="n"/>
      <c r="HST1" s="87" t="n"/>
      <c r="HSU1" s="87" t="n"/>
      <c r="HSV1" s="87" t="n"/>
      <c r="HSW1" s="87" t="n"/>
      <c r="HSX1" s="87" t="n"/>
      <c r="HSY1" s="87" t="n"/>
      <c r="HSZ1" s="87" t="n"/>
      <c r="HTA1" s="87" t="n"/>
      <c r="HTB1" s="87" t="n"/>
      <c r="HTC1" s="87" t="n"/>
      <c r="HTD1" s="87" t="n"/>
      <c r="HTE1" s="87" t="n"/>
      <c r="HTF1" s="87" t="n"/>
      <c r="HTG1" s="87" t="n"/>
      <c r="HTH1" s="87" t="n"/>
      <c r="HTI1" s="87" t="n"/>
      <c r="HTJ1" s="87" t="n"/>
      <c r="HTK1" s="87" t="n"/>
      <c r="HTL1" s="87" t="n"/>
      <c r="HTM1" s="87" t="n"/>
      <c r="HTN1" s="87" t="n"/>
      <c r="HTO1" s="87" t="n"/>
      <c r="HTP1" s="87" t="n"/>
      <c r="HTQ1" s="87" t="n"/>
      <c r="HTR1" s="87" t="n"/>
      <c r="HTS1" s="87" t="n"/>
      <c r="HTT1" s="87" t="n"/>
      <c r="HTU1" s="87" t="n"/>
      <c r="HTV1" s="87" t="n"/>
      <c r="HTW1" s="87" t="n"/>
      <c r="HTX1" s="87" t="n"/>
      <c r="HTY1" s="87" t="n"/>
      <c r="HTZ1" s="87" t="n"/>
      <c r="HUA1" s="87" t="n"/>
      <c r="HUB1" s="87" t="n"/>
      <c r="HUC1" s="87" t="n"/>
      <c r="HUD1" s="87" t="n"/>
      <c r="HUE1" s="87" t="n"/>
      <c r="HUF1" s="87" t="n"/>
      <c r="HUG1" s="87" t="n"/>
      <c r="HUH1" s="87" t="n"/>
      <c r="HUI1" s="87" t="n"/>
      <c r="HUJ1" s="87" t="n"/>
      <c r="HUK1" s="87" t="n"/>
      <c r="HUL1" s="87" t="n"/>
      <c r="HUM1" s="87" t="n"/>
      <c r="HUN1" s="87" t="n"/>
      <c r="HUO1" s="87" t="n"/>
      <c r="HUP1" s="87" t="n"/>
      <c r="HUQ1" s="87" t="n"/>
      <c r="HUR1" s="87" t="n"/>
      <c r="HUS1" s="87" t="n"/>
      <c r="HUT1" s="87" t="n"/>
      <c r="HUU1" s="87" t="n"/>
      <c r="HUV1" s="87" t="n"/>
      <c r="HUW1" s="87" t="n"/>
      <c r="HUX1" s="87" t="n"/>
      <c r="HUY1" s="87" t="n"/>
      <c r="HUZ1" s="87" t="n"/>
      <c r="HVA1" s="87" t="n"/>
      <c r="HVB1" s="87" t="n"/>
      <c r="HVC1" s="87" t="n"/>
      <c r="HVD1" s="87" t="n"/>
      <c r="HVE1" s="87" t="n"/>
      <c r="HVF1" s="87" t="n"/>
      <c r="HVG1" s="87" t="n"/>
      <c r="HVH1" s="87" t="n"/>
      <c r="HVI1" s="87" t="n"/>
      <c r="HVJ1" s="87" t="n"/>
      <c r="HVK1" s="87" t="n"/>
      <c r="HVL1" s="87" t="n"/>
      <c r="HVM1" s="87" t="n"/>
      <c r="HVN1" s="87" t="n"/>
      <c r="HVO1" s="87" t="n"/>
      <c r="HVP1" s="87" t="n"/>
      <c r="HVQ1" s="87" t="n"/>
      <c r="HVR1" s="87" t="n"/>
      <c r="HVS1" s="87" t="n"/>
      <c r="HVT1" s="87" t="n"/>
      <c r="HVU1" s="87" t="n"/>
      <c r="HVV1" s="87" t="n"/>
      <c r="HVW1" s="87" t="n"/>
      <c r="HVX1" s="87" t="n"/>
      <c r="HVY1" s="87" t="n"/>
      <c r="HVZ1" s="87" t="n"/>
      <c r="HWA1" s="87" t="n"/>
      <c r="HWB1" s="87" t="n"/>
      <c r="HWC1" s="87" t="n"/>
      <c r="HWD1" s="87" t="n"/>
      <c r="HWE1" s="87" t="n"/>
      <c r="HWF1" s="87" t="n"/>
      <c r="HWG1" s="87" t="n"/>
      <c r="HWH1" s="87" t="n"/>
      <c r="HWI1" s="87" t="n"/>
      <c r="HWJ1" s="87" t="n"/>
      <c r="HWK1" s="87" t="n"/>
      <c r="HWL1" s="87" t="n"/>
      <c r="HWM1" s="87" t="n"/>
      <c r="HWN1" s="87" t="n"/>
      <c r="HWO1" s="87" t="n"/>
      <c r="HWP1" s="87" t="n"/>
      <c r="HWQ1" s="87" t="n"/>
      <c r="HWR1" s="87" t="n"/>
      <c r="HWS1" s="87" t="n"/>
      <c r="HWT1" s="87" t="n"/>
      <c r="HWU1" s="87" t="n"/>
      <c r="HWV1" s="87" t="n"/>
      <c r="HWW1" s="87" t="n"/>
      <c r="HWX1" s="87" t="n"/>
      <c r="HWY1" s="87" t="n"/>
      <c r="HWZ1" s="87" t="n"/>
      <c r="HXA1" s="87" t="n"/>
      <c r="HXB1" s="87" t="n"/>
      <c r="HXC1" s="87" t="n"/>
      <c r="HXD1" s="87" t="n"/>
      <c r="HXE1" s="87" t="n"/>
      <c r="HXF1" s="87" t="n"/>
      <c r="HXG1" s="87" t="n"/>
      <c r="HXH1" s="87" t="n"/>
      <c r="HXI1" s="87" t="n"/>
      <c r="HXJ1" s="87" t="n"/>
      <c r="HXK1" s="87" t="n"/>
      <c r="HXL1" s="87" t="n"/>
      <c r="HXM1" s="87" t="n"/>
      <c r="HXN1" s="87" t="n"/>
      <c r="HXO1" s="87" t="n"/>
      <c r="HXP1" s="87" t="n"/>
      <c r="HXQ1" s="87" t="n"/>
      <c r="HXR1" s="87" t="n"/>
      <c r="HXS1" s="87" t="n"/>
      <c r="HXT1" s="87" t="n"/>
      <c r="HXU1" s="87" t="n"/>
      <c r="HXV1" s="87" t="n"/>
      <c r="HXW1" s="87" t="n"/>
      <c r="HXX1" s="87" t="n"/>
      <c r="HXY1" s="87" t="n"/>
      <c r="HXZ1" s="87" t="n"/>
      <c r="HYA1" s="87" t="n"/>
      <c r="HYB1" s="87" t="n"/>
      <c r="HYC1" s="87" t="n"/>
      <c r="HYD1" s="87" t="n"/>
      <c r="HYE1" s="87" t="n"/>
      <c r="HYF1" s="87" t="n"/>
      <c r="HYG1" s="87" t="n"/>
      <c r="HYH1" s="87" t="n"/>
      <c r="HYI1" s="87" t="n"/>
      <c r="HYJ1" s="87" t="n"/>
      <c r="HYK1" s="87" t="n"/>
      <c r="HYL1" s="87" t="n"/>
      <c r="HYM1" s="87" t="n"/>
      <c r="HYN1" s="87" t="n"/>
      <c r="HYO1" s="87" t="n"/>
      <c r="HYP1" s="87" t="n"/>
      <c r="HYQ1" s="87" t="n"/>
      <c r="HYR1" s="87" t="n"/>
      <c r="HYS1" s="87" t="n"/>
      <c r="HYT1" s="87" t="n"/>
      <c r="HYU1" s="87" t="n"/>
      <c r="HYV1" s="87" t="n"/>
      <c r="HYW1" s="87" t="n"/>
      <c r="HYX1" s="87" t="n"/>
      <c r="HYY1" s="87" t="n"/>
      <c r="HYZ1" s="87" t="n"/>
      <c r="HZA1" s="87" t="n"/>
      <c r="HZB1" s="87" t="n"/>
      <c r="HZC1" s="87" t="n"/>
      <c r="HZD1" s="87" t="n"/>
      <c r="HZE1" s="87" t="n"/>
      <c r="HZF1" s="87" t="n"/>
      <c r="HZG1" s="87" t="n"/>
      <c r="HZH1" s="87" t="n"/>
      <c r="HZI1" s="87" t="n"/>
      <c r="HZJ1" s="87" t="n"/>
      <c r="HZK1" s="87" t="n"/>
      <c r="HZL1" s="87" t="n"/>
      <c r="HZM1" s="87" t="n"/>
      <c r="HZN1" s="87" t="n"/>
      <c r="HZO1" s="87" t="n"/>
      <c r="HZP1" s="87" t="n"/>
      <c r="HZQ1" s="87" t="n"/>
      <c r="HZR1" s="87" t="n"/>
      <c r="HZS1" s="87" t="n"/>
      <c r="HZT1" s="87" t="n"/>
      <c r="HZU1" s="87" t="n"/>
      <c r="HZV1" s="87" t="n"/>
      <c r="HZW1" s="87" t="n"/>
      <c r="HZX1" s="87" t="n"/>
      <c r="HZY1" s="87" t="n"/>
      <c r="HZZ1" s="87" t="n"/>
      <c r="IAA1" s="87" t="n"/>
      <c r="IAB1" s="87" t="n"/>
      <c r="IAC1" s="87" t="n"/>
      <c r="IAD1" s="87" t="n"/>
      <c r="IAE1" s="87" t="n"/>
      <c r="IAF1" s="87" t="n"/>
      <c r="IAG1" s="87" t="n"/>
      <c r="IAH1" s="87" t="n"/>
      <c r="IAI1" s="87" t="n"/>
      <c r="IAJ1" s="87" t="n"/>
      <c r="IAK1" s="87" t="n"/>
      <c r="IAL1" s="87" t="n"/>
      <c r="IAM1" s="87" t="n"/>
      <c r="IAN1" s="87" t="n"/>
      <c r="IAO1" s="87" t="n"/>
      <c r="IAP1" s="87" t="n"/>
      <c r="IAQ1" s="87" t="n"/>
      <c r="IAR1" s="87" t="n"/>
      <c r="IAS1" s="87" t="n"/>
      <c r="IAT1" s="87" t="n"/>
      <c r="IAU1" s="87" t="n"/>
      <c r="IAV1" s="87" t="n"/>
      <c r="IAW1" s="87" t="n"/>
      <c r="IAX1" s="87" t="n"/>
      <c r="IAY1" s="87" t="n"/>
      <c r="IAZ1" s="87" t="n"/>
      <c r="IBA1" s="87" t="n"/>
      <c r="IBB1" s="87" t="n"/>
      <c r="IBC1" s="87" t="n"/>
      <c r="IBD1" s="87" t="n"/>
      <c r="IBE1" s="87" t="n"/>
      <c r="IBF1" s="87" t="n"/>
      <c r="IBG1" s="87" t="n"/>
      <c r="IBH1" s="87" t="n"/>
      <c r="IBI1" s="87" t="n"/>
      <c r="IBJ1" s="87" t="n"/>
      <c r="IBK1" s="87" t="n"/>
      <c r="IBL1" s="87" t="n"/>
      <c r="IBM1" s="87" t="n"/>
      <c r="IBN1" s="87" t="n"/>
      <c r="IBO1" s="87" t="n"/>
      <c r="IBP1" s="87" t="n"/>
      <c r="IBQ1" s="87" t="n"/>
      <c r="IBR1" s="87" t="n"/>
      <c r="IBS1" s="87" t="n"/>
      <c r="IBT1" s="87" t="n"/>
      <c r="IBU1" s="87" t="n"/>
      <c r="IBV1" s="87" t="n"/>
      <c r="IBW1" s="87" t="n"/>
      <c r="IBX1" s="87" t="n"/>
      <c r="IBY1" s="87" t="n"/>
      <c r="IBZ1" s="87" t="n"/>
      <c r="ICA1" s="87" t="n"/>
      <c r="ICB1" s="87" t="n"/>
      <c r="ICC1" s="87" t="n"/>
      <c r="ICD1" s="87" t="n"/>
      <c r="ICE1" s="87" t="n"/>
      <c r="ICF1" s="87" t="n"/>
      <c r="ICG1" s="87" t="n"/>
      <c r="ICH1" s="87" t="n"/>
      <c r="ICI1" s="87" t="n"/>
      <c r="ICJ1" s="87" t="n"/>
      <c r="ICK1" s="87" t="n"/>
      <c r="ICL1" s="87" t="n"/>
      <c r="ICM1" s="87" t="n"/>
      <c r="ICN1" s="87" t="n"/>
      <c r="ICO1" s="87" t="n"/>
      <c r="ICP1" s="87" t="n"/>
      <c r="ICQ1" s="87" t="n"/>
      <c r="ICR1" s="87" t="n"/>
      <c r="ICS1" s="87" t="n"/>
      <c r="ICT1" s="87" t="n"/>
      <c r="ICU1" s="87" t="n"/>
      <c r="ICV1" s="87" t="n"/>
      <c r="ICW1" s="87" t="n"/>
      <c r="ICX1" s="87" t="n"/>
      <c r="ICY1" s="87" t="n"/>
      <c r="ICZ1" s="87" t="n"/>
      <c r="IDA1" s="87" t="n"/>
      <c r="IDB1" s="87" t="n"/>
      <c r="IDC1" s="87" t="n"/>
      <c r="IDD1" s="87" t="n"/>
      <c r="IDE1" s="87" t="n"/>
      <c r="IDF1" s="87" t="n"/>
      <c r="IDG1" s="87" t="n"/>
      <c r="IDH1" s="87" t="n"/>
      <c r="IDI1" s="87" t="n"/>
      <c r="IDJ1" s="87" t="n"/>
      <c r="IDK1" s="87" t="n"/>
      <c r="IDL1" s="87" t="n"/>
      <c r="IDM1" s="87" t="n"/>
      <c r="IDN1" s="87" t="n"/>
      <c r="IDO1" s="87" t="n"/>
      <c r="IDP1" s="87" t="n"/>
      <c r="IDQ1" s="87" t="n"/>
      <c r="IDR1" s="87" t="n"/>
      <c r="IDS1" s="87" t="n"/>
      <c r="IDT1" s="87" t="n"/>
      <c r="IDU1" s="87" t="n"/>
      <c r="IDV1" s="87" t="n"/>
      <c r="IDW1" s="87" t="n"/>
      <c r="IDX1" s="87" t="n"/>
      <c r="IDY1" s="87" t="n"/>
      <c r="IDZ1" s="87" t="n"/>
      <c r="IEA1" s="87" t="n"/>
      <c r="IEB1" s="87" t="n"/>
      <c r="IEC1" s="87" t="n"/>
      <c r="IED1" s="87" t="n"/>
      <c r="IEE1" s="87" t="n"/>
      <c r="IEF1" s="87" t="n"/>
      <c r="IEG1" s="87" t="n"/>
      <c r="IEH1" s="87" t="n"/>
      <c r="IEI1" s="87" t="n"/>
      <c r="IEJ1" s="87" t="n"/>
      <c r="IEK1" s="87" t="n"/>
      <c r="IEL1" s="87" t="n"/>
      <c r="IEM1" s="87" t="n"/>
      <c r="IEN1" s="87" t="n"/>
      <c r="IEO1" s="87" t="n"/>
      <c r="IEP1" s="87" t="n"/>
      <c r="IEQ1" s="87" t="n"/>
      <c r="IER1" s="87" t="n"/>
      <c r="IES1" s="87" t="n"/>
      <c r="IET1" s="87" t="n"/>
      <c r="IEU1" s="87" t="n"/>
      <c r="IEV1" s="87" t="n"/>
      <c r="IEW1" s="87" t="n"/>
      <c r="IEX1" s="87" t="n"/>
      <c r="IEY1" s="87" t="n"/>
      <c r="IEZ1" s="87" t="n"/>
      <c r="IFA1" s="87" t="n"/>
      <c r="IFB1" s="87" t="n"/>
      <c r="IFC1" s="87" t="n"/>
      <c r="IFD1" s="87" t="n"/>
      <c r="IFE1" s="87" t="n"/>
      <c r="IFF1" s="87" t="n"/>
      <c r="IFG1" s="87" t="n"/>
      <c r="IFH1" s="87" t="n"/>
      <c r="IFI1" s="87" t="n"/>
      <c r="IFJ1" s="87" t="n"/>
      <c r="IFK1" s="87" t="n"/>
      <c r="IFL1" s="87" t="n"/>
      <c r="IFM1" s="87" t="n"/>
      <c r="IFN1" s="87" t="n"/>
      <c r="IFO1" s="87" t="n"/>
      <c r="IFP1" s="87" t="n"/>
      <c r="IFQ1" s="87" t="n"/>
      <c r="IFR1" s="87" t="n"/>
      <c r="IFS1" s="87" t="n"/>
      <c r="IFT1" s="87" t="n"/>
      <c r="IFU1" s="87" t="n"/>
      <c r="IFV1" s="87" t="n"/>
      <c r="IFW1" s="87" t="n"/>
      <c r="IFX1" s="87" t="n"/>
      <c r="IFY1" s="87" t="n"/>
      <c r="IFZ1" s="87" t="n"/>
      <c r="IGA1" s="87" t="n"/>
      <c r="IGB1" s="87" t="n"/>
      <c r="IGC1" s="87" t="n"/>
      <c r="IGD1" s="87" t="n"/>
      <c r="IGE1" s="87" t="n"/>
      <c r="IGF1" s="87" t="n"/>
      <c r="IGG1" s="87" t="n"/>
      <c r="IGH1" s="87" t="n"/>
      <c r="IGI1" s="87" t="n"/>
      <c r="IGJ1" s="87" t="n"/>
      <c r="IGK1" s="87" t="n"/>
      <c r="IGL1" s="87" t="n"/>
      <c r="IGM1" s="87" t="n"/>
      <c r="IGN1" s="87" t="n"/>
      <c r="IGO1" s="87" t="n"/>
      <c r="IGP1" s="87" t="n"/>
      <c r="IGQ1" s="87" t="n"/>
      <c r="IGR1" s="87" t="n"/>
      <c r="IGS1" s="87" t="n"/>
      <c r="IGT1" s="87" t="n"/>
      <c r="IGU1" s="87" t="n"/>
      <c r="IGV1" s="87" t="n"/>
      <c r="IGW1" s="87" t="n"/>
      <c r="IGX1" s="87" t="n"/>
      <c r="IGY1" s="87" t="n"/>
      <c r="IGZ1" s="87" t="n"/>
      <c r="IHA1" s="87" t="n"/>
      <c r="IHB1" s="87" t="n"/>
      <c r="IHC1" s="87" t="n"/>
      <c r="IHD1" s="87" t="n"/>
      <c r="IHE1" s="87" t="n"/>
      <c r="IHF1" s="87" t="n"/>
      <c r="IHG1" s="87" t="n"/>
      <c r="IHH1" s="87" t="n"/>
      <c r="IHI1" s="87" t="n"/>
      <c r="IHJ1" s="87" t="n"/>
      <c r="IHK1" s="87" t="n"/>
      <c r="IHL1" s="87" t="n"/>
      <c r="IHM1" s="87" t="n"/>
      <c r="IHN1" s="87" t="n"/>
      <c r="IHO1" s="87" t="n"/>
      <c r="IHP1" s="87" t="n"/>
      <c r="IHQ1" s="87" t="n"/>
      <c r="IHR1" s="87" t="n"/>
      <c r="IHS1" s="87" t="n"/>
      <c r="IHT1" s="87" t="n"/>
      <c r="IHU1" s="87" t="n"/>
      <c r="IHV1" s="87" t="n"/>
      <c r="IHW1" s="87" t="n"/>
      <c r="IHX1" s="87" t="n"/>
      <c r="IHY1" s="87" t="n"/>
      <c r="IHZ1" s="87" t="n"/>
      <c r="IIA1" s="87" t="n"/>
      <c r="IIB1" s="87" t="n"/>
      <c r="IIC1" s="87" t="n"/>
      <c r="IID1" s="87" t="n"/>
      <c r="IIE1" s="87" t="n"/>
      <c r="IIF1" s="87" t="n"/>
      <c r="IIG1" s="87" t="n"/>
      <c r="IIH1" s="87" t="n"/>
      <c r="III1" s="87" t="n"/>
      <c r="IIJ1" s="87" t="n"/>
      <c r="IIK1" s="87" t="n"/>
      <c r="IIL1" s="87" t="n"/>
      <c r="IIM1" s="87" t="n"/>
      <c r="IIN1" s="87" t="n"/>
      <c r="IIO1" s="87" t="n"/>
      <c r="IIP1" s="87" t="n"/>
      <c r="IIQ1" s="87" t="n"/>
      <c r="IIR1" s="87" t="n"/>
      <c r="IIS1" s="87" t="n"/>
      <c r="IIT1" s="87" t="n"/>
      <c r="IIU1" s="87" t="n"/>
      <c r="IIV1" s="87" t="n"/>
      <c r="IIW1" s="87" t="n"/>
      <c r="IIX1" s="87" t="n"/>
      <c r="IIY1" s="87" t="n"/>
      <c r="IIZ1" s="87" t="n"/>
      <c r="IJA1" s="87" t="n"/>
      <c r="IJB1" s="87" t="n"/>
      <c r="IJC1" s="87" t="n"/>
      <c r="IJD1" s="87" t="n"/>
      <c r="IJE1" s="87" t="n"/>
      <c r="IJF1" s="87" t="n"/>
      <c r="IJG1" s="87" t="n"/>
      <c r="IJH1" s="87" t="n"/>
      <c r="IJI1" s="87" t="n"/>
      <c r="IJJ1" s="87" t="n"/>
      <c r="IJK1" s="87" t="n"/>
      <c r="IJL1" s="87" t="n"/>
      <c r="IJM1" s="87" t="n"/>
      <c r="IJN1" s="87" t="n"/>
      <c r="IJO1" s="87" t="n"/>
      <c r="IJP1" s="87" t="n"/>
      <c r="IJQ1" s="87" t="n"/>
      <c r="IJR1" s="87" t="n"/>
      <c r="IJS1" s="87" t="n"/>
      <c r="IJT1" s="87" t="n"/>
      <c r="IJU1" s="87" t="n"/>
      <c r="IJV1" s="87" t="n"/>
      <c r="IJW1" s="87" t="n"/>
      <c r="IJX1" s="87" t="n"/>
      <c r="IJY1" s="87" t="n"/>
      <c r="IJZ1" s="87" t="n"/>
      <c r="IKA1" s="87" t="n"/>
      <c r="IKB1" s="87" t="n"/>
      <c r="IKC1" s="87" t="n"/>
      <c r="IKD1" s="87" t="n"/>
      <c r="IKE1" s="87" t="n"/>
      <c r="IKF1" s="87" t="n"/>
      <c r="IKG1" s="87" t="n"/>
      <c r="IKH1" s="87" t="n"/>
      <c r="IKI1" s="87" t="n"/>
      <c r="IKJ1" s="87" t="n"/>
      <c r="IKK1" s="87" t="n"/>
      <c r="IKL1" s="87" t="n"/>
      <c r="IKM1" s="87" t="n"/>
      <c r="IKN1" s="87" t="n"/>
      <c r="IKO1" s="87" t="n"/>
      <c r="IKP1" s="87" t="n"/>
      <c r="IKQ1" s="87" t="n"/>
      <c r="IKR1" s="87" t="n"/>
      <c r="IKS1" s="87" t="n"/>
      <c r="IKT1" s="87" t="n"/>
      <c r="IKU1" s="87" t="n"/>
      <c r="IKV1" s="87" t="n"/>
      <c r="IKW1" s="87" t="n"/>
      <c r="IKX1" s="87" t="n"/>
      <c r="IKY1" s="87" t="n"/>
      <c r="IKZ1" s="87" t="n"/>
      <c r="ILA1" s="87" t="n"/>
      <c r="ILB1" s="87" t="n"/>
      <c r="ILC1" s="87" t="n"/>
      <c r="ILD1" s="87" t="n"/>
      <c r="ILE1" s="87" t="n"/>
      <c r="ILF1" s="87" t="n"/>
      <c r="ILG1" s="87" t="n"/>
      <c r="ILH1" s="87" t="n"/>
      <c r="ILI1" s="87" t="n"/>
      <c r="ILJ1" s="87" t="n"/>
      <c r="ILK1" s="87" t="n"/>
      <c r="ILL1" s="87" t="n"/>
      <c r="ILM1" s="87" t="n"/>
      <c r="ILN1" s="87" t="n"/>
      <c r="ILO1" s="87" t="n"/>
      <c r="ILP1" s="87" t="n"/>
      <c r="ILQ1" s="87" t="n"/>
      <c r="ILR1" s="87" t="n"/>
      <c r="ILS1" s="87" t="n"/>
      <c r="ILT1" s="87" t="n"/>
      <c r="ILU1" s="87" t="n"/>
      <c r="ILV1" s="87" t="n"/>
      <c r="ILW1" s="87" t="n"/>
      <c r="ILX1" s="87" t="n"/>
      <c r="ILY1" s="87" t="n"/>
      <c r="ILZ1" s="87" t="n"/>
      <c r="IMA1" s="87" t="n"/>
      <c r="IMB1" s="87" t="n"/>
      <c r="IMC1" s="87" t="n"/>
      <c r="IMD1" s="87" t="n"/>
      <c r="IME1" s="87" t="n"/>
      <c r="IMF1" s="87" t="n"/>
      <c r="IMG1" s="87" t="n"/>
      <c r="IMH1" s="87" t="n"/>
      <c r="IMI1" s="87" t="n"/>
      <c r="IMJ1" s="87" t="n"/>
      <c r="IMK1" s="87" t="n"/>
      <c r="IML1" s="87" t="n"/>
      <c r="IMM1" s="87" t="n"/>
      <c r="IMN1" s="87" t="n"/>
      <c r="IMO1" s="87" t="n"/>
      <c r="IMP1" s="87" t="n"/>
      <c r="IMQ1" s="87" t="n"/>
      <c r="IMR1" s="87" t="n"/>
      <c r="IMS1" s="87" t="n"/>
      <c r="IMT1" s="87" t="n"/>
      <c r="IMU1" s="87" t="n"/>
      <c r="IMV1" s="87" t="n"/>
      <c r="IMW1" s="87" t="n"/>
      <c r="IMX1" s="87" t="n"/>
      <c r="IMY1" s="87" t="n"/>
      <c r="IMZ1" s="87" t="n"/>
      <c r="INA1" s="87" t="n"/>
      <c r="INB1" s="87" t="n"/>
      <c r="INC1" s="87" t="n"/>
      <c r="IND1" s="87" t="n"/>
      <c r="INE1" s="87" t="n"/>
      <c r="INF1" s="87" t="n"/>
      <c r="ING1" s="87" t="n"/>
      <c r="INH1" s="87" t="n"/>
      <c r="INI1" s="87" t="n"/>
      <c r="INJ1" s="87" t="n"/>
      <c r="INK1" s="87" t="n"/>
      <c r="INL1" s="87" t="n"/>
      <c r="INM1" s="87" t="n"/>
      <c r="INN1" s="87" t="n"/>
      <c r="INO1" s="87" t="n"/>
      <c r="INP1" s="87" t="n"/>
      <c r="INQ1" s="87" t="n"/>
      <c r="INR1" s="87" t="n"/>
      <c r="INS1" s="87" t="n"/>
      <c r="INT1" s="87" t="n"/>
      <c r="INU1" s="87" t="n"/>
      <c r="INV1" s="87" t="n"/>
      <c r="INW1" s="87" t="n"/>
      <c r="INX1" s="87" t="n"/>
      <c r="INY1" s="87" t="n"/>
      <c r="INZ1" s="87" t="n"/>
      <c r="IOA1" s="87" t="n"/>
      <c r="IOB1" s="87" t="n"/>
      <c r="IOC1" s="87" t="n"/>
      <c r="IOD1" s="87" t="n"/>
      <c r="IOE1" s="87" t="n"/>
      <c r="IOF1" s="87" t="n"/>
      <c r="IOG1" s="87" t="n"/>
      <c r="IOH1" s="87" t="n"/>
      <c r="IOI1" s="87" t="n"/>
      <c r="IOJ1" s="87" t="n"/>
      <c r="IOK1" s="87" t="n"/>
      <c r="IOL1" s="87" t="n"/>
      <c r="IOM1" s="87" t="n"/>
      <c r="ION1" s="87" t="n"/>
      <c r="IOO1" s="87" t="n"/>
      <c r="IOP1" s="87" t="n"/>
      <c r="IOQ1" s="87" t="n"/>
      <c r="IOR1" s="87" t="n"/>
      <c r="IOS1" s="87" t="n"/>
      <c r="IOT1" s="87" t="n"/>
      <c r="IOU1" s="87" t="n"/>
      <c r="IOV1" s="87" t="n"/>
      <c r="IOW1" s="87" t="n"/>
      <c r="IOX1" s="87" t="n"/>
      <c r="IOY1" s="87" t="n"/>
      <c r="IOZ1" s="87" t="n"/>
      <c r="IPA1" s="87" t="n"/>
      <c r="IPB1" s="87" t="n"/>
      <c r="IPC1" s="87" t="n"/>
      <c r="IPD1" s="87" t="n"/>
      <c r="IPE1" s="87" t="n"/>
      <c r="IPF1" s="87" t="n"/>
      <c r="IPG1" s="87" t="n"/>
      <c r="IPH1" s="87" t="n"/>
      <c r="IPI1" s="87" t="n"/>
      <c r="IPJ1" s="87" t="n"/>
      <c r="IPK1" s="87" t="n"/>
      <c r="IPL1" s="87" t="n"/>
      <c r="IPM1" s="87" t="n"/>
      <c r="IPN1" s="87" t="n"/>
      <c r="IPO1" s="87" t="n"/>
      <c r="IPP1" s="87" t="n"/>
      <c r="IPQ1" s="87" t="n"/>
      <c r="IPR1" s="87" t="n"/>
      <c r="IPS1" s="87" t="n"/>
      <c r="IPT1" s="87" t="n"/>
      <c r="IPU1" s="87" t="n"/>
      <c r="IPV1" s="87" t="n"/>
      <c r="IPW1" s="87" t="n"/>
      <c r="IPX1" s="87" t="n"/>
      <c r="IPY1" s="87" t="n"/>
      <c r="IPZ1" s="87" t="n"/>
      <c r="IQA1" s="87" t="n"/>
      <c r="IQB1" s="87" t="n"/>
      <c r="IQC1" s="87" t="n"/>
      <c r="IQD1" s="87" t="n"/>
      <c r="IQE1" s="87" t="n"/>
      <c r="IQF1" s="87" t="n"/>
      <c r="IQG1" s="87" t="n"/>
      <c r="IQH1" s="87" t="n"/>
      <c r="IQI1" s="87" t="n"/>
      <c r="IQJ1" s="87" t="n"/>
      <c r="IQK1" s="87" t="n"/>
      <c r="IQL1" s="87" t="n"/>
      <c r="IQM1" s="87" t="n"/>
      <c r="IQN1" s="87" t="n"/>
      <c r="IQO1" s="87" t="n"/>
      <c r="IQP1" s="87" t="n"/>
      <c r="IQQ1" s="87" t="n"/>
      <c r="IQR1" s="87" t="n"/>
      <c r="IQS1" s="87" t="n"/>
      <c r="IQT1" s="87" t="n"/>
      <c r="IQU1" s="87" t="n"/>
      <c r="IQV1" s="87" t="n"/>
      <c r="IQW1" s="87" t="n"/>
      <c r="IQX1" s="87" t="n"/>
      <c r="IQY1" s="87" t="n"/>
      <c r="IQZ1" s="87" t="n"/>
      <c r="IRA1" s="87" t="n"/>
      <c r="IRB1" s="87" t="n"/>
      <c r="IRC1" s="87" t="n"/>
      <c r="IRD1" s="87" t="n"/>
      <c r="IRE1" s="87" t="n"/>
      <c r="IRF1" s="87" t="n"/>
      <c r="IRG1" s="87" t="n"/>
      <c r="IRH1" s="87" t="n"/>
      <c r="IRI1" s="87" t="n"/>
      <c r="IRJ1" s="87" t="n"/>
      <c r="IRK1" s="87" t="n"/>
      <c r="IRL1" s="87" t="n"/>
      <c r="IRM1" s="87" t="n"/>
      <c r="IRN1" s="87" t="n"/>
      <c r="IRO1" s="87" t="n"/>
      <c r="IRP1" s="87" t="n"/>
      <c r="IRQ1" s="87" t="n"/>
      <c r="IRR1" s="87" t="n"/>
      <c r="IRS1" s="87" t="n"/>
      <c r="IRT1" s="87" t="n"/>
      <c r="IRU1" s="87" t="n"/>
      <c r="IRV1" s="87" t="n"/>
      <c r="IRW1" s="87" t="n"/>
      <c r="IRX1" s="87" t="n"/>
      <c r="IRY1" s="87" t="n"/>
      <c r="IRZ1" s="87" t="n"/>
      <c r="ISA1" s="87" t="n"/>
      <c r="ISB1" s="87" t="n"/>
      <c r="ISC1" s="87" t="n"/>
      <c r="ISD1" s="87" t="n"/>
      <c r="ISE1" s="87" t="n"/>
      <c r="ISF1" s="87" t="n"/>
      <c r="ISG1" s="87" t="n"/>
      <c r="ISH1" s="87" t="n"/>
      <c r="ISI1" s="87" t="n"/>
      <c r="ISJ1" s="87" t="n"/>
      <c r="ISK1" s="87" t="n"/>
      <c r="ISL1" s="87" t="n"/>
      <c r="ISM1" s="87" t="n"/>
      <c r="ISN1" s="87" t="n"/>
      <c r="ISO1" s="87" t="n"/>
      <c r="ISP1" s="87" t="n"/>
      <c r="ISQ1" s="87" t="n"/>
      <c r="ISR1" s="87" t="n"/>
      <c r="ISS1" s="87" t="n"/>
      <c r="IST1" s="87" t="n"/>
      <c r="ISU1" s="87" t="n"/>
      <c r="ISV1" s="87" t="n"/>
      <c r="ISW1" s="87" t="n"/>
      <c r="ISX1" s="87" t="n"/>
      <c r="ISY1" s="87" t="n"/>
      <c r="ISZ1" s="87" t="n"/>
      <c r="ITA1" s="87" t="n"/>
      <c r="ITB1" s="87" t="n"/>
      <c r="ITC1" s="87" t="n"/>
      <c r="ITD1" s="87" t="n"/>
      <c r="ITE1" s="87" t="n"/>
      <c r="ITF1" s="87" t="n"/>
      <c r="ITG1" s="87" t="n"/>
      <c r="ITH1" s="87" t="n"/>
      <c r="ITI1" s="87" t="n"/>
      <c r="ITJ1" s="87" t="n"/>
      <c r="ITK1" s="87" t="n"/>
      <c r="ITL1" s="87" t="n"/>
      <c r="ITM1" s="87" t="n"/>
      <c r="ITN1" s="87" t="n"/>
      <c r="ITO1" s="87" t="n"/>
      <c r="ITP1" s="87" t="n"/>
      <c r="ITQ1" s="87" t="n"/>
      <c r="ITR1" s="87" t="n"/>
      <c r="ITS1" s="87" t="n"/>
      <c r="ITT1" s="87" t="n"/>
      <c r="ITU1" s="87" t="n"/>
      <c r="ITV1" s="87" t="n"/>
      <c r="ITW1" s="87" t="n"/>
      <c r="ITX1" s="87" t="n"/>
      <c r="ITY1" s="87" t="n"/>
      <c r="ITZ1" s="87" t="n"/>
      <c r="IUA1" s="87" t="n"/>
      <c r="IUB1" s="87" t="n"/>
      <c r="IUC1" s="87" t="n"/>
      <c r="IUD1" s="87" t="n"/>
      <c r="IUE1" s="87" t="n"/>
      <c r="IUF1" s="87" t="n"/>
      <c r="IUG1" s="87" t="n"/>
      <c r="IUH1" s="87" t="n"/>
      <c r="IUI1" s="87" t="n"/>
      <c r="IUJ1" s="87" t="n"/>
      <c r="IUK1" s="87" t="n"/>
      <c r="IUL1" s="87" t="n"/>
      <c r="IUM1" s="87" t="n"/>
      <c r="IUN1" s="87" t="n"/>
      <c r="IUO1" s="87" t="n"/>
      <c r="IUP1" s="87" t="n"/>
      <c r="IUQ1" s="87" t="n"/>
      <c r="IUR1" s="87" t="n"/>
      <c r="IUS1" s="87" t="n"/>
      <c r="IUT1" s="87" t="n"/>
      <c r="IUU1" s="87" t="n"/>
      <c r="IUV1" s="87" t="n"/>
      <c r="IUW1" s="87" t="n"/>
      <c r="IUX1" s="87" t="n"/>
      <c r="IUY1" s="87" t="n"/>
      <c r="IUZ1" s="87" t="n"/>
      <c r="IVA1" s="87" t="n"/>
      <c r="IVB1" s="87" t="n"/>
      <c r="IVC1" s="87" t="n"/>
      <c r="IVD1" s="87" t="n"/>
      <c r="IVE1" s="87" t="n"/>
      <c r="IVF1" s="87" t="n"/>
      <c r="IVG1" s="87" t="n"/>
      <c r="IVH1" s="87" t="n"/>
      <c r="IVI1" s="87" t="n"/>
      <c r="IVJ1" s="87" t="n"/>
      <c r="IVK1" s="87" t="n"/>
      <c r="IVL1" s="87" t="n"/>
      <c r="IVM1" s="87" t="n"/>
      <c r="IVN1" s="87" t="n"/>
      <c r="IVO1" s="87" t="n"/>
      <c r="IVP1" s="87" t="n"/>
      <c r="IVQ1" s="87" t="n"/>
      <c r="IVR1" s="87" t="n"/>
      <c r="IVS1" s="87" t="n"/>
      <c r="IVT1" s="87" t="n"/>
      <c r="IVU1" s="87" t="n"/>
      <c r="IVV1" s="87" t="n"/>
      <c r="IVW1" s="87" t="n"/>
      <c r="IVX1" s="87" t="n"/>
      <c r="IVY1" s="87" t="n"/>
      <c r="IVZ1" s="87" t="n"/>
      <c r="IWA1" s="87" t="n"/>
      <c r="IWB1" s="87" t="n"/>
      <c r="IWC1" s="87" t="n"/>
      <c r="IWD1" s="87" t="n"/>
      <c r="IWE1" s="87" t="n"/>
      <c r="IWF1" s="87" t="n"/>
      <c r="IWG1" s="87" t="n"/>
      <c r="IWH1" s="87" t="n"/>
      <c r="IWI1" s="87" t="n"/>
      <c r="IWJ1" s="87" t="n"/>
      <c r="IWK1" s="87" t="n"/>
      <c r="IWL1" s="87" t="n"/>
      <c r="IWM1" s="87" t="n"/>
      <c r="IWN1" s="87" t="n"/>
      <c r="IWO1" s="87" t="n"/>
      <c r="IWP1" s="87" t="n"/>
      <c r="IWQ1" s="87" t="n"/>
      <c r="IWR1" s="87" t="n"/>
      <c r="IWS1" s="87" t="n"/>
      <c r="IWT1" s="87" t="n"/>
      <c r="IWU1" s="87" t="n"/>
      <c r="IWV1" s="87" t="n"/>
      <c r="IWW1" s="87" t="n"/>
      <c r="IWX1" s="87" t="n"/>
      <c r="IWY1" s="87" t="n"/>
      <c r="IWZ1" s="87" t="n"/>
      <c r="IXA1" s="87" t="n"/>
      <c r="IXB1" s="87" t="n"/>
      <c r="IXC1" s="87" t="n"/>
      <c r="IXD1" s="87" t="n"/>
      <c r="IXE1" s="87" t="n"/>
      <c r="IXF1" s="87" t="n"/>
      <c r="IXG1" s="87" t="n"/>
      <c r="IXH1" s="87" t="n"/>
      <c r="IXI1" s="87" t="n"/>
      <c r="IXJ1" s="87" t="n"/>
      <c r="IXK1" s="87" t="n"/>
      <c r="IXL1" s="87" t="n"/>
      <c r="IXM1" s="87" t="n"/>
      <c r="IXN1" s="87" t="n"/>
      <c r="IXO1" s="87" t="n"/>
      <c r="IXP1" s="87" t="n"/>
      <c r="IXQ1" s="87" t="n"/>
      <c r="IXR1" s="87" t="n"/>
      <c r="IXS1" s="87" t="n"/>
      <c r="IXT1" s="87" t="n"/>
      <c r="IXU1" s="87" t="n"/>
      <c r="IXV1" s="87" t="n"/>
      <c r="IXW1" s="87" t="n"/>
      <c r="IXX1" s="87" t="n"/>
      <c r="IXY1" s="87" t="n"/>
      <c r="IXZ1" s="87" t="n"/>
      <c r="IYA1" s="87" t="n"/>
      <c r="IYB1" s="87" t="n"/>
      <c r="IYC1" s="87" t="n"/>
      <c r="IYD1" s="87" t="n"/>
      <c r="IYE1" s="87" t="n"/>
      <c r="IYF1" s="87" t="n"/>
      <c r="IYG1" s="87" t="n"/>
      <c r="IYH1" s="87" t="n"/>
      <c r="IYI1" s="87" t="n"/>
      <c r="IYJ1" s="87" t="n"/>
      <c r="IYK1" s="87" t="n"/>
      <c r="IYL1" s="87" t="n"/>
      <c r="IYM1" s="87" t="n"/>
      <c r="IYN1" s="87" t="n"/>
      <c r="IYO1" s="87" t="n"/>
      <c r="IYP1" s="87" t="n"/>
      <c r="IYQ1" s="87" t="n"/>
      <c r="IYR1" s="87" t="n"/>
      <c r="IYS1" s="87" t="n"/>
      <c r="IYT1" s="87" t="n"/>
      <c r="IYU1" s="87" t="n"/>
      <c r="IYV1" s="87" t="n"/>
      <c r="IYW1" s="87" t="n"/>
      <c r="IYX1" s="87" t="n"/>
      <c r="IYY1" s="87" t="n"/>
      <c r="IYZ1" s="87" t="n"/>
      <c r="IZA1" s="87" t="n"/>
      <c r="IZB1" s="87" t="n"/>
      <c r="IZC1" s="87" t="n"/>
      <c r="IZD1" s="87" t="n"/>
      <c r="IZE1" s="87" t="n"/>
      <c r="IZF1" s="87" t="n"/>
      <c r="IZG1" s="87" t="n"/>
      <c r="IZH1" s="87" t="n"/>
      <c r="IZI1" s="87" t="n"/>
      <c r="IZJ1" s="87" t="n"/>
      <c r="IZK1" s="87" t="n"/>
      <c r="IZL1" s="87" t="n"/>
      <c r="IZM1" s="87" t="n"/>
      <c r="IZN1" s="87" t="n"/>
      <c r="IZO1" s="87" t="n"/>
      <c r="IZP1" s="87" t="n"/>
      <c r="IZQ1" s="87" t="n"/>
      <c r="IZR1" s="87" t="n"/>
      <c r="IZS1" s="87" t="n"/>
      <c r="IZT1" s="87" t="n"/>
      <c r="IZU1" s="87" t="n"/>
      <c r="IZV1" s="87" t="n"/>
      <c r="IZW1" s="87" t="n"/>
      <c r="IZX1" s="87" t="n"/>
      <c r="IZY1" s="87" t="n"/>
      <c r="IZZ1" s="87" t="n"/>
      <c r="JAA1" s="87" t="n"/>
      <c r="JAB1" s="87" t="n"/>
      <c r="JAC1" s="87" t="n"/>
      <c r="JAD1" s="87" t="n"/>
      <c r="JAE1" s="87" t="n"/>
      <c r="JAF1" s="87" t="n"/>
      <c r="JAG1" s="87" t="n"/>
      <c r="JAH1" s="87" t="n"/>
      <c r="JAI1" s="87" t="n"/>
      <c r="JAJ1" s="87" t="n"/>
      <c r="JAK1" s="87" t="n"/>
      <c r="JAL1" s="87" t="n"/>
      <c r="JAM1" s="87" t="n"/>
      <c r="JAN1" s="87" t="n"/>
      <c r="JAO1" s="87" t="n"/>
      <c r="JAP1" s="87" t="n"/>
      <c r="JAQ1" s="87" t="n"/>
      <c r="JAR1" s="87" t="n"/>
      <c r="JAS1" s="87" t="n"/>
      <c r="JAT1" s="87" t="n"/>
      <c r="JAU1" s="87" t="n"/>
      <c r="JAV1" s="87" t="n"/>
      <c r="JAW1" s="87" t="n"/>
      <c r="JAX1" s="87" t="n"/>
      <c r="JAY1" s="87" t="n"/>
      <c r="JAZ1" s="87" t="n"/>
      <c r="JBA1" s="87" t="n"/>
      <c r="JBB1" s="87" t="n"/>
      <c r="JBC1" s="87" t="n"/>
      <c r="JBD1" s="87" t="n"/>
      <c r="JBE1" s="87" t="n"/>
      <c r="JBF1" s="87" t="n"/>
      <c r="JBG1" s="87" t="n"/>
      <c r="JBH1" s="87" t="n"/>
      <c r="JBI1" s="87" t="n"/>
      <c r="JBJ1" s="87" t="n"/>
      <c r="JBK1" s="87" t="n"/>
      <c r="JBL1" s="87" t="n"/>
      <c r="JBM1" s="87" t="n"/>
      <c r="JBN1" s="87" t="n"/>
      <c r="JBO1" s="87" t="n"/>
      <c r="JBP1" s="87" t="n"/>
      <c r="JBQ1" s="87" t="n"/>
      <c r="JBR1" s="87" t="n"/>
      <c r="JBS1" s="87" t="n"/>
      <c r="JBT1" s="87" t="n"/>
      <c r="JBU1" s="87" t="n"/>
      <c r="JBV1" s="87" t="n"/>
      <c r="JBW1" s="87" t="n"/>
      <c r="JBX1" s="87" t="n"/>
      <c r="JBY1" s="87" t="n"/>
      <c r="JBZ1" s="87" t="n"/>
      <c r="JCA1" s="87" t="n"/>
      <c r="JCB1" s="87" t="n"/>
      <c r="JCC1" s="87" t="n"/>
      <c r="JCD1" s="87" t="n"/>
      <c r="JCE1" s="87" t="n"/>
      <c r="JCF1" s="87" t="n"/>
      <c r="JCG1" s="87" t="n"/>
      <c r="JCH1" s="87" t="n"/>
      <c r="JCI1" s="87" t="n"/>
      <c r="JCJ1" s="87" t="n"/>
      <c r="JCK1" s="87" t="n"/>
      <c r="JCL1" s="87" t="n"/>
      <c r="JCM1" s="87" t="n"/>
      <c r="JCN1" s="87" t="n"/>
      <c r="JCO1" s="87" t="n"/>
      <c r="JCP1" s="87" t="n"/>
      <c r="JCQ1" s="87" t="n"/>
      <c r="JCR1" s="87" t="n"/>
      <c r="JCS1" s="87" t="n"/>
      <c r="JCT1" s="87" t="n"/>
      <c r="JCU1" s="87" t="n"/>
      <c r="JCV1" s="87" t="n"/>
      <c r="JCW1" s="87" t="n"/>
      <c r="JCX1" s="87" t="n"/>
      <c r="JCY1" s="87" t="n"/>
      <c r="JCZ1" s="87" t="n"/>
      <c r="JDA1" s="87" t="n"/>
      <c r="JDB1" s="87" t="n"/>
      <c r="JDC1" s="87" t="n"/>
      <c r="JDD1" s="87" t="n"/>
      <c r="JDE1" s="87" t="n"/>
      <c r="JDF1" s="87" t="n"/>
      <c r="JDG1" s="87" t="n"/>
      <c r="JDH1" s="87" t="n"/>
      <c r="JDI1" s="87" t="n"/>
      <c r="JDJ1" s="87" t="n"/>
      <c r="JDK1" s="87" t="n"/>
      <c r="JDL1" s="87" t="n"/>
      <c r="JDM1" s="87" t="n"/>
      <c r="JDN1" s="87" t="n"/>
      <c r="JDO1" s="87" t="n"/>
      <c r="JDP1" s="87" t="n"/>
      <c r="JDQ1" s="87" t="n"/>
      <c r="JDR1" s="87" t="n"/>
      <c r="JDS1" s="87" t="n"/>
      <c r="JDT1" s="87" t="n"/>
      <c r="JDU1" s="87" t="n"/>
      <c r="JDV1" s="87" t="n"/>
      <c r="JDW1" s="87" t="n"/>
      <c r="JDX1" s="87" t="n"/>
      <c r="JDY1" s="87" t="n"/>
      <c r="JDZ1" s="87" t="n"/>
      <c r="JEA1" s="87" t="n"/>
      <c r="JEB1" s="87" t="n"/>
      <c r="JEC1" s="87" t="n"/>
      <c r="JED1" s="87" t="n"/>
      <c r="JEE1" s="87" t="n"/>
      <c r="JEF1" s="87" t="n"/>
      <c r="JEG1" s="87" t="n"/>
      <c r="JEH1" s="87" t="n"/>
      <c r="JEI1" s="87" t="n"/>
      <c r="JEJ1" s="87" t="n"/>
      <c r="JEK1" s="87" t="n"/>
      <c r="JEL1" s="87" t="n"/>
      <c r="JEM1" s="87" t="n"/>
      <c r="JEN1" s="87" t="n"/>
      <c r="JEO1" s="87" t="n"/>
      <c r="JEP1" s="87" t="n"/>
      <c r="JEQ1" s="87" t="n"/>
      <c r="JER1" s="87" t="n"/>
      <c r="JES1" s="87" t="n"/>
      <c r="JET1" s="87" t="n"/>
      <c r="JEU1" s="87" t="n"/>
      <c r="JEV1" s="87" t="n"/>
      <c r="JEW1" s="87" t="n"/>
      <c r="JEX1" s="87" t="n"/>
      <c r="JEY1" s="87" t="n"/>
      <c r="JEZ1" s="87" t="n"/>
      <c r="JFA1" s="87" t="n"/>
      <c r="JFB1" s="87" t="n"/>
      <c r="JFC1" s="87" t="n"/>
      <c r="JFD1" s="87" t="n"/>
      <c r="JFE1" s="87" t="n"/>
      <c r="JFF1" s="87" t="n"/>
      <c r="JFG1" s="87" t="n"/>
      <c r="JFH1" s="87" t="n"/>
      <c r="JFI1" s="87" t="n"/>
      <c r="JFJ1" s="87" t="n"/>
      <c r="JFK1" s="87" t="n"/>
      <c r="JFL1" s="87" t="n"/>
      <c r="JFM1" s="87" t="n"/>
      <c r="JFN1" s="87" t="n"/>
      <c r="JFO1" s="87" t="n"/>
      <c r="JFP1" s="87" t="n"/>
      <c r="JFQ1" s="87" t="n"/>
      <c r="JFR1" s="87" t="n"/>
      <c r="JFS1" s="87" t="n"/>
      <c r="JFT1" s="87" t="n"/>
      <c r="JFU1" s="87" t="n"/>
      <c r="JFV1" s="87" t="n"/>
      <c r="JFW1" s="87" t="n"/>
      <c r="JFX1" s="87" t="n"/>
      <c r="JFY1" s="87" t="n"/>
      <c r="JFZ1" s="87" t="n"/>
      <c r="JGA1" s="87" t="n"/>
      <c r="JGB1" s="87" t="n"/>
      <c r="JGC1" s="87" t="n"/>
      <c r="JGD1" s="87" t="n"/>
      <c r="JGE1" s="87" t="n"/>
      <c r="JGF1" s="87" t="n"/>
      <c r="JGG1" s="87" t="n"/>
      <c r="JGH1" s="87" t="n"/>
      <c r="JGI1" s="87" t="n"/>
      <c r="JGJ1" s="87" t="n"/>
      <c r="JGK1" s="87" t="n"/>
      <c r="JGL1" s="87" t="n"/>
      <c r="JGM1" s="87" t="n"/>
      <c r="JGN1" s="87" t="n"/>
      <c r="JGO1" s="87" t="n"/>
      <c r="JGP1" s="87" t="n"/>
      <c r="JGQ1" s="87" t="n"/>
      <c r="JGR1" s="87" t="n"/>
      <c r="JGS1" s="87" t="n"/>
      <c r="JGT1" s="87" t="n"/>
      <c r="JGU1" s="87" t="n"/>
      <c r="JGV1" s="87" t="n"/>
      <c r="JGW1" s="87" t="n"/>
      <c r="JGX1" s="87" t="n"/>
      <c r="JGY1" s="87" t="n"/>
      <c r="JGZ1" s="87" t="n"/>
      <c r="JHA1" s="87" t="n"/>
      <c r="JHB1" s="87" t="n"/>
      <c r="JHC1" s="87" t="n"/>
      <c r="JHD1" s="87" t="n"/>
      <c r="JHE1" s="87" t="n"/>
      <c r="JHF1" s="87" t="n"/>
      <c r="JHG1" s="87" t="n"/>
      <c r="JHH1" s="87" t="n"/>
      <c r="JHI1" s="87" t="n"/>
      <c r="JHJ1" s="87" t="n"/>
      <c r="JHK1" s="87" t="n"/>
      <c r="JHL1" s="87" t="n"/>
      <c r="JHM1" s="87" t="n"/>
      <c r="JHN1" s="87" t="n"/>
      <c r="JHO1" s="87" t="n"/>
      <c r="JHP1" s="87" t="n"/>
      <c r="JHQ1" s="87" t="n"/>
      <c r="JHR1" s="87" t="n"/>
      <c r="JHS1" s="87" t="n"/>
      <c r="JHT1" s="87" t="n"/>
      <c r="JHU1" s="87" t="n"/>
      <c r="JHV1" s="87" t="n"/>
      <c r="JHW1" s="87" t="n"/>
      <c r="JHX1" s="87" t="n"/>
      <c r="JHY1" s="87" t="n"/>
      <c r="JHZ1" s="87" t="n"/>
      <c r="JIA1" s="87" t="n"/>
      <c r="JIB1" s="87" t="n"/>
      <c r="JIC1" s="87" t="n"/>
      <c r="JID1" s="87" t="n"/>
      <c r="JIE1" s="87" t="n"/>
      <c r="JIF1" s="87" t="n"/>
      <c r="JIG1" s="87" t="n"/>
      <c r="JIH1" s="87" t="n"/>
      <c r="JII1" s="87" t="n"/>
      <c r="JIJ1" s="87" t="n"/>
      <c r="JIK1" s="87" t="n"/>
      <c r="JIL1" s="87" t="n"/>
      <c r="JIM1" s="87" t="n"/>
      <c r="JIN1" s="87" t="n"/>
      <c r="JIO1" s="87" t="n"/>
      <c r="JIP1" s="87" t="n"/>
      <c r="JIQ1" s="87" t="n"/>
      <c r="JIR1" s="87" t="n"/>
      <c r="JIS1" s="87" t="n"/>
      <c r="JIT1" s="87" t="n"/>
      <c r="JIU1" s="87" t="n"/>
      <c r="JIV1" s="87" t="n"/>
      <c r="JIW1" s="87" t="n"/>
      <c r="JIX1" s="87" t="n"/>
      <c r="JIY1" s="87" t="n"/>
      <c r="JIZ1" s="87" t="n"/>
      <c r="JJA1" s="87" t="n"/>
      <c r="JJB1" s="87" t="n"/>
      <c r="JJC1" s="87" t="n"/>
      <c r="JJD1" s="87" t="n"/>
      <c r="JJE1" s="87" t="n"/>
      <c r="JJF1" s="87" t="n"/>
      <c r="JJG1" s="87" t="n"/>
      <c r="JJH1" s="87" t="n"/>
      <c r="JJI1" s="87" t="n"/>
      <c r="JJJ1" s="87" t="n"/>
      <c r="JJK1" s="87" t="n"/>
      <c r="JJL1" s="87" t="n"/>
      <c r="JJM1" s="87" t="n"/>
      <c r="JJN1" s="87" t="n"/>
      <c r="JJO1" s="87" t="n"/>
      <c r="JJP1" s="87" t="n"/>
      <c r="JJQ1" s="87" t="n"/>
      <c r="JJR1" s="87" t="n"/>
      <c r="JJS1" s="87" t="n"/>
      <c r="JJT1" s="87" t="n"/>
      <c r="JJU1" s="87" t="n"/>
      <c r="JJV1" s="87" t="n"/>
      <c r="JJW1" s="87" t="n"/>
      <c r="JJX1" s="87" t="n"/>
      <c r="JJY1" s="87" t="n"/>
      <c r="JJZ1" s="87" t="n"/>
      <c r="JKA1" s="87" t="n"/>
      <c r="JKB1" s="87" t="n"/>
      <c r="JKC1" s="87" t="n"/>
      <c r="JKD1" s="87" t="n"/>
      <c r="JKE1" s="87" t="n"/>
      <c r="JKF1" s="87" t="n"/>
      <c r="JKG1" s="87" t="n"/>
      <c r="JKH1" s="87" t="n"/>
      <c r="JKI1" s="87" t="n"/>
      <c r="JKJ1" s="87" t="n"/>
      <c r="JKK1" s="87" t="n"/>
      <c r="JKL1" s="87" t="n"/>
      <c r="JKM1" s="87" t="n"/>
      <c r="JKN1" s="87" t="n"/>
      <c r="JKO1" s="87" t="n"/>
      <c r="JKP1" s="87" t="n"/>
      <c r="JKQ1" s="87" t="n"/>
      <c r="JKR1" s="87" t="n"/>
      <c r="JKS1" s="87" t="n"/>
      <c r="JKT1" s="87" t="n"/>
      <c r="JKU1" s="87" t="n"/>
      <c r="JKV1" s="87" t="n"/>
      <c r="JKW1" s="87" t="n"/>
      <c r="JKX1" s="87" t="n"/>
      <c r="JKY1" s="87" t="n"/>
      <c r="JKZ1" s="87" t="n"/>
      <c r="JLA1" s="87" t="n"/>
      <c r="JLB1" s="87" t="n"/>
      <c r="JLC1" s="87" t="n"/>
      <c r="JLD1" s="87" t="n"/>
      <c r="JLE1" s="87" t="n"/>
      <c r="JLF1" s="87" t="n"/>
      <c r="JLG1" s="87" t="n"/>
      <c r="JLH1" s="87" t="n"/>
      <c r="JLI1" s="87" t="n"/>
      <c r="JLJ1" s="87" t="n"/>
      <c r="JLK1" s="87" t="n"/>
      <c r="JLL1" s="87" t="n"/>
      <c r="JLM1" s="87" t="n"/>
      <c r="JLN1" s="87" t="n"/>
      <c r="JLO1" s="87" t="n"/>
      <c r="JLP1" s="87" t="n"/>
      <c r="JLQ1" s="87" t="n"/>
      <c r="JLR1" s="87" t="n"/>
      <c r="JLS1" s="87" t="n"/>
      <c r="JLT1" s="87" t="n"/>
      <c r="JLU1" s="87" t="n"/>
      <c r="JLV1" s="87" t="n"/>
      <c r="JLW1" s="87" t="n"/>
      <c r="JLX1" s="87" t="n"/>
      <c r="JLY1" s="87" t="n"/>
      <c r="JLZ1" s="87" t="n"/>
      <c r="JMA1" s="87" t="n"/>
      <c r="JMB1" s="87" t="n"/>
      <c r="JMC1" s="87" t="n"/>
      <c r="JMD1" s="87" t="n"/>
      <c r="JME1" s="87" t="n"/>
      <c r="JMF1" s="87" t="n"/>
      <c r="JMG1" s="87" t="n"/>
      <c r="JMH1" s="87" t="n"/>
      <c r="JMI1" s="87" t="n"/>
      <c r="JMJ1" s="87" t="n"/>
      <c r="JMK1" s="87" t="n"/>
      <c r="JML1" s="87" t="n"/>
      <c r="JMM1" s="87" t="n"/>
      <c r="JMN1" s="87" t="n"/>
      <c r="JMO1" s="87" t="n"/>
      <c r="JMP1" s="87" t="n"/>
      <c r="JMQ1" s="87" t="n"/>
      <c r="JMR1" s="87" t="n"/>
      <c r="JMS1" s="87" t="n"/>
      <c r="JMT1" s="87" t="n"/>
      <c r="JMU1" s="87" t="n"/>
      <c r="JMV1" s="87" t="n"/>
      <c r="JMW1" s="87" t="n"/>
      <c r="JMX1" s="87" t="n"/>
      <c r="JMY1" s="87" t="n"/>
      <c r="JMZ1" s="87" t="n"/>
      <c r="JNA1" s="87" t="n"/>
      <c r="JNB1" s="87" t="n"/>
      <c r="JNC1" s="87" t="n"/>
      <c r="JND1" s="87" t="n"/>
      <c r="JNE1" s="87" t="n"/>
      <c r="JNF1" s="87" t="n"/>
      <c r="JNG1" s="87" t="n"/>
      <c r="JNH1" s="87" t="n"/>
      <c r="JNI1" s="87" t="n"/>
      <c r="JNJ1" s="87" t="n"/>
      <c r="JNK1" s="87" t="n"/>
      <c r="JNL1" s="87" t="n"/>
      <c r="JNM1" s="87" t="n"/>
      <c r="JNN1" s="87" t="n"/>
      <c r="JNO1" s="87" t="n"/>
      <c r="JNP1" s="87" t="n"/>
      <c r="JNQ1" s="87" t="n"/>
      <c r="JNR1" s="87" t="n"/>
      <c r="JNS1" s="87" t="n"/>
      <c r="JNT1" s="87" t="n"/>
      <c r="JNU1" s="87" t="n"/>
      <c r="JNV1" s="87" t="n"/>
      <c r="JNW1" s="87" t="n"/>
      <c r="JNX1" s="87" t="n"/>
      <c r="JNY1" s="87" t="n"/>
      <c r="JNZ1" s="87" t="n"/>
      <c r="JOA1" s="87" t="n"/>
      <c r="JOB1" s="87" t="n"/>
      <c r="JOC1" s="87" t="n"/>
      <c r="JOD1" s="87" t="n"/>
      <c r="JOE1" s="87" t="n"/>
      <c r="JOF1" s="87" t="n"/>
      <c r="JOG1" s="87" t="n"/>
      <c r="JOH1" s="87" t="n"/>
      <c r="JOI1" s="87" t="n"/>
      <c r="JOJ1" s="87" t="n"/>
      <c r="JOK1" s="87" t="n"/>
      <c r="JOL1" s="87" t="n"/>
      <c r="JOM1" s="87" t="n"/>
      <c r="JON1" s="87" t="n"/>
      <c r="JOO1" s="87" t="n"/>
      <c r="JOP1" s="87" t="n"/>
      <c r="JOQ1" s="87" t="n"/>
      <c r="JOR1" s="87" t="n"/>
      <c r="JOS1" s="87" t="n"/>
      <c r="JOT1" s="87" t="n"/>
      <c r="JOU1" s="87" t="n"/>
      <c r="JOV1" s="87" t="n"/>
      <c r="JOW1" s="87" t="n"/>
      <c r="JOX1" s="87" t="n"/>
      <c r="JOY1" s="87" t="n"/>
      <c r="JOZ1" s="87" t="n"/>
      <c r="JPA1" s="87" t="n"/>
      <c r="JPB1" s="87" t="n"/>
      <c r="JPC1" s="87" t="n"/>
      <c r="JPD1" s="87" t="n"/>
      <c r="JPE1" s="87" t="n"/>
      <c r="JPF1" s="87" t="n"/>
      <c r="JPG1" s="87" t="n"/>
      <c r="JPH1" s="87" t="n"/>
      <c r="JPI1" s="87" t="n"/>
      <c r="JPJ1" s="87" t="n"/>
      <c r="JPK1" s="87" t="n"/>
      <c r="JPL1" s="87" t="n"/>
      <c r="JPM1" s="87" t="n"/>
      <c r="JPN1" s="87" t="n"/>
      <c r="JPO1" s="87" t="n"/>
      <c r="JPP1" s="87" t="n"/>
      <c r="JPQ1" s="87" t="n"/>
      <c r="JPR1" s="87" t="n"/>
      <c r="JPS1" s="87" t="n"/>
      <c r="JPT1" s="87" t="n"/>
      <c r="JPU1" s="87" t="n"/>
      <c r="JPV1" s="87" t="n"/>
      <c r="JPW1" s="87" t="n"/>
      <c r="JPX1" s="87" t="n"/>
      <c r="JPY1" s="87" t="n"/>
      <c r="JPZ1" s="87" t="n"/>
      <c r="JQA1" s="87" t="n"/>
      <c r="JQB1" s="87" t="n"/>
      <c r="JQC1" s="87" t="n"/>
      <c r="JQD1" s="87" t="n"/>
      <c r="JQE1" s="87" t="n"/>
      <c r="JQF1" s="87" t="n"/>
      <c r="JQG1" s="87" t="n"/>
      <c r="JQH1" s="87" t="n"/>
      <c r="JQI1" s="87" t="n"/>
      <c r="JQJ1" s="87" t="n"/>
      <c r="JQK1" s="87" t="n"/>
      <c r="JQL1" s="87" t="n"/>
      <c r="JQM1" s="87" t="n"/>
      <c r="JQN1" s="87" t="n"/>
      <c r="JQO1" s="87" t="n"/>
      <c r="JQP1" s="87" t="n"/>
      <c r="JQQ1" s="87" t="n"/>
      <c r="JQR1" s="87" t="n"/>
      <c r="JQS1" s="87" t="n"/>
      <c r="JQT1" s="87" t="n"/>
      <c r="JQU1" s="87" t="n"/>
      <c r="JQV1" s="87" t="n"/>
      <c r="JQW1" s="87" t="n"/>
      <c r="JQX1" s="87" t="n"/>
      <c r="JQY1" s="87" t="n"/>
      <c r="JQZ1" s="87" t="n"/>
      <c r="JRA1" s="87" t="n"/>
      <c r="JRB1" s="87" t="n"/>
      <c r="JRC1" s="87" t="n"/>
      <c r="JRD1" s="87" t="n"/>
      <c r="JRE1" s="87" t="n"/>
      <c r="JRF1" s="87" t="n"/>
      <c r="JRG1" s="87" t="n"/>
      <c r="JRH1" s="87" t="n"/>
      <c r="JRI1" s="87" t="n"/>
      <c r="JRJ1" s="87" t="n"/>
      <c r="JRK1" s="87" t="n"/>
      <c r="JRL1" s="87" t="n"/>
      <c r="JRM1" s="87" t="n"/>
      <c r="JRN1" s="87" t="n"/>
      <c r="JRO1" s="87" t="n"/>
      <c r="JRP1" s="87" t="n"/>
      <c r="JRQ1" s="87" t="n"/>
      <c r="JRR1" s="87" t="n"/>
      <c r="JRS1" s="87" t="n"/>
      <c r="JRT1" s="87" t="n"/>
      <c r="JRU1" s="87" t="n"/>
      <c r="JRV1" s="87" t="n"/>
      <c r="JRW1" s="87" t="n"/>
      <c r="JRX1" s="87" t="n"/>
      <c r="JRY1" s="87" t="n"/>
      <c r="JRZ1" s="87" t="n"/>
      <c r="JSA1" s="87" t="n"/>
      <c r="JSB1" s="87" t="n"/>
      <c r="JSC1" s="87" t="n"/>
      <c r="JSD1" s="87" t="n"/>
      <c r="JSE1" s="87" t="n"/>
      <c r="JSF1" s="87" t="n"/>
      <c r="JSG1" s="87" t="n"/>
      <c r="JSH1" s="87" t="n"/>
      <c r="JSI1" s="87" t="n"/>
      <c r="JSJ1" s="87" t="n"/>
      <c r="JSK1" s="87" t="n"/>
      <c r="JSL1" s="87" t="n"/>
      <c r="JSM1" s="87" t="n"/>
      <c r="JSN1" s="87" t="n"/>
      <c r="JSO1" s="87" t="n"/>
      <c r="JSP1" s="87" t="n"/>
      <c r="JSQ1" s="87" t="n"/>
      <c r="JSR1" s="87" t="n"/>
      <c r="JSS1" s="87" t="n"/>
      <c r="JST1" s="87" t="n"/>
      <c r="JSU1" s="87" t="n"/>
      <c r="JSV1" s="87" t="n"/>
      <c r="JSW1" s="87" t="n"/>
      <c r="JSX1" s="87" t="n"/>
      <c r="JSY1" s="87" t="n"/>
      <c r="JSZ1" s="87" t="n"/>
      <c r="JTA1" s="87" t="n"/>
      <c r="JTB1" s="87" t="n"/>
      <c r="JTC1" s="87" t="n"/>
      <c r="JTD1" s="87" t="n"/>
      <c r="JTE1" s="87" t="n"/>
      <c r="JTF1" s="87" t="n"/>
      <c r="JTG1" s="87" t="n"/>
      <c r="JTH1" s="87" t="n"/>
      <c r="JTI1" s="87" t="n"/>
      <c r="JTJ1" s="87" t="n"/>
      <c r="JTK1" s="87" t="n"/>
      <c r="JTL1" s="87" t="n"/>
      <c r="JTM1" s="87" t="n"/>
      <c r="JTN1" s="87" t="n"/>
      <c r="JTO1" s="87" t="n"/>
      <c r="JTP1" s="87" t="n"/>
      <c r="JTQ1" s="87" t="n"/>
      <c r="JTR1" s="87" t="n"/>
      <c r="JTS1" s="87" t="n"/>
      <c r="JTT1" s="87" t="n"/>
      <c r="JTU1" s="87" t="n"/>
      <c r="JTV1" s="87" t="n"/>
      <c r="JTW1" s="87" t="n"/>
      <c r="JTX1" s="87" t="n"/>
      <c r="JTY1" s="87" t="n"/>
      <c r="JTZ1" s="87" t="n"/>
      <c r="JUA1" s="87" t="n"/>
      <c r="JUB1" s="87" t="n"/>
      <c r="JUC1" s="87" t="n"/>
      <c r="JUD1" s="87" t="n"/>
      <c r="JUE1" s="87" t="n"/>
      <c r="JUF1" s="87" t="n"/>
      <c r="JUG1" s="87" t="n"/>
      <c r="JUH1" s="87" t="n"/>
      <c r="JUI1" s="87" t="n"/>
      <c r="JUJ1" s="87" t="n"/>
      <c r="JUK1" s="87" t="n"/>
      <c r="JUL1" s="87" t="n"/>
      <c r="JUM1" s="87" t="n"/>
      <c r="JUN1" s="87" t="n"/>
      <c r="JUO1" s="87" t="n"/>
      <c r="JUP1" s="87" t="n"/>
      <c r="JUQ1" s="87" t="n"/>
      <c r="JUR1" s="87" t="n"/>
      <c r="JUS1" s="87" t="n"/>
      <c r="JUT1" s="87" t="n"/>
      <c r="JUU1" s="87" t="n"/>
      <c r="JUV1" s="87" t="n"/>
      <c r="JUW1" s="87" t="n"/>
      <c r="JUX1" s="87" t="n"/>
      <c r="JUY1" s="87" t="n"/>
      <c r="JUZ1" s="87" t="n"/>
      <c r="JVA1" s="87" t="n"/>
      <c r="JVB1" s="87" t="n"/>
      <c r="JVC1" s="87" t="n"/>
      <c r="JVD1" s="87" t="n"/>
      <c r="JVE1" s="87" t="n"/>
      <c r="JVF1" s="87" t="n"/>
      <c r="JVG1" s="87" t="n"/>
      <c r="JVH1" s="87" t="n"/>
      <c r="JVI1" s="87" t="n"/>
      <c r="JVJ1" s="87" t="n"/>
      <c r="JVK1" s="87" t="n"/>
      <c r="JVL1" s="87" t="n"/>
      <c r="JVM1" s="87" t="n"/>
      <c r="JVN1" s="87" t="n"/>
      <c r="JVO1" s="87" t="n"/>
      <c r="JVP1" s="87" t="n"/>
      <c r="JVQ1" s="87" t="n"/>
      <c r="JVR1" s="87" t="n"/>
      <c r="JVS1" s="87" t="n"/>
      <c r="JVT1" s="87" t="n"/>
      <c r="JVU1" s="87" t="n"/>
      <c r="JVV1" s="87" t="n"/>
      <c r="JVW1" s="87" t="n"/>
      <c r="JVX1" s="87" t="n"/>
      <c r="JVY1" s="87" t="n"/>
      <c r="JVZ1" s="87" t="n"/>
      <c r="JWA1" s="87" t="n"/>
      <c r="JWB1" s="87" t="n"/>
      <c r="JWC1" s="87" t="n"/>
      <c r="JWD1" s="87" t="n"/>
      <c r="JWE1" s="87" t="n"/>
      <c r="JWF1" s="87" t="n"/>
      <c r="JWG1" s="87" t="n"/>
      <c r="JWH1" s="87" t="n"/>
      <c r="JWI1" s="87" t="n"/>
      <c r="JWJ1" s="87" t="n"/>
      <c r="JWK1" s="87" t="n"/>
      <c r="JWL1" s="87" t="n"/>
      <c r="JWM1" s="87" t="n"/>
      <c r="JWN1" s="87" t="n"/>
      <c r="JWO1" s="87" t="n"/>
      <c r="JWP1" s="87" t="n"/>
      <c r="JWQ1" s="87" t="n"/>
      <c r="JWR1" s="87" t="n"/>
      <c r="JWS1" s="87" t="n"/>
      <c r="JWT1" s="87" t="n"/>
      <c r="JWU1" s="87" t="n"/>
      <c r="JWV1" s="87" t="n"/>
      <c r="JWW1" s="87" t="n"/>
      <c r="JWX1" s="87" t="n"/>
      <c r="JWY1" s="87" t="n"/>
      <c r="JWZ1" s="87" t="n"/>
      <c r="JXA1" s="87" t="n"/>
      <c r="JXB1" s="87" t="n"/>
      <c r="JXC1" s="87" t="n"/>
      <c r="JXD1" s="87" t="n"/>
      <c r="JXE1" s="87" t="n"/>
      <c r="JXF1" s="87" t="n"/>
      <c r="JXG1" s="87" t="n"/>
      <c r="JXH1" s="87" t="n"/>
      <c r="JXI1" s="87" t="n"/>
      <c r="JXJ1" s="87" t="n"/>
      <c r="JXK1" s="87" t="n"/>
      <c r="JXL1" s="87" t="n"/>
      <c r="JXM1" s="87" t="n"/>
      <c r="JXN1" s="87" t="n"/>
      <c r="JXO1" s="87" t="n"/>
      <c r="JXP1" s="87" t="n"/>
      <c r="JXQ1" s="87" t="n"/>
      <c r="JXR1" s="87" t="n"/>
      <c r="JXS1" s="87" t="n"/>
      <c r="JXT1" s="87" t="n"/>
      <c r="JXU1" s="87" t="n"/>
      <c r="JXV1" s="87" t="n"/>
      <c r="JXW1" s="87" t="n"/>
      <c r="JXX1" s="87" t="n"/>
      <c r="JXY1" s="87" t="n"/>
      <c r="JXZ1" s="87" t="n"/>
      <c r="JYA1" s="87" t="n"/>
      <c r="JYB1" s="87" t="n"/>
      <c r="JYC1" s="87" t="n"/>
      <c r="JYD1" s="87" t="n"/>
      <c r="JYE1" s="87" t="n"/>
      <c r="JYF1" s="87" t="n"/>
      <c r="JYG1" s="87" t="n"/>
      <c r="JYH1" s="87" t="n"/>
      <c r="JYI1" s="87" t="n"/>
      <c r="JYJ1" s="87" t="n"/>
      <c r="JYK1" s="87" t="n"/>
      <c r="JYL1" s="87" t="n"/>
      <c r="JYM1" s="87" t="n"/>
      <c r="JYN1" s="87" t="n"/>
      <c r="JYO1" s="87" t="n"/>
      <c r="JYP1" s="87" t="n"/>
      <c r="JYQ1" s="87" t="n"/>
      <c r="JYR1" s="87" t="n"/>
      <c r="JYS1" s="87" t="n"/>
      <c r="JYT1" s="87" t="n"/>
      <c r="JYU1" s="87" t="n"/>
      <c r="JYV1" s="87" t="n"/>
      <c r="JYW1" s="87" t="n"/>
      <c r="JYX1" s="87" t="n"/>
      <c r="JYY1" s="87" t="n"/>
      <c r="JYZ1" s="87" t="n"/>
      <c r="JZA1" s="87" t="n"/>
      <c r="JZB1" s="87" t="n"/>
      <c r="JZC1" s="87" t="n"/>
      <c r="JZD1" s="87" t="n"/>
      <c r="JZE1" s="87" t="n"/>
      <c r="JZF1" s="87" t="n"/>
      <c r="JZG1" s="87" t="n"/>
      <c r="JZH1" s="87" t="n"/>
      <c r="JZI1" s="87" t="n"/>
      <c r="JZJ1" s="87" t="n"/>
      <c r="JZK1" s="87" t="n"/>
      <c r="JZL1" s="87" t="n"/>
      <c r="JZM1" s="87" t="n"/>
      <c r="JZN1" s="87" t="n"/>
      <c r="JZO1" s="87" t="n"/>
      <c r="JZP1" s="87" t="n"/>
      <c r="JZQ1" s="87" t="n"/>
      <c r="JZR1" s="87" t="n"/>
      <c r="JZS1" s="87" t="n"/>
      <c r="JZT1" s="87" t="n"/>
      <c r="JZU1" s="87" t="n"/>
      <c r="JZV1" s="87" t="n"/>
      <c r="JZW1" s="87" t="n"/>
      <c r="JZX1" s="87" t="n"/>
      <c r="JZY1" s="87" t="n"/>
      <c r="JZZ1" s="87" t="n"/>
      <c r="KAA1" s="87" t="n"/>
      <c r="KAB1" s="87" t="n"/>
      <c r="KAC1" s="87" t="n"/>
      <c r="KAD1" s="87" t="n"/>
      <c r="KAE1" s="87" t="n"/>
      <c r="KAF1" s="87" t="n"/>
      <c r="KAG1" s="87" t="n"/>
      <c r="KAH1" s="87" t="n"/>
      <c r="KAI1" s="87" t="n"/>
      <c r="KAJ1" s="87" t="n"/>
      <c r="KAK1" s="87" t="n"/>
      <c r="KAL1" s="87" t="n"/>
      <c r="KAM1" s="87" t="n"/>
      <c r="KAN1" s="87" t="n"/>
      <c r="KAO1" s="87" t="n"/>
      <c r="KAP1" s="87" t="n"/>
      <c r="KAQ1" s="87" t="n"/>
      <c r="KAR1" s="87" t="n"/>
      <c r="KAS1" s="87" t="n"/>
      <c r="KAT1" s="87" t="n"/>
      <c r="KAU1" s="87" t="n"/>
      <c r="KAV1" s="87" t="n"/>
      <c r="KAW1" s="87" t="n"/>
      <c r="KAX1" s="87" t="n"/>
      <c r="KAY1" s="87" t="n"/>
      <c r="KAZ1" s="87" t="n"/>
      <c r="KBA1" s="87" t="n"/>
      <c r="KBB1" s="87" t="n"/>
      <c r="KBC1" s="87" t="n"/>
      <c r="KBD1" s="87" t="n"/>
      <c r="KBE1" s="87" t="n"/>
      <c r="KBF1" s="87" t="n"/>
      <c r="KBG1" s="87" t="n"/>
      <c r="KBH1" s="87" t="n"/>
      <c r="KBI1" s="87" t="n"/>
      <c r="KBJ1" s="87" t="n"/>
      <c r="KBK1" s="87" t="n"/>
      <c r="KBL1" s="87" t="n"/>
      <c r="KBM1" s="87" t="n"/>
      <c r="KBN1" s="87" t="n"/>
      <c r="KBO1" s="87" t="n"/>
      <c r="KBP1" s="87" t="n"/>
      <c r="KBQ1" s="87" t="n"/>
      <c r="KBR1" s="87" t="n"/>
      <c r="KBS1" s="87" t="n"/>
      <c r="KBT1" s="87" t="n"/>
      <c r="KBU1" s="87" t="n"/>
      <c r="KBV1" s="87" t="n"/>
      <c r="KBW1" s="87" t="n"/>
      <c r="KBX1" s="87" t="n"/>
      <c r="KBY1" s="87" t="n"/>
      <c r="KBZ1" s="87" t="n"/>
      <c r="KCA1" s="87" t="n"/>
      <c r="KCB1" s="87" t="n"/>
      <c r="KCC1" s="87" t="n"/>
      <c r="KCD1" s="87" t="n"/>
      <c r="KCE1" s="87" t="n"/>
      <c r="KCF1" s="87" t="n"/>
      <c r="KCG1" s="87" t="n"/>
      <c r="KCH1" s="87" t="n"/>
      <c r="KCI1" s="87" t="n"/>
      <c r="KCJ1" s="87" t="n"/>
      <c r="KCK1" s="87" t="n"/>
      <c r="KCL1" s="87" t="n"/>
      <c r="KCM1" s="87" t="n"/>
      <c r="KCN1" s="87" t="n"/>
      <c r="KCO1" s="87" t="n"/>
      <c r="KCP1" s="87" t="n"/>
      <c r="KCQ1" s="87" t="n"/>
      <c r="KCR1" s="87" t="n"/>
      <c r="KCS1" s="87" t="n"/>
      <c r="KCT1" s="87" t="n"/>
      <c r="KCU1" s="87" t="n"/>
      <c r="KCV1" s="87" t="n"/>
      <c r="KCW1" s="87" t="n"/>
      <c r="KCX1" s="87" t="n"/>
      <c r="KCY1" s="87" t="n"/>
      <c r="KCZ1" s="87" t="n"/>
      <c r="KDA1" s="87" t="n"/>
      <c r="KDB1" s="87" t="n"/>
      <c r="KDC1" s="87" t="n"/>
      <c r="KDD1" s="87" t="n"/>
      <c r="KDE1" s="87" t="n"/>
      <c r="KDF1" s="87" t="n"/>
      <c r="KDG1" s="87" t="n"/>
      <c r="KDH1" s="87" t="n"/>
      <c r="KDI1" s="87" t="n"/>
      <c r="KDJ1" s="87" t="n"/>
      <c r="KDK1" s="87" t="n"/>
      <c r="KDL1" s="87" t="n"/>
      <c r="KDM1" s="87" t="n"/>
      <c r="KDN1" s="87" t="n"/>
      <c r="KDO1" s="87" t="n"/>
      <c r="KDP1" s="87" t="n"/>
      <c r="KDQ1" s="87" t="n"/>
      <c r="KDR1" s="87" t="n"/>
      <c r="KDS1" s="87" t="n"/>
      <c r="KDT1" s="87" t="n"/>
      <c r="KDU1" s="87" t="n"/>
      <c r="KDV1" s="87" t="n"/>
      <c r="KDW1" s="87" t="n"/>
      <c r="KDX1" s="87" t="n"/>
      <c r="KDY1" s="87" t="n"/>
      <c r="KDZ1" s="87" t="n"/>
      <c r="KEA1" s="87" t="n"/>
      <c r="KEB1" s="87" t="n"/>
      <c r="KEC1" s="87" t="n"/>
      <c r="KED1" s="87" t="n"/>
      <c r="KEE1" s="87" t="n"/>
      <c r="KEF1" s="87" t="n"/>
      <c r="KEG1" s="87" t="n"/>
      <c r="KEH1" s="87" t="n"/>
      <c r="KEI1" s="87" t="n"/>
      <c r="KEJ1" s="87" t="n"/>
      <c r="KEK1" s="87" t="n"/>
      <c r="KEL1" s="87" t="n"/>
      <c r="KEM1" s="87" t="n"/>
      <c r="KEN1" s="87" t="n"/>
      <c r="KEO1" s="87" t="n"/>
      <c r="KEP1" s="87" t="n"/>
      <c r="KEQ1" s="87" t="n"/>
      <c r="KER1" s="87" t="n"/>
      <c r="KES1" s="87" t="n"/>
      <c r="KET1" s="87" t="n"/>
      <c r="KEU1" s="87" t="n"/>
      <c r="KEV1" s="87" t="n"/>
      <c r="KEW1" s="87" t="n"/>
      <c r="KEX1" s="87" t="n"/>
      <c r="KEY1" s="87" t="n"/>
      <c r="KEZ1" s="87" t="n"/>
      <c r="KFA1" s="87" t="n"/>
      <c r="KFB1" s="87" t="n"/>
      <c r="KFC1" s="87" t="n"/>
      <c r="KFD1" s="87" t="n"/>
      <c r="KFE1" s="87" t="n"/>
      <c r="KFF1" s="87" t="n"/>
      <c r="KFG1" s="87" t="n"/>
      <c r="KFH1" s="87" t="n"/>
      <c r="KFI1" s="87" t="n"/>
      <c r="KFJ1" s="87" t="n"/>
      <c r="KFK1" s="87" t="n"/>
      <c r="KFL1" s="87" t="n"/>
      <c r="KFM1" s="87" t="n"/>
      <c r="KFN1" s="87" t="n"/>
      <c r="KFO1" s="87" t="n"/>
      <c r="KFP1" s="87" t="n"/>
      <c r="KFQ1" s="87" t="n"/>
      <c r="KFR1" s="87" t="n"/>
      <c r="KFS1" s="87" t="n"/>
      <c r="KFT1" s="87" t="n"/>
      <c r="KFU1" s="87" t="n"/>
      <c r="KFV1" s="87" t="n"/>
      <c r="KFW1" s="87" t="n"/>
      <c r="KFX1" s="87" t="n"/>
      <c r="KFY1" s="87" t="n"/>
      <c r="KFZ1" s="87" t="n"/>
      <c r="KGA1" s="87" t="n"/>
      <c r="KGB1" s="87" t="n"/>
      <c r="KGC1" s="87" t="n"/>
      <c r="KGD1" s="87" t="n"/>
      <c r="KGE1" s="87" t="n"/>
      <c r="KGF1" s="87" t="n"/>
      <c r="KGG1" s="87" t="n"/>
      <c r="KGH1" s="87" t="n"/>
      <c r="KGI1" s="87" t="n"/>
      <c r="KGJ1" s="87" t="n"/>
      <c r="KGK1" s="87" t="n"/>
      <c r="KGL1" s="87" t="n"/>
      <c r="KGM1" s="87" t="n"/>
      <c r="KGN1" s="87" t="n"/>
      <c r="KGO1" s="87" t="n"/>
      <c r="KGP1" s="87" t="n"/>
      <c r="KGQ1" s="87" t="n"/>
      <c r="KGR1" s="87" t="n"/>
      <c r="KGS1" s="87" t="n"/>
      <c r="KGT1" s="87" t="n"/>
      <c r="KGU1" s="87" t="n"/>
      <c r="KGV1" s="87" t="n"/>
      <c r="KGW1" s="87" t="n"/>
      <c r="KGX1" s="87" t="n"/>
      <c r="KGY1" s="87" t="n"/>
      <c r="KGZ1" s="87" t="n"/>
      <c r="KHA1" s="87" t="n"/>
      <c r="KHB1" s="87" t="n"/>
      <c r="KHC1" s="87" t="n"/>
      <c r="KHD1" s="87" t="n"/>
      <c r="KHE1" s="87" t="n"/>
      <c r="KHF1" s="87" t="n"/>
      <c r="KHG1" s="87" t="n"/>
      <c r="KHH1" s="87" t="n"/>
      <c r="KHI1" s="87" t="n"/>
      <c r="KHJ1" s="87" t="n"/>
      <c r="KHK1" s="87" t="n"/>
      <c r="KHL1" s="87" t="n"/>
      <c r="KHM1" s="87" t="n"/>
      <c r="KHN1" s="87" t="n"/>
      <c r="KHO1" s="87" t="n"/>
      <c r="KHP1" s="87" t="n"/>
      <c r="KHQ1" s="87" t="n"/>
      <c r="KHR1" s="87" t="n"/>
      <c r="KHS1" s="87" t="n"/>
      <c r="KHT1" s="87" t="n"/>
      <c r="KHU1" s="87" t="n"/>
      <c r="KHV1" s="87" t="n"/>
      <c r="KHW1" s="87" t="n"/>
      <c r="KHX1" s="87" t="n"/>
      <c r="KHY1" s="87" t="n"/>
      <c r="KHZ1" s="87" t="n"/>
      <c r="KIA1" s="87" t="n"/>
      <c r="KIB1" s="87" t="n"/>
      <c r="KIC1" s="87" t="n"/>
      <c r="KID1" s="87" t="n"/>
      <c r="KIE1" s="87" t="n"/>
      <c r="KIF1" s="87" t="n"/>
      <c r="KIG1" s="87" t="n"/>
      <c r="KIH1" s="87" t="n"/>
      <c r="KII1" s="87" t="n"/>
      <c r="KIJ1" s="87" t="n"/>
      <c r="KIK1" s="87" t="n"/>
      <c r="KIL1" s="87" t="n"/>
      <c r="KIM1" s="87" t="n"/>
      <c r="KIN1" s="87" t="n"/>
      <c r="KIO1" s="87" t="n"/>
      <c r="KIP1" s="87" t="n"/>
      <c r="KIQ1" s="87" t="n"/>
      <c r="KIR1" s="87" t="n"/>
      <c r="KIS1" s="87" t="n"/>
      <c r="KIT1" s="87" t="n"/>
      <c r="KIU1" s="87" t="n"/>
      <c r="KIV1" s="87" t="n"/>
      <c r="KIW1" s="87" t="n"/>
      <c r="KIX1" s="87" t="n"/>
      <c r="KIY1" s="87" t="n"/>
      <c r="KIZ1" s="87" t="n"/>
      <c r="KJA1" s="87" t="n"/>
      <c r="KJB1" s="87" t="n"/>
      <c r="KJC1" s="87" t="n"/>
      <c r="KJD1" s="87" t="n"/>
      <c r="KJE1" s="87" t="n"/>
      <c r="KJF1" s="87" t="n"/>
      <c r="KJG1" s="87" t="n"/>
      <c r="KJH1" s="87" t="n"/>
      <c r="KJI1" s="87" t="n"/>
      <c r="KJJ1" s="87" t="n"/>
      <c r="KJK1" s="87" t="n"/>
      <c r="KJL1" s="87" t="n"/>
      <c r="KJM1" s="87" t="n"/>
      <c r="KJN1" s="87" t="n"/>
      <c r="KJO1" s="87" t="n"/>
      <c r="KJP1" s="87" t="n"/>
      <c r="KJQ1" s="87" t="n"/>
      <c r="KJR1" s="87" t="n"/>
      <c r="KJS1" s="87" t="n"/>
      <c r="KJT1" s="87" t="n"/>
      <c r="KJU1" s="87" t="n"/>
      <c r="KJV1" s="87" t="n"/>
      <c r="KJW1" s="87" t="n"/>
      <c r="KJX1" s="87" t="n"/>
      <c r="KJY1" s="87" t="n"/>
      <c r="KJZ1" s="87" t="n"/>
      <c r="KKA1" s="87" t="n"/>
      <c r="KKB1" s="87" t="n"/>
      <c r="KKC1" s="87" t="n"/>
      <c r="KKD1" s="87" t="n"/>
      <c r="KKE1" s="87" t="n"/>
      <c r="KKF1" s="87" t="n"/>
      <c r="KKG1" s="87" t="n"/>
      <c r="KKH1" s="87" t="n"/>
      <c r="KKI1" s="87" t="n"/>
      <c r="KKJ1" s="87" t="n"/>
      <c r="KKK1" s="87" t="n"/>
      <c r="KKL1" s="87" t="n"/>
      <c r="KKM1" s="87" t="n"/>
      <c r="KKN1" s="87" t="n"/>
      <c r="KKO1" s="87" t="n"/>
      <c r="KKP1" s="87" t="n"/>
      <c r="KKQ1" s="87" t="n"/>
      <c r="KKR1" s="87" t="n"/>
      <c r="KKS1" s="87" t="n"/>
      <c r="KKT1" s="87" t="n"/>
      <c r="KKU1" s="87" t="n"/>
      <c r="KKV1" s="87" t="n"/>
      <c r="KKW1" s="87" t="n"/>
      <c r="KKX1" s="87" t="n"/>
      <c r="KKY1" s="87" t="n"/>
      <c r="KKZ1" s="87" t="n"/>
      <c r="KLA1" s="87" t="n"/>
      <c r="KLB1" s="87" t="n"/>
      <c r="KLC1" s="87" t="n"/>
      <c r="KLD1" s="87" t="n"/>
      <c r="KLE1" s="87" t="n"/>
      <c r="KLF1" s="87" t="n"/>
      <c r="KLG1" s="87" t="n"/>
      <c r="KLH1" s="87" t="n"/>
      <c r="KLI1" s="87" t="n"/>
      <c r="KLJ1" s="87" t="n"/>
      <c r="KLK1" s="87" t="n"/>
      <c r="KLL1" s="87" t="n"/>
      <c r="KLM1" s="87" t="n"/>
      <c r="KLN1" s="87" t="n"/>
      <c r="KLO1" s="87" t="n"/>
      <c r="KLP1" s="87" t="n"/>
      <c r="KLQ1" s="87" t="n"/>
      <c r="KLR1" s="87" t="n"/>
      <c r="KLS1" s="87" t="n"/>
      <c r="KLT1" s="87" t="n"/>
      <c r="KLU1" s="87" t="n"/>
      <c r="KLV1" s="87" t="n"/>
      <c r="KLW1" s="87" t="n"/>
      <c r="KLX1" s="87" t="n"/>
      <c r="KLY1" s="87" t="n"/>
      <c r="KLZ1" s="87" t="n"/>
      <c r="KMA1" s="87" t="n"/>
      <c r="KMB1" s="87" t="n"/>
      <c r="KMC1" s="87" t="n"/>
      <c r="KMD1" s="87" t="n"/>
      <c r="KME1" s="87" t="n"/>
      <c r="KMF1" s="87" t="n"/>
      <c r="KMG1" s="87" t="n"/>
      <c r="KMH1" s="87" t="n"/>
      <c r="KMI1" s="87" t="n"/>
      <c r="KMJ1" s="87" t="n"/>
      <c r="KMK1" s="87" t="n"/>
      <c r="KML1" s="87" t="n"/>
      <c r="KMM1" s="87" t="n"/>
      <c r="KMN1" s="87" t="n"/>
      <c r="KMO1" s="87" t="n"/>
      <c r="KMP1" s="87" t="n"/>
      <c r="KMQ1" s="87" t="n"/>
      <c r="KMR1" s="87" t="n"/>
      <c r="KMS1" s="87" t="n"/>
      <c r="KMT1" s="87" t="n"/>
      <c r="KMU1" s="87" t="n"/>
      <c r="KMV1" s="87" t="n"/>
      <c r="KMW1" s="87" t="n"/>
      <c r="KMX1" s="87" t="n"/>
      <c r="KMY1" s="87" t="n"/>
      <c r="KMZ1" s="87" t="n"/>
      <c r="KNA1" s="87" t="n"/>
      <c r="KNB1" s="87" t="n"/>
      <c r="KNC1" s="87" t="n"/>
      <c r="KND1" s="87" t="n"/>
      <c r="KNE1" s="87" t="n"/>
      <c r="KNF1" s="87" t="n"/>
      <c r="KNG1" s="87" t="n"/>
      <c r="KNH1" s="87" t="n"/>
      <c r="KNI1" s="87" t="n"/>
      <c r="KNJ1" s="87" t="n"/>
      <c r="KNK1" s="87" t="n"/>
      <c r="KNL1" s="87" t="n"/>
      <c r="KNM1" s="87" t="n"/>
      <c r="KNN1" s="87" t="n"/>
      <c r="KNO1" s="87" t="n"/>
      <c r="KNP1" s="87" t="n"/>
      <c r="KNQ1" s="87" t="n"/>
      <c r="KNR1" s="87" t="n"/>
      <c r="KNS1" s="87" t="n"/>
      <c r="KNT1" s="87" t="n"/>
      <c r="KNU1" s="87" t="n"/>
      <c r="KNV1" s="87" t="n"/>
      <c r="KNW1" s="87" t="n"/>
      <c r="KNX1" s="87" t="n"/>
      <c r="KNY1" s="87" t="n"/>
      <c r="KNZ1" s="87" t="n"/>
      <c r="KOA1" s="87" t="n"/>
      <c r="KOB1" s="87" t="n"/>
      <c r="KOC1" s="87" t="n"/>
      <c r="KOD1" s="87" t="n"/>
      <c r="KOE1" s="87" t="n"/>
      <c r="KOF1" s="87" t="n"/>
      <c r="KOG1" s="87" t="n"/>
      <c r="KOH1" s="87" t="n"/>
      <c r="KOI1" s="87" t="n"/>
      <c r="KOJ1" s="87" t="n"/>
      <c r="KOK1" s="87" t="n"/>
      <c r="KOL1" s="87" t="n"/>
      <c r="KOM1" s="87" t="n"/>
      <c r="KON1" s="87" t="n"/>
      <c r="KOO1" s="87" t="n"/>
      <c r="KOP1" s="87" t="n"/>
      <c r="KOQ1" s="87" t="n"/>
      <c r="KOR1" s="87" t="n"/>
      <c r="KOS1" s="87" t="n"/>
      <c r="KOT1" s="87" t="n"/>
      <c r="KOU1" s="87" t="n"/>
      <c r="KOV1" s="87" t="n"/>
      <c r="KOW1" s="87" t="n"/>
      <c r="KOX1" s="87" t="n"/>
      <c r="KOY1" s="87" t="n"/>
      <c r="KOZ1" s="87" t="n"/>
      <c r="KPA1" s="87" t="n"/>
      <c r="KPB1" s="87" t="n"/>
      <c r="KPC1" s="87" t="n"/>
      <c r="KPD1" s="87" t="n"/>
      <c r="KPE1" s="87" t="n"/>
      <c r="KPF1" s="87" t="n"/>
      <c r="KPG1" s="87" t="n"/>
      <c r="KPH1" s="87" t="n"/>
      <c r="KPI1" s="87" t="n"/>
      <c r="KPJ1" s="87" t="n"/>
      <c r="KPK1" s="87" t="n"/>
      <c r="KPL1" s="87" t="n"/>
      <c r="KPM1" s="87" t="n"/>
      <c r="KPN1" s="87" t="n"/>
      <c r="KPO1" s="87" t="n"/>
      <c r="KPP1" s="87" t="n"/>
      <c r="KPQ1" s="87" t="n"/>
      <c r="KPR1" s="87" t="n"/>
      <c r="KPS1" s="87" t="n"/>
      <c r="KPT1" s="87" t="n"/>
      <c r="KPU1" s="87" t="n"/>
      <c r="KPV1" s="87" t="n"/>
      <c r="KPW1" s="87" t="n"/>
      <c r="KPX1" s="87" t="n"/>
      <c r="KPY1" s="87" t="n"/>
      <c r="KPZ1" s="87" t="n"/>
      <c r="KQA1" s="87" t="n"/>
      <c r="KQB1" s="87" t="n"/>
      <c r="KQC1" s="87" t="n"/>
      <c r="KQD1" s="87" t="n"/>
      <c r="KQE1" s="87" t="n"/>
      <c r="KQF1" s="87" t="n"/>
      <c r="KQG1" s="87" t="n"/>
      <c r="KQH1" s="87" t="n"/>
      <c r="KQI1" s="87" t="n"/>
      <c r="KQJ1" s="87" t="n"/>
      <c r="KQK1" s="87" t="n"/>
      <c r="KQL1" s="87" t="n"/>
      <c r="KQM1" s="87" t="n"/>
      <c r="KQN1" s="87" t="n"/>
      <c r="KQO1" s="87" t="n"/>
      <c r="KQP1" s="87" t="n"/>
      <c r="KQQ1" s="87" t="n"/>
      <c r="KQR1" s="87" t="n"/>
      <c r="KQS1" s="87" t="n"/>
      <c r="KQT1" s="87" t="n"/>
      <c r="KQU1" s="87" t="n"/>
      <c r="KQV1" s="87" t="n"/>
      <c r="KQW1" s="87" t="n"/>
      <c r="KQX1" s="87" t="n"/>
      <c r="KQY1" s="87" t="n"/>
      <c r="KQZ1" s="87" t="n"/>
      <c r="KRA1" s="87" t="n"/>
      <c r="KRB1" s="87" t="n"/>
      <c r="KRC1" s="87" t="n"/>
      <c r="KRD1" s="87" t="n"/>
      <c r="KRE1" s="87" t="n"/>
      <c r="KRF1" s="87" t="n"/>
      <c r="KRG1" s="87" t="n"/>
      <c r="KRH1" s="87" t="n"/>
      <c r="KRI1" s="87" t="n"/>
      <c r="KRJ1" s="87" t="n"/>
      <c r="KRK1" s="87" t="n"/>
      <c r="KRL1" s="87" t="n"/>
      <c r="KRM1" s="87" t="n"/>
      <c r="KRN1" s="87" t="n"/>
      <c r="KRO1" s="87" t="n"/>
      <c r="KRP1" s="87" t="n"/>
      <c r="KRQ1" s="87" t="n"/>
      <c r="KRR1" s="87" t="n"/>
      <c r="KRS1" s="87" t="n"/>
      <c r="KRT1" s="87" t="n"/>
      <c r="KRU1" s="87" t="n"/>
      <c r="KRV1" s="87" t="n"/>
      <c r="KRW1" s="87" t="n"/>
      <c r="KRX1" s="87" t="n"/>
      <c r="KRY1" s="87" t="n"/>
      <c r="KRZ1" s="87" t="n"/>
      <c r="KSA1" s="87" t="n"/>
      <c r="KSB1" s="87" t="n"/>
      <c r="KSC1" s="87" t="n"/>
      <c r="KSD1" s="87" t="n"/>
      <c r="KSE1" s="87" t="n"/>
      <c r="KSF1" s="87" t="n"/>
      <c r="KSG1" s="87" t="n"/>
      <c r="KSH1" s="87" t="n"/>
      <c r="KSI1" s="87" t="n"/>
      <c r="KSJ1" s="87" t="n"/>
      <c r="KSK1" s="87" t="n"/>
      <c r="KSL1" s="87" t="n"/>
      <c r="KSM1" s="87" t="n"/>
      <c r="KSN1" s="87" t="n"/>
      <c r="KSO1" s="87" t="n"/>
      <c r="KSP1" s="87" t="n"/>
      <c r="KSQ1" s="87" t="n"/>
      <c r="KSR1" s="87" t="n"/>
      <c r="KSS1" s="87" t="n"/>
      <c r="KST1" s="87" t="n"/>
      <c r="KSU1" s="87" t="n"/>
      <c r="KSV1" s="87" t="n"/>
      <c r="KSW1" s="87" t="n"/>
      <c r="KSX1" s="87" t="n"/>
      <c r="KSY1" s="87" t="n"/>
      <c r="KSZ1" s="87" t="n"/>
      <c r="KTA1" s="87" t="n"/>
      <c r="KTB1" s="87" t="n"/>
      <c r="KTC1" s="87" t="n"/>
      <c r="KTD1" s="87" t="n"/>
      <c r="KTE1" s="87" t="n"/>
      <c r="KTF1" s="87" t="n"/>
      <c r="KTG1" s="87" t="n"/>
      <c r="KTH1" s="87" t="n"/>
      <c r="KTI1" s="87" t="n"/>
      <c r="KTJ1" s="87" t="n"/>
      <c r="KTK1" s="87" t="n"/>
      <c r="KTL1" s="87" t="n"/>
      <c r="KTM1" s="87" t="n"/>
      <c r="KTN1" s="87" t="n"/>
      <c r="KTO1" s="87" t="n"/>
      <c r="KTP1" s="87" t="n"/>
      <c r="KTQ1" s="87" t="n"/>
      <c r="KTR1" s="87" t="n"/>
      <c r="KTS1" s="87" t="n"/>
      <c r="KTT1" s="87" t="n"/>
      <c r="KTU1" s="87" t="n"/>
      <c r="KTV1" s="87" t="n"/>
      <c r="KTW1" s="87" t="n"/>
      <c r="KTX1" s="87" t="n"/>
      <c r="KTY1" s="87" t="n"/>
      <c r="KTZ1" s="87" t="n"/>
      <c r="KUA1" s="87" t="n"/>
      <c r="KUB1" s="87" t="n"/>
      <c r="KUC1" s="87" t="n"/>
      <c r="KUD1" s="87" t="n"/>
      <c r="KUE1" s="87" t="n"/>
      <c r="KUF1" s="87" t="n"/>
      <c r="KUG1" s="87" t="n"/>
      <c r="KUH1" s="87" t="n"/>
      <c r="KUI1" s="87" t="n"/>
      <c r="KUJ1" s="87" t="n"/>
      <c r="KUK1" s="87" t="n"/>
      <c r="KUL1" s="87" t="n"/>
      <c r="KUM1" s="87" t="n"/>
      <c r="KUN1" s="87" t="n"/>
      <c r="KUO1" s="87" t="n"/>
      <c r="KUP1" s="87" t="n"/>
      <c r="KUQ1" s="87" t="n"/>
      <c r="KUR1" s="87" t="n"/>
      <c r="KUS1" s="87" t="n"/>
      <c r="KUT1" s="87" t="n"/>
      <c r="KUU1" s="87" t="n"/>
      <c r="KUV1" s="87" t="n"/>
      <c r="KUW1" s="87" t="n"/>
      <c r="KUX1" s="87" t="n"/>
      <c r="KUY1" s="87" t="n"/>
      <c r="KUZ1" s="87" t="n"/>
      <c r="KVA1" s="87" t="n"/>
      <c r="KVB1" s="87" t="n"/>
      <c r="KVC1" s="87" t="n"/>
      <c r="KVD1" s="87" t="n"/>
      <c r="KVE1" s="87" t="n"/>
      <c r="KVF1" s="87" t="n"/>
      <c r="KVG1" s="87" t="n"/>
      <c r="KVH1" s="87" t="n"/>
      <c r="KVI1" s="87" t="n"/>
      <c r="KVJ1" s="87" t="n"/>
      <c r="KVK1" s="87" t="n"/>
      <c r="KVL1" s="87" t="n"/>
      <c r="KVM1" s="87" t="n"/>
      <c r="KVN1" s="87" t="n"/>
      <c r="KVO1" s="87" t="n"/>
      <c r="KVP1" s="87" t="n"/>
      <c r="KVQ1" s="87" t="n"/>
      <c r="KVR1" s="87" t="n"/>
      <c r="KVS1" s="87" t="n"/>
      <c r="KVT1" s="87" t="n"/>
      <c r="KVU1" s="87" t="n"/>
      <c r="KVV1" s="87" t="n"/>
      <c r="KVW1" s="87" t="n"/>
      <c r="KVX1" s="87" t="n"/>
      <c r="KVY1" s="87" t="n"/>
      <c r="KVZ1" s="87" t="n"/>
      <c r="KWA1" s="87" t="n"/>
      <c r="KWB1" s="87" t="n"/>
      <c r="KWC1" s="87" t="n"/>
      <c r="KWD1" s="87" t="n"/>
      <c r="KWE1" s="87" t="n"/>
      <c r="KWF1" s="87" t="n"/>
      <c r="KWG1" s="87" t="n"/>
      <c r="KWH1" s="87" t="n"/>
      <c r="KWI1" s="87" t="n"/>
      <c r="KWJ1" s="87" t="n"/>
      <c r="KWK1" s="87" t="n"/>
      <c r="KWL1" s="87" t="n"/>
      <c r="KWM1" s="87" t="n"/>
      <c r="KWN1" s="87" t="n"/>
      <c r="KWO1" s="87" t="n"/>
      <c r="KWP1" s="87" t="n"/>
      <c r="KWQ1" s="87" t="n"/>
      <c r="KWR1" s="87" t="n"/>
      <c r="KWS1" s="87" t="n"/>
      <c r="KWT1" s="87" t="n"/>
      <c r="KWU1" s="87" t="n"/>
      <c r="KWV1" s="87" t="n"/>
      <c r="KWW1" s="87" t="n"/>
      <c r="KWX1" s="87" t="n"/>
      <c r="KWY1" s="87" t="n"/>
      <c r="KWZ1" s="87" t="n"/>
      <c r="KXA1" s="87" t="n"/>
      <c r="KXB1" s="87" t="n"/>
      <c r="KXC1" s="87" t="n"/>
      <c r="KXD1" s="87" t="n"/>
      <c r="KXE1" s="87" t="n"/>
      <c r="KXF1" s="87" t="n"/>
      <c r="KXG1" s="87" t="n"/>
      <c r="KXH1" s="87" t="n"/>
      <c r="KXI1" s="87" t="n"/>
      <c r="KXJ1" s="87" t="n"/>
      <c r="KXK1" s="87" t="n"/>
      <c r="KXL1" s="87" t="n"/>
      <c r="KXM1" s="87" t="n"/>
      <c r="KXN1" s="87" t="n"/>
      <c r="KXO1" s="87" t="n"/>
      <c r="KXP1" s="87" t="n"/>
      <c r="KXQ1" s="87" t="n"/>
      <c r="KXR1" s="87" t="n"/>
      <c r="KXS1" s="87" t="n"/>
      <c r="KXT1" s="87" t="n"/>
      <c r="KXU1" s="87" t="n"/>
      <c r="KXV1" s="87" t="n"/>
      <c r="KXW1" s="87" t="n"/>
      <c r="KXX1" s="87" t="n"/>
      <c r="KXY1" s="87" t="n"/>
      <c r="KXZ1" s="87" t="n"/>
      <c r="KYA1" s="87" t="n"/>
      <c r="KYB1" s="87" t="n"/>
      <c r="KYC1" s="87" t="n"/>
      <c r="KYD1" s="87" t="n"/>
      <c r="KYE1" s="87" t="n"/>
      <c r="KYF1" s="87" t="n"/>
      <c r="KYG1" s="87" t="n"/>
      <c r="KYH1" s="87" t="n"/>
      <c r="KYI1" s="87" t="n"/>
      <c r="KYJ1" s="87" t="n"/>
      <c r="KYK1" s="87" t="n"/>
      <c r="KYL1" s="87" t="n"/>
      <c r="KYM1" s="87" t="n"/>
      <c r="KYN1" s="87" t="n"/>
      <c r="KYO1" s="87" t="n"/>
      <c r="KYP1" s="87" t="n"/>
      <c r="KYQ1" s="87" t="n"/>
      <c r="KYR1" s="87" t="n"/>
      <c r="KYS1" s="87" t="n"/>
      <c r="KYT1" s="87" t="n"/>
      <c r="KYU1" s="87" t="n"/>
      <c r="KYV1" s="87" t="n"/>
      <c r="KYW1" s="87" t="n"/>
      <c r="KYX1" s="87" t="n"/>
      <c r="KYY1" s="87" t="n"/>
      <c r="KYZ1" s="87" t="n"/>
      <c r="KZA1" s="87" t="n"/>
      <c r="KZB1" s="87" t="n"/>
      <c r="KZC1" s="87" t="n"/>
      <c r="KZD1" s="87" t="n"/>
      <c r="KZE1" s="87" t="n"/>
      <c r="KZF1" s="87" t="n"/>
      <c r="KZG1" s="87" t="n"/>
      <c r="KZH1" s="87" t="n"/>
      <c r="KZI1" s="87" t="n"/>
      <c r="KZJ1" s="87" t="n"/>
      <c r="KZK1" s="87" t="n"/>
      <c r="KZL1" s="87" t="n"/>
      <c r="KZM1" s="87" t="n"/>
      <c r="KZN1" s="87" t="n"/>
      <c r="KZO1" s="87" t="n"/>
      <c r="KZP1" s="87" t="n"/>
      <c r="KZQ1" s="87" t="n"/>
      <c r="KZR1" s="87" t="n"/>
      <c r="KZS1" s="87" t="n"/>
      <c r="KZT1" s="87" t="n"/>
      <c r="KZU1" s="87" t="n"/>
      <c r="KZV1" s="87" t="n"/>
      <c r="KZW1" s="87" t="n"/>
      <c r="KZX1" s="87" t="n"/>
      <c r="KZY1" s="87" t="n"/>
      <c r="KZZ1" s="87" t="n"/>
      <c r="LAA1" s="87" t="n"/>
      <c r="LAB1" s="87" t="n"/>
      <c r="LAC1" s="87" t="n"/>
      <c r="LAD1" s="87" t="n"/>
      <c r="LAE1" s="87" t="n"/>
      <c r="LAF1" s="87" t="n"/>
      <c r="LAG1" s="87" t="n"/>
      <c r="LAH1" s="87" t="n"/>
      <c r="LAI1" s="87" t="n"/>
      <c r="LAJ1" s="87" t="n"/>
      <c r="LAK1" s="87" t="n"/>
      <c r="LAL1" s="87" t="n"/>
      <c r="LAM1" s="87" t="n"/>
      <c r="LAN1" s="87" t="n"/>
      <c r="LAO1" s="87" t="n"/>
      <c r="LAP1" s="87" t="n"/>
      <c r="LAQ1" s="87" t="n"/>
      <c r="LAR1" s="87" t="n"/>
      <c r="LAS1" s="87" t="n"/>
      <c r="LAT1" s="87" t="n"/>
      <c r="LAU1" s="87" t="n"/>
      <c r="LAV1" s="87" t="n"/>
      <c r="LAW1" s="87" t="n"/>
      <c r="LAX1" s="87" t="n"/>
      <c r="LAY1" s="87" t="n"/>
      <c r="LAZ1" s="87" t="n"/>
      <c r="LBA1" s="87" t="n"/>
      <c r="LBB1" s="87" t="n"/>
      <c r="LBC1" s="87" t="n"/>
      <c r="LBD1" s="87" t="n"/>
      <c r="LBE1" s="87" t="n"/>
      <c r="LBF1" s="87" t="n"/>
      <c r="LBG1" s="87" t="n"/>
      <c r="LBH1" s="87" t="n"/>
      <c r="LBI1" s="87" t="n"/>
      <c r="LBJ1" s="87" t="n"/>
      <c r="LBK1" s="87" t="n"/>
      <c r="LBL1" s="87" t="n"/>
      <c r="LBM1" s="87" t="n"/>
      <c r="LBN1" s="87" t="n"/>
      <c r="LBO1" s="87" t="n"/>
      <c r="LBP1" s="87" t="n"/>
      <c r="LBQ1" s="87" t="n"/>
      <c r="LBR1" s="87" t="n"/>
      <c r="LBS1" s="87" t="n"/>
      <c r="LBT1" s="87" t="n"/>
      <c r="LBU1" s="87" t="n"/>
      <c r="LBV1" s="87" t="n"/>
      <c r="LBW1" s="87" t="n"/>
      <c r="LBX1" s="87" t="n"/>
      <c r="LBY1" s="87" t="n"/>
      <c r="LBZ1" s="87" t="n"/>
      <c r="LCA1" s="87" t="n"/>
      <c r="LCB1" s="87" t="n"/>
      <c r="LCC1" s="87" t="n"/>
      <c r="LCD1" s="87" t="n"/>
      <c r="LCE1" s="87" t="n"/>
      <c r="LCF1" s="87" t="n"/>
      <c r="LCG1" s="87" t="n"/>
      <c r="LCH1" s="87" t="n"/>
      <c r="LCI1" s="87" t="n"/>
      <c r="LCJ1" s="87" t="n"/>
      <c r="LCK1" s="87" t="n"/>
      <c r="LCL1" s="87" t="n"/>
      <c r="LCM1" s="87" t="n"/>
      <c r="LCN1" s="87" t="n"/>
      <c r="LCO1" s="87" t="n"/>
      <c r="LCP1" s="87" t="n"/>
      <c r="LCQ1" s="87" t="n"/>
      <c r="LCR1" s="87" t="n"/>
      <c r="LCS1" s="87" t="n"/>
      <c r="LCT1" s="87" t="n"/>
      <c r="LCU1" s="87" t="n"/>
      <c r="LCV1" s="87" t="n"/>
      <c r="LCW1" s="87" t="n"/>
      <c r="LCX1" s="87" t="n"/>
      <c r="LCY1" s="87" t="n"/>
      <c r="LCZ1" s="87" t="n"/>
      <c r="LDA1" s="87" t="n"/>
      <c r="LDB1" s="87" t="n"/>
      <c r="LDC1" s="87" t="n"/>
      <c r="LDD1" s="87" t="n"/>
      <c r="LDE1" s="87" t="n"/>
      <c r="LDF1" s="87" t="n"/>
      <c r="LDG1" s="87" t="n"/>
      <c r="LDH1" s="87" t="n"/>
      <c r="LDI1" s="87" t="n"/>
      <c r="LDJ1" s="87" t="n"/>
      <c r="LDK1" s="87" t="n"/>
      <c r="LDL1" s="87" t="n"/>
      <c r="LDM1" s="87" t="n"/>
      <c r="LDN1" s="87" t="n"/>
      <c r="LDO1" s="87" t="n"/>
      <c r="LDP1" s="87" t="n"/>
      <c r="LDQ1" s="87" t="n"/>
      <c r="LDR1" s="87" t="n"/>
      <c r="LDS1" s="87" t="n"/>
      <c r="LDT1" s="87" t="n"/>
      <c r="LDU1" s="87" t="n"/>
      <c r="LDV1" s="87" t="n"/>
      <c r="LDW1" s="87" t="n"/>
      <c r="LDX1" s="87" t="n"/>
      <c r="LDY1" s="87" t="n"/>
      <c r="LDZ1" s="87" t="n"/>
      <c r="LEA1" s="87" t="n"/>
      <c r="LEB1" s="87" t="n"/>
      <c r="LEC1" s="87" t="n"/>
      <c r="LED1" s="87" t="n"/>
      <c r="LEE1" s="87" t="n"/>
      <c r="LEF1" s="87" t="n"/>
      <c r="LEG1" s="87" t="n"/>
      <c r="LEH1" s="87" t="n"/>
      <c r="LEI1" s="87" t="n"/>
      <c r="LEJ1" s="87" t="n"/>
      <c r="LEK1" s="87" t="n"/>
      <c r="LEL1" s="87" t="n"/>
      <c r="LEM1" s="87" t="n"/>
      <c r="LEN1" s="87" t="n"/>
      <c r="LEO1" s="87" t="n"/>
      <c r="LEP1" s="87" t="n"/>
      <c r="LEQ1" s="87" t="n"/>
      <c r="LER1" s="87" t="n"/>
      <c r="LES1" s="87" t="n"/>
      <c r="LET1" s="87" t="n"/>
      <c r="LEU1" s="87" t="n"/>
      <c r="LEV1" s="87" t="n"/>
      <c r="LEW1" s="87" t="n"/>
      <c r="LEX1" s="87" t="n"/>
      <c r="LEY1" s="87" t="n"/>
      <c r="LEZ1" s="87" t="n"/>
      <c r="LFA1" s="87" t="n"/>
      <c r="LFB1" s="87" t="n"/>
      <c r="LFC1" s="87" t="n"/>
      <c r="LFD1" s="87" t="n"/>
      <c r="LFE1" s="87" t="n"/>
      <c r="LFF1" s="87" t="n"/>
      <c r="LFG1" s="87" t="n"/>
      <c r="LFH1" s="87" t="n"/>
      <c r="LFI1" s="87" t="n"/>
      <c r="LFJ1" s="87" t="n"/>
      <c r="LFK1" s="87" t="n"/>
      <c r="LFL1" s="87" t="n"/>
      <c r="LFM1" s="87" t="n"/>
      <c r="LFN1" s="87" t="n"/>
      <c r="LFO1" s="87" t="n"/>
      <c r="LFP1" s="87" t="n"/>
      <c r="LFQ1" s="87" t="n"/>
      <c r="LFR1" s="87" t="n"/>
      <c r="LFS1" s="87" t="n"/>
      <c r="LFT1" s="87" t="n"/>
      <c r="LFU1" s="87" t="n"/>
      <c r="LFV1" s="87" t="n"/>
      <c r="LFW1" s="87" t="n"/>
      <c r="LFX1" s="87" t="n"/>
      <c r="LFY1" s="87" t="n"/>
      <c r="LFZ1" s="87" t="n"/>
      <c r="LGA1" s="87" t="n"/>
      <c r="LGB1" s="87" t="n"/>
      <c r="LGC1" s="87" t="n"/>
      <c r="LGD1" s="87" t="n"/>
      <c r="LGE1" s="87" t="n"/>
      <c r="LGF1" s="87" t="n"/>
      <c r="LGG1" s="87" t="n"/>
      <c r="LGH1" s="87" t="n"/>
      <c r="LGI1" s="87" t="n"/>
      <c r="LGJ1" s="87" t="n"/>
      <c r="LGK1" s="87" t="n"/>
      <c r="LGL1" s="87" t="n"/>
      <c r="LGM1" s="87" t="n"/>
      <c r="LGN1" s="87" t="n"/>
      <c r="LGO1" s="87" t="n"/>
      <c r="LGP1" s="87" t="n"/>
      <c r="LGQ1" s="87" t="n"/>
      <c r="LGR1" s="87" t="n"/>
      <c r="LGS1" s="87" t="n"/>
      <c r="LGT1" s="87" t="n"/>
      <c r="LGU1" s="87" t="n"/>
      <c r="LGV1" s="87" t="n"/>
      <c r="LGW1" s="87" t="n"/>
      <c r="LGX1" s="87" t="n"/>
      <c r="LGY1" s="87" t="n"/>
      <c r="LGZ1" s="87" t="n"/>
      <c r="LHA1" s="87" t="n"/>
      <c r="LHB1" s="87" t="n"/>
      <c r="LHC1" s="87" t="n"/>
      <c r="LHD1" s="87" t="n"/>
      <c r="LHE1" s="87" t="n"/>
      <c r="LHF1" s="87" t="n"/>
      <c r="LHG1" s="87" t="n"/>
      <c r="LHH1" s="87" t="n"/>
      <c r="LHI1" s="87" t="n"/>
      <c r="LHJ1" s="87" t="n"/>
      <c r="LHK1" s="87" t="n"/>
      <c r="LHL1" s="87" t="n"/>
      <c r="LHM1" s="87" t="n"/>
      <c r="LHN1" s="87" t="n"/>
      <c r="LHO1" s="87" t="n"/>
      <c r="LHP1" s="87" t="n"/>
      <c r="LHQ1" s="87" t="n"/>
      <c r="LHR1" s="87" t="n"/>
      <c r="LHS1" s="87" t="n"/>
      <c r="LHT1" s="87" t="n"/>
      <c r="LHU1" s="87" t="n"/>
      <c r="LHV1" s="87" t="n"/>
      <c r="LHW1" s="87" t="n"/>
      <c r="LHX1" s="87" t="n"/>
      <c r="LHY1" s="87" t="n"/>
      <c r="LHZ1" s="87" t="n"/>
      <c r="LIA1" s="87" t="n"/>
      <c r="LIB1" s="87" t="n"/>
      <c r="LIC1" s="87" t="n"/>
      <c r="LID1" s="87" t="n"/>
      <c r="LIE1" s="87" t="n"/>
      <c r="LIF1" s="87" t="n"/>
      <c r="LIG1" s="87" t="n"/>
      <c r="LIH1" s="87" t="n"/>
      <c r="LII1" s="87" t="n"/>
      <c r="LIJ1" s="87" t="n"/>
      <c r="LIK1" s="87" t="n"/>
      <c r="LIL1" s="87" t="n"/>
      <c r="LIM1" s="87" t="n"/>
      <c r="LIN1" s="87" t="n"/>
      <c r="LIO1" s="87" t="n"/>
      <c r="LIP1" s="87" t="n"/>
      <c r="LIQ1" s="87" t="n"/>
      <c r="LIR1" s="87" t="n"/>
      <c r="LIS1" s="87" t="n"/>
      <c r="LIT1" s="87" t="n"/>
      <c r="LIU1" s="87" t="n"/>
      <c r="LIV1" s="87" t="n"/>
      <c r="LIW1" s="87" t="n"/>
      <c r="LIX1" s="87" t="n"/>
      <c r="LIY1" s="87" t="n"/>
      <c r="LIZ1" s="87" t="n"/>
      <c r="LJA1" s="87" t="n"/>
      <c r="LJB1" s="87" t="n"/>
      <c r="LJC1" s="87" t="n"/>
      <c r="LJD1" s="87" t="n"/>
      <c r="LJE1" s="87" t="n"/>
      <c r="LJF1" s="87" t="n"/>
      <c r="LJG1" s="87" t="n"/>
      <c r="LJH1" s="87" t="n"/>
      <c r="LJI1" s="87" t="n"/>
      <c r="LJJ1" s="87" t="n"/>
      <c r="LJK1" s="87" t="n"/>
      <c r="LJL1" s="87" t="n"/>
      <c r="LJM1" s="87" t="n"/>
      <c r="LJN1" s="87" t="n"/>
      <c r="LJO1" s="87" t="n"/>
      <c r="LJP1" s="87" t="n"/>
      <c r="LJQ1" s="87" t="n"/>
      <c r="LJR1" s="87" t="n"/>
      <c r="LJS1" s="87" t="n"/>
      <c r="LJT1" s="87" t="n"/>
      <c r="LJU1" s="87" t="n"/>
      <c r="LJV1" s="87" t="n"/>
      <c r="LJW1" s="87" t="n"/>
      <c r="LJX1" s="87" t="n"/>
      <c r="LJY1" s="87" t="n"/>
      <c r="LJZ1" s="87" t="n"/>
      <c r="LKA1" s="87" t="n"/>
      <c r="LKB1" s="87" t="n"/>
      <c r="LKC1" s="87" t="n"/>
      <c r="LKD1" s="87" t="n"/>
      <c r="LKE1" s="87" t="n"/>
      <c r="LKF1" s="87" t="n"/>
      <c r="LKG1" s="87" t="n"/>
      <c r="LKH1" s="87" t="n"/>
      <c r="LKI1" s="87" t="n"/>
      <c r="LKJ1" s="87" t="n"/>
      <c r="LKK1" s="87" t="n"/>
      <c r="LKL1" s="87" t="n"/>
      <c r="LKM1" s="87" t="n"/>
      <c r="LKN1" s="87" t="n"/>
      <c r="LKO1" s="87" t="n"/>
      <c r="LKP1" s="87" t="n"/>
      <c r="LKQ1" s="87" t="n"/>
      <c r="LKR1" s="87" t="n"/>
      <c r="LKS1" s="87" t="n"/>
      <c r="LKT1" s="87" t="n"/>
      <c r="LKU1" s="87" t="n"/>
      <c r="LKV1" s="87" t="n"/>
      <c r="LKW1" s="87" t="n"/>
      <c r="LKX1" s="87" t="n"/>
      <c r="LKY1" s="87" t="n"/>
      <c r="LKZ1" s="87" t="n"/>
      <c r="LLA1" s="87" t="n"/>
      <c r="LLB1" s="87" t="n"/>
      <c r="LLC1" s="87" t="n"/>
      <c r="LLD1" s="87" t="n"/>
      <c r="LLE1" s="87" t="n"/>
      <c r="LLF1" s="87" t="n"/>
      <c r="LLG1" s="87" t="n"/>
      <c r="LLH1" s="87" t="n"/>
      <c r="LLI1" s="87" t="n"/>
      <c r="LLJ1" s="87" t="n"/>
      <c r="LLK1" s="87" t="n"/>
      <c r="LLL1" s="87" t="n"/>
      <c r="LLM1" s="87" t="n"/>
      <c r="LLN1" s="87" t="n"/>
      <c r="LLO1" s="87" t="n"/>
      <c r="LLP1" s="87" t="n"/>
      <c r="LLQ1" s="87" t="n"/>
      <c r="LLR1" s="87" t="n"/>
      <c r="LLS1" s="87" t="n"/>
      <c r="LLT1" s="87" t="n"/>
      <c r="LLU1" s="87" t="n"/>
      <c r="LLV1" s="87" t="n"/>
      <c r="LLW1" s="87" t="n"/>
      <c r="LLX1" s="87" t="n"/>
      <c r="LLY1" s="87" t="n"/>
      <c r="LLZ1" s="87" t="n"/>
      <c r="LMA1" s="87" t="n"/>
      <c r="LMB1" s="87" t="n"/>
      <c r="LMC1" s="87" t="n"/>
      <c r="LMD1" s="87" t="n"/>
      <c r="LME1" s="87" t="n"/>
      <c r="LMF1" s="87" t="n"/>
      <c r="LMG1" s="87" t="n"/>
      <c r="LMH1" s="87" t="n"/>
      <c r="LMI1" s="87" t="n"/>
      <c r="LMJ1" s="87" t="n"/>
      <c r="LMK1" s="87" t="n"/>
      <c r="LML1" s="87" t="n"/>
      <c r="LMM1" s="87" t="n"/>
      <c r="LMN1" s="87" t="n"/>
      <c r="LMO1" s="87" t="n"/>
      <c r="LMP1" s="87" t="n"/>
      <c r="LMQ1" s="87" t="n"/>
      <c r="LMR1" s="87" t="n"/>
      <c r="LMS1" s="87" t="n"/>
      <c r="LMT1" s="87" t="n"/>
      <c r="LMU1" s="87" t="n"/>
      <c r="LMV1" s="87" t="n"/>
      <c r="LMW1" s="87" t="n"/>
      <c r="LMX1" s="87" t="n"/>
      <c r="LMY1" s="87" t="n"/>
      <c r="LMZ1" s="87" t="n"/>
      <c r="LNA1" s="87" t="n"/>
      <c r="LNB1" s="87" t="n"/>
      <c r="LNC1" s="87" t="n"/>
      <c r="LND1" s="87" t="n"/>
      <c r="LNE1" s="87" t="n"/>
      <c r="LNF1" s="87" t="n"/>
      <c r="LNG1" s="87" t="n"/>
      <c r="LNH1" s="87" t="n"/>
      <c r="LNI1" s="87" t="n"/>
      <c r="LNJ1" s="87" t="n"/>
      <c r="LNK1" s="87" t="n"/>
      <c r="LNL1" s="87" t="n"/>
      <c r="LNM1" s="87" t="n"/>
      <c r="LNN1" s="87" t="n"/>
      <c r="LNO1" s="87" t="n"/>
      <c r="LNP1" s="87" t="n"/>
      <c r="LNQ1" s="87" t="n"/>
      <c r="LNR1" s="87" t="n"/>
      <c r="LNS1" s="87" t="n"/>
      <c r="LNT1" s="87" t="n"/>
      <c r="LNU1" s="87" t="n"/>
      <c r="LNV1" s="87" t="n"/>
      <c r="LNW1" s="87" t="n"/>
      <c r="LNX1" s="87" t="n"/>
      <c r="LNY1" s="87" t="n"/>
      <c r="LNZ1" s="87" t="n"/>
      <c r="LOA1" s="87" t="n"/>
      <c r="LOB1" s="87" t="n"/>
      <c r="LOC1" s="87" t="n"/>
      <c r="LOD1" s="87" t="n"/>
      <c r="LOE1" s="87" t="n"/>
      <c r="LOF1" s="87" t="n"/>
      <c r="LOG1" s="87" t="n"/>
      <c r="LOH1" s="87" t="n"/>
      <c r="LOI1" s="87" t="n"/>
      <c r="LOJ1" s="87" t="n"/>
      <c r="LOK1" s="87" t="n"/>
      <c r="LOL1" s="87" t="n"/>
      <c r="LOM1" s="87" t="n"/>
      <c r="LON1" s="87" t="n"/>
      <c r="LOO1" s="87" t="n"/>
      <c r="LOP1" s="87" t="n"/>
      <c r="LOQ1" s="87" t="n"/>
      <c r="LOR1" s="87" t="n"/>
      <c r="LOS1" s="87" t="n"/>
      <c r="LOT1" s="87" t="n"/>
      <c r="LOU1" s="87" t="n"/>
      <c r="LOV1" s="87" t="n"/>
      <c r="LOW1" s="87" t="n"/>
      <c r="LOX1" s="87" t="n"/>
      <c r="LOY1" s="87" t="n"/>
      <c r="LOZ1" s="87" t="n"/>
      <c r="LPA1" s="87" t="n"/>
      <c r="LPB1" s="87" t="n"/>
      <c r="LPC1" s="87" t="n"/>
      <c r="LPD1" s="87" t="n"/>
      <c r="LPE1" s="87" t="n"/>
      <c r="LPF1" s="87" t="n"/>
      <c r="LPG1" s="87" t="n"/>
      <c r="LPH1" s="87" t="n"/>
      <c r="LPI1" s="87" t="n"/>
      <c r="LPJ1" s="87" t="n"/>
      <c r="LPK1" s="87" t="n"/>
      <c r="LPL1" s="87" t="n"/>
      <c r="LPM1" s="87" t="n"/>
      <c r="LPN1" s="87" t="n"/>
      <c r="LPO1" s="87" t="n"/>
      <c r="LPP1" s="87" t="n"/>
      <c r="LPQ1" s="87" t="n"/>
      <c r="LPR1" s="87" t="n"/>
      <c r="LPS1" s="87" t="n"/>
      <c r="LPT1" s="87" t="n"/>
      <c r="LPU1" s="87" t="n"/>
      <c r="LPV1" s="87" t="n"/>
      <c r="LPW1" s="87" t="n"/>
      <c r="LPX1" s="87" t="n"/>
      <c r="LPY1" s="87" t="n"/>
      <c r="LPZ1" s="87" t="n"/>
      <c r="LQA1" s="87" t="n"/>
      <c r="LQB1" s="87" t="n"/>
      <c r="LQC1" s="87" t="n"/>
      <c r="LQD1" s="87" t="n"/>
      <c r="LQE1" s="87" t="n"/>
      <c r="LQF1" s="87" t="n"/>
      <c r="LQG1" s="87" t="n"/>
      <c r="LQH1" s="87" t="n"/>
      <c r="LQI1" s="87" t="n"/>
      <c r="LQJ1" s="87" t="n"/>
      <c r="LQK1" s="87" t="n"/>
      <c r="LQL1" s="87" t="n"/>
      <c r="LQM1" s="87" t="n"/>
      <c r="LQN1" s="87" t="n"/>
      <c r="LQO1" s="87" t="n"/>
      <c r="LQP1" s="87" t="n"/>
      <c r="LQQ1" s="87" t="n"/>
      <c r="LQR1" s="87" t="n"/>
      <c r="LQS1" s="87" t="n"/>
      <c r="LQT1" s="87" t="n"/>
      <c r="LQU1" s="87" t="n"/>
      <c r="LQV1" s="87" t="n"/>
      <c r="LQW1" s="87" t="n"/>
      <c r="LQX1" s="87" t="n"/>
      <c r="LQY1" s="87" t="n"/>
      <c r="LQZ1" s="87" t="n"/>
      <c r="LRA1" s="87" t="n"/>
      <c r="LRB1" s="87" t="n"/>
      <c r="LRC1" s="87" t="n"/>
      <c r="LRD1" s="87" t="n"/>
      <c r="LRE1" s="87" t="n"/>
      <c r="LRF1" s="87" t="n"/>
      <c r="LRG1" s="87" t="n"/>
      <c r="LRH1" s="87" t="n"/>
      <c r="LRI1" s="87" t="n"/>
      <c r="LRJ1" s="87" t="n"/>
      <c r="LRK1" s="87" t="n"/>
      <c r="LRL1" s="87" t="n"/>
      <c r="LRM1" s="87" t="n"/>
      <c r="LRN1" s="87" t="n"/>
      <c r="LRO1" s="87" t="n"/>
      <c r="LRP1" s="87" t="n"/>
      <c r="LRQ1" s="87" t="n"/>
      <c r="LRR1" s="87" t="n"/>
      <c r="LRS1" s="87" t="n"/>
      <c r="LRT1" s="87" t="n"/>
      <c r="LRU1" s="87" t="n"/>
      <c r="LRV1" s="87" t="n"/>
      <c r="LRW1" s="87" t="n"/>
      <c r="LRX1" s="87" t="n"/>
      <c r="LRY1" s="87" t="n"/>
      <c r="LRZ1" s="87" t="n"/>
      <c r="LSA1" s="87" t="n"/>
      <c r="LSB1" s="87" t="n"/>
      <c r="LSC1" s="87" t="n"/>
      <c r="LSD1" s="87" t="n"/>
      <c r="LSE1" s="87" t="n"/>
      <c r="LSF1" s="87" t="n"/>
      <c r="LSG1" s="87" t="n"/>
      <c r="LSH1" s="87" t="n"/>
      <c r="LSI1" s="87" t="n"/>
      <c r="LSJ1" s="87" t="n"/>
      <c r="LSK1" s="87" t="n"/>
      <c r="LSL1" s="87" t="n"/>
      <c r="LSM1" s="87" t="n"/>
      <c r="LSN1" s="87" t="n"/>
      <c r="LSO1" s="87" t="n"/>
      <c r="LSP1" s="87" t="n"/>
      <c r="LSQ1" s="87" t="n"/>
      <c r="LSR1" s="87" t="n"/>
      <c r="LSS1" s="87" t="n"/>
      <c r="LST1" s="87" t="n"/>
      <c r="LSU1" s="87" t="n"/>
      <c r="LSV1" s="87" t="n"/>
      <c r="LSW1" s="87" t="n"/>
      <c r="LSX1" s="87" t="n"/>
      <c r="LSY1" s="87" t="n"/>
      <c r="LSZ1" s="87" t="n"/>
      <c r="LTA1" s="87" t="n"/>
      <c r="LTB1" s="87" t="n"/>
      <c r="LTC1" s="87" t="n"/>
      <c r="LTD1" s="87" t="n"/>
      <c r="LTE1" s="87" t="n"/>
      <c r="LTF1" s="87" t="n"/>
      <c r="LTG1" s="87" t="n"/>
      <c r="LTH1" s="87" t="n"/>
      <c r="LTI1" s="87" t="n"/>
      <c r="LTJ1" s="87" t="n"/>
      <c r="LTK1" s="87" t="n"/>
      <c r="LTL1" s="87" t="n"/>
      <c r="LTM1" s="87" t="n"/>
      <c r="LTN1" s="87" t="n"/>
      <c r="LTO1" s="87" t="n"/>
      <c r="LTP1" s="87" t="n"/>
      <c r="LTQ1" s="87" t="n"/>
      <c r="LTR1" s="87" t="n"/>
      <c r="LTS1" s="87" t="n"/>
      <c r="LTT1" s="87" t="n"/>
      <c r="LTU1" s="87" t="n"/>
      <c r="LTV1" s="87" t="n"/>
      <c r="LTW1" s="87" t="n"/>
      <c r="LTX1" s="87" t="n"/>
      <c r="LTY1" s="87" t="n"/>
      <c r="LTZ1" s="87" t="n"/>
      <c r="LUA1" s="87" t="n"/>
      <c r="LUB1" s="87" t="n"/>
      <c r="LUC1" s="87" t="n"/>
      <c r="LUD1" s="87" t="n"/>
      <c r="LUE1" s="87" t="n"/>
      <c r="LUF1" s="87" t="n"/>
      <c r="LUG1" s="87" t="n"/>
      <c r="LUH1" s="87" t="n"/>
      <c r="LUI1" s="87" t="n"/>
      <c r="LUJ1" s="87" t="n"/>
      <c r="LUK1" s="87" t="n"/>
      <c r="LUL1" s="87" t="n"/>
      <c r="LUM1" s="87" t="n"/>
      <c r="LUN1" s="87" t="n"/>
      <c r="LUO1" s="87" t="n"/>
      <c r="LUP1" s="87" t="n"/>
      <c r="LUQ1" s="87" t="n"/>
      <c r="LUR1" s="87" t="n"/>
      <c r="LUS1" s="87" t="n"/>
      <c r="LUT1" s="87" t="n"/>
      <c r="LUU1" s="87" t="n"/>
      <c r="LUV1" s="87" t="n"/>
      <c r="LUW1" s="87" t="n"/>
      <c r="LUX1" s="87" t="n"/>
      <c r="LUY1" s="87" t="n"/>
      <c r="LUZ1" s="87" t="n"/>
      <c r="LVA1" s="87" t="n"/>
      <c r="LVB1" s="87" t="n"/>
      <c r="LVC1" s="87" t="n"/>
      <c r="LVD1" s="87" t="n"/>
      <c r="LVE1" s="87" t="n"/>
      <c r="LVF1" s="87" t="n"/>
      <c r="LVG1" s="87" t="n"/>
      <c r="LVH1" s="87" t="n"/>
      <c r="LVI1" s="87" t="n"/>
      <c r="LVJ1" s="87" t="n"/>
      <c r="LVK1" s="87" t="n"/>
      <c r="LVL1" s="87" t="n"/>
      <c r="LVM1" s="87" t="n"/>
      <c r="LVN1" s="87" t="n"/>
      <c r="LVO1" s="87" t="n"/>
      <c r="LVP1" s="87" t="n"/>
      <c r="LVQ1" s="87" t="n"/>
      <c r="LVR1" s="87" t="n"/>
      <c r="LVS1" s="87" t="n"/>
      <c r="LVT1" s="87" t="n"/>
      <c r="LVU1" s="87" t="n"/>
      <c r="LVV1" s="87" t="n"/>
      <c r="LVW1" s="87" t="n"/>
      <c r="LVX1" s="87" t="n"/>
      <c r="LVY1" s="87" t="n"/>
      <c r="LVZ1" s="87" t="n"/>
      <c r="LWA1" s="87" t="n"/>
      <c r="LWB1" s="87" t="n"/>
      <c r="LWC1" s="87" t="n"/>
      <c r="LWD1" s="87" t="n"/>
      <c r="LWE1" s="87" t="n"/>
      <c r="LWF1" s="87" t="n"/>
      <c r="LWG1" s="87" t="n"/>
      <c r="LWH1" s="87" t="n"/>
      <c r="LWI1" s="87" t="n"/>
      <c r="LWJ1" s="87" t="n"/>
      <c r="LWK1" s="87" t="n"/>
      <c r="LWL1" s="87" t="n"/>
      <c r="LWM1" s="87" t="n"/>
      <c r="LWN1" s="87" t="n"/>
      <c r="LWO1" s="87" t="n"/>
      <c r="LWP1" s="87" t="n"/>
      <c r="LWQ1" s="87" t="n"/>
      <c r="LWR1" s="87" t="n"/>
      <c r="LWS1" s="87" t="n"/>
      <c r="LWT1" s="87" t="n"/>
      <c r="LWU1" s="87" t="n"/>
      <c r="LWV1" s="87" t="n"/>
      <c r="LWW1" s="87" t="n"/>
      <c r="LWX1" s="87" t="n"/>
      <c r="LWY1" s="87" t="n"/>
      <c r="LWZ1" s="87" t="n"/>
      <c r="LXA1" s="87" t="n"/>
      <c r="LXB1" s="87" t="n"/>
      <c r="LXC1" s="87" t="n"/>
      <c r="LXD1" s="87" t="n"/>
      <c r="LXE1" s="87" t="n"/>
      <c r="LXF1" s="87" t="n"/>
      <c r="LXG1" s="87" t="n"/>
      <c r="LXH1" s="87" t="n"/>
      <c r="LXI1" s="87" t="n"/>
      <c r="LXJ1" s="87" t="n"/>
      <c r="LXK1" s="87" t="n"/>
      <c r="LXL1" s="87" t="n"/>
      <c r="LXM1" s="87" t="n"/>
      <c r="LXN1" s="87" t="n"/>
      <c r="LXO1" s="87" t="n"/>
      <c r="LXP1" s="87" t="n"/>
      <c r="LXQ1" s="87" t="n"/>
      <c r="LXR1" s="87" t="n"/>
      <c r="LXS1" s="87" t="n"/>
      <c r="LXT1" s="87" t="n"/>
      <c r="LXU1" s="87" t="n"/>
      <c r="LXV1" s="87" t="n"/>
      <c r="LXW1" s="87" t="n"/>
      <c r="LXX1" s="87" t="n"/>
      <c r="LXY1" s="87" t="n"/>
      <c r="LXZ1" s="87" t="n"/>
      <c r="LYA1" s="87" t="n"/>
      <c r="LYB1" s="87" t="n"/>
      <c r="LYC1" s="87" t="n"/>
      <c r="LYD1" s="87" t="n"/>
      <c r="LYE1" s="87" t="n"/>
      <c r="LYF1" s="87" t="n"/>
      <c r="LYG1" s="87" t="n"/>
      <c r="LYH1" s="87" t="n"/>
      <c r="LYI1" s="87" t="n"/>
      <c r="LYJ1" s="87" t="n"/>
      <c r="LYK1" s="87" t="n"/>
      <c r="LYL1" s="87" t="n"/>
      <c r="LYM1" s="87" t="n"/>
      <c r="LYN1" s="87" t="n"/>
      <c r="LYO1" s="87" t="n"/>
      <c r="LYP1" s="87" t="n"/>
      <c r="LYQ1" s="87" t="n"/>
      <c r="LYR1" s="87" t="n"/>
      <c r="LYS1" s="87" t="n"/>
      <c r="LYT1" s="87" t="n"/>
      <c r="LYU1" s="87" t="n"/>
      <c r="LYV1" s="87" t="n"/>
      <c r="LYW1" s="87" t="n"/>
      <c r="LYX1" s="87" t="n"/>
      <c r="LYY1" s="87" t="n"/>
      <c r="LYZ1" s="87" t="n"/>
      <c r="LZA1" s="87" t="n"/>
      <c r="LZB1" s="87" t="n"/>
      <c r="LZC1" s="87" t="n"/>
      <c r="LZD1" s="87" t="n"/>
      <c r="LZE1" s="87" t="n"/>
      <c r="LZF1" s="87" t="n"/>
      <c r="LZG1" s="87" t="n"/>
      <c r="LZH1" s="87" t="n"/>
      <c r="LZI1" s="87" t="n"/>
      <c r="LZJ1" s="87" t="n"/>
      <c r="LZK1" s="87" t="n"/>
      <c r="LZL1" s="87" t="n"/>
      <c r="LZM1" s="87" t="n"/>
      <c r="LZN1" s="87" t="n"/>
      <c r="LZO1" s="87" t="n"/>
      <c r="LZP1" s="87" t="n"/>
      <c r="LZQ1" s="87" t="n"/>
      <c r="LZR1" s="87" t="n"/>
      <c r="LZS1" s="87" t="n"/>
      <c r="LZT1" s="87" t="n"/>
      <c r="LZU1" s="87" t="n"/>
      <c r="LZV1" s="87" t="n"/>
      <c r="LZW1" s="87" t="n"/>
      <c r="LZX1" s="87" t="n"/>
      <c r="LZY1" s="87" t="n"/>
      <c r="LZZ1" s="87" t="n"/>
      <c r="MAA1" s="87" t="n"/>
      <c r="MAB1" s="87" t="n"/>
      <c r="MAC1" s="87" t="n"/>
      <c r="MAD1" s="87" t="n"/>
      <c r="MAE1" s="87" t="n"/>
      <c r="MAF1" s="87" t="n"/>
      <c r="MAG1" s="87" t="n"/>
      <c r="MAH1" s="87" t="n"/>
      <c r="MAI1" s="87" t="n"/>
      <c r="MAJ1" s="87" t="n"/>
      <c r="MAK1" s="87" t="n"/>
      <c r="MAL1" s="87" t="n"/>
      <c r="MAM1" s="87" t="n"/>
      <c r="MAN1" s="87" t="n"/>
      <c r="MAO1" s="87" t="n"/>
      <c r="MAP1" s="87" t="n"/>
      <c r="MAQ1" s="87" t="n"/>
      <c r="MAR1" s="87" t="n"/>
      <c r="MAS1" s="87" t="n"/>
      <c r="MAT1" s="87" t="n"/>
      <c r="MAU1" s="87" t="n"/>
      <c r="MAV1" s="87" t="n"/>
      <c r="MAW1" s="87" t="n"/>
      <c r="MAX1" s="87" t="n"/>
      <c r="MAY1" s="87" t="n"/>
      <c r="MAZ1" s="87" t="n"/>
      <c r="MBA1" s="87" t="n"/>
      <c r="MBB1" s="87" t="n"/>
      <c r="MBC1" s="87" t="n"/>
      <c r="MBD1" s="87" t="n"/>
      <c r="MBE1" s="87" t="n"/>
      <c r="MBF1" s="87" t="n"/>
      <c r="MBG1" s="87" t="n"/>
      <c r="MBH1" s="87" t="n"/>
      <c r="MBI1" s="87" t="n"/>
      <c r="MBJ1" s="87" t="n"/>
      <c r="MBK1" s="87" t="n"/>
      <c r="MBL1" s="87" t="n"/>
      <c r="MBM1" s="87" t="n"/>
      <c r="MBN1" s="87" t="n"/>
      <c r="MBO1" s="87" t="n"/>
      <c r="MBP1" s="87" t="n"/>
      <c r="MBQ1" s="87" t="n"/>
      <c r="MBR1" s="87" t="n"/>
      <c r="MBS1" s="87" t="n"/>
      <c r="MBT1" s="87" t="n"/>
      <c r="MBU1" s="87" t="n"/>
      <c r="MBV1" s="87" t="n"/>
      <c r="MBW1" s="87" t="n"/>
      <c r="MBX1" s="87" t="n"/>
      <c r="MBY1" s="87" t="n"/>
      <c r="MBZ1" s="87" t="n"/>
      <c r="MCA1" s="87" t="n"/>
      <c r="MCB1" s="87" t="n"/>
      <c r="MCC1" s="87" t="n"/>
      <c r="MCD1" s="87" t="n"/>
      <c r="MCE1" s="87" t="n"/>
      <c r="MCF1" s="87" t="n"/>
      <c r="MCG1" s="87" t="n"/>
      <c r="MCH1" s="87" t="n"/>
      <c r="MCI1" s="87" t="n"/>
      <c r="MCJ1" s="87" t="n"/>
      <c r="MCK1" s="87" t="n"/>
      <c r="MCL1" s="87" t="n"/>
      <c r="MCM1" s="87" t="n"/>
      <c r="MCN1" s="87" t="n"/>
      <c r="MCO1" s="87" t="n"/>
      <c r="MCP1" s="87" t="n"/>
      <c r="MCQ1" s="87" t="n"/>
      <c r="MCR1" s="87" t="n"/>
      <c r="MCS1" s="87" t="n"/>
      <c r="MCT1" s="87" t="n"/>
      <c r="MCU1" s="87" t="n"/>
      <c r="MCV1" s="87" t="n"/>
      <c r="MCW1" s="87" t="n"/>
      <c r="MCX1" s="87" t="n"/>
      <c r="MCY1" s="87" t="n"/>
      <c r="MCZ1" s="87" t="n"/>
      <c r="MDA1" s="87" t="n"/>
      <c r="MDB1" s="87" t="n"/>
      <c r="MDC1" s="87" t="n"/>
      <c r="MDD1" s="87" t="n"/>
      <c r="MDE1" s="87" t="n"/>
      <c r="MDF1" s="87" t="n"/>
      <c r="MDG1" s="87" t="n"/>
      <c r="MDH1" s="87" t="n"/>
      <c r="MDI1" s="87" t="n"/>
      <c r="MDJ1" s="87" t="n"/>
      <c r="MDK1" s="87" t="n"/>
      <c r="MDL1" s="87" t="n"/>
      <c r="MDM1" s="87" t="n"/>
      <c r="MDN1" s="87" t="n"/>
      <c r="MDO1" s="87" t="n"/>
      <c r="MDP1" s="87" t="n"/>
      <c r="MDQ1" s="87" t="n"/>
      <c r="MDR1" s="87" t="n"/>
      <c r="MDS1" s="87" t="n"/>
      <c r="MDT1" s="87" t="n"/>
      <c r="MDU1" s="87" t="n"/>
      <c r="MDV1" s="87" t="n"/>
      <c r="MDW1" s="87" t="n"/>
      <c r="MDX1" s="87" t="n"/>
      <c r="MDY1" s="87" t="n"/>
      <c r="MDZ1" s="87" t="n"/>
      <c r="MEA1" s="87" t="n"/>
      <c r="MEB1" s="87" t="n"/>
      <c r="MEC1" s="87" t="n"/>
      <c r="MED1" s="87" t="n"/>
      <c r="MEE1" s="87" t="n"/>
      <c r="MEF1" s="87" t="n"/>
      <c r="MEG1" s="87" t="n"/>
      <c r="MEH1" s="87" t="n"/>
      <c r="MEI1" s="87" t="n"/>
      <c r="MEJ1" s="87" t="n"/>
      <c r="MEK1" s="87" t="n"/>
      <c r="MEL1" s="87" t="n"/>
      <c r="MEM1" s="87" t="n"/>
      <c r="MEN1" s="87" t="n"/>
      <c r="MEO1" s="87" t="n"/>
      <c r="MEP1" s="87" t="n"/>
      <c r="MEQ1" s="87" t="n"/>
      <c r="MER1" s="87" t="n"/>
      <c r="MES1" s="87" t="n"/>
      <c r="MET1" s="87" t="n"/>
      <c r="MEU1" s="87" t="n"/>
      <c r="MEV1" s="87" t="n"/>
      <c r="MEW1" s="87" t="n"/>
      <c r="MEX1" s="87" t="n"/>
      <c r="MEY1" s="87" t="n"/>
      <c r="MEZ1" s="87" t="n"/>
      <c r="MFA1" s="87" t="n"/>
      <c r="MFB1" s="87" t="n"/>
      <c r="MFC1" s="87" t="n"/>
      <c r="MFD1" s="87" t="n"/>
      <c r="MFE1" s="87" t="n"/>
      <c r="MFF1" s="87" t="n"/>
      <c r="MFG1" s="87" t="n"/>
      <c r="MFH1" s="87" t="n"/>
      <c r="MFI1" s="87" t="n"/>
      <c r="MFJ1" s="87" t="n"/>
      <c r="MFK1" s="87" t="n"/>
      <c r="MFL1" s="87" t="n"/>
      <c r="MFM1" s="87" t="n"/>
      <c r="MFN1" s="87" t="n"/>
      <c r="MFO1" s="87" t="n"/>
      <c r="MFP1" s="87" t="n"/>
      <c r="MFQ1" s="87" t="n"/>
      <c r="MFR1" s="87" t="n"/>
      <c r="MFS1" s="87" t="n"/>
      <c r="MFT1" s="87" t="n"/>
      <c r="MFU1" s="87" t="n"/>
      <c r="MFV1" s="87" t="n"/>
      <c r="MFW1" s="87" t="n"/>
      <c r="MFX1" s="87" t="n"/>
      <c r="MFY1" s="87" t="n"/>
      <c r="MFZ1" s="87" t="n"/>
      <c r="MGA1" s="87" t="n"/>
      <c r="MGB1" s="87" t="n"/>
      <c r="MGC1" s="87" t="n"/>
      <c r="MGD1" s="87" t="n"/>
      <c r="MGE1" s="87" t="n"/>
      <c r="MGF1" s="87" t="n"/>
      <c r="MGG1" s="87" t="n"/>
      <c r="MGH1" s="87" t="n"/>
      <c r="MGI1" s="87" t="n"/>
      <c r="MGJ1" s="87" t="n"/>
      <c r="MGK1" s="87" t="n"/>
      <c r="MGL1" s="87" t="n"/>
      <c r="MGM1" s="87" t="n"/>
      <c r="MGN1" s="87" t="n"/>
      <c r="MGO1" s="87" t="n"/>
      <c r="MGP1" s="87" t="n"/>
      <c r="MGQ1" s="87" t="n"/>
      <c r="MGR1" s="87" t="n"/>
      <c r="MGS1" s="87" t="n"/>
      <c r="MGT1" s="87" t="n"/>
      <c r="MGU1" s="87" t="n"/>
      <c r="MGV1" s="87" t="n"/>
      <c r="MGW1" s="87" t="n"/>
      <c r="MGX1" s="87" t="n"/>
      <c r="MGY1" s="87" t="n"/>
      <c r="MGZ1" s="87" t="n"/>
      <c r="MHA1" s="87" t="n"/>
      <c r="MHB1" s="87" t="n"/>
      <c r="MHC1" s="87" t="n"/>
      <c r="MHD1" s="87" t="n"/>
      <c r="MHE1" s="87" t="n"/>
      <c r="MHF1" s="87" t="n"/>
      <c r="MHG1" s="87" t="n"/>
      <c r="MHH1" s="87" t="n"/>
      <c r="MHI1" s="87" t="n"/>
      <c r="MHJ1" s="87" t="n"/>
      <c r="MHK1" s="87" t="n"/>
      <c r="MHL1" s="87" t="n"/>
      <c r="MHM1" s="87" t="n"/>
      <c r="MHN1" s="87" t="n"/>
      <c r="MHO1" s="87" t="n"/>
      <c r="MHP1" s="87" t="n"/>
      <c r="MHQ1" s="87" t="n"/>
      <c r="MHR1" s="87" t="n"/>
      <c r="MHS1" s="87" t="n"/>
      <c r="MHT1" s="87" t="n"/>
      <c r="MHU1" s="87" t="n"/>
      <c r="MHV1" s="87" t="n"/>
      <c r="MHW1" s="87" t="n"/>
      <c r="MHX1" s="87" t="n"/>
      <c r="MHY1" s="87" t="n"/>
      <c r="MHZ1" s="87" t="n"/>
      <c r="MIA1" s="87" t="n"/>
      <c r="MIB1" s="87" t="n"/>
      <c r="MIC1" s="87" t="n"/>
      <c r="MID1" s="87" t="n"/>
      <c r="MIE1" s="87" t="n"/>
      <c r="MIF1" s="87" t="n"/>
      <c r="MIG1" s="87" t="n"/>
      <c r="MIH1" s="87" t="n"/>
      <c r="MII1" s="87" t="n"/>
      <c r="MIJ1" s="87" t="n"/>
      <c r="MIK1" s="87" t="n"/>
      <c r="MIL1" s="87" t="n"/>
      <c r="MIM1" s="87" t="n"/>
      <c r="MIN1" s="87" t="n"/>
      <c r="MIO1" s="87" t="n"/>
      <c r="MIP1" s="87" t="n"/>
      <c r="MIQ1" s="87" t="n"/>
      <c r="MIR1" s="87" t="n"/>
      <c r="MIS1" s="87" t="n"/>
      <c r="MIT1" s="87" t="n"/>
      <c r="MIU1" s="87" t="n"/>
      <c r="MIV1" s="87" t="n"/>
      <c r="MIW1" s="87" t="n"/>
      <c r="MIX1" s="87" t="n"/>
      <c r="MIY1" s="87" t="n"/>
      <c r="MIZ1" s="87" t="n"/>
      <c r="MJA1" s="87" t="n"/>
      <c r="MJB1" s="87" t="n"/>
      <c r="MJC1" s="87" t="n"/>
      <c r="MJD1" s="87" t="n"/>
      <c r="MJE1" s="87" t="n"/>
      <c r="MJF1" s="87" t="n"/>
      <c r="MJG1" s="87" t="n"/>
      <c r="MJH1" s="87" t="n"/>
      <c r="MJI1" s="87" t="n"/>
      <c r="MJJ1" s="87" t="n"/>
      <c r="MJK1" s="87" t="n"/>
      <c r="MJL1" s="87" t="n"/>
      <c r="MJM1" s="87" t="n"/>
      <c r="MJN1" s="87" t="n"/>
      <c r="MJO1" s="87" t="n"/>
      <c r="MJP1" s="87" t="n"/>
      <c r="MJQ1" s="87" t="n"/>
      <c r="MJR1" s="87" t="n"/>
      <c r="MJS1" s="87" t="n"/>
      <c r="MJT1" s="87" t="n"/>
      <c r="MJU1" s="87" t="n"/>
      <c r="MJV1" s="87" t="n"/>
      <c r="MJW1" s="87" t="n"/>
      <c r="MJX1" s="87" t="n"/>
      <c r="MJY1" s="87" t="n"/>
      <c r="MJZ1" s="87" t="n"/>
      <c r="MKA1" s="87" t="n"/>
      <c r="MKB1" s="87" t="n"/>
      <c r="MKC1" s="87" t="n"/>
      <c r="MKD1" s="87" t="n"/>
      <c r="MKE1" s="87" t="n"/>
      <c r="MKF1" s="87" t="n"/>
      <c r="MKG1" s="87" t="n"/>
      <c r="MKH1" s="87" t="n"/>
      <c r="MKI1" s="87" t="n"/>
      <c r="MKJ1" s="87" t="n"/>
      <c r="MKK1" s="87" t="n"/>
      <c r="MKL1" s="87" t="n"/>
      <c r="MKM1" s="87" t="n"/>
      <c r="MKN1" s="87" t="n"/>
      <c r="MKO1" s="87" t="n"/>
      <c r="MKP1" s="87" t="n"/>
      <c r="MKQ1" s="87" t="n"/>
      <c r="MKR1" s="87" t="n"/>
      <c r="MKS1" s="87" t="n"/>
      <c r="MKT1" s="87" t="n"/>
      <c r="MKU1" s="87" t="n"/>
      <c r="MKV1" s="87" t="n"/>
      <c r="MKW1" s="87" t="n"/>
      <c r="MKX1" s="87" t="n"/>
      <c r="MKY1" s="87" t="n"/>
      <c r="MKZ1" s="87" t="n"/>
      <c r="MLA1" s="87" t="n"/>
      <c r="MLB1" s="87" t="n"/>
      <c r="MLC1" s="87" t="n"/>
      <c r="MLD1" s="87" t="n"/>
      <c r="MLE1" s="87" t="n"/>
      <c r="MLF1" s="87" t="n"/>
      <c r="MLG1" s="87" t="n"/>
      <c r="MLH1" s="87" t="n"/>
      <c r="MLI1" s="87" t="n"/>
      <c r="MLJ1" s="87" t="n"/>
      <c r="MLK1" s="87" t="n"/>
      <c r="MLL1" s="87" t="n"/>
      <c r="MLM1" s="87" t="n"/>
      <c r="MLN1" s="87" t="n"/>
      <c r="MLO1" s="87" t="n"/>
      <c r="MLP1" s="87" t="n"/>
      <c r="MLQ1" s="87" t="n"/>
      <c r="MLR1" s="87" t="n"/>
      <c r="MLS1" s="87" t="n"/>
      <c r="MLT1" s="87" t="n"/>
      <c r="MLU1" s="87" t="n"/>
      <c r="MLV1" s="87" t="n"/>
      <c r="MLW1" s="87" t="n"/>
      <c r="MLX1" s="87" t="n"/>
      <c r="MLY1" s="87" t="n"/>
      <c r="MLZ1" s="87" t="n"/>
      <c r="MMA1" s="87" t="n"/>
      <c r="MMB1" s="87" t="n"/>
      <c r="MMC1" s="87" t="n"/>
      <c r="MMD1" s="87" t="n"/>
      <c r="MME1" s="87" t="n"/>
      <c r="MMF1" s="87" t="n"/>
      <c r="MMG1" s="87" t="n"/>
      <c r="MMH1" s="87" t="n"/>
      <c r="MMI1" s="87" t="n"/>
      <c r="MMJ1" s="87" t="n"/>
      <c r="MMK1" s="87" t="n"/>
      <c r="MML1" s="87" t="n"/>
      <c r="MMM1" s="87" t="n"/>
      <c r="MMN1" s="87" t="n"/>
      <c r="MMO1" s="87" t="n"/>
      <c r="MMP1" s="87" t="n"/>
      <c r="MMQ1" s="87" t="n"/>
      <c r="MMR1" s="87" t="n"/>
      <c r="MMS1" s="87" t="n"/>
      <c r="MMT1" s="87" t="n"/>
      <c r="MMU1" s="87" t="n"/>
      <c r="MMV1" s="87" t="n"/>
      <c r="MMW1" s="87" t="n"/>
      <c r="MMX1" s="87" t="n"/>
      <c r="MMY1" s="87" t="n"/>
      <c r="MMZ1" s="87" t="n"/>
      <c r="MNA1" s="87" t="n"/>
      <c r="MNB1" s="87" t="n"/>
      <c r="MNC1" s="87" t="n"/>
      <c r="MND1" s="87" t="n"/>
      <c r="MNE1" s="87" t="n"/>
      <c r="MNF1" s="87" t="n"/>
      <c r="MNG1" s="87" t="n"/>
      <c r="MNH1" s="87" t="n"/>
      <c r="MNI1" s="87" t="n"/>
      <c r="MNJ1" s="87" t="n"/>
      <c r="MNK1" s="87" t="n"/>
      <c r="MNL1" s="87" t="n"/>
      <c r="MNM1" s="87" t="n"/>
      <c r="MNN1" s="87" t="n"/>
      <c r="MNO1" s="87" t="n"/>
      <c r="MNP1" s="87" t="n"/>
      <c r="MNQ1" s="87" t="n"/>
      <c r="MNR1" s="87" t="n"/>
      <c r="MNS1" s="87" t="n"/>
      <c r="MNT1" s="87" t="n"/>
      <c r="MNU1" s="87" t="n"/>
      <c r="MNV1" s="87" t="n"/>
      <c r="MNW1" s="87" t="n"/>
      <c r="MNX1" s="87" t="n"/>
      <c r="MNY1" s="87" t="n"/>
      <c r="MNZ1" s="87" t="n"/>
      <c r="MOA1" s="87" t="n"/>
      <c r="MOB1" s="87" t="n"/>
      <c r="MOC1" s="87" t="n"/>
      <c r="MOD1" s="87" t="n"/>
      <c r="MOE1" s="87" t="n"/>
      <c r="MOF1" s="87" t="n"/>
      <c r="MOG1" s="87" t="n"/>
      <c r="MOH1" s="87" t="n"/>
      <c r="MOI1" s="87" t="n"/>
      <c r="MOJ1" s="87" t="n"/>
      <c r="MOK1" s="87" t="n"/>
      <c r="MOL1" s="87" t="n"/>
      <c r="MOM1" s="87" t="n"/>
      <c r="MON1" s="87" t="n"/>
      <c r="MOO1" s="87" t="n"/>
      <c r="MOP1" s="87" t="n"/>
      <c r="MOQ1" s="87" t="n"/>
      <c r="MOR1" s="87" t="n"/>
      <c r="MOS1" s="87" t="n"/>
      <c r="MOT1" s="87" t="n"/>
      <c r="MOU1" s="87" t="n"/>
      <c r="MOV1" s="87" t="n"/>
      <c r="MOW1" s="87" t="n"/>
      <c r="MOX1" s="87" t="n"/>
      <c r="MOY1" s="87" t="n"/>
      <c r="MOZ1" s="87" t="n"/>
      <c r="MPA1" s="87" t="n"/>
      <c r="MPB1" s="87" t="n"/>
      <c r="MPC1" s="87" t="n"/>
      <c r="MPD1" s="87" t="n"/>
      <c r="MPE1" s="87" t="n"/>
      <c r="MPF1" s="87" t="n"/>
      <c r="MPG1" s="87" t="n"/>
      <c r="MPH1" s="87" t="n"/>
      <c r="MPI1" s="87" t="n"/>
      <c r="MPJ1" s="87" t="n"/>
      <c r="MPK1" s="87" t="n"/>
      <c r="MPL1" s="87" t="n"/>
      <c r="MPM1" s="87" t="n"/>
      <c r="MPN1" s="87" t="n"/>
      <c r="MPO1" s="87" t="n"/>
      <c r="MPP1" s="87" t="n"/>
      <c r="MPQ1" s="87" t="n"/>
      <c r="MPR1" s="87" t="n"/>
      <c r="MPS1" s="87" t="n"/>
      <c r="MPT1" s="87" t="n"/>
      <c r="MPU1" s="87" t="n"/>
      <c r="MPV1" s="87" t="n"/>
      <c r="MPW1" s="87" t="n"/>
      <c r="MPX1" s="87" t="n"/>
      <c r="MPY1" s="87" t="n"/>
      <c r="MPZ1" s="87" t="n"/>
      <c r="MQA1" s="87" t="n"/>
      <c r="MQB1" s="87" t="n"/>
      <c r="MQC1" s="87" t="n"/>
      <c r="MQD1" s="87" t="n"/>
      <c r="MQE1" s="87" t="n"/>
      <c r="MQF1" s="87" t="n"/>
      <c r="MQG1" s="87" t="n"/>
      <c r="MQH1" s="87" t="n"/>
      <c r="MQI1" s="87" t="n"/>
      <c r="MQJ1" s="87" t="n"/>
      <c r="MQK1" s="87" t="n"/>
      <c r="MQL1" s="87" t="n"/>
      <c r="MQM1" s="87" t="n"/>
      <c r="MQN1" s="87" t="n"/>
      <c r="MQO1" s="87" t="n"/>
      <c r="MQP1" s="87" t="n"/>
      <c r="MQQ1" s="87" t="n"/>
      <c r="MQR1" s="87" t="n"/>
      <c r="MQS1" s="87" t="n"/>
      <c r="MQT1" s="87" t="n"/>
      <c r="MQU1" s="87" t="n"/>
      <c r="MQV1" s="87" t="n"/>
      <c r="MQW1" s="87" t="n"/>
      <c r="MQX1" s="87" t="n"/>
      <c r="MQY1" s="87" t="n"/>
      <c r="MQZ1" s="87" t="n"/>
      <c r="MRA1" s="87" t="n"/>
      <c r="MRB1" s="87" t="n"/>
      <c r="MRC1" s="87" t="n"/>
      <c r="MRD1" s="87" t="n"/>
      <c r="MRE1" s="87" t="n"/>
      <c r="MRF1" s="87" t="n"/>
      <c r="MRG1" s="87" t="n"/>
      <c r="MRH1" s="87" t="n"/>
      <c r="MRI1" s="87" t="n"/>
      <c r="MRJ1" s="87" t="n"/>
      <c r="MRK1" s="87" t="n"/>
      <c r="MRL1" s="87" t="n"/>
      <c r="MRM1" s="87" t="n"/>
      <c r="MRN1" s="87" t="n"/>
      <c r="MRO1" s="87" t="n"/>
      <c r="MRP1" s="87" t="n"/>
      <c r="MRQ1" s="87" t="n"/>
      <c r="MRR1" s="87" t="n"/>
      <c r="MRS1" s="87" t="n"/>
      <c r="MRT1" s="87" t="n"/>
      <c r="MRU1" s="87" t="n"/>
      <c r="MRV1" s="87" t="n"/>
      <c r="MRW1" s="87" t="n"/>
      <c r="MRX1" s="87" t="n"/>
      <c r="MRY1" s="87" t="n"/>
      <c r="MRZ1" s="87" t="n"/>
      <c r="MSA1" s="87" t="n"/>
      <c r="MSB1" s="87" t="n"/>
      <c r="MSC1" s="87" t="n"/>
      <c r="MSD1" s="87" t="n"/>
      <c r="MSE1" s="87" t="n"/>
      <c r="MSF1" s="87" t="n"/>
      <c r="MSG1" s="87" t="n"/>
      <c r="MSH1" s="87" t="n"/>
      <c r="MSI1" s="87" t="n"/>
      <c r="MSJ1" s="87" t="n"/>
      <c r="MSK1" s="87" t="n"/>
      <c r="MSL1" s="87" t="n"/>
      <c r="MSM1" s="87" t="n"/>
      <c r="MSN1" s="87" t="n"/>
      <c r="MSO1" s="87" t="n"/>
      <c r="MSP1" s="87" t="n"/>
      <c r="MSQ1" s="87" t="n"/>
      <c r="MSR1" s="87" t="n"/>
      <c r="MSS1" s="87" t="n"/>
      <c r="MST1" s="87" t="n"/>
      <c r="MSU1" s="87" t="n"/>
      <c r="MSV1" s="87" t="n"/>
      <c r="MSW1" s="87" t="n"/>
      <c r="MSX1" s="87" t="n"/>
      <c r="MSY1" s="87" t="n"/>
      <c r="MSZ1" s="87" t="n"/>
      <c r="MTA1" s="87" t="n"/>
      <c r="MTB1" s="87" t="n"/>
      <c r="MTC1" s="87" t="n"/>
      <c r="MTD1" s="87" t="n"/>
      <c r="MTE1" s="87" t="n"/>
      <c r="MTF1" s="87" t="n"/>
      <c r="MTG1" s="87" t="n"/>
      <c r="MTH1" s="87" t="n"/>
      <c r="MTI1" s="87" t="n"/>
      <c r="MTJ1" s="87" t="n"/>
      <c r="MTK1" s="87" t="n"/>
      <c r="MTL1" s="87" t="n"/>
      <c r="MTM1" s="87" t="n"/>
      <c r="MTN1" s="87" t="n"/>
      <c r="MTO1" s="87" t="n"/>
      <c r="MTP1" s="87" t="n"/>
      <c r="MTQ1" s="87" t="n"/>
      <c r="MTR1" s="87" t="n"/>
      <c r="MTS1" s="87" t="n"/>
      <c r="MTT1" s="87" t="n"/>
      <c r="MTU1" s="87" t="n"/>
      <c r="MTV1" s="87" t="n"/>
      <c r="MTW1" s="87" t="n"/>
      <c r="MTX1" s="87" t="n"/>
      <c r="MTY1" s="87" t="n"/>
      <c r="MTZ1" s="87" t="n"/>
      <c r="MUA1" s="87" t="n"/>
      <c r="MUB1" s="87" t="n"/>
      <c r="MUC1" s="87" t="n"/>
      <c r="MUD1" s="87" t="n"/>
      <c r="MUE1" s="87" t="n"/>
      <c r="MUF1" s="87" t="n"/>
      <c r="MUG1" s="87" t="n"/>
      <c r="MUH1" s="87" t="n"/>
      <c r="MUI1" s="87" t="n"/>
      <c r="MUJ1" s="87" t="n"/>
      <c r="MUK1" s="87" t="n"/>
      <c r="MUL1" s="87" t="n"/>
      <c r="MUM1" s="87" t="n"/>
      <c r="MUN1" s="87" t="n"/>
      <c r="MUO1" s="87" t="n"/>
      <c r="MUP1" s="87" t="n"/>
      <c r="MUQ1" s="87" t="n"/>
      <c r="MUR1" s="87" t="n"/>
      <c r="MUS1" s="87" t="n"/>
      <c r="MUT1" s="87" t="n"/>
      <c r="MUU1" s="87" t="n"/>
      <c r="MUV1" s="87" t="n"/>
      <c r="MUW1" s="87" t="n"/>
      <c r="MUX1" s="87" t="n"/>
      <c r="MUY1" s="87" t="n"/>
      <c r="MUZ1" s="87" t="n"/>
      <c r="MVA1" s="87" t="n"/>
      <c r="MVB1" s="87" t="n"/>
      <c r="MVC1" s="87" t="n"/>
      <c r="MVD1" s="87" t="n"/>
      <c r="MVE1" s="87" t="n"/>
      <c r="MVF1" s="87" t="n"/>
      <c r="MVG1" s="87" t="n"/>
      <c r="MVH1" s="87" t="n"/>
      <c r="MVI1" s="87" t="n"/>
      <c r="MVJ1" s="87" t="n"/>
      <c r="MVK1" s="87" t="n"/>
      <c r="MVL1" s="87" t="n"/>
      <c r="MVM1" s="87" t="n"/>
      <c r="MVN1" s="87" t="n"/>
      <c r="MVO1" s="87" t="n"/>
      <c r="MVP1" s="87" t="n"/>
      <c r="MVQ1" s="87" t="n"/>
      <c r="MVR1" s="87" t="n"/>
      <c r="MVS1" s="87" t="n"/>
      <c r="MVT1" s="87" t="n"/>
      <c r="MVU1" s="87" t="n"/>
      <c r="MVV1" s="87" t="n"/>
      <c r="MVW1" s="87" t="n"/>
      <c r="MVX1" s="87" t="n"/>
      <c r="MVY1" s="87" t="n"/>
      <c r="MVZ1" s="87" t="n"/>
      <c r="MWA1" s="87" t="n"/>
      <c r="MWB1" s="87" t="n"/>
      <c r="MWC1" s="87" t="n"/>
      <c r="MWD1" s="87" t="n"/>
      <c r="MWE1" s="87" t="n"/>
      <c r="MWF1" s="87" t="n"/>
      <c r="MWG1" s="87" t="n"/>
      <c r="MWH1" s="87" t="n"/>
      <c r="MWI1" s="87" t="n"/>
      <c r="MWJ1" s="87" t="n"/>
      <c r="MWK1" s="87" t="n"/>
      <c r="MWL1" s="87" t="n"/>
      <c r="MWM1" s="87" t="n"/>
      <c r="MWN1" s="87" t="n"/>
      <c r="MWO1" s="87" t="n"/>
      <c r="MWP1" s="87" t="n"/>
      <c r="MWQ1" s="87" t="n"/>
      <c r="MWR1" s="87" t="n"/>
      <c r="MWS1" s="87" t="n"/>
      <c r="MWT1" s="87" t="n"/>
      <c r="MWU1" s="87" t="n"/>
      <c r="MWV1" s="87" t="n"/>
      <c r="MWW1" s="87" t="n"/>
      <c r="MWX1" s="87" t="n"/>
      <c r="MWY1" s="87" t="n"/>
      <c r="MWZ1" s="87" t="n"/>
      <c r="MXA1" s="87" t="n"/>
      <c r="MXB1" s="87" t="n"/>
      <c r="MXC1" s="87" t="n"/>
      <c r="MXD1" s="87" t="n"/>
      <c r="MXE1" s="87" t="n"/>
      <c r="MXF1" s="87" t="n"/>
      <c r="MXG1" s="87" t="n"/>
      <c r="MXH1" s="87" t="n"/>
      <c r="MXI1" s="87" t="n"/>
      <c r="MXJ1" s="87" t="n"/>
      <c r="MXK1" s="87" t="n"/>
      <c r="MXL1" s="87" t="n"/>
      <c r="MXM1" s="87" t="n"/>
      <c r="MXN1" s="87" t="n"/>
      <c r="MXO1" s="87" t="n"/>
      <c r="MXP1" s="87" t="n"/>
      <c r="MXQ1" s="87" t="n"/>
      <c r="MXR1" s="87" t="n"/>
      <c r="MXS1" s="87" t="n"/>
      <c r="MXT1" s="87" t="n"/>
      <c r="MXU1" s="87" t="n"/>
      <c r="MXV1" s="87" t="n"/>
      <c r="MXW1" s="87" t="n"/>
      <c r="MXX1" s="87" t="n"/>
      <c r="MXY1" s="87" t="n"/>
      <c r="MXZ1" s="87" t="n"/>
      <c r="MYA1" s="87" t="n"/>
      <c r="MYB1" s="87" t="n"/>
      <c r="MYC1" s="87" t="n"/>
      <c r="MYD1" s="87" t="n"/>
      <c r="MYE1" s="87" t="n"/>
      <c r="MYF1" s="87" t="n"/>
      <c r="MYG1" s="87" t="n"/>
      <c r="MYH1" s="87" t="n"/>
      <c r="MYI1" s="87" t="n"/>
      <c r="MYJ1" s="87" t="n"/>
      <c r="MYK1" s="87" t="n"/>
      <c r="MYL1" s="87" t="n"/>
      <c r="MYM1" s="87" t="n"/>
      <c r="MYN1" s="87" t="n"/>
      <c r="MYO1" s="87" t="n"/>
      <c r="MYP1" s="87" t="n"/>
      <c r="MYQ1" s="87" t="n"/>
      <c r="MYR1" s="87" t="n"/>
      <c r="MYS1" s="87" t="n"/>
      <c r="MYT1" s="87" t="n"/>
      <c r="MYU1" s="87" t="n"/>
      <c r="MYV1" s="87" t="n"/>
      <c r="MYW1" s="87" t="n"/>
      <c r="MYX1" s="87" t="n"/>
      <c r="MYY1" s="87" t="n"/>
      <c r="MYZ1" s="87" t="n"/>
      <c r="MZA1" s="87" t="n"/>
      <c r="MZB1" s="87" t="n"/>
      <c r="MZC1" s="87" t="n"/>
      <c r="MZD1" s="87" t="n"/>
      <c r="MZE1" s="87" t="n"/>
      <c r="MZF1" s="87" t="n"/>
      <c r="MZG1" s="87" t="n"/>
      <c r="MZH1" s="87" t="n"/>
      <c r="MZI1" s="87" t="n"/>
      <c r="MZJ1" s="87" t="n"/>
      <c r="MZK1" s="87" t="n"/>
      <c r="MZL1" s="87" t="n"/>
      <c r="MZM1" s="87" t="n"/>
      <c r="MZN1" s="87" t="n"/>
      <c r="MZO1" s="87" t="n"/>
      <c r="MZP1" s="87" t="n"/>
      <c r="MZQ1" s="87" t="n"/>
      <c r="MZR1" s="87" t="n"/>
      <c r="MZS1" s="87" t="n"/>
      <c r="MZT1" s="87" t="n"/>
      <c r="MZU1" s="87" t="n"/>
      <c r="MZV1" s="87" t="n"/>
      <c r="MZW1" s="87" t="n"/>
      <c r="MZX1" s="87" t="n"/>
      <c r="MZY1" s="87" t="n"/>
      <c r="MZZ1" s="87" t="n"/>
      <c r="NAA1" s="87" t="n"/>
      <c r="NAB1" s="87" t="n"/>
      <c r="NAC1" s="87" t="n"/>
      <c r="NAD1" s="87" t="n"/>
      <c r="NAE1" s="87" t="n"/>
      <c r="NAF1" s="87" t="n"/>
      <c r="NAG1" s="87" t="n"/>
      <c r="NAH1" s="87" t="n"/>
      <c r="NAI1" s="87" t="n"/>
      <c r="NAJ1" s="87" t="n"/>
      <c r="NAK1" s="87" t="n"/>
      <c r="NAL1" s="87" t="n"/>
      <c r="NAM1" s="87" t="n"/>
      <c r="NAN1" s="87" t="n"/>
      <c r="NAO1" s="87" t="n"/>
      <c r="NAP1" s="87" t="n"/>
      <c r="NAQ1" s="87" t="n"/>
      <c r="NAR1" s="87" t="n"/>
      <c r="NAS1" s="87" t="n"/>
      <c r="NAT1" s="87" t="n"/>
      <c r="NAU1" s="87" t="n"/>
      <c r="NAV1" s="87" t="n"/>
      <c r="NAW1" s="87" t="n"/>
      <c r="NAX1" s="87" t="n"/>
      <c r="NAY1" s="87" t="n"/>
      <c r="NAZ1" s="87" t="n"/>
      <c r="NBA1" s="87" t="n"/>
      <c r="NBB1" s="87" t="n"/>
      <c r="NBC1" s="87" t="n"/>
      <c r="NBD1" s="87" t="n"/>
      <c r="NBE1" s="87" t="n"/>
      <c r="NBF1" s="87" t="n"/>
      <c r="NBG1" s="87" t="n"/>
      <c r="NBH1" s="87" t="n"/>
      <c r="NBI1" s="87" t="n"/>
      <c r="NBJ1" s="87" t="n"/>
      <c r="NBK1" s="87" t="n"/>
      <c r="NBL1" s="87" t="n"/>
      <c r="NBM1" s="87" t="n"/>
      <c r="NBN1" s="87" t="n"/>
      <c r="NBO1" s="87" t="n"/>
      <c r="NBP1" s="87" t="n"/>
      <c r="NBQ1" s="87" t="n"/>
      <c r="NBR1" s="87" t="n"/>
      <c r="NBS1" s="87" t="n"/>
      <c r="NBT1" s="87" t="n"/>
      <c r="NBU1" s="87" t="n"/>
      <c r="NBV1" s="87" t="n"/>
      <c r="NBW1" s="87" t="n"/>
      <c r="NBX1" s="87" t="n"/>
      <c r="NBY1" s="87" t="n"/>
      <c r="NBZ1" s="87" t="n"/>
      <c r="NCA1" s="87" t="n"/>
      <c r="NCB1" s="87" t="n"/>
      <c r="NCC1" s="87" t="n"/>
      <c r="NCD1" s="87" t="n"/>
      <c r="NCE1" s="87" t="n"/>
      <c r="NCF1" s="87" t="n"/>
      <c r="NCG1" s="87" t="n"/>
      <c r="NCH1" s="87" t="n"/>
      <c r="NCI1" s="87" t="n"/>
      <c r="NCJ1" s="87" t="n"/>
      <c r="NCK1" s="87" t="n"/>
      <c r="NCL1" s="87" t="n"/>
      <c r="NCM1" s="87" t="n"/>
      <c r="NCN1" s="87" t="n"/>
      <c r="NCO1" s="87" t="n"/>
      <c r="NCP1" s="87" t="n"/>
      <c r="NCQ1" s="87" t="n"/>
      <c r="NCR1" s="87" t="n"/>
      <c r="NCS1" s="87" t="n"/>
      <c r="NCT1" s="87" t="n"/>
      <c r="NCU1" s="87" t="n"/>
      <c r="NCV1" s="87" t="n"/>
      <c r="NCW1" s="87" t="n"/>
      <c r="NCX1" s="87" t="n"/>
      <c r="NCY1" s="87" t="n"/>
      <c r="NCZ1" s="87" t="n"/>
      <c r="NDA1" s="87" t="n"/>
      <c r="NDB1" s="87" t="n"/>
      <c r="NDC1" s="87" t="n"/>
      <c r="NDD1" s="87" t="n"/>
      <c r="NDE1" s="87" t="n"/>
      <c r="NDF1" s="87" t="n"/>
      <c r="NDG1" s="87" t="n"/>
      <c r="NDH1" s="87" t="n"/>
      <c r="NDI1" s="87" t="n"/>
      <c r="NDJ1" s="87" t="n"/>
      <c r="NDK1" s="87" t="n"/>
      <c r="NDL1" s="87" t="n"/>
      <c r="NDM1" s="87" t="n"/>
      <c r="NDN1" s="87" t="n"/>
      <c r="NDO1" s="87" t="n"/>
      <c r="NDP1" s="87" t="n"/>
      <c r="NDQ1" s="87" t="n"/>
      <c r="NDR1" s="87" t="n"/>
      <c r="NDS1" s="87" t="n"/>
      <c r="NDT1" s="87" t="n"/>
      <c r="NDU1" s="87" t="n"/>
      <c r="NDV1" s="87" t="n"/>
      <c r="NDW1" s="87" t="n"/>
      <c r="NDX1" s="87" t="n"/>
      <c r="NDY1" s="87" t="n"/>
      <c r="NDZ1" s="87" t="n"/>
      <c r="NEA1" s="87" t="n"/>
      <c r="NEB1" s="87" t="n"/>
      <c r="NEC1" s="87" t="n"/>
      <c r="NED1" s="87" t="n"/>
      <c r="NEE1" s="87" t="n"/>
      <c r="NEF1" s="87" t="n"/>
      <c r="NEG1" s="87" t="n"/>
      <c r="NEH1" s="87" t="n"/>
      <c r="NEI1" s="87" t="n"/>
      <c r="NEJ1" s="87" t="n"/>
      <c r="NEK1" s="87" t="n"/>
      <c r="NEL1" s="87" t="n"/>
      <c r="NEM1" s="87" t="n"/>
      <c r="NEN1" s="87" t="n"/>
      <c r="NEO1" s="87" t="n"/>
      <c r="NEP1" s="87" t="n"/>
      <c r="NEQ1" s="87" t="n"/>
      <c r="NER1" s="87" t="n"/>
      <c r="NES1" s="87" t="n"/>
      <c r="NET1" s="87" t="n"/>
      <c r="NEU1" s="87" t="n"/>
      <c r="NEV1" s="87" t="n"/>
      <c r="NEW1" s="87" t="n"/>
      <c r="NEX1" s="87" t="n"/>
      <c r="NEY1" s="87" t="n"/>
      <c r="NEZ1" s="87" t="n"/>
      <c r="NFA1" s="87" t="n"/>
      <c r="NFB1" s="87" t="n"/>
      <c r="NFC1" s="87" t="n"/>
      <c r="NFD1" s="87" t="n"/>
      <c r="NFE1" s="87" t="n"/>
      <c r="NFF1" s="87" t="n"/>
      <c r="NFG1" s="87" t="n"/>
      <c r="NFH1" s="87" t="n"/>
      <c r="NFI1" s="87" t="n"/>
      <c r="NFJ1" s="87" t="n"/>
      <c r="NFK1" s="87" t="n"/>
      <c r="NFL1" s="87" t="n"/>
      <c r="NFM1" s="87" t="n"/>
      <c r="NFN1" s="87" t="n"/>
      <c r="NFO1" s="87" t="n"/>
      <c r="NFP1" s="87" t="n"/>
      <c r="NFQ1" s="87" t="n"/>
      <c r="NFR1" s="87" t="n"/>
      <c r="NFS1" s="87" t="n"/>
      <c r="NFT1" s="87" t="n"/>
      <c r="NFU1" s="87" t="n"/>
      <c r="NFV1" s="87" t="n"/>
      <c r="NFW1" s="87" t="n"/>
      <c r="NFX1" s="87" t="n"/>
      <c r="NFY1" s="87" t="n"/>
      <c r="NFZ1" s="87" t="n"/>
      <c r="NGA1" s="87" t="n"/>
      <c r="NGB1" s="87" t="n"/>
      <c r="NGC1" s="87" t="n"/>
      <c r="NGD1" s="87" t="n"/>
      <c r="NGE1" s="87" t="n"/>
      <c r="NGF1" s="87" t="n"/>
      <c r="NGG1" s="87" t="n"/>
      <c r="NGH1" s="87" t="n"/>
      <c r="NGI1" s="87" t="n"/>
      <c r="NGJ1" s="87" t="n"/>
      <c r="NGK1" s="87" t="n"/>
      <c r="NGL1" s="87" t="n"/>
      <c r="NGM1" s="87" t="n"/>
      <c r="NGN1" s="87" t="n"/>
      <c r="NGO1" s="87" t="n"/>
      <c r="NGP1" s="87" t="n"/>
      <c r="NGQ1" s="87" t="n"/>
      <c r="NGR1" s="87" t="n"/>
      <c r="NGS1" s="87" t="n"/>
      <c r="NGT1" s="87" t="n"/>
      <c r="NGU1" s="87" t="n"/>
      <c r="NGV1" s="87" t="n"/>
      <c r="NGW1" s="87" t="n"/>
      <c r="NGX1" s="87" t="n"/>
      <c r="NGY1" s="87" t="n"/>
      <c r="NGZ1" s="87" t="n"/>
      <c r="NHA1" s="87" t="n"/>
      <c r="NHB1" s="87" t="n"/>
      <c r="NHC1" s="87" t="n"/>
      <c r="NHD1" s="87" t="n"/>
      <c r="NHE1" s="87" t="n"/>
      <c r="NHF1" s="87" t="n"/>
      <c r="NHG1" s="87" t="n"/>
      <c r="NHH1" s="87" t="n"/>
      <c r="NHI1" s="87" t="n"/>
      <c r="NHJ1" s="87" t="n"/>
      <c r="NHK1" s="87" t="n"/>
      <c r="NHL1" s="87" t="n"/>
      <c r="NHM1" s="87" t="n"/>
      <c r="NHN1" s="87" t="n"/>
      <c r="NHO1" s="87" t="n"/>
      <c r="NHP1" s="87" t="n"/>
      <c r="NHQ1" s="87" t="n"/>
      <c r="NHR1" s="87" t="n"/>
      <c r="NHS1" s="87" t="n"/>
      <c r="NHT1" s="87" t="n"/>
      <c r="NHU1" s="87" t="n"/>
      <c r="NHV1" s="87" t="n"/>
      <c r="NHW1" s="87" t="n"/>
      <c r="NHX1" s="87" t="n"/>
      <c r="NHY1" s="87" t="n"/>
      <c r="NHZ1" s="87" t="n"/>
      <c r="NIA1" s="87" t="n"/>
      <c r="NIB1" s="87" t="n"/>
      <c r="NIC1" s="87" t="n"/>
      <c r="NID1" s="87" t="n"/>
      <c r="NIE1" s="87" t="n"/>
      <c r="NIF1" s="87" t="n"/>
      <c r="NIG1" s="87" t="n"/>
      <c r="NIH1" s="87" t="n"/>
      <c r="NII1" s="87" t="n"/>
      <c r="NIJ1" s="87" t="n"/>
      <c r="NIK1" s="87" t="n"/>
      <c r="NIL1" s="87" t="n"/>
      <c r="NIM1" s="87" t="n"/>
      <c r="NIN1" s="87" t="n"/>
      <c r="NIO1" s="87" t="n"/>
      <c r="NIP1" s="87" t="n"/>
      <c r="NIQ1" s="87" t="n"/>
      <c r="NIR1" s="87" t="n"/>
      <c r="NIS1" s="87" t="n"/>
      <c r="NIT1" s="87" t="n"/>
      <c r="NIU1" s="87" t="n"/>
      <c r="NIV1" s="87" t="n"/>
      <c r="NIW1" s="87" t="n"/>
      <c r="NIX1" s="87" t="n"/>
      <c r="NIY1" s="87" t="n"/>
      <c r="NIZ1" s="87" t="n"/>
      <c r="NJA1" s="87" t="n"/>
      <c r="NJB1" s="87" t="n"/>
      <c r="NJC1" s="87" t="n"/>
      <c r="NJD1" s="87" t="n"/>
      <c r="NJE1" s="87" t="n"/>
      <c r="NJF1" s="87" t="n"/>
      <c r="NJG1" s="87" t="n"/>
      <c r="NJH1" s="87" t="n"/>
      <c r="NJI1" s="87" t="n"/>
      <c r="NJJ1" s="87" t="n"/>
      <c r="NJK1" s="87" t="n"/>
      <c r="NJL1" s="87" t="n"/>
      <c r="NJM1" s="87" t="n"/>
      <c r="NJN1" s="87" t="n"/>
      <c r="NJO1" s="87" t="n"/>
      <c r="NJP1" s="87" t="n"/>
      <c r="NJQ1" s="87" t="n"/>
      <c r="NJR1" s="87" t="n"/>
      <c r="NJS1" s="87" t="n"/>
      <c r="NJT1" s="87" t="n"/>
      <c r="NJU1" s="87" t="n"/>
      <c r="NJV1" s="87" t="n"/>
      <c r="NJW1" s="87" t="n"/>
      <c r="NJX1" s="87" t="n"/>
      <c r="NJY1" s="87" t="n"/>
      <c r="NJZ1" s="87" t="n"/>
      <c r="NKA1" s="87" t="n"/>
      <c r="NKB1" s="87" t="n"/>
      <c r="NKC1" s="87" t="n"/>
      <c r="NKD1" s="87" t="n"/>
      <c r="NKE1" s="87" t="n"/>
      <c r="NKF1" s="87" t="n"/>
      <c r="NKG1" s="87" t="n"/>
      <c r="NKH1" s="87" t="n"/>
      <c r="NKI1" s="87" t="n"/>
      <c r="NKJ1" s="87" t="n"/>
      <c r="NKK1" s="87" t="n"/>
      <c r="NKL1" s="87" t="n"/>
      <c r="NKM1" s="87" t="n"/>
      <c r="NKN1" s="87" t="n"/>
      <c r="NKO1" s="87" t="n"/>
      <c r="NKP1" s="87" t="n"/>
      <c r="NKQ1" s="87" t="n"/>
      <c r="NKR1" s="87" t="n"/>
      <c r="NKS1" s="87" t="n"/>
      <c r="NKT1" s="87" t="n"/>
      <c r="NKU1" s="87" t="n"/>
      <c r="NKV1" s="87" t="n"/>
      <c r="NKW1" s="87" t="n"/>
      <c r="NKX1" s="87" t="n"/>
      <c r="NKY1" s="87" t="n"/>
      <c r="NKZ1" s="87" t="n"/>
      <c r="NLA1" s="87" t="n"/>
      <c r="NLB1" s="87" t="n"/>
      <c r="NLC1" s="87" t="n"/>
      <c r="NLD1" s="87" t="n"/>
      <c r="NLE1" s="87" t="n"/>
      <c r="NLF1" s="87" t="n"/>
      <c r="NLG1" s="87" t="n"/>
      <c r="NLH1" s="87" t="n"/>
      <c r="NLI1" s="87" t="n"/>
      <c r="NLJ1" s="87" t="n"/>
      <c r="NLK1" s="87" t="n"/>
      <c r="NLL1" s="87" t="n"/>
      <c r="NLM1" s="87" t="n"/>
      <c r="NLN1" s="87" t="n"/>
      <c r="NLO1" s="87" t="n"/>
      <c r="NLP1" s="87" t="n"/>
      <c r="NLQ1" s="87" t="n"/>
      <c r="NLR1" s="87" t="n"/>
      <c r="NLS1" s="87" t="n"/>
      <c r="NLT1" s="87" t="n"/>
      <c r="NLU1" s="87" t="n"/>
      <c r="NLV1" s="87" t="n"/>
      <c r="NLW1" s="87" t="n"/>
      <c r="NLX1" s="87" t="n"/>
      <c r="NLY1" s="87" t="n"/>
      <c r="NLZ1" s="87" t="n"/>
      <c r="NMA1" s="87" t="n"/>
      <c r="NMB1" s="87" t="n"/>
      <c r="NMC1" s="87" t="n"/>
      <c r="NMD1" s="87" t="n"/>
      <c r="NME1" s="87" t="n"/>
      <c r="NMF1" s="87" t="n"/>
      <c r="NMG1" s="87" t="n"/>
      <c r="NMH1" s="87" t="n"/>
      <c r="NMI1" s="87" t="n"/>
      <c r="NMJ1" s="87" t="n"/>
      <c r="NMK1" s="87" t="n"/>
      <c r="NML1" s="87" t="n"/>
      <c r="NMM1" s="87" t="n"/>
      <c r="NMN1" s="87" t="n"/>
      <c r="NMO1" s="87" t="n"/>
      <c r="NMP1" s="87" t="n"/>
      <c r="NMQ1" s="87" t="n"/>
      <c r="NMR1" s="87" t="n"/>
      <c r="NMS1" s="87" t="n"/>
      <c r="NMT1" s="87" t="n"/>
      <c r="NMU1" s="87" t="n"/>
      <c r="NMV1" s="87" t="n"/>
      <c r="NMW1" s="87" t="n"/>
      <c r="NMX1" s="87" t="n"/>
      <c r="NMY1" s="87" t="n"/>
      <c r="NMZ1" s="87" t="n"/>
      <c r="NNA1" s="87" t="n"/>
      <c r="NNB1" s="87" t="n"/>
      <c r="NNC1" s="87" t="n"/>
      <c r="NND1" s="87" t="n"/>
      <c r="NNE1" s="87" t="n"/>
      <c r="NNF1" s="87" t="n"/>
      <c r="NNG1" s="87" t="n"/>
      <c r="NNH1" s="87" t="n"/>
      <c r="NNI1" s="87" t="n"/>
      <c r="NNJ1" s="87" t="n"/>
      <c r="NNK1" s="87" t="n"/>
      <c r="NNL1" s="87" t="n"/>
      <c r="NNM1" s="87" t="n"/>
      <c r="NNN1" s="87" t="n"/>
      <c r="NNO1" s="87" t="n"/>
      <c r="NNP1" s="87" t="n"/>
      <c r="NNQ1" s="87" t="n"/>
      <c r="NNR1" s="87" t="n"/>
      <c r="NNS1" s="87" t="n"/>
      <c r="NNT1" s="87" t="n"/>
      <c r="NNU1" s="87" t="n"/>
      <c r="NNV1" s="87" t="n"/>
      <c r="NNW1" s="87" t="n"/>
      <c r="NNX1" s="87" t="n"/>
      <c r="NNY1" s="87" t="n"/>
      <c r="NNZ1" s="87" t="n"/>
      <c r="NOA1" s="87" t="n"/>
      <c r="NOB1" s="87" t="n"/>
      <c r="NOC1" s="87" t="n"/>
      <c r="NOD1" s="87" t="n"/>
      <c r="NOE1" s="87" t="n"/>
      <c r="NOF1" s="87" t="n"/>
      <c r="NOG1" s="87" t="n"/>
      <c r="NOH1" s="87" t="n"/>
      <c r="NOI1" s="87" t="n"/>
      <c r="NOJ1" s="87" t="n"/>
      <c r="NOK1" s="87" t="n"/>
      <c r="NOL1" s="87" t="n"/>
      <c r="NOM1" s="87" t="n"/>
      <c r="NON1" s="87" t="n"/>
      <c r="NOO1" s="87" t="n"/>
      <c r="NOP1" s="87" t="n"/>
      <c r="NOQ1" s="87" t="n"/>
      <c r="NOR1" s="87" t="n"/>
      <c r="NOS1" s="87" t="n"/>
      <c r="NOT1" s="87" t="n"/>
      <c r="NOU1" s="87" t="n"/>
      <c r="NOV1" s="87" t="n"/>
      <c r="NOW1" s="87" t="n"/>
      <c r="NOX1" s="87" t="n"/>
      <c r="NOY1" s="87" t="n"/>
      <c r="NOZ1" s="87" t="n"/>
      <c r="NPA1" s="87" t="n"/>
      <c r="NPB1" s="87" t="n"/>
      <c r="NPC1" s="87" t="n"/>
      <c r="NPD1" s="87" t="n"/>
      <c r="NPE1" s="87" t="n"/>
      <c r="NPF1" s="87" t="n"/>
      <c r="NPG1" s="87" t="n"/>
      <c r="NPH1" s="87" t="n"/>
      <c r="NPI1" s="87" t="n"/>
      <c r="NPJ1" s="87" t="n"/>
      <c r="NPK1" s="87" t="n"/>
      <c r="NPL1" s="87" t="n"/>
      <c r="NPM1" s="87" t="n"/>
      <c r="NPN1" s="87" t="n"/>
      <c r="NPO1" s="87" t="n"/>
      <c r="NPP1" s="87" t="n"/>
      <c r="NPQ1" s="87" t="n"/>
      <c r="NPR1" s="87" t="n"/>
      <c r="NPS1" s="87" t="n"/>
      <c r="NPT1" s="87" t="n"/>
      <c r="NPU1" s="87" t="n"/>
      <c r="NPV1" s="87" t="n"/>
      <c r="NPW1" s="87" t="n"/>
      <c r="NPX1" s="87" t="n"/>
      <c r="NPY1" s="87" t="n"/>
      <c r="NPZ1" s="87" t="n"/>
      <c r="NQA1" s="87" t="n"/>
      <c r="NQB1" s="87" t="n"/>
      <c r="NQC1" s="87" t="n"/>
      <c r="NQD1" s="87" t="n"/>
      <c r="NQE1" s="87" t="n"/>
      <c r="NQF1" s="87" t="n"/>
      <c r="NQG1" s="87" t="n"/>
      <c r="NQH1" s="87" t="n"/>
      <c r="NQI1" s="87" t="n"/>
      <c r="NQJ1" s="87" t="n"/>
      <c r="NQK1" s="87" t="n"/>
      <c r="NQL1" s="87" t="n"/>
      <c r="NQM1" s="87" t="n"/>
      <c r="NQN1" s="87" t="n"/>
      <c r="NQO1" s="87" t="n"/>
      <c r="NQP1" s="87" t="n"/>
      <c r="NQQ1" s="87" t="n"/>
      <c r="NQR1" s="87" t="n"/>
      <c r="NQS1" s="87" t="n"/>
      <c r="NQT1" s="87" t="n"/>
      <c r="NQU1" s="87" t="n"/>
      <c r="NQV1" s="87" t="n"/>
      <c r="NQW1" s="87" t="n"/>
      <c r="NQX1" s="87" t="n"/>
      <c r="NQY1" s="87" t="n"/>
      <c r="NQZ1" s="87" t="n"/>
      <c r="NRA1" s="87" t="n"/>
      <c r="NRB1" s="87" t="n"/>
      <c r="NRC1" s="87" t="n"/>
      <c r="NRD1" s="87" t="n"/>
      <c r="NRE1" s="87" t="n"/>
      <c r="NRF1" s="87" t="n"/>
      <c r="NRG1" s="87" t="n"/>
      <c r="NRH1" s="87" t="n"/>
      <c r="NRI1" s="87" t="n"/>
      <c r="NRJ1" s="87" t="n"/>
      <c r="NRK1" s="87" t="n"/>
      <c r="NRL1" s="87" t="n"/>
      <c r="NRM1" s="87" t="n"/>
      <c r="NRN1" s="87" t="n"/>
      <c r="NRO1" s="87" t="n"/>
      <c r="NRP1" s="87" t="n"/>
      <c r="NRQ1" s="87" t="n"/>
      <c r="NRR1" s="87" t="n"/>
      <c r="NRS1" s="87" t="n"/>
      <c r="NRT1" s="87" t="n"/>
      <c r="NRU1" s="87" t="n"/>
      <c r="NRV1" s="87" t="n"/>
      <c r="NRW1" s="87" t="n"/>
      <c r="NRX1" s="87" t="n"/>
      <c r="NRY1" s="87" t="n"/>
      <c r="NRZ1" s="87" t="n"/>
      <c r="NSA1" s="87" t="n"/>
      <c r="NSB1" s="87" t="n"/>
      <c r="NSC1" s="87" t="n"/>
      <c r="NSD1" s="87" t="n"/>
      <c r="NSE1" s="87" t="n"/>
      <c r="NSF1" s="87" t="n"/>
      <c r="NSG1" s="87" t="n"/>
      <c r="NSH1" s="87" t="n"/>
      <c r="NSI1" s="87" t="n"/>
      <c r="NSJ1" s="87" t="n"/>
      <c r="NSK1" s="87" t="n"/>
      <c r="NSL1" s="87" t="n"/>
      <c r="NSM1" s="87" t="n"/>
      <c r="NSN1" s="87" t="n"/>
      <c r="NSO1" s="87" t="n"/>
      <c r="NSP1" s="87" t="n"/>
      <c r="NSQ1" s="87" t="n"/>
      <c r="NSR1" s="87" t="n"/>
      <c r="NSS1" s="87" t="n"/>
      <c r="NST1" s="87" t="n"/>
      <c r="NSU1" s="87" t="n"/>
      <c r="NSV1" s="87" t="n"/>
      <c r="NSW1" s="87" t="n"/>
      <c r="NSX1" s="87" t="n"/>
      <c r="NSY1" s="87" t="n"/>
      <c r="NSZ1" s="87" t="n"/>
      <c r="NTA1" s="87" t="n"/>
      <c r="NTB1" s="87" t="n"/>
      <c r="NTC1" s="87" t="n"/>
      <c r="NTD1" s="87" t="n"/>
      <c r="NTE1" s="87" t="n"/>
      <c r="NTF1" s="87" t="n"/>
      <c r="NTG1" s="87" t="n"/>
      <c r="NTH1" s="87" t="n"/>
      <c r="NTI1" s="87" t="n"/>
      <c r="NTJ1" s="87" t="n"/>
      <c r="NTK1" s="87" t="n"/>
      <c r="NTL1" s="87" t="n"/>
      <c r="NTM1" s="87" t="n"/>
      <c r="NTN1" s="87" t="n"/>
      <c r="NTO1" s="87" t="n"/>
      <c r="NTP1" s="87" t="n"/>
      <c r="NTQ1" s="87" t="n"/>
      <c r="NTR1" s="87" t="n"/>
      <c r="NTS1" s="87" t="n"/>
      <c r="NTT1" s="87" t="n"/>
      <c r="NTU1" s="87" t="n"/>
      <c r="NTV1" s="87" t="n"/>
      <c r="NTW1" s="87" t="n"/>
      <c r="NTX1" s="87" t="n"/>
      <c r="NTY1" s="87" t="n"/>
      <c r="NTZ1" s="87" t="n"/>
      <c r="NUA1" s="87" t="n"/>
      <c r="NUB1" s="87" t="n"/>
      <c r="NUC1" s="87" t="n"/>
      <c r="NUD1" s="87" t="n"/>
      <c r="NUE1" s="87" t="n"/>
      <c r="NUF1" s="87" t="n"/>
      <c r="NUG1" s="87" t="n"/>
      <c r="NUH1" s="87" t="n"/>
      <c r="NUI1" s="87" t="n"/>
      <c r="NUJ1" s="87" t="n"/>
      <c r="NUK1" s="87" t="n"/>
      <c r="NUL1" s="87" t="n"/>
      <c r="NUM1" s="87" t="n"/>
      <c r="NUN1" s="87" t="n"/>
      <c r="NUO1" s="87" t="n"/>
      <c r="NUP1" s="87" t="n"/>
      <c r="NUQ1" s="87" t="n"/>
      <c r="NUR1" s="87" t="n"/>
      <c r="NUS1" s="87" t="n"/>
      <c r="NUT1" s="87" t="n"/>
      <c r="NUU1" s="87" t="n"/>
      <c r="NUV1" s="87" t="n"/>
      <c r="NUW1" s="87" t="n"/>
      <c r="NUX1" s="87" t="n"/>
      <c r="NUY1" s="87" t="n"/>
      <c r="NUZ1" s="87" t="n"/>
      <c r="NVA1" s="87" t="n"/>
      <c r="NVB1" s="87" t="n"/>
      <c r="NVC1" s="87" t="n"/>
      <c r="NVD1" s="87" t="n"/>
      <c r="NVE1" s="87" t="n"/>
      <c r="NVF1" s="87" t="n"/>
      <c r="NVG1" s="87" t="n"/>
      <c r="NVH1" s="87" t="n"/>
      <c r="NVI1" s="87" t="n"/>
      <c r="NVJ1" s="87" t="n"/>
      <c r="NVK1" s="87" t="n"/>
      <c r="NVL1" s="87" t="n"/>
      <c r="NVM1" s="87" t="n"/>
      <c r="NVN1" s="87" t="n"/>
      <c r="NVO1" s="87" t="n"/>
      <c r="NVP1" s="87" t="n"/>
      <c r="NVQ1" s="87" t="n"/>
      <c r="NVR1" s="87" t="n"/>
      <c r="NVS1" s="87" t="n"/>
      <c r="NVT1" s="87" t="n"/>
      <c r="NVU1" s="87" t="n"/>
      <c r="NVV1" s="87" t="n"/>
      <c r="NVW1" s="87" t="n"/>
      <c r="NVX1" s="87" t="n"/>
      <c r="NVY1" s="87" t="n"/>
      <c r="NVZ1" s="87" t="n"/>
      <c r="NWA1" s="87" t="n"/>
      <c r="NWB1" s="87" t="n"/>
      <c r="NWC1" s="87" t="n"/>
      <c r="NWD1" s="87" t="n"/>
      <c r="NWE1" s="87" t="n"/>
      <c r="NWF1" s="87" t="n"/>
      <c r="NWG1" s="87" t="n"/>
      <c r="NWH1" s="87" t="n"/>
      <c r="NWI1" s="87" t="n"/>
      <c r="NWJ1" s="87" t="n"/>
      <c r="NWK1" s="87" t="n"/>
      <c r="NWL1" s="87" t="n"/>
      <c r="NWM1" s="87" t="n"/>
      <c r="NWN1" s="87" t="n"/>
      <c r="NWO1" s="87" t="n"/>
      <c r="NWP1" s="87" t="n"/>
      <c r="NWQ1" s="87" t="n"/>
      <c r="NWR1" s="87" t="n"/>
      <c r="NWS1" s="87" t="n"/>
      <c r="NWT1" s="87" t="n"/>
      <c r="NWU1" s="87" t="n"/>
      <c r="NWV1" s="87" t="n"/>
      <c r="NWW1" s="87" t="n"/>
      <c r="NWX1" s="87" t="n"/>
      <c r="NWY1" s="87" t="n"/>
      <c r="NWZ1" s="87" t="n"/>
      <c r="NXA1" s="87" t="n"/>
      <c r="NXB1" s="87" t="n"/>
      <c r="NXC1" s="87" t="n"/>
      <c r="NXD1" s="87" t="n"/>
      <c r="NXE1" s="87" t="n"/>
      <c r="NXF1" s="87" t="n"/>
      <c r="NXG1" s="87" t="n"/>
      <c r="NXH1" s="87" t="n"/>
      <c r="NXI1" s="87" t="n"/>
      <c r="NXJ1" s="87" t="n"/>
      <c r="NXK1" s="87" t="n"/>
      <c r="NXL1" s="87" t="n"/>
      <c r="NXM1" s="87" t="n"/>
      <c r="NXN1" s="87" t="n"/>
      <c r="NXO1" s="87" t="n"/>
      <c r="NXP1" s="87" t="n"/>
      <c r="NXQ1" s="87" t="n"/>
      <c r="NXR1" s="87" t="n"/>
      <c r="NXS1" s="87" t="n"/>
      <c r="NXT1" s="87" t="n"/>
      <c r="NXU1" s="87" t="n"/>
      <c r="NXV1" s="87" t="n"/>
      <c r="NXW1" s="87" t="n"/>
      <c r="NXX1" s="87" t="n"/>
      <c r="NXY1" s="87" t="n"/>
      <c r="NXZ1" s="87" t="n"/>
      <c r="NYA1" s="87" t="n"/>
      <c r="NYB1" s="87" t="n"/>
      <c r="NYC1" s="87" t="n"/>
      <c r="NYD1" s="87" t="n"/>
      <c r="NYE1" s="87" t="n"/>
      <c r="NYF1" s="87" t="n"/>
      <c r="NYG1" s="87" t="n"/>
      <c r="NYH1" s="87" t="n"/>
      <c r="NYI1" s="87" t="n"/>
      <c r="NYJ1" s="87" t="n"/>
      <c r="NYK1" s="87" t="n"/>
      <c r="NYL1" s="87" t="n"/>
      <c r="NYM1" s="87" t="n"/>
      <c r="NYN1" s="87" t="n"/>
      <c r="NYO1" s="87" t="n"/>
      <c r="NYP1" s="87" t="n"/>
      <c r="NYQ1" s="87" t="n"/>
      <c r="NYR1" s="87" t="n"/>
      <c r="NYS1" s="87" t="n"/>
      <c r="NYT1" s="87" t="n"/>
      <c r="NYU1" s="87" t="n"/>
      <c r="NYV1" s="87" t="n"/>
      <c r="NYW1" s="87" t="n"/>
      <c r="NYX1" s="87" t="n"/>
      <c r="NYY1" s="87" t="n"/>
      <c r="NYZ1" s="87" t="n"/>
      <c r="NZA1" s="87" t="n"/>
      <c r="NZB1" s="87" t="n"/>
      <c r="NZC1" s="87" t="n"/>
      <c r="NZD1" s="87" t="n"/>
      <c r="NZE1" s="87" t="n"/>
      <c r="NZF1" s="87" t="n"/>
      <c r="NZG1" s="87" t="n"/>
      <c r="NZH1" s="87" t="n"/>
      <c r="NZI1" s="87" t="n"/>
      <c r="NZJ1" s="87" t="n"/>
      <c r="NZK1" s="87" t="n"/>
      <c r="NZL1" s="87" t="n"/>
      <c r="NZM1" s="87" t="n"/>
      <c r="NZN1" s="87" t="n"/>
      <c r="NZO1" s="87" t="n"/>
      <c r="NZP1" s="87" t="n"/>
      <c r="NZQ1" s="87" t="n"/>
      <c r="NZR1" s="87" t="n"/>
      <c r="NZS1" s="87" t="n"/>
      <c r="NZT1" s="87" t="n"/>
      <c r="NZU1" s="87" t="n"/>
      <c r="NZV1" s="87" t="n"/>
      <c r="NZW1" s="87" t="n"/>
      <c r="NZX1" s="87" t="n"/>
      <c r="NZY1" s="87" t="n"/>
      <c r="NZZ1" s="87" t="n"/>
      <c r="OAA1" s="87" t="n"/>
      <c r="OAB1" s="87" t="n"/>
      <c r="OAC1" s="87" t="n"/>
      <c r="OAD1" s="87" t="n"/>
      <c r="OAE1" s="87" t="n"/>
      <c r="OAF1" s="87" t="n"/>
      <c r="OAG1" s="87" t="n"/>
      <c r="OAH1" s="87" t="n"/>
      <c r="OAI1" s="87" t="n"/>
      <c r="OAJ1" s="87" t="n"/>
      <c r="OAK1" s="87" t="n"/>
      <c r="OAL1" s="87" t="n"/>
      <c r="OAM1" s="87" t="n"/>
      <c r="OAN1" s="87" t="n"/>
      <c r="OAO1" s="87" t="n"/>
      <c r="OAP1" s="87" t="n"/>
      <c r="OAQ1" s="87" t="n"/>
      <c r="OAR1" s="87" t="n"/>
      <c r="OAS1" s="87" t="n"/>
      <c r="OAT1" s="87" t="n"/>
      <c r="OAU1" s="87" t="n"/>
      <c r="OAV1" s="87" t="n"/>
      <c r="OAW1" s="87" t="n"/>
      <c r="OAX1" s="87" t="n"/>
      <c r="OAY1" s="87" t="n"/>
      <c r="OAZ1" s="87" t="n"/>
      <c r="OBA1" s="87" t="n"/>
      <c r="OBB1" s="87" t="n"/>
      <c r="OBC1" s="87" t="n"/>
      <c r="OBD1" s="87" t="n"/>
      <c r="OBE1" s="87" t="n"/>
      <c r="OBF1" s="87" t="n"/>
      <c r="OBG1" s="87" t="n"/>
      <c r="OBH1" s="87" t="n"/>
      <c r="OBI1" s="87" t="n"/>
      <c r="OBJ1" s="87" t="n"/>
      <c r="OBK1" s="87" t="n"/>
      <c r="OBL1" s="87" t="n"/>
      <c r="OBM1" s="87" t="n"/>
      <c r="OBN1" s="87" t="n"/>
      <c r="OBO1" s="87" t="n"/>
      <c r="OBP1" s="87" t="n"/>
      <c r="OBQ1" s="87" t="n"/>
      <c r="OBR1" s="87" t="n"/>
      <c r="OBS1" s="87" t="n"/>
      <c r="OBT1" s="87" t="n"/>
      <c r="OBU1" s="87" t="n"/>
      <c r="OBV1" s="87" t="n"/>
      <c r="OBW1" s="87" t="n"/>
      <c r="OBX1" s="87" t="n"/>
      <c r="OBY1" s="87" t="n"/>
      <c r="OBZ1" s="87" t="n"/>
      <c r="OCA1" s="87" t="n"/>
      <c r="OCB1" s="87" t="n"/>
      <c r="OCC1" s="87" t="n"/>
      <c r="OCD1" s="87" t="n"/>
      <c r="OCE1" s="87" t="n"/>
      <c r="OCF1" s="87" t="n"/>
      <c r="OCG1" s="87" t="n"/>
      <c r="OCH1" s="87" t="n"/>
      <c r="OCI1" s="87" t="n"/>
      <c r="OCJ1" s="87" t="n"/>
      <c r="OCK1" s="87" t="n"/>
      <c r="OCL1" s="87" t="n"/>
      <c r="OCM1" s="87" t="n"/>
      <c r="OCN1" s="87" t="n"/>
      <c r="OCO1" s="87" t="n"/>
      <c r="OCP1" s="87" t="n"/>
      <c r="OCQ1" s="87" t="n"/>
      <c r="OCR1" s="87" t="n"/>
      <c r="OCS1" s="87" t="n"/>
      <c r="OCT1" s="87" t="n"/>
      <c r="OCU1" s="87" t="n"/>
      <c r="OCV1" s="87" t="n"/>
      <c r="OCW1" s="87" t="n"/>
      <c r="OCX1" s="87" t="n"/>
      <c r="OCY1" s="87" t="n"/>
      <c r="OCZ1" s="87" t="n"/>
      <c r="ODA1" s="87" t="n"/>
      <c r="ODB1" s="87" t="n"/>
      <c r="ODC1" s="87" t="n"/>
      <c r="ODD1" s="87" t="n"/>
      <c r="ODE1" s="87" t="n"/>
      <c r="ODF1" s="87" t="n"/>
      <c r="ODG1" s="87" t="n"/>
      <c r="ODH1" s="87" t="n"/>
      <c r="ODI1" s="87" t="n"/>
      <c r="ODJ1" s="87" t="n"/>
      <c r="ODK1" s="87" t="n"/>
      <c r="ODL1" s="87" t="n"/>
      <c r="ODM1" s="87" t="n"/>
      <c r="ODN1" s="87" t="n"/>
      <c r="ODO1" s="87" t="n"/>
      <c r="ODP1" s="87" t="n"/>
      <c r="ODQ1" s="87" t="n"/>
      <c r="ODR1" s="87" t="n"/>
      <c r="ODS1" s="87" t="n"/>
      <c r="ODT1" s="87" t="n"/>
      <c r="ODU1" s="87" t="n"/>
      <c r="ODV1" s="87" t="n"/>
      <c r="ODW1" s="87" t="n"/>
      <c r="ODX1" s="87" t="n"/>
      <c r="ODY1" s="87" t="n"/>
      <c r="ODZ1" s="87" t="n"/>
      <c r="OEA1" s="87" t="n"/>
      <c r="OEB1" s="87" t="n"/>
      <c r="OEC1" s="87" t="n"/>
      <c r="OED1" s="87" t="n"/>
      <c r="OEE1" s="87" t="n"/>
      <c r="OEF1" s="87" t="n"/>
      <c r="OEG1" s="87" t="n"/>
      <c r="OEH1" s="87" t="n"/>
      <c r="OEI1" s="87" t="n"/>
      <c r="OEJ1" s="87" t="n"/>
      <c r="OEK1" s="87" t="n"/>
      <c r="OEL1" s="87" t="n"/>
      <c r="OEM1" s="87" t="n"/>
      <c r="OEN1" s="87" t="n"/>
      <c r="OEO1" s="87" t="n"/>
      <c r="OEP1" s="87" t="n"/>
      <c r="OEQ1" s="87" t="n"/>
      <c r="OER1" s="87" t="n"/>
      <c r="OES1" s="87" t="n"/>
      <c r="OET1" s="87" t="n"/>
      <c r="OEU1" s="87" t="n"/>
      <c r="OEV1" s="87" t="n"/>
      <c r="OEW1" s="87" t="n"/>
      <c r="OEX1" s="87" t="n"/>
      <c r="OEY1" s="87" t="n"/>
      <c r="OEZ1" s="87" t="n"/>
      <c r="OFA1" s="87" t="n"/>
      <c r="OFB1" s="87" t="n"/>
      <c r="OFC1" s="87" t="n"/>
      <c r="OFD1" s="87" t="n"/>
      <c r="OFE1" s="87" t="n"/>
      <c r="OFF1" s="87" t="n"/>
      <c r="OFG1" s="87" t="n"/>
      <c r="OFH1" s="87" t="n"/>
      <c r="OFI1" s="87" t="n"/>
      <c r="OFJ1" s="87" t="n"/>
      <c r="OFK1" s="87" t="n"/>
      <c r="OFL1" s="87" t="n"/>
      <c r="OFM1" s="87" t="n"/>
      <c r="OFN1" s="87" t="n"/>
      <c r="OFO1" s="87" t="n"/>
      <c r="OFP1" s="87" t="n"/>
      <c r="OFQ1" s="87" t="n"/>
      <c r="OFR1" s="87" t="n"/>
      <c r="OFS1" s="87" t="n"/>
      <c r="OFT1" s="87" t="n"/>
      <c r="OFU1" s="87" t="n"/>
      <c r="OFV1" s="87" t="n"/>
      <c r="OFW1" s="87" t="n"/>
      <c r="OFX1" s="87" t="n"/>
      <c r="OFY1" s="87" t="n"/>
      <c r="OFZ1" s="87" t="n"/>
      <c r="OGA1" s="87" t="n"/>
      <c r="OGB1" s="87" t="n"/>
      <c r="OGC1" s="87" t="n"/>
      <c r="OGD1" s="87" t="n"/>
      <c r="OGE1" s="87" t="n"/>
      <c r="OGF1" s="87" t="n"/>
      <c r="OGG1" s="87" t="n"/>
      <c r="OGH1" s="87" t="n"/>
      <c r="OGI1" s="87" t="n"/>
      <c r="OGJ1" s="87" t="n"/>
      <c r="OGK1" s="87" t="n"/>
      <c r="OGL1" s="87" t="n"/>
      <c r="OGM1" s="87" t="n"/>
      <c r="OGN1" s="87" t="n"/>
      <c r="OGO1" s="87" t="n"/>
      <c r="OGP1" s="87" t="n"/>
      <c r="OGQ1" s="87" t="n"/>
      <c r="OGR1" s="87" t="n"/>
      <c r="OGS1" s="87" t="n"/>
      <c r="OGT1" s="87" t="n"/>
      <c r="OGU1" s="87" t="n"/>
      <c r="OGV1" s="87" t="n"/>
      <c r="OGW1" s="87" t="n"/>
      <c r="OGX1" s="87" t="n"/>
      <c r="OGY1" s="87" t="n"/>
      <c r="OGZ1" s="87" t="n"/>
      <c r="OHA1" s="87" t="n"/>
      <c r="OHB1" s="87" t="n"/>
      <c r="OHC1" s="87" t="n"/>
      <c r="OHD1" s="87" t="n"/>
      <c r="OHE1" s="87" t="n"/>
      <c r="OHF1" s="87" t="n"/>
      <c r="OHG1" s="87" t="n"/>
      <c r="OHH1" s="87" t="n"/>
      <c r="OHI1" s="87" t="n"/>
      <c r="OHJ1" s="87" t="n"/>
      <c r="OHK1" s="87" t="n"/>
      <c r="OHL1" s="87" t="n"/>
      <c r="OHM1" s="87" t="n"/>
      <c r="OHN1" s="87" t="n"/>
      <c r="OHO1" s="87" t="n"/>
      <c r="OHP1" s="87" t="n"/>
      <c r="OHQ1" s="87" t="n"/>
      <c r="OHR1" s="87" t="n"/>
      <c r="OHS1" s="87" t="n"/>
      <c r="OHT1" s="87" t="n"/>
      <c r="OHU1" s="87" t="n"/>
      <c r="OHV1" s="87" t="n"/>
      <c r="OHW1" s="87" t="n"/>
      <c r="OHX1" s="87" t="n"/>
      <c r="OHY1" s="87" t="n"/>
      <c r="OHZ1" s="87" t="n"/>
      <c r="OIA1" s="87" t="n"/>
      <c r="OIB1" s="87" t="n"/>
      <c r="OIC1" s="87" t="n"/>
      <c r="OID1" s="87" t="n"/>
      <c r="OIE1" s="87" t="n"/>
      <c r="OIF1" s="87" t="n"/>
      <c r="OIG1" s="87" t="n"/>
      <c r="OIH1" s="87" t="n"/>
      <c r="OII1" s="87" t="n"/>
      <c r="OIJ1" s="87" t="n"/>
      <c r="OIK1" s="87" t="n"/>
      <c r="OIL1" s="87" t="n"/>
      <c r="OIM1" s="87" t="n"/>
      <c r="OIN1" s="87" t="n"/>
      <c r="OIO1" s="87" t="n"/>
      <c r="OIP1" s="87" t="n"/>
      <c r="OIQ1" s="87" t="n"/>
      <c r="OIR1" s="87" t="n"/>
      <c r="OIS1" s="87" t="n"/>
      <c r="OIT1" s="87" t="n"/>
      <c r="OIU1" s="87" t="n"/>
      <c r="OIV1" s="87" t="n"/>
      <c r="OIW1" s="87" t="n"/>
      <c r="OIX1" s="87" t="n"/>
      <c r="OIY1" s="87" t="n"/>
      <c r="OIZ1" s="87" t="n"/>
      <c r="OJA1" s="87" t="n"/>
      <c r="OJB1" s="87" t="n"/>
      <c r="OJC1" s="87" t="n"/>
      <c r="OJD1" s="87" t="n"/>
      <c r="OJE1" s="87" t="n"/>
      <c r="OJF1" s="87" t="n"/>
      <c r="OJG1" s="87" t="n"/>
      <c r="OJH1" s="87" t="n"/>
      <c r="OJI1" s="87" t="n"/>
      <c r="OJJ1" s="87" t="n"/>
      <c r="OJK1" s="87" t="n"/>
      <c r="OJL1" s="87" t="n"/>
      <c r="OJM1" s="87" t="n"/>
      <c r="OJN1" s="87" t="n"/>
      <c r="OJO1" s="87" t="n"/>
      <c r="OJP1" s="87" t="n"/>
      <c r="OJQ1" s="87" t="n"/>
      <c r="OJR1" s="87" t="n"/>
      <c r="OJS1" s="87" t="n"/>
      <c r="OJT1" s="87" t="n"/>
      <c r="OJU1" s="87" t="n"/>
      <c r="OJV1" s="87" t="n"/>
      <c r="OJW1" s="87" t="n"/>
      <c r="OJX1" s="87" t="n"/>
      <c r="OJY1" s="87" t="n"/>
      <c r="OJZ1" s="87" t="n"/>
      <c r="OKA1" s="87" t="n"/>
      <c r="OKB1" s="87" t="n"/>
      <c r="OKC1" s="87" t="n"/>
      <c r="OKD1" s="87" t="n"/>
      <c r="OKE1" s="87" t="n"/>
      <c r="OKF1" s="87" t="n"/>
      <c r="OKG1" s="87" t="n"/>
      <c r="OKH1" s="87" t="n"/>
      <c r="OKI1" s="87" t="n"/>
      <c r="OKJ1" s="87" t="n"/>
      <c r="OKK1" s="87" t="n"/>
      <c r="OKL1" s="87" t="n"/>
      <c r="OKM1" s="87" t="n"/>
      <c r="OKN1" s="87" t="n"/>
      <c r="OKO1" s="87" t="n"/>
      <c r="OKP1" s="87" t="n"/>
      <c r="OKQ1" s="87" t="n"/>
      <c r="OKR1" s="87" t="n"/>
      <c r="OKS1" s="87" t="n"/>
      <c r="OKT1" s="87" t="n"/>
      <c r="OKU1" s="87" t="n"/>
      <c r="OKV1" s="87" t="n"/>
      <c r="OKW1" s="87" t="n"/>
      <c r="OKX1" s="87" t="n"/>
      <c r="OKY1" s="87" t="n"/>
      <c r="OKZ1" s="87" t="n"/>
      <c r="OLA1" s="87" t="n"/>
      <c r="OLB1" s="87" t="n"/>
      <c r="OLC1" s="87" t="n"/>
      <c r="OLD1" s="87" t="n"/>
      <c r="OLE1" s="87" t="n"/>
      <c r="OLF1" s="87" t="n"/>
      <c r="OLG1" s="87" t="n"/>
      <c r="OLH1" s="87" t="n"/>
      <c r="OLI1" s="87" t="n"/>
      <c r="OLJ1" s="87" t="n"/>
      <c r="OLK1" s="87" t="n"/>
      <c r="OLL1" s="87" t="n"/>
      <c r="OLM1" s="87" t="n"/>
      <c r="OLN1" s="87" t="n"/>
      <c r="OLO1" s="87" t="n"/>
      <c r="OLP1" s="87" t="n"/>
      <c r="OLQ1" s="87" t="n"/>
      <c r="OLR1" s="87" t="n"/>
      <c r="OLS1" s="87" t="n"/>
      <c r="OLT1" s="87" t="n"/>
      <c r="OLU1" s="87" t="n"/>
      <c r="OLV1" s="87" t="n"/>
      <c r="OLW1" s="87" t="n"/>
      <c r="OLX1" s="87" t="n"/>
      <c r="OLY1" s="87" t="n"/>
      <c r="OLZ1" s="87" t="n"/>
      <c r="OMA1" s="87" t="n"/>
      <c r="OMB1" s="87" t="n"/>
      <c r="OMC1" s="87" t="n"/>
      <c r="OMD1" s="87" t="n"/>
      <c r="OME1" s="87" t="n"/>
      <c r="OMF1" s="87" t="n"/>
      <c r="OMG1" s="87" t="n"/>
      <c r="OMH1" s="87" t="n"/>
      <c r="OMI1" s="87" t="n"/>
      <c r="OMJ1" s="87" t="n"/>
      <c r="OMK1" s="87" t="n"/>
      <c r="OML1" s="87" t="n"/>
      <c r="OMM1" s="87" t="n"/>
      <c r="OMN1" s="87" t="n"/>
      <c r="OMO1" s="87" t="n"/>
      <c r="OMP1" s="87" t="n"/>
      <c r="OMQ1" s="87" t="n"/>
      <c r="OMR1" s="87" t="n"/>
      <c r="OMS1" s="87" t="n"/>
      <c r="OMT1" s="87" t="n"/>
      <c r="OMU1" s="87" t="n"/>
      <c r="OMV1" s="87" t="n"/>
      <c r="OMW1" s="87" t="n"/>
      <c r="OMX1" s="87" t="n"/>
      <c r="OMY1" s="87" t="n"/>
      <c r="OMZ1" s="87" t="n"/>
      <c r="ONA1" s="87" t="n"/>
      <c r="ONB1" s="87" t="n"/>
      <c r="ONC1" s="87" t="n"/>
      <c r="OND1" s="87" t="n"/>
      <c r="ONE1" s="87" t="n"/>
      <c r="ONF1" s="87" t="n"/>
      <c r="ONG1" s="87" t="n"/>
      <c r="ONH1" s="87" t="n"/>
      <c r="ONI1" s="87" t="n"/>
      <c r="ONJ1" s="87" t="n"/>
      <c r="ONK1" s="87" t="n"/>
      <c r="ONL1" s="87" t="n"/>
      <c r="ONM1" s="87" t="n"/>
      <c r="ONN1" s="87" t="n"/>
      <c r="ONO1" s="87" t="n"/>
      <c r="ONP1" s="87" t="n"/>
      <c r="ONQ1" s="87" t="n"/>
      <c r="ONR1" s="87" t="n"/>
      <c r="ONS1" s="87" t="n"/>
      <c r="ONT1" s="87" t="n"/>
      <c r="ONU1" s="87" t="n"/>
      <c r="ONV1" s="87" t="n"/>
      <c r="ONW1" s="87" t="n"/>
      <c r="ONX1" s="87" t="n"/>
      <c r="ONY1" s="87" t="n"/>
      <c r="ONZ1" s="87" t="n"/>
      <c r="OOA1" s="87" t="n"/>
      <c r="OOB1" s="87" t="n"/>
      <c r="OOC1" s="87" t="n"/>
      <c r="OOD1" s="87" t="n"/>
      <c r="OOE1" s="87" t="n"/>
      <c r="OOF1" s="87" t="n"/>
      <c r="OOG1" s="87" t="n"/>
      <c r="OOH1" s="87" t="n"/>
      <c r="OOI1" s="87" t="n"/>
      <c r="OOJ1" s="87" t="n"/>
      <c r="OOK1" s="87" t="n"/>
      <c r="OOL1" s="87" t="n"/>
      <c r="OOM1" s="87" t="n"/>
      <c r="OON1" s="87" t="n"/>
      <c r="OOO1" s="87" t="n"/>
      <c r="OOP1" s="87" t="n"/>
      <c r="OOQ1" s="87" t="n"/>
      <c r="OOR1" s="87" t="n"/>
      <c r="OOS1" s="87" t="n"/>
      <c r="OOT1" s="87" t="n"/>
      <c r="OOU1" s="87" t="n"/>
      <c r="OOV1" s="87" t="n"/>
      <c r="OOW1" s="87" t="n"/>
      <c r="OOX1" s="87" t="n"/>
      <c r="OOY1" s="87" t="n"/>
      <c r="OOZ1" s="87" t="n"/>
      <c r="OPA1" s="87" t="n"/>
      <c r="OPB1" s="87" t="n"/>
      <c r="OPC1" s="87" t="n"/>
      <c r="OPD1" s="87" t="n"/>
      <c r="OPE1" s="87" t="n"/>
      <c r="OPF1" s="87" t="n"/>
      <c r="OPG1" s="87" t="n"/>
      <c r="OPH1" s="87" t="n"/>
      <c r="OPI1" s="87" t="n"/>
      <c r="OPJ1" s="87" t="n"/>
      <c r="OPK1" s="87" t="n"/>
      <c r="OPL1" s="87" t="n"/>
      <c r="OPM1" s="87" t="n"/>
      <c r="OPN1" s="87" t="n"/>
      <c r="OPO1" s="87" t="n"/>
      <c r="OPP1" s="87" t="n"/>
      <c r="OPQ1" s="87" t="n"/>
      <c r="OPR1" s="87" t="n"/>
      <c r="OPS1" s="87" t="n"/>
      <c r="OPT1" s="87" t="n"/>
      <c r="OPU1" s="87" t="n"/>
      <c r="OPV1" s="87" t="n"/>
      <c r="OPW1" s="87" t="n"/>
      <c r="OPX1" s="87" t="n"/>
      <c r="OPY1" s="87" t="n"/>
      <c r="OPZ1" s="87" t="n"/>
      <c r="OQA1" s="87" t="n"/>
      <c r="OQB1" s="87" t="n"/>
      <c r="OQC1" s="87" t="n"/>
      <c r="OQD1" s="87" t="n"/>
      <c r="OQE1" s="87" t="n"/>
      <c r="OQF1" s="87" t="n"/>
      <c r="OQG1" s="87" t="n"/>
      <c r="OQH1" s="87" t="n"/>
      <c r="OQI1" s="87" t="n"/>
      <c r="OQJ1" s="87" t="n"/>
      <c r="OQK1" s="87" t="n"/>
      <c r="OQL1" s="87" t="n"/>
      <c r="OQM1" s="87" t="n"/>
      <c r="OQN1" s="87" t="n"/>
      <c r="OQO1" s="87" t="n"/>
      <c r="OQP1" s="87" t="n"/>
      <c r="OQQ1" s="87" t="n"/>
      <c r="OQR1" s="87" t="n"/>
      <c r="OQS1" s="87" t="n"/>
      <c r="OQT1" s="87" t="n"/>
      <c r="OQU1" s="87" t="n"/>
      <c r="OQV1" s="87" t="n"/>
      <c r="OQW1" s="87" t="n"/>
      <c r="OQX1" s="87" t="n"/>
      <c r="OQY1" s="87" t="n"/>
      <c r="OQZ1" s="87" t="n"/>
      <c r="ORA1" s="87" t="n"/>
      <c r="ORB1" s="87" t="n"/>
      <c r="ORC1" s="87" t="n"/>
      <c r="ORD1" s="87" t="n"/>
      <c r="ORE1" s="87" t="n"/>
      <c r="ORF1" s="87" t="n"/>
      <c r="ORG1" s="87" t="n"/>
      <c r="ORH1" s="87" t="n"/>
      <c r="ORI1" s="87" t="n"/>
      <c r="ORJ1" s="87" t="n"/>
      <c r="ORK1" s="87" t="n"/>
      <c r="ORL1" s="87" t="n"/>
      <c r="ORM1" s="87" t="n"/>
      <c r="ORN1" s="87" t="n"/>
      <c r="ORO1" s="87" t="n"/>
      <c r="ORP1" s="87" t="n"/>
      <c r="ORQ1" s="87" t="n"/>
      <c r="ORR1" s="87" t="n"/>
      <c r="ORS1" s="87" t="n"/>
      <c r="ORT1" s="87" t="n"/>
      <c r="ORU1" s="87" t="n"/>
      <c r="ORV1" s="87" t="n"/>
      <c r="ORW1" s="87" t="n"/>
      <c r="ORX1" s="87" t="n"/>
      <c r="ORY1" s="87" t="n"/>
      <c r="ORZ1" s="87" t="n"/>
      <c r="OSA1" s="87" t="n"/>
      <c r="OSB1" s="87" t="n"/>
      <c r="OSC1" s="87" t="n"/>
      <c r="OSD1" s="87" t="n"/>
      <c r="OSE1" s="87" t="n"/>
      <c r="OSF1" s="87" t="n"/>
      <c r="OSG1" s="87" t="n"/>
      <c r="OSH1" s="87" t="n"/>
      <c r="OSI1" s="87" t="n"/>
      <c r="OSJ1" s="87" t="n"/>
      <c r="OSK1" s="87" t="n"/>
      <c r="OSL1" s="87" t="n"/>
      <c r="OSM1" s="87" t="n"/>
      <c r="OSN1" s="87" t="n"/>
      <c r="OSO1" s="87" t="n"/>
      <c r="OSP1" s="87" t="n"/>
      <c r="OSQ1" s="87" t="n"/>
      <c r="OSR1" s="87" t="n"/>
      <c r="OSS1" s="87" t="n"/>
      <c r="OST1" s="87" t="n"/>
      <c r="OSU1" s="87" t="n"/>
      <c r="OSV1" s="87" t="n"/>
      <c r="OSW1" s="87" t="n"/>
      <c r="OSX1" s="87" t="n"/>
      <c r="OSY1" s="87" t="n"/>
      <c r="OSZ1" s="87" t="n"/>
      <c r="OTA1" s="87" t="n"/>
      <c r="OTB1" s="87" t="n"/>
      <c r="OTC1" s="87" t="n"/>
      <c r="OTD1" s="87" t="n"/>
      <c r="OTE1" s="87" t="n"/>
      <c r="OTF1" s="87" t="n"/>
      <c r="OTG1" s="87" t="n"/>
      <c r="OTH1" s="87" t="n"/>
      <c r="OTI1" s="87" t="n"/>
      <c r="OTJ1" s="87" t="n"/>
      <c r="OTK1" s="87" t="n"/>
      <c r="OTL1" s="87" t="n"/>
      <c r="OTM1" s="87" t="n"/>
      <c r="OTN1" s="87" t="n"/>
      <c r="OTO1" s="87" t="n"/>
      <c r="OTP1" s="87" t="n"/>
      <c r="OTQ1" s="87" t="n"/>
      <c r="OTR1" s="87" t="n"/>
      <c r="OTS1" s="87" t="n"/>
      <c r="OTT1" s="87" t="n"/>
      <c r="OTU1" s="87" t="n"/>
      <c r="OTV1" s="87" t="n"/>
      <c r="OTW1" s="87" t="n"/>
      <c r="OTX1" s="87" t="n"/>
      <c r="OTY1" s="87" t="n"/>
      <c r="OTZ1" s="87" t="n"/>
      <c r="OUA1" s="87" t="n"/>
      <c r="OUB1" s="87" t="n"/>
      <c r="OUC1" s="87" t="n"/>
      <c r="OUD1" s="87" t="n"/>
      <c r="OUE1" s="87" t="n"/>
      <c r="OUF1" s="87" t="n"/>
      <c r="OUG1" s="87" t="n"/>
      <c r="OUH1" s="87" t="n"/>
      <c r="OUI1" s="87" t="n"/>
      <c r="OUJ1" s="87" t="n"/>
      <c r="OUK1" s="87" t="n"/>
      <c r="OUL1" s="87" t="n"/>
      <c r="OUM1" s="87" t="n"/>
      <c r="OUN1" s="87" t="n"/>
      <c r="OUO1" s="87" t="n"/>
      <c r="OUP1" s="87" t="n"/>
      <c r="OUQ1" s="87" t="n"/>
      <c r="OUR1" s="87" t="n"/>
      <c r="OUS1" s="87" t="n"/>
      <c r="OUT1" s="87" t="n"/>
      <c r="OUU1" s="87" t="n"/>
      <c r="OUV1" s="87" t="n"/>
      <c r="OUW1" s="87" t="n"/>
      <c r="OUX1" s="87" t="n"/>
      <c r="OUY1" s="87" t="n"/>
      <c r="OUZ1" s="87" t="n"/>
      <c r="OVA1" s="87" t="n"/>
      <c r="OVB1" s="87" t="n"/>
      <c r="OVC1" s="87" t="n"/>
      <c r="OVD1" s="87" t="n"/>
      <c r="OVE1" s="87" t="n"/>
      <c r="OVF1" s="87" t="n"/>
      <c r="OVG1" s="87" t="n"/>
      <c r="OVH1" s="87" t="n"/>
      <c r="OVI1" s="87" t="n"/>
      <c r="OVJ1" s="87" t="n"/>
      <c r="OVK1" s="87" t="n"/>
      <c r="OVL1" s="87" t="n"/>
      <c r="OVM1" s="87" t="n"/>
      <c r="OVN1" s="87" t="n"/>
      <c r="OVO1" s="87" t="n"/>
      <c r="OVP1" s="87" t="n"/>
      <c r="OVQ1" s="87" t="n"/>
      <c r="OVR1" s="87" t="n"/>
      <c r="OVS1" s="87" t="n"/>
      <c r="OVT1" s="87" t="n"/>
      <c r="OVU1" s="87" t="n"/>
      <c r="OVV1" s="87" t="n"/>
      <c r="OVW1" s="87" t="n"/>
      <c r="OVX1" s="87" t="n"/>
      <c r="OVY1" s="87" t="n"/>
      <c r="OVZ1" s="87" t="n"/>
      <c r="OWA1" s="87" t="n"/>
      <c r="OWB1" s="87" t="n"/>
      <c r="OWC1" s="87" t="n"/>
      <c r="OWD1" s="87" t="n"/>
      <c r="OWE1" s="87" t="n"/>
      <c r="OWF1" s="87" t="n"/>
      <c r="OWG1" s="87" t="n"/>
      <c r="OWH1" s="87" t="n"/>
      <c r="OWI1" s="87" t="n"/>
      <c r="OWJ1" s="87" t="n"/>
      <c r="OWK1" s="87" t="n"/>
      <c r="OWL1" s="87" t="n"/>
      <c r="OWM1" s="87" t="n"/>
      <c r="OWN1" s="87" t="n"/>
      <c r="OWO1" s="87" t="n"/>
      <c r="OWP1" s="87" t="n"/>
      <c r="OWQ1" s="87" t="n"/>
      <c r="OWR1" s="87" t="n"/>
      <c r="OWS1" s="87" t="n"/>
      <c r="OWT1" s="87" t="n"/>
      <c r="OWU1" s="87" t="n"/>
      <c r="OWV1" s="87" t="n"/>
      <c r="OWW1" s="87" t="n"/>
      <c r="OWX1" s="87" t="n"/>
      <c r="OWY1" s="87" t="n"/>
      <c r="OWZ1" s="87" t="n"/>
      <c r="OXA1" s="87" t="n"/>
      <c r="OXB1" s="87" t="n"/>
      <c r="OXC1" s="87" t="n"/>
      <c r="OXD1" s="87" t="n"/>
      <c r="OXE1" s="87" t="n"/>
      <c r="OXF1" s="87" t="n"/>
      <c r="OXG1" s="87" t="n"/>
      <c r="OXH1" s="87" t="n"/>
      <c r="OXI1" s="87" t="n"/>
      <c r="OXJ1" s="87" t="n"/>
      <c r="OXK1" s="87" t="n"/>
      <c r="OXL1" s="87" t="n"/>
      <c r="OXM1" s="87" t="n"/>
      <c r="OXN1" s="87" t="n"/>
      <c r="OXO1" s="87" t="n"/>
      <c r="OXP1" s="87" t="n"/>
      <c r="OXQ1" s="87" t="n"/>
      <c r="OXR1" s="87" t="n"/>
      <c r="OXS1" s="87" t="n"/>
      <c r="OXT1" s="87" t="n"/>
      <c r="OXU1" s="87" t="n"/>
      <c r="OXV1" s="87" t="n"/>
      <c r="OXW1" s="87" t="n"/>
      <c r="OXX1" s="87" t="n"/>
      <c r="OXY1" s="87" t="n"/>
      <c r="OXZ1" s="87" t="n"/>
      <c r="OYA1" s="87" t="n"/>
      <c r="OYB1" s="87" t="n"/>
      <c r="OYC1" s="87" t="n"/>
      <c r="OYD1" s="87" t="n"/>
      <c r="OYE1" s="87" t="n"/>
      <c r="OYF1" s="87" t="n"/>
      <c r="OYG1" s="87" t="n"/>
      <c r="OYH1" s="87" t="n"/>
      <c r="OYI1" s="87" t="n"/>
      <c r="OYJ1" s="87" t="n"/>
      <c r="OYK1" s="87" t="n"/>
      <c r="OYL1" s="87" t="n"/>
      <c r="OYM1" s="87" t="n"/>
      <c r="OYN1" s="87" t="n"/>
      <c r="OYO1" s="87" t="n"/>
      <c r="OYP1" s="87" t="n"/>
      <c r="OYQ1" s="87" t="n"/>
      <c r="OYR1" s="87" t="n"/>
      <c r="OYS1" s="87" t="n"/>
      <c r="OYT1" s="87" t="n"/>
      <c r="OYU1" s="87" t="n"/>
      <c r="OYV1" s="87" t="n"/>
      <c r="OYW1" s="87" t="n"/>
      <c r="OYX1" s="87" t="n"/>
      <c r="OYY1" s="87" t="n"/>
      <c r="OYZ1" s="87" t="n"/>
      <c r="OZA1" s="87" t="n"/>
      <c r="OZB1" s="87" t="n"/>
      <c r="OZC1" s="87" t="n"/>
      <c r="OZD1" s="87" t="n"/>
      <c r="OZE1" s="87" t="n"/>
      <c r="OZF1" s="87" t="n"/>
      <c r="OZG1" s="87" t="n"/>
      <c r="OZH1" s="87" t="n"/>
      <c r="OZI1" s="87" t="n"/>
      <c r="OZJ1" s="87" t="n"/>
      <c r="OZK1" s="87" t="n"/>
      <c r="OZL1" s="87" t="n"/>
      <c r="OZM1" s="87" t="n"/>
      <c r="OZN1" s="87" t="n"/>
      <c r="OZO1" s="87" t="n"/>
      <c r="OZP1" s="87" t="n"/>
      <c r="OZQ1" s="87" t="n"/>
      <c r="OZR1" s="87" t="n"/>
      <c r="OZS1" s="87" t="n"/>
      <c r="OZT1" s="87" t="n"/>
      <c r="OZU1" s="87" t="n"/>
      <c r="OZV1" s="87" t="n"/>
      <c r="OZW1" s="87" t="n"/>
      <c r="OZX1" s="87" t="n"/>
      <c r="OZY1" s="87" t="n"/>
      <c r="OZZ1" s="87" t="n"/>
      <c r="PAA1" s="87" t="n"/>
      <c r="PAB1" s="87" t="n"/>
      <c r="PAC1" s="87" t="n"/>
      <c r="PAD1" s="87" t="n"/>
      <c r="PAE1" s="87" t="n"/>
      <c r="PAF1" s="87" t="n"/>
      <c r="PAG1" s="87" t="n"/>
      <c r="PAH1" s="87" t="n"/>
      <c r="PAI1" s="87" t="n"/>
      <c r="PAJ1" s="87" t="n"/>
      <c r="PAK1" s="87" t="n"/>
      <c r="PAL1" s="87" t="n"/>
      <c r="PAM1" s="87" t="n"/>
      <c r="PAN1" s="87" t="n"/>
      <c r="PAO1" s="87" t="n"/>
      <c r="PAP1" s="87" t="n"/>
      <c r="PAQ1" s="87" t="n"/>
      <c r="PAR1" s="87" t="n"/>
      <c r="PAS1" s="87" t="n"/>
      <c r="PAT1" s="87" t="n"/>
      <c r="PAU1" s="87" t="n"/>
      <c r="PAV1" s="87" t="n"/>
      <c r="PAW1" s="87" t="n"/>
      <c r="PAX1" s="87" t="n"/>
      <c r="PAY1" s="87" t="n"/>
      <c r="PAZ1" s="87" t="n"/>
      <c r="PBA1" s="87" t="n"/>
      <c r="PBB1" s="87" t="n"/>
      <c r="PBC1" s="87" t="n"/>
      <c r="PBD1" s="87" t="n"/>
      <c r="PBE1" s="87" t="n"/>
      <c r="PBF1" s="87" t="n"/>
      <c r="PBG1" s="87" t="n"/>
      <c r="PBH1" s="87" t="n"/>
      <c r="PBI1" s="87" t="n"/>
      <c r="PBJ1" s="87" t="n"/>
      <c r="PBK1" s="87" t="n"/>
      <c r="PBL1" s="87" t="n"/>
      <c r="PBM1" s="87" t="n"/>
      <c r="PBN1" s="87" t="n"/>
      <c r="PBO1" s="87" t="n"/>
      <c r="PBP1" s="87" t="n"/>
      <c r="PBQ1" s="87" t="n"/>
      <c r="PBR1" s="87" t="n"/>
      <c r="PBS1" s="87" t="n"/>
      <c r="PBT1" s="87" t="n"/>
      <c r="PBU1" s="87" t="n"/>
      <c r="PBV1" s="87" t="n"/>
      <c r="PBW1" s="87" t="n"/>
      <c r="PBX1" s="87" t="n"/>
      <c r="PBY1" s="87" t="n"/>
      <c r="PBZ1" s="87" t="n"/>
      <c r="PCA1" s="87" t="n"/>
      <c r="PCB1" s="87" t="n"/>
      <c r="PCC1" s="87" t="n"/>
      <c r="PCD1" s="87" t="n"/>
      <c r="PCE1" s="87" t="n"/>
      <c r="PCF1" s="87" t="n"/>
      <c r="PCG1" s="87" t="n"/>
      <c r="PCH1" s="87" t="n"/>
      <c r="PCI1" s="87" t="n"/>
      <c r="PCJ1" s="87" t="n"/>
      <c r="PCK1" s="87" t="n"/>
      <c r="PCL1" s="87" t="n"/>
      <c r="PCM1" s="87" t="n"/>
      <c r="PCN1" s="87" t="n"/>
      <c r="PCO1" s="87" t="n"/>
      <c r="PCP1" s="87" t="n"/>
      <c r="PCQ1" s="87" t="n"/>
      <c r="PCR1" s="87" t="n"/>
      <c r="PCS1" s="87" t="n"/>
      <c r="PCT1" s="87" t="n"/>
      <c r="PCU1" s="87" t="n"/>
      <c r="PCV1" s="87" t="n"/>
      <c r="PCW1" s="87" t="n"/>
      <c r="PCX1" s="87" t="n"/>
      <c r="PCY1" s="87" t="n"/>
      <c r="PCZ1" s="87" t="n"/>
      <c r="PDA1" s="87" t="n"/>
      <c r="PDB1" s="87" t="n"/>
      <c r="PDC1" s="87" t="n"/>
      <c r="PDD1" s="87" t="n"/>
      <c r="PDE1" s="87" t="n"/>
      <c r="PDF1" s="87" t="n"/>
      <c r="PDG1" s="87" t="n"/>
      <c r="PDH1" s="87" t="n"/>
      <c r="PDI1" s="87" t="n"/>
      <c r="PDJ1" s="87" t="n"/>
      <c r="PDK1" s="87" t="n"/>
      <c r="PDL1" s="87" t="n"/>
      <c r="PDM1" s="87" t="n"/>
      <c r="PDN1" s="87" t="n"/>
      <c r="PDO1" s="87" t="n"/>
      <c r="PDP1" s="87" t="n"/>
      <c r="PDQ1" s="87" t="n"/>
      <c r="PDR1" s="87" t="n"/>
      <c r="PDS1" s="87" t="n"/>
      <c r="PDT1" s="87" t="n"/>
      <c r="PDU1" s="87" t="n"/>
      <c r="PDV1" s="87" t="n"/>
      <c r="PDW1" s="87" t="n"/>
      <c r="PDX1" s="87" t="n"/>
      <c r="PDY1" s="87" t="n"/>
      <c r="PDZ1" s="87" t="n"/>
      <c r="PEA1" s="87" t="n"/>
      <c r="PEB1" s="87" t="n"/>
      <c r="PEC1" s="87" t="n"/>
      <c r="PED1" s="87" t="n"/>
      <c r="PEE1" s="87" t="n"/>
      <c r="PEF1" s="87" t="n"/>
      <c r="PEG1" s="87" t="n"/>
      <c r="PEH1" s="87" t="n"/>
      <c r="PEI1" s="87" t="n"/>
      <c r="PEJ1" s="87" t="n"/>
      <c r="PEK1" s="87" t="n"/>
      <c r="PEL1" s="87" t="n"/>
      <c r="PEM1" s="87" t="n"/>
      <c r="PEN1" s="87" t="n"/>
      <c r="PEO1" s="87" t="n"/>
      <c r="PEP1" s="87" t="n"/>
      <c r="PEQ1" s="87" t="n"/>
      <c r="PER1" s="87" t="n"/>
      <c r="PES1" s="87" t="n"/>
      <c r="PET1" s="87" t="n"/>
      <c r="PEU1" s="87" t="n"/>
      <c r="PEV1" s="87" t="n"/>
      <c r="PEW1" s="87" t="n"/>
      <c r="PEX1" s="87" t="n"/>
      <c r="PEY1" s="87" t="n"/>
      <c r="PEZ1" s="87" t="n"/>
      <c r="PFA1" s="87" t="n"/>
      <c r="PFB1" s="87" t="n"/>
      <c r="PFC1" s="87" t="n"/>
      <c r="PFD1" s="87" t="n"/>
      <c r="PFE1" s="87" t="n"/>
      <c r="PFF1" s="87" t="n"/>
      <c r="PFG1" s="87" t="n"/>
      <c r="PFH1" s="87" t="n"/>
      <c r="PFI1" s="87" t="n"/>
      <c r="PFJ1" s="87" t="n"/>
      <c r="PFK1" s="87" t="n"/>
      <c r="PFL1" s="87" t="n"/>
      <c r="PFM1" s="87" t="n"/>
      <c r="PFN1" s="87" t="n"/>
      <c r="PFO1" s="87" t="n"/>
      <c r="PFP1" s="87" t="n"/>
      <c r="PFQ1" s="87" t="n"/>
      <c r="PFR1" s="87" t="n"/>
      <c r="PFS1" s="87" t="n"/>
      <c r="PFT1" s="87" t="n"/>
      <c r="PFU1" s="87" t="n"/>
      <c r="PFV1" s="87" t="n"/>
      <c r="PFW1" s="87" t="n"/>
      <c r="PFX1" s="87" t="n"/>
      <c r="PFY1" s="87" t="n"/>
      <c r="PFZ1" s="87" t="n"/>
      <c r="PGA1" s="87" t="n"/>
      <c r="PGB1" s="87" t="n"/>
      <c r="PGC1" s="87" t="n"/>
      <c r="PGD1" s="87" t="n"/>
      <c r="PGE1" s="87" t="n"/>
      <c r="PGF1" s="87" t="n"/>
      <c r="PGG1" s="87" t="n"/>
      <c r="PGH1" s="87" t="n"/>
      <c r="PGI1" s="87" t="n"/>
      <c r="PGJ1" s="87" t="n"/>
      <c r="PGK1" s="87" t="n"/>
      <c r="PGL1" s="87" t="n"/>
      <c r="PGM1" s="87" t="n"/>
      <c r="PGN1" s="87" t="n"/>
      <c r="PGO1" s="87" t="n"/>
      <c r="PGP1" s="87" t="n"/>
      <c r="PGQ1" s="87" t="n"/>
      <c r="PGR1" s="87" t="n"/>
      <c r="PGS1" s="87" t="n"/>
      <c r="PGT1" s="87" t="n"/>
      <c r="PGU1" s="87" t="n"/>
      <c r="PGV1" s="87" t="n"/>
      <c r="PGW1" s="87" t="n"/>
      <c r="PGX1" s="87" t="n"/>
      <c r="PGY1" s="87" t="n"/>
      <c r="PGZ1" s="87" t="n"/>
      <c r="PHA1" s="87" t="n"/>
      <c r="PHB1" s="87" t="n"/>
      <c r="PHC1" s="87" t="n"/>
      <c r="PHD1" s="87" t="n"/>
      <c r="PHE1" s="87" t="n"/>
      <c r="PHF1" s="87" t="n"/>
      <c r="PHG1" s="87" t="n"/>
      <c r="PHH1" s="87" t="n"/>
      <c r="PHI1" s="87" t="n"/>
      <c r="PHJ1" s="87" t="n"/>
      <c r="PHK1" s="87" t="n"/>
      <c r="PHL1" s="87" t="n"/>
      <c r="PHM1" s="87" t="n"/>
      <c r="PHN1" s="87" t="n"/>
      <c r="PHO1" s="87" t="n"/>
      <c r="PHP1" s="87" t="n"/>
      <c r="PHQ1" s="87" t="n"/>
      <c r="PHR1" s="87" t="n"/>
      <c r="PHS1" s="87" t="n"/>
      <c r="PHT1" s="87" t="n"/>
      <c r="PHU1" s="87" t="n"/>
      <c r="PHV1" s="87" t="n"/>
      <c r="PHW1" s="87" t="n"/>
      <c r="PHX1" s="87" t="n"/>
      <c r="PHY1" s="87" t="n"/>
      <c r="PHZ1" s="87" t="n"/>
      <c r="PIA1" s="87" t="n"/>
      <c r="PIB1" s="87" t="n"/>
      <c r="PIC1" s="87" t="n"/>
      <c r="PID1" s="87" t="n"/>
      <c r="PIE1" s="87" t="n"/>
      <c r="PIF1" s="87" t="n"/>
      <c r="PIG1" s="87" t="n"/>
      <c r="PIH1" s="87" t="n"/>
      <c r="PII1" s="87" t="n"/>
      <c r="PIJ1" s="87" t="n"/>
      <c r="PIK1" s="87" t="n"/>
      <c r="PIL1" s="87" t="n"/>
      <c r="PIM1" s="87" t="n"/>
      <c r="PIN1" s="87" t="n"/>
      <c r="PIO1" s="87" t="n"/>
      <c r="PIP1" s="87" t="n"/>
      <c r="PIQ1" s="87" t="n"/>
      <c r="PIR1" s="87" t="n"/>
      <c r="PIS1" s="87" t="n"/>
      <c r="PIT1" s="87" t="n"/>
      <c r="PIU1" s="87" t="n"/>
      <c r="PIV1" s="87" t="n"/>
      <c r="PIW1" s="87" t="n"/>
      <c r="PIX1" s="87" t="n"/>
      <c r="PIY1" s="87" t="n"/>
      <c r="PIZ1" s="87" t="n"/>
      <c r="PJA1" s="87" t="n"/>
      <c r="PJB1" s="87" t="n"/>
      <c r="PJC1" s="87" t="n"/>
      <c r="PJD1" s="87" t="n"/>
      <c r="PJE1" s="87" t="n"/>
      <c r="PJF1" s="87" t="n"/>
      <c r="PJG1" s="87" t="n"/>
      <c r="PJH1" s="87" t="n"/>
      <c r="PJI1" s="87" t="n"/>
      <c r="PJJ1" s="87" t="n"/>
      <c r="PJK1" s="87" t="n"/>
      <c r="PJL1" s="87" t="n"/>
      <c r="PJM1" s="87" t="n"/>
      <c r="PJN1" s="87" t="n"/>
      <c r="PJO1" s="87" t="n"/>
      <c r="PJP1" s="87" t="n"/>
      <c r="PJQ1" s="87" t="n"/>
      <c r="PJR1" s="87" t="n"/>
      <c r="PJS1" s="87" t="n"/>
      <c r="PJT1" s="87" t="n"/>
      <c r="PJU1" s="87" t="n"/>
      <c r="PJV1" s="87" t="n"/>
      <c r="PJW1" s="87" t="n"/>
      <c r="PJX1" s="87" t="n"/>
      <c r="PJY1" s="87" t="n"/>
      <c r="PJZ1" s="87" t="n"/>
      <c r="PKA1" s="87" t="n"/>
      <c r="PKB1" s="87" t="n"/>
      <c r="PKC1" s="87" t="n"/>
      <c r="PKD1" s="87" t="n"/>
      <c r="PKE1" s="87" t="n"/>
      <c r="PKF1" s="87" t="n"/>
      <c r="PKG1" s="87" t="n"/>
      <c r="PKH1" s="87" t="n"/>
      <c r="PKI1" s="87" t="n"/>
      <c r="PKJ1" s="87" t="n"/>
      <c r="PKK1" s="87" t="n"/>
      <c r="PKL1" s="87" t="n"/>
      <c r="PKM1" s="87" t="n"/>
      <c r="PKN1" s="87" t="n"/>
      <c r="PKO1" s="87" t="n"/>
      <c r="PKP1" s="87" t="n"/>
      <c r="PKQ1" s="87" t="n"/>
      <c r="PKR1" s="87" t="n"/>
      <c r="PKS1" s="87" t="n"/>
      <c r="PKT1" s="87" t="n"/>
      <c r="PKU1" s="87" t="n"/>
      <c r="PKV1" s="87" t="n"/>
      <c r="PKW1" s="87" t="n"/>
      <c r="PKX1" s="87" t="n"/>
      <c r="PKY1" s="87" t="n"/>
      <c r="PKZ1" s="87" t="n"/>
      <c r="PLA1" s="87" t="n"/>
      <c r="PLB1" s="87" t="n"/>
      <c r="PLC1" s="87" t="n"/>
      <c r="PLD1" s="87" t="n"/>
      <c r="PLE1" s="87" t="n"/>
      <c r="PLF1" s="87" t="n"/>
      <c r="PLG1" s="87" t="n"/>
      <c r="PLH1" s="87" t="n"/>
      <c r="PLI1" s="87" t="n"/>
      <c r="PLJ1" s="87" t="n"/>
      <c r="PLK1" s="87" t="n"/>
      <c r="PLL1" s="87" t="n"/>
      <c r="PLM1" s="87" t="n"/>
      <c r="PLN1" s="87" t="n"/>
      <c r="PLO1" s="87" t="n"/>
      <c r="PLP1" s="87" t="n"/>
      <c r="PLQ1" s="87" t="n"/>
      <c r="PLR1" s="87" t="n"/>
      <c r="PLS1" s="87" t="n"/>
      <c r="PLT1" s="87" t="n"/>
      <c r="PLU1" s="87" t="n"/>
      <c r="PLV1" s="87" t="n"/>
      <c r="PLW1" s="87" t="n"/>
      <c r="PLX1" s="87" t="n"/>
      <c r="PLY1" s="87" t="n"/>
      <c r="PLZ1" s="87" t="n"/>
      <c r="PMA1" s="87" t="n"/>
      <c r="PMB1" s="87" t="n"/>
      <c r="PMC1" s="87" t="n"/>
      <c r="PMD1" s="87" t="n"/>
      <c r="PME1" s="87" t="n"/>
      <c r="PMF1" s="87" t="n"/>
      <c r="PMG1" s="87" t="n"/>
      <c r="PMH1" s="87" t="n"/>
      <c r="PMI1" s="87" t="n"/>
      <c r="PMJ1" s="87" t="n"/>
      <c r="PMK1" s="87" t="n"/>
      <c r="PML1" s="87" t="n"/>
      <c r="PMM1" s="87" t="n"/>
      <c r="PMN1" s="87" t="n"/>
      <c r="PMO1" s="87" t="n"/>
      <c r="PMP1" s="87" t="n"/>
      <c r="PMQ1" s="87" t="n"/>
      <c r="PMR1" s="87" t="n"/>
      <c r="PMS1" s="87" t="n"/>
      <c r="PMT1" s="87" t="n"/>
      <c r="PMU1" s="87" t="n"/>
      <c r="PMV1" s="87" t="n"/>
      <c r="PMW1" s="87" t="n"/>
      <c r="PMX1" s="87" t="n"/>
      <c r="PMY1" s="87" t="n"/>
      <c r="PMZ1" s="87" t="n"/>
      <c r="PNA1" s="87" t="n"/>
      <c r="PNB1" s="87" t="n"/>
      <c r="PNC1" s="87" t="n"/>
      <c r="PND1" s="87" t="n"/>
      <c r="PNE1" s="87" t="n"/>
      <c r="PNF1" s="87" t="n"/>
      <c r="PNG1" s="87" t="n"/>
      <c r="PNH1" s="87" t="n"/>
      <c r="PNI1" s="87" t="n"/>
      <c r="PNJ1" s="87" t="n"/>
      <c r="PNK1" s="87" t="n"/>
      <c r="PNL1" s="87" t="n"/>
      <c r="PNM1" s="87" t="n"/>
      <c r="PNN1" s="87" t="n"/>
      <c r="PNO1" s="87" t="n"/>
      <c r="PNP1" s="87" t="n"/>
      <c r="PNQ1" s="87" t="n"/>
      <c r="PNR1" s="87" t="n"/>
      <c r="PNS1" s="87" t="n"/>
      <c r="PNT1" s="87" t="n"/>
      <c r="PNU1" s="87" t="n"/>
      <c r="PNV1" s="87" t="n"/>
      <c r="PNW1" s="87" t="n"/>
      <c r="PNX1" s="87" t="n"/>
      <c r="PNY1" s="87" t="n"/>
      <c r="PNZ1" s="87" t="n"/>
      <c r="POA1" s="87" t="n"/>
      <c r="POB1" s="87" t="n"/>
      <c r="POC1" s="87" t="n"/>
      <c r="POD1" s="87" t="n"/>
      <c r="POE1" s="87" t="n"/>
      <c r="POF1" s="87" t="n"/>
      <c r="POG1" s="87" t="n"/>
      <c r="POH1" s="87" t="n"/>
      <c r="POI1" s="87" t="n"/>
      <c r="POJ1" s="87" t="n"/>
      <c r="POK1" s="87" t="n"/>
      <c r="POL1" s="87" t="n"/>
      <c r="POM1" s="87" t="n"/>
      <c r="PON1" s="87" t="n"/>
      <c r="POO1" s="87" t="n"/>
      <c r="POP1" s="87" t="n"/>
      <c r="POQ1" s="87" t="n"/>
      <c r="POR1" s="87" t="n"/>
      <c r="POS1" s="87" t="n"/>
      <c r="POT1" s="87" t="n"/>
      <c r="POU1" s="87" t="n"/>
      <c r="POV1" s="87" t="n"/>
      <c r="POW1" s="87" t="n"/>
      <c r="POX1" s="87" t="n"/>
      <c r="POY1" s="87" t="n"/>
      <c r="POZ1" s="87" t="n"/>
      <c r="PPA1" s="87" t="n"/>
      <c r="PPB1" s="87" t="n"/>
      <c r="PPC1" s="87" t="n"/>
      <c r="PPD1" s="87" t="n"/>
      <c r="PPE1" s="87" t="n"/>
      <c r="PPF1" s="87" t="n"/>
      <c r="PPG1" s="87" t="n"/>
      <c r="PPH1" s="87" t="n"/>
      <c r="PPI1" s="87" t="n"/>
      <c r="PPJ1" s="87" t="n"/>
      <c r="PPK1" s="87" t="n"/>
      <c r="PPL1" s="87" t="n"/>
      <c r="PPM1" s="87" t="n"/>
      <c r="PPN1" s="87" t="n"/>
      <c r="PPO1" s="87" t="n"/>
      <c r="PPP1" s="87" t="n"/>
      <c r="PPQ1" s="87" t="n"/>
      <c r="PPR1" s="87" t="n"/>
      <c r="PPS1" s="87" t="n"/>
      <c r="PPT1" s="87" t="n"/>
      <c r="PPU1" s="87" t="n"/>
      <c r="PPV1" s="87" t="n"/>
      <c r="PPW1" s="87" t="n"/>
      <c r="PPX1" s="87" t="n"/>
      <c r="PPY1" s="87" t="n"/>
      <c r="PPZ1" s="87" t="n"/>
      <c r="PQA1" s="87" t="n"/>
      <c r="PQB1" s="87" t="n"/>
      <c r="PQC1" s="87" t="n"/>
      <c r="PQD1" s="87" t="n"/>
      <c r="PQE1" s="87" t="n"/>
      <c r="PQF1" s="87" t="n"/>
      <c r="PQG1" s="87" t="n"/>
      <c r="PQH1" s="87" t="n"/>
      <c r="PQI1" s="87" t="n"/>
      <c r="PQJ1" s="87" t="n"/>
      <c r="PQK1" s="87" t="n"/>
      <c r="PQL1" s="87" t="n"/>
      <c r="PQM1" s="87" t="n"/>
      <c r="PQN1" s="87" t="n"/>
      <c r="PQO1" s="87" t="n"/>
      <c r="PQP1" s="87" t="n"/>
      <c r="PQQ1" s="87" t="n"/>
      <c r="PQR1" s="87" t="n"/>
      <c r="PQS1" s="87" t="n"/>
      <c r="PQT1" s="87" t="n"/>
      <c r="PQU1" s="87" t="n"/>
      <c r="PQV1" s="87" t="n"/>
      <c r="PQW1" s="87" t="n"/>
      <c r="PQX1" s="87" t="n"/>
      <c r="PQY1" s="87" t="n"/>
      <c r="PQZ1" s="87" t="n"/>
      <c r="PRA1" s="87" t="n"/>
      <c r="PRB1" s="87" t="n"/>
      <c r="PRC1" s="87" t="n"/>
      <c r="PRD1" s="87" t="n"/>
      <c r="PRE1" s="87" t="n"/>
      <c r="PRF1" s="87" t="n"/>
      <c r="PRG1" s="87" t="n"/>
      <c r="PRH1" s="87" t="n"/>
      <c r="PRI1" s="87" t="n"/>
      <c r="PRJ1" s="87" t="n"/>
      <c r="PRK1" s="87" t="n"/>
      <c r="PRL1" s="87" t="n"/>
      <c r="PRM1" s="87" t="n"/>
      <c r="PRN1" s="87" t="n"/>
      <c r="PRO1" s="87" t="n"/>
      <c r="PRP1" s="87" t="n"/>
      <c r="PRQ1" s="87" t="n"/>
      <c r="PRR1" s="87" t="n"/>
      <c r="PRS1" s="87" t="n"/>
      <c r="PRT1" s="87" t="n"/>
      <c r="PRU1" s="87" t="n"/>
      <c r="PRV1" s="87" t="n"/>
      <c r="PRW1" s="87" t="n"/>
      <c r="PRX1" s="87" t="n"/>
      <c r="PRY1" s="87" t="n"/>
      <c r="PRZ1" s="87" t="n"/>
      <c r="PSA1" s="87" t="n"/>
      <c r="PSB1" s="87" t="n"/>
      <c r="PSC1" s="87" t="n"/>
      <c r="PSD1" s="87" t="n"/>
      <c r="PSE1" s="87" t="n"/>
      <c r="PSF1" s="87" t="n"/>
      <c r="PSG1" s="87" t="n"/>
      <c r="PSH1" s="87" t="n"/>
      <c r="PSI1" s="87" t="n"/>
      <c r="PSJ1" s="87" t="n"/>
      <c r="PSK1" s="87" t="n"/>
      <c r="PSL1" s="87" t="n"/>
      <c r="PSM1" s="87" t="n"/>
      <c r="PSN1" s="87" t="n"/>
      <c r="PSO1" s="87" t="n"/>
      <c r="PSP1" s="87" t="n"/>
      <c r="PSQ1" s="87" t="n"/>
      <c r="PSR1" s="87" t="n"/>
      <c r="PSS1" s="87" t="n"/>
      <c r="PST1" s="87" t="n"/>
      <c r="PSU1" s="87" t="n"/>
      <c r="PSV1" s="87" t="n"/>
      <c r="PSW1" s="87" t="n"/>
      <c r="PSX1" s="87" t="n"/>
      <c r="PSY1" s="87" t="n"/>
      <c r="PSZ1" s="87" t="n"/>
      <c r="PTA1" s="87" t="n"/>
      <c r="PTB1" s="87" t="n"/>
      <c r="PTC1" s="87" t="n"/>
      <c r="PTD1" s="87" t="n"/>
      <c r="PTE1" s="87" t="n"/>
      <c r="PTF1" s="87" t="n"/>
      <c r="PTG1" s="87" t="n"/>
      <c r="PTH1" s="87" t="n"/>
      <c r="PTI1" s="87" t="n"/>
      <c r="PTJ1" s="87" t="n"/>
      <c r="PTK1" s="87" t="n"/>
      <c r="PTL1" s="87" t="n"/>
      <c r="PTM1" s="87" t="n"/>
      <c r="PTN1" s="87" t="n"/>
      <c r="PTO1" s="87" t="n"/>
      <c r="PTP1" s="87" t="n"/>
      <c r="PTQ1" s="87" t="n"/>
      <c r="PTR1" s="87" t="n"/>
      <c r="PTS1" s="87" t="n"/>
      <c r="PTT1" s="87" t="n"/>
      <c r="PTU1" s="87" t="n"/>
      <c r="PTV1" s="87" t="n"/>
      <c r="PTW1" s="87" t="n"/>
      <c r="PTX1" s="87" t="n"/>
      <c r="PTY1" s="87" t="n"/>
      <c r="PTZ1" s="87" t="n"/>
      <c r="PUA1" s="87" t="n"/>
      <c r="PUB1" s="87" t="n"/>
      <c r="PUC1" s="87" t="n"/>
      <c r="PUD1" s="87" t="n"/>
      <c r="PUE1" s="87" t="n"/>
      <c r="PUF1" s="87" t="n"/>
      <c r="PUG1" s="87" t="n"/>
      <c r="PUH1" s="87" t="n"/>
      <c r="PUI1" s="87" t="n"/>
      <c r="PUJ1" s="87" t="n"/>
      <c r="PUK1" s="87" t="n"/>
      <c r="PUL1" s="87" t="n"/>
      <c r="PUM1" s="87" t="n"/>
      <c r="PUN1" s="87" t="n"/>
      <c r="PUO1" s="87" t="n"/>
      <c r="PUP1" s="87" t="n"/>
      <c r="PUQ1" s="87" t="n"/>
      <c r="PUR1" s="87" t="n"/>
      <c r="PUS1" s="87" t="n"/>
      <c r="PUT1" s="87" t="n"/>
      <c r="PUU1" s="87" t="n"/>
      <c r="PUV1" s="87" t="n"/>
      <c r="PUW1" s="87" t="n"/>
      <c r="PUX1" s="87" t="n"/>
      <c r="PUY1" s="87" t="n"/>
      <c r="PUZ1" s="87" t="n"/>
      <c r="PVA1" s="87" t="n"/>
      <c r="PVB1" s="87" t="n"/>
      <c r="PVC1" s="87" t="n"/>
      <c r="PVD1" s="87" t="n"/>
      <c r="PVE1" s="87" t="n"/>
      <c r="PVF1" s="87" t="n"/>
      <c r="PVG1" s="87" t="n"/>
      <c r="PVH1" s="87" t="n"/>
      <c r="PVI1" s="87" t="n"/>
      <c r="PVJ1" s="87" t="n"/>
      <c r="PVK1" s="87" t="n"/>
      <c r="PVL1" s="87" t="n"/>
      <c r="PVM1" s="87" t="n"/>
      <c r="PVN1" s="87" t="n"/>
      <c r="PVO1" s="87" t="n"/>
      <c r="PVP1" s="87" t="n"/>
      <c r="PVQ1" s="87" t="n"/>
      <c r="PVR1" s="87" t="n"/>
      <c r="PVS1" s="87" t="n"/>
      <c r="PVT1" s="87" t="n"/>
      <c r="PVU1" s="87" t="n"/>
      <c r="PVV1" s="87" t="n"/>
      <c r="PVW1" s="87" t="n"/>
      <c r="PVX1" s="87" t="n"/>
      <c r="PVY1" s="87" t="n"/>
      <c r="PVZ1" s="87" t="n"/>
      <c r="PWA1" s="87" t="n"/>
      <c r="PWB1" s="87" t="n"/>
      <c r="PWC1" s="87" t="n"/>
      <c r="PWD1" s="87" t="n"/>
      <c r="PWE1" s="87" t="n"/>
      <c r="PWF1" s="87" t="n"/>
      <c r="PWG1" s="87" t="n"/>
      <c r="PWH1" s="87" t="n"/>
      <c r="PWI1" s="87" t="n"/>
      <c r="PWJ1" s="87" t="n"/>
      <c r="PWK1" s="87" t="n"/>
      <c r="PWL1" s="87" t="n"/>
      <c r="PWM1" s="87" t="n"/>
      <c r="PWN1" s="87" t="n"/>
      <c r="PWO1" s="87" t="n"/>
      <c r="PWP1" s="87" t="n"/>
      <c r="PWQ1" s="87" t="n"/>
      <c r="PWR1" s="87" t="n"/>
      <c r="PWS1" s="87" t="n"/>
      <c r="PWT1" s="87" t="n"/>
      <c r="PWU1" s="87" t="n"/>
      <c r="PWV1" s="87" t="n"/>
      <c r="PWW1" s="87" t="n"/>
      <c r="PWX1" s="87" t="n"/>
      <c r="PWY1" s="87" t="n"/>
      <c r="PWZ1" s="87" t="n"/>
      <c r="PXA1" s="87" t="n"/>
      <c r="PXB1" s="87" t="n"/>
      <c r="PXC1" s="87" t="n"/>
      <c r="PXD1" s="87" t="n"/>
      <c r="PXE1" s="87" t="n"/>
      <c r="PXF1" s="87" t="n"/>
      <c r="PXG1" s="87" t="n"/>
      <c r="PXH1" s="87" t="n"/>
      <c r="PXI1" s="87" t="n"/>
      <c r="PXJ1" s="87" t="n"/>
      <c r="PXK1" s="87" t="n"/>
      <c r="PXL1" s="87" t="n"/>
      <c r="PXM1" s="87" t="n"/>
      <c r="PXN1" s="87" t="n"/>
      <c r="PXO1" s="87" t="n"/>
      <c r="PXP1" s="87" t="n"/>
      <c r="PXQ1" s="87" t="n"/>
      <c r="PXR1" s="87" t="n"/>
      <c r="PXS1" s="87" t="n"/>
      <c r="PXT1" s="87" t="n"/>
      <c r="PXU1" s="87" t="n"/>
      <c r="PXV1" s="87" t="n"/>
      <c r="PXW1" s="87" t="n"/>
      <c r="PXX1" s="87" t="n"/>
      <c r="PXY1" s="87" t="n"/>
      <c r="PXZ1" s="87" t="n"/>
      <c r="PYA1" s="87" t="n"/>
      <c r="PYB1" s="87" t="n"/>
      <c r="PYC1" s="87" t="n"/>
      <c r="PYD1" s="87" t="n"/>
      <c r="PYE1" s="87" t="n"/>
      <c r="PYF1" s="87" t="n"/>
      <c r="PYG1" s="87" t="n"/>
      <c r="PYH1" s="87" t="n"/>
      <c r="PYI1" s="87" t="n"/>
      <c r="PYJ1" s="87" t="n"/>
      <c r="PYK1" s="87" t="n"/>
      <c r="PYL1" s="87" t="n"/>
      <c r="PYM1" s="87" t="n"/>
      <c r="PYN1" s="87" t="n"/>
      <c r="PYO1" s="87" t="n"/>
      <c r="PYP1" s="87" t="n"/>
      <c r="PYQ1" s="87" t="n"/>
      <c r="PYR1" s="87" t="n"/>
      <c r="PYS1" s="87" t="n"/>
      <c r="PYT1" s="87" t="n"/>
      <c r="PYU1" s="87" t="n"/>
      <c r="PYV1" s="87" t="n"/>
      <c r="PYW1" s="87" t="n"/>
      <c r="PYX1" s="87" t="n"/>
      <c r="PYY1" s="87" t="n"/>
      <c r="PYZ1" s="87" t="n"/>
      <c r="PZA1" s="87" t="n"/>
      <c r="PZB1" s="87" t="n"/>
      <c r="PZC1" s="87" t="n"/>
      <c r="PZD1" s="87" t="n"/>
      <c r="PZE1" s="87" t="n"/>
      <c r="PZF1" s="87" t="n"/>
      <c r="PZG1" s="87" t="n"/>
      <c r="PZH1" s="87" t="n"/>
      <c r="PZI1" s="87" t="n"/>
      <c r="PZJ1" s="87" t="n"/>
      <c r="PZK1" s="87" t="n"/>
      <c r="PZL1" s="87" t="n"/>
      <c r="PZM1" s="87" t="n"/>
      <c r="PZN1" s="87" t="n"/>
      <c r="PZO1" s="87" t="n"/>
      <c r="PZP1" s="87" t="n"/>
      <c r="PZQ1" s="87" t="n"/>
      <c r="PZR1" s="87" t="n"/>
      <c r="PZS1" s="87" t="n"/>
      <c r="PZT1" s="87" t="n"/>
      <c r="PZU1" s="87" t="n"/>
      <c r="PZV1" s="87" t="n"/>
      <c r="PZW1" s="87" t="n"/>
      <c r="PZX1" s="87" t="n"/>
      <c r="PZY1" s="87" t="n"/>
      <c r="PZZ1" s="87" t="n"/>
      <c r="QAA1" s="87" t="n"/>
      <c r="QAB1" s="87" t="n"/>
      <c r="QAC1" s="87" t="n"/>
      <c r="QAD1" s="87" t="n"/>
      <c r="QAE1" s="87" t="n"/>
      <c r="QAF1" s="87" t="n"/>
      <c r="QAG1" s="87" t="n"/>
      <c r="QAH1" s="87" t="n"/>
      <c r="QAI1" s="87" t="n"/>
      <c r="QAJ1" s="87" t="n"/>
      <c r="QAK1" s="87" t="n"/>
      <c r="QAL1" s="87" t="n"/>
      <c r="QAM1" s="87" t="n"/>
      <c r="QAN1" s="87" t="n"/>
      <c r="QAO1" s="87" t="n"/>
      <c r="QAP1" s="87" t="n"/>
      <c r="QAQ1" s="87" t="n"/>
      <c r="QAR1" s="87" t="n"/>
      <c r="QAS1" s="87" t="n"/>
      <c r="QAT1" s="87" t="n"/>
      <c r="QAU1" s="87" t="n"/>
      <c r="QAV1" s="87" t="n"/>
      <c r="QAW1" s="87" t="n"/>
      <c r="QAX1" s="87" t="n"/>
      <c r="QAY1" s="87" t="n"/>
      <c r="QAZ1" s="87" t="n"/>
      <c r="QBA1" s="87" t="n"/>
      <c r="QBB1" s="87" t="n"/>
      <c r="QBC1" s="87" t="n"/>
      <c r="QBD1" s="87" t="n"/>
      <c r="QBE1" s="87" t="n"/>
      <c r="QBF1" s="87" t="n"/>
      <c r="QBG1" s="87" t="n"/>
      <c r="QBH1" s="87" t="n"/>
      <c r="QBI1" s="87" t="n"/>
      <c r="QBJ1" s="87" t="n"/>
      <c r="QBK1" s="87" t="n"/>
      <c r="QBL1" s="87" t="n"/>
      <c r="QBM1" s="87" t="n"/>
      <c r="QBN1" s="87" t="n"/>
      <c r="QBO1" s="87" t="n"/>
      <c r="QBP1" s="87" t="n"/>
      <c r="QBQ1" s="87" t="n"/>
      <c r="QBR1" s="87" t="n"/>
      <c r="QBS1" s="87" t="n"/>
      <c r="QBT1" s="87" t="n"/>
      <c r="QBU1" s="87" t="n"/>
      <c r="QBV1" s="87" t="n"/>
      <c r="QBW1" s="87" t="n"/>
      <c r="QBX1" s="87" t="n"/>
      <c r="QBY1" s="87" t="n"/>
      <c r="QBZ1" s="87" t="n"/>
      <c r="QCA1" s="87" t="n"/>
      <c r="QCB1" s="87" t="n"/>
      <c r="QCC1" s="87" t="n"/>
      <c r="QCD1" s="87" t="n"/>
      <c r="QCE1" s="87" t="n"/>
      <c r="QCF1" s="87" t="n"/>
      <c r="QCG1" s="87" t="n"/>
      <c r="QCH1" s="87" t="n"/>
      <c r="QCI1" s="87" t="n"/>
      <c r="QCJ1" s="87" t="n"/>
      <c r="QCK1" s="87" t="n"/>
      <c r="QCL1" s="87" t="n"/>
      <c r="QCM1" s="87" t="n"/>
      <c r="QCN1" s="87" t="n"/>
      <c r="QCO1" s="87" t="n"/>
      <c r="QCP1" s="87" t="n"/>
      <c r="QCQ1" s="87" t="n"/>
      <c r="QCR1" s="87" t="n"/>
      <c r="QCS1" s="87" t="n"/>
      <c r="QCT1" s="87" t="n"/>
      <c r="QCU1" s="87" t="n"/>
      <c r="QCV1" s="87" t="n"/>
      <c r="QCW1" s="87" t="n"/>
      <c r="QCX1" s="87" t="n"/>
      <c r="QCY1" s="87" t="n"/>
      <c r="QCZ1" s="87" t="n"/>
      <c r="QDA1" s="87" t="n"/>
      <c r="QDB1" s="87" t="n"/>
      <c r="QDC1" s="87" t="n"/>
      <c r="QDD1" s="87" t="n"/>
      <c r="QDE1" s="87" t="n"/>
      <c r="QDF1" s="87" t="n"/>
      <c r="QDG1" s="87" t="n"/>
      <c r="QDH1" s="87" t="n"/>
      <c r="QDI1" s="87" t="n"/>
      <c r="QDJ1" s="87" t="n"/>
      <c r="QDK1" s="87" t="n"/>
      <c r="QDL1" s="87" t="n"/>
      <c r="QDM1" s="87" t="n"/>
      <c r="QDN1" s="87" t="n"/>
      <c r="QDO1" s="87" t="n"/>
      <c r="QDP1" s="87" t="n"/>
      <c r="QDQ1" s="87" t="n"/>
      <c r="QDR1" s="87" t="n"/>
      <c r="QDS1" s="87" t="n"/>
      <c r="QDT1" s="87" t="n"/>
      <c r="QDU1" s="87" t="n"/>
      <c r="QDV1" s="87" t="n"/>
      <c r="QDW1" s="87" t="n"/>
      <c r="QDX1" s="87" t="n"/>
      <c r="QDY1" s="87" t="n"/>
      <c r="QDZ1" s="87" t="n"/>
      <c r="QEA1" s="87" t="n"/>
      <c r="QEB1" s="87" t="n"/>
      <c r="QEC1" s="87" t="n"/>
      <c r="QED1" s="87" t="n"/>
      <c r="QEE1" s="87" t="n"/>
      <c r="QEF1" s="87" t="n"/>
      <c r="QEG1" s="87" t="n"/>
      <c r="QEH1" s="87" t="n"/>
      <c r="QEI1" s="87" t="n"/>
      <c r="QEJ1" s="87" t="n"/>
      <c r="QEK1" s="87" t="n"/>
      <c r="QEL1" s="87" t="n"/>
      <c r="QEM1" s="87" t="n"/>
      <c r="QEN1" s="87" t="n"/>
      <c r="QEO1" s="87" t="n"/>
      <c r="QEP1" s="87" t="n"/>
      <c r="QEQ1" s="87" t="n"/>
      <c r="QER1" s="87" t="n"/>
      <c r="QES1" s="87" t="n"/>
      <c r="QET1" s="87" t="n"/>
      <c r="QEU1" s="87" t="n"/>
      <c r="QEV1" s="87" t="n"/>
      <c r="QEW1" s="87" t="n"/>
      <c r="QEX1" s="87" t="n"/>
      <c r="QEY1" s="87" t="n"/>
      <c r="QEZ1" s="87" t="n"/>
      <c r="QFA1" s="87" t="n"/>
      <c r="QFB1" s="87" t="n"/>
      <c r="QFC1" s="87" t="n"/>
      <c r="QFD1" s="87" t="n"/>
      <c r="QFE1" s="87" t="n"/>
      <c r="QFF1" s="87" t="n"/>
      <c r="QFG1" s="87" t="n"/>
      <c r="QFH1" s="87" t="n"/>
      <c r="QFI1" s="87" t="n"/>
      <c r="QFJ1" s="87" t="n"/>
      <c r="QFK1" s="87" t="n"/>
      <c r="QFL1" s="87" t="n"/>
      <c r="QFM1" s="87" t="n"/>
      <c r="QFN1" s="87" t="n"/>
      <c r="QFO1" s="87" t="n"/>
      <c r="QFP1" s="87" t="n"/>
      <c r="QFQ1" s="87" t="n"/>
      <c r="QFR1" s="87" t="n"/>
      <c r="QFS1" s="87" t="n"/>
      <c r="QFT1" s="87" t="n"/>
      <c r="QFU1" s="87" t="n"/>
      <c r="QFV1" s="87" t="n"/>
      <c r="QFW1" s="87" t="n"/>
      <c r="QFX1" s="87" t="n"/>
      <c r="QFY1" s="87" t="n"/>
      <c r="QFZ1" s="87" t="n"/>
      <c r="QGA1" s="87" t="n"/>
      <c r="QGB1" s="87" t="n"/>
      <c r="QGC1" s="87" t="n"/>
      <c r="QGD1" s="87" t="n"/>
      <c r="QGE1" s="87" t="n"/>
      <c r="QGF1" s="87" t="n"/>
      <c r="QGG1" s="87" t="n"/>
      <c r="QGH1" s="87" t="n"/>
      <c r="QGI1" s="87" t="n"/>
      <c r="QGJ1" s="87" t="n"/>
      <c r="QGK1" s="87" t="n"/>
      <c r="QGL1" s="87" t="n"/>
      <c r="QGM1" s="87" t="n"/>
      <c r="QGN1" s="87" t="n"/>
      <c r="QGO1" s="87" t="n"/>
      <c r="QGP1" s="87" t="n"/>
      <c r="QGQ1" s="87" t="n"/>
      <c r="QGR1" s="87" t="n"/>
      <c r="QGS1" s="87" t="n"/>
      <c r="QGT1" s="87" t="n"/>
      <c r="QGU1" s="87" t="n"/>
      <c r="QGV1" s="87" t="n"/>
      <c r="QGW1" s="87" t="n"/>
      <c r="QGX1" s="87" t="n"/>
      <c r="QGY1" s="87" t="n"/>
      <c r="QGZ1" s="87" t="n"/>
      <c r="QHA1" s="87" t="n"/>
      <c r="QHB1" s="87" t="n"/>
      <c r="QHC1" s="87" t="n"/>
      <c r="QHD1" s="87" t="n"/>
      <c r="QHE1" s="87" t="n"/>
      <c r="QHF1" s="87" t="n"/>
      <c r="QHG1" s="87" t="n"/>
      <c r="QHH1" s="87" t="n"/>
      <c r="QHI1" s="87" t="n"/>
      <c r="QHJ1" s="87" t="n"/>
      <c r="QHK1" s="87" t="n"/>
      <c r="QHL1" s="87" t="n"/>
      <c r="QHM1" s="87" t="n"/>
      <c r="QHN1" s="87" t="n"/>
      <c r="QHO1" s="87" t="n"/>
      <c r="QHP1" s="87" t="n"/>
      <c r="QHQ1" s="87" t="n"/>
      <c r="QHR1" s="87" t="n"/>
      <c r="QHS1" s="87" t="n"/>
      <c r="QHT1" s="87" t="n"/>
      <c r="QHU1" s="87" t="n"/>
      <c r="QHV1" s="87" t="n"/>
      <c r="QHW1" s="87" t="n"/>
      <c r="QHX1" s="87" t="n"/>
      <c r="QHY1" s="87" t="n"/>
      <c r="QHZ1" s="87" t="n"/>
      <c r="QIA1" s="87" t="n"/>
      <c r="QIB1" s="87" t="n"/>
      <c r="QIC1" s="87" t="n"/>
      <c r="QID1" s="87" t="n"/>
      <c r="QIE1" s="87" t="n"/>
      <c r="QIF1" s="87" t="n"/>
      <c r="QIG1" s="87" t="n"/>
      <c r="QIH1" s="87" t="n"/>
      <c r="QII1" s="87" t="n"/>
      <c r="QIJ1" s="87" t="n"/>
      <c r="QIK1" s="87" t="n"/>
      <c r="QIL1" s="87" t="n"/>
      <c r="QIM1" s="87" t="n"/>
      <c r="QIN1" s="87" t="n"/>
      <c r="QIO1" s="87" t="n"/>
      <c r="QIP1" s="87" t="n"/>
      <c r="QIQ1" s="87" t="n"/>
      <c r="QIR1" s="87" t="n"/>
      <c r="QIS1" s="87" t="n"/>
      <c r="QIT1" s="87" t="n"/>
      <c r="QIU1" s="87" t="n"/>
      <c r="QIV1" s="87" t="n"/>
      <c r="QIW1" s="87" t="n"/>
      <c r="QIX1" s="87" t="n"/>
      <c r="QIY1" s="87" t="n"/>
      <c r="QIZ1" s="87" t="n"/>
      <c r="QJA1" s="87" t="n"/>
      <c r="QJB1" s="87" t="n"/>
      <c r="QJC1" s="87" t="n"/>
      <c r="QJD1" s="87" t="n"/>
      <c r="QJE1" s="87" t="n"/>
      <c r="QJF1" s="87" t="n"/>
      <c r="QJG1" s="87" t="n"/>
      <c r="QJH1" s="87" t="n"/>
      <c r="QJI1" s="87" t="n"/>
      <c r="QJJ1" s="87" t="n"/>
      <c r="QJK1" s="87" t="n"/>
      <c r="QJL1" s="87" t="n"/>
      <c r="QJM1" s="87" t="n"/>
      <c r="QJN1" s="87" t="n"/>
      <c r="QJO1" s="87" t="n"/>
      <c r="QJP1" s="87" t="n"/>
      <c r="QJQ1" s="87" t="n"/>
      <c r="QJR1" s="87" t="n"/>
      <c r="QJS1" s="87" t="n"/>
      <c r="QJT1" s="87" t="n"/>
      <c r="QJU1" s="87" t="n"/>
      <c r="QJV1" s="87" t="n"/>
      <c r="QJW1" s="87" t="n"/>
      <c r="QJX1" s="87" t="n"/>
      <c r="QJY1" s="87" t="n"/>
      <c r="QJZ1" s="87" t="n"/>
      <c r="QKA1" s="87" t="n"/>
      <c r="QKB1" s="87" t="n"/>
      <c r="QKC1" s="87" t="n"/>
      <c r="QKD1" s="87" t="n"/>
      <c r="QKE1" s="87" t="n"/>
      <c r="QKF1" s="87" t="n"/>
      <c r="QKG1" s="87" t="n"/>
      <c r="QKH1" s="87" t="n"/>
      <c r="QKI1" s="87" t="n"/>
      <c r="QKJ1" s="87" t="n"/>
      <c r="QKK1" s="87" t="n"/>
      <c r="QKL1" s="87" t="n"/>
      <c r="QKM1" s="87" t="n"/>
      <c r="QKN1" s="87" t="n"/>
      <c r="QKO1" s="87" t="n"/>
      <c r="QKP1" s="87" t="n"/>
      <c r="QKQ1" s="87" t="n"/>
      <c r="QKR1" s="87" t="n"/>
      <c r="QKS1" s="87" t="n"/>
      <c r="QKT1" s="87" t="n"/>
      <c r="QKU1" s="87" t="n"/>
      <c r="QKV1" s="87" t="n"/>
      <c r="QKW1" s="87" t="n"/>
      <c r="QKX1" s="87" t="n"/>
      <c r="QKY1" s="87" t="n"/>
      <c r="QKZ1" s="87" t="n"/>
      <c r="QLA1" s="87" t="n"/>
      <c r="QLB1" s="87" t="n"/>
      <c r="QLC1" s="87" t="n"/>
      <c r="QLD1" s="87" t="n"/>
      <c r="QLE1" s="87" t="n"/>
      <c r="QLF1" s="87" t="n"/>
      <c r="QLG1" s="87" t="n"/>
      <c r="QLH1" s="87" t="n"/>
      <c r="QLI1" s="87" t="n"/>
      <c r="QLJ1" s="87" t="n"/>
      <c r="QLK1" s="87" t="n"/>
      <c r="QLL1" s="87" t="n"/>
      <c r="QLM1" s="87" t="n"/>
      <c r="QLN1" s="87" t="n"/>
      <c r="QLO1" s="87" t="n"/>
      <c r="QLP1" s="87" t="n"/>
      <c r="QLQ1" s="87" t="n"/>
      <c r="QLR1" s="87" t="n"/>
      <c r="QLS1" s="87" t="n"/>
      <c r="QLT1" s="87" t="n"/>
      <c r="QLU1" s="87" t="n"/>
      <c r="QLV1" s="87" t="n"/>
      <c r="QLW1" s="87" t="n"/>
      <c r="QLX1" s="87" t="n"/>
      <c r="QLY1" s="87" t="n"/>
      <c r="QLZ1" s="87" t="n"/>
      <c r="QMA1" s="87" t="n"/>
      <c r="QMB1" s="87" t="n"/>
      <c r="QMC1" s="87" t="n"/>
      <c r="QMD1" s="87" t="n"/>
      <c r="QME1" s="87" t="n"/>
      <c r="QMF1" s="87" t="n"/>
      <c r="QMG1" s="87" t="n"/>
      <c r="QMH1" s="87" t="n"/>
      <c r="QMI1" s="87" t="n"/>
      <c r="QMJ1" s="87" t="n"/>
      <c r="QMK1" s="87" t="n"/>
      <c r="QML1" s="87" t="n"/>
      <c r="QMM1" s="87" t="n"/>
      <c r="QMN1" s="87" t="n"/>
      <c r="QMO1" s="87" t="n"/>
      <c r="QMP1" s="87" t="n"/>
      <c r="QMQ1" s="87" t="n"/>
      <c r="QMR1" s="87" t="n"/>
      <c r="QMS1" s="87" t="n"/>
      <c r="QMT1" s="87" t="n"/>
      <c r="QMU1" s="87" t="n"/>
      <c r="QMV1" s="87" t="n"/>
      <c r="QMW1" s="87" t="n"/>
      <c r="QMX1" s="87" t="n"/>
      <c r="QMY1" s="87" t="n"/>
      <c r="QMZ1" s="87" t="n"/>
      <c r="QNA1" s="87" t="n"/>
      <c r="QNB1" s="87" t="n"/>
      <c r="QNC1" s="87" t="n"/>
      <c r="QND1" s="87" t="n"/>
      <c r="QNE1" s="87" t="n"/>
      <c r="QNF1" s="87" t="n"/>
      <c r="QNG1" s="87" t="n"/>
      <c r="QNH1" s="87" t="n"/>
      <c r="QNI1" s="87" t="n"/>
      <c r="QNJ1" s="87" t="n"/>
      <c r="QNK1" s="87" t="n"/>
      <c r="QNL1" s="87" t="n"/>
      <c r="QNM1" s="87" t="n"/>
      <c r="QNN1" s="87" t="n"/>
      <c r="QNO1" s="87" t="n"/>
      <c r="QNP1" s="87" t="n"/>
      <c r="QNQ1" s="87" t="n"/>
      <c r="QNR1" s="87" t="n"/>
      <c r="QNS1" s="87" t="n"/>
      <c r="QNT1" s="87" t="n"/>
      <c r="QNU1" s="87" t="n"/>
      <c r="QNV1" s="87" t="n"/>
      <c r="QNW1" s="87" t="n"/>
      <c r="QNX1" s="87" t="n"/>
      <c r="QNY1" s="87" t="n"/>
      <c r="QNZ1" s="87" t="n"/>
      <c r="QOA1" s="87" t="n"/>
      <c r="QOB1" s="87" t="n"/>
      <c r="QOC1" s="87" t="n"/>
      <c r="QOD1" s="87" t="n"/>
      <c r="QOE1" s="87" t="n"/>
      <c r="QOF1" s="87" t="n"/>
      <c r="QOG1" s="87" t="n"/>
      <c r="QOH1" s="87" t="n"/>
      <c r="QOI1" s="87" t="n"/>
      <c r="QOJ1" s="87" t="n"/>
      <c r="QOK1" s="87" t="n"/>
      <c r="QOL1" s="87" t="n"/>
      <c r="QOM1" s="87" t="n"/>
      <c r="QON1" s="87" t="n"/>
      <c r="QOO1" s="87" t="n"/>
      <c r="QOP1" s="87" t="n"/>
      <c r="QOQ1" s="87" t="n"/>
      <c r="QOR1" s="87" t="n"/>
      <c r="QOS1" s="87" t="n"/>
      <c r="QOT1" s="87" t="n"/>
      <c r="QOU1" s="87" t="n"/>
      <c r="QOV1" s="87" t="n"/>
      <c r="QOW1" s="87" t="n"/>
      <c r="QOX1" s="87" t="n"/>
      <c r="QOY1" s="87" t="n"/>
      <c r="QOZ1" s="87" t="n"/>
      <c r="QPA1" s="87" t="n"/>
      <c r="QPB1" s="87" t="n"/>
      <c r="QPC1" s="87" t="n"/>
      <c r="QPD1" s="87" t="n"/>
      <c r="QPE1" s="87" t="n"/>
      <c r="QPF1" s="87" t="n"/>
      <c r="QPG1" s="87" t="n"/>
      <c r="QPH1" s="87" t="n"/>
      <c r="QPI1" s="87" t="n"/>
      <c r="QPJ1" s="87" t="n"/>
      <c r="QPK1" s="87" t="n"/>
      <c r="QPL1" s="87" t="n"/>
      <c r="QPM1" s="87" t="n"/>
      <c r="QPN1" s="87" t="n"/>
      <c r="QPO1" s="87" t="n"/>
      <c r="QPP1" s="87" t="n"/>
      <c r="QPQ1" s="87" t="n"/>
      <c r="QPR1" s="87" t="n"/>
      <c r="QPS1" s="87" t="n"/>
      <c r="QPT1" s="87" t="n"/>
      <c r="QPU1" s="87" t="n"/>
      <c r="QPV1" s="87" t="n"/>
      <c r="QPW1" s="87" t="n"/>
      <c r="QPX1" s="87" t="n"/>
      <c r="QPY1" s="87" t="n"/>
      <c r="QPZ1" s="87" t="n"/>
      <c r="QQA1" s="87" t="n"/>
      <c r="QQB1" s="87" t="n"/>
      <c r="QQC1" s="87" t="n"/>
      <c r="QQD1" s="87" t="n"/>
      <c r="QQE1" s="87" t="n"/>
      <c r="QQF1" s="87" t="n"/>
      <c r="QQG1" s="87" t="n"/>
      <c r="QQH1" s="87" t="n"/>
      <c r="QQI1" s="87" t="n"/>
      <c r="QQJ1" s="87" t="n"/>
      <c r="QQK1" s="87" t="n"/>
      <c r="QQL1" s="87" t="n"/>
      <c r="QQM1" s="87" t="n"/>
      <c r="QQN1" s="87" t="n"/>
      <c r="QQO1" s="87" t="n"/>
      <c r="QQP1" s="87" t="n"/>
      <c r="QQQ1" s="87" t="n"/>
      <c r="QQR1" s="87" t="n"/>
      <c r="QQS1" s="87" t="n"/>
      <c r="QQT1" s="87" t="n"/>
      <c r="QQU1" s="87" t="n"/>
      <c r="QQV1" s="87" t="n"/>
      <c r="QQW1" s="87" t="n"/>
      <c r="QQX1" s="87" t="n"/>
      <c r="QQY1" s="87" t="n"/>
      <c r="QQZ1" s="87" t="n"/>
      <c r="QRA1" s="87" t="n"/>
      <c r="QRB1" s="87" t="n"/>
      <c r="QRC1" s="87" t="n"/>
      <c r="QRD1" s="87" t="n"/>
      <c r="QRE1" s="87" t="n"/>
      <c r="QRF1" s="87" t="n"/>
      <c r="QRG1" s="87" t="n"/>
      <c r="QRH1" s="87" t="n"/>
      <c r="QRI1" s="87" t="n"/>
      <c r="QRJ1" s="87" t="n"/>
      <c r="QRK1" s="87" t="n"/>
      <c r="QRL1" s="87" t="n"/>
      <c r="QRM1" s="87" t="n"/>
      <c r="QRN1" s="87" t="n"/>
      <c r="QRO1" s="87" t="n"/>
      <c r="QRP1" s="87" t="n"/>
      <c r="QRQ1" s="87" t="n"/>
      <c r="QRR1" s="87" t="n"/>
      <c r="QRS1" s="87" t="n"/>
      <c r="QRT1" s="87" t="n"/>
      <c r="QRU1" s="87" t="n"/>
      <c r="QRV1" s="87" t="n"/>
      <c r="QRW1" s="87" t="n"/>
      <c r="QRX1" s="87" t="n"/>
      <c r="QRY1" s="87" t="n"/>
      <c r="QRZ1" s="87" t="n"/>
      <c r="QSA1" s="87" t="n"/>
      <c r="QSB1" s="87" t="n"/>
      <c r="QSC1" s="87" t="n"/>
      <c r="QSD1" s="87" t="n"/>
      <c r="QSE1" s="87" t="n"/>
      <c r="QSF1" s="87" t="n"/>
      <c r="QSG1" s="87" t="n"/>
      <c r="QSH1" s="87" t="n"/>
      <c r="QSI1" s="87" t="n"/>
      <c r="QSJ1" s="87" t="n"/>
      <c r="QSK1" s="87" t="n"/>
      <c r="QSL1" s="87" t="n"/>
      <c r="QSM1" s="87" t="n"/>
      <c r="QSN1" s="87" t="n"/>
      <c r="QSO1" s="87" t="n"/>
      <c r="QSP1" s="87" t="n"/>
      <c r="QSQ1" s="87" t="n"/>
      <c r="QSR1" s="87" t="n"/>
      <c r="QSS1" s="87" t="n"/>
      <c r="QST1" s="87" t="n"/>
      <c r="QSU1" s="87" t="n"/>
      <c r="QSV1" s="87" t="n"/>
      <c r="QSW1" s="87" t="n"/>
      <c r="QSX1" s="87" t="n"/>
      <c r="QSY1" s="87" t="n"/>
      <c r="QSZ1" s="87" t="n"/>
      <c r="QTA1" s="87" t="n"/>
      <c r="QTB1" s="87" t="n"/>
      <c r="QTC1" s="87" t="n"/>
      <c r="QTD1" s="87" t="n"/>
      <c r="QTE1" s="87" t="n"/>
      <c r="QTF1" s="87" t="n"/>
      <c r="QTG1" s="87" t="n"/>
      <c r="QTH1" s="87" t="n"/>
      <c r="QTI1" s="87" t="n"/>
      <c r="QTJ1" s="87" t="n"/>
      <c r="QTK1" s="87" t="n"/>
      <c r="QTL1" s="87" t="n"/>
      <c r="QTM1" s="87" t="n"/>
      <c r="QTN1" s="87" t="n"/>
      <c r="QTO1" s="87" t="n"/>
      <c r="QTP1" s="87" t="n"/>
      <c r="QTQ1" s="87" t="n"/>
      <c r="QTR1" s="87" t="n"/>
      <c r="QTS1" s="87" t="n"/>
      <c r="QTT1" s="87" t="n"/>
      <c r="QTU1" s="87" t="n"/>
      <c r="QTV1" s="87" t="n"/>
      <c r="QTW1" s="87" t="n"/>
      <c r="QTX1" s="87" t="n"/>
      <c r="QTY1" s="87" t="n"/>
      <c r="QTZ1" s="87" t="n"/>
      <c r="QUA1" s="87" t="n"/>
      <c r="QUB1" s="87" t="n"/>
      <c r="QUC1" s="87" t="n"/>
      <c r="QUD1" s="87" t="n"/>
      <c r="QUE1" s="87" t="n"/>
      <c r="QUF1" s="87" t="n"/>
      <c r="QUG1" s="87" t="n"/>
      <c r="QUH1" s="87" t="n"/>
      <c r="QUI1" s="87" t="n"/>
      <c r="QUJ1" s="87" t="n"/>
      <c r="QUK1" s="87" t="n"/>
      <c r="QUL1" s="87" t="n"/>
      <c r="QUM1" s="87" t="n"/>
      <c r="QUN1" s="87" t="n"/>
      <c r="QUO1" s="87" t="n"/>
      <c r="QUP1" s="87" t="n"/>
      <c r="QUQ1" s="87" t="n"/>
      <c r="QUR1" s="87" t="n"/>
      <c r="QUS1" s="87" t="n"/>
      <c r="QUT1" s="87" t="n"/>
      <c r="QUU1" s="87" t="n"/>
      <c r="QUV1" s="87" t="n"/>
      <c r="QUW1" s="87" t="n"/>
      <c r="QUX1" s="87" t="n"/>
      <c r="QUY1" s="87" t="n"/>
      <c r="QUZ1" s="87" t="n"/>
      <c r="QVA1" s="87" t="n"/>
      <c r="QVB1" s="87" t="n"/>
      <c r="QVC1" s="87" t="n"/>
      <c r="QVD1" s="87" t="n"/>
      <c r="QVE1" s="87" t="n"/>
      <c r="QVF1" s="87" t="n"/>
      <c r="QVG1" s="87" t="n"/>
      <c r="QVH1" s="87" t="n"/>
      <c r="QVI1" s="87" t="n"/>
      <c r="QVJ1" s="87" t="n"/>
      <c r="QVK1" s="87" t="n"/>
      <c r="QVL1" s="87" t="n"/>
      <c r="QVM1" s="87" t="n"/>
      <c r="QVN1" s="87" t="n"/>
      <c r="QVO1" s="87" t="n"/>
      <c r="QVP1" s="87" t="n"/>
      <c r="QVQ1" s="87" t="n"/>
      <c r="QVR1" s="87" t="n"/>
      <c r="QVS1" s="87" t="n"/>
      <c r="QVT1" s="87" t="n"/>
      <c r="QVU1" s="87" t="n"/>
      <c r="QVV1" s="87" t="n"/>
      <c r="QVW1" s="87" t="n"/>
      <c r="QVX1" s="87" t="n"/>
      <c r="QVY1" s="87" t="n"/>
      <c r="QVZ1" s="87" t="n"/>
      <c r="QWA1" s="87" t="n"/>
      <c r="QWB1" s="87" t="n"/>
      <c r="QWC1" s="87" t="n"/>
      <c r="QWD1" s="87" t="n"/>
      <c r="QWE1" s="87" t="n"/>
      <c r="QWF1" s="87" t="n"/>
      <c r="QWG1" s="87" t="n"/>
      <c r="QWH1" s="87" t="n"/>
      <c r="QWI1" s="87" t="n"/>
      <c r="QWJ1" s="87" t="n"/>
      <c r="QWK1" s="87" t="n"/>
      <c r="QWL1" s="87" t="n"/>
      <c r="QWM1" s="87" t="n"/>
      <c r="QWN1" s="87" t="n"/>
      <c r="QWO1" s="87" t="n"/>
      <c r="QWP1" s="87" t="n"/>
      <c r="QWQ1" s="87" t="n"/>
      <c r="QWR1" s="87" t="n"/>
      <c r="QWS1" s="87" t="n"/>
      <c r="QWT1" s="87" t="n"/>
      <c r="QWU1" s="87" t="n"/>
      <c r="QWV1" s="87" t="n"/>
      <c r="QWW1" s="87" t="n"/>
      <c r="QWX1" s="87" t="n"/>
      <c r="QWY1" s="87" t="n"/>
      <c r="QWZ1" s="87" t="n"/>
      <c r="QXA1" s="87" t="n"/>
      <c r="QXB1" s="87" t="n"/>
      <c r="QXC1" s="87" t="n"/>
      <c r="QXD1" s="87" t="n"/>
      <c r="QXE1" s="87" t="n"/>
      <c r="QXF1" s="87" t="n"/>
      <c r="QXG1" s="87" t="n"/>
      <c r="QXH1" s="87" t="n"/>
      <c r="QXI1" s="87" t="n"/>
      <c r="QXJ1" s="87" t="n"/>
      <c r="QXK1" s="87" t="n"/>
      <c r="QXL1" s="87" t="n"/>
      <c r="QXM1" s="87" t="n"/>
      <c r="QXN1" s="87" t="n"/>
      <c r="QXO1" s="87" t="n"/>
      <c r="QXP1" s="87" t="n"/>
      <c r="QXQ1" s="87" t="n"/>
      <c r="QXR1" s="87" t="n"/>
      <c r="QXS1" s="87" t="n"/>
      <c r="QXT1" s="87" t="n"/>
      <c r="QXU1" s="87" t="n"/>
      <c r="QXV1" s="87" t="n"/>
      <c r="QXW1" s="87" t="n"/>
      <c r="QXX1" s="87" t="n"/>
      <c r="QXY1" s="87" t="n"/>
      <c r="QXZ1" s="87" t="n"/>
      <c r="QYA1" s="87" t="n"/>
      <c r="QYB1" s="87" t="n"/>
      <c r="QYC1" s="87" t="n"/>
      <c r="QYD1" s="87" t="n"/>
      <c r="QYE1" s="87" t="n"/>
      <c r="QYF1" s="87" t="n"/>
      <c r="QYG1" s="87" t="n"/>
      <c r="QYH1" s="87" t="n"/>
      <c r="QYI1" s="87" t="n"/>
      <c r="QYJ1" s="87" t="n"/>
      <c r="QYK1" s="87" t="n"/>
      <c r="QYL1" s="87" t="n"/>
      <c r="QYM1" s="87" t="n"/>
      <c r="QYN1" s="87" t="n"/>
      <c r="QYO1" s="87" t="n"/>
      <c r="QYP1" s="87" t="n"/>
      <c r="QYQ1" s="87" t="n"/>
      <c r="QYR1" s="87" t="n"/>
      <c r="QYS1" s="87" t="n"/>
      <c r="QYT1" s="87" t="n"/>
      <c r="QYU1" s="87" t="n"/>
      <c r="QYV1" s="87" t="n"/>
      <c r="QYW1" s="87" t="n"/>
      <c r="QYX1" s="87" t="n"/>
      <c r="QYY1" s="87" t="n"/>
      <c r="QYZ1" s="87" t="n"/>
      <c r="QZA1" s="87" t="n"/>
      <c r="QZB1" s="87" t="n"/>
      <c r="QZC1" s="87" t="n"/>
      <c r="QZD1" s="87" t="n"/>
      <c r="QZE1" s="87" t="n"/>
      <c r="QZF1" s="87" t="n"/>
      <c r="QZG1" s="87" t="n"/>
      <c r="QZH1" s="87" t="n"/>
      <c r="QZI1" s="87" t="n"/>
      <c r="QZJ1" s="87" t="n"/>
      <c r="QZK1" s="87" t="n"/>
      <c r="QZL1" s="87" t="n"/>
      <c r="QZM1" s="87" t="n"/>
      <c r="QZN1" s="87" t="n"/>
      <c r="QZO1" s="87" t="n"/>
      <c r="QZP1" s="87" t="n"/>
      <c r="QZQ1" s="87" t="n"/>
      <c r="QZR1" s="87" t="n"/>
      <c r="QZS1" s="87" t="n"/>
      <c r="QZT1" s="87" t="n"/>
      <c r="QZU1" s="87" t="n"/>
      <c r="QZV1" s="87" t="n"/>
      <c r="QZW1" s="87" t="n"/>
      <c r="QZX1" s="87" t="n"/>
      <c r="QZY1" s="87" t="n"/>
      <c r="QZZ1" s="87" t="n"/>
      <c r="RAA1" s="87" t="n"/>
      <c r="RAB1" s="87" t="n"/>
      <c r="RAC1" s="87" t="n"/>
      <c r="RAD1" s="87" t="n"/>
      <c r="RAE1" s="87" t="n"/>
      <c r="RAF1" s="87" t="n"/>
      <c r="RAG1" s="87" t="n"/>
      <c r="RAH1" s="87" t="n"/>
      <c r="RAI1" s="87" t="n"/>
      <c r="RAJ1" s="87" t="n"/>
      <c r="RAK1" s="87" t="n"/>
      <c r="RAL1" s="87" t="n"/>
      <c r="RAM1" s="87" t="n"/>
      <c r="RAN1" s="87" t="n"/>
      <c r="RAO1" s="87" t="n"/>
      <c r="RAP1" s="87" t="n"/>
      <c r="RAQ1" s="87" t="n"/>
      <c r="RAR1" s="87" t="n"/>
      <c r="RAS1" s="87" t="n"/>
      <c r="RAT1" s="87" t="n"/>
      <c r="RAU1" s="87" t="n"/>
      <c r="RAV1" s="87" t="n"/>
      <c r="RAW1" s="87" t="n"/>
      <c r="RAX1" s="87" t="n"/>
      <c r="RAY1" s="87" t="n"/>
      <c r="RAZ1" s="87" t="n"/>
      <c r="RBA1" s="87" t="n"/>
      <c r="RBB1" s="87" t="n"/>
      <c r="RBC1" s="87" t="n"/>
      <c r="RBD1" s="87" t="n"/>
      <c r="RBE1" s="87" t="n"/>
      <c r="RBF1" s="87" t="n"/>
      <c r="RBG1" s="87" t="n"/>
      <c r="RBH1" s="87" t="n"/>
      <c r="RBI1" s="87" t="n"/>
      <c r="RBJ1" s="87" t="n"/>
      <c r="RBK1" s="87" t="n"/>
      <c r="RBL1" s="87" t="n"/>
      <c r="RBM1" s="87" t="n"/>
      <c r="RBN1" s="87" t="n"/>
      <c r="RBO1" s="87" t="n"/>
      <c r="RBP1" s="87" t="n"/>
      <c r="RBQ1" s="87" t="n"/>
      <c r="RBR1" s="87" t="n"/>
      <c r="RBS1" s="87" t="n"/>
      <c r="RBT1" s="87" t="n"/>
      <c r="RBU1" s="87" t="n"/>
      <c r="RBV1" s="87" t="n"/>
      <c r="RBW1" s="87" t="n"/>
      <c r="RBX1" s="87" t="n"/>
      <c r="RBY1" s="87" t="n"/>
      <c r="RBZ1" s="87" t="n"/>
      <c r="RCA1" s="87" t="n"/>
      <c r="RCB1" s="87" t="n"/>
      <c r="RCC1" s="87" t="n"/>
      <c r="RCD1" s="87" t="n"/>
      <c r="RCE1" s="87" t="n"/>
      <c r="RCF1" s="87" t="n"/>
      <c r="RCG1" s="87" t="n"/>
      <c r="RCH1" s="87" t="n"/>
      <c r="RCI1" s="87" t="n"/>
      <c r="RCJ1" s="87" t="n"/>
      <c r="RCK1" s="87" t="n"/>
      <c r="RCL1" s="87" t="n"/>
      <c r="RCM1" s="87" t="n"/>
      <c r="RCN1" s="87" t="n"/>
      <c r="RCO1" s="87" t="n"/>
      <c r="RCP1" s="87" t="n"/>
      <c r="RCQ1" s="87" t="n"/>
      <c r="RCR1" s="87" t="n"/>
      <c r="RCS1" s="87" t="n"/>
      <c r="RCT1" s="87" t="n"/>
      <c r="RCU1" s="87" t="n"/>
      <c r="RCV1" s="87" t="n"/>
      <c r="RCW1" s="87" t="n"/>
      <c r="RCX1" s="87" t="n"/>
      <c r="RCY1" s="87" t="n"/>
      <c r="RCZ1" s="87" t="n"/>
      <c r="RDA1" s="87" t="n"/>
      <c r="RDB1" s="87" t="n"/>
      <c r="RDC1" s="87" t="n"/>
      <c r="RDD1" s="87" t="n"/>
      <c r="RDE1" s="87" t="n"/>
      <c r="RDF1" s="87" t="n"/>
      <c r="RDG1" s="87" t="n"/>
      <c r="RDH1" s="87" t="n"/>
      <c r="RDI1" s="87" t="n"/>
      <c r="RDJ1" s="87" t="n"/>
      <c r="RDK1" s="87" t="n"/>
      <c r="RDL1" s="87" t="n"/>
      <c r="RDM1" s="87" t="n"/>
      <c r="RDN1" s="87" t="n"/>
      <c r="RDO1" s="87" t="n"/>
      <c r="RDP1" s="87" t="n"/>
      <c r="RDQ1" s="87" t="n"/>
      <c r="RDR1" s="87" t="n"/>
      <c r="RDS1" s="87" t="n"/>
      <c r="RDT1" s="87" t="n"/>
      <c r="RDU1" s="87" t="n"/>
      <c r="RDV1" s="87" t="n"/>
      <c r="RDW1" s="87" t="n"/>
      <c r="RDX1" s="87" t="n"/>
      <c r="RDY1" s="87" t="n"/>
      <c r="RDZ1" s="87" t="n"/>
      <c r="REA1" s="87" t="n"/>
      <c r="REB1" s="87" t="n"/>
      <c r="REC1" s="87" t="n"/>
      <c r="RED1" s="87" t="n"/>
      <c r="REE1" s="87" t="n"/>
      <c r="REF1" s="87" t="n"/>
      <c r="REG1" s="87" t="n"/>
      <c r="REH1" s="87" t="n"/>
      <c r="REI1" s="87" t="n"/>
      <c r="REJ1" s="87" t="n"/>
      <c r="REK1" s="87" t="n"/>
      <c r="REL1" s="87" t="n"/>
      <c r="REM1" s="87" t="n"/>
      <c r="REN1" s="87" t="n"/>
      <c r="REO1" s="87" t="n"/>
      <c r="REP1" s="87" t="n"/>
      <c r="REQ1" s="87" t="n"/>
      <c r="RER1" s="87" t="n"/>
      <c r="RES1" s="87" t="n"/>
      <c r="RET1" s="87" t="n"/>
      <c r="REU1" s="87" t="n"/>
      <c r="REV1" s="87" t="n"/>
      <c r="REW1" s="87" t="n"/>
      <c r="REX1" s="87" t="n"/>
      <c r="REY1" s="87" t="n"/>
      <c r="REZ1" s="87" t="n"/>
      <c r="RFA1" s="87" t="n"/>
      <c r="RFB1" s="87" t="n"/>
      <c r="RFC1" s="87" t="n"/>
      <c r="RFD1" s="87" t="n"/>
      <c r="RFE1" s="87" t="n"/>
      <c r="RFF1" s="87" t="n"/>
      <c r="RFG1" s="87" t="n"/>
      <c r="RFH1" s="87" t="n"/>
      <c r="RFI1" s="87" t="n"/>
      <c r="RFJ1" s="87" t="n"/>
      <c r="RFK1" s="87" t="n"/>
      <c r="RFL1" s="87" t="n"/>
      <c r="RFM1" s="87" t="n"/>
      <c r="RFN1" s="87" t="n"/>
      <c r="RFO1" s="87" t="n"/>
      <c r="RFP1" s="87" t="n"/>
      <c r="RFQ1" s="87" t="n"/>
      <c r="RFR1" s="87" t="n"/>
      <c r="RFS1" s="87" t="n"/>
      <c r="RFT1" s="87" t="n"/>
      <c r="RFU1" s="87" t="n"/>
      <c r="RFV1" s="87" t="n"/>
      <c r="RFW1" s="87" t="n"/>
      <c r="RFX1" s="87" t="n"/>
      <c r="RFY1" s="87" t="n"/>
      <c r="RFZ1" s="87" t="n"/>
      <c r="RGA1" s="87" t="n"/>
      <c r="RGB1" s="87" t="n"/>
      <c r="RGC1" s="87" t="n"/>
      <c r="RGD1" s="87" t="n"/>
      <c r="RGE1" s="87" t="n"/>
      <c r="RGF1" s="87" t="n"/>
      <c r="RGG1" s="87" t="n"/>
      <c r="RGH1" s="87" t="n"/>
      <c r="RGI1" s="87" t="n"/>
      <c r="RGJ1" s="87" t="n"/>
      <c r="RGK1" s="87" t="n"/>
      <c r="RGL1" s="87" t="n"/>
      <c r="RGM1" s="87" t="n"/>
      <c r="RGN1" s="87" t="n"/>
      <c r="RGO1" s="87" t="n"/>
      <c r="RGP1" s="87" t="n"/>
      <c r="RGQ1" s="87" t="n"/>
      <c r="RGR1" s="87" t="n"/>
      <c r="RGS1" s="87" t="n"/>
      <c r="RGT1" s="87" t="n"/>
      <c r="RGU1" s="87" t="n"/>
      <c r="RGV1" s="87" t="n"/>
      <c r="RGW1" s="87" t="n"/>
      <c r="RGX1" s="87" t="n"/>
      <c r="RGY1" s="87" t="n"/>
      <c r="RGZ1" s="87" t="n"/>
      <c r="RHA1" s="87" t="n"/>
      <c r="RHB1" s="87" t="n"/>
      <c r="RHC1" s="87" t="n"/>
      <c r="RHD1" s="87" t="n"/>
      <c r="RHE1" s="87" t="n"/>
      <c r="RHF1" s="87" t="n"/>
      <c r="RHG1" s="87" t="n"/>
      <c r="RHH1" s="87" t="n"/>
      <c r="RHI1" s="87" t="n"/>
      <c r="RHJ1" s="87" t="n"/>
      <c r="RHK1" s="87" t="n"/>
      <c r="RHL1" s="87" t="n"/>
      <c r="RHM1" s="87" t="n"/>
      <c r="RHN1" s="87" t="n"/>
      <c r="RHO1" s="87" t="n"/>
      <c r="RHP1" s="87" t="n"/>
      <c r="RHQ1" s="87" t="n"/>
      <c r="RHR1" s="87" t="n"/>
      <c r="RHS1" s="87" t="n"/>
      <c r="RHT1" s="87" t="n"/>
      <c r="RHU1" s="87" t="n"/>
      <c r="RHV1" s="87" t="n"/>
      <c r="RHW1" s="87" t="n"/>
      <c r="RHX1" s="87" t="n"/>
      <c r="RHY1" s="87" t="n"/>
      <c r="RHZ1" s="87" t="n"/>
      <c r="RIA1" s="87" t="n"/>
      <c r="RIB1" s="87" t="n"/>
      <c r="RIC1" s="87" t="n"/>
      <c r="RID1" s="87" t="n"/>
      <c r="RIE1" s="87" t="n"/>
      <c r="RIF1" s="87" t="n"/>
      <c r="RIG1" s="87" t="n"/>
      <c r="RIH1" s="87" t="n"/>
      <c r="RII1" s="87" t="n"/>
      <c r="RIJ1" s="87" t="n"/>
      <c r="RIK1" s="87" t="n"/>
      <c r="RIL1" s="87" t="n"/>
      <c r="RIM1" s="87" t="n"/>
      <c r="RIN1" s="87" t="n"/>
      <c r="RIO1" s="87" t="n"/>
      <c r="RIP1" s="87" t="n"/>
      <c r="RIQ1" s="87" t="n"/>
      <c r="RIR1" s="87" t="n"/>
      <c r="RIS1" s="87" t="n"/>
      <c r="RIT1" s="87" t="n"/>
      <c r="RIU1" s="87" t="n"/>
      <c r="RIV1" s="87" t="n"/>
      <c r="RIW1" s="87" t="n"/>
      <c r="RIX1" s="87" t="n"/>
      <c r="RIY1" s="87" t="n"/>
      <c r="RIZ1" s="87" t="n"/>
      <c r="RJA1" s="87" t="n"/>
      <c r="RJB1" s="87" t="n"/>
      <c r="RJC1" s="87" t="n"/>
      <c r="RJD1" s="87" t="n"/>
      <c r="RJE1" s="87" t="n"/>
      <c r="RJF1" s="87" t="n"/>
      <c r="RJG1" s="87" t="n"/>
      <c r="RJH1" s="87" t="n"/>
      <c r="RJI1" s="87" t="n"/>
      <c r="RJJ1" s="87" t="n"/>
      <c r="RJK1" s="87" t="n"/>
      <c r="RJL1" s="87" t="n"/>
      <c r="RJM1" s="87" t="n"/>
      <c r="RJN1" s="87" t="n"/>
      <c r="RJO1" s="87" t="n"/>
      <c r="RJP1" s="87" t="n"/>
      <c r="RJQ1" s="87" t="n"/>
      <c r="RJR1" s="87" t="n"/>
      <c r="RJS1" s="87" t="n"/>
      <c r="RJT1" s="87" t="n"/>
      <c r="RJU1" s="87" t="n"/>
      <c r="RJV1" s="87" t="n"/>
      <c r="RJW1" s="87" t="n"/>
      <c r="RJX1" s="87" t="n"/>
      <c r="RJY1" s="87" t="n"/>
      <c r="RJZ1" s="87" t="n"/>
      <c r="RKA1" s="87" t="n"/>
      <c r="RKB1" s="87" t="n"/>
      <c r="RKC1" s="87" t="n"/>
      <c r="RKD1" s="87" t="n"/>
      <c r="RKE1" s="87" t="n"/>
      <c r="RKF1" s="87" t="n"/>
      <c r="RKG1" s="87" t="n"/>
      <c r="RKH1" s="87" t="n"/>
      <c r="RKI1" s="87" t="n"/>
      <c r="RKJ1" s="87" t="n"/>
      <c r="RKK1" s="87" t="n"/>
      <c r="RKL1" s="87" t="n"/>
      <c r="RKM1" s="87" t="n"/>
      <c r="RKN1" s="87" t="n"/>
      <c r="RKO1" s="87" t="n"/>
      <c r="RKP1" s="87" t="n"/>
      <c r="RKQ1" s="87" t="n"/>
      <c r="RKR1" s="87" t="n"/>
      <c r="RKS1" s="87" t="n"/>
      <c r="RKT1" s="87" t="n"/>
      <c r="RKU1" s="87" t="n"/>
      <c r="RKV1" s="87" t="n"/>
      <c r="RKW1" s="87" t="n"/>
      <c r="RKX1" s="87" t="n"/>
      <c r="RKY1" s="87" t="n"/>
      <c r="RKZ1" s="87" t="n"/>
      <c r="RLA1" s="87" t="n"/>
      <c r="RLB1" s="87" t="n"/>
      <c r="RLC1" s="87" t="n"/>
      <c r="RLD1" s="87" t="n"/>
      <c r="RLE1" s="87" t="n"/>
      <c r="RLF1" s="87" t="n"/>
      <c r="RLG1" s="87" t="n"/>
      <c r="RLH1" s="87" t="n"/>
      <c r="RLI1" s="87" t="n"/>
      <c r="RLJ1" s="87" t="n"/>
      <c r="RLK1" s="87" t="n"/>
      <c r="RLL1" s="87" t="n"/>
      <c r="RLM1" s="87" t="n"/>
      <c r="RLN1" s="87" t="n"/>
      <c r="RLO1" s="87" t="n"/>
      <c r="RLP1" s="87" t="n"/>
      <c r="RLQ1" s="87" t="n"/>
      <c r="RLR1" s="87" t="n"/>
      <c r="RLS1" s="87" t="n"/>
      <c r="RLT1" s="87" t="n"/>
      <c r="RLU1" s="87" t="n"/>
      <c r="RLV1" s="87" t="n"/>
      <c r="RLW1" s="87" t="n"/>
      <c r="RLX1" s="87" t="n"/>
      <c r="RLY1" s="87" t="n"/>
      <c r="RLZ1" s="87" t="n"/>
      <c r="RMA1" s="87" t="n"/>
      <c r="RMB1" s="87" t="n"/>
      <c r="RMC1" s="87" t="n"/>
      <c r="RMD1" s="87" t="n"/>
      <c r="RME1" s="87" t="n"/>
      <c r="RMF1" s="87" t="n"/>
      <c r="RMG1" s="87" t="n"/>
      <c r="RMH1" s="87" t="n"/>
      <c r="RMI1" s="87" t="n"/>
      <c r="RMJ1" s="87" t="n"/>
      <c r="RMK1" s="87" t="n"/>
      <c r="RML1" s="87" t="n"/>
      <c r="RMM1" s="87" t="n"/>
      <c r="RMN1" s="87" t="n"/>
      <c r="RMO1" s="87" t="n"/>
      <c r="RMP1" s="87" t="n"/>
      <c r="RMQ1" s="87" t="n"/>
      <c r="RMR1" s="87" t="n"/>
      <c r="RMS1" s="87" t="n"/>
      <c r="RMT1" s="87" t="n"/>
      <c r="RMU1" s="87" t="n"/>
      <c r="RMV1" s="87" t="n"/>
      <c r="RMW1" s="87" t="n"/>
      <c r="RMX1" s="87" t="n"/>
      <c r="RMY1" s="87" t="n"/>
      <c r="RMZ1" s="87" t="n"/>
      <c r="RNA1" s="87" t="n"/>
      <c r="RNB1" s="87" t="n"/>
      <c r="RNC1" s="87" t="n"/>
      <c r="RND1" s="87" t="n"/>
      <c r="RNE1" s="87" t="n"/>
      <c r="RNF1" s="87" t="n"/>
      <c r="RNG1" s="87" t="n"/>
      <c r="RNH1" s="87" t="n"/>
      <c r="RNI1" s="87" t="n"/>
      <c r="RNJ1" s="87" t="n"/>
      <c r="RNK1" s="87" t="n"/>
      <c r="RNL1" s="87" t="n"/>
      <c r="RNM1" s="87" t="n"/>
      <c r="RNN1" s="87" t="n"/>
      <c r="RNO1" s="87" t="n"/>
      <c r="RNP1" s="87" t="n"/>
      <c r="RNQ1" s="87" t="n"/>
      <c r="RNR1" s="87" t="n"/>
      <c r="RNS1" s="87" t="n"/>
      <c r="RNT1" s="87" t="n"/>
      <c r="RNU1" s="87" t="n"/>
      <c r="RNV1" s="87" t="n"/>
      <c r="RNW1" s="87" t="n"/>
      <c r="RNX1" s="87" t="n"/>
      <c r="RNY1" s="87" t="n"/>
      <c r="RNZ1" s="87" t="n"/>
      <c r="ROA1" s="87" t="n"/>
      <c r="ROB1" s="87" t="n"/>
      <c r="ROC1" s="87" t="n"/>
      <c r="ROD1" s="87" t="n"/>
      <c r="ROE1" s="87" t="n"/>
      <c r="ROF1" s="87" t="n"/>
      <c r="ROG1" s="87" t="n"/>
      <c r="ROH1" s="87" t="n"/>
      <c r="ROI1" s="87" t="n"/>
      <c r="ROJ1" s="87" t="n"/>
      <c r="ROK1" s="87" t="n"/>
      <c r="ROL1" s="87" t="n"/>
      <c r="ROM1" s="87" t="n"/>
      <c r="RON1" s="87" t="n"/>
      <c r="ROO1" s="87" t="n"/>
      <c r="ROP1" s="87" t="n"/>
      <c r="ROQ1" s="87" t="n"/>
      <c r="ROR1" s="87" t="n"/>
      <c r="ROS1" s="87" t="n"/>
      <c r="ROT1" s="87" t="n"/>
      <c r="ROU1" s="87" t="n"/>
      <c r="ROV1" s="87" t="n"/>
      <c r="ROW1" s="87" t="n"/>
      <c r="ROX1" s="87" t="n"/>
      <c r="ROY1" s="87" t="n"/>
      <c r="ROZ1" s="87" t="n"/>
      <c r="RPA1" s="87" t="n"/>
      <c r="RPB1" s="87" t="n"/>
      <c r="RPC1" s="87" t="n"/>
      <c r="RPD1" s="87" t="n"/>
      <c r="RPE1" s="87" t="n"/>
      <c r="RPF1" s="87" t="n"/>
      <c r="RPG1" s="87" t="n"/>
      <c r="RPH1" s="87" t="n"/>
      <c r="RPI1" s="87" t="n"/>
      <c r="RPJ1" s="87" t="n"/>
      <c r="RPK1" s="87" t="n"/>
      <c r="RPL1" s="87" t="n"/>
      <c r="RPM1" s="87" t="n"/>
      <c r="RPN1" s="87" t="n"/>
      <c r="RPO1" s="87" t="n"/>
      <c r="RPP1" s="87" t="n"/>
      <c r="RPQ1" s="87" t="n"/>
      <c r="RPR1" s="87" t="n"/>
      <c r="RPS1" s="87" t="n"/>
      <c r="RPT1" s="87" t="n"/>
      <c r="RPU1" s="87" t="n"/>
      <c r="RPV1" s="87" t="n"/>
      <c r="RPW1" s="87" t="n"/>
      <c r="RPX1" s="87" t="n"/>
      <c r="RPY1" s="87" t="n"/>
      <c r="RPZ1" s="87" t="n"/>
      <c r="RQA1" s="87" t="n"/>
      <c r="RQB1" s="87" t="n"/>
      <c r="RQC1" s="87" t="n"/>
      <c r="RQD1" s="87" t="n"/>
      <c r="RQE1" s="87" t="n"/>
      <c r="RQF1" s="87" t="n"/>
      <c r="RQG1" s="87" t="n"/>
      <c r="RQH1" s="87" t="n"/>
      <c r="RQI1" s="87" t="n"/>
      <c r="RQJ1" s="87" t="n"/>
      <c r="RQK1" s="87" t="n"/>
      <c r="RQL1" s="87" t="n"/>
      <c r="RQM1" s="87" t="n"/>
      <c r="RQN1" s="87" t="n"/>
      <c r="RQO1" s="87" t="n"/>
      <c r="RQP1" s="87" t="n"/>
      <c r="RQQ1" s="87" t="n"/>
      <c r="RQR1" s="87" t="n"/>
      <c r="RQS1" s="87" t="n"/>
      <c r="RQT1" s="87" t="n"/>
      <c r="RQU1" s="87" t="n"/>
      <c r="RQV1" s="87" t="n"/>
      <c r="RQW1" s="87" t="n"/>
      <c r="RQX1" s="87" t="n"/>
      <c r="RQY1" s="87" t="n"/>
      <c r="RQZ1" s="87" t="n"/>
      <c r="RRA1" s="87" t="n"/>
      <c r="RRB1" s="87" t="n"/>
      <c r="RRC1" s="87" t="n"/>
      <c r="RRD1" s="87" t="n"/>
      <c r="RRE1" s="87" t="n"/>
      <c r="RRF1" s="87" t="n"/>
      <c r="RRG1" s="87" t="n"/>
      <c r="RRH1" s="87" t="n"/>
      <c r="RRI1" s="87" t="n"/>
      <c r="RRJ1" s="87" t="n"/>
      <c r="RRK1" s="87" t="n"/>
      <c r="RRL1" s="87" t="n"/>
      <c r="RRM1" s="87" t="n"/>
      <c r="RRN1" s="87" t="n"/>
      <c r="RRO1" s="87" t="n"/>
      <c r="RRP1" s="87" t="n"/>
      <c r="RRQ1" s="87" t="n"/>
      <c r="RRR1" s="87" t="n"/>
      <c r="RRS1" s="87" t="n"/>
      <c r="RRT1" s="87" t="n"/>
      <c r="RRU1" s="87" t="n"/>
      <c r="RRV1" s="87" t="n"/>
      <c r="RRW1" s="87" t="n"/>
      <c r="RRX1" s="87" t="n"/>
      <c r="RRY1" s="87" t="n"/>
      <c r="RRZ1" s="87" t="n"/>
      <c r="RSA1" s="87" t="n"/>
      <c r="RSB1" s="87" t="n"/>
      <c r="RSC1" s="87" t="n"/>
      <c r="RSD1" s="87" t="n"/>
      <c r="RSE1" s="87" t="n"/>
      <c r="RSF1" s="87" t="n"/>
      <c r="RSG1" s="87" t="n"/>
      <c r="RSH1" s="87" t="n"/>
      <c r="RSI1" s="87" t="n"/>
      <c r="RSJ1" s="87" t="n"/>
      <c r="RSK1" s="87" t="n"/>
      <c r="RSL1" s="87" t="n"/>
      <c r="RSM1" s="87" t="n"/>
      <c r="RSN1" s="87" t="n"/>
      <c r="RSO1" s="87" t="n"/>
      <c r="RSP1" s="87" t="n"/>
      <c r="RSQ1" s="87" t="n"/>
      <c r="RSR1" s="87" t="n"/>
      <c r="RSS1" s="87" t="n"/>
      <c r="RST1" s="87" t="n"/>
      <c r="RSU1" s="87" t="n"/>
      <c r="RSV1" s="87" t="n"/>
      <c r="RSW1" s="87" t="n"/>
      <c r="RSX1" s="87" t="n"/>
      <c r="RSY1" s="87" t="n"/>
      <c r="RSZ1" s="87" t="n"/>
      <c r="RTA1" s="87" t="n"/>
      <c r="RTB1" s="87" t="n"/>
      <c r="RTC1" s="87" t="n"/>
      <c r="RTD1" s="87" t="n"/>
      <c r="RTE1" s="87" t="n"/>
      <c r="RTF1" s="87" t="n"/>
      <c r="RTG1" s="87" t="n"/>
      <c r="RTH1" s="87" t="n"/>
      <c r="RTI1" s="87" t="n"/>
      <c r="RTJ1" s="87" t="n"/>
      <c r="RTK1" s="87" t="n"/>
      <c r="RTL1" s="87" t="n"/>
      <c r="RTM1" s="87" t="n"/>
      <c r="RTN1" s="87" t="n"/>
      <c r="RTO1" s="87" t="n"/>
      <c r="RTP1" s="87" t="n"/>
      <c r="RTQ1" s="87" t="n"/>
      <c r="RTR1" s="87" t="n"/>
      <c r="RTS1" s="87" t="n"/>
      <c r="RTT1" s="87" t="n"/>
      <c r="RTU1" s="87" t="n"/>
      <c r="RTV1" s="87" t="n"/>
      <c r="RTW1" s="87" t="n"/>
      <c r="RTX1" s="87" t="n"/>
      <c r="RTY1" s="87" t="n"/>
      <c r="RTZ1" s="87" t="n"/>
      <c r="RUA1" s="87" t="n"/>
      <c r="RUB1" s="87" t="n"/>
      <c r="RUC1" s="87" t="n"/>
      <c r="RUD1" s="87" t="n"/>
      <c r="RUE1" s="87" t="n"/>
      <c r="RUF1" s="87" t="n"/>
      <c r="RUG1" s="87" t="n"/>
      <c r="RUH1" s="87" t="n"/>
      <c r="RUI1" s="87" t="n"/>
      <c r="RUJ1" s="87" t="n"/>
      <c r="RUK1" s="87" t="n"/>
      <c r="RUL1" s="87" t="n"/>
      <c r="RUM1" s="87" t="n"/>
      <c r="RUN1" s="87" t="n"/>
      <c r="RUO1" s="87" t="n"/>
      <c r="RUP1" s="87" t="n"/>
      <c r="RUQ1" s="87" t="n"/>
      <c r="RUR1" s="87" t="n"/>
      <c r="RUS1" s="87" t="n"/>
      <c r="RUT1" s="87" t="n"/>
      <c r="RUU1" s="87" t="n"/>
      <c r="RUV1" s="87" t="n"/>
      <c r="RUW1" s="87" t="n"/>
      <c r="RUX1" s="87" t="n"/>
      <c r="RUY1" s="87" t="n"/>
      <c r="RUZ1" s="87" t="n"/>
      <c r="RVA1" s="87" t="n"/>
      <c r="RVB1" s="87" t="n"/>
      <c r="RVC1" s="87" t="n"/>
      <c r="RVD1" s="87" t="n"/>
      <c r="RVE1" s="87" t="n"/>
      <c r="RVF1" s="87" t="n"/>
      <c r="RVG1" s="87" t="n"/>
      <c r="RVH1" s="87" t="n"/>
      <c r="RVI1" s="87" t="n"/>
      <c r="RVJ1" s="87" t="n"/>
      <c r="RVK1" s="87" t="n"/>
      <c r="RVL1" s="87" t="n"/>
      <c r="RVM1" s="87" t="n"/>
      <c r="RVN1" s="87" t="n"/>
      <c r="RVO1" s="87" t="n"/>
      <c r="RVP1" s="87" t="n"/>
      <c r="RVQ1" s="87" t="n"/>
      <c r="RVR1" s="87" t="n"/>
      <c r="RVS1" s="87" t="n"/>
      <c r="RVT1" s="87" t="n"/>
      <c r="RVU1" s="87" t="n"/>
      <c r="RVV1" s="87" t="n"/>
      <c r="RVW1" s="87" t="n"/>
      <c r="RVX1" s="87" t="n"/>
      <c r="RVY1" s="87" t="n"/>
      <c r="RVZ1" s="87" t="n"/>
      <c r="RWA1" s="87" t="n"/>
      <c r="RWB1" s="87" t="n"/>
      <c r="RWC1" s="87" t="n"/>
      <c r="RWD1" s="87" t="n"/>
      <c r="RWE1" s="87" t="n"/>
      <c r="RWF1" s="87" t="n"/>
      <c r="RWG1" s="87" t="n"/>
      <c r="RWH1" s="87" t="n"/>
      <c r="RWI1" s="87" t="n"/>
      <c r="RWJ1" s="87" t="n"/>
      <c r="RWK1" s="87" t="n"/>
      <c r="RWL1" s="87" t="n"/>
      <c r="RWM1" s="87" t="n"/>
      <c r="RWN1" s="87" t="n"/>
      <c r="RWO1" s="87" t="n"/>
      <c r="RWP1" s="87" t="n"/>
      <c r="RWQ1" s="87" t="n"/>
      <c r="RWR1" s="87" t="n"/>
      <c r="RWS1" s="87" t="n"/>
      <c r="RWT1" s="87" t="n"/>
      <c r="RWU1" s="87" t="n"/>
      <c r="RWV1" s="87" t="n"/>
      <c r="RWW1" s="87" t="n"/>
      <c r="RWX1" s="87" t="n"/>
      <c r="RWY1" s="87" t="n"/>
      <c r="RWZ1" s="87" t="n"/>
      <c r="RXA1" s="87" t="n"/>
      <c r="RXB1" s="87" t="n"/>
      <c r="RXC1" s="87" t="n"/>
      <c r="RXD1" s="87" t="n"/>
      <c r="RXE1" s="87" t="n"/>
      <c r="RXF1" s="87" t="n"/>
      <c r="RXG1" s="87" t="n"/>
      <c r="RXH1" s="87" t="n"/>
      <c r="RXI1" s="87" t="n"/>
      <c r="RXJ1" s="87" t="n"/>
      <c r="RXK1" s="87" t="n"/>
      <c r="RXL1" s="87" t="n"/>
      <c r="RXM1" s="87" t="n"/>
      <c r="RXN1" s="87" t="n"/>
      <c r="RXO1" s="87" t="n"/>
      <c r="RXP1" s="87" t="n"/>
      <c r="RXQ1" s="87" t="n"/>
      <c r="RXR1" s="87" t="n"/>
      <c r="RXS1" s="87" t="n"/>
      <c r="RXT1" s="87" t="n"/>
      <c r="RXU1" s="87" t="n"/>
      <c r="RXV1" s="87" t="n"/>
      <c r="RXW1" s="87" t="n"/>
      <c r="RXX1" s="87" t="n"/>
      <c r="RXY1" s="87" t="n"/>
      <c r="RXZ1" s="87" t="n"/>
      <c r="RYA1" s="87" t="n"/>
      <c r="RYB1" s="87" t="n"/>
      <c r="RYC1" s="87" t="n"/>
      <c r="RYD1" s="87" t="n"/>
      <c r="RYE1" s="87" t="n"/>
      <c r="RYF1" s="87" t="n"/>
      <c r="RYG1" s="87" t="n"/>
      <c r="RYH1" s="87" t="n"/>
      <c r="RYI1" s="87" t="n"/>
      <c r="RYJ1" s="87" t="n"/>
      <c r="RYK1" s="87" t="n"/>
      <c r="RYL1" s="87" t="n"/>
      <c r="RYM1" s="87" t="n"/>
      <c r="RYN1" s="87" t="n"/>
      <c r="RYO1" s="87" t="n"/>
      <c r="RYP1" s="87" t="n"/>
      <c r="RYQ1" s="87" t="n"/>
      <c r="RYR1" s="87" t="n"/>
      <c r="RYS1" s="87" t="n"/>
      <c r="RYT1" s="87" t="n"/>
      <c r="RYU1" s="87" t="n"/>
      <c r="RYV1" s="87" t="n"/>
      <c r="RYW1" s="87" t="n"/>
      <c r="RYX1" s="87" t="n"/>
      <c r="RYY1" s="87" t="n"/>
      <c r="RYZ1" s="87" t="n"/>
      <c r="RZA1" s="87" t="n"/>
      <c r="RZB1" s="87" t="n"/>
      <c r="RZC1" s="87" t="n"/>
      <c r="RZD1" s="87" t="n"/>
      <c r="RZE1" s="87" t="n"/>
      <c r="RZF1" s="87" t="n"/>
      <c r="RZG1" s="87" t="n"/>
      <c r="RZH1" s="87" t="n"/>
      <c r="RZI1" s="87" t="n"/>
      <c r="RZJ1" s="87" t="n"/>
      <c r="RZK1" s="87" t="n"/>
      <c r="RZL1" s="87" t="n"/>
      <c r="RZM1" s="87" t="n"/>
      <c r="RZN1" s="87" t="n"/>
      <c r="RZO1" s="87" t="n"/>
      <c r="RZP1" s="87" t="n"/>
      <c r="RZQ1" s="87" t="n"/>
      <c r="RZR1" s="87" t="n"/>
      <c r="RZS1" s="87" t="n"/>
      <c r="RZT1" s="87" t="n"/>
      <c r="RZU1" s="87" t="n"/>
      <c r="RZV1" s="87" t="n"/>
      <c r="RZW1" s="87" t="n"/>
      <c r="RZX1" s="87" t="n"/>
      <c r="RZY1" s="87" t="n"/>
      <c r="RZZ1" s="87" t="n"/>
      <c r="SAA1" s="87" t="n"/>
      <c r="SAB1" s="87" t="n"/>
      <c r="SAC1" s="87" t="n"/>
      <c r="SAD1" s="87" t="n"/>
      <c r="SAE1" s="87" t="n"/>
      <c r="SAF1" s="87" t="n"/>
      <c r="SAG1" s="87" t="n"/>
      <c r="SAH1" s="87" t="n"/>
      <c r="SAI1" s="87" t="n"/>
      <c r="SAJ1" s="87" t="n"/>
      <c r="SAK1" s="87" t="n"/>
      <c r="SAL1" s="87" t="n"/>
      <c r="SAM1" s="87" t="n"/>
      <c r="SAN1" s="87" t="n"/>
      <c r="SAO1" s="87" t="n"/>
      <c r="SAP1" s="87" t="n"/>
      <c r="SAQ1" s="87" t="n"/>
      <c r="SAR1" s="87" t="n"/>
      <c r="SAS1" s="87" t="n"/>
      <c r="SAT1" s="87" t="n"/>
      <c r="SAU1" s="87" t="n"/>
      <c r="SAV1" s="87" t="n"/>
      <c r="SAW1" s="87" t="n"/>
      <c r="SAX1" s="87" t="n"/>
      <c r="SAY1" s="87" t="n"/>
      <c r="SAZ1" s="87" t="n"/>
      <c r="SBA1" s="87" t="n"/>
      <c r="SBB1" s="87" t="n"/>
      <c r="SBC1" s="87" t="n"/>
      <c r="SBD1" s="87" t="n"/>
      <c r="SBE1" s="87" t="n"/>
      <c r="SBF1" s="87" t="n"/>
      <c r="SBG1" s="87" t="n"/>
      <c r="SBH1" s="87" t="n"/>
      <c r="SBI1" s="87" t="n"/>
      <c r="SBJ1" s="87" t="n"/>
      <c r="SBK1" s="87" t="n"/>
      <c r="SBL1" s="87" t="n"/>
      <c r="SBM1" s="87" t="n"/>
      <c r="SBN1" s="87" t="n"/>
      <c r="SBO1" s="87" t="n"/>
      <c r="SBP1" s="87" t="n"/>
      <c r="SBQ1" s="87" t="n"/>
      <c r="SBR1" s="87" t="n"/>
      <c r="SBS1" s="87" t="n"/>
      <c r="SBT1" s="87" t="n"/>
      <c r="SBU1" s="87" t="n"/>
      <c r="SBV1" s="87" t="n"/>
      <c r="SBW1" s="87" t="n"/>
      <c r="SBX1" s="87" t="n"/>
      <c r="SBY1" s="87" t="n"/>
      <c r="SBZ1" s="87" t="n"/>
      <c r="SCA1" s="87" t="n"/>
      <c r="SCB1" s="87" t="n"/>
      <c r="SCC1" s="87" t="n"/>
      <c r="SCD1" s="87" t="n"/>
      <c r="SCE1" s="87" t="n"/>
      <c r="SCF1" s="87" t="n"/>
      <c r="SCG1" s="87" t="n"/>
      <c r="SCH1" s="87" t="n"/>
      <c r="SCI1" s="87" t="n"/>
      <c r="SCJ1" s="87" t="n"/>
      <c r="SCK1" s="87" t="n"/>
      <c r="SCL1" s="87" t="n"/>
      <c r="SCM1" s="87" t="n"/>
      <c r="SCN1" s="87" t="n"/>
      <c r="SCO1" s="87" t="n"/>
      <c r="SCP1" s="87" t="n"/>
      <c r="SCQ1" s="87" t="n"/>
      <c r="SCR1" s="87" t="n"/>
      <c r="SCS1" s="87" t="n"/>
      <c r="SCT1" s="87" t="n"/>
      <c r="SCU1" s="87" t="n"/>
      <c r="SCV1" s="87" t="n"/>
      <c r="SCW1" s="87" t="n"/>
      <c r="SCX1" s="87" t="n"/>
      <c r="SCY1" s="87" t="n"/>
      <c r="SCZ1" s="87" t="n"/>
      <c r="SDA1" s="87" t="n"/>
      <c r="SDB1" s="87" t="n"/>
      <c r="SDC1" s="87" t="n"/>
      <c r="SDD1" s="87" t="n"/>
      <c r="SDE1" s="87" t="n"/>
      <c r="SDF1" s="87" t="n"/>
      <c r="SDG1" s="87" t="n"/>
      <c r="SDH1" s="87" t="n"/>
      <c r="SDI1" s="87" t="n"/>
      <c r="SDJ1" s="87" t="n"/>
      <c r="SDK1" s="87" t="n"/>
      <c r="SDL1" s="87" t="n"/>
      <c r="SDM1" s="87" t="n"/>
      <c r="SDN1" s="87" t="n"/>
      <c r="SDO1" s="87" t="n"/>
      <c r="SDP1" s="87" t="n"/>
      <c r="SDQ1" s="87" t="n"/>
      <c r="SDR1" s="87" t="n"/>
      <c r="SDS1" s="87" t="n"/>
      <c r="SDT1" s="87" t="n"/>
      <c r="SDU1" s="87" t="n"/>
      <c r="SDV1" s="87" t="n"/>
      <c r="SDW1" s="87" t="n"/>
      <c r="SDX1" s="87" t="n"/>
      <c r="SDY1" s="87" t="n"/>
      <c r="SDZ1" s="87" t="n"/>
      <c r="SEA1" s="87" t="n"/>
      <c r="SEB1" s="87" t="n"/>
      <c r="SEC1" s="87" t="n"/>
      <c r="SED1" s="87" t="n"/>
      <c r="SEE1" s="87" t="n"/>
      <c r="SEF1" s="87" t="n"/>
      <c r="SEG1" s="87" t="n"/>
      <c r="SEH1" s="87" t="n"/>
      <c r="SEI1" s="87" t="n"/>
      <c r="SEJ1" s="87" t="n"/>
      <c r="SEK1" s="87" t="n"/>
      <c r="SEL1" s="87" t="n"/>
      <c r="SEM1" s="87" t="n"/>
      <c r="SEN1" s="87" t="n"/>
      <c r="SEO1" s="87" t="n"/>
      <c r="SEP1" s="87" t="n"/>
      <c r="SEQ1" s="87" t="n"/>
      <c r="SER1" s="87" t="n"/>
      <c r="SES1" s="87" t="n"/>
      <c r="SET1" s="87" t="n"/>
      <c r="SEU1" s="87" t="n"/>
      <c r="SEV1" s="87" t="n"/>
      <c r="SEW1" s="87" t="n"/>
      <c r="SEX1" s="87" t="n"/>
      <c r="SEY1" s="87" t="n"/>
      <c r="SEZ1" s="87" t="n"/>
      <c r="SFA1" s="87" t="n"/>
      <c r="SFB1" s="87" t="n"/>
      <c r="SFC1" s="87" t="n"/>
      <c r="SFD1" s="87" t="n"/>
      <c r="SFE1" s="87" t="n"/>
      <c r="SFF1" s="87" t="n"/>
      <c r="SFG1" s="87" t="n"/>
      <c r="SFH1" s="87" t="n"/>
      <c r="SFI1" s="87" t="n"/>
      <c r="SFJ1" s="87" t="n"/>
      <c r="SFK1" s="87" t="n"/>
      <c r="SFL1" s="87" t="n"/>
      <c r="SFM1" s="87" t="n"/>
      <c r="SFN1" s="87" t="n"/>
      <c r="SFO1" s="87" t="n"/>
      <c r="SFP1" s="87" t="n"/>
      <c r="SFQ1" s="87" t="n"/>
      <c r="SFR1" s="87" t="n"/>
      <c r="SFS1" s="87" t="n"/>
      <c r="SFT1" s="87" t="n"/>
      <c r="SFU1" s="87" t="n"/>
      <c r="SFV1" s="87" t="n"/>
      <c r="SFW1" s="87" t="n"/>
      <c r="SFX1" s="87" t="n"/>
      <c r="SFY1" s="87" t="n"/>
      <c r="SFZ1" s="87" t="n"/>
      <c r="SGA1" s="87" t="n"/>
      <c r="SGB1" s="87" t="n"/>
      <c r="SGC1" s="87" t="n"/>
      <c r="SGD1" s="87" t="n"/>
      <c r="SGE1" s="87" t="n"/>
      <c r="SGF1" s="87" t="n"/>
      <c r="SGG1" s="87" t="n"/>
      <c r="SGH1" s="87" t="n"/>
      <c r="SGI1" s="87" t="n"/>
      <c r="SGJ1" s="87" t="n"/>
      <c r="SGK1" s="87" t="n"/>
      <c r="SGL1" s="87" t="n"/>
      <c r="SGM1" s="87" t="n"/>
      <c r="SGN1" s="87" t="n"/>
      <c r="SGO1" s="87" t="n"/>
      <c r="SGP1" s="87" t="n"/>
      <c r="SGQ1" s="87" t="n"/>
      <c r="SGR1" s="87" t="n"/>
      <c r="SGS1" s="87" t="n"/>
      <c r="SGT1" s="87" t="n"/>
      <c r="SGU1" s="87" t="n"/>
      <c r="SGV1" s="87" t="n"/>
      <c r="SGW1" s="87" t="n"/>
      <c r="SGX1" s="87" t="n"/>
      <c r="SGY1" s="87" t="n"/>
      <c r="SGZ1" s="87" t="n"/>
      <c r="SHA1" s="87" t="n"/>
      <c r="SHB1" s="87" t="n"/>
      <c r="SHC1" s="87" t="n"/>
      <c r="SHD1" s="87" t="n"/>
      <c r="SHE1" s="87" t="n"/>
      <c r="SHF1" s="87" t="n"/>
      <c r="SHG1" s="87" t="n"/>
      <c r="SHH1" s="87" t="n"/>
      <c r="SHI1" s="87" t="n"/>
      <c r="SHJ1" s="87" t="n"/>
      <c r="SHK1" s="87" t="n"/>
      <c r="SHL1" s="87" t="n"/>
      <c r="SHM1" s="87" t="n"/>
      <c r="SHN1" s="87" t="n"/>
      <c r="SHO1" s="87" t="n"/>
      <c r="SHP1" s="87" t="n"/>
      <c r="SHQ1" s="87" t="n"/>
      <c r="SHR1" s="87" t="n"/>
      <c r="SHS1" s="87" t="n"/>
      <c r="SHT1" s="87" t="n"/>
      <c r="SHU1" s="87" t="n"/>
      <c r="SHV1" s="87" t="n"/>
      <c r="SHW1" s="87" t="n"/>
      <c r="SHX1" s="87" t="n"/>
      <c r="SHY1" s="87" t="n"/>
      <c r="SHZ1" s="87" t="n"/>
      <c r="SIA1" s="87" t="n"/>
      <c r="SIB1" s="87" t="n"/>
      <c r="SIC1" s="87" t="n"/>
      <c r="SID1" s="87" t="n"/>
      <c r="SIE1" s="87" t="n"/>
      <c r="SIF1" s="87" t="n"/>
      <c r="SIG1" s="87" t="n"/>
      <c r="SIH1" s="87" t="n"/>
      <c r="SII1" s="87" t="n"/>
      <c r="SIJ1" s="87" t="n"/>
      <c r="SIK1" s="87" t="n"/>
      <c r="SIL1" s="87" t="n"/>
      <c r="SIM1" s="87" t="n"/>
      <c r="SIN1" s="87" t="n"/>
      <c r="SIO1" s="87" t="n"/>
      <c r="SIP1" s="87" t="n"/>
      <c r="SIQ1" s="87" t="n"/>
      <c r="SIR1" s="87" t="n"/>
      <c r="SIS1" s="87" t="n"/>
      <c r="SIT1" s="87" t="n"/>
      <c r="SIU1" s="87" t="n"/>
      <c r="SIV1" s="87" t="n"/>
      <c r="SIW1" s="87" t="n"/>
      <c r="SIX1" s="87" t="n"/>
      <c r="SIY1" s="87" t="n"/>
      <c r="SIZ1" s="87" t="n"/>
      <c r="SJA1" s="87" t="n"/>
      <c r="SJB1" s="87" t="n"/>
      <c r="SJC1" s="87" t="n"/>
      <c r="SJD1" s="87" t="n"/>
      <c r="SJE1" s="87" t="n"/>
      <c r="SJF1" s="87" t="n"/>
      <c r="SJG1" s="87" t="n"/>
      <c r="SJH1" s="87" t="n"/>
      <c r="SJI1" s="87" t="n"/>
      <c r="SJJ1" s="87" t="n"/>
      <c r="SJK1" s="87" t="n"/>
      <c r="SJL1" s="87" t="n"/>
      <c r="SJM1" s="87" t="n"/>
      <c r="SJN1" s="87" t="n"/>
      <c r="SJO1" s="87" t="n"/>
      <c r="SJP1" s="87" t="n"/>
      <c r="SJQ1" s="87" t="n"/>
      <c r="SJR1" s="87" t="n"/>
      <c r="SJS1" s="87" t="n"/>
      <c r="SJT1" s="87" t="n"/>
      <c r="SJU1" s="87" t="n"/>
      <c r="SJV1" s="87" t="n"/>
      <c r="SJW1" s="87" t="n"/>
      <c r="SJX1" s="87" t="n"/>
      <c r="SJY1" s="87" t="n"/>
      <c r="SJZ1" s="87" t="n"/>
      <c r="SKA1" s="87" t="n"/>
      <c r="SKB1" s="87" t="n"/>
      <c r="SKC1" s="87" t="n"/>
      <c r="SKD1" s="87" t="n"/>
      <c r="SKE1" s="87" t="n"/>
      <c r="SKF1" s="87" t="n"/>
      <c r="SKG1" s="87" t="n"/>
      <c r="SKH1" s="87" t="n"/>
      <c r="SKI1" s="87" t="n"/>
      <c r="SKJ1" s="87" t="n"/>
      <c r="SKK1" s="87" t="n"/>
      <c r="SKL1" s="87" t="n"/>
      <c r="SKM1" s="87" t="n"/>
      <c r="SKN1" s="87" t="n"/>
      <c r="SKO1" s="87" t="n"/>
      <c r="SKP1" s="87" t="n"/>
      <c r="SKQ1" s="87" t="n"/>
      <c r="SKR1" s="87" t="n"/>
      <c r="SKS1" s="87" t="n"/>
      <c r="SKT1" s="87" t="n"/>
      <c r="SKU1" s="87" t="n"/>
      <c r="SKV1" s="87" t="n"/>
      <c r="SKW1" s="87" t="n"/>
      <c r="SKX1" s="87" t="n"/>
      <c r="SKY1" s="87" t="n"/>
      <c r="SKZ1" s="87" t="n"/>
      <c r="SLA1" s="87" t="n"/>
      <c r="SLB1" s="87" t="n"/>
      <c r="SLC1" s="87" t="n"/>
      <c r="SLD1" s="87" t="n"/>
      <c r="SLE1" s="87" t="n"/>
      <c r="SLF1" s="87" t="n"/>
      <c r="SLG1" s="87" t="n"/>
      <c r="SLH1" s="87" t="n"/>
      <c r="SLI1" s="87" t="n"/>
      <c r="SLJ1" s="87" t="n"/>
      <c r="SLK1" s="87" t="n"/>
      <c r="SLL1" s="87" t="n"/>
      <c r="SLM1" s="87" t="n"/>
      <c r="SLN1" s="87" t="n"/>
      <c r="SLO1" s="87" t="n"/>
      <c r="SLP1" s="87" t="n"/>
      <c r="SLQ1" s="87" t="n"/>
      <c r="SLR1" s="87" t="n"/>
      <c r="SLS1" s="87" t="n"/>
      <c r="SLT1" s="87" t="n"/>
      <c r="SLU1" s="87" t="n"/>
      <c r="SLV1" s="87" t="n"/>
      <c r="SLW1" s="87" t="n"/>
      <c r="SLX1" s="87" t="n"/>
      <c r="SLY1" s="87" t="n"/>
      <c r="SLZ1" s="87" t="n"/>
      <c r="SMA1" s="87" t="n"/>
      <c r="SMB1" s="87" t="n"/>
      <c r="SMC1" s="87" t="n"/>
      <c r="SMD1" s="87" t="n"/>
      <c r="SME1" s="87" t="n"/>
      <c r="SMF1" s="87" t="n"/>
      <c r="SMG1" s="87" t="n"/>
      <c r="SMH1" s="87" t="n"/>
      <c r="SMI1" s="87" t="n"/>
      <c r="SMJ1" s="87" t="n"/>
      <c r="SMK1" s="87" t="n"/>
      <c r="SML1" s="87" t="n"/>
      <c r="SMM1" s="87" t="n"/>
      <c r="SMN1" s="87" t="n"/>
      <c r="SMO1" s="87" t="n"/>
      <c r="SMP1" s="87" t="n"/>
      <c r="SMQ1" s="87" t="n"/>
      <c r="SMR1" s="87" t="n"/>
      <c r="SMS1" s="87" t="n"/>
      <c r="SMT1" s="87" t="n"/>
      <c r="SMU1" s="87" t="n"/>
      <c r="SMV1" s="87" t="n"/>
      <c r="SMW1" s="87" t="n"/>
      <c r="SMX1" s="87" t="n"/>
      <c r="SMY1" s="87" t="n"/>
      <c r="SMZ1" s="87" t="n"/>
      <c r="SNA1" s="87" t="n"/>
      <c r="SNB1" s="87" t="n"/>
      <c r="SNC1" s="87" t="n"/>
      <c r="SND1" s="87" t="n"/>
      <c r="SNE1" s="87" t="n"/>
      <c r="SNF1" s="87" t="n"/>
      <c r="SNG1" s="87" t="n"/>
      <c r="SNH1" s="87" t="n"/>
      <c r="SNI1" s="87" t="n"/>
      <c r="SNJ1" s="87" t="n"/>
      <c r="SNK1" s="87" t="n"/>
      <c r="SNL1" s="87" t="n"/>
      <c r="SNM1" s="87" t="n"/>
      <c r="SNN1" s="87" t="n"/>
      <c r="SNO1" s="87" t="n"/>
      <c r="SNP1" s="87" t="n"/>
      <c r="SNQ1" s="87" t="n"/>
      <c r="SNR1" s="87" t="n"/>
      <c r="SNS1" s="87" t="n"/>
      <c r="SNT1" s="87" t="n"/>
      <c r="SNU1" s="87" t="n"/>
      <c r="SNV1" s="87" t="n"/>
      <c r="SNW1" s="87" t="n"/>
      <c r="SNX1" s="87" t="n"/>
      <c r="SNY1" s="87" t="n"/>
      <c r="SNZ1" s="87" t="n"/>
      <c r="SOA1" s="87" t="n"/>
      <c r="SOB1" s="87" t="n"/>
      <c r="SOC1" s="87" t="n"/>
      <c r="SOD1" s="87" t="n"/>
      <c r="SOE1" s="87" t="n"/>
      <c r="SOF1" s="87" t="n"/>
      <c r="SOG1" s="87" t="n"/>
      <c r="SOH1" s="87" t="n"/>
      <c r="SOI1" s="87" t="n"/>
      <c r="SOJ1" s="87" t="n"/>
      <c r="SOK1" s="87" t="n"/>
      <c r="SOL1" s="87" t="n"/>
      <c r="SOM1" s="87" t="n"/>
      <c r="SON1" s="87" t="n"/>
      <c r="SOO1" s="87" t="n"/>
      <c r="SOP1" s="87" t="n"/>
      <c r="SOQ1" s="87" t="n"/>
      <c r="SOR1" s="87" t="n"/>
      <c r="SOS1" s="87" t="n"/>
      <c r="SOT1" s="87" t="n"/>
      <c r="SOU1" s="87" t="n"/>
      <c r="SOV1" s="87" t="n"/>
      <c r="SOW1" s="87" t="n"/>
      <c r="SOX1" s="87" t="n"/>
      <c r="SOY1" s="87" t="n"/>
      <c r="SOZ1" s="87" t="n"/>
      <c r="SPA1" s="87" t="n"/>
      <c r="SPB1" s="87" t="n"/>
      <c r="SPC1" s="87" t="n"/>
      <c r="SPD1" s="87" t="n"/>
      <c r="SPE1" s="87" t="n"/>
      <c r="SPF1" s="87" t="n"/>
      <c r="SPG1" s="87" t="n"/>
      <c r="SPH1" s="87" t="n"/>
      <c r="SPI1" s="87" t="n"/>
      <c r="SPJ1" s="87" t="n"/>
      <c r="SPK1" s="87" t="n"/>
      <c r="SPL1" s="87" t="n"/>
      <c r="SPM1" s="87" t="n"/>
      <c r="SPN1" s="87" t="n"/>
      <c r="SPO1" s="87" t="n"/>
      <c r="SPP1" s="87" t="n"/>
      <c r="SPQ1" s="87" t="n"/>
      <c r="SPR1" s="87" t="n"/>
      <c r="SPS1" s="87" t="n"/>
      <c r="SPT1" s="87" t="n"/>
      <c r="SPU1" s="87" t="n"/>
      <c r="SPV1" s="87" t="n"/>
      <c r="SPW1" s="87" t="n"/>
      <c r="SPX1" s="87" t="n"/>
      <c r="SPY1" s="87" t="n"/>
      <c r="SPZ1" s="87" t="n"/>
      <c r="SQA1" s="87" t="n"/>
      <c r="SQB1" s="87" t="n"/>
      <c r="SQC1" s="87" t="n"/>
      <c r="SQD1" s="87" t="n"/>
      <c r="SQE1" s="87" t="n"/>
      <c r="SQF1" s="87" t="n"/>
      <c r="SQG1" s="87" t="n"/>
      <c r="SQH1" s="87" t="n"/>
      <c r="SQI1" s="87" t="n"/>
      <c r="SQJ1" s="87" t="n"/>
      <c r="SQK1" s="87" t="n"/>
      <c r="SQL1" s="87" t="n"/>
      <c r="SQM1" s="87" t="n"/>
      <c r="SQN1" s="87" t="n"/>
      <c r="SQO1" s="87" t="n"/>
      <c r="SQP1" s="87" t="n"/>
      <c r="SQQ1" s="87" t="n"/>
      <c r="SQR1" s="87" t="n"/>
      <c r="SQS1" s="87" t="n"/>
      <c r="SQT1" s="87" t="n"/>
      <c r="SQU1" s="87" t="n"/>
      <c r="SQV1" s="87" t="n"/>
      <c r="SQW1" s="87" t="n"/>
      <c r="SQX1" s="87" t="n"/>
      <c r="SQY1" s="87" t="n"/>
      <c r="SQZ1" s="87" t="n"/>
      <c r="SRA1" s="87" t="n"/>
      <c r="SRB1" s="87" t="n"/>
      <c r="SRC1" s="87" t="n"/>
      <c r="SRD1" s="87" t="n"/>
      <c r="SRE1" s="87" t="n"/>
      <c r="SRF1" s="87" t="n"/>
      <c r="SRG1" s="87" t="n"/>
      <c r="SRH1" s="87" t="n"/>
      <c r="SRI1" s="87" t="n"/>
      <c r="SRJ1" s="87" t="n"/>
      <c r="SRK1" s="87" t="n"/>
      <c r="SRL1" s="87" t="n"/>
      <c r="SRM1" s="87" t="n"/>
      <c r="SRN1" s="87" t="n"/>
      <c r="SRO1" s="87" t="n"/>
      <c r="SRP1" s="87" t="n"/>
      <c r="SRQ1" s="87" t="n"/>
      <c r="SRR1" s="87" t="n"/>
      <c r="SRS1" s="87" t="n"/>
      <c r="SRT1" s="87" t="n"/>
      <c r="SRU1" s="87" t="n"/>
      <c r="SRV1" s="87" t="n"/>
      <c r="SRW1" s="87" t="n"/>
      <c r="SRX1" s="87" t="n"/>
      <c r="SRY1" s="87" t="n"/>
      <c r="SRZ1" s="87" t="n"/>
      <c r="SSA1" s="87" t="n"/>
      <c r="SSB1" s="87" t="n"/>
      <c r="SSC1" s="87" t="n"/>
      <c r="SSD1" s="87" t="n"/>
      <c r="SSE1" s="87" t="n"/>
      <c r="SSF1" s="87" t="n"/>
      <c r="SSG1" s="87" t="n"/>
      <c r="SSH1" s="87" t="n"/>
      <c r="SSI1" s="87" t="n"/>
      <c r="SSJ1" s="87" t="n"/>
      <c r="SSK1" s="87" t="n"/>
      <c r="SSL1" s="87" t="n"/>
      <c r="SSM1" s="87" t="n"/>
      <c r="SSN1" s="87" t="n"/>
      <c r="SSO1" s="87" t="n"/>
      <c r="SSP1" s="87" t="n"/>
      <c r="SSQ1" s="87" t="n"/>
      <c r="SSR1" s="87" t="n"/>
      <c r="SSS1" s="87" t="n"/>
      <c r="SST1" s="87" t="n"/>
      <c r="SSU1" s="87" t="n"/>
      <c r="SSV1" s="87" t="n"/>
      <c r="SSW1" s="87" t="n"/>
      <c r="SSX1" s="87" t="n"/>
      <c r="SSY1" s="87" t="n"/>
      <c r="SSZ1" s="87" t="n"/>
      <c r="STA1" s="87" t="n"/>
      <c r="STB1" s="87" t="n"/>
      <c r="STC1" s="87" t="n"/>
      <c r="STD1" s="87" t="n"/>
      <c r="STE1" s="87" t="n"/>
      <c r="STF1" s="87" t="n"/>
      <c r="STG1" s="87" t="n"/>
      <c r="STH1" s="87" t="n"/>
      <c r="STI1" s="87" t="n"/>
      <c r="STJ1" s="87" t="n"/>
      <c r="STK1" s="87" t="n"/>
      <c r="STL1" s="87" t="n"/>
      <c r="STM1" s="87" t="n"/>
      <c r="STN1" s="87" t="n"/>
      <c r="STO1" s="87" t="n"/>
      <c r="STP1" s="87" t="n"/>
      <c r="STQ1" s="87" t="n"/>
      <c r="STR1" s="87" t="n"/>
      <c r="STS1" s="87" t="n"/>
      <c r="STT1" s="87" t="n"/>
      <c r="STU1" s="87" t="n"/>
      <c r="STV1" s="87" t="n"/>
      <c r="STW1" s="87" t="n"/>
      <c r="STX1" s="87" t="n"/>
      <c r="STY1" s="87" t="n"/>
      <c r="STZ1" s="87" t="n"/>
      <c r="SUA1" s="87" t="n"/>
      <c r="SUB1" s="87" t="n"/>
      <c r="SUC1" s="87" t="n"/>
      <c r="SUD1" s="87" t="n"/>
      <c r="SUE1" s="87" t="n"/>
      <c r="SUF1" s="87" t="n"/>
      <c r="SUG1" s="87" t="n"/>
      <c r="SUH1" s="87" t="n"/>
      <c r="SUI1" s="87" t="n"/>
      <c r="SUJ1" s="87" t="n"/>
      <c r="SUK1" s="87" t="n"/>
      <c r="SUL1" s="87" t="n"/>
      <c r="SUM1" s="87" t="n"/>
      <c r="SUN1" s="87" t="n"/>
      <c r="SUO1" s="87" t="n"/>
      <c r="SUP1" s="87" t="n"/>
      <c r="SUQ1" s="87" t="n"/>
      <c r="SUR1" s="87" t="n"/>
      <c r="SUS1" s="87" t="n"/>
      <c r="SUT1" s="87" t="n"/>
      <c r="SUU1" s="87" t="n"/>
      <c r="SUV1" s="87" t="n"/>
      <c r="SUW1" s="87" t="n"/>
      <c r="SUX1" s="87" t="n"/>
      <c r="SUY1" s="87" t="n"/>
      <c r="SUZ1" s="87" t="n"/>
      <c r="SVA1" s="87" t="n"/>
      <c r="SVB1" s="87" t="n"/>
      <c r="SVC1" s="87" t="n"/>
      <c r="SVD1" s="87" t="n"/>
      <c r="SVE1" s="87" t="n"/>
      <c r="SVF1" s="87" t="n"/>
      <c r="SVG1" s="87" t="n"/>
      <c r="SVH1" s="87" t="n"/>
      <c r="SVI1" s="87" t="n"/>
      <c r="SVJ1" s="87" t="n"/>
      <c r="SVK1" s="87" t="n"/>
      <c r="SVL1" s="87" t="n"/>
      <c r="SVM1" s="87" t="n"/>
      <c r="SVN1" s="87" t="n"/>
      <c r="SVO1" s="87" t="n"/>
      <c r="SVP1" s="87" t="n"/>
      <c r="SVQ1" s="87" t="n"/>
      <c r="SVR1" s="87" t="n"/>
      <c r="SVS1" s="87" t="n"/>
      <c r="SVT1" s="87" t="n"/>
      <c r="SVU1" s="87" t="n"/>
      <c r="SVV1" s="87" t="n"/>
      <c r="SVW1" s="87" t="n"/>
      <c r="SVX1" s="87" t="n"/>
      <c r="SVY1" s="87" t="n"/>
      <c r="SVZ1" s="87" t="n"/>
      <c r="SWA1" s="87" t="n"/>
      <c r="SWB1" s="87" t="n"/>
      <c r="SWC1" s="87" t="n"/>
      <c r="SWD1" s="87" t="n"/>
      <c r="SWE1" s="87" t="n"/>
      <c r="SWF1" s="87" t="n"/>
      <c r="SWG1" s="87" t="n"/>
      <c r="SWH1" s="87" t="n"/>
      <c r="SWI1" s="87" t="n"/>
      <c r="SWJ1" s="87" t="n"/>
      <c r="SWK1" s="87" t="n"/>
      <c r="SWL1" s="87" t="n"/>
      <c r="SWM1" s="87" t="n"/>
      <c r="SWN1" s="87" t="n"/>
      <c r="SWO1" s="87" t="n"/>
      <c r="SWP1" s="87" t="n"/>
      <c r="SWQ1" s="87" t="n"/>
      <c r="SWR1" s="87" t="n"/>
      <c r="SWS1" s="87" t="n"/>
      <c r="SWT1" s="87" t="n"/>
      <c r="SWU1" s="87" t="n"/>
      <c r="SWV1" s="87" t="n"/>
      <c r="SWW1" s="87" t="n"/>
      <c r="SWX1" s="87" t="n"/>
      <c r="SWY1" s="87" t="n"/>
      <c r="SWZ1" s="87" t="n"/>
      <c r="SXA1" s="87" t="n"/>
      <c r="SXB1" s="87" t="n"/>
      <c r="SXC1" s="87" t="n"/>
      <c r="SXD1" s="87" t="n"/>
      <c r="SXE1" s="87" t="n"/>
      <c r="SXF1" s="87" t="n"/>
      <c r="SXG1" s="87" t="n"/>
      <c r="SXH1" s="87" t="n"/>
      <c r="SXI1" s="87" t="n"/>
      <c r="SXJ1" s="87" t="n"/>
      <c r="SXK1" s="87" t="n"/>
      <c r="SXL1" s="87" t="n"/>
      <c r="SXM1" s="87" t="n"/>
      <c r="SXN1" s="87" t="n"/>
      <c r="SXO1" s="87" t="n"/>
      <c r="SXP1" s="87" t="n"/>
      <c r="SXQ1" s="87" t="n"/>
      <c r="SXR1" s="87" t="n"/>
      <c r="SXS1" s="87" t="n"/>
      <c r="SXT1" s="87" t="n"/>
      <c r="SXU1" s="87" t="n"/>
      <c r="SXV1" s="87" t="n"/>
      <c r="SXW1" s="87" t="n"/>
      <c r="SXX1" s="87" t="n"/>
      <c r="SXY1" s="87" t="n"/>
      <c r="SXZ1" s="87" t="n"/>
      <c r="SYA1" s="87" t="n"/>
      <c r="SYB1" s="87" t="n"/>
      <c r="SYC1" s="87" t="n"/>
      <c r="SYD1" s="87" t="n"/>
      <c r="SYE1" s="87" t="n"/>
      <c r="SYF1" s="87" t="n"/>
      <c r="SYG1" s="87" t="n"/>
      <c r="SYH1" s="87" t="n"/>
      <c r="SYI1" s="87" t="n"/>
      <c r="SYJ1" s="87" t="n"/>
      <c r="SYK1" s="87" t="n"/>
      <c r="SYL1" s="87" t="n"/>
      <c r="SYM1" s="87" t="n"/>
      <c r="SYN1" s="87" t="n"/>
      <c r="SYO1" s="87" t="n"/>
      <c r="SYP1" s="87" t="n"/>
      <c r="SYQ1" s="87" t="n"/>
      <c r="SYR1" s="87" t="n"/>
      <c r="SYS1" s="87" t="n"/>
      <c r="SYT1" s="87" t="n"/>
      <c r="SYU1" s="87" t="n"/>
      <c r="SYV1" s="87" t="n"/>
      <c r="SYW1" s="87" t="n"/>
      <c r="SYX1" s="87" t="n"/>
      <c r="SYY1" s="87" t="n"/>
      <c r="SYZ1" s="87" t="n"/>
      <c r="SZA1" s="87" t="n"/>
      <c r="SZB1" s="87" t="n"/>
      <c r="SZC1" s="87" t="n"/>
      <c r="SZD1" s="87" t="n"/>
      <c r="SZE1" s="87" t="n"/>
      <c r="SZF1" s="87" t="n"/>
      <c r="SZG1" s="87" t="n"/>
      <c r="SZH1" s="87" t="n"/>
      <c r="SZI1" s="87" t="n"/>
      <c r="SZJ1" s="87" t="n"/>
      <c r="SZK1" s="87" t="n"/>
      <c r="SZL1" s="87" t="n"/>
      <c r="SZM1" s="87" t="n"/>
      <c r="SZN1" s="87" t="n"/>
      <c r="SZO1" s="87" t="n"/>
      <c r="SZP1" s="87" t="n"/>
      <c r="SZQ1" s="87" t="n"/>
      <c r="SZR1" s="87" t="n"/>
      <c r="SZS1" s="87" t="n"/>
      <c r="SZT1" s="87" t="n"/>
      <c r="SZU1" s="87" t="n"/>
      <c r="SZV1" s="87" t="n"/>
      <c r="SZW1" s="87" t="n"/>
      <c r="SZX1" s="87" t="n"/>
      <c r="SZY1" s="87" t="n"/>
      <c r="SZZ1" s="87" t="n"/>
      <c r="TAA1" s="87" t="n"/>
      <c r="TAB1" s="87" t="n"/>
      <c r="TAC1" s="87" t="n"/>
      <c r="TAD1" s="87" t="n"/>
      <c r="TAE1" s="87" t="n"/>
      <c r="TAF1" s="87" t="n"/>
      <c r="TAG1" s="87" t="n"/>
      <c r="TAH1" s="87" t="n"/>
      <c r="TAI1" s="87" t="n"/>
      <c r="TAJ1" s="87" t="n"/>
      <c r="TAK1" s="87" t="n"/>
      <c r="TAL1" s="87" t="n"/>
      <c r="TAM1" s="87" t="n"/>
      <c r="TAN1" s="87" t="n"/>
      <c r="TAO1" s="87" t="n"/>
      <c r="TAP1" s="87" t="n"/>
      <c r="TAQ1" s="87" t="n"/>
      <c r="TAR1" s="87" t="n"/>
      <c r="TAS1" s="87" t="n"/>
      <c r="TAT1" s="87" t="n"/>
      <c r="TAU1" s="87" t="n"/>
      <c r="TAV1" s="87" t="n"/>
      <c r="TAW1" s="87" t="n"/>
      <c r="TAX1" s="87" t="n"/>
      <c r="TAY1" s="87" t="n"/>
      <c r="TAZ1" s="87" t="n"/>
      <c r="TBA1" s="87" t="n"/>
      <c r="TBB1" s="87" t="n"/>
      <c r="TBC1" s="87" t="n"/>
      <c r="TBD1" s="87" t="n"/>
      <c r="TBE1" s="87" t="n"/>
      <c r="TBF1" s="87" t="n"/>
      <c r="TBG1" s="87" t="n"/>
      <c r="TBH1" s="87" t="n"/>
      <c r="TBI1" s="87" t="n"/>
      <c r="TBJ1" s="87" t="n"/>
      <c r="TBK1" s="87" t="n"/>
      <c r="TBL1" s="87" t="n"/>
      <c r="TBM1" s="87" t="n"/>
      <c r="TBN1" s="87" t="n"/>
      <c r="TBO1" s="87" t="n"/>
      <c r="TBP1" s="87" t="n"/>
      <c r="TBQ1" s="87" t="n"/>
      <c r="TBR1" s="87" t="n"/>
      <c r="TBS1" s="87" t="n"/>
      <c r="TBT1" s="87" t="n"/>
      <c r="TBU1" s="87" t="n"/>
      <c r="TBV1" s="87" t="n"/>
      <c r="TBW1" s="87" t="n"/>
      <c r="TBX1" s="87" t="n"/>
      <c r="TBY1" s="87" t="n"/>
      <c r="TBZ1" s="87" t="n"/>
      <c r="TCA1" s="87" t="n"/>
      <c r="TCB1" s="87" t="n"/>
      <c r="TCC1" s="87" t="n"/>
      <c r="TCD1" s="87" t="n"/>
      <c r="TCE1" s="87" t="n"/>
      <c r="TCF1" s="87" t="n"/>
      <c r="TCG1" s="87" t="n"/>
      <c r="TCH1" s="87" t="n"/>
      <c r="TCI1" s="87" t="n"/>
      <c r="TCJ1" s="87" t="n"/>
      <c r="TCK1" s="87" t="n"/>
      <c r="TCL1" s="87" t="n"/>
      <c r="TCM1" s="87" t="n"/>
      <c r="TCN1" s="87" t="n"/>
      <c r="TCO1" s="87" t="n"/>
      <c r="TCP1" s="87" t="n"/>
      <c r="TCQ1" s="87" t="n"/>
      <c r="TCR1" s="87" t="n"/>
      <c r="TCS1" s="87" t="n"/>
      <c r="TCT1" s="87" t="n"/>
      <c r="TCU1" s="87" t="n"/>
      <c r="TCV1" s="87" t="n"/>
      <c r="TCW1" s="87" t="n"/>
      <c r="TCX1" s="87" t="n"/>
      <c r="TCY1" s="87" t="n"/>
      <c r="TCZ1" s="87" t="n"/>
      <c r="TDA1" s="87" t="n"/>
      <c r="TDB1" s="87" t="n"/>
      <c r="TDC1" s="87" t="n"/>
      <c r="TDD1" s="87" t="n"/>
      <c r="TDE1" s="87" t="n"/>
      <c r="TDF1" s="87" t="n"/>
      <c r="TDG1" s="87" t="n"/>
      <c r="TDH1" s="87" t="n"/>
      <c r="TDI1" s="87" t="n"/>
      <c r="TDJ1" s="87" t="n"/>
      <c r="TDK1" s="87" t="n"/>
      <c r="TDL1" s="87" t="n"/>
      <c r="TDM1" s="87" t="n"/>
      <c r="TDN1" s="87" t="n"/>
      <c r="TDO1" s="87" t="n"/>
      <c r="TDP1" s="87" t="n"/>
      <c r="TDQ1" s="87" t="n"/>
      <c r="TDR1" s="87" t="n"/>
      <c r="TDS1" s="87" t="n"/>
      <c r="TDT1" s="87" t="n"/>
      <c r="TDU1" s="87" t="n"/>
      <c r="TDV1" s="87" t="n"/>
      <c r="TDW1" s="87" t="n"/>
      <c r="TDX1" s="87" t="n"/>
      <c r="TDY1" s="87" t="n"/>
      <c r="TDZ1" s="87" t="n"/>
      <c r="TEA1" s="87" t="n"/>
      <c r="TEB1" s="87" t="n"/>
      <c r="TEC1" s="87" t="n"/>
      <c r="TED1" s="87" t="n"/>
      <c r="TEE1" s="87" t="n"/>
      <c r="TEF1" s="87" t="n"/>
      <c r="TEG1" s="87" t="n"/>
      <c r="TEH1" s="87" t="n"/>
      <c r="TEI1" s="87" t="n"/>
      <c r="TEJ1" s="87" t="n"/>
      <c r="TEK1" s="87" t="n"/>
      <c r="TEL1" s="87" t="n"/>
      <c r="TEM1" s="87" t="n"/>
      <c r="TEN1" s="87" t="n"/>
      <c r="TEO1" s="87" t="n"/>
      <c r="TEP1" s="87" t="n"/>
      <c r="TEQ1" s="87" t="n"/>
      <c r="TER1" s="87" t="n"/>
      <c r="TES1" s="87" t="n"/>
      <c r="TET1" s="87" t="n"/>
      <c r="TEU1" s="87" t="n"/>
      <c r="TEV1" s="87" t="n"/>
      <c r="TEW1" s="87" t="n"/>
      <c r="TEX1" s="87" t="n"/>
      <c r="TEY1" s="87" t="n"/>
      <c r="TEZ1" s="87" t="n"/>
      <c r="TFA1" s="87" t="n"/>
      <c r="TFB1" s="87" t="n"/>
      <c r="TFC1" s="87" t="n"/>
      <c r="TFD1" s="87" t="n"/>
      <c r="TFE1" s="87" t="n"/>
      <c r="TFF1" s="87" t="n"/>
      <c r="TFG1" s="87" t="n"/>
      <c r="TFH1" s="87" t="n"/>
      <c r="TFI1" s="87" t="n"/>
      <c r="TFJ1" s="87" t="n"/>
      <c r="TFK1" s="87" t="n"/>
      <c r="TFL1" s="87" t="n"/>
      <c r="TFM1" s="87" t="n"/>
      <c r="TFN1" s="87" t="n"/>
      <c r="TFO1" s="87" t="n"/>
      <c r="TFP1" s="87" t="n"/>
      <c r="TFQ1" s="87" t="n"/>
      <c r="TFR1" s="87" t="n"/>
      <c r="TFS1" s="87" t="n"/>
      <c r="TFT1" s="87" t="n"/>
      <c r="TFU1" s="87" t="n"/>
      <c r="TFV1" s="87" t="n"/>
      <c r="TFW1" s="87" t="n"/>
      <c r="TFX1" s="87" t="n"/>
      <c r="TFY1" s="87" t="n"/>
      <c r="TFZ1" s="87" t="n"/>
      <c r="TGA1" s="87" t="n"/>
      <c r="TGB1" s="87" t="n"/>
      <c r="TGC1" s="87" t="n"/>
      <c r="TGD1" s="87" t="n"/>
      <c r="TGE1" s="87" t="n"/>
      <c r="TGF1" s="87" t="n"/>
      <c r="TGG1" s="87" t="n"/>
      <c r="TGH1" s="87" t="n"/>
      <c r="TGI1" s="87" t="n"/>
      <c r="TGJ1" s="87" t="n"/>
      <c r="TGK1" s="87" t="n"/>
      <c r="TGL1" s="87" t="n"/>
      <c r="TGM1" s="87" t="n"/>
      <c r="TGN1" s="87" t="n"/>
      <c r="TGO1" s="87" t="n"/>
      <c r="TGP1" s="87" t="n"/>
      <c r="TGQ1" s="87" t="n"/>
      <c r="TGR1" s="87" t="n"/>
      <c r="TGS1" s="87" t="n"/>
      <c r="TGT1" s="87" t="n"/>
      <c r="TGU1" s="87" t="n"/>
      <c r="TGV1" s="87" t="n"/>
      <c r="TGW1" s="87" t="n"/>
      <c r="TGX1" s="87" t="n"/>
      <c r="TGY1" s="87" t="n"/>
      <c r="TGZ1" s="87" t="n"/>
      <c r="THA1" s="87" t="n"/>
      <c r="THB1" s="87" t="n"/>
      <c r="THC1" s="87" t="n"/>
      <c r="THD1" s="87" t="n"/>
      <c r="THE1" s="87" t="n"/>
      <c r="THF1" s="87" t="n"/>
      <c r="THG1" s="87" t="n"/>
      <c r="THH1" s="87" t="n"/>
      <c r="THI1" s="87" t="n"/>
      <c r="THJ1" s="87" t="n"/>
      <c r="THK1" s="87" t="n"/>
      <c r="THL1" s="87" t="n"/>
      <c r="THM1" s="87" t="n"/>
      <c r="THN1" s="87" t="n"/>
      <c r="THO1" s="87" t="n"/>
      <c r="THP1" s="87" t="n"/>
      <c r="THQ1" s="87" t="n"/>
      <c r="THR1" s="87" t="n"/>
      <c r="THS1" s="87" t="n"/>
      <c r="THT1" s="87" t="n"/>
      <c r="THU1" s="87" t="n"/>
      <c r="THV1" s="87" t="n"/>
      <c r="THW1" s="87" t="n"/>
      <c r="THX1" s="87" t="n"/>
      <c r="THY1" s="87" t="n"/>
      <c r="THZ1" s="87" t="n"/>
      <c r="TIA1" s="87" t="n"/>
      <c r="TIB1" s="87" t="n"/>
      <c r="TIC1" s="87" t="n"/>
      <c r="TID1" s="87" t="n"/>
      <c r="TIE1" s="87" t="n"/>
      <c r="TIF1" s="87" t="n"/>
      <c r="TIG1" s="87" t="n"/>
      <c r="TIH1" s="87" t="n"/>
      <c r="TII1" s="87" t="n"/>
      <c r="TIJ1" s="87" t="n"/>
      <c r="TIK1" s="87" t="n"/>
      <c r="TIL1" s="87" t="n"/>
      <c r="TIM1" s="87" t="n"/>
      <c r="TIN1" s="87" t="n"/>
      <c r="TIO1" s="87" t="n"/>
      <c r="TIP1" s="87" t="n"/>
      <c r="TIQ1" s="87" t="n"/>
      <c r="TIR1" s="87" t="n"/>
      <c r="TIS1" s="87" t="n"/>
      <c r="TIT1" s="87" t="n"/>
      <c r="TIU1" s="87" t="n"/>
      <c r="TIV1" s="87" t="n"/>
      <c r="TIW1" s="87" t="n"/>
      <c r="TIX1" s="87" t="n"/>
      <c r="TIY1" s="87" t="n"/>
      <c r="TIZ1" s="87" t="n"/>
      <c r="TJA1" s="87" t="n"/>
      <c r="TJB1" s="87" t="n"/>
      <c r="TJC1" s="87" t="n"/>
      <c r="TJD1" s="87" t="n"/>
      <c r="TJE1" s="87" t="n"/>
      <c r="TJF1" s="87" t="n"/>
      <c r="TJG1" s="87" t="n"/>
      <c r="TJH1" s="87" t="n"/>
      <c r="TJI1" s="87" t="n"/>
      <c r="TJJ1" s="87" t="n"/>
      <c r="TJK1" s="87" t="n"/>
      <c r="TJL1" s="87" t="n"/>
      <c r="TJM1" s="87" t="n"/>
      <c r="TJN1" s="87" t="n"/>
      <c r="TJO1" s="87" t="n"/>
      <c r="TJP1" s="87" t="n"/>
      <c r="TJQ1" s="87" t="n"/>
      <c r="TJR1" s="87" t="n"/>
      <c r="TJS1" s="87" t="n"/>
      <c r="TJT1" s="87" t="n"/>
      <c r="TJU1" s="87" t="n"/>
      <c r="TJV1" s="87" t="n"/>
      <c r="TJW1" s="87" t="n"/>
      <c r="TJX1" s="87" t="n"/>
      <c r="TJY1" s="87" t="n"/>
      <c r="TJZ1" s="87" t="n"/>
      <c r="TKA1" s="87" t="n"/>
      <c r="TKB1" s="87" t="n"/>
      <c r="TKC1" s="87" t="n"/>
      <c r="TKD1" s="87" t="n"/>
      <c r="TKE1" s="87" t="n"/>
      <c r="TKF1" s="87" t="n"/>
      <c r="TKG1" s="87" t="n"/>
      <c r="TKH1" s="87" t="n"/>
      <c r="TKI1" s="87" t="n"/>
      <c r="TKJ1" s="87" t="n"/>
      <c r="TKK1" s="87" t="n"/>
      <c r="TKL1" s="87" t="n"/>
      <c r="TKM1" s="87" t="n"/>
      <c r="TKN1" s="87" t="n"/>
      <c r="TKO1" s="87" t="n"/>
      <c r="TKP1" s="87" t="n"/>
      <c r="TKQ1" s="87" t="n"/>
      <c r="TKR1" s="87" t="n"/>
      <c r="TKS1" s="87" t="n"/>
      <c r="TKT1" s="87" t="n"/>
      <c r="TKU1" s="87" t="n"/>
      <c r="TKV1" s="87" t="n"/>
      <c r="TKW1" s="87" t="n"/>
      <c r="TKX1" s="87" t="n"/>
      <c r="TKY1" s="87" t="n"/>
      <c r="TKZ1" s="87" t="n"/>
      <c r="TLA1" s="87" t="n"/>
      <c r="TLB1" s="87" t="n"/>
      <c r="TLC1" s="87" t="n"/>
      <c r="TLD1" s="87" t="n"/>
      <c r="TLE1" s="87" t="n"/>
      <c r="TLF1" s="87" t="n"/>
      <c r="TLG1" s="87" t="n"/>
      <c r="TLH1" s="87" t="n"/>
      <c r="TLI1" s="87" t="n"/>
      <c r="TLJ1" s="87" t="n"/>
      <c r="TLK1" s="87" t="n"/>
      <c r="TLL1" s="87" t="n"/>
      <c r="TLM1" s="87" t="n"/>
      <c r="TLN1" s="87" t="n"/>
      <c r="TLO1" s="87" t="n"/>
      <c r="TLP1" s="87" t="n"/>
      <c r="TLQ1" s="87" t="n"/>
      <c r="TLR1" s="87" t="n"/>
      <c r="TLS1" s="87" t="n"/>
      <c r="TLT1" s="87" t="n"/>
      <c r="TLU1" s="87" t="n"/>
      <c r="TLV1" s="87" t="n"/>
      <c r="TLW1" s="87" t="n"/>
      <c r="TLX1" s="87" t="n"/>
      <c r="TLY1" s="87" t="n"/>
      <c r="TLZ1" s="87" t="n"/>
      <c r="TMA1" s="87" t="n"/>
      <c r="TMB1" s="87" t="n"/>
      <c r="TMC1" s="87" t="n"/>
      <c r="TMD1" s="87" t="n"/>
      <c r="TME1" s="87" t="n"/>
      <c r="TMF1" s="87" t="n"/>
      <c r="TMG1" s="87" t="n"/>
      <c r="TMH1" s="87" t="n"/>
      <c r="TMI1" s="87" t="n"/>
      <c r="TMJ1" s="87" t="n"/>
      <c r="TMK1" s="87" t="n"/>
      <c r="TML1" s="87" t="n"/>
      <c r="TMM1" s="87" t="n"/>
      <c r="TMN1" s="87" t="n"/>
      <c r="TMO1" s="87" t="n"/>
      <c r="TMP1" s="87" t="n"/>
      <c r="TMQ1" s="87" t="n"/>
      <c r="TMR1" s="87" t="n"/>
      <c r="TMS1" s="87" t="n"/>
      <c r="TMT1" s="87" t="n"/>
      <c r="TMU1" s="87" t="n"/>
      <c r="TMV1" s="87" t="n"/>
      <c r="TMW1" s="87" t="n"/>
      <c r="TMX1" s="87" t="n"/>
      <c r="TMY1" s="87" t="n"/>
      <c r="TMZ1" s="87" t="n"/>
      <c r="TNA1" s="87" t="n"/>
      <c r="TNB1" s="87" t="n"/>
      <c r="TNC1" s="87" t="n"/>
      <c r="TND1" s="87" t="n"/>
      <c r="TNE1" s="87" t="n"/>
      <c r="TNF1" s="87" t="n"/>
      <c r="TNG1" s="87" t="n"/>
      <c r="TNH1" s="87" t="n"/>
      <c r="TNI1" s="87" t="n"/>
      <c r="TNJ1" s="87" t="n"/>
      <c r="TNK1" s="87" t="n"/>
      <c r="TNL1" s="87" t="n"/>
      <c r="TNM1" s="87" t="n"/>
      <c r="TNN1" s="87" t="n"/>
      <c r="TNO1" s="87" t="n"/>
      <c r="TNP1" s="87" t="n"/>
      <c r="TNQ1" s="87" t="n"/>
      <c r="TNR1" s="87" t="n"/>
      <c r="TNS1" s="87" t="n"/>
      <c r="TNT1" s="87" t="n"/>
      <c r="TNU1" s="87" t="n"/>
      <c r="TNV1" s="87" t="n"/>
      <c r="TNW1" s="87" t="n"/>
      <c r="TNX1" s="87" t="n"/>
      <c r="TNY1" s="87" t="n"/>
      <c r="TNZ1" s="87" t="n"/>
      <c r="TOA1" s="87" t="n"/>
      <c r="TOB1" s="87" t="n"/>
      <c r="TOC1" s="87" t="n"/>
      <c r="TOD1" s="87" t="n"/>
      <c r="TOE1" s="87" t="n"/>
      <c r="TOF1" s="87" t="n"/>
      <c r="TOG1" s="87" t="n"/>
      <c r="TOH1" s="87" t="n"/>
      <c r="TOI1" s="87" t="n"/>
      <c r="TOJ1" s="87" t="n"/>
      <c r="TOK1" s="87" t="n"/>
      <c r="TOL1" s="87" t="n"/>
      <c r="TOM1" s="87" t="n"/>
      <c r="TON1" s="87" t="n"/>
      <c r="TOO1" s="87" t="n"/>
      <c r="TOP1" s="87" t="n"/>
      <c r="TOQ1" s="87" t="n"/>
      <c r="TOR1" s="87" t="n"/>
      <c r="TOS1" s="87" t="n"/>
      <c r="TOT1" s="87" t="n"/>
      <c r="TOU1" s="87" t="n"/>
      <c r="TOV1" s="87" t="n"/>
      <c r="TOW1" s="87" t="n"/>
      <c r="TOX1" s="87" t="n"/>
      <c r="TOY1" s="87" t="n"/>
      <c r="TOZ1" s="87" t="n"/>
      <c r="TPA1" s="87" t="n"/>
      <c r="TPB1" s="87" t="n"/>
      <c r="TPC1" s="87" t="n"/>
      <c r="TPD1" s="87" t="n"/>
      <c r="TPE1" s="87" t="n"/>
      <c r="TPF1" s="87" t="n"/>
      <c r="TPG1" s="87" t="n"/>
      <c r="TPH1" s="87" t="n"/>
      <c r="TPI1" s="87" t="n"/>
      <c r="TPJ1" s="87" t="n"/>
      <c r="TPK1" s="87" t="n"/>
      <c r="TPL1" s="87" t="n"/>
      <c r="TPM1" s="87" t="n"/>
      <c r="TPN1" s="87" t="n"/>
      <c r="TPO1" s="87" t="n"/>
      <c r="TPP1" s="87" t="n"/>
      <c r="TPQ1" s="87" t="n"/>
      <c r="TPR1" s="87" t="n"/>
      <c r="TPS1" s="87" t="n"/>
      <c r="TPT1" s="87" t="n"/>
      <c r="TPU1" s="87" t="n"/>
      <c r="TPV1" s="87" t="n"/>
      <c r="TPW1" s="87" t="n"/>
      <c r="TPX1" s="87" t="n"/>
      <c r="TPY1" s="87" t="n"/>
      <c r="TPZ1" s="87" t="n"/>
      <c r="TQA1" s="87" t="n"/>
      <c r="TQB1" s="87" t="n"/>
      <c r="TQC1" s="87" t="n"/>
      <c r="TQD1" s="87" t="n"/>
      <c r="TQE1" s="87" t="n"/>
      <c r="TQF1" s="87" t="n"/>
      <c r="TQG1" s="87" t="n"/>
      <c r="TQH1" s="87" t="n"/>
      <c r="TQI1" s="87" t="n"/>
      <c r="TQJ1" s="87" t="n"/>
      <c r="TQK1" s="87" t="n"/>
      <c r="TQL1" s="87" t="n"/>
      <c r="TQM1" s="87" t="n"/>
      <c r="TQN1" s="87" t="n"/>
      <c r="TQO1" s="87" t="n"/>
      <c r="TQP1" s="87" t="n"/>
      <c r="TQQ1" s="87" t="n"/>
      <c r="TQR1" s="87" t="n"/>
      <c r="TQS1" s="87" t="n"/>
      <c r="TQT1" s="87" t="n"/>
      <c r="TQU1" s="87" t="n"/>
      <c r="TQV1" s="87" t="n"/>
      <c r="TQW1" s="87" t="n"/>
      <c r="TQX1" s="87" t="n"/>
      <c r="TQY1" s="87" t="n"/>
      <c r="TQZ1" s="87" t="n"/>
      <c r="TRA1" s="87" t="n"/>
      <c r="TRB1" s="87" t="n"/>
      <c r="TRC1" s="87" t="n"/>
      <c r="TRD1" s="87" t="n"/>
      <c r="TRE1" s="87" t="n"/>
      <c r="TRF1" s="87" t="n"/>
      <c r="TRG1" s="87" t="n"/>
      <c r="TRH1" s="87" t="n"/>
      <c r="TRI1" s="87" t="n"/>
      <c r="TRJ1" s="87" t="n"/>
      <c r="TRK1" s="87" t="n"/>
      <c r="TRL1" s="87" t="n"/>
      <c r="TRM1" s="87" t="n"/>
      <c r="TRN1" s="87" t="n"/>
      <c r="TRO1" s="87" t="n"/>
      <c r="TRP1" s="87" t="n"/>
      <c r="TRQ1" s="87" t="n"/>
      <c r="TRR1" s="87" t="n"/>
      <c r="TRS1" s="87" t="n"/>
      <c r="TRT1" s="87" t="n"/>
      <c r="TRU1" s="87" t="n"/>
      <c r="TRV1" s="87" t="n"/>
      <c r="TRW1" s="87" t="n"/>
      <c r="TRX1" s="87" t="n"/>
      <c r="TRY1" s="87" t="n"/>
      <c r="TRZ1" s="87" t="n"/>
      <c r="TSA1" s="87" t="n"/>
      <c r="TSB1" s="87" t="n"/>
      <c r="TSC1" s="87" t="n"/>
      <c r="TSD1" s="87" t="n"/>
      <c r="TSE1" s="87" t="n"/>
      <c r="TSF1" s="87" t="n"/>
      <c r="TSG1" s="87" t="n"/>
      <c r="TSH1" s="87" t="n"/>
      <c r="TSI1" s="87" t="n"/>
      <c r="TSJ1" s="87" t="n"/>
      <c r="TSK1" s="87" t="n"/>
      <c r="TSL1" s="87" t="n"/>
      <c r="TSM1" s="87" t="n"/>
      <c r="TSN1" s="87" t="n"/>
      <c r="TSO1" s="87" t="n"/>
      <c r="TSP1" s="87" t="n"/>
      <c r="TSQ1" s="87" t="n"/>
      <c r="TSR1" s="87" t="n"/>
      <c r="TSS1" s="87" t="n"/>
      <c r="TST1" s="87" t="n"/>
      <c r="TSU1" s="87" t="n"/>
      <c r="TSV1" s="87" t="n"/>
      <c r="TSW1" s="87" t="n"/>
      <c r="TSX1" s="87" t="n"/>
      <c r="TSY1" s="87" t="n"/>
      <c r="TSZ1" s="87" t="n"/>
      <c r="TTA1" s="87" t="n"/>
      <c r="TTB1" s="87" t="n"/>
      <c r="TTC1" s="87" t="n"/>
      <c r="TTD1" s="87" t="n"/>
      <c r="TTE1" s="87" t="n"/>
      <c r="TTF1" s="87" t="n"/>
      <c r="TTG1" s="87" t="n"/>
      <c r="TTH1" s="87" t="n"/>
      <c r="TTI1" s="87" t="n"/>
      <c r="TTJ1" s="87" t="n"/>
      <c r="TTK1" s="87" t="n"/>
      <c r="TTL1" s="87" t="n"/>
      <c r="TTM1" s="87" t="n"/>
      <c r="TTN1" s="87" t="n"/>
      <c r="TTO1" s="87" t="n"/>
      <c r="TTP1" s="87" t="n"/>
      <c r="TTQ1" s="87" t="n"/>
      <c r="TTR1" s="87" t="n"/>
      <c r="TTS1" s="87" t="n"/>
      <c r="TTT1" s="87" t="n"/>
      <c r="TTU1" s="87" t="n"/>
      <c r="TTV1" s="87" t="n"/>
      <c r="TTW1" s="87" t="n"/>
      <c r="TTX1" s="87" t="n"/>
      <c r="TTY1" s="87" t="n"/>
      <c r="TTZ1" s="87" t="n"/>
      <c r="TUA1" s="87" t="n"/>
      <c r="TUB1" s="87" t="n"/>
      <c r="TUC1" s="87" t="n"/>
      <c r="TUD1" s="87" t="n"/>
      <c r="TUE1" s="87" t="n"/>
      <c r="TUF1" s="87" t="n"/>
      <c r="TUG1" s="87" t="n"/>
      <c r="TUH1" s="87" t="n"/>
      <c r="TUI1" s="87" t="n"/>
      <c r="TUJ1" s="87" t="n"/>
      <c r="TUK1" s="87" t="n"/>
      <c r="TUL1" s="87" t="n"/>
      <c r="TUM1" s="87" t="n"/>
      <c r="TUN1" s="87" t="n"/>
      <c r="TUO1" s="87" t="n"/>
      <c r="TUP1" s="87" t="n"/>
      <c r="TUQ1" s="87" t="n"/>
      <c r="TUR1" s="87" t="n"/>
      <c r="TUS1" s="87" t="n"/>
      <c r="TUT1" s="87" t="n"/>
      <c r="TUU1" s="87" t="n"/>
      <c r="TUV1" s="87" t="n"/>
      <c r="TUW1" s="87" t="n"/>
      <c r="TUX1" s="87" t="n"/>
      <c r="TUY1" s="87" t="n"/>
      <c r="TUZ1" s="87" t="n"/>
      <c r="TVA1" s="87" t="n"/>
      <c r="TVB1" s="87" t="n"/>
      <c r="TVC1" s="87" t="n"/>
      <c r="TVD1" s="87" t="n"/>
      <c r="TVE1" s="87" t="n"/>
      <c r="TVF1" s="87" t="n"/>
      <c r="TVG1" s="87" t="n"/>
      <c r="TVH1" s="87" t="n"/>
      <c r="TVI1" s="87" t="n"/>
      <c r="TVJ1" s="87" t="n"/>
      <c r="TVK1" s="87" t="n"/>
      <c r="TVL1" s="87" t="n"/>
      <c r="TVM1" s="87" t="n"/>
      <c r="TVN1" s="87" t="n"/>
      <c r="TVO1" s="87" t="n"/>
      <c r="TVP1" s="87" t="n"/>
      <c r="TVQ1" s="87" t="n"/>
      <c r="TVR1" s="87" t="n"/>
      <c r="TVS1" s="87" t="n"/>
      <c r="TVT1" s="87" t="n"/>
      <c r="TVU1" s="87" t="n"/>
      <c r="TVV1" s="87" t="n"/>
      <c r="TVW1" s="87" t="n"/>
      <c r="TVX1" s="87" t="n"/>
      <c r="TVY1" s="87" t="n"/>
      <c r="TVZ1" s="87" t="n"/>
      <c r="TWA1" s="87" t="n"/>
      <c r="TWB1" s="87" t="n"/>
      <c r="TWC1" s="87" t="n"/>
      <c r="TWD1" s="87" t="n"/>
      <c r="TWE1" s="87" t="n"/>
      <c r="TWF1" s="87" t="n"/>
      <c r="TWG1" s="87" t="n"/>
      <c r="TWH1" s="87" t="n"/>
      <c r="TWI1" s="87" t="n"/>
      <c r="TWJ1" s="87" t="n"/>
      <c r="TWK1" s="87" t="n"/>
      <c r="TWL1" s="87" t="n"/>
      <c r="TWM1" s="87" t="n"/>
      <c r="TWN1" s="87" t="n"/>
      <c r="TWO1" s="87" t="n"/>
      <c r="TWP1" s="87" t="n"/>
      <c r="TWQ1" s="87" t="n"/>
      <c r="TWR1" s="87" t="n"/>
      <c r="TWS1" s="87" t="n"/>
      <c r="TWT1" s="87" t="n"/>
      <c r="TWU1" s="87" t="n"/>
      <c r="TWV1" s="87" t="n"/>
      <c r="TWW1" s="87" t="n"/>
      <c r="TWX1" s="87" t="n"/>
      <c r="TWY1" s="87" t="n"/>
      <c r="TWZ1" s="87" t="n"/>
      <c r="TXA1" s="87" t="n"/>
      <c r="TXB1" s="87" t="n"/>
      <c r="TXC1" s="87" t="n"/>
      <c r="TXD1" s="87" t="n"/>
      <c r="TXE1" s="87" t="n"/>
      <c r="TXF1" s="87" t="n"/>
      <c r="TXG1" s="87" t="n"/>
      <c r="TXH1" s="87" t="n"/>
      <c r="TXI1" s="87" t="n"/>
      <c r="TXJ1" s="87" t="n"/>
      <c r="TXK1" s="87" t="n"/>
      <c r="TXL1" s="87" t="n"/>
      <c r="TXM1" s="87" t="n"/>
      <c r="TXN1" s="87" t="n"/>
      <c r="TXO1" s="87" t="n"/>
      <c r="TXP1" s="87" t="n"/>
      <c r="TXQ1" s="87" t="n"/>
      <c r="TXR1" s="87" t="n"/>
      <c r="TXS1" s="87" t="n"/>
      <c r="TXT1" s="87" t="n"/>
      <c r="TXU1" s="87" t="n"/>
      <c r="TXV1" s="87" t="n"/>
      <c r="TXW1" s="87" t="n"/>
      <c r="TXX1" s="87" t="n"/>
      <c r="TXY1" s="87" t="n"/>
      <c r="TXZ1" s="87" t="n"/>
      <c r="TYA1" s="87" t="n"/>
      <c r="TYB1" s="87" t="n"/>
      <c r="TYC1" s="87" t="n"/>
      <c r="TYD1" s="87" t="n"/>
      <c r="TYE1" s="87" t="n"/>
      <c r="TYF1" s="87" t="n"/>
      <c r="TYG1" s="87" t="n"/>
      <c r="TYH1" s="87" t="n"/>
      <c r="TYI1" s="87" t="n"/>
      <c r="TYJ1" s="87" t="n"/>
      <c r="TYK1" s="87" t="n"/>
      <c r="TYL1" s="87" t="n"/>
      <c r="TYM1" s="87" t="n"/>
      <c r="TYN1" s="87" t="n"/>
      <c r="TYO1" s="87" t="n"/>
      <c r="TYP1" s="87" t="n"/>
      <c r="TYQ1" s="87" t="n"/>
      <c r="TYR1" s="87" t="n"/>
      <c r="TYS1" s="87" t="n"/>
      <c r="TYT1" s="87" t="n"/>
      <c r="TYU1" s="87" t="n"/>
      <c r="TYV1" s="87" t="n"/>
      <c r="TYW1" s="87" t="n"/>
      <c r="TYX1" s="87" t="n"/>
      <c r="TYY1" s="87" t="n"/>
      <c r="TYZ1" s="87" t="n"/>
      <c r="TZA1" s="87" t="n"/>
      <c r="TZB1" s="87" t="n"/>
      <c r="TZC1" s="87" t="n"/>
      <c r="TZD1" s="87" t="n"/>
      <c r="TZE1" s="87" t="n"/>
      <c r="TZF1" s="87" t="n"/>
      <c r="TZG1" s="87" t="n"/>
      <c r="TZH1" s="87" t="n"/>
      <c r="TZI1" s="87" t="n"/>
      <c r="TZJ1" s="87" t="n"/>
      <c r="TZK1" s="87" t="n"/>
      <c r="TZL1" s="87" t="n"/>
      <c r="TZM1" s="87" t="n"/>
      <c r="TZN1" s="87" t="n"/>
      <c r="TZO1" s="87" t="n"/>
      <c r="TZP1" s="87" t="n"/>
      <c r="TZQ1" s="87" t="n"/>
      <c r="TZR1" s="87" t="n"/>
      <c r="TZS1" s="87" t="n"/>
      <c r="TZT1" s="87" t="n"/>
      <c r="TZU1" s="87" t="n"/>
      <c r="TZV1" s="87" t="n"/>
      <c r="TZW1" s="87" t="n"/>
      <c r="TZX1" s="87" t="n"/>
      <c r="TZY1" s="87" t="n"/>
      <c r="TZZ1" s="87" t="n"/>
      <c r="UAA1" s="87" t="n"/>
      <c r="UAB1" s="87" t="n"/>
      <c r="UAC1" s="87" t="n"/>
      <c r="UAD1" s="87" t="n"/>
      <c r="UAE1" s="87" t="n"/>
      <c r="UAF1" s="87" t="n"/>
      <c r="UAG1" s="87" t="n"/>
      <c r="UAH1" s="87" t="n"/>
      <c r="UAI1" s="87" t="n"/>
      <c r="UAJ1" s="87" t="n"/>
      <c r="UAK1" s="87" t="n"/>
      <c r="UAL1" s="87" t="n"/>
      <c r="UAM1" s="87" t="n"/>
      <c r="UAN1" s="87" t="n"/>
      <c r="UAO1" s="87" t="n"/>
      <c r="UAP1" s="87" t="n"/>
      <c r="UAQ1" s="87" t="n"/>
      <c r="UAR1" s="87" t="n"/>
      <c r="UAS1" s="87" t="n"/>
      <c r="UAT1" s="87" t="n"/>
      <c r="UAU1" s="87" t="n"/>
      <c r="UAV1" s="87" t="n"/>
      <c r="UAW1" s="87" t="n"/>
      <c r="UAX1" s="87" t="n"/>
      <c r="UAY1" s="87" t="n"/>
      <c r="UAZ1" s="87" t="n"/>
      <c r="UBA1" s="87" t="n"/>
      <c r="UBB1" s="87" t="n"/>
      <c r="UBC1" s="87" t="n"/>
      <c r="UBD1" s="87" t="n"/>
      <c r="UBE1" s="87" t="n"/>
      <c r="UBF1" s="87" t="n"/>
      <c r="UBG1" s="87" t="n"/>
      <c r="UBH1" s="87" t="n"/>
      <c r="UBI1" s="87" t="n"/>
      <c r="UBJ1" s="87" t="n"/>
      <c r="UBK1" s="87" t="n"/>
      <c r="UBL1" s="87" t="n"/>
      <c r="UBM1" s="87" t="n"/>
      <c r="UBN1" s="87" t="n"/>
      <c r="UBO1" s="87" t="n"/>
      <c r="UBP1" s="87" t="n"/>
      <c r="UBQ1" s="87" t="n"/>
      <c r="UBR1" s="87" t="n"/>
      <c r="UBS1" s="87" t="n"/>
      <c r="UBT1" s="87" t="n"/>
      <c r="UBU1" s="87" t="n"/>
      <c r="UBV1" s="87" t="n"/>
      <c r="UBW1" s="87" t="n"/>
      <c r="UBX1" s="87" t="n"/>
      <c r="UBY1" s="87" t="n"/>
      <c r="UBZ1" s="87" t="n"/>
      <c r="UCA1" s="87" t="n"/>
      <c r="UCB1" s="87" t="n"/>
      <c r="UCC1" s="87" t="n"/>
      <c r="UCD1" s="87" t="n"/>
      <c r="UCE1" s="87" t="n"/>
      <c r="UCF1" s="87" t="n"/>
      <c r="UCG1" s="87" t="n"/>
      <c r="UCH1" s="87" t="n"/>
      <c r="UCI1" s="87" t="n"/>
      <c r="UCJ1" s="87" t="n"/>
      <c r="UCK1" s="87" t="n"/>
      <c r="UCL1" s="87" t="n"/>
      <c r="UCM1" s="87" t="n"/>
      <c r="UCN1" s="87" t="n"/>
      <c r="UCO1" s="87" t="n"/>
      <c r="UCP1" s="87" t="n"/>
      <c r="UCQ1" s="87" t="n"/>
      <c r="UCR1" s="87" t="n"/>
      <c r="UCS1" s="87" t="n"/>
      <c r="UCT1" s="87" t="n"/>
      <c r="UCU1" s="87" t="n"/>
      <c r="UCV1" s="87" t="n"/>
      <c r="UCW1" s="87" t="n"/>
      <c r="UCX1" s="87" t="n"/>
      <c r="UCY1" s="87" t="n"/>
      <c r="UCZ1" s="87" t="n"/>
      <c r="UDA1" s="87" t="n"/>
      <c r="UDB1" s="87" t="n"/>
      <c r="UDC1" s="87" t="n"/>
      <c r="UDD1" s="87" t="n"/>
      <c r="UDE1" s="87" t="n"/>
      <c r="UDF1" s="87" t="n"/>
      <c r="UDG1" s="87" t="n"/>
      <c r="UDH1" s="87" t="n"/>
      <c r="UDI1" s="87" t="n"/>
      <c r="UDJ1" s="87" t="n"/>
      <c r="UDK1" s="87" t="n"/>
      <c r="UDL1" s="87" t="n"/>
      <c r="UDM1" s="87" t="n"/>
      <c r="UDN1" s="87" t="n"/>
      <c r="UDO1" s="87" t="n"/>
      <c r="UDP1" s="87" t="n"/>
      <c r="UDQ1" s="87" t="n"/>
      <c r="UDR1" s="87" t="n"/>
      <c r="UDS1" s="87" t="n"/>
      <c r="UDT1" s="87" t="n"/>
      <c r="UDU1" s="87" t="n"/>
      <c r="UDV1" s="87" t="n"/>
      <c r="UDW1" s="87" t="n"/>
      <c r="UDX1" s="87" t="n"/>
      <c r="UDY1" s="87" t="n"/>
      <c r="UDZ1" s="87" t="n"/>
      <c r="UEA1" s="87" t="n"/>
      <c r="UEB1" s="87" t="n"/>
      <c r="UEC1" s="87" t="n"/>
      <c r="UED1" s="87" t="n"/>
      <c r="UEE1" s="87" t="n"/>
      <c r="UEF1" s="87" t="n"/>
      <c r="UEG1" s="87" t="n"/>
      <c r="UEH1" s="87" t="n"/>
      <c r="UEI1" s="87" t="n"/>
      <c r="UEJ1" s="87" t="n"/>
      <c r="UEK1" s="87" t="n"/>
      <c r="UEL1" s="87" t="n"/>
      <c r="UEM1" s="87" t="n"/>
      <c r="UEN1" s="87" t="n"/>
      <c r="UEO1" s="87" t="n"/>
      <c r="UEP1" s="87" t="n"/>
      <c r="UEQ1" s="87" t="n"/>
      <c r="UER1" s="87" t="n"/>
      <c r="UES1" s="87" t="n"/>
      <c r="UET1" s="87" t="n"/>
      <c r="UEU1" s="87" t="n"/>
      <c r="UEV1" s="87" t="n"/>
      <c r="UEW1" s="87" t="n"/>
      <c r="UEX1" s="87" t="n"/>
      <c r="UEY1" s="87" t="n"/>
      <c r="UEZ1" s="87" t="n"/>
      <c r="UFA1" s="87" t="n"/>
      <c r="UFB1" s="87" t="n"/>
      <c r="UFC1" s="87" t="n"/>
      <c r="UFD1" s="87" t="n"/>
      <c r="UFE1" s="87" t="n"/>
      <c r="UFF1" s="87" t="n"/>
      <c r="UFG1" s="87" t="n"/>
      <c r="UFH1" s="87" t="n"/>
      <c r="UFI1" s="87" t="n"/>
      <c r="UFJ1" s="87" t="n"/>
      <c r="UFK1" s="87" t="n"/>
      <c r="UFL1" s="87" t="n"/>
      <c r="UFM1" s="87" t="n"/>
      <c r="UFN1" s="87" t="n"/>
      <c r="UFO1" s="87" t="n"/>
      <c r="UFP1" s="87" t="n"/>
      <c r="UFQ1" s="87" t="n"/>
      <c r="UFR1" s="87" t="n"/>
      <c r="UFS1" s="87" t="n"/>
      <c r="UFT1" s="87" t="n"/>
      <c r="UFU1" s="87" t="n"/>
      <c r="UFV1" s="87" t="n"/>
      <c r="UFW1" s="87" t="n"/>
      <c r="UFX1" s="87" t="n"/>
      <c r="UFY1" s="87" t="n"/>
      <c r="UFZ1" s="87" t="n"/>
      <c r="UGA1" s="87" t="n"/>
      <c r="UGB1" s="87" t="n"/>
      <c r="UGC1" s="87" t="n"/>
      <c r="UGD1" s="87" t="n"/>
      <c r="UGE1" s="87" t="n"/>
      <c r="UGF1" s="87" t="n"/>
      <c r="UGG1" s="87" t="n"/>
      <c r="UGH1" s="87" t="n"/>
      <c r="UGI1" s="87" t="n"/>
      <c r="UGJ1" s="87" t="n"/>
      <c r="UGK1" s="87" t="n"/>
      <c r="UGL1" s="87" t="n"/>
      <c r="UGM1" s="87" t="n"/>
      <c r="UGN1" s="87" t="n"/>
      <c r="UGO1" s="87" t="n"/>
      <c r="UGP1" s="87" t="n"/>
      <c r="UGQ1" s="87" t="n"/>
      <c r="UGR1" s="87" t="n"/>
      <c r="UGS1" s="87" t="n"/>
      <c r="UGT1" s="87" t="n"/>
      <c r="UGU1" s="87" t="n"/>
      <c r="UGV1" s="87" t="n"/>
      <c r="UGW1" s="87" t="n"/>
      <c r="UGX1" s="87" t="n"/>
      <c r="UGY1" s="87" t="n"/>
      <c r="UGZ1" s="87" t="n"/>
      <c r="UHA1" s="87" t="n"/>
      <c r="UHB1" s="87" t="n"/>
      <c r="UHC1" s="87" t="n"/>
      <c r="UHD1" s="87" t="n"/>
      <c r="UHE1" s="87" t="n"/>
      <c r="UHF1" s="87" t="n"/>
      <c r="UHG1" s="87" t="n"/>
      <c r="UHH1" s="87" t="n"/>
      <c r="UHI1" s="87" t="n"/>
      <c r="UHJ1" s="87" t="n"/>
      <c r="UHK1" s="87" t="n"/>
      <c r="UHL1" s="87" t="n"/>
      <c r="UHM1" s="87" t="n"/>
      <c r="UHN1" s="87" t="n"/>
      <c r="UHO1" s="87" t="n"/>
      <c r="UHP1" s="87" t="n"/>
      <c r="UHQ1" s="87" t="n"/>
      <c r="UHR1" s="87" t="n"/>
      <c r="UHS1" s="87" t="n"/>
      <c r="UHT1" s="87" t="n"/>
      <c r="UHU1" s="87" t="n"/>
      <c r="UHV1" s="87" t="n"/>
      <c r="UHW1" s="87" t="n"/>
      <c r="UHX1" s="87" t="n"/>
      <c r="UHY1" s="87" t="n"/>
      <c r="UHZ1" s="87" t="n"/>
      <c r="UIA1" s="87" t="n"/>
      <c r="UIB1" s="87" t="n"/>
      <c r="UIC1" s="87" t="n"/>
      <c r="UID1" s="87" t="n"/>
      <c r="UIE1" s="87" t="n"/>
      <c r="UIF1" s="87" t="n"/>
      <c r="UIG1" s="87" t="n"/>
      <c r="UIH1" s="87" t="n"/>
      <c r="UII1" s="87" t="n"/>
      <c r="UIJ1" s="87" t="n"/>
      <c r="UIK1" s="87" t="n"/>
      <c r="UIL1" s="87" t="n"/>
      <c r="UIM1" s="87" t="n"/>
      <c r="UIN1" s="87" t="n"/>
      <c r="UIO1" s="87" t="n"/>
      <c r="UIP1" s="87" t="n"/>
      <c r="UIQ1" s="87" t="n"/>
      <c r="UIR1" s="87" t="n"/>
      <c r="UIS1" s="87" t="n"/>
      <c r="UIT1" s="87" t="n"/>
      <c r="UIU1" s="87" t="n"/>
      <c r="UIV1" s="87" t="n"/>
      <c r="UIW1" s="87" t="n"/>
      <c r="UIX1" s="87" t="n"/>
      <c r="UIY1" s="87" t="n"/>
      <c r="UIZ1" s="87" t="n"/>
      <c r="UJA1" s="87" t="n"/>
      <c r="UJB1" s="87" t="n"/>
      <c r="UJC1" s="87" t="n"/>
      <c r="UJD1" s="87" t="n"/>
      <c r="UJE1" s="87" t="n"/>
      <c r="UJF1" s="87" t="n"/>
      <c r="UJG1" s="87" t="n"/>
      <c r="UJH1" s="87" t="n"/>
      <c r="UJI1" s="87" t="n"/>
      <c r="UJJ1" s="87" t="n"/>
      <c r="UJK1" s="87" t="n"/>
      <c r="UJL1" s="87" t="n"/>
      <c r="UJM1" s="87" t="n"/>
      <c r="UJN1" s="87" t="n"/>
      <c r="UJO1" s="87" t="n"/>
      <c r="UJP1" s="87" t="n"/>
      <c r="UJQ1" s="87" t="n"/>
      <c r="UJR1" s="87" t="n"/>
      <c r="UJS1" s="87" t="n"/>
      <c r="UJT1" s="87" t="n"/>
      <c r="UJU1" s="87" t="n"/>
      <c r="UJV1" s="87" t="n"/>
      <c r="UJW1" s="87" t="n"/>
      <c r="UJX1" s="87" t="n"/>
      <c r="UJY1" s="87" t="n"/>
      <c r="UJZ1" s="87" t="n"/>
      <c r="UKA1" s="87" t="n"/>
      <c r="UKB1" s="87" t="n"/>
      <c r="UKC1" s="87" t="n"/>
      <c r="UKD1" s="87" t="n"/>
      <c r="UKE1" s="87" t="n"/>
      <c r="UKF1" s="87" t="n"/>
      <c r="UKG1" s="87" t="n"/>
      <c r="UKH1" s="87" t="n"/>
      <c r="UKI1" s="87" t="n"/>
      <c r="UKJ1" s="87" t="n"/>
      <c r="UKK1" s="87" t="n"/>
      <c r="UKL1" s="87" t="n"/>
      <c r="UKM1" s="87" t="n"/>
      <c r="UKN1" s="87" t="n"/>
      <c r="UKO1" s="87" t="n"/>
      <c r="UKP1" s="87" t="n"/>
      <c r="UKQ1" s="87" t="n"/>
      <c r="UKR1" s="87" t="n"/>
      <c r="UKS1" s="87" t="n"/>
      <c r="UKT1" s="87" t="n"/>
      <c r="UKU1" s="87" t="n"/>
      <c r="UKV1" s="87" t="n"/>
      <c r="UKW1" s="87" t="n"/>
      <c r="UKX1" s="87" t="n"/>
      <c r="UKY1" s="87" t="n"/>
      <c r="UKZ1" s="87" t="n"/>
      <c r="ULA1" s="87" t="n"/>
      <c r="ULB1" s="87" t="n"/>
      <c r="ULC1" s="87" t="n"/>
      <c r="ULD1" s="87" t="n"/>
      <c r="ULE1" s="87" t="n"/>
      <c r="ULF1" s="87" t="n"/>
      <c r="ULG1" s="87" t="n"/>
      <c r="ULH1" s="87" t="n"/>
      <c r="ULI1" s="87" t="n"/>
      <c r="ULJ1" s="87" t="n"/>
      <c r="ULK1" s="87" t="n"/>
      <c r="ULL1" s="87" t="n"/>
      <c r="ULM1" s="87" t="n"/>
      <c r="ULN1" s="87" t="n"/>
      <c r="ULO1" s="87" t="n"/>
      <c r="ULP1" s="87" t="n"/>
      <c r="ULQ1" s="87" t="n"/>
      <c r="ULR1" s="87" t="n"/>
      <c r="ULS1" s="87" t="n"/>
      <c r="ULT1" s="87" t="n"/>
      <c r="ULU1" s="87" t="n"/>
      <c r="ULV1" s="87" t="n"/>
      <c r="ULW1" s="87" t="n"/>
      <c r="ULX1" s="87" t="n"/>
      <c r="ULY1" s="87" t="n"/>
      <c r="ULZ1" s="87" t="n"/>
      <c r="UMA1" s="87" t="n"/>
      <c r="UMB1" s="87" t="n"/>
      <c r="UMC1" s="87" t="n"/>
      <c r="UMD1" s="87" t="n"/>
      <c r="UME1" s="87" t="n"/>
      <c r="UMF1" s="87" t="n"/>
      <c r="UMG1" s="87" t="n"/>
      <c r="UMH1" s="87" t="n"/>
      <c r="UMI1" s="87" t="n"/>
      <c r="UMJ1" s="87" t="n"/>
      <c r="UMK1" s="87" t="n"/>
      <c r="UML1" s="87" t="n"/>
      <c r="UMM1" s="87" t="n"/>
      <c r="UMN1" s="87" t="n"/>
      <c r="UMO1" s="87" t="n"/>
      <c r="UMP1" s="87" t="n"/>
      <c r="UMQ1" s="87" t="n"/>
      <c r="UMR1" s="87" t="n"/>
      <c r="UMS1" s="87" t="n"/>
      <c r="UMT1" s="87" t="n"/>
      <c r="UMU1" s="87" t="n"/>
      <c r="UMV1" s="87" t="n"/>
      <c r="UMW1" s="87" t="n"/>
      <c r="UMX1" s="87" t="n"/>
      <c r="UMY1" s="87" t="n"/>
      <c r="UMZ1" s="87" t="n"/>
      <c r="UNA1" s="87" t="n"/>
      <c r="UNB1" s="87" t="n"/>
      <c r="UNC1" s="87" t="n"/>
      <c r="UND1" s="87" t="n"/>
      <c r="UNE1" s="87" t="n"/>
      <c r="UNF1" s="87" t="n"/>
      <c r="UNG1" s="87" t="n"/>
      <c r="UNH1" s="87" t="n"/>
      <c r="UNI1" s="87" t="n"/>
      <c r="UNJ1" s="87" t="n"/>
      <c r="UNK1" s="87" t="n"/>
      <c r="UNL1" s="87" t="n"/>
      <c r="UNM1" s="87" t="n"/>
      <c r="UNN1" s="87" t="n"/>
      <c r="UNO1" s="87" t="n"/>
      <c r="UNP1" s="87" t="n"/>
      <c r="UNQ1" s="87" t="n"/>
      <c r="UNR1" s="87" t="n"/>
      <c r="UNS1" s="87" t="n"/>
      <c r="UNT1" s="87" t="n"/>
      <c r="UNU1" s="87" t="n"/>
      <c r="UNV1" s="87" t="n"/>
      <c r="UNW1" s="87" t="n"/>
      <c r="UNX1" s="87" t="n"/>
      <c r="UNY1" s="87" t="n"/>
      <c r="UNZ1" s="87" t="n"/>
      <c r="UOA1" s="87" t="n"/>
      <c r="UOB1" s="87" t="n"/>
      <c r="UOC1" s="87" t="n"/>
      <c r="UOD1" s="87" t="n"/>
      <c r="UOE1" s="87" t="n"/>
      <c r="UOF1" s="87" t="n"/>
      <c r="UOG1" s="87" t="n"/>
      <c r="UOH1" s="87" t="n"/>
      <c r="UOI1" s="87" t="n"/>
      <c r="UOJ1" s="87" t="n"/>
      <c r="UOK1" s="87" t="n"/>
      <c r="UOL1" s="87" t="n"/>
      <c r="UOM1" s="87" t="n"/>
      <c r="UON1" s="87" t="n"/>
      <c r="UOO1" s="87" t="n"/>
      <c r="UOP1" s="87" t="n"/>
      <c r="UOQ1" s="87" t="n"/>
      <c r="UOR1" s="87" t="n"/>
      <c r="UOS1" s="87" t="n"/>
      <c r="UOT1" s="87" t="n"/>
      <c r="UOU1" s="87" t="n"/>
      <c r="UOV1" s="87" t="n"/>
      <c r="UOW1" s="87" t="n"/>
      <c r="UOX1" s="87" t="n"/>
      <c r="UOY1" s="87" t="n"/>
      <c r="UOZ1" s="87" t="n"/>
      <c r="UPA1" s="87" t="n"/>
      <c r="UPB1" s="87" t="n"/>
      <c r="UPC1" s="87" t="n"/>
      <c r="UPD1" s="87" t="n"/>
      <c r="UPE1" s="87" t="n"/>
      <c r="UPF1" s="87" t="n"/>
      <c r="UPG1" s="87" t="n"/>
      <c r="UPH1" s="87" t="n"/>
      <c r="UPI1" s="87" t="n"/>
      <c r="UPJ1" s="87" t="n"/>
      <c r="UPK1" s="87" t="n"/>
      <c r="UPL1" s="87" t="n"/>
      <c r="UPM1" s="87" t="n"/>
      <c r="UPN1" s="87" t="n"/>
      <c r="UPO1" s="87" t="n"/>
      <c r="UPP1" s="87" t="n"/>
      <c r="UPQ1" s="87" t="n"/>
      <c r="UPR1" s="87" t="n"/>
      <c r="UPS1" s="87" t="n"/>
      <c r="UPT1" s="87" t="n"/>
      <c r="UPU1" s="87" t="n"/>
      <c r="UPV1" s="87" t="n"/>
      <c r="UPW1" s="87" t="n"/>
      <c r="UPX1" s="87" t="n"/>
      <c r="UPY1" s="87" t="n"/>
      <c r="UPZ1" s="87" t="n"/>
      <c r="UQA1" s="87" t="n"/>
      <c r="UQB1" s="87" t="n"/>
      <c r="UQC1" s="87" t="n"/>
      <c r="UQD1" s="87" t="n"/>
      <c r="UQE1" s="87" t="n"/>
      <c r="UQF1" s="87" t="n"/>
      <c r="UQG1" s="87" t="n"/>
      <c r="UQH1" s="87" t="n"/>
      <c r="UQI1" s="87" t="n"/>
      <c r="UQJ1" s="87" t="n"/>
      <c r="UQK1" s="87" t="n"/>
      <c r="UQL1" s="87" t="n"/>
      <c r="UQM1" s="87" t="n"/>
      <c r="UQN1" s="87" t="n"/>
      <c r="UQO1" s="87" t="n"/>
      <c r="UQP1" s="87" t="n"/>
      <c r="UQQ1" s="87" t="n"/>
      <c r="UQR1" s="87" t="n"/>
      <c r="UQS1" s="87" t="n"/>
      <c r="UQT1" s="87" t="n"/>
      <c r="UQU1" s="87" t="n"/>
      <c r="UQV1" s="87" t="n"/>
      <c r="UQW1" s="87" t="n"/>
      <c r="UQX1" s="87" t="n"/>
      <c r="UQY1" s="87" t="n"/>
      <c r="UQZ1" s="87" t="n"/>
      <c r="URA1" s="87" t="n"/>
      <c r="URB1" s="87" t="n"/>
      <c r="URC1" s="87" t="n"/>
      <c r="URD1" s="87" t="n"/>
      <c r="URE1" s="87" t="n"/>
      <c r="URF1" s="87" t="n"/>
      <c r="URG1" s="87" t="n"/>
      <c r="URH1" s="87" t="n"/>
      <c r="URI1" s="87" t="n"/>
      <c r="URJ1" s="87" t="n"/>
      <c r="URK1" s="87" t="n"/>
      <c r="URL1" s="87" t="n"/>
      <c r="URM1" s="87" t="n"/>
      <c r="URN1" s="87" t="n"/>
      <c r="URO1" s="87" t="n"/>
      <c r="URP1" s="87" t="n"/>
      <c r="URQ1" s="87" t="n"/>
      <c r="URR1" s="87" t="n"/>
      <c r="URS1" s="87" t="n"/>
      <c r="URT1" s="87" t="n"/>
      <c r="URU1" s="87" t="n"/>
      <c r="URV1" s="87" t="n"/>
      <c r="URW1" s="87" t="n"/>
      <c r="URX1" s="87" t="n"/>
      <c r="URY1" s="87" t="n"/>
      <c r="URZ1" s="87" t="n"/>
      <c r="USA1" s="87" t="n"/>
      <c r="USB1" s="87" t="n"/>
      <c r="USC1" s="87" t="n"/>
      <c r="USD1" s="87" t="n"/>
      <c r="USE1" s="87" t="n"/>
      <c r="USF1" s="87" t="n"/>
      <c r="USG1" s="87" t="n"/>
      <c r="USH1" s="87" t="n"/>
      <c r="USI1" s="87" t="n"/>
      <c r="USJ1" s="87" t="n"/>
      <c r="USK1" s="87" t="n"/>
      <c r="USL1" s="87" t="n"/>
      <c r="USM1" s="87" t="n"/>
      <c r="USN1" s="87" t="n"/>
      <c r="USO1" s="87" t="n"/>
      <c r="USP1" s="87" t="n"/>
      <c r="USQ1" s="87" t="n"/>
      <c r="USR1" s="87" t="n"/>
      <c r="USS1" s="87" t="n"/>
      <c r="UST1" s="87" t="n"/>
      <c r="USU1" s="87" t="n"/>
      <c r="USV1" s="87" t="n"/>
      <c r="USW1" s="87" t="n"/>
      <c r="USX1" s="87" t="n"/>
      <c r="USY1" s="87" t="n"/>
      <c r="USZ1" s="87" t="n"/>
      <c r="UTA1" s="87" t="n"/>
      <c r="UTB1" s="87" t="n"/>
      <c r="UTC1" s="87" t="n"/>
      <c r="UTD1" s="87" t="n"/>
      <c r="UTE1" s="87" t="n"/>
      <c r="UTF1" s="87" t="n"/>
      <c r="UTG1" s="87" t="n"/>
      <c r="UTH1" s="87" t="n"/>
      <c r="UTI1" s="87" t="n"/>
      <c r="UTJ1" s="87" t="n"/>
      <c r="UTK1" s="87" t="n"/>
      <c r="UTL1" s="87" t="n"/>
      <c r="UTM1" s="87" t="n"/>
      <c r="UTN1" s="87" t="n"/>
      <c r="UTO1" s="87" t="n"/>
      <c r="UTP1" s="87" t="n"/>
      <c r="UTQ1" s="87" t="n"/>
      <c r="UTR1" s="87" t="n"/>
      <c r="UTS1" s="87" t="n"/>
      <c r="UTT1" s="87" t="n"/>
      <c r="UTU1" s="87" t="n"/>
      <c r="UTV1" s="87" t="n"/>
      <c r="UTW1" s="87" t="n"/>
      <c r="UTX1" s="87" t="n"/>
      <c r="UTY1" s="87" t="n"/>
      <c r="UTZ1" s="87" t="n"/>
      <c r="UUA1" s="87" t="n"/>
      <c r="UUB1" s="87" t="n"/>
      <c r="UUC1" s="87" t="n"/>
      <c r="UUD1" s="87" t="n"/>
      <c r="UUE1" s="87" t="n"/>
      <c r="UUF1" s="87" t="n"/>
      <c r="UUG1" s="87" t="n"/>
      <c r="UUH1" s="87" t="n"/>
      <c r="UUI1" s="87" t="n"/>
      <c r="UUJ1" s="87" t="n"/>
      <c r="UUK1" s="87" t="n"/>
      <c r="UUL1" s="87" t="n"/>
      <c r="UUM1" s="87" t="n"/>
      <c r="UUN1" s="87" t="n"/>
      <c r="UUO1" s="87" t="n"/>
      <c r="UUP1" s="87" t="n"/>
      <c r="UUQ1" s="87" t="n"/>
      <c r="UUR1" s="87" t="n"/>
      <c r="UUS1" s="87" t="n"/>
      <c r="UUT1" s="87" t="n"/>
      <c r="UUU1" s="87" t="n"/>
      <c r="UUV1" s="87" t="n"/>
      <c r="UUW1" s="87" t="n"/>
      <c r="UUX1" s="87" t="n"/>
      <c r="UUY1" s="87" t="n"/>
      <c r="UUZ1" s="87" t="n"/>
      <c r="UVA1" s="87" t="n"/>
      <c r="UVB1" s="87" t="n"/>
      <c r="UVC1" s="87" t="n"/>
      <c r="UVD1" s="87" t="n"/>
      <c r="UVE1" s="87" t="n"/>
      <c r="UVF1" s="87" t="n"/>
      <c r="UVG1" s="87" t="n"/>
      <c r="UVH1" s="87" t="n"/>
      <c r="UVI1" s="87" t="n"/>
      <c r="UVJ1" s="87" t="n"/>
      <c r="UVK1" s="87" t="n"/>
      <c r="UVL1" s="87" t="n"/>
      <c r="UVM1" s="87" t="n"/>
      <c r="UVN1" s="87" t="n"/>
      <c r="UVO1" s="87" t="n"/>
      <c r="UVP1" s="87" t="n"/>
      <c r="UVQ1" s="87" t="n"/>
      <c r="UVR1" s="87" t="n"/>
      <c r="UVS1" s="87" t="n"/>
      <c r="UVT1" s="87" t="n"/>
      <c r="UVU1" s="87" t="n"/>
      <c r="UVV1" s="87" t="n"/>
      <c r="UVW1" s="87" t="n"/>
      <c r="UVX1" s="87" t="n"/>
      <c r="UVY1" s="87" t="n"/>
      <c r="UVZ1" s="87" t="n"/>
      <c r="UWA1" s="87" t="n"/>
      <c r="UWB1" s="87" t="n"/>
      <c r="UWC1" s="87" t="n"/>
      <c r="UWD1" s="87" t="n"/>
      <c r="UWE1" s="87" t="n"/>
      <c r="UWF1" s="87" t="n"/>
      <c r="UWG1" s="87" t="n"/>
      <c r="UWH1" s="87" t="n"/>
      <c r="UWI1" s="87" t="n"/>
      <c r="UWJ1" s="87" t="n"/>
      <c r="UWK1" s="87" t="n"/>
      <c r="UWL1" s="87" t="n"/>
      <c r="UWM1" s="87" t="n"/>
      <c r="UWN1" s="87" t="n"/>
      <c r="UWO1" s="87" t="n"/>
      <c r="UWP1" s="87" t="n"/>
      <c r="UWQ1" s="87" t="n"/>
      <c r="UWR1" s="87" t="n"/>
      <c r="UWS1" s="87" t="n"/>
      <c r="UWT1" s="87" t="n"/>
      <c r="UWU1" s="87" t="n"/>
      <c r="UWV1" s="87" t="n"/>
      <c r="UWW1" s="87" t="n"/>
      <c r="UWX1" s="87" t="n"/>
      <c r="UWY1" s="87" t="n"/>
      <c r="UWZ1" s="87" t="n"/>
      <c r="UXA1" s="87" t="n"/>
      <c r="UXB1" s="87" t="n"/>
      <c r="UXC1" s="87" t="n"/>
      <c r="UXD1" s="87" t="n"/>
      <c r="UXE1" s="87" t="n"/>
      <c r="UXF1" s="87" t="n"/>
      <c r="UXG1" s="87" t="n"/>
      <c r="UXH1" s="87" t="n"/>
      <c r="UXI1" s="87" t="n"/>
      <c r="UXJ1" s="87" t="n"/>
      <c r="UXK1" s="87" t="n"/>
      <c r="UXL1" s="87" t="n"/>
      <c r="UXM1" s="87" t="n"/>
      <c r="UXN1" s="87" t="n"/>
      <c r="UXO1" s="87" t="n"/>
      <c r="UXP1" s="87" t="n"/>
      <c r="UXQ1" s="87" t="n"/>
      <c r="UXR1" s="87" t="n"/>
      <c r="UXS1" s="87" t="n"/>
      <c r="UXT1" s="87" t="n"/>
      <c r="UXU1" s="87" t="n"/>
      <c r="UXV1" s="87" t="n"/>
      <c r="UXW1" s="87" t="n"/>
      <c r="UXX1" s="87" t="n"/>
      <c r="UXY1" s="87" t="n"/>
      <c r="UXZ1" s="87" t="n"/>
      <c r="UYA1" s="87" t="n"/>
      <c r="UYB1" s="87" t="n"/>
      <c r="UYC1" s="87" t="n"/>
      <c r="UYD1" s="87" t="n"/>
      <c r="UYE1" s="87" t="n"/>
      <c r="UYF1" s="87" t="n"/>
      <c r="UYG1" s="87" t="n"/>
      <c r="UYH1" s="87" t="n"/>
      <c r="UYI1" s="87" t="n"/>
      <c r="UYJ1" s="87" t="n"/>
      <c r="UYK1" s="87" t="n"/>
      <c r="UYL1" s="87" t="n"/>
      <c r="UYM1" s="87" t="n"/>
      <c r="UYN1" s="87" t="n"/>
      <c r="UYO1" s="87" t="n"/>
      <c r="UYP1" s="87" t="n"/>
      <c r="UYQ1" s="87" t="n"/>
      <c r="UYR1" s="87" t="n"/>
      <c r="UYS1" s="87" t="n"/>
      <c r="UYT1" s="87" t="n"/>
      <c r="UYU1" s="87" t="n"/>
      <c r="UYV1" s="87" t="n"/>
      <c r="UYW1" s="87" t="n"/>
      <c r="UYX1" s="87" t="n"/>
      <c r="UYY1" s="87" t="n"/>
      <c r="UYZ1" s="87" t="n"/>
      <c r="UZA1" s="87" t="n"/>
      <c r="UZB1" s="87" t="n"/>
      <c r="UZC1" s="87" t="n"/>
      <c r="UZD1" s="87" t="n"/>
      <c r="UZE1" s="87" t="n"/>
      <c r="UZF1" s="87" t="n"/>
      <c r="UZG1" s="87" t="n"/>
      <c r="UZH1" s="87" t="n"/>
      <c r="UZI1" s="87" t="n"/>
      <c r="UZJ1" s="87" t="n"/>
      <c r="UZK1" s="87" t="n"/>
      <c r="UZL1" s="87" t="n"/>
      <c r="UZM1" s="87" t="n"/>
      <c r="UZN1" s="87" t="n"/>
      <c r="UZO1" s="87" t="n"/>
      <c r="UZP1" s="87" t="n"/>
      <c r="UZQ1" s="87" t="n"/>
      <c r="UZR1" s="87" t="n"/>
      <c r="UZS1" s="87" t="n"/>
      <c r="UZT1" s="87" t="n"/>
      <c r="UZU1" s="87" t="n"/>
      <c r="UZV1" s="87" t="n"/>
      <c r="UZW1" s="87" t="n"/>
      <c r="UZX1" s="87" t="n"/>
      <c r="UZY1" s="87" t="n"/>
      <c r="UZZ1" s="87" t="n"/>
      <c r="VAA1" s="87" t="n"/>
      <c r="VAB1" s="87" t="n"/>
      <c r="VAC1" s="87" t="n"/>
      <c r="VAD1" s="87" t="n"/>
      <c r="VAE1" s="87" t="n"/>
      <c r="VAF1" s="87" t="n"/>
      <c r="VAG1" s="87" t="n"/>
      <c r="VAH1" s="87" t="n"/>
      <c r="VAI1" s="87" t="n"/>
      <c r="VAJ1" s="87" t="n"/>
      <c r="VAK1" s="87" t="n"/>
      <c r="VAL1" s="87" t="n"/>
      <c r="VAM1" s="87" t="n"/>
      <c r="VAN1" s="87" t="n"/>
      <c r="VAO1" s="87" t="n"/>
      <c r="VAP1" s="87" t="n"/>
      <c r="VAQ1" s="87" t="n"/>
      <c r="VAR1" s="87" t="n"/>
      <c r="VAS1" s="87" t="n"/>
      <c r="VAT1" s="87" t="n"/>
      <c r="VAU1" s="87" t="n"/>
      <c r="VAV1" s="87" t="n"/>
      <c r="VAW1" s="87" t="n"/>
      <c r="VAX1" s="87" t="n"/>
      <c r="VAY1" s="87" t="n"/>
      <c r="VAZ1" s="87" t="n"/>
      <c r="VBA1" s="87" t="n"/>
      <c r="VBB1" s="87" t="n"/>
      <c r="VBC1" s="87" t="n"/>
      <c r="VBD1" s="87" t="n"/>
      <c r="VBE1" s="87" t="n"/>
      <c r="VBF1" s="87" t="n"/>
      <c r="VBG1" s="87" t="n"/>
      <c r="VBH1" s="87" t="n"/>
      <c r="VBI1" s="87" t="n"/>
      <c r="VBJ1" s="87" t="n"/>
      <c r="VBK1" s="87" t="n"/>
      <c r="VBL1" s="87" t="n"/>
      <c r="VBM1" s="87" t="n"/>
      <c r="VBN1" s="87" t="n"/>
      <c r="VBO1" s="87" t="n"/>
      <c r="VBP1" s="87" t="n"/>
      <c r="VBQ1" s="87" t="n"/>
      <c r="VBR1" s="87" t="n"/>
      <c r="VBS1" s="87" t="n"/>
      <c r="VBT1" s="87" t="n"/>
      <c r="VBU1" s="87" t="n"/>
      <c r="VBV1" s="87" t="n"/>
      <c r="VBW1" s="87" t="n"/>
      <c r="VBX1" s="87" t="n"/>
      <c r="VBY1" s="87" t="n"/>
      <c r="VBZ1" s="87" t="n"/>
      <c r="VCA1" s="87" t="n"/>
      <c r="VCB1" s="87" t="n"/>
      <c r="VCC1" s="87" t="n"/>
      <c r="VCD1" s="87" t="n"/>
      <c r="VCE1" s="87" t="n"/>
      <c r="VCF1" s="87" t="n"/>
      <c r="VCG1" s="87" t="n"/>
      <c r="VCH1" s="87" t="n"/>
      <c r="VCI1" s="87" t="n"/>
      <c r="VCJ1" s="87" t="n"/>
      <c r="VCK1" s="87" t="n"/>
      <c r="VCL1" s="87" t="n"/>
      <c r="VCM1" s="87" t="n"/>
      <c r="VCN1" s="87" t="n"/>
      <c r="VCO1" s="87" t="n"/>
      <c r="VCP1" s="87" t="n"/>
      <c r="VCQ1" s="87" t="n"/>
      <c r="VCR1" s="87" t="n"/>
      <c r="VCS1" s="87" t="n"/>
      <c r="VCT1" s="87" t="n"/>
      <c r="VCU1" s="87" t="n"/>
      <c r="VCV1" s="87" t="n"/>
      <c r="VCW1" s="87" t="n"/>
      <c r="VCX1" s="87" t="n"/>
      <c r="VCY1" s="87" t="n"/>
      <c r="VCZ1" s="87" t="n"/>
      <c r="VDA1" s="87" t="n"/>
      <c r="VDB1" s="87" t="n"/>
      <c r="VDC1" s="87" t="n"/>
      <c r="VDD1" s="87" t="n"/>
      <c r="VDE1" s="87" t="n"/>
      <c r="VDF1" s="87" t="n"/>
      <c r="VDG1" s="87" t="n"/>
      <c r="VDH1" s="87" t="n"/>
      <c r="VDI1" s="87" t="n"/>
      <c r="VDJ1" s="87" t="n"/>
      <c r="VDK1" s="87" t="n"/>
      <c r="VDL1" s="87" t="n"/>
      <c r="VDM1" s="87" t="n"/>
      <c r="VDN1" s="87" t="n"/>
      <c r="VDO1" s="87" t="n"/>
      <c r="VDP1" s="87" t="n"/>
      <c r="VDQ1" s="87" t="n"/>
      <c r="VDR1" s="87" t="n"/>
      <c r="VDS1" s="87" t="n"/>
      <c r="VDT1" s="87" t="n"/>
      <c r="VDU1" s="87" t="n"/>
      <c r="VDV1" s="87" t="n"/>
      <c r="VDW1" s="87" t="n"/>
      <c r="VDX1" s="87" t="n"/>
      <c r="VDY1" s="87" t="n"/>
      <c r="VDZ1" s="87" t="n"/>
      <c r="VEA1" s="87" t="n"/>
      <c r="VEB1" s="87" t="n"/>
      <c r="VEC1" s="87" t="n"/>
      <c r="VED1" s="87" t="n"/>
      <c r="VEE1" s="87" t="n"/>
      <c r="VEF1" s="87" t="n"/>
      <c r="VEG1" s="87" t="n"/>
      <c r="VEH1" s="87" t="n"/>
      <c r="VEI1" s="87" t="n"/>
      <c r="VEJ1" s="87" t="n"/>
      <c r="VEK1" s="87" t="n"/>
      <c r="VEL1" s="87" t="n"/>
      <c r="VEM1" s="87" t="n"/>
      <c r="VEN1" s="87" t="n"/>
      <c r="VEO1" s="87" t="n"/>
      <c r="VEP1" s="87" t="n"/>
      <c r="VEQ1" s="87" t="n"/>
      <c r="VER1" s="87" t="n"/>
      <c r="VES1" s="87" t="n"/>
      <c r="VET1" s="87" t="n"/>
      <c r="VEU1" s="87" t="n"/>
      <c r="VEV1" s="87" t="n"/>
      <c r="VEW1" s="87" t="n"/>
      <c r="VEX1" s="87" t="n"/>
      <c r="VEY1" s="87" t="n"/>
      <c r="VEZ1" s="87" t="n"/>
      <c r="VFA1" s="87" t="n"/>
      <c r="VFB1" s="87" t="n"/>
      <c r="VFC1" s="87" t="n"/>
      <c r="VFD1" s="87" t="n"/>
      <c r="VFE1" s="87" t="n"/>
      <c r="VFF1" s="87" t="n"/>
      <c r="VFG1" s="87" t="n"/>
      <c r="VFH1" s="87" t="n"/>
      <c r="VFI1" s="87" t="n"/>
      <c r="VFJ1" s="87" t="n"/>
      <c r="VFK1" s="87" t="n"/>
      <c r="VFL1" s="87" t="n"/>
      <c r="VFM1" s="87" t="n"/>
      <c r="VFN1" s="87" t="n"/>
      <c r="VFO1" s="87" t="n"/>
      <c r="VFP1" s="87" t="n"/>
      <c r="VFQ1" s="87" t="n"/>
      <c r="VFR1" s="87" t="n"/>
      <c r="VFS1" s="87" t="n"/>
      <c r="VFT1" s="87" t="n"/>
      <c r="VFU1" s="87" t="n"/>
      <c r="VFV1" s="87" t="n"/>
      <c r="VFW1" s="87" t="n"/>
      <c r="VFX1" s="87" t="n"/>
      <c r="VFY1" s="87" t="n"/>
      <c r="VFZ1" s="87" t="n"/>
      <c r="VGA1" s="87" t="n"/>
      <c r="VGB1" s="87" t="n"/>
      <c r="VGC1" s="87" t="n"/>
      <c r="VGD1" s="87" t="n"/>
      <c r="VGE1" s="87" t="n"/>
      <c r="VGF1" s="87" t="n"/>
      <c r="VGG1" s="87" t="n"/>
      <c r="VGH1" s="87" t="n"/>
      <c r="VGI1" s="87" t="n"/>
      <c r="VGJ1" s="87" t="n"/>
      <c r="VGK1" s="87" t="n"/>
      <c r="VGL1" s="87" t="n"/>
      <c r="VGM1" s="87" t="n"/>
      <c r="VGN1" s="87" t="n"/>
      <c r="VGO1" s="87" t="n"/>
      <c r="VGP1" s="87" t="n"/>
      <c r="VGQ1" s="87" t="n"/>
      <c r="VGR1" s="87" t="n"/>
      <c r="VGS1" s="87" t="n"/>
      <c r="VGT1" s="87" t="n"/>
      <c r="VGU1" s="87" t="n"/>
      <c r="VGV1" s="87" t="n"/>
      <c r="VGW1" s="87" t="n"/>
      <c r="VGX1" s="87" t="n"/>
      <c r="VGY1" s="87" t="n"/>
      <c r="VGZ1" s="87" t="n"/>
      <c r="VHA1" s="87" t="n"/>
      <c r="VHB1" s="87" t="n"/>
      <c r="VHC1" s="87" t="n"/>
      <c r="VHD1" s="87" t="n"/>
      <c r="VHE1" s="87" t="n"/>
      <c r="VHF1" s="87" t="n"/>
      <c r="VHG1" s="87" t="n"/>
      <c r="VHH1" s="87" t="n"/>
      <c r="VHI1" s="87" t="n"/>
      <c r="VHJ1" s="87" t="n"/>
      <c r="VHK1" s="87" t="n"/>
      <c r="VHL1" s="87" t="n"/>
      <c r="VHM1" s="87" t="n"/>
      <c r="VHN1" s="87" t="n"/>
      <c r="VHO1" s="87" t="n"/>
      <c r="VHP1" s="87" t="n"/>
      <c r="VHQ1" s="87" t="n"/>
      <c r="VHR1" s="87" t="n"/>
      <c r="VHS1" s="87" t="n"/>
      <c r="VHT1" s="87" t="n"/>
      <c r="VHU1" s="87" t="n"/>
      <c r="VHV1" s="87" t="n"/>
      <c r="VHW1" s="87" t="n"/>
      <c r="VHX1" s="87" t="n"/>
      <c r="VHY1" s="87" t="n"/>
      <c r="VHZ1" s="87" t="n"/>
      <c r="VIA1" s="87" t="n"/>
      <c r="VIB1" s="87" t="n"/>
      <c r="VIC1" s="87" t="n"/>
      <c r="VID1" s="87" t="n"/>
      <c r="VIE1" s="87" t="n"/>
      <c r="VIF1" s="87" t="n"/>
      <c r="VIG1" s="87" t="n"/>
      <c r="VIH1" s="87" t="n"/>
      <c r="VII1" s="87" t="n"/>
      <c r="VIJ1" s="87" t="n"/>
      <c r="VIK1" s="87" t="n"/>
      <c r="VIL1" s="87" t="n"/>
      <c r="VIM1" s="87" t="n"/>
      <c r="VIN1" s="87" t="n"/>
      <c r="VIO1" s="87" t="n"/>
      <c r="VIP1" s="87" t="n"/>
      <c r="VIQ1" s="87" t="n"/>
      <c r="VIR1" s="87" t="n"/>
      <c r="VIS1" s="87" t="n"/>
      <c r="VIT1" s="87" t="n"/>
      <c r="VIU1" s="87" t="n"/>
      <c r="VIV1" s="87" t="n"/>
      <c r="VIW1" s="87" t="n"/>
      <c r="VIX1" s="87" t="n"/>
      <c r="VIY1" s="87" t="n"/>
      <c r="VIZ1" s="87" t="n"/>
      <c r="VJA1" s="87" t="n"/>
      <c r="VJB1" s="87" t="n"/>
      <c r="VJC1" s="87" t="n"/>
      <c r="VJD1" s="87" t="n"/>
      <c r="VJE1" s="87" t="n"/>
      <c r="VJF1" s="87" t="n"/>
      <c r="VJG1" s="87" t="n"/>
      <c r="VJH1" s="87" t="n"/>
      <c r="VJI1" s="87" t="n"/>
      <c r="VJJ1" s="87" t="n"/>
      <c r="VJK1" s="87" t="n"/>
      <c r="VJL1" s="87" t="n"/>
      <c r="VJM1" s="87" t="n"/>
      <c r="VJN1" s="87" t="n"/>
      <c r="VJO1" s="87" t="n"/>
      <c r="VJP1" s="87" t="n"/>
      <c r="VJQ1" s="87" t="n"/>
      <c r="VJR1" s="87" t="n"/>
      <c r="VJS1" s="87" t="n"/>
      <c r="VJT1" s="87" t="n"/>
      <c r="VJU1" s="87" t="n"/>
      <c r="VJV1" s="87" t="n"/>
      <c r="VJW1" s="87" t="n"/>
      <c r="VJX1" s="87" t="n"/>
      <c r="VJY1" s="87" t="n"/>
      <c r="VJZ1" s="87" t="n"/>
      <c r="VKA1" s="87" t="n"/>
      <c r="VKB1" s="87" t="n"/>
      <c r="VKC1" s="87" t="n"/>
      <c r="VKD1" s="87" t="n"/>
      <c r="VKE1" s="87" t="n"/>
      <c r="VKF1" s="87" t="n"/>
      <c r="VKG1" s="87" t="n"/>
      <c r="VKH1" s="87" t="n"/>
      <c r="VKI1" s="87" t="n"/>
      <c r="VKJ1" s="87" t="n"/>
      <c r="VKK1" s="87" t="n"/>
      <c r="VKL1" s="87" t="n"/>
      <c r="VKM1" s="87" t="n"/>
      <c r="VKN1" s="87" t="n"/>
      <c r="VKO1" s="87" t="n"/>
      <c r="VKP1" s="87" t="n"/>
      <c r="VKQ1" s="87" t="n"/>
      <c r="VKR1" s="87" t="n"/>
      <c r="VKS1" s="87" t="n"/>
      <c r="VKT1" s="87" t="n"/>
      <c r="VKU1" s="87" t="n"/>
      <c r="VKV1" s="87" t="n"/>
      <c r="VKW1" s="87" t="n"/>
      <c r="VKX1" s="87" t="n"/>
      <c r="VKY1" s="87" t="n"/>
      <c r="VKZ1" s="87" t="n"/>
      <c r="VLA1" s="87" t="n"/>
      <c r="VLB1" s="87" t="n"/>
      <c r="VLC1" s="87" t="n"/>
      <c r="VLD1" s="87" t="n"/>
      <c r="VLE1" s="87" t="n"/>
      <c r="VLF1" s="87" t="n"/>
      <c r="VLG1" s="87" t="n"/>
      <c r="VLH1" s="87" t="n"/>
      <c r="VLI1" s="87" t="n"/>
      <c r="VLJ1" s="87" t="n"/>
      <c r="VLK1" s="87" t="n"/>
      <c r="VLL1" s="87" t="n"/>
      <c r="VLM1" s="87" t="n"/>
      <c r="VLN1" s="87" t="n"/>
      <c r="VLO1" s="87" t="n"/>
      <c r="VLP1" s="87" t="n"/>
      <c r="VLQ1" s="87" t="n"/>
      <c r="VLR1" s="87" t="n"/>
      <c r="VLS1" s="87" t="n"/>
      <c r="VLT1" s="87" t="n"/>
      <c r="VLU1" s="87" t="n"/>
      <c r="VLV1" s="87" t="n"/>
      <c r="VLW1" s="87" t="n"/>
      <c r="VLX1" s="87" t="n"/>
      <c r="VLY1" s="87" t="n"/>
      <c r="VLZ1" s="87" t="n"/>
      <c r="VMA1" s="87" t="n"/>
      <c r="VMB1" s="87" t="n"/>
      <c r="VMC1" s="87" t="n"/>
      <c r="VMD1" s="87" t="n"/>
      <c r="VME1" s="87" t="n"/>
      <c r="VMF1" s="87" t="n"/>
      <c r="VMG1" s="87" t="n"/>
      <c r="VMH1" s="87" t="n"/>
      <c r="VMI1" s="87" t="n"/>
      <c r="VMJ1" s="87" t="n"/>
      <c r="VMK1" s="87" t="n"/>
      <c r="VML1" s="87" t="n"/>
      <c r="VMM1" s="87" t="n"/>
      <c r="VMN1" s="87" t="n"/>
      <c r="VMO1" s="87" t="n"/>
      <c r="VMP1" s="87" t="n"/>
      <c r="VMQ1" s="87" t="n"/>
      <c r="VMR1" s="87" t="n"/>
      <c r="VMS1" s="87" t="n"/>
      <c r="VMT1" s="87" t="n"/>
      <c r="VMU1" s="87" t="n"/>
      <c r="VMV1" s="87" t="n"/>
      <c r="VMW1" s="87" t="n"/>
      <c r="VMX1" s="87" t="n"/>
      <c r="VMY1" s="87" t="n"/>
      <c r="VMZ1" s="87" t="n"/>
      <c r="VNA1" s="87" t="n"/>
      <c r="VNB1" s="87" t="n"/>
      <c r="VNC1" s="87" t="n"/>
      <c r="VND1" s="87" t="n"/>
      <c r="VNE1" s="87" t="n"/>
      <c r="VNF1" s="87" t="n"/>
      <c r="VNG1" s="87" t="n"/>
      <c r="VNH1" s="87" t="n"/>
      <c r="VNI1" s="87" t="n"/>
      <c r="VNJ1" s="87" t="n"/>
      <c r="VNK1" s="87" t="n"/>
      <c r="VNL1" s="87" t="n"/>
      <c r="VNM1" s="87" t="n"/>
      <c r="VNN1" s="87" t="n"/>
      <c r="VNO1" s="87" t="n"/>
      <c r="VNP1" s="87" t="n"/>
      <c r="VNQ1" s="87" t="n"/>
      <c r="VNR1" s="87" t="n"/>
      <c r="VNS1" s="87" t="n"/>
      <c r="VNT1" s="87" t="n"/>
      <c r="VNU1" s="87" t="n"/>
      <c r="VNV1" s="87" t="n"/>
      <c r="VNW1" s="87" t="n"/>
      <c r="VNX1" s="87" t="n"/>
      <c r="VNY1" s="87" t="n"/>
      <c r="VNZ1" s="87" t="n"/>
      <c r="VOA1" s="87" t="n"/>
      <c r="VOB1" s="87" t="n"/>
      <c r="VOC1" s="87" t="n"/>
      <c r="VOD1" s="87" t="n"/>
      <c r="VOE1" s="87" t="n"/>
      <c r="VOF1" s="87" t="n"/>
      <c r="VOG1" s="87" t="n"/>
      <c r="VOH1" s="87" t="n"/>
      <c r="VOI1" s="87" t="n"/>
      <c r="VOJ1" s="87" t="n"/>
      <c r="VOK1" s="87" t="n"/>
      <c r="VOL1" s="87" t="n"/>
      <c r="VOM1" s="87" t="n"/>
      <c r="VON1" s="87" t="n"/>
      <c r="VOO1" s="87" t="n"/>
      <c r="VOP1" s="87" t="n"/>
      <c r="VOQ1" s="87" t="n"/>
      <c r="VOR1" s="87" t="n"/>
      <c r="VOS1" s="87" t="n"/>
      <c r="VOT1" s="87" t="n"/>
      <c r="VOU1" s="87" t="n"/>
      <c r="VOV1" s="87" t="n"/>
      <c r="VOW1" s="87" t="n"/>
      <c r="VOX1" s="87" t="n"/>
      <c r="VOY1" s="87" t="n"/>
      <c r="VOZ1" s="87" t="n"/>
      <c r="VPA1" s="87" t="n"/>
      <c r="VPB1" s="87" t="n"/>
      <c r="VPC1" s="87" t="n"/>
      <c r="VPD1" s="87" t="n"/>
      <c r="VPE1" s="87" t="n"/>
      <c r="VPF1" s="87" t="n"/>
      <c r="VPG1" s="87" t="n"/>
      <c r="VPH1" s="87" t="n"/>
      <c r="VPI1" s="87" t="n"/>
      <c r="VPJ1" s="87" t="n"/>
      <c r="VPK1" s="87" t="n"/>
      <c r="VPL1" s="87" t="n"/>
      <c r="VPM1" s="87" t="n"/>
      <c r="VPN1" s="87" t="n"/>
      <c r="VPO1" s="87" t="n"/>
      <c r="VPP1" s="87" t="n"/>
      <c r="VPQ1" s="87" t="n"/>
      <c r="VPR1" s="87" t="n"/>
      <c r="VPS1" s="87" t="n"/>
      <c r="VPT1" s="87" t="n"/>
      <c r="VPU1" s="87" t="n"/>
      <c r="VPV1" s="87" t="n"/>
      <c r="VPW1" s="87" t="n"/>
      <c r="VPX1" s="87" t="n"/>
      <c r="VPY1" s="87" t="n"/>
      <c r="VPZ1" s="87" t="n"/>
      <c r="VQA1" s="87" t="n"/>
      <c r="VQB1" s="87" t="n"/>
      <c r="VQC1" s="87" t="n"/>
      <c r="VQD1" s="87" t="n"/>
      <c r="VQE1" s="87" t="n"/>
      <c r="VQF1" s="87" t="n"/>
      <c r="VQG1" s="87" t="n"/>
      <c r="VQH1" s="87" t="n"/>
      <c r="VQI1" s="87" t="n"/>
      <c r="VQJ1" s="87" t="n"/>
      <c r="VQK1" s="87" t="n"/>
      <c r="VQL1" s="87" t="n"/>
      <c r="VQM1" s="87" t="n"/>
      <c r="VQN1" s="87" t="n"/>
      <c r="VQO1" s="87" t="n"/>
      <c r="VQP1" s="87" t="n"/>
      <c r="VQQ1" s="87" t="n"/>
      <c r="VQR1" s="87" t="n"/>
      <c r="VQS1" s="87" t="n"/>
      <c r="VQT1" s="87" t="n"/>
      <c r="VQU1" s="87" t="n"/>
      <c r="VQV1" s="87" t="n"/>
      <c r="VQW1" s="87" t="n"/>
      <c r="VQX1" s="87" t="n"/>
      <c r="VQY1" s="87" t="n"/>
      <c r="VQZ1" s="87" t="n"/>
      <c r="VRA1" s="87" t="n"/>
      <c r="VRB1" s="87" t="n"/>
      <c r="VRC1" s="87" t="n"/>
      <c r="VRD1" s="87" t="n"/>
      <c r="VRE1" s="87" t="n"/>
      <c r="VRF1" s="87" t="n"/>
      <c r="VRG1" s="87" t="n"/>
      <c r="VRH1" s="87" t="n"/>
      <c r="VRI1" s="87" t="n"/>
      <c r="VRJ1" s="87" t="n"/>
      <c r="VRK1" s="87" t="n"/>
      <c r="VRL1" s="87" t="n"/>
      <c r="VRM1" s="87" t="n"/>
      <c r="VRN1" s="87" t="n"/>
      <c r="VRO1" s="87" t="n"/>
      <c r="VRP1" s="87" t="n"/>
      <c r="VRQ1" s="87" t="n"/>
      <c r="VRR1" s="87" t="n"/>
      <c r="VRS1" s="87" t="n"/>
      <c r="VRT1" s="87" t="n"/>
      <c r="VRU1" s="87" t="n"/>
      <c r="VRV1" s="87" t="n"/>
      <c r="VRW1" s="87" t="n"/>
      <c r="VRX1" s="87" t="n"/>
      <c r="VRY1" s="87" t="n"/>
      <c r="VRZ1" s="87" t="n"/>
      <c r="VSA1" s="87" t="n"/>
      <c r="VSB1" s="87" t="n"/>
      <c r="VSC1" s="87" t="n"/>
      <c r="VSD1" s="87" t="n"/>
      <c r="VSE1" s="87" t="n"/>
      <c r="VSF1" s="87" t="n"/>
      <c r="VSG1" s="87" t="n"/>
      <c r="VSH1" s="87" t="n"/>
      <c r="VSI1" s="87" t="n"/>
      <c r="VSJ1" s="87" t="n"/>
      <c r="VSK1" s="87" t="n"/>
      <c r="VSL1" s="87" t="n"/>
      <c r="VSM1" s="87" t="n"/>
      <c r="VSN1" s="87" t="n"/>
      <c r="VSO1" s="87" t="n"/>
      <c r="VSP1" s="87" t="n"/>
      <c r="VSQ1" s="87" t="n"/>
      <c r="VSR1" s="87" t="n"/>
      <c r="VSS1" s="87" t="n"/>
      <c r="VST1" s="87" t="n"/>
      <c r="VSU1" s="87" t="n"/>
      <c r="VSV1" s="87" t="n"/>
      <c r="VSW1" s="87" t="n"/>
      <c r="VSX1" s="87" t="n"/>
      <c r="VSY1" s="87" t="n"/>
      <c r="VSZ1" s="87" t="n"/>
      <c r="VTA1" s="87" t="n"/>
      <c r="VTB1" s="87" t="n"/>
      <c r="VTC1" s="87" t="n"/>
      <c r="VTD1" s="87" t="n"/>
      <c r="VTE1" s="87" t="n"/>
      <c r="VTF1" s="87" t="n"/>
      <c r="VTG1" s="87" t="n"/>
      <c r="VTH1" s="87" t="n"/>
      <c r="VTI1" s="87" t="n"/>
      <c r="VTJ1" s="87" t="n"/>
      <c r="VTK1" s="87" t="n"/>
      <c r="VTL1" s="87" t="n"/>
      <c r="VTM1" s="87" t="n"/>
      <c r="VTN1" s="87" t="n"/>
      <c r="VTO1" s="87" t="n"/>
      <c r="VTP1" s="87" t="n"/>
      <c r="VTQ1" s="87" t="n"/>
      <c r="VTR1" s="87" t="n"/>
      <c r="VTS1" s="87" t="n"/>
      <c r="VTT1" s="87" t="n"/>
      <c r="VTU1" s="87" t="n"/>
      <c r="VTV1" s="87" t="n"/>
      <c r="VTW1" s="87" t="n"/>
      <c r="VTX1" s="87" t="n"/>
      <c r="VTY1" s="87" t="n"/>
      <c r="VTZ1" s="87" t="n"/>
      <c r="VUA1" s="87" t="n"/>
      <c r="VUB1" s="87" t="n"/>
      <c r="VUC1" s="87" t="n"/>
      <c r="VUD1" s="87" t="n"/>
      <c r="VUE1" s="87" t="n"/>
      <c r="VUF1" s="87" t="n"/>
      <c r="VUG1" s="87" t="n"/>
      <c r="VUH1" s="87" t="n"/>
      <c r="VUI1" s="87" t="n"/>
      <c r="VUJ1" s="87" t="n"/>
      <c r="VUK1" s="87" t="n"/>
      <c r="VUL1" s="87" t="n"/>
      <c r="VUM1" s="87" t="n"/>
      <c r="VUN1" s="87" t="n"/>
      <c r="VUO1" s="87" t="n"/>
      <c r="VUP1" s="87" t="n"/>
      <c r="VUQ1" s="87" t="n"/>
      <c r="VUR1" s="87" t="n"/>
      <c r="VUS1" s="87" t="n"/>
      <c r="VUT1" s="87" t="n"/>
      <c r="VUU1" s="87" t="n"/>
      <c r="VUV1" s="87" t="n"/>
      <c r="VUW1" s="87" t="n"/>
      <c r="VUX1" s="87" t="n"/>
      <c r="VUY1" s="87" t="n"/>
      <c r="VUZ1" s="87" t="n"/>
      <c r="VVA1" s="87" t="n"/>
      <c r="VVB1" s="87" t="n"/>
      <c r="VVC1" s="87" t="n"/>
      <c r="VVD1" s="87" t="n"/>
      <c r="VVE1" s="87" t="n"/>
      <c r="VVF1" s="87" t="n"/>
      <c r="VVG1" s="87" t="n"/>
      <c r="VVH1" s="87" t="n"/>
      <c r="VVI1" s="87" t="n"/>
      <c r="VVJ1" s="87" t="n"/>
      <c r="VVK1" s="87" t="n"/>
      <c r="VVL1" s="87" t="n"/>
      <c r="VVM1" s="87" t="n"/>
      <c r="VVN1" s="87" t="n"/>
      <c r="VVO1" s="87" t="n"/>
      <c r="VVP1" s="87" t="n"/>
      <c r="VVQ1" s="87" t="n"/>
      <c r="VVR1" s="87" t="n"/>
      <c r="VVS1" s="87" t="n"/>
      <c r="VVT1" s="87" t="n"/>
      <c r="VVU1" s="87" t="n"/>
      <c r="VVV1" s="87" t="n"/>
      <c r="VVW1" s="87" t="n"/>
      <c r="VVX1" s="87" t="n"/>
      <c r="VVY1" s="87" t="n"/>
      <c r="VVZ1" s="87" t="n"/>
      <c r="VWA1" s="87" t="n"/>
      <c r="VWB1" s="87" t="n"/>
      <c r="VWC1" s="87" t="n"/>
      <c r="VWD1" s="87" t="n"/>
      <c r="VWE1" s="87" t="n"/>
      <c r="VWF1" s="87" t="n"/>
      <c r="VWG1" s="87" t="n"/>
      <c r="VWH1" s="87" t="n"/>
      <c r="VWI1" s="87" t="n"/>
      <c r="VWJ1" s="87" t="n"/>
      <c r="VWK1" s="87" t="n"/>
      <c r="VWL1" s="87" t="n"/>
      <c r="VWM1" s="87" t="n"/>
      <c r="VWN1" s="87" t="n"/>
      <c r="VWO1" s="87" t="n"/>
      <c r="VWP1" s="87" t="n"/>
      <c r="VWQ1" s="87" t="n"/>
      <c r="VWR1" s="87" t="n"/>
      <c r="VWS1" s="87" t="n"/>
      <c r="VWT1" s="87" t="n"/>
      <c r="VWU1" s="87" t="n"/>
      <c r="VWV1" s="87" t="n"/>
      <c r="VWW1" s="87" t="n"/>
      <c r="VWX1" s="87" t="n"/>
      <c r="VWY1" s="87" t="n"/>
      <c r="VWZ1" s="87" t="n"/>
      <c r="VXA1" s="87" t="n"/>
      <c r="VXB1" s="87" t="n"/>
      <c r="VXC1" s="87" t="n"/>
      <c r="VXD1" s="87" t="n"/>
      <c r="VXE1" s="87" t="n"/>
      <c r="VXF1" s="87" t="n"/>
      <c r="VXG1" s="87" t="n"/>
      <c r="VXH1" s="87" t="n"/>
      <c r="VXI1" s="87" t="n"/>
      <c r="VXJ1" s="87" t="n"/>
      <c r="VXK1" s="87" t="n"/>
      <c r="VXL1" s="87" t="n"/>
      <c r="VXM1" s="87" t="n"/>
      <c r="VXN1" s="87" t="n"/>
      <c r="VXO1" s="87" t="n"/>
      <c r="VXP1" s="87" t="n"/>
      <c r="VXQ1" s="87" t="n"/>
      <c r="VXR1" s="87" t="n"/>
      <c r="VXS1" s="87" t="n"/>
      <c r="VXT1" s="87" t="n"/>
      <c r="VXU1" s="87" t="n"/>
      <c r="VXV1" s="87" t="n"/>
      <c r="VXW1" s="87" t="n"/>
      <c r="VXX1" s="87" t="n"/>
      <c r="VXY1" s="87" t="n"/>
      <c r="VXZ1" s="87" t="n"/>
      <c r="VYA1" s="87" t="n"/>
      <c r="VYB1" s="87" t="n"/>
      <c r="VYC1" s="87" t="n"/>
      <c r="VYD1" s="87" t="n"/>
      <c r="VYE1" s="87" t="n"/>
      <c r="VYF1" s="87" t="n"/>
      <c r="VYG1" s="87" t="n"/>
      <c r="VYH1" s="87" t="n"/>
      <c r="VYI1" s="87" t="n"/>
      <c r="VYJ1" s="87" t="n"/>
      <c r="VYK1" s="87" t="n"/>
      <c r="VYL1" s="87" t="n"/>
      <c r="VYM1" s="87" t="n"/>
      <c r="VYN1" s="87" t="n"/>
      <c r="VYO1" s="87" t="n"/>
      <c r="VYP1" s="87" t="n"/>
      <c r="VYQ1" s="87" t="n"/>
      <c r="VYR1" s="87" t="n"/>
      <c r="VYS1" s="87" t="n"/>
      <c r="VYT1" s="87" t="n"/>
      <c r="VYU1" s="87" t="n"/>
      <c r="VYV1" s="87" t="n"/>
      <c r="VYW1" s="87" t="n"/>
      <c r="VYX1" s="87" t="n"/>
      <c r="VYY1" s="87" t="n"/>
      <c r="VYZ1" s="87" t="n"/>
      <c r="VZA1" s="87" t="n"/>
      <c r="VZB1" s="87" t="n"/>
      <c r="VZC1" s="87" t="n"/>
      <c r="VZD1" s="87" t="n"/>
      <c r="VZE1" s="87" t="n"/>
      <c r="VZF1" s="87" t="n"/>
      <c r="VZG1" s="87" t="n"/>
      <c r="VZH1" s="87" t="n"/>
      <c r="VZI1" s="87" t="n"/>
      <c r="VZJ1" s="87" t="n"/>
      <c r="VZK1" s="87" t="n"/>
      <c r="VZL1" s="87" t="n"/>
      <c r="VZM1" s="87" t="n"/>
      <c r="VZN1" s="87" t="n"/>
      <c r="VZO1" s="87" t="n"/>
      <c r="VZP1" s="87" t="n"/>
      <c r="VZQ1" s="87" t="n"/>
      <c r="VZR1" s="87" t="n"/>
      <c r="VZS1" s="87" t="n"/>
      <c r="VZT1" s="87" t="n"/>
      <c r="VZU1" s="87" t="n"/>
      <c r="VZV1" s="87" t="n"/>
      <c r="VZW1" s="87" t="n"/>
      <c r="VZX1" s="87" t="n"/>
      <c r="VZY1" s="87" t="n"/>
      <c r="VZZ1" s="87" t="n"/>
      <c r="WAA1" s="87" t="n"/>
      <c r="WAB1" s="87" t="n"/>
      <c r="WAC1" s="87" t="n"/>
      <c r="WAD1" s="87" t="n"/>
      <c r="WAE1" s="87" t="n"/>
      <c r="WAF1" s="87" t="n"/>
      <c r="WAG1" s="87" t="n"/>
      <c r="WAH1" s="87" t="n"/>
      <c r="WAI1" s="87" t="n"/>
      <c r="WAJ1" s="87" t="n"/>
      <c r="WAK1" s="87" t="n"/>
      <c r="WAL1" s="87" t="n"/>
      <c r="WAM1" s="87" t="n"/>
      <c r="WAN1" s="87" t="n"/>
      <c r="WAO1" s="87" t="n"/>
      <c r="WAP1" s="87" t="n"/>
      <c r="WAQ1" s="87" t="n"/>
      <c r="WAR1" s="87" t="n"/>
      <c r="WAS1" s="87" t="n"/>
      <c r="WAT1" s="87" t="n"/>
      <c r="WAU1" s="87" t="n"/>
      <c r="WAV1" s="87" t="n"/>
      <c r="WAW1" s="87" t="n"/>
      <c r="WAX1" s="87" t="n"/>
      <c r="WAY1" s="87" t="n"/>
      <c r="WAZ1" s="87" t="n"/>
      <c r="WBA1" s="87" t="n"/>
      <c r="WBB1" s="87" t="n"/>
      <c r="WBC1" s="87" t="n"/>
      <c r="WBD1" s="87" t="n"/>
      <c r="WBE1" s="87" t="n"/>
      <c r="WBF1" s="87" t="n"/>
      <c r="WBG1" s="87" t="n"/>
      <c r="WBH1" s="87" t="n"/>
      <c r="WBI1" s="87" t="n"/>
      <c r="WBJ1" s="87" t="n"/>
      <c r="WBK1" s="87" t="n"/>
      <c r="WBL1" s="87" t="n"/>
      <c r="WBM1" s="87" t="n"/>
      <c r="WBN1" s="87" t="n"/>
      <c r="WBO1" s="87" t="n"/>
      <c r="WBP1" s="87" t="n"/>
      <c r="WBQ1" s="87" t="n"/>
      <c r="WBR1" s="87" t="n"/>
      <c r="WBS1" s="87" t="n"/>
      <c r="WBT1" s="87" t="n"/>
      <c r="WBU1" s="87" t="n"/>
      <c r="WBV1" s="87" t="n"/>
      <c r="WBW1" s="87" t="n"/>
      <c r="WBX1" s="87" t="n"/>
      <c r="WBY1" s="87" t="n"/>
      <c r="WBZ1" s="87" t="n"/>
      <c r="WCA1" s="87" t="n"/>
      <c r="WCB1" s="87" t="n"/>
      <c r="WCC1" s="87" t="n"/>
      <c r="WCD1" s="87" t="n"/>
      <c r="WCE1" s="87" t="n"/>
      <c r="WCF1" s="87" t="n"/>
      <c r="WCG1" s="87" t="n"/>
      <c r="WCH1" s="87" t="n"/>
      <c r="WCI1" s="87" t="n"/>
      <c r="WCJ1" s="87" t="n"/>
      <c r="WCK1" s="87" t="n"/>
      <c r="WCL1" s="87" t="n"/>
      <c r="WCM1" s="87" t="n"/>
      <c r="WCN1" s="87" t="n"/>
      <c r="WCO1" s="87" t="n"/>
      <c r="WCP1" s="87" t="n"/>
      <c r="WCQ1" s="87" t="n"/>
      <c r="WCR1" s="87" t="n"/>
      <c r="WCS1" s="87" t="n"/>
      <c r="WCT1" s="87" t="n"/>
      <c r="WCU1" s="87" t="n"/>
      <c r="WCV1" s="87" t="n"/>
      <c r="WCW1" s="87" t="n"/>
      <c r="WCX1" s="87" t="n"/>
      <c r="WCY1" s="87" t="n"/>
      <c r="WCZ1" s="87" t="n"/>
      <c r="WDA1" s="87" t="n"/>
      <c r="WDB1" s="87" t="n"/>
      <c r="WDC1" s="87" t="n"/>
      <c r="WDD1" s="87" t="n"/>
      <c r="WDE1" s="87" t="n"/>
      <c r="WDF1" s="87" t="n"/>
      <c r="WDG1" s="87" t="n"/>
      <c r="WDH1" s="87" t="n"/>
      <c r="WDI1" s="87" t="n"/>
      <c r="WDJ1" s="87" t="n"/>
      <c r="WDK1" s="87" t="n"/>
      <c r="WDL1" s="87" t="n"/>
      <c r="WDM1" s="87" t="n"/>
      <c r="WDN1" s="87" t="n"/>
      <c r="WDO1" s="87" t="n"/>
      <c r="WDP1" s="87" t="n"/>
      <c r="WDQ1" s="87" t="n"/>
      <c r="WDR1" s="87" t="n"/>
      <c r="WDS1" s="87" t="n"/>
      <c r="WDT1" s="87" t="n"/>
      <c r="WDU1" s="87" t="n"/>
      <c r="WDV1" s="87" t="n"/>
      <c r="WDW1" s="87" t="n"/>
      <c r="WDX1" s="87" t="n"/>
      <c r="WDY1" s="87" t="n"/>
      <c r="WDZ1" s="87" t="n"/>
      <c r="WEA1" s="87" t="n"/>
      <c r="WEB1" s="87" t="n"/>
      <c r="WEC1" s="87" t="n"/>
      <c r="WED1" s="87" t="n"/>
      <c r="WEE1" s="87" t="n"/>
      <c r="WEF1" s="87" t="n"/>
      <c r="WEG1" s="87" t="n"/>
      <c r="WEH1" s="87" t="n"/>
      <c r="WEI1" s="87" t="n"/>
      <c r="WEJ1" s="87" t="n"/>
      <c r="WEK1" s="87" t="n"/>
      <c r="WEL1" s="87" t="n"/>
      <c r="WEM1" s="87" t="n"/>
      <c r="WEN1" s="87" t="n"/>
      <c r="WEO1" s="87" t="n"/>
      <c r="WEP1" s="87" t="n"/>
      <c r="WEQ1" s="87" t="n"/>
      <c r="WER1" s="87" t="n"/>
      <c r="WES1" s="87" t="n"/>
      <c r="WET1" s="87" t="n"/>
      <c r="WEU1" s="87" t="n"/>
      <c r="WEV1" s="87" t="n"/>
      <c r="WEW1" s="87" t="n"/>
      <c r="WEX1" s="87" t="n"/>
      <c r="WEY1" s="87" t="n"/>
      <c r="WEZ1" s="87" t="n"/>
      <c r="WFA1" s="87" t="n"/>
      <c r="WFB1" s="87" t="n"/>
      <c r="WFC1" s="87" t="n"/>
      <c r="WFD1" s="87" t="n"/>
      <c r="WFE1" s="87" t="n"/>
      <c r="WFF1" s="87" t="n"/>
      <c r="WFG1" s="87" t="n"/>
      <c r="WFH1" s="87" t="n"/>
      <c r="WFI1" s="87" t="n"/>
      <c r="WFJ1" s="87" t="n"/>
      <c r="WFK1" s="87" t="n"/>
      <c r="WFL1" s="87" t="n"/>
      <c r="WFM1" s="87" t="n"/>
      <c r="WFN1" s="87" t="n"/>
      <c r="WFO1" s="87" t="n"/>
      <c r="WFP1" s="87" t="n"/>
      <c r="WFQ1" s="87" t="n"/>
      <c r="WFR1" s="87" t="n"/>
      <c r="WFS1" s="87" t="n"/>
      <c r="WFT1" s="87" t="n"/>
      <c r="WFU1" s="87" t="n"/>
      <c r="WFV1" s="87" t="n"/>
      <c r="WFW1" s="87" t="n"/>
      <c r="WFX1" s="87" t="n"/>
      <c r="WFY1" s="87" t="n"/>
      <c r="WFZ1" s="87" t="n"/>
      <c r="WGA1" s="87" t="n"/>
      <c r="WGB1" s="87" t="n"/>
      <c r="WGC1" s="87" t="n"/>
      <c r="WGD1" s="87" t="n"/>
      <c r="WGE1" s="87" t="n"/>
      <c r="WGF1" s="87" t="n"/>
      <c r="WGG1" s="87" t="n"/>
      <c r="WGH1" s="87" t="n"/>
      <c r="WGI1" s="87" t="n"/>
      <c r="WGJ1" s="87" t="n"/>
      <c r="WGK1" s="87" t="n"/>
      <c r="WGL1" s="87" t="n"/>
      <c r="WGM1" s="87" t="n"/>
      <c r="WGN1" s="87" t="n"/>
      <c r="WGO1" s="87" t="n"/>
      <c r="WGP1" s="87" t="n"/>
      <c r="WGQ1" s="87" t="n"/>
      <c r="WGR1" s="87" t="n"/>
      <c r="WGS1" s="87" t="n"/>
      <c r="WGT1" s="87" t="n"/>
      <c r="WGU1" s="87" t="n"/>
      <c r="WGV1" s="87" t="n"/>
      <c r="WGW1" s="87" t="n"/>
      <c r="WGX1" s="87" t="n"/>
      <c r="WGY1" s="87" t="n"/>
      <c r="WGZ1" s="87" t="n"/>
      <c r="WHA1" s="87" t="n"/>
      <c r="WHB1" s="87" t="n"/>
      <c r="WHC1" s="87" t="n"/>
      <c r="WHD1" s="87" t="n"/>
      <c r="WHE1" s="87" t="n"/>
      <c r="WHF1" s="87" t="n"/>
      <c r="WHG1" s="87" t="n"/>
      <c r="WHH1" s="87" t="n"/>
      <c r="WHI1" s="87" t="n"/>
      <c r="WHJ1" s="87" t="n"/>
      <c r="WHK1" s="87" t="n"/>
      <c r="WHL1" s="87" t="n"/>
      <c r="WHM1" s="87" t="n"/>
      <c r="WHN1" s="87" t="n"/>
      <c r="WHO1" s="87" t="n"/>
      <c r="WHP1" s="87" t="n"/>
      <c r="WHQ1" s="87" t="n"/>
      <c r="WHR1" s="87" t="n"/>
      <c r="WHS1" s="87" t="n"/>
      <c r="WHT1" s="87" t="n"/>
      <c r="WHU1" s="87" t="n"/>
      <c r="WHV1" s="87" t="n"/>
      <c r="WHW1" s="87" t="n"/>
      <c r="WHX1" s="87" t="n"/>
      <c r="WHY1" s="87" t="n"/>
      <c r="WHZ1" s="87" t="n"/>
      <c r="WIA1" s="87" t="n"/>
      <c r="WIB1" s="87" t="n"/>
      <c r="WIC1" s="87" t="n"/>
      <c r="WID1" s="87" t="n"/>
      <c r="WIE1" s="87" t="n"/>
      <c r="WIF1" s="87" t="n"/>
      <c r="WIG1" s="87" t="n"/>
      <c r="WIH1" s="87" t="n"/>
      <c r="WII1" s="87" t="n"/>
      <c r="WIJ1" s="87" t="n"/>
      <c r="WIK1" s="87" t="n"/>
      <c r="WIL1" s="87" t="n"/>
      <c r="WIM1" s="87" t="n"/>
      <c r="WIN1" s="87" t="n"/>
      <c r="WIO1" s="87" t="n"/>
      <c r="WIP1" s="87" t="n"/>
      <c r="WIQ1" s="87" t="n"/>
      <c r="WIR1" s="87" t="n"/>
      <c r="WIS1" s="87" t="n"/>
      <c r="WIT1" s="87" t="n"/>
      <c r="WIU1" s="87" t="n"/>
      <c r="WIV1" s="87" t="n"/>
      <c r="WIW1" s="87" t="n"/>
      <c r="WIX1" s="87" t="n"/>
      <c r="WIY1" s="87" t="n"/>
      <c r="WIZ1" s="87" t="n"/>
      <c r="WJA1" s="87" t="n"/>
      <c r="WJB1" s="87" t="n"/>
      <c r="WJC1" s="87" t="n"/>
      <c r="WJD1" s="87" t="n"/>
      <c r="WJE1" s="87" t="n"/>
      <c r="WJF1" s="87" t="n"/>
      <c r="WJG1" s="87" t="n"/>
      <c r="WJH1" s="87" t="n"/>
      <c r="WJI1" s="87" t="n"/>
      <c r="WJJ1" s="87" t="n"/>
      <c r="WJK1" s="87" t="n"/>
      <c r="WJL1" s="87" t="n"/>
      <c r="WJM1" s="87" t="n"/>
      <c r="WJN1" s="87" t="n"/>
      <c r="WJO1" s="87" t="n"/>
      <c r="WJP1" s="87" t="n"/>
      <c r="WJQ1" s="87" t="n"/>
      <c r="WJR1" s="87" t="n"/>
      <c r="WJS1" s="87" t="n"/>
      <c r="WJT1" s="87" t="n"/>
      <c r="WJU1" s="87" t="n"/>
      <c r="WJV1" s="87" t="n"/>
      <c r="WJW1" s="87" t="n"/>
      <c r="WJX1" s="87" t="n"/>
      <c r="WJY1" s="87" t="n"/>
      <c r="WJZ1" s="87" t="n"/>
      <c r="WKA1" s="87" t="n"/>
      <c r="WKB1" s="87" t="n"/>
      <c r="WKC1" s="87" t="n"/>
      <c r="WKD1" s="87" t="n"/>
      <c r="WKE1" s="87" t="n"/>
      <c r="WKF1" s="87" t="n"/>
      <c r="WKG1" s="87" t="n"/>
      <c r="WKH1" s="87" t="n"/>
      <c r="WKI1" s="87" t="n"/>
      <c r="WKJ1" s="87" t="n"/>
      <c r="WKK1" s="87" t="n"/>
      <c r="WKL1" s="87" t="n"/>
      <c r="WKM1" s="87" t="n"/>
      <c r="WKN1" s="87" t="n"/>
      <c r="WKO1" s="87" t="n"/>
      <c r="WKP1" s="87" t="n"/>
      <c r="WKQ1" s="87" t="n"/>
      <c r="WKR1" s="87" t="n"/>
      <c r="WKS1" s="87" t="n"/>
      <c r="WKT1" s="87" t="n"/>
      <c r="WKU1" s="87" t="n"/>
      <c r="WKV1" s="87" t="n"/>
      <c r="WKW1" s="87" t="n"/>
      <c r="WKX1" s="87" t="n"/>
      <c r="WKY1" s="87" t="n"/>
      <c r="WKZ1" s="87" t="n"/>
      <c r="WLA1" s="87" t="n"/>
      <c r="WLB1" s="87" t="n"/>
      <c r="WLC1" s="87" t="n"/>
      <c r="WLD1" s="87" t="n"/>
      <c r="WLE1" s="87" t="n"/>
      <c r="WLF1" s="87" t="n"/>
      <c r="WLG1" s="87" t="n"/>
      <c r="WLH1" s="87" t="n"/>
      <c r="WLI1" s="87" t="n"/>
      <c r="WLJ1" s="87" t="n"/>
      <c r="WLK1" s="87" t="n"/>
      <c r="WLL1" s="87" t="n"/>
      <c r="WLM1" s="87" t="n"/>
      <c r="WLN1" s="87" t="n"/>
      <c r="WLO1" s="87" t="n"/>
      <c r="WLP1" s="87" t="n"/>
      <c r="WLQ1" s="87" t="n"/>
      <c r="WLR1" s="87" t="n"/>
      <c r="WLS1" s="87" t="n"/>
      <c r="WLT1" s="87" t="n"/>
      <c r="WLU1" s="87" t="n"/>
      <c r="WLV1" s="87" t="n"/>
      <c r="WLW1" s="87" t="n"/>
      <c r="WLX1" s="87" t="n"/>
      <c r="WLY1" s="87" t="n"/>
      <c r="WLZ1" s="87" t="n"/>
      <c r="WMA1" s="87" t="n"/>
      <c r="WMB1" s="87" t="n"/>
      <c r="WMC1" s="87" t="n"/>
      <c r="WMD1" s="87" t="n"/>
      <c r="WME1" s="87" t="n"/>
      <c r="WMF1" s="87" t="n"/>
      <c r="WMG1" s="87" t="n"/>
      <c r="WMH1" s="87" t="n"/>
      <c r="WMI1" s="87" t="n"/>
      <c r="WMJ1" s="87" t="n"/>
      <c r="WMK1" s="87" t="n"/>
      <c r="WML1" s="87" t="n"/>
      <c r="WMM1" s="87" t="n"/>
      <c r="WMN1" s="87" t="n"/>
      <c r="WMO1" s="87" t="n"/>
      <c r="WMP1" s="87" t="n"/>
      <c r="WMQ1" s="87" t="n"/>
      <c r="WMR1" s="87" t="n"/>
      <c r="WMS1" s="87" t="n"/>
      <c r="WMT1" s="87" t="n"/>
      <c r="WMU1" s="87" t="n"/>
      <c r="WMV1" s="87" t="n"/>
      <c r="WMW1" s="87" t="n"/>
      <c r="WMX1" s="87" t="n"/>
      <c r="WMY1" s="87" t="n"/>
      <c r="WMZ1" s="87" t="n"/>
      <c r="WNA1" s="87" t="n"/>
      <c r="WNB1" s="87" t="n"/>
      <c r="WNC1" s="87" t="n"/>
      <c r="WND1" s="87" t="n"/>
      <c r="WNE1" s="87" t="n"/>
      <c r="WNF1" s="87" t="n"/>
      <c r="WNG1" s="87" t="n"/>
      <c r="WNH1" s="87" t="n"/>
      <c r="WNI1" s="87" t="n"/>
      <c r="WNJ1" s="87" t="n"/>
      <c r="WNK1" s="87" t="n"/>
      <c r="WNL1" s="87" t="n"/>
      <c r="WNM1" s="87" t="n"/>
      <c r="WNN1" s="87" t="n"/>
      <c r="WNO1" s="87" t="n"/>
      <c r="WNP1" s="87" t="n"/>
      <c r="WNQ1" s="87" t="n"/>
      <c r="WNR1" s="87" t="n"/>
      <c r="WNS1" s="87" t="n"/>
      <c r="WNT1" s="87" t="n"/>
      <c r="WNU1" s="87" t="n"/>
      <c r="WNV1" s="87" t="n"/>
      <c r="WNW1" s="87" t="n"/>
      <c r="WNX1" s="87" t="n"/>
      <c r="WNY1" s="87" t="n"/>
      <c r="WNZ1" s="87" t="n"/>
      <c r="WOA1" s="87" t="n"/>
      <c r="WOB1" s="87" t="n"/>
      <c r="WOC1" s="87" t="n"/>
      <c r="WOD1" s="87" t="n"/>
      <c r="WOE1" s="87" t="n"/>
      <c r="WOF1" s="87" t="n"/>
      <c r="WOG1" s="87" t="n"/>
      <c r="WOH1" s="87" t="n"/>
      <c r="WOI1" s="87" t="n"/>
      <c r="WOJ1" s="87" t="n"/>
      <c r="WOK1" s="87" t="n"/>
      <c r="WOL1" s="87" t="n"/>
      <c r="WOM1" s="87" t="n"/>
      <c r="WON1" s="87" t="n"/>
      <c r="WOO1" s="87" t="n"/>
      <c r="WOP1" s="87" t="n"/>
      <c r="WOQ1" s="87" t="n"/>
      <c r="WOR1" s="87" t="n"/>
      <c r="WOS1" s="87" t="n"/>
      <c r="WOT1" s="87" t="n"/>
      <c r="WOU1" s="87" t="n"/>
      <c r="WOV1" s="87" t="n"/>
      <c r="WOW1" s="87" t="n"/>
      <c r="WOX1" s="87" t="n"/>
      <c r="WOY1" s="87" t="n"/>
      <c r="WOZ1" s="87" t="n"/>
      <c r="WPA1" s="87" t="n"/>
      <c r="WPB1" s="87" t="n"/>
      <c r="WPC1" s="87" t="n"/>
      <c r="WPD1" s="87" t="n"/>
      <c r="WPE1" s="87" t="n"/>
      <c r="WPF1" s="87" t="n"/>
      <c r="WPG1" s="87" t="n"/>
      <c r="WPH1" s="87" t="n"/>
      <c r="WPI1" s="87" t="n"/>
      <c r="WPJ1" s="87" t="n"/>
      <c r="WPK1" s="87" t="n"/>
      <c r="WPL1" s="87" t="n"/>
      <c r="WPM1" s="87" t="n"/>
      <c r="WPN1" s="87" t="n"/>
      <c r="WPO1" s="87" t="n"/>
      <c r="WPP1" s="87" t="n"/>
      <c r="WPQ1" s="87" t="n"/>
      <c r="WPR1" s="87" t="n"/>
      <c r="WPS1" s="87" t="n"/>
      <c r="WPT1" s="87" t="n"/>
      <c r="WPU1" s="87" t="n"/>
      <c r="WPV1" s="87" t="n"/>
      <c r="WPW1" s="87" t="n"/>
      <c r="WPX1" s="87" t="n"/>
      <c r="WPY1" s="87" t="n"/>
      <c r="WPZ1" s="87" t="n"/>
      <c r="WQA1" s="87" t="n"/>
      <c r="WQB1" s="87" t="n"/>
      <c r="WQC1" s="87" t="n"/>
      <c r="WQD1" s="87" t="n"/>
      <c r="WQE1" s="87" t="n"/>
      <c r="WQF1" s="87" t="n"/>
      <c r="WQG1" s="87" t="n"/>
      <c r="WQH1" s="87" t="n"/>
      <c r="WQI1" s="87" t="n"/>
      <c r="WQJ1" s="87" t="n"/>
      <c r="WQK1" s="87" t="n"/>
      <c r="WQL1" s="87" t="n"/>
      <c r="WQM1" s="87" t="n"/>
      <c r="WQN1" s="87" t="n"/>
      <c r="WQO1" s="87" t="n"/>
      <c r="WQP1" s="87" t="n"/>
      <c r="WQQ1" s="87" t="n"/>
      <c r="WQR1" s="87" t="n"/>
      <c r="WQS1" s="87" t="n"/>
      <c r="WQT1" s="87" t="n"/>
      <c r="WQU1" s="87" t="n"/>
      <c r="WQV1" s="87" t="n"/>
      <c r="WQW1" s="87" t="n"/>
      <c r="WQX1" s="87" t="n"/>
      <c r="WQY1" s="87" t="n"/>
      <c r="WQZ1" s="87" t="n"/>
      <c r="WRA1" s="87" t="n"/>
      <c r="WRB1" s="87" t="n"/>
      <c r="WRC1" s="87" t="n"/>
      <c r="WRD1" s="87" t="n"/>
      <c r="WRE1" s="87" t="n"/>
      <c r="WRF1" s="87" t="n"/>
      <c r="WRG1" s="87" t="n"/>
      <c r="WRH1" s="87" t="n"/>
      <c r="WRI1" s="87" t="n"/>
      <c r="WRJ1" s="87" t="n"/>
      <c r="WRK1" s="87" t="n"/>
      <c r="WRL1" s="87" t="n"/>
      <c r="WRM1" s="87" t="n"/>
      <c r="WRN1" s="87" t="n"/>
      <c r="WRO1" s="87" t="n"/>
      <c r="WRP1" s="87" t="n"/>
      <c r="WRQ1" s="87" t="n"/>
      <c r="WRR1" s="87" t="n"/>
      <c r="WRS1" s="87" t="n"/>
      <c r="WRT1" s="87" t="n"/>
      <c r="WRU1" s="87" t="n"/>
      <c r="WRV1" s="87" t="n"/>
      <c r="WRW1" s="87" t="n"/>
      <c r="WRX1" s="87" t="n"/>
      <c r="WRY1" s="87" t="n"/>
      <c r="WRZ1" s="87" t="n"/>
      <c r="WSA1" s="87" t="n"/>
      <c r="WSB1" s="87" t="n"/>
      <c r="WSC1" s="87" t="n"/>
      <c r="WSD1" s="87" t="n"/>
      <c r="WSE1" s="87" t="n"/>
      <c r="WSF1" s="87" t="n"/>
      <c r="WSG1" s="87" t="n"/>
      <c r="WSH1" s="87" t="n"/>
      <c r="WSI1" s="87" t="n"/>
      <c r="WSJ1" s="87" t="n"/>
      <c r="WSK1" s="87" t="n"/>
      <c r="WSL1" s="87" t="n"/>
      <c r="WSM1" s="87" t="n"/>
      <c r="WSN1" s="87" t="n"/>
      <c r="WSO1" s="87" t="n"/>
      <c r="WSP1" s="87" t="n"/>
      <c r="WSQ1" s="87" t="n"/>
      <c r="WSR1" s="87" t="n"/>
      <c r="WSS1" s="87" t="n"/>
      <c r="WST1" s="87" t="n"/>
      <c r="WSU1" s="87" t="n"/>
      <c r="WSV1" s="87" t="n"/>
      <c r="WSW1" s="87" t="n"/>
      <c r="WSX1" s="87" t="n"/>
      <c r="WSY1" s="87" t="n"/>
      <c r="WSZ1" s="87" t="n"/>
      <c r="WTA1" s="87" t="n"/>
      <c r="WTB1" s="87" t="n"/>
      <c r="WTC1" s="87" t="n"/>
      <c r="WTD1" s="87" t="n"/>
      <c r="WTE1" s="87" t="n"/>
      <c r="WTF1" s="87" t="n"/>
      <c r="WTG1" s="87" t="n"/>
      <c r="WTH1" s="87" t="n"/>
      <c r="WTI1" s="87" t="n"/>
      <c r="WTJ1" s="87" t="n"/>
      <c r="WTK1" s="87" t="n"/>
      <c r="WTL1" s="87" t="n"/>
      <c r="WTM1" s="87" t="n"/>
      <c r="WTN1" s="87" t="n"/>
      <c r="WTO1" s="87" t="n"/>
      <c r="WTP1" s="87" t="n"/>
      <c r="WTQ1" s="87" t="n"/>
      <c r="WTR1" s="87" t="n"/>
      <c r="WTS1" s="87" t="n"/>
      <c r="WTT1" s="87" t="n"/>
      <c r="WTU1" s="87" t="n"/>
      <c r="WTV1" s="87" t="n"/>
      <c r="WTW1" s="87" t="n"/>
      <c r="WTX1" s="87" t="n"/>
      <c r="WTY1" s="87" t="n"/>
      <c r="WTZ1" s="87" t="n"/>
      <c r="WUA1" s="87" t="n"/>
      <c r="WUB1" s="87" t="n"/>
      <c r="WUC1" s="87" t="n"/>
      <c r="WUD1" s="87" t="n"/>
      <c r="WUE1" s="87" t="n"/>
      <c r="WUF1" s="87" t="n"/>
      <c r="WUG1" s="87" t="n"/>
      <c r="WUH1" s="87" t="n"/>
      <c r="WUI1" s="87" t="n"/>
      <c r="WUJ1" s="87" t="n"/>
      <c r="WUK1" s="87" t="n"/>
      <c r="WUL1" s="87" t="n"/>
      <c r="WUM1" s="87" t="n"/>
      <c r="WUN1" s="87" t="n"/>
      <c r="WUO1" s="87" t="n"/>
      <c r="WUP1" s="87" t="n"/>
      <c r="WUQ1" s="87" t="n"/>
      <c r="WUR1" s="87" t="n"/>
      <c r="WUS1" s="87" t="n"/>
      <c r="WUT1" s="87" t="n"/>
      <c r="WUU1" s="87" t="n"/>
      <c r="WUV1" s="87" t="n"/>
      <c r="WUW1" s="87" t="n"/>
      <c r="WUX1" s="87" t="n"/>
      <c r="WUY1" s="87" t="n"/>
      <c r="WUZ1" s="87" t="n"/>
      <c r="WVA1" s="87" t="n"/>
      <c r="WVB1" s="87" t="n"/>
      <c r="WVC1" s="87" t="n"/>
      <c r="WVD1" s="87" t="n"/>
      <c r="WVE1" s="87" t="n"/>
      <c r="WVF1" s="87" t="n"/>
      <c r="WVG1" s="87" t="n"/>
      <c r="WVH1" s="87" t="n"/>
      <c r="WVI1" s="87" t="n"/>
      <c r="WVJ1" s="87" t="n"/>
      <c r="WVK1" s="87" t="n"/>
      <c r="WVL1" s="87" t="n"/>
      <c r="WVM1" s="87" t="n"/>
      <c r="WVN1" s="87" t="n"/>
      <c r="WVO1" s="87" t="n"/>
      <c r="WVP1" s="87" t="n"/>
      <c r="WVQ1" s="87" t="n"/>
      <c r="WVR1" s="87" t="n"/>
      <c r="WVS1" s="87" t="n"/>
      <c r="WVT1" s="87" t="n"/>
      <c r="WVU1" s="87" t="n"/>
      <c r="WVV1" s="87" t="n"/>
      <c r="WVW1" s="87" t="n"/>
      <c r="WVX1" s="87" t="n"/>
      <c r="WVY1" s="87" t="n"/>
      <c r="WVZ1" s="87" t="n"/>
      <c r="WWA1" s="87" t="n"/>
      <c r="WWB1" s="87" t="n"/>
      <c r="WWC1" s="87" t="n"/>
      <c r="WWD1" s="87" t="n"/>
      <c r="WWE1" s="87" t="n"/>
      <c r="WWF1" s="87" t="n"/>
      <c r="WWG1" s="87" t="n"/>
      <c r="WWH1" s="87" t="n"/>
      <c r="WWI1" s="87" t="n"/>
      <c r="WWJ1" s="87" t="n"/>
      <c r="WWK1" s="87" t="n"/>
      <c r="WWL1" s="87" t="n"/>
      <c r="WWM1" s="87" t="n"/>
      <c r="WWN1" s="87" t="n"/>
      <c r="WWO1" s="87" t="n"/>
      <c r="WWP1" s="87" t="n"/>
      <c r="WWQ1" s="87" t="n"/>
      <c r="WWR1" s="87" t="n"/>
      <c r="WWS1" s="87" t="n"/>
      <c r="WWT1" s="87" t="n"/>
      <c r="WWU1" s="87" t="n"/>
      <c r="WWV1" s="87" t="n"/>
      <c r="WWW1" s="87" t="n"/>
      <c r="WWX1" s="87" t="n"/>
      <c r="WWY1" s="87" t="n"/>
      <c r="WWZ1" s="87" t="n"/>
      <c r="WXA1" s="87" t="n"/>
      <c r="WXB1" s="87" t="n"/>
      <c r="WXC1" s="87" t="n"/>
      <c r="WXD1" s="87" t="n"/>
      <c r="WXE1" s="87" t="n"/>
      <c r="WXF1" s="87" t="n"/>
      <c r="WXG1" s="87" t="n"/>
      <c r="WXH1" s="87" t="n"/>
      <c r="WXI1" s="87" t="n"/>
      <c r="WXJ1" s="87" t="n"/>
      <c r="WXK1" s="87" t="n"/>
      <c r="WXL1" s="87" t="n"/>
      <c r="WXM1" s="87" t="n"/>
      <c r="WXN1" s="87" t="n"/>
      <c r="WXO1" s="87" t="n"/>
      <c r="WXP1" s="87" t="n"/>
      <c r="WXQ1" s="87" t="n"/>
      <c r="WXR1" s="87" t="n"/>
      <c r="WXS1" s="87" t="n"/>
      <c r="WXT1" s="87" t="n"/>
      <c r="WXU1" s="87" t="n"/>
      <c r="WXV1" s="87" t="n"/>
      <c r="WXW1" s="87" t="n"/>
      <c r="WXX1" s="87" t="n"/>
      <c r="WXY1" s="87" t="n"/>
      <c r="WXZ1" s="87" t="n"/>
      <c r="WYA1" s="87" t="n"/>
      <c r="WYB1" s="87" t="n"/>
      <c r="WYC1" s="87" t="n"/>
      <c r="WYD1" s="87" t="n"/>
      <c r="WYE1" s="87" t="n"/>
      <c r="WYF1" s="87" t="n"/>
      <c r="WYG1" s="87" t="n"/>
      <c r="WYH1" s="87" t="n"/>
      <c r="WYI1" s="87" t="n"/>
      <c r="WYJ1" s="87" t="n"/>
      <c r="WYK1" s="87" t="n"/>
      <c r="WYL1" s="87" t="n"/>
      <c r="WYM1" s="87" t="n"/>
      <c r="WYN1" s="87" t="n"/>
      <c r="WYO1" s="87" t="n"/>
      <c r="WYP1" s="87" t="n"/>
      <c r="WYQ1" s="87" t="n"/>
      <c r="WYR1" s="87" t="n"/>
      <c r="WYS1" s="87" t="n"/>
      <c r="WYT1" s="87" t="n"/>
      <c r="WYU1" s="87" t="n"/>
      <c r="WYV1" s="87" t="n"/>
      <c r="WYW1" s="87" t="n"/>
      <c r="WYX1" s="87" t="n"/>
      <c r="WYY1" s="87" t="n"/>
      <c r="WYZ1" s="87" t="n"/>
      <c r="WZA1" s="87" t="n"/>
      <c r="WZB1" s="87" t="n"/>
      <c r="WZC1" s="87" t="n"/>
      <c r="WZD1" s="87" t="n"/>
      <c r="WZE1" s="87" t="n"/>
      <c r="WZF1" s="87" t="n"/>
      <c r="WZG1" s="87" t="n"/>
      <c r="WZH1" s="87" t="n"/>
      <c r="WZI1" s="87" t="n"/>
      <c r="WZJ1" s="87" t="n"/>
      <c r="WZK1" s="87" t="n"/>
      <c r="WZL1" s="87" t="n"/>
      <c r="WZM1" s="87" t="n"/>
      <c r="WZN1" s="87" t="n"/>
      <c r="WZO1" s="87" t="n"/>
      <c r="WZP1" s="87" t="n"/>
      <c r="WZQ1" s="87" t="n"/>
      <c r="WZR1" s="87" t="n"/>
      <c r="WZS1" s="87" t="n"/>
      <c r="WZT1" s="87" t="n"/>
      <c r="WZU1" s="87" t="n"/>
      <c r="WZV1" s="87" t="n"/>
      <c r="WZW1" s="87" t="n"/>
      <c r="WZX1" s="87" t="n"/>
      <c r="WZY1" s="87" t="n"/>
      <c r="WZZ1" s="87" t="n"/>
      <c r="XAA1" s="87" t="n"/>
      <c r="XAB1" s="87" t="n"/>
      <c r="XAC1" s="87" t="n"/>
      <c r="XAD1" s="87" t="n"/>
      <c r="XAE1" s="87" t="n"/>
      <c r="XAF1" s="87" t="n"/>
      <c r="XAG1" s="87" t="n"/>
      <c r="XAH1" s="87" t="n"/>
      <c r="XAI1" s="87" t="n"/>
      <c r="XAJ1" s="87" t="n"/>
      <c r="XAK1" s="87" t="n"/>
      <c r="XAL1" s="87" t="n"/>
      <c r="XAM1" s="87" t="n"/>
      <c r="XAN1" s="87" t="n"/>
      <c r="XAO1" s="87" t="n"/>
      <c r="XAP1" s="87" t="n"/>
      <c r="XAQ1" s="87" t="n"/>
      <c r="XAR1" s="87" t="n"/>
      <c r="XAS1" s="87" t="n"/>
      <c r="XAT1" s="87" t="n"/>
      <c r="XAU1" s="87" t="n"/>
      <c r="XAV1" s="87" t="n"/>
      <c r="XAW1" s="87" t="n"/>
      <c r="XAX1" s="87" t="n"/>
      <c r="XAY1" s="87" t="n"/>
      <c r="XAZ1" s="87" t="n"/>
      <c r="XBA1" s="87" t="n"/>
      <c r="XBB1" s="87" t="n"/>
      <c r="XBC1" s="87" t="n"/>
      <c r="XBD1" s="87" t="n"/>
      <c r="XBE1" s="87" t="n"/>
      <c r="XBF1" s="87" t="n"/>
      <c r="XBG1" s="87" t="n"/>
      <c r="XBH1" s="87" t="n"/>
      <c r="XBI1" s="87" t="n"/>
      <c r="XBJ1" s="87" t="n"/>
      <c r="XBK1" s="87" t="n"/>
      <c r="XBL1" s="87" t="n"/>
      <c r="XBM1" s="87" t="n"/>
      <c r="XBN1" s="87" t="n"/>
      <c r="XBO1" s="87" t="n"/>
      <c r="XBP1" s="87" t="n"/>
      <c r="XBQ1" s="87" t="n"/>
      <c r="XBR1" s="87" t="n"/>
      <c r="XBS1" s="87" t="n"/>
      <c r="XBT1" s="87" t="n"/>
      <c r="XBU1" s="87" t="n"/>
      <c r="XBV1" s="87" t="n"/>
      <c r="XBW1" s="87" t="n"/>
      <c r="XBX1" s="87" t="n"/>
      <c r="XBY1" s="87" t="n"/>
      <c r="XBZ1" s="87" t="n"/>
      <c r="XCA1" s="87" t="n"/>
      <c r="XCB1" s="87" t="n"/>
      <c r="XCC1" s="87" t="n"/>
      <c r="XCD1" s="87" t="n"/>
      <c r="XCE1" s="87" t="n"/>
      <c r="XCF1" s="87" t="n"/>
      <c r="XCG1" s="87" t="n"/>
      <c r="XCH1" s="87" t="n"/>
      <c r="XCI1" s="87" t="n"/>
      <c r="XCJ1" s="87" t="n"/>
      <c r="XCK1" s="87" t="n"/>
      <c r="XCL1" s="87" t="n"/>
      <c r="XCM1" s="87" t="n"/>
      <c r="XCN1" s="87" t="n"/>
      <c r="XCO1" s="87" t="n"/>
      <c r="XCP1" s="87" t="n"/>
      <c r="XCQ1" s="87" t="n"/>
      <c r="XCR1" s="87" t="n"/>
      <c r="XCS1" s="87" t="n"/>
      <c r="XCT1" s="87" t="n"/>
      <c r="XCU1" s="87" t="n"/>
      <c r="XCV1" s="87" t="n"/>
      <c r="XCW1" s="87" t="n"/>
      <c r="XCX1" s="87" t="n"/>
      <c r="XCY1" s="87" t="n"/>
      <c r="XCZ1" s="87" t="n"/>
      <c r="XDA1" s="87" t="n"/>
      <c r="XDB1" s="87" t="n"/>
      <c r="XDC1" s="87" t="n"/>
      <c r="XDD1" s="87" t="n"/>
      <c r="XDE1" s="87" t="n"/>
      <c r="XDF1" s="87" t="n"/>
      <c r="XDG1" s="87" t="n"/>
      <c r="XDH1" s="87" t="n"/>
      <c r="XDI1" s="87" t="n"/>
      <c r="XDJ1" s="87" t="n"/>
      <c r="XDK1" s="87" t="n"/>
      <c r="XDL1" s="87" t="n"/>
      <c r="XDM1" s="87" t="n"/>
      <c r="XDN1" s="87" t="n"/>
      <c r="XDO1" s="87" t="n"/>
      <c r="XDP1" s="87" t="n"/>
      <c r="XDQ1" s="87" t="n"/>
      <c r="XDR1" s="87" t="n"/>
      <c r="XDS1" s="87" t="n"/>
      <c r="XDT1" s="87" t="n"/>
      <c r="XDU1" s="87" t="n"/>
      <c r="XDV1" s="87" t="n"/>
      <c r="XDW1" s="87" t="n"/>
      <c r="XDX1" s="87" t="n"/>
      <c r="XDY1" s="87" t="n"/>
      <c r="XDZ1" s="87" t="n"/>
      <c r="XEA1" s="87" t="n"/>
      <c r="XEB1" s="87" t="n"/>
      <c r="XEC1" s="87" t="n"/>
      <c r="XED1" s="87" t="n"/>
      <c r="XEE1" s="87" t="n"/>
      <c r="XEF1" s="87" t="n"/>
      <c r="XEG1" s="87" t="n"/>
      <c r="XEH1" s="87" t="n"/>
      <c r="XEI1" s="87" t="n"/>
      <c r="XEJ1" s="87" t="n"/>
      <c r="XEK1" s="87" t="n"/>
    </row>
    <row r="2">
      <c r="A2">
        <f>I2&amp;"-"&amp;J2</f>
        <v/>
      </c>
      <c r="B2" s="1">
        <f>N2</f>
        <v/>
      </c>
      <c r="C2">
        <f>M2&amp;"/"&amp;O2</f>
        <v/>
      </c>
      <c r="D2">
        <f>K2</f>
        <v/>
      </c>
      <c r="E2">
        <f>L2</f>
        <v/>
      </c>
      <c r="F2" s="236">
        <f>Z2</f>
        <v/>
      </c>
      <c r="G2">
        <f>U2&amp;"%"</f>
        <v/>
      </c>
      <c r="I2" s="53" t="n">
        <v>2021</v>
      </c>
      <c r="J2" s="53" t="n">
        <v>1</v>
      </c>
      <c r="K2" s="71" t="inlineStr">
        <is>
          <t>Ausgaben</t>
        </is>
      </c>
      <c r="L2" t="inlineStr">
        <is>
          <t>Miet- und Pachtaufwand, Leasing</t>
        </is>
      </c>
      <c r="M2" s="9" t="inlineStr">
        <is>
          <t>21/9801/VS00037</t>
        </is>
      </c>
      <c r="N2" s="1" t="n">
        <v>44200</v>
      </c>
      <c r="O2" t="inlineStr">
        <is>
          <t>Bontus Immobilienverwaltung GmbH, 1010 Wien, Franz Josefs Kai 65</t>
        </is>
      </c>
      <c r="Q2" s="76" t="n"/>
      <c r="R2" t="b">
        <v>0</v>
      </c>
      <c r="S2" s="214" t="n">
        <v>462.44</v>
      </c>
      <c r="T2" s="159" t="n">
        <v>1</v>
      </c>
      <c r="U2" t="n">
        <v>20</v>
      </c>
      <c r="V2" s="237" t="n">
        <v>92.488</v>
      </c>
      <c r="W2" s="237" t="n">
        <v>92.488</v>
      </c>
      <c r="X2" s="208" t="n">
        <v>462.44</v>
      </c>
      <c r="Y2" s="251" t="n">
        <v>554.928</v>
      </c>
      <c r="Z2" s="251" t="n">
        <v>554.928</v>
      </c>
      <c r="AA2" s="35" t="n">
        <v>44331</v>
      </c>
      <c r="AB2" s="27" t="n"/>
      <c r="AC2" s="27" t="n"/>
      <c r="AD2" s="210" t="n">
        <v>462.44</v>
      </c>
      <c r="AE2" s="237" t="n">
        <v>0</v>
      </c>
      <c r="AF2" t="b">
        <v>0</v>
      </c>
      <c r="AG2" s="228" t="n">
        <v>-462.44</v>
      </c>
    </row>
    <row r="3">
      <c r="A3">
        <f>I3&amp;"-"&amp;J3</f>
        <v/>
      </c>
      <c r="B3" s="1">
        <f>N3</f>
        <v/>
      </c>
      <c r="C3">
        <f>M3&amp;"/"&amp;O3</f>
        <v/>
      </c>
      <c r="D3">
        <f>K3</f>
        <v/>
      </c>
      <c r="E3">
        <f>L3</f>
        <v/>
      </c>
      <c r="F3" s="236">
        <f>Z3</f>
        <v/>
      </c>
      <c r="G3">
        <f>U3&amp;"%"</f>
        <v/>
      </c>
      <c r="I3" s="53" t="n">
        <v>2021</v>
      </c>
      <c r="J3" s="53" t="n">
        <v>2</v>
      </c>
      <c r="K3" s="71" t="inlineStr">
        <is>
          <t>Ausgaben</t>
        </is>
      </c>
      <c r="L3" t="inlineStr">
        <is>
          <t>Reise- und Fahrtspesen inkl. Kilometergeld und Diäten</t>
        </is>
      </c>
      <c r="M3" s="131" t="inlineStr">
        <is>
          <t>4293000000018420</t>
        </is>
      </c>
      <c r="N3" s="1" t="n">
        <v>44200</v>
      </c>
      <c r="O3" t="inlineStr">
        <is>
          <t>car2go Österreich GmbH, Hintere Zollamtstraße 9, 1030 Wien</t>
        </is>
      </c>
      <c r="Q3" s="76" t="n"/>
      <c r="R3" t="b">
        <v>0</v>
      </c>
      <c r="S3" s="214" t="n">
        <v>31.47</v>
      </c>
      <c r="T3" s="159" t="n">
        <v>1</v>
      </c>
      <c r="U3" t="n">
        <v>20</v>
      </c>
      <c r="V3" s="237" t="n">
        <v>6.3</v>
      </c>
      <c r="W3" s="237" t="n">
        <v>6.3</v>
      </c>
      <c r="X3" s="208" t="n">
        <v>31.47</v>
      </c>
      <c r="Y3" s="251" t="n">
        <v>37.77</v>
      </c>
      <c r="Z3" s="251" t="n">
        <v>37.77</v>
      </c>
      <c r="AA3" s="35" t="n">
        <v>44331</v>
      </c>
      <c r="AB3" s="27" t="n"/>
      <c r="AC3" s="27" t="n"/>
      <c r="AD3" s="210" t="n">
        <v>31.47</v>
      </c>
      <c r="AE3" s="237" t="n">
        <v>0</v>
      </c>
      <c r="AF3" t="b">
        <v>0</v>
      </c>
      <c r="AG3" s="228" t="n">
        <v>-31.47</v>
      </c>
    </row>
    <row r="4">
      <c r="A4">
        <f>I4&amp;"-"&amp;J4</f>
        <v/>
      </c>
      <c r="B4" s="1">
        <f>N4</f>
        <v/>
      </c>
      <c r="C4">
        <f>M4&amp;"/"&amp;O4</f>
        <v/>
      </c>
      <c r="D4">
        <f>K4</f>
        <v/>
      </c>
      <c r="E4">
        <f>L4</f>
        <v/>
      </c>
      <c r="F4" s="236">
        <f>Z4</f>
        <v/>
      </c>
      <c r="G4">
        <f>U4&amp;"%"</f>
        <v/>
      </c>
      <c r="I4" s="53" t="n">
        <v>2021</v>
      </c>
      <c r="J4" s="53" t="n">
        <v>3</v>
      </c>
      <c r="K4" s="71" t="inlineStr">
        <is>
          <t>Ausgaben</t>
        </is>
      </c>
      <c r="L4" t="inlineStr">
        <is>
          <t>sonstige Betriebsausgaben</t>
        </is>
      </c>
      <c r="M4" s="143" t="inlineStr">
        <is>
          <t>32000220113-4027678-0001714</t>
        </is>
      </c>
      <c r="N4" s="1" t="n">
        <v>44200</v>
      </c>
      <c r="O4" t="inlineStr">
        <is>
          <t>Aon Austria GmbH</t>
        </is>
      </c>
      <c r="Q4" s="76" t="n"/>
      <c r="R4" t="b">
        <v>0</v>
      </c>
      <c r="S4" s="214" t="n">
        <v>196.3333333333333</v>
      </c>
      <c r="T4" s="159" t="n">
        <v>1</v>
      </c>
      <c r="U4" t="n">
        <v>20</v>
      </c>
      <c r="V4" s="237" t="n">
        <v>39.26666666666667</v>
      </c>
      <c r="W4" s="237" t="n">
        <v>39.26666666666667</v>
      </c>
      <c r="X4" s="208" t="n">
        <v>196.3333333333333</v>
      </c>
      <c r="Y4" s="251" t="n">
        <v>235.6</v>
      </c>
      <c r="Z4" s="251" t="n">
        <v>235.6</v>
      </c>
      <c r="AA4" s="35" t="n">
        <v>44331</v>
      </c>
      <c r="AB4" s="27" t="n"/>
      <c r="AC4" s="27" t="n"/>
      <c r="AD4" s="210" t="n">
        <v>196.3333333333333</v>
      </c>
      <c r="AE4" s="237" t="n">
        <v>0</v>
      </c>
      <c r="AF4" t="b">
        <v>0</v>
      </c>
      <c r="AG4" s="228" t="n">
        <v>-196.3333333333333</v>
      </c>
    </row>
    <row r="5">
      <c r="A5">
        <f>I5&amp;"-"&amp;J5</f>
        <v/>
      </c>
      <c r="B5" s="1">
        <f>N5</f>
        <v/>
      </c>
      <c r="C5">
        <f>M5&amp;"/"&amp;O5</f>
        <v/>
      </c>
      <c r="D5">
        <f>K5</f>
        <v/>
      </c>
      <c r="E5">
        <f>L5</f>
        <v/>
      </c>
      <c r="F5" s="236">
        <f>Z5</f>
        <v/>
      </c>
      <c r="G5">
        <f>U5&amp;"%"</f>
        <v/>
      </c>
      <c r="I5" s="53" t="n">
        <v>2021</v>
      </c>
      <c r="J5" s="53" t="n">
        <v>4</v>
      </c>
      <c r="K5" s="71" t="inlineStr">
        <is>
          <t>Ausgaben</t>
        </is>
      </c>
      <c r="L5" t="inlineStr">
        <is>
          <t>sonstige Betriebsausgaben</t>
        </is>
      </c>
      <c r="M5" s="9" t="inlineStr">
        <is>
          <t>VS/19-01-05428</t>
        </is>
      </c>
      <c r="N5" s="1" t="n">
        <v>44201</v>
      </c>
      <c r="O5" t="inlineStr">
        <is>
          <t>Techem Messtechnik GmbH; Abnehmernummer 501686-0003-11-( (NACHTRAG 25.12.)</t>
        </is>
      </c>
      <c r="Q5" s="76" t="n"/>
      <c r="R5" t="b">
        <v>0</v>
      </c>
      <c r="S5" s="214" t="n">
        <v>35</v>
      </c>
      <c r="T5" s="159" t="n">
        <v>1</v>
      </c>
      <c r="U5" t="n">
        <v>20</v>
      </c>
      <c r="V5" s="237" t="n">
        <v>7</v>
      </c>
      <c r="W5" s="237" t="n">
        <v>7</v>
      </c>
      <c r="X5" s="208" t="n">
        <v>35</v>
      </c>
      <c r="Y5" s="251" t="n">
        <v>42</v>
      </c>
      <c r="Z5" s="251" t="n">
        <v>42</v>
      </c>
      <c r="AA5" s="35" t="n">
        <v>44331</v>
      </c>
      <c r="AB5" s="27" t="n"/>
      <c r="AC5" s="27" t="n"/>
      <c r="AD5" s="210" t="n">
        <v>35</v>
      </c>
      <c r="AE5" s="237" t="n">
        <v>0</v>
      </c>
      <c r="AF5" t="b">
        <v>0</v>
      </c>
      <c r="AG5" s="228" t="n">
        <v>-35</v>
      </c>
    </row>
    <row r="6">
      <c r="A6">
        <f>I6&amp;"-"&amp;J6</f>
        <v/>
      </c>
      <c r="B6" s="1">
        <f>N6</f>
        <v/>
      </c>
      <c r="C6">
        <f>M6&amp;"/"&amp;O6</f>
        <v/>
      </c>
      <c r="D6">
        <f>K6</f>
        <v/>
      </c>
      <c r="E6">
        <f>L6</f>
        <v/>
      </c>
      <c r="F6" s="236">
        <f>Z6</f>
        <v/>
      </c>
      <c r="G6">
        <f>U6&amp;"%"</f>
        <v/>
      </c>
      <c r="I6" s="53" t="n">
        <v>2021</v>
      </c>
      <c r="J6" s="53" t="n">
        <v>5</v>
      </c>
      <c r="K6" s="71" t="inlineStr">
        <is>
          <t>Einnahmen</t>
        </is>
      </c>
      <c r="L6" t="inlineStr">
        <is>
          <t>Waren-/Leistungserlöse</t>
        </is>
      </c>
      <c r="M6" s="9" t="inlineStr">
        <is>
          <t>12021001</t>
        </is>
      </c>
      <c r="N6" s="1" t="n">
        <v>44203</v>
      </c>
      <c r="O6" t="inlineStr">
        <is>
          <t>ZT DI Dr. Arno Kolbitsch, Gütleweg 1, 6822 Satteins</t>
        </is>
      </c>
      <c r="Q6" s="76" t="n"/>
      <c r="R6" t="b">
        <v>0</v>
      </c>
      <c r="S6" s="214" t="n">
        <v>8600</v>
      </c>
      <c r="T6" s="159" t="n">
        <v>1</v>
      </c>
      <c r="U6" t="n">
        <v>20</v>
      </c>
      <c r="V6" s="237" t="n">
        <v>1720</v>
      </c>
      <c r="W6" s="237" t="n">
        <v>1720</v>
      </c>
      <c r="X6" s="208" t="n">
        <v>8600</v>
      </c>
      <c r="Y6" s="251" t="n">
        <v>10320</v>
      </c>
      <c r="Z6" s="251" t="n">
        <v>10320</v>
      </c>
      <c r="AA6" s="35" t="n">
        <v>44331</v>
      </c>
      <c r="AB6" s="27" t="n"/>
      <c r="AC6" s="27" t="n"/>
      <c r="AD6" s="210" t="n">
        <v>8600</v>
      </c>
      <c r="AE6" s="237" t="n">
        <v>0</v>
      </c>
      <c r="AF6" t="b">
        <v>0</v>
      </c>
      <c r="AG6" s="228" t="n">
        <v>8600</v>
      </c>
    </row>
    <row r="7">
      <c r="A7">
        <f>I7&amp;"-"&amp;J7</f>
        <v/>
      </c>
      <c r="B7" s="1">
        <f>N7</f>
        <v/>
      </c>
      <c r="C7">
        <f>M7&amp;"/"&amp;O7</f>
        <v/>
      </c>
      <c r="D7">
        <f>K7</f>
        <v/>
      </c>
      <c r="E7">
        <f>L7</f>
        <v/>
      </c>
      <c r="F7" s="236">
        <f>Z7</f>
        <v/>
      </c>
      <c r="G7">
        <f>U7&amp;"%"</f>
        <v/>
      </c>
      <c r="I7" s="53" t="n">
        <v>2021</v>
      </c>
      <c r="J7" s="53" t="n">
        <v>6</v>
      </c>
      <c r="K7" s="71" t="inlineStr">
        <is>
          <t>Ausgaben</t>
        </is>
      </c>
      <c r="L7" t="inlineStr">
        <is>
          <t>sonstige Betriebsausgaben</t>
        </is>
      </c>
      <c r="M7" s="9" t="inlineStr">
        <is>
          <t>R0012565330</t>
        </is>
      </c>
      <c r="N7" s="1" t="n">
        <v>44203</v>
      </c>
      <c r="O7" t="inlineStr">
        <is>
          <t>Hetzner Online GmbH</t>
        </is>
      </c>
      <c r="Q7" s="76" t="inlineStr">
        <is>
          <t>ja</t>
        </is>
      </c>
      <c r="R7" t="b">
        <v>0</v>
      </c>
      <c r="S7" s="214" t="n">
        <v>2.49</v>
      </c>
      <c r="T7" s="159" t="n">
        <v>1</v>
      </c>
      <c r="U7" t="n">
        <v>0</v>
      </c>
      <c r="V7" s="237" t="n">
        <v>0</v>
      </c>
      <c r="W7" s="237" t="n">
        <v>0</v>
      </c>
      <c r="X7" s="208" t="n">
        <v>2.49</v>
      </c>
      <c r="Y7" s="251" t="n">
        <v>2.49</v>
      </c>
      <c r="Z7" s="251" t="n">
        <v>2.49</v>
      </c>
      <c r="AA7" s="35" t="n">
        <v>44331</v>
      </c>
      <c r="AB7" s="27" t="n"/>
      <c r="AC7" s="27" t="n">
        <v>20</v>
      </c>
      <c r="AD7" s="210" t="n">
        <v>2.49</v>
      </c>
      <c r="AE7" s="237" t="n">
        <v>0.4980000000000001</v>
      </c>
      <c r="AF7" t="b">
        <v>0</v>
      </c>
      <c r="AG7" s="228" t="n">
        <v>-2.49</v>
      </c>
    </row>
    <row r="8">
      <c r="A8">
        <f>I8&amp;"-"&amp;J8</f>
        <v/>
      </c>
      <c r="B8" s="1">
        <f>N8</f>
        <v/>
      </c>
      <c r="C8">
        <f>M8&amp;"/"&amp;O8</f>
        <v/>
      </c>
      <c r="D8">
        <f>K8</f>
        <v/>
      </c>
      <c r="E8">
        <f>L8</f>
        <v/>
      </c>
      <c r="F8" s="236">
        <f>Z8</f>
        <v/>
      </c>
      <c r="G8">
        <f>U8&amp;"%"</f>
        <v/>
      </c>
      <c r="I8" s="53" t="n">
        <v>2021</v>
      </c>
      <c r="J8" s="53" t="n">
        <v>7</v>
      </c>
      <c r="K8" s="71" t="inlineStr">
        <is>
          <t>Einnahmen</t>
        </is>
      </c>
      <c r="L8" t="inlineStr">
        <is>
          <t>Waren-/Leistungserlöse</t>
        </is>
      </c>
      <c r="M8" s="9" t="inlineStr">
        <is>
          <t>12021007</t>
        </is>
      </c>
      <c r="N8" s="1" t="n">
        <v>44204</v>
      </c>
      <c r="O8" t="inlineStr">
        <is>
          <t>Theresa Häfele-Kolbitsch, Josef-Mohrgasse 9, 2102 Bisamberg</t>
        </is>
      </c>
      <c r="Q8" s="76" t="n"/>
      <c r="R8" t="b">
        <v>0</v>
      </c>
      <c r="S8" s="214" t="n">
        <v>235.33</v>
      </c>
      <c r="T8" s="159" t="n">
        <v>1</v>
      </c>
      <c r="U8" t="n">
        <v>20</v>
      </c>
      <c r="V8" s="237" t="n">
        <v>47.066</v>
      </c>
      <c r="W8" s="237" t="n">
        <v>47.066</v>
      </c>
      <c r="X8" s="208" t="n">
        <v>235.33</v>
      </c>
      <c r="Y8" s="251" t="n">
        <v>282.396</v>
      </c>
      <c r="Z8" s="251" t="n">
        <v>282.396</v>
      </c>
      <c r="AA8" s="35" t="n">
        <v>44331</v>
      </c>
      <c r="AB8" s="27" t="n"/>
      <c r="AC8" s="27" t="n"/>
      <c r="AD8" s="210" t="n">
        <v>235.33</v>
      </c>
      <c r="AE8" s="237" t="n">
        <v>0</v>
      </c>
      <c r="AF8" t="b">
        <v>0</v>
      </c>
      <c r="AG8" s="228" t="n">
        <v>235.33</v>
      </c>
    </row>
    <row r="9">
      <c r="A9">
        <f>I9&amp;"-"&amp;J9</f>
        <v/>
      </c>
      <c r="B9" s="1">
        <f>N9</f>
        <v/>
      </c>
      <c r="C9">
        <f>M9&amp;"/"&amp;O9</f>
        <v/>
      </c>
      <c r="D9">
        <f>K9</f>
        <v/>
      </c>
      <c r="E9">
        <f>L9</f>
        <v/>
      </c>
      <c r="F9" s="236">
        <f>Z9</f>
        <v/>
      </c>
      <c r="G9">
        <f>U9&amp;"%"</f>
        <v/>
      </c>
      <c r="I9" s="53" t="n">
        <v>2021</v>
      </c>
      <c r="J9" s="53" t="n">
        <v>8</v>
      </c>
      <c r="K9" s="71" t="inlineStr">
        <is>
          <t>Ausgaben</t>
        </is>
      </c>
      <c r="L9" t="inlineStr">
        <is>
          <t>sonstige Betriebsausgaben</t>
        </is>
      </c>
      <c r="M9" s="9" t="inlineStr">
        <is>
          <t>60793/100/2021</t>
        </is>
      </c>
      <c r="N9" s="1" t="n">
        <v>44204</v>
      </c>
      <c r="O9" t="inlineStr">
        <is>
          <t>easy green energy GmbH &amp; Co KG</t>
        </is>
      </c>
      <c r="Q9" s="76" t="n"/>
      <c r="R9" t="b">
        <v>0</v>
      </c>
      <c r="S9" s="214" t="n">
        <v>2.5</v>
      </c>
      <c r="T9" s="159" t="n">
        <v>1</v>
      </c>
      <c r="U9" t="n">
        <v>20</v>
      </c>
      <c r="V9" s="237" t="n">
        <v>0.5</v>
      </c>
      <c r="W9" s="237" t="n">
        <v>0.5</v>
      </c>
      <c r="X9" s="208" t="n">
        <v>2.5</v>
      </c>
      <c r="Y9" s="251" t="n">
        <v>3</v>
      </c>
      <c r="Z9" s="251" t="n">
        <v>3</v>
      </c>
      <c r="AA9" s="35" t="n">
        <v>44331</v>
      </c>
      <c r="AB9" s="27" t="n"/>
      <c r="AC9" s="27" t="n"/>
      <c r="AD9" s="210" t="n">
        <v>2.5</v>
      </c>
      <c r="AE9" s="237" t="n">
        <v>0</v>
      </c>
      <c r="AF9" t="b">
        <v>0</v>
      </c>
      <c r="AG9" s="228" t="n">
        <v>-2.5</v>
      </c>
    </row>
    <row r="10">
      <c r="A10">
        <f>I10&amp;"-"&amp;J10</f>
        <v/>
      </c>
      <c r="B10" s="1">
        <f>N10</f>
        <v/>
      </c>
      <c r="C10">
        <f>M10&amp;"/"&amp;O10</f>
        <v/>
      </c>
      <c r="D10">
        <f>K10</f>
        <v/>
      </c>
      <c r="E10">
        <f>L10</f>
        <v/>
      </c>
      <c r="F10" s="236">
        <f>Z10</f>
        <v/>
      </c>
      <c r="G10">
        <f>U10&amp;"%"</f>
        <v/>
      </c>
      <c r="I10" s="53" t="n">
        <v>2021</v>
      </c>
      <c r="J10" s="53" t="n">
        <v>9</v>
      </c>
      <c r="K10" s="71" t="inlineStr">
        <is>
          <t>Einnahmen</t>
        </is>
      </c>
      <c r="L10" t="inlineStr">
        <is>
          <t>Waren-/Leistungserlöse</t>
        </is>
      </c>
      <c r="M10" s="9" t="inlineStr">
        <is>
          <t>12020038</t>
        </is>
      </c>
      <c r="N10" s="1" t="n">
        <v>44207</v>
      </c>
      <c r="O10" t="inlineStr">
        <is>
          <t>foxcraft - DI Mag. Alexander Wagner, Leschetitzkygasse 30/5, 1180 Wien</t>
        </is>
      </c>
      <c r="Q10" s="76" t="n"/>
      <c r="R10" t="b">
        <v>0</v>
      </c>
      <c r="S10" s="214" t="n">
        <v>218.78</v>
      </c>
      <c r="T10" s="159" t="n">
        <v>1</v>
      </c>
      <c r="U10" t="n">
        <v>20</v>
      </c>
      <c r="V10" s="237" t="n">
        <v>43.756</v>
      </c>
      <c r="W10" s="237" t="n">
        <v>43.756</v>
      </c>
      <c r="X10" s="208" t="n">
        <v>218.78</v>
      </c>
      <c r="Y10" s="251" t="n">
        <v>262.536</v>
      </c>
      <c r="Z10" s="251" t="n">
        <v>262.536</v>
      </c>
      <c r="AA10" s="35" t="n">
        <v>44331</v>
      </c>
      <c r="AB10" s="27" t="n"/>
      <c r="AC10" s="27" t="n"/>
      <c r="AD10" s="210" t="n">
        <v>218.78</v>
      </c>
      <c r="AE10" s="237" t="n">
        <v>0</v>
      </c>
      <c r="AF10" t="b">
        <v>0</v>
      </c>
      <c r="AG10" s="228" t="n">
        <v>218.78</v>
      </c>
    </row>
    <row r="11">
      <c r="A11">
        <f>I11&amp;"-"&amp;J11</f>
        <v/>
      </c>
      <c r="B11" s="1">
        <f>N11</f>
        <v/>
      </c>
      <c r="C11">
        <f>M11&amp;"/"&amp;O11</f>
        <v/>
      </c>
      <c r="D11">
        <f>K11</f>
        <v/>
      </c>
      <c r="E11">
        <f>L11</f>
        <v/>
      </c>
      <c r="F11" s="236">
        <f>Z11</f>
        <v/>
      </c>
      <c r="G11">
        <f>U11&amp;"%"</f>
        <v/>
      </c>
      <c r="I11" s="53" t="n">
        <v>2021</v>
      </c>
      <c r="J11" s="53" t="n">
        <v>10</v>
      </c>
      <c r="K11" s="71" t="inlineStr">
        <is>
          <t>Einnahmen</t>
        </is>
      </c>
      <c r="L11" t="inlineStr">
        <is>
          <t>Waren-/Leistungserlöse</t>
        </is>
      </c>
      <c r="M11" s="9" t="n">
        <v>12018015</v>
      </c>
      <c r="N11" s="1" t="n">
        <v>44208</v>
      </c>
      <c r="O11" t="inlineStr">
        <is>
          <t>H. Jaros e.U., Kohlmarkt 16/2/2/15a, 1010 Wien</t>
        </is>
      </c>
      <c r="Q11" s="76" t="n"/>
      <c r="R11" t="b">
        <v>0</v>
      </c>
      <c r="S11" s="214" t="n">
        <v>350</v>
      </c>
      <c r="T11" s="159" t="n">
        <v>1</v>
      </c>
      <c r="U11" t="n">
        <v>20</v>
      </c>
      <c r="V11" s="237" t="n">
        <v>70</v>
      </c>
      <c r="W11" s="237" t="n">
        <v>70</v>
      </c>
      <c r="X11" s="208" t="n">
        <v>350</v>
      </c>
      <c r="Y11" s="251" t="n">
        <v>420</v>
      </c>
      <c r="Z11" s="251" t="n">
        <v>420</v>
      </c>
      <c r="AA11" s="35" t="n">
        <v>44331</v>
      </c>
      <c r="AB11" s="27" t="n"/>
      <c r="AC11" s="27" t="n"/>
      <c r="AD11" s="210" t="n">
        <v>350</v>
      </c>
      <c r="AE11" s="237" t="n">
        <v>0</v>
      </c>
      <c r="AF11" t="b">
        <v>0</v>
      </c>
      <c r="AG11" s="228" t="n">
        <v>350</v>
      </c>
    </row>
    <row r="12">
      <c r="A12">
        <f>I12&amp;"-"&amp;J12</f>
        <v/>
      </c>
      <c r="B12" s="1">
        <f>N12</f>
        <v/>
      </c>
      <c r="C12">
        <f>M12&amp;"/"&amp;O12</f>
        <v/>
      </c>
      <c r="D12">
        <f>K12</f>
        <v/>
      </c>
      <c r="E12">
        <f>L12</f>
        <v/>
      </c>
      <c r="F12" s="236">
        <f>Z12</f>
        <v/>
      </c>
      <c r="G12">
        <f>U12&amp;"%"</f>
        <v/>
      </c>
      <c r="I12" s="53" t="n">
        <v>2021</v>
      </c>
      <c r="J12" s="53" t="n">
        <v>11</v>
      </c>
      <c r="K12" s="71" t="inlineStr">
        <is>
          <t>Ausgaben</t>
        </is>
      </c>
      <c r="L12" t="inlineStr">
        <is>
          <t>Telefon/Internet</t>
        </is>
      </c>
      <c r="M12" s="9" t="inlineStr">
        <is>
          <t>6213824128</t>
        </is>
      </c>
      <c r="N12" s="1" t="n">
        <v>44208</v>
      </c>
      <c r="O12" t="inlineStr">
        <is>
          <t>Hutchison Drei Austria GmbH, Brünner Straße 52, 1210 Wien, Österreich</t>
        </is>
      </c>
      <c r="Q12" s="76" t="n"/>
      <c r="R12" t="b">
        <v>0</v>
      </c>
      <c r="S12" s="214" t="n">
        <v>15</v>
      </c>
      <c r="T12" s="159" t="n">
        <v>1</v>
      </c>
      <c r="U12" t="n">
        <v>20</v>
      </c>
      <c r="V12" s="237" t="n">
        <v>3</v>
      </c>
      <c r="W12" s="237" t="n">
        <v>3</v>
      </c>
      <c r="X12" s="208" t="n">
        <v>15</v>
      </c>
      <c r="Y12" s="251" t="n">
        <v>18</v>
      </c>
      <c r="Z12" s="251" t="n">
        <v>18</v>
      </c>
      <c r="AA12" s="35" t="n">
        <v>44331</v>
      </c>
      <c r="AB12" s="27" t="n"/>
      <c r="AC12" s="27" t="n"/>
      <c r="AD12" s="210" t="n">
        <v>15</v>
      </c>
      <c r="AE12" s="237" t="n">
        <v>0</v>
      </c>
      <c r="AF12" t="b">
        <v>0</v>
      </c>
      <c r="AG12" s="228" t="n">
        <v>-15</v>
      </c>
    </row>
    <row r="13">
      <c r="A13">
        <f>I13&amp;"-"&amp;J13</f>
        <v/>
      </c>
      <c r="B13" s="1">
        <f>N13</f>
        <v/>
      </c>
      <c r="C13">
        <f>M13&amp;"/"&amp;O13</f>
        <v/>
      </c>
      <c r="D13">
        <f>K13</f>
        <v/>
      </c>
      <c r="E13">
        <f>L13</f>
        <v/>
      </c>
      <c r="F13" s="236">
        <f>Z13</f>
        <v/>
      </c>
      <c r="G13">
        <f>U13&amp;"%"</f>
        <v/>
      </c>
      <c r="I13" s="53" t="n">
        <v>2021</v>
      </c>
      <c r="J13" s="53" t="n">
        <v>12</v>
      </c>
      <c r="K13" s="71" t="inlineStr">
        <is>
          <t>Ausgaben</t>
        </is>
      </c>
      <c r="L13" t="inlineStr">
        <is>
          <t>sonstige Betriebsausgaben</t>
        </is>
      </c>
      <c r="M13" s="9" t="inlineStr">
        <is>
          <t>R012609412</t>
        </is>
      </c>
      <c r="N13" s="1" t="n">
        <v>44209</v>
      </c>
      <c r="O13" t="inlineStr">
        <is>
          <t>Hetzner Online GmbH</t>
        </is>
      </c>
      <c r="Q13" s="76" t="n"/>
      <c r="R13" t="b">
        <v>0</v>
      </c>
      <c r="S13" s="214" t="n">
        <v>46.92</v>
      </c>
      <c r="T13" s="159" t="n">
        <v>1</v>
      </c>
      <c r="U13" t="n">
        <v>0</v>
      </c>
      <c r="V13" s="237" t="n">
        <v>0</v>
      </c>
      <c r="W13" s="237" t="n">
        <v>0</v>
      </c>
      <c r="X13" s="208" t="n">
        <v>46.92</v>
      </c>
      <c r="Y13" s="251" t="n">
        <v>46.92</v>
      </c>
      <c r="Z13" s="251" t="n">
        <v>46.92</v>
      </c>
      <c r="AA13" s="35" t="n">
        <v>44331</v>
      </c>
      <c r="AB13" s="27" t="n"/>
      <c r="AC13" s="27" t="n">
        <v>20</v>
      </c>
      <c r="AD13" s="210" t="n">
        <v>46.92</v>
      </c>
      <c r="AE13" s="237" t="n">
        <v>9.384</v>
      </c>
      <c r="AF13" t="b">
        <v>0</v>
      </c>
      <c r="AG13" s="228" t="n">
        <v>-46.92</v>
      </c>
    </row>
    <row r="14">
      <c r="A14">
        <f>I14&amp;"-"&amp;J14</f>
        <v/>
      </c>
      <c r="B14" s="1">
        <f>N14</f>
        <v/>
      </c>
      <c r="C14">
        <f>M14&amp;"/"&amp;O14</f>
        <v/>
      </c>
      <c r="D14">
        <f>K14</f>
        <v/>
      </c>
      <c r="E14">
        <f>L14</f>
        <v/>
      </c>
      <c r="F14" s="236">
        <f>Z14</f>
        <v/>
      </c>
      <c r="G14">
        <f>U14&amp;"%"</f>
        <v/>
      </c>
      <c r="I14" s="53" t="n">
        <v>2021</v>
      </c>
      <c r="J14" s="53" t="n">
        <v>13</v>
      </c>
      <c r="K14" s="71" t="inlineStr">
        <is>
          <t>Ausgaben</t>
        </is>
      </c>
      <c r="L14" t="inlineStr">
        <is>
          <t>Werbe- und Repräsentationsaufwand</t>
        </is>
      </c>
      <c r="M14" s="9" t="inlineStr">
        <is>
          <t>415468190</t>
        </is>
      </c>
      <c r="N14" s="1" t="n">
        <v>44214</v>
      </c>
      <c r="O14" t="inlineStr">
        <is>
          <t>Adler Werbegeschenke Vertriebsgessellschaft &amp; Co KG</t>
        </is>
      </c>
      <c r="Q14" s="76" t="n"/>
      <c r="R14" t="b">
        <v>0</v>
      </c>
      <c r="S14" s="214" t="n">
        <v>95.98999999999999</v>
      </c>
      <c r="T14" s="159" t="n">
        <v>1</v>
      </c>
      <c r="U14" t="n">
        <v>20</v>
      </c>
      <c r="V14" s="237" t="n">
        <v>19.198</v>
      </c>
      <c r="W14" s="237" t="n">
        <v>19.198</v>
      </c>
      <c r="X14" s="208" t="n">
        <v>95.98999999999999</v>
      </c>
      <c r="Y14" s="251" t="n">
        <v>115.188</v>
      </c>
      <c r="Z14" s="251" t="n">
        <v>115.188</v>
      </c>
      <c r="AA14" s="35" t="n">
        <v>44331</v>
      </c>
      <c r="AB14" s="27" t="n"/>
      <c r="AC14" s="27" t="n"/>
      <c r="AD14" s="210" t="n">
        <v>95.98999999999999</v>
      </c>
      <c r="AE14" s="237" t="n">
        <v>0</v>
      </c>
      <c r="AF14" t="b">
        <v>0</v>
      </c>
      <c r="AG14" s="228" t="n">
        <v>-95.98999999999999</v>
      </c>
    </row>
    <row r="15">
      <c r="A15">
        <f>I15&amp;"-"&amp;J15</f>
        <v/>
      </c>
      <c r="B15" s="1">
        <f>N15</f>
        <v/>
      </c>
      <c r="C15">
        <f>M15&amp;"/"&amp;O15</f>
        <v/>
      </c>
      <c r="D15">
        <f>K15</f>
        <v/>
      </c>
      <c r="E15">
        <f>L15</f>
        <v/>
      </c>
      <c r="F15" s="236">
        <f>Z15</f>
        <v/>
      </c>
      <c r="G15">
        <f>U15&amp;"%"</f>
        <v/>
      </c>
      <c r="I15" s="53" t="n">
        <v>2021</v>
      </c>
      <c r="J15" s="53" t="n">
        <v>14</v>
      </c>
      <c r="K15" s="71" t="inlineStr">
        <is>
          <t>Ausgaben</t>
        </is>
      </c>
      <c r="L15" t="inlineStr">
        <is>
          <t>Telefon/Internet</t>
        </is>
      </c>
      <c r="M15" s="9" t="inlineStr">
        <is>
          <t>901201021220</t>
        </is>
      </c>
      <c r="N15" s="1" t="n">
        <v>44218</v>
      </c>
      <c r="O15" t="inlineStr">
        <is>
          <t>Magenta: T-Mobile Austria GmbH, A-1120 Wien, PF 47</t>
        </is>
      </c>
      <c r="Q15" s="76" t="n"/>
      <c r="R15" t="b">
        <v>0</v>
      </c>
      <c r="S15" s="214" t="n">
        <v>35.24</v>
      </c>
      <c r="T15" s="159" t="n">
        <v>1</v>
      </c>
      <c r="U15" t="n">
        <v>20</v>
      </c>
      <c r="V15" s="237" t="n">
        <v>7.048000000000001</v>
      </c>
      <c r="W15" s="237" t="n">
        <v>7.048000000000001</v>
      </c>
      <c r="X15" s="208" t="n">
        <v>35.24</v>
      </c>
      <c r="Y15" s="251" t="n">
        <v>42.288</v>
      </c>
      <c r="Z15" s="251" t="n">
        <v>42.288</v>
      </c>
      <c r="AA15" s="35" t="n">
        <v>44331</v>
      </c>
      <c r="AB15" s="27" t="n"/>
      <c r="AC15" s="27" t="n"/>
      <c r="AD15" s="210" t="n">
        <v>35.24</v>
      </c>
      <c r="AE15" s="237" t="n">
        <v>0</v>
      </c>
      <c r="AF15" t="b">
        <v>0</v>
      </c>
      <c r="AG15" s="228" t="n">
        <v>-35.24</v>
      </c>
    </row>
    <row r="16">
      <c r="A16">
        <f>I16&amp;"-"&amp;J16</f>
        <v/>
      </c>
      <c r="B16" s="1">
        <f>N16</f>
        <v/>
      </c>
      <c r="C16">
        <f>M16&amp;"/"&amp;O16</f>
        <v/>
      </c>
      <c r="D16">
        <f>K16</f>
        <v/>
      </c>
      <c r="E16">
        <f>L16</f>
        <v/>
      </c>
      <c r="F16" s="236">
        <f>Z16</f>
        <v/>
      </c>
      <c r="G16">
        <f>U16&amp;"%"</f>
        <v/>
      </c>
      <c r="I16" s="53" t="n">
        <v>2021</v>
      </c>
      <c r="J16" s="53" t="n">
        <v>15</v>
      </c>
      <c r="K16" s="71" t="inlineStr">
        <is>
          <t>Einnahmen</t>
        </is>
      </c>
      <c r="L16" t="inlineStr">
        <is>
          <t>Waren-/Leistungserlöse</t>
        </is>
      </c>
      <c r="M16" s="9" t="inlineStr">
        <is>
          <t>12021004</t>
        </is>
      </c>
      <c r="N16" s="1" t="n">
        <v>44218</v>
      </c>
      <c r="O16" t="inlineStr">
        <is>
          <t>Schick Küchendesign e.U. Alexander Schick, Linzerstraße 247, 1140 Wien</t>
        </is>
      </c>
      <c r="Q16" s="76" t="n"/>
      <c r="R16" t="b">
        <v>0</v>
      </c>
      <c r="S16" s="214" t="n">
        <v>404.25</v>
      </c>
      <c r="T16" s="159" t="n">
        <v>1</v>
      </c>
      <c r="U16" t="n">
        <v>20</v>
      </c>
      <c r="V16" s="237" t="n">
        <v>80.84999999999999</v>
      </c>
      <c r="W16" s="237" t="n">
        <v>80.84999999999999</v>
      </c>
      <c r="X16" s="208" t="n">
        <v>404.25</v>
      </c>
      <c r="Y16" s="251" t="n">
        <v>485.1</v>
      </c>
      <c r="Z16" s="251" t="n">
        <v>485.1</v>
      </c>
      <c r="AA16" s="35" t="n">
        <v>44331</v>
      </c>
      <c r="AB16" s="27" t="n"/>
      <c r="AC16" s="27" t="n"/>
      <c r="AD16" s="210" t="n">
        <v>404.25</v>
      </c>
      <c r="AE16" s="237" t="n">
        <v>0</v>
      </c>
      <c r="AF16" t="b">
        <v>0</v>
      </c>
      <c r="AG16" s="228" t="n">
        <v>404.25</v>
      </c>
    </row>
    <row r="17">
      <c r="A17">
        <f>I17&amp;"-"&amp;J17</f>
        <v/>
      </c>
      <c r="B17" s="1">
        <f>N17</f>
        <v/>
      </c>
      <c r="C17">
        <f>M17&amp;"/"&amp;O17</f>
        <v/>
      </c>
      <c r="D17">
        <f>K17</f>
        <v/>
      </c>
      <c r="E17">
        <f>L17</f>
        <v/>
      </c>
      <c r="F17" s="236">
        <f>Z17</f>
        <v/>
      </c>
      <c r="G17">
        <f>U17&amp;"%"</f>
        <v/>
      </c>
      <c r="I17" s="53" t="n">
        <v>2021</v>
      </c>
      <c r="J17" s="53" t="n">
        <v>16</v>
      </c>
      <c r="K17" s="71" t="inlineStr">
        <is>
          <t>Einnahmen</t>
        </is>
      </c>
      <c r="L17" t="inlineStr">
        <is>
          <t>Waren-/Leistungserlöse</t>
        </is>
      </c>
      <c r="M17" s="9" t="inlineStr">
        <is>
          <t>12021008</t>
        </is>
      </c>
      <c r="N17" s="1" t="n">
        <v>44221</v>
      </c>
      <c r="O17" t="inlineStr">
        <is>
          <t>Martin Dürauer e.U., Schreinergasse 7/1, A-3100 St. Pölten</t>
        </is>
      </c>
      <c r="Q17" s="76" t="n"/>
      <c r="R17" t="b">
        <v>0</v>
      </c>
      <c r="S17" s="214" t="n">
        <v>100</v>
      </c>
      <c r="T17" s="159" t="n">
        <v>1</v>
      </c>
      <c r="U17" t="n">
        <v>20</v>
      </c>
      <c r="V17" s="237" t="n">
        <v>20</v>
      </c>
      <c r="W17" s="237" t="n">
        <v>20</v>
      </c>
      <c r="X17" s="208" t="n">
        <v>100</v>
      </c>
      <c r="Y17" s="251" t="n">
        <v>120</v>
      </c>
      <c r="Z17" s="251" t="n">
        <v>120</v>
      </c>
      <c r="AA17" s="35" t="n">
        <v>44331</v>
      </c>
      <c r="AB17" s="27" t="n"/>
      <c r="AC17" s="27" t="n"/>
      <c r="AD17" s="210" t="n">
        <v>100</v>
      </c>
      <c r="AE17" s="237" t="n">
        <v>0</v>
      </c>
      <c r="AF17" t="b">
        <v>0</v>
      </c>
      <c r="AG17" s="228" t="n">
        <v>100</v>
      </c>
    </row>
    <row r="18">
      <c r="A18">
        <f>I18&amp;"-"&amp;J18</f>
        <v/>
      </c>
      <c r="B18" s="1">
        <f>N18</f>
        <v/>
      </c>
      <c r="C18">
        <f>M18&amp;"/"&amp;O18</f>
        <v/>
      </c>
      <c r="D18">
        <f>K18</f>
        <v/>
      </c>
      <c r="E18">
        <f>L18</f>
        <v/>
      </c>
      <c r="F18" s="236">
        <f>Z18</f>
        <v/>
      </c>
      <c r="G18">
        <f>U18&amp;"%"</f>
        <v/>
      </c>
      <c r="I18" s="53" t="n">
        <v>2021</v>
      </c>
      <c r="J18" s="53" t="n">
        <v>17</v>
      </c>
      <c r="K18" s="71" t="inlineStr">
        <is>
          <t>Ausgaben</t>
        </is>
      </c>
      <c r="L18" t="inlineStr">
        <is>
          <t>sonstige Betriebsausgaben</t>
        </is>
      </c>
      <c r="M18" s="9" t="inlineStr">
        <is>
          <t>RE0939549</t>
        </is>
      </c>
      <c r="N18" s="1" t="n">
        <v>44222</v>
      </c>
      <c r="O18" t="inlineStr">
        <is>
          <t>easyname GmbH, Fernkorngasse 10/3/501, A-1100 Wien</t>
        </is>
      </c>
      <c r="Q18" s="76" t="n"/>
      <c r="R18" t="b">
        <v>0</v>
      </c>
      <c r="S18" s="214" t="n">
        <v>19.9</v>
      </c>
      <c r="T18" s="159" t="n">
        <v>1</v>
      </c>
      <c r="U18" t="n">
        <v>20</v>
      </c>
      <c r="V18" s="237" t="n">
        <v>3.98</v>
      </c>
      <c r="W18" s="237" t="n">
        <v>3.98</v>
      </c>
      <c r="X18" s="208" t="n">
        <v>19.9</v>
      </c>
      <c r="Y18" s="251" t="n">
        <v>23.88</v>
      </c>
      <c r="Z18" s="251" t="n">
        <v>23.88</v>
      </c>
      <c r="AA18" s="35" t="n">
        <v>44331</v>
      </c>
      <c r="AB18" s="27" t="n"/>
      <c r="AC18" s="27" t="n"/>
      <c r="AD18" s="210" t="n">
        <v>19.9</v>
      </c>
      <c r="AE18" s="237" t="n">
        <v>0</v>
      </c>
      <c r="AF18" t="b">
        <v>0</v>
      </c>
      <c r="AG18" s="228" t="n">
        <v>-19.9</v>
      </c>
    </row>
    <row r="19">
      <c r="A19">
        <f>I19&amp;"-"&amp;J19</f>
        <v/>
      </c>
      <c r="B19" s="1">
        <f>N19</f>
        <v/>
      </c>
      <c r="C19">
        <f>M19&amp;"/"&amp;O19</f>
        <v/>
      </c>
      <c r="D19">
        <f>K19</f>
        <v/>
      </c>
      <c r="E19">
        <f>L19</f>
        <v/>
      </c>
      <c r="F19" s="236">
        <f>Z19</f>
        <v/>
      </c>
      <c r="G19">
        <f>U19&amp;"%"</f>
        <v/>
      </c>
      <c r="I19" s="53" t="n">
        <v>2021</v>
      </c>
      <c r="J19" s="53" t="n">
        <v>18</v>
      </c>
      <c r="K19" s="71" t="inlineStr">
        <is>
          <t>Einnahmen</t>
        </is>
      </c>
      <c r="L19" t="inlineStr">
        <is>
          <t>Waren-/Leistungserlöse</t>
        </is>
      </c>
      <c r="M19" s="9" t="inlineStr">
        <is>
          <t>12021003</t>
        </is>
      </c>
      <c r="N19" s="1" t="n">
        <v>44203</v>
      </c>
      <c r="O19" t="inlineStr">
        <is>
          <t>Musikschule Bad Vöslau, Hauptstraße 14, 2540 Bad Vöslau</t>
        </is>
      </c>
      <c r="Q19" s="76" t="n"/>
      <c r="R19" t="b">
        <v>0</v>
      </c>
      <c r="S19" s="214" t="n">
        <v>131.25</v>
      </c>
      <c r="T19" s="159" t="n">
        <v>1</v>
      </c>
      <c r="U19" t="n">
        <v>20</v>
      </c>
      <c r="V19" s="237" t="n">
        <v>26.25</v>
      </c>
      <c r="W19" s="237" t="n">
        <v>26.25</v>
      </c>
      <c r="X19" s="208" t="n">
        <v>131.25</v>
      </c>
      <c r="Y19" s="251" t="n">
        <v>157.5</v>
      </c>
      <c r="Z19" s="251" t="n">
        <v>157.5</v>
      </c>
      <c r="AA19" s="35" t="n">
        <v>44331</v>
      </c>
      <c r="AB19" s="27" t="n"/>
      <c r="AC19" s="27" t="n"/>
      <c r="AD19" s="210" t="n">
        <v>131.25</v>
      </c>
      <c r="AE19" s="237" t="n">
        <v>0</v>
      </c>
      <c r="AF19" t="b">
        <v>0</v>
      </c>
      <c r="AG19" s="228" t="n">
        <v>131.25</v>
      </c>
    </row>
    <row r="20">
      <c r="A20">
        <f>I20&amp;"-"&amp;J20</f>
        <v/>
      </c>
      <c r="B20" s="1">
        <f>N20</f>
        <v/>
      </c>
      <c r="C20">
        <f>M20&amp;"/"&amp;O20</f>
        <v/>
      </c>
      <c r="D20">
        <f>K20</f>
        <v/>
      </c>
      <c r="E20">
        <f>L20</f>
        <v/>
      </c>
      <c r="F20" s="236">
        <f>Z20</f>
        <v/>
      </c>
      <c r="G20">
        <f>U20&amp;"%"</f>
        <v/>
      </c>
      <c r="I20" s="53" t="n">
        <v>2021</v>
      </c>
      <c r="J20" s="53" t="n">
        <v>19</v>
      </c>
      <c r="K20" s="71" t="inlineStr">
        <is>
          <t>Ausgaben</t>
        </is>
      </c>
      <c r="L20" t="inlineStr">
        <is>
          <t>Waren, Rohstoffe, Hilfsstoffe</t>
        </is>
      </c>
      <c r="M20" s="9" t="inlineStr">
        <is>
          <t>13499319</t>
        </is>
      </c>
      <c r="N20" s="1" t="n">
        <v>44224</v>
      </c>
      <c r="O20" t="inlineStr">
        <is>
          <t>Primus Office Products Handelsgesmbh,&amp; Co. KG, Margaretengürtel 44, 1050 Wien</t>
        </is>
      </c>
      <c r="Q20" s="76" t="inlineStr">
        <is>
          <t>ja</t>
        </is>
      </c>
      <c r="R20" t="b">
        <v>0</v>
      </c>
      <c r="S20" s="214" t="n">
        <v>265.67</v>
      </c>
      <c r="T20" s="159" t="n">
        <v>1</v>
      </c>
      <c r="U20" t="n">
        <v>20</v>
      </c>
      <c r="V20" s="237" t="n">
        <v>53.13400000000001</v>
      </c>
      <c r="W20" s="237" t="n">
        <v>53.13400000000001</v>
      </c>
      <c r="X20" s="208" t="n">
        <v>265.67</v>
      </c>
      <c r="Y20" s="251" t="n">
        <v>318.804</v>
      </c>
      <c r="Z20" s="251" t="n">
        <v>318.804</v>
      </c>
      <c r="AA20" s="35" t="n">
        <v>44331</v>
      </c>
      <c r="AB20" s="27" t="n"/>
      <c r="AC20" s="27" t="n"/>
      <c r="AD20" s="210" t="n">
        <v>265.67</v>
      </c>
      <c r="AE20" s="237" t="n">
        <v>0</v>
      </c>
      <c r="AF20" t="b">
        <v>0</v>
      </c>
      <c r="AG20" s="228" t="n">
        <v>-265.67</v>
      </c>
    </row>
    <row r="21">
      <c r="A21">
        <f>I21&amp;"-"&amp;J21</f>
        <v/>
      </c>
      <c r="B21" s="1">
        <f>N21</f>
        <v/>
      </c>
      <c r="C21">
        <f>M21&amp;"/"&amp;O21</f>
        <v/>
      </c>
      <c r="D21">
        <f>K21</f>
        <v/>
      </c>
      <c r="E21">
        <f>L21</f>
        <v/>
      </c>
      <c r="F21" s="236">
        <f>Z21</f>
        <v/>
      </c>
      <c r="G21">
        <f>U21&amp;"%"</f>
        <v/>
      </c>
      <c r="I21" s="53" t="n">
        <v>2021</v>
      </c>
      <c r="J21" s="53" t="n">
        <v>20</v>
      </c>
      <c r="K21" s="71" t="inlineStr">
        <is>
          <t>Einnahmen</t>
        </is>
      </c>
      <c r="L21" t="inlineStr">
        <is>
          <t>Waren-/Leistungserlöse</t>
        </is>
      </c>
      <c r="M21" s="9" t="inlineStr">
        <is>
          <t>12021006</t>
        </is>
      </c>
      <c r="N21" s="1" t="n">
        <v>44228</v>
      </c>
      <c r="O21" t="inlineStr">
        <is>
          <t>Franz Hauer GmbH + Co KG</t>
        </is>
      </c>
      <c r="Q21" s="76" t="n"/>
      <c r="R21" t="b">
        <v>0</v>
      </c>
      <c r="S21" s="214" t="n">
        <v>196.88</v>
      </c>
      <c r="T21" s="159" t="n">
        <v>1</v>
      </c>
      <c r="U21" t="n">
        <v>20</v>
      </c>
      <c r="V21" s="237" t="n">
        <v>39.376</v>
      </c>
      <c r="W21" s="237" t="n">
        <v>39.376</v>
      </c>
      <c r="X21" s="208" t="n">
        <v>196.88</v>
      </c>
      <c r="Y21" s="251" t="n">
        <v>236.256</v>
      </c>
      <c r="Z21" s="251" t="n">
        <v>236.256</v>
      </c>
      <c r="AA21" s="35" t="n">
        <v>44331</v>
      </c>
      <c r="AB21" s="27" t="n"/>
      <c r="AC21" s="27" t="n"/>
      <c r="AD21" s="210" t="n">
        <v>196.88</v>
      </c>
      <c r="AE21" s="237" t="n">
        <v>0</v>
      </c>
      <c r="AF21" t="b">
        <v>0</v>
      </c>
      <c r="AG21" s="228" t="n">
        <v>196.88</v>
      </c>
    </row>
    <row r="22">
      <c r="A22">
        <f>I22&amp;"-"&amp;J22</f>
        <v/>
      </c>
      <c r="B22" s="1">
        <f>N22</f>
        <v/>
      </c>
      <c r="C22">
        <f>M22&amp;"/"&amp;O22</f>
        <v/>
      </c>
      <c r="D22">
        <f>K22</f>
        <v/>
      </c>
      <c r="E22">
        <f>L22</f>
        <v/>
      </c>
      <c r="F22" s="236">
        <f>Z22</f>
        <v/>
      </c>
      <c r="G22">
        <f>U22&amp;"%"</f>
        <v/>
      </c>
      <c r="I22" s="53" t="n">
        <v>2021</v>
      </c>
      <c r="J22" s="53" t="n">
        <v>21</v>
      </c>
      <c r="K22" s="71" t="inlineStr">
        <is>
          <t>Ausgaben</t>
        </is>
      </c>
      <c r="L22" t="inlineStr">
        <is>
          <t>Miet- und Pachtaufwand, Leasing</t>
        </is>
      </c>
      <c r="M22" s="9" t="inlineStr">
        <is>
          <t>21/9801/VS00038</t>
        </is>
      </c>
      <c r="N22" s="1" t="n">
        <v>44228</v>
      </c>
      <c r="O22" t="inlineStr">
        <is>
          <t>Bontus Immobilienverwaltung GmbH, 1010 Wien, Franz Josefs Kai 65</t>
        </is>
      </c>
      <c r="Q22" s="76" t="n"/>
      <c r="R22" t="b">
        <v>0</v>
      </c>
      <c r="S22" s="214" t="n">
        <v>462.44</v>
      </c>
      <c r="T22" s="159" t="n">
        <v>1</v>
      </c>
      <c r="U22" t="n">
        <v>20</v>
      </c>
      <c r="V22" s="237" t="n">
        <v>92.488</v>
      </c>
      <c r="W22" s="237" t="n">
        <v>92.488</v>
      </c>
      <c r="X22" s="208" t="n">
        <v>462.44</v>
      </c>
      <c r="Y22" s="251" t="n">
        <v>554.928</v>
      </c>
      <c r="Z22" s="251" t="n">
        <v>554.928</v>
      </c>
      <c r="AA22" s="35" t="n">
        <v>44331</v>
      </c>
      <c r="AB22" s="27" t="n"/>
      <c r="AC22" s="27" t="n"/>
      <c r="AD22" s="210" t="n">
        <v>462.44</v>
      </c>
      <c r="AE22" s="237" t="n">
        <v>0</v>
      </c>
      <c r="AF22" t="b">
        <v>0</v>
      </c>
      <c r="AG22" s="228" t="n">
        <v>-462.44</v>
      </c>
    </row>
    <row r="23">
      <c r="A23">
        <f>I23&amp;"-"&amp;J23</f>
        <v/>
      </c>
      <c r="B23" s="1">
        <f>N23</f>
        <v/>
      </c>
      <c r="C23">
        <f>M23&amp;"/"&amp;O23</f>
        <v/>
      </c>
      <c r="D23">
        <f>K23</f>
        <v/>
      </c>
      <c r="E23">
        <f>L23</f>
        <v/>
      </c>
      <c r="F23" s="236">
        <f>Z23</f>
        <v/>
      </c>
      <c r="G23">
        <f>U23&amp;"%"</f>
        <v/>
      </c>
      <c r="I23" s="53" t="n">
        <v>2021</v>
      </c>
      <c r="J23" s="53" t="n">
        <v>22</v>
      </c>
      <c r="K23" s="71" t="inlineStr">
        <is>
          <t>Ausgaben</t>
        </is>
      </c>
      <c r="L23" t="inlineStr">
        <is>
          <t>Reise- und Fahrtspesen inkl. Kilometergeld und Diäten</t>
        </is>
      </c>
      <c r="M23" s="131" t="inlineStr">
        <is>
          <t>4293000000019290</t>
        </is>
      </c>
      <c r="N23" s="1" t="n">
        <v>44229</v>
      </c>
      <c r="O23" t="inlineStr">
        <is>
          <t>car2go Österreich GmbH, Hintere Zollamtstraße 9, 1030 Wien</t>
        </is>
      </c>
      <c r="Q23" s="76" t="n"/>
      <c r="R23" t="b">
        <v>0</v>
      </c>
      <c r="S23" s="214" t="n">
        <v>34.87</v>
      </c>
      <c r="T23" s="159" t="n">
        <v>1</v>
      </c>
      <c r="U23" t="n">
        <v>20</v>
      </c>
      <c r="V23" s="237" t="n">
        <v>6.974</v>
      </c>
      <c r="W23" s="237" t="n">
        <v>6.974</v>
      </c>
      <c r="X23" s="208" t="n">
        <v>34.87</v>
      </c>
      <c r="Y23" s="251" t="n">
        <v>41.84399999999999</v>
      </c>
      <c r="Z23" s="251" t="n">
        <v>41.84399999999999</v>
      </c>
      <c r="AA23" s="35" t="n">
        <v>44331</v>
      </c>
      <c r="AB23" s="27" t="n"/>
      <c r="AC23" s="27" t="n"/>
      <c r="AD23" s="210" t="n">
        <v>34.87</v>
      </c>
      <c r="AE23" s="237" t="n">
        <v>0</v>
      </c>
      <c r="AF23" t="b">
        <v>0</v>
      </c>
      <c r="AG23" s="228" t="n">
        <v>-34.87</v>
      </c>
    </row>
    <row r="24">
      <c r="A24">
        <f>I24&amp;"-"&amp;J24</f>
        <v/>
      </c>
      <c r="B24" s="1">
        <f>N24</f>
        <v/>
      </c>
      <c r="C24">
        <f>M24&amp;"/"&amp;O24</f>
        <v/>
      </c>
      <c r="D24">
        <f>K24</f>
        <v/>
      </c>
      <c r="E24">
        <f>L24</f>
        <v/>
      </c>
      <c r="F24" s="236">
        <f>Z24</f>
        <v/>
      </c>
      <c r="G24">
        <f>U24&amp;"%"</f>
        <v/>
      </c>
      <c r="I24" s="53" t="n">
        <v>2021</v>
      </c>
      <c r="J24" s="53" t="n">
        <v>23</v>
      </c>
      <c r="K24" s="71" t="inlineStr">
        <is>
          <t>Einnahmen</t>
        </is>
      </c>
      <c r="L24" t="inlineStr">
        <is>
          <t>Waren-/Leistungserlöse</t>
        </is>
      </c>
      <c r="M24" s="9" t="n">
        <v>12020036</v>
      </c>
      <c r="N24" s="1" t="n">
        <v>44229</v>
      </c>
      <c r="O24" t="inlineStr">
        <is>
          <t>DCF - Digital Coding Factory GmbH, Bauernfeldgasse 4/12 1090 Wien</t>
        </is>
      </c>
      <c r="Q24" s="76" t="n"/>
      <c r="R24" t="b">
        <v>0</v>
      </c>
      <c r="S24" s="214" t="n">
        <v>8340</v>
      </c>
      <c r="T24" s="159" t="n">
        <v>1</v>
      </c>
      <c r="U24" t="n">
        <v>20</v>
      </c>
      <c r="V24" s="237" t="n">
        <v>1668</v>
      </c>
      <c r="W24" s="237" t="n">
        <v>1668</v>
      </c>
      <c r="X24" s="208" t="n">
        <v>8340</v>
      </c>
      <c r="Y24" s="251" t="n">
        <v>10008</v>
      </c>
      <c r="Z24" s="251" t="n">
        <v>10008</v>
      </c>
      <c r="AA24" s="35" t="n">
        <v>44331</v>
      </c>
      <c r="AB24" s="27" t="n"/>
      <c r="AC24" s="27" t="n"/>
      <c r="AD24" s="210" t="n">
        <v>8340</v>
      </c>
      <c r="AE24" s="237" t="n">
        <v>0</v>
      </c>
      <c r="AF24" t="b">
        <v>0</v>
      </c>
      <c r="AG24" s="228" t="n">
        <v>8340</v>
      </c>
    </row>
    <row r="25">
      <c r="A25">
        <f>I25&amp;"-"&amp;J25</f>
        <v/>
      </c>
      <c r="B25" s="1">
        <f>N25</f>
        <v/>
      </c>
      <c r="C25">
        <f>M25&amp;"/"&amp;O25</f>
        <v/>
      </c>
      <c r="D25">
        <f>K25</f>
        <v/>
      </c>
      <c r="E25">
        <f>L25</f>
        <v/>
      </c>
      <c r="F25" s="236">
        <f>Z25</f>
        <v/>
      </c>
      <c r="G25">
        <f>U25&amp;"%"</f>
        <v/>
      </c>
      <c r="I25" s="53" t="n">
        <v>2021</v>
      </c>
      <c r="J25" s="53" t="n">
        <v>24</v>
      </c>
      <c r="K25" s="71" t="inlineStr">
        <is>
          <t>Ausgaben</t>
        </is>
      </c>
      <c r="L25" t="inlineStr">
        <is>
          <t>sonstige Betriebsausgaben</t>
        </is>
      </c>
      <c r="M25" s="9" t="inlineStr">
        <is>
          <t>60793/100/2021</t>
        </is>
      </c>
      <c r="N25" s="1" t="n">
        <v>44204</v>
      </c>
      <c r="O25" t="inlineStr">
        <is>
          <t>easy green energy GmbH &amp; Co KG</t>
        </is>
      </c>
      <c r="Q25" s="76" t="n"/>
      <c r="R25" t="b">
        <v>0</v>
      </c>
      <c r="S25" s="214" t="n">
        <v>2.5</v>
      </c>
      <c r="T25" s="159" t="n">
        <v>1</v>
      </c>
      <c r="U25" t="n">
        <v>20</v>
      </c>
      <c r="V25" s="237" t="n">
        <v>0.5</v>
      </c>
      <c r="W25" s="237" t="n">
        <v>0.5</v>
      </c>
      <c r="X25" s="208" t="n">
        <v>2.5</v>
      </c>
      <c r="Y25" s="251" t="n">
        <v>3</v>
      </c>
      <c r="Z25" s="251" t="n">
        <v>3</v>
      </c>
      <c r="AA25" s="35" t="n">
        <v>44331</v>
      </c>
      <c r="AB25" s="27" t="n"/>
      <c r="AC25" s="27" t="n"/>
      <c r="AD25" s="210" t="n">
        <v>2.5</v>
      </c>
      <c r="AE25" s="237" t="n">
        <v>0</v>
      </c>
      <c r="AF25" t="b">
        <v>0</v>
      </c>
      <c r="AG25" s="228" t="n">
        <v>-2.5</v>
      </c>
    </row>
    <row r="26">
      <c r="A26">
        <f>I26&amp;"-"&amp;J26</f>
        <v/>
      </c>
      <c r="B26" s="1">
        <f>N26</f>
        <v/>
      </c>
      <c r="C26">
        <f>M26&amp;"/"&amp;O26</f>
        <v/>
      </c>
      <c r="D26">
        <f>K26</f>
        <v/>
      </c>
      <c r="E26">
        <f>L26</f>
        <v/>
      </c>
      <c r="F26" s="236">
        <f>Z26</f>
        <v/>
      </c>
      <c r="G26">
        <f>U26&amp;"%"</f>
        <v/>
      </c>
      <c r="I26" s="53" t="n">
        <v>2021</v>
      </c>
      <c r="J26" s="53" t="n">
        <v>25</v>
      </c>
      <c r="K26" s="71" t="inlineStr">
        <is>
          <t>Ausgaben</t>
        </is>
      </c>
      <c r="L26" t="inlineStr">
        <is>
          <t>Telefon/Internet</t>
        </is>
      </c>
      <c r="M26" s="9" t="inlineStr">
        <is>
          <t>6215644767</t>
        </is>
      </c>
      <c r="N26" s="1" t="n">
        <v>44231</v>
      </c>
      <c r="O26" t="inlineStr">
        <is>
          <t>Hutchison Drei Austria GmbH, Brünner Straße 52, 1210 Wien, Österreich</t>
        </is>
      </c>
      <c r="Q26" s="76" t="n"/>
      <c r="R26" t="b">
        <v>0</v>
      </c>
      <c r="S26" s="214" t="n">
        <v>15</v>
      </c>
      <c r="T26" s="159" t="n">
        <v>1</v>
      </c>
      <c r="U26" t="n">
        <v>20</v>
      </c>
      <c r="V26" s="237" t="n">
        <v>3</v>
      </c>
      <c r="W26" s="237" t="n">
        <v>3</v>
      </c>
      <c r="X26" s="208" t="n">
        <v>15</v>
      </c>
      <c r="Y26" s="251" t="n">
        <v>18</v>
      </c>
      <c r="Z26" s="251" t="n">
        <v>18</v>
      </c>
      <c r="AA26" s="35" t="n">
        <v>44331</v>
      </c>
      <c r="AB26" s="27" t="n"/>
      <c r="AC26" s="27" t="n"/>
      <c r="AD26" s="210" t="n">
        <v>15</v>
      </c>
      <c r="AE26" s="237" t="n">
        <v>0</v>
      </c>
      <c r="AF26" t="b">
        <v>0</v>
      </c>
      <c r="AG26" s="228" t="n">
        <v>-15</v>
      </c>
    </row>
    <row r="27">
      <c r="A27">
        <f>I27&amp;"-"&amp;J27</f>
        <v/>
      </c>
      <c r="B27" s="1">
        <f>N27</f>
        <v/>
      </c>
      <c r="C27">
        <f>M27&amp;"/"&amp;O27</f>
        <v/>
      </c>
      <c r="D27">
        <f>K27</f>
        <v/>
      </c>
      <c r="E27">
        <f>L27</f>
        <v/>
      </c>
      <c r="F27" s="236">
        <f>Z27</f>
        <v/>
      </c>
      <c r="G27">
        <f>U27&amp;"%"</f>
        <v/>
      </c>
      <c r="I27" s="53" t="n">
        <v>2021</v>
      </c>
      <c r="J27" s="53" t="n">
        <v>26</v>
      </c>
      <c r="K27" s="71" t="inlineStr">
        <is>
          <t>Ausgaben</t>
        </is>
      </c>
      <c r="L27" t="inlineStr">
        <is>
          <t>sonstige Betriebsausgaben</t>
        </is>
      </c>
      <c r="M27" s="9" t="inlineStr">
        <is>
          <t>VS/19-01-05428</t>
        </is>
      </c>
      <c r="N27" s="1" t="n">
        <v>44232</v>
      </c>
      <c r="O27" t="inlineStr">
        <is>
          <t>Techem Messtechnik GmbH; Abnehmernummer 501686-0003-11-( (NACHTRAG 25.12.)</t>
        </is>
      </c>
      <c r="Q27" s="76" t="n"/>
      <c r="R27" t="b">
        <v>0</v>
      </c>
      <c r="S27" s="214" t="n">
        <v>35</v>
      </c>
      <c r="T27" s="159" t="n">
        <v>1</v>
      </c>
      <c r="U27" t="n">
        <v>20</v>
      </c>
      <c r="V27" s="237" t="n">
        <v>7</v>
      </c>
      <c r="W27" s="237" t="n">
        <v>7</v>
      </c>
      <c r="X27" s="208" t="n">
        <v>35</v>
      </c>
      <c r="Y27" s="251" t="n">
        <v>42</v>
      </c>
      <c r="Z27" s="251" t="n">
        <v>42</v>
      </c>
      <c r="AA27" s="35" t="n">
        <v>44331</v>
      </c>
      <c r="AB27" s="27" t="n"/>
      <c r="AC27" s="27" t="n"/>
      <c r="AD27" s="210" t="n">
        <v>35</v>
      </c>
      <c r="AE27" s="237" t="n">
        <v>0</v>
      </c>
      <c r="AF27" t="b">
        <v>0</v>
      </c>
      <c r="AG27" s="228" t="n">
        <v>-35</v>
      </c>
    </row>
    <row r="28">
      <c r="A28">
        <f>I28&amp;"-"&amp;J28</f>
        <v/>
      </c>
      <c r="B28" s="1">
        <f>N28</f>
        <v/>
      </c>
      <c r="C28">
        <f>M28&amp;"/"&amp;O28</f>
        <v/>
      </c>
      <c r="D28">
        <f>K28</f>
        <v/>
      </c>
      <c r="E28">
        <f>L28</f>
        <v/>
      </c>
      <c r="F28" s="236">
        <f>Z28</f>
        <v/>
      </c>
      <c r="G28">
        <f>U28&amp;"%"</f>
        <v/>
      </c>
      <c r="I28" s="53" t="n">
        <v>2021</v>
      </c>
      <c r="J28" s="53" t="n">
        <v>27</v>
      </c>
      <c r="K28" s="71" t="inlineStr">
        <is>
          <t>Ausgaben</t>
        </is>
      </c>
      <c r="L28" t="inlineStr">
        <is>
          <t>Lizenzgebühren</t>
        </is>
      </c>
      <c r="M28" s="131" t="n">
        <v>10204</v>
      </c>
      <c r="N28" s="1" t="n">
        <v>44232</v>
      </c>
      <c r="O28" t="inlineStr">
        <is>
          <t>Ryan Cramer Design, LLC, 204 Clarion Ave, Decatur, GA 30030, USA: ProcessWire ProCache Dev License for USD 169,00</t>
        </is>
      </c>
      <c r="Q28" s="76" t="n"/>
      <c r="R28" t="b">
        <v>0</v>
      </c>
      <c r="S28" s="214" t="n">
        <v>142.92</v>
      </c>
      <c r="T28" s="159" t="n">
        <v>1</v>
      </c>
      <c r="U28" t="n">
        <v>0</v>
      </c>
      <c r="V28" s="237" t="n">
        <v>0</v>
      </c>
      <c r="W28" s="237" t="n">
        <v>0</v>
      </c>
      <c r="X28" s="208" t="n">
        <v>142.92</v>
      </c>
      <c r="Y28" s="251" t="n">
        <v>142.92</v>
      </c>
      <c r="Z28" s="251" t="n">
        <v>142.92</v>
      </c>
      <c r="AA28" s="35" t="n">
        <v>44331</v>
      </c>
      <c r="AB28" s="27" t="n"/>
      <c r="AC28" s="27" t="n"/>
      <c r="AD28" s="210" t="n">
        <v>142.92</v>
      </c>
      <c r="AE28" s="237" t="n">
        <v>0</v>
      </c>
      <c r="AF28" t="b">
        <v>0</v>
      </c>
      <c r="AG28" s="228" t="n">
        <v>-142.92</v>
      </c>
    </row>
    <row r="29">
      <c r="A29">
        <f>I29&amp;"-"&amp;J29</f>
        <v/>
      </c>
      <c r="B29" s="1">
        <f>N29</f>
        <v/>
      </c>
      <c r="C29">
        <f>M29&amp;"/"&amp;O29</f>
        <v/>
      </c>
      <c r="D29">
        <f>K29</f>
        <v/>
      </c>
      <c r="E29">
        <f>L29</f>
        <v/>
      </c>
      <c r="F29" s="236">
        <f>Z29</f>
        <v/>
      </c>
      <c r="G29">
        <f>U29&amp;"%"</f>
        <v/>
      </c>
      <c r="I29" s="53" t="n">
        <v>2021</v>
      </c>
      <c r="J29" s="53" t="n">
        <v>28</v>
      </c>
      <c r="K29" s="71" t="inlineStr">
        <is>
          <t>Einnahmen</t>
        </is>
      </c>
      <c r="L29" t="inlineStr">
        <is>
          <t>Waren-/Leistungserlöse</t>
        </is>
      </c>
      <c r="M29" s="9" t="inlineStr">
        <is>
          <t>12021002</t>
        </is>
      </c>
      <c r="N29" s="1" t="n">
        <v>44235</v>
      </c>
      <c r="O29" t="inlineStr">
        <is>
          <t>Paperholic all bout paper e.U.</t>
        </is>
      </c>
      <c r="Q29" s="76" t="n"/>
      <c r="R29" t="b">
        <v>0</v>
      </c>
      <c r="S29" s="214" t="n">
        <v>459.38</v>
      </c>
      <c r="T29" s="159" t="n">
        <v>1</v>
      </c>
      <c r="U29" t="n">
        <v>20</v>
      </c>
      <c r="V29" s="237" t="n">
        <v>91.876</v>
      </c>
      <c r="W29" s="237" t="n">
        <v>91.876</v>
      </c>
      <c r="X29" s="208" t="n">
        <v>459.38</v>
      </c>
      <c r="Y29" s="251" t="n">
        <v>551.256</v>
      </c>
      <c r="Z29" s="251" t="n">
        <v>551.256</v>
      </c>
      <c r="AA29" s="35" t="n">
        <v>44331</v>
      </c>
      <c r="AB29" s="27" t="n"/>
      <c r="AC29" s="27" t="n"/>
      <c r="AD29" s="210" t="n">
        <v>459.38</v>
      </c>
      <c r="AE29" s="237" t="n">
        <v>0</v>
      </c>
      <c r="AF29" t="b">
        <v>0</v>
      </c>
      <c r="AG29" s="228" t="n">
        <v>459.38</v>
      </c>
    </row>
    <row r="30">
      <c r="A30">
        <f>I30&amp;"-"&amp;J30</f>
        <v/>
      </c>
      <c r="B30" s="1">
        <f>N30</f>
        <v/>
      </c>
      <c r="C30">
        <f>M30&amp;"/"&amp;O30</f>
        <v/>
      </c>
      <c r="D30">
        <f>K30</f>
        <v/>
      </c>
      <c r="E30">
        <f>L30</f>
        <v/>
      </c>
      <c r="F30" s="236">
        <f>Z30</f>
        <v/>
      </c>
      <c r="G30">
        <f>U30&amp;"%"</f>
        <v/>
      </c>
      <c r="I30" s="53" t="n">
        <v>2021</v>
      </c>
      <c r="J30" s="53" t="n">
        <v>29</v>
      </c>
      <c r="K30" s="71" t="inlineStr">
        <is>
          <t>Ausgaben</t>
        </is>
      </c>
      <c r="L30" t="inlineStr">
        <is>
          <t>sonstige Betriebsausgaben</t>
        </is>
      </c>
      <c r="M30" s="9" t="inlineStr">
        <is>
          <t>R0012743958</t>
        </is>
      </c>
      <c r="N30" s="1" t="n">
        <v>44235</v>
      </c>
      <c r="O30" t="inlineStr">
        <is>
          <t>Hetzner Online GmbH</t>
        </is>
      </c>
      <c r="Q30" s="76" t="inlineStr">
        <is>
          <t>ja</t>
        </is>
      </c>
      <c r="R30" t="b">
        <v>0</v>
      </c>
      <c r="S30" s="214" t="n">
        <v>2.49</v>
      </c>
      <c r="T30" s="159" t="n">
        <v>1</v>
      </c>
      <c r="U30" t="n">
        <v>0</v>
      </c>
      <c r="V30" s="237" t="n">
        <v>0</v>
      </c>
      <c r="W30" s="237" t="n">
        <v>0</v>
      </c>
      <c r="X30" s="208" t="n">
        <v>2.49</v>
      </c>
      <c r="Y30" s="251" t="n">
        <v>2.49</v>
      </c>
      <c r="Z30" s="251" t="n">
        <v>2.49</v>
      </c>
      <c r="AA30" s="35" t="n">
        <v>44331</v>
      </c>
      <c r="AB30" s="27" t="n"/>
      <c r="AC30" s="27" t="n">
        <v>20</v>
      </c>
      <c r="AD30" s="210" t="n">
        <v>2.49</v>
      </c>
      <c r="AE30" s="237" t="n">
        <v>0.4980000000000001</v>
      </c>
      <c r="AF30" t="b">
        <v>0</v>
      </c>
      <c r="AG30" s="228" t="n">
        <v>-2.49</v>
      </c>
    </row>
    <row r="31">
      <c r="A31">
        <f>I31&amp;"-"&amp;J31</f>
        <v/>
      </c>
      <c r="B31" s="1">
        <f>N31</f>
        <v/>
      </c>
      <c r="C31">
        <f>M31&amp;"/"&amp;O31</f>
        <v/>
      </c>
      <c r="D31">
        <f>K31</f>
        <v/>
      </c>
      <c r="E31">
        <f>L31</f>
        <v/>
      </c>
      <c r="F31" s="236">
        <f>Z31</f>
        <v/>
      </c>
      <c r="G31">
        <f>U31&amp;"%"</f>
        <v/>
      </c>
      <c r="I31" s="53" t="n">
        <v>2021</v>
      </c>
      <c r="J31" s="53" t="n">
        <v>30</v>
      </c>
      <c r="K31" s="71" t="inlineStr">
        <is>
          <t>Ausgaben</t>
        </is>
      </c>
      <c r="L31" t="inlineStr">
        <is>
          <t>sonstige Betriebsausgaben</t>
        </is>
      </c>
      <c r="M31" s="9" t="inlineStr">
        <is>
          <t>5137082649</t>
        </is>
      </c>
      <c r="N31" s="1" t="n">
        <v>44237</v>
      </c>
      <c r="O31" t="inlineStr">
        <is>
          <t>Wiener Netze GmbH, Erdbergstraße 236, 1110 Wien, Postfach 422; Jahresabrechnung vom 17.12.20: GUTSCHRIFT</t>
        </is>
      </c>
      <c r="Q31" s="76" t="n"/>
      <c r="R31" t="b">
        <v>0</v>
      </c>
      <c r="S31" s="214" t="n">
        <v>13</v>
      </c>
      <c r="T31" s="159" t="n">
        <v>1</v>
      </c>
      <c r="U31" t="n">
        <v>20</v>
      </c>
      <c r="V31" s="237" t="n">
        <v>2.6</v>
      </c>
      <c r="W31" s="237" t="n">
        <v>2.6</v>
      </c>
      <c r="X31" s="208" t="n">
        <v>13</v>
      </c>
      <c r="Y31" s="251" t="n">
        <v>15.6</v>
      </c>
      <c r="Z31" s="251" t="n">
        <v>15.6</v>
      </c>
      <c r="AA31" s="35" t="n">
        <v>44331</v>
      </c>
      <c r="AB31" s="27" t="n"/>
      <c r="AC31" s="27" t="n"/>
      <c r="AD31" s="210" t="n">
        <v>13</v>
      </c>
      <c r="AE31" s="237" t="n">
        <v>0</v>
      </c>
      <c r="AF31" t="b">
        <v>0</v>
      </c>
      <c r="AG31" s="228" t="n">
        <v>-13</v>
      </c>
    </row>
    <row r="32">
      <c r="A32">
        <f>I32&amp;"-"&amp;J32</f>
        <v/>
      </c>
      <c r="B32" s="1">
        <f>N32</f>
        <v/>
      </c>
      <c r="C32">
        <f>M32&amp;"/"&amp;O32</f>
        <v/>
      </c>
      <c r="D32">
        <f>K32</f>
        <v/>
      </c>
      <c r="E32">
        <f>L32</f>
        <v/>
      </c>
      <c r="F32" s="236">
        <f>Z32</f>
        <v/>
      </c>
      <c r="G32">
        <f>U32&amp;"%"</f>
        <v/>
      </c>
      <c r="I32" s="53" t="n">
        <v>2021</v>
      </c>
      <c r="J32" s="53" t="n">
        <v>31</v>
      </c>
      <c r="K32" s="71" t="inlineStr">
        <is>
          <t>Ausgaben</t>
        </is>
      </c>
      <c r="L32" t="inlineStr">
        <is>
          <t>sonstige Betriebsausgaben</t>
        </is>
      </c>
      <c r="M32" s="9" t="inlineStr">
        <is>
          <t>R0012789151</t>
        </is>
      </c>
      <c r="N32" s="1" t="n">
        <v>44238</v>
      </c>
      <c r="O32" t="inlineStr">
        <is>
          <t>Hetzner Online GmbH</t>
        </is>
      </c>
      <c r="Q32" s="76" t="n"/>
      <c r="R32" t="b">
        <v>0</v>
      </c>
      <c r="S32" s="214" t="n">
        <v>46.9168</v>
      </c>
      <c r="T32" s="159" t="n">
        <v>1</v>
      </c>
      <c r="U32" t="n">
        <v>0</v>
      </c>
      <c r="V32" s="237" t="n">
        <v>0</v>
      </c>
      <c r="W32" s="237" t="n">
        <v>0</v>
      </c>
      <c r="X32" s="208" t="n">
        <v>46.9168</v>
      </c>
      <c r="Y32" s="251" t="n">
        <v>46.9168</v>
      </c>
      <c r="Z32" s="251" t="n">
        <v>46.9168</v>
      </c>
      <c r="AA32" s="35" t="n">
        <v>44331</v>
      </c>
      <c r="AB32" s="27" t="n"/>
      <c r="AC32" s="27" t="n">
        <v>20</v>
      </c>
      <c r="AD32" s="210" t="n">
        <v>46.9168</v>
      </c>
      <c r="AE32" s="237" t="n">
        <v>9.383360000000001</v>
      </c>
      <c r="AF32" t="b">
        <v>0</v>
      </c>
      <c r="AG32" s="228" t="n">
        <v>-46.9168</v>
      </c>
    </row>
    <row r="33">
      <c r="A33">
        <f>I33&amp;"-"&amp;J33</f>
        <v/>
      </c>
      <c r="B33" s="1">
        <f>N33</f>
        <v/>
      </c>
      <c r="C33">
        <f>M33&amp;"/"&amp;O33</f>
        <v/>
      </c>
      <c r="D33">
        <f>K33</f>
        <v/>
      </c>
      <c r="E33">
        <f>L33</f>
        <v/>
      </c>
      <c r="F33" s="236">
        <f>Z33</f>
        <v/>
      </c>
      <c r="G33">
        <f>U33&amp;"%"</f>
        <v/>
      </c>
      <c r="I33" s="53" t="n">
        <v>2021</v>
      </c>
      <c r="J33" s="53" t="n">
        <v>32</v>
      </c>
      <c r="K33" s="71" t="inlineStr">
        <is>
          <t>Ausgaben</t>
        </is>
      </c>
      <c r="L33" t="inlineStr">
        <is>
          <t>sonstige Betriebsausgaben</t>
        </is>
      </c>
      <c r="M33" s="9" t="inlineStr">
        <is>
          <t>60793/100/2021</t>
        </is>
      </c>
      <c r="N33" s="1" t="n">
        <v>44242</v>
      </c>
      <c r="O33" t="inlineStr">
        <is>
          <t>easy green energy GmbH &amp; Co KG</t>
        </is>
      </c>
      <c r="Q33" s="76" t="n"/>
      <c r="R33" t="b">
        <v>0</v>
      </c>
      <c r="S33" s="214" t="n">
        <v>-10.33</v>
      </c>
      <c r="T33" s="159" t="n">
        <v>1</v>
      </c>
      <c r="U33" t="n">
        <v>20</v>
      </c>
      <c r="V33" s="237" t="n">
        <v>-2.066</v>
      </c>
      <c r="W33" s="237" t="n">
        <v>-2.066</v>
      </c>
      <c r="X33" s="208" t="n">
        <v>-10.33</v>
      </c>
      <c r="Y33" s="251" t="n">
        <v>-12.396</v>
      </c>
      <c r="Z33" s="251" t="n">
        <v>-12.396</v>
      </c>
      <c r="AA33" s="35" t="n">
        <v>44331</v>
      </c>
      <c r="AB33" s="27" t="n"/>
      <c r="AC33" s="27" t="n"/>
      <c r="AD33" s="210" t="n">
        <v>-10.33</v>
      </c>
      <c r="AE33" s="237" t="n">
        <v>0</v>
      </c>
      <c r="AF33" t="b">
        <v>0</v>
      </c>
      <c r="AG33" s="228" t="n">
        <v>10.33</v>
      </c>
    </row>
    <row r="34">
      <c r="A34">
        <f>I34&amp;"-"&amp;J34</f>
        <v/>
      </c>
      <c r="B34" s="1">
        <f>N34</f>
        <v/>
      </c>
      <c r="C34">
        <f>M34&amp;"/"&amp;O34</f>
        <v/>
      </c>
      <c r="D34">
        <f>K34</f>
        <v/>
      </c>
      <c r="E34">
        <f>L34</f>
        <v/>
      </c>
      <c r="F34" s="236">
        <f>Z34</f>
        <v/>
      </c>
      <c r="G34">
        <f>U34&amp;"%"</f>
        <v/>
      </c>
      <c r="I34" s="53" t="n">
        <v>2021</v>
      </c>
      <c r="J34" s="53" t="n">
        <v>33</v>
      </c>
      <c r="K34" s="71" t="inlineStr">
        <is>
          <t>Ausgaben</t>
        </is>
      </c>
      <c r="L34" t="inlineStr">
        <is>
          <t>sonstige Betriebsausgaben</t>
        </is>
      </c>
      <c r="M34" s="9" t="inlineStr">
        <is>
          <t>EIN21/0001210</t>
        </is>
      </c>
      <c r="N34" s="1" t="n">
        <v>44244</v>
      </c>
      <c r="O34" t="inlineStr">
        <is>
          <t>A-Trust Gesellschaft für Sicherheitssysteme im elektronischen Datenverkehr GmbH, Landstraßer Hauptstraße 1b, E02, A-1030 Wien: a.sign light Zertifikat Nutzung 1J, Signaturvertrag 158279472050</t>
        </is>
      </c>
      <c r="Q34" s="76" t="n"/>
      <c r="R34" t="b">
        <v>0</v>
      </c>
      <c r="S34" s="214" t="n">
        <v>12.08</v>
      </c>
      <c r="T34" s="159" t="n">
        <v>1</v>
      </c>
      <c r="U34" t="n">
        <v>20</v>
      </c>
      <c r="V34" s="237" t="n">
        <v>2.416</v>
      </c>
      <c r="W34" s="237" t="n">
        <v>2.416</v>
      </c>
      <c r="X34" s="208" t="n">
        <v>12.08</v>
      </c>
      <c r="Y34" s="251" t="n">
        <v>14.496</v>
      </c>
      <c r="Z34" s="251" t="n">
        <v>14.496</v>
      </c>
      <c r="AA34" s="35" t="n">
        <v>44331</v>
      </c>
      <c r="AB34" s="27" t="n"/>
      <c r="AC34" s="27" t="n"/>
      <c r="AD34" s="210" t="n">
        <v>12.08</v>
      </c>
      <c r="AE34" s="237" t="n">
        <v>0</v>
      </c>
      <c r="AF34" t="b">
        <v>0</v>
      </c>
      <c r="AG34" s="228" t="n">
        <v>-12.08</v>
      </c>
    </row>
    <row r="35">
      <c r="A35">
        <f>I35&amp;"-"&amp;J35</f>
        <v/>
      </c>
      <c r="B35" s="1">
        <f>N35</f>
        <v/>
      </c>
      <c r="C35">
        <f>M35&amp;"/"&amp;O35</f>
        <v/>
      </c>
      <c r="D35">
        <f>K35</f>
        <v/>
      </c>
      <c r="E35">
        <f>L35</f>
        <v/>
      </c>
      <c r="F35" s="236">
        <f>Z35</f>
        <v/>
      </c>
      <c r="G35">
        <f>U35&amp;"%"</f>
        <v/>
      </c>
      <c r="I35" s="53" t="n">
        <v>2021</v>
      </c>
      <c r="J35" s="53" t="n">
        <v>34</v>
      </c>
      <c r="K35" s="71" t="inlineStr">
        <is>
          <t>Ausgaben</t>
        </is>
      </c>
      <c r="L35" t="inlineStr">
        <is>
          <t>Telefon/Internet</t>
        </is>
      </c>
      <c r="M35" s="9" t="inlineStr">
        <is>
          <t>901195220221</t>
        </is>
      </c>
      <c r="N35" s="1" t="n">
        <v>44246</v>
      </c>
      <c r="O35" t="inlineStr">
        <is>
          <t>Magenta: T-Mobile Austria GmbH, A-1120 Wien, PF 47</t>
        </is>
      </c>
      <c r="Q35" s="76" t="n"/>
      <c r="R35" t="b">
        <v>0</v>
      </c>
      <c r="S35" s="214" t="n">
        <v>10.71</v>
      </c>
      <c r="T35" s="159" t="n">
        <v>1</v>
      </c>
      <c r="U35" t="n">
        <v>20</v>
      </c>
      <c r="V35" s="237" t="n">
        <v>2.142</v>
      </c>
      <c r="W35" s="237" t="n">
        <v>2.142</v>
      </c>
      <c r="X35" s="208" t="n">
        <v>10.71</v>
      </c>
      <c r="Y35" s="251" t="n">
        <v>12.852</v>
      </c>
      <c r="Z35" s="251" t="n">
        <v>12.852</v>
      </c>
      <c r="AA35" s="35" t="n">
        <v>44331</v>
      </c>
      <c r="AB35" s="27" t="n"/>
      <c r="AC35" s="27" t="n"/>
      <c r="AD35" s="210" t="n">
        <v>10.71</v>
      </c>
      <c r="AE35" s="237" t="n">
        <v>0</v>
      </c>
      <c r="AF35" t="b">
        <v>0</v>
      </c>
      <c r="AG35" s="228" t="n">
        <v>-10.71</v>
      </c>
    </row>
    <row r="36">
      <c r="A36">
        <f>I36&amp;"-"&amp;J36</f>
        <v/>
      </c>
      <c r="B36" s="1">
        <f>N36</f>
        <v/>
      </c>
      <c r="C36">
        <f>M36&amp;"/"&amp;O36</f>
        <v/>
      </c>
      <c r="D36">
        <f>K36</f>
        <v/>
      </c>
      <c r="E36">
        <f>L36</f>
        <v/>
      </c>
      <c r="F36" s="236">
        <f>Z36</f>
        <v/>
      </c>
      <c r="G36">
        <f>U36&amp;"%"</f>
        <v/>
      </c>
      <c r="I36" s="53" t="n">
        <v>2021</v>
      </c>
      <c r="J36" s="53" t="n">
        <v>35</v>
      </c>
      <c r="K36" s="71" t="inlineStr">
        <is>
          <t>Ausgaben</t>
        </is>
      </c>
      <c r="L36" t="inlineStr">
        <is>
          <t>Miet- und Pachtaufwand, Leasing</t>
        </is>
      </c>
      <c r="M36" s="9" t="inlineStr">
        <is>
          <t>21/9801/VS00039</t>
        </is>
      </c>
      <c r="N36" s="1" t="n">
        <v>44256</v>
      </c>
      <c r="O36" t="inlineStr">
        <is>
          <t>Bontus Immobilienverwaltung GmbH, 1010 Wien, Franz Josefs Kai 65</t>
        </is>
      </c>
      <c r="Q36" s="76" t="n"/>
      <c r="R36" t="b">
        <v>0</v>
      </c>
      <c r="S36" s="214" t="n">
        <v>462.44</v>
      </c>
      <c r="T36" s="159" t="n">
        <v>1</v>
      </c>
      <c r="U36" t="n">
        <v>20</v>
      </c>
      <c r="V36" s="237" t="n">
        <v>92.488</v>
      </c>
      <c r="W36" s="237" t="n">
        <v>92.488</v>
      </c>
      <c r="X36" s="208" t="n">
        <v>462.44</v>
      </c>
      <c r="Y36" s="251" t="n">
        <v>554.928</v>
      </c>
      <c r="Z36" s="251" t="n">
        <v>554.928</v>
      </c>
      <c r="AA36" s="35" t="n">
        <v>44331</v>
      </c>
      <c r="AB36" s="27" t="n"/>
      <c r="AC36" s="27" t="n"/>
      <c r="AD36" s="210" t="n">
        <v>462.44</v>
      </c>
      <c r="AE36" s="237" t="n">
        <v>0</v>
      </c>
      <c r="AF36" t="b">
        <v>0</v>
      </c>
      <c r="AG36" s="228" t="n">
        <v>-462.44</v>
      </c>
    </row>
    <row r="37">
      <c r="A37">
        <f>I37&amp;"-"&amp;J37</f>
        <v/>
      </c>
      <c r="B37" s="1">
        <f>N37</f>
        <v/>
      </c>
      <c r="C37">
        <f>M37&amp;"/"&amp;O37</f>
        <v/>
      </c>
      <c r="D37">
        <f>K37</f>
        <v/>
      </c>
      <c r="E37">
        <f>L37</f>
        <v/>
      </c>
      <c r="F37" s="236">
        <f>Z37</f>
        <v/>
      </c>
      <c r="G37">
        <f>U37&amp;"%"</f>
        <v/>
      </c>
      <c r="I37" s="53" t="n">
        <v>2021</v>
      </c>
      <c r="J37" s="53" t="n">
        <v>36</v>
      </c>
      <c r="K37" s="71" t="inlineStr">
        <is>
          <t>Ausgaben</t>
        </is>
      </c>
      <c r="L37" t="inlineStr">
        <is>
          <t>Reise- und Fahrtspesen inkl. Kilometergeld und Diäten</t>
        </is>
      </c>
      <c r="M37" s="9" t="inlineStr">
        <is>
          <t>223168</t>
        </is>
      </c>
      <c r="N37" s="1" t="n">
        <v>44257</v>
      </c>
      <c r="O37" t="inlineStr">
        <is>
          <t>Wiener Linien GmbH &amp; Co KG: 8-Tage-Klimakarte</t>
        </is>
      </c>
      <c r="Q37" s="76" t="n"/>
      <c r="R37" t="b">
        <v>0</v>
      </c>
      <c r="S37" s="214" t="n">
        <v>37.09090909090909</v>
      </c>
      <c r="T37" s="159" t="n">
        <v>1</v>
      </c>
      <c r="U37" t="n">
        <v>10</v>
      </c>
      <c r="V37" s="237" t="n">
        <v>3.709090909090909</v>
      </c>
      <c r="W37" s="237" t="n">
        <v>3.709090909090909</v>
      </c>
      <c r="X37" s="208" t="n">
        <v>37.09090909090909</v>
      </c>
      <c r="Y37" s="251" t="n">
        <v>40.8</v>
      </c>
      <c r="Z37" s="251" t="n">
        <v>40.8</v>
      </c>
      <c r="AA37" s="35" t="n">
        <v>44331</v>
      </c>
      <c r="AB37" s="27" t="n"/>
      <c r="AC37" s="27" t="n"/>
      <c r="AD37" s="210" t="n">
        <v>37.09090909090909</v>
      </c>
      <c r="AE37" s="237" t="n">
        <v>0</v>
      </c>
      <c r="AF37" t="b">
        <v>0</v>
      </c>
      <c r="AG37" s="228" t="n">
        <v>-37.09090909090909</v>
      </c>
    </row>
    <row r="38">
      <c r="A38">
        <f>I38&amp;"-"&amp;J38</f>
        <v/>
      </c>
      <c r="B38" s="1">
        <f>N38</f>
        <v/>
      </c>
      <c r="C38">
        <f>M38&amp;"/"&amp;O38</f>
        <v/>
      </c>
      <c r="D38">
        <f>K38</f>
        <v/>
      </c>
      <c r="E38">
        <f>L38</f>
        <v/>
      </c>
      <c r="F38" s="236">
        <f>Z38</f>
        <v/>
      </c>
      <c r="G38">
        <f>U38&amp;"%"</f>
        <v/>
      </c>
      <c r="I38" s="53" t="n">
        <v>2021</v>
      </c>
      <c r="J38" s="53" t="n">
        <v>37</v>
      </c>
      <c r="K38" s="71" t="inlineStr">
        <is>
          <t>Ausgaben</t>
        </is>
      </c>
      <c r="L38" t="inlineStr">
        <is>
          <t>Reise- und Fahrtspesen inkl. Kilometergeld und Diäten</t>
        </is>
      </c>
      <c r="M38" s="9" t="inlineStr">
        <is>
          <t>223166</t>
        </is>
      </c>
      <c r="N38" s="1" t="n">
        <v>44257</v>
      </c>
      <c r="O38" t="inlineStr">
        <is>
          <t>Wiener Linien GmbH &amp; Co KG: 8-Tage-Klimakarte</t>
        </is>
      </c>
      <c r="Q38" s="76" t="n"/>
      <c r="R38" t="b">
        <v>0</v>
      </c>
      <c r="S38" s="214" t="n">
        <v>2.181818181818182</v>
      </c>
      <c r="T38" s="159" t="n">
        <v>1</v>
      </c>
      <c r="U38" t="n">
        <v>10</v>
      </c>
      <c r="V38" s="237" t="n">
        <v>0.2181818181818182</v>
      </c>
      <c r="W38" s="237" t="n">
        <v>0.2181818181818182</v>
      </c>
      <c r="X38" s="208" t="n">
        <v>2.181818181818182</v>
      </c>
      <c r="Y38" s="251" t="n">
        <v>2.4</v>
      </c>
      <c r="Z38" s="251" t="n">
        <v>2.4</v>
      </c>
      <c r="AA38" s="35" t="n">
        <v>44331</v>
      </c>
      <c r="AB38" s="27" t="n"/>
      <c r="AC38" s="27" t="n"/>
      <c r="AD38" s="210" t="n">
        <v>2.181818181818182</v>
      </c>
      <c r="AE38" s="237" t="n">
        <v>0</v>
      </c>
      <c r="AF38" t="b">
        <v>0</v>
      </c>
      <c r="AG38" s="228" t="n">
        <v>-2.181818181818182</v>
      </c>
    </row>
    <row r="39">
      <c r="A39">
        <f>I39&amp;"-"&amp;J39</f>
        <v/>
      </c>
      <c r="B39" s="1">
        <f>N39</f>
        <v/>
      </c>
      <c r="C39">
        <f>M39&amp;"/"&amp;O39</f>
        <v/>
      </c>
      <c r="D39">
        <f>K39</f>
        <v/>
      </c>
      <c r="E39">
        <f>L39</f>
        <v/>
      </c>
      <c r="F39" s="236">
        <f>Z39</f>
        <v/>
      </c>
      <c r="G39">
        <f>U39&amp;"%"</f>
        <v/>
      </c>
      <c r="I39" s="53" t="n">
        <v>2021</v>
      </c>
      <c r="J39" s="53" t="n">
        <v>38</v>
      </c>
      <c r="K39" s="71" t="inlineStr">
        <is>
          <t>Ausgaben</t>
        </is>
      </c>
      <c r="L39" t="inlineStr">
        <is>
          <t>Reise- und Fahrtspesen inkl. Kilometergeld und Diäten</t>
        </is>
      </c>
      <c r="M39" s="131" t="inlineStr">
        <is>
          <t>4293000000019830</t>
        </is>
      </c>
      <c r="N39" s="1" t="n">
        <v>44257</v>
      </c>
      <c r="O39" t="inlineStr">
        <is>
          <t>car2go Österreich GmbH, Hintere Zollamtstraße 9, 1030 Wien</t>
        </is>
      </c>
      <c r="Q39" s="76" t="n"/>
      <c r="R39" t="b">
        <v>0</v>
      </c>
      <c r="S39" s="214" t="n">
        <v>49.19</v>
      </c>
      <c r="T39" s="159" t="n">
        <v>1</v>
      </c>
      <c r="U39" t="n">
        <v>20</v>
      </c>
      <c r="V39" s="237" t="n">
        <v>9.837999999999999</v>
      </c>
      <c r="W39" s="237" t="n">
        <v>9.837999999999999</v>
      </c>
      <c r="X39" s="208" t="n">
        <v>49.19</v>
      </c>
      <c r="Y39" s="251" t="n">
        <v>59.028</v>
      </c>
      <c r="Z39" s="251" t="n">
        <v>59.028</v>
      </c>
      <c r="AA39" s="35" t="n">
        <v>44331</v>
      </c>
      <c r="AB39" s="27" t="n"/>
      <c r="AC39" s="27" t="n"/>
      <c r="AD39" s="210" t="n">
        <v>49.19</v>
      </c>
      <c r="AE39" s="237" t="n">
        <v>0</v>
      </c>
      <c r="AF39" t="b">
        <v>0</v>
      </c>
      <c r="AG39" s="228" t="n">
        <v>-49.19</v>
      </c>
    </row>
    <row r="40">
      <c r="A40">
        <f>I40&amp;"-"&amp;J40</f>
        <v/>
      </c>
      <c r="B40" s="1">
        <f>N40</f>
        <v/>
      </c>
      <c r="C40">
        <f>M40&amp;"/"&amp;O40</f>
        <v/>
      </c>
      <c r="D40">
        <f>K40</f>
        <v/>
      </c>
      <c r="E40">
        <f>L40</f>
        <v/>
      </c>
      <c r="F40" s="236">
        <f>Z40</f>
        <v/>
      </c>
      <c r="G40">
        <f>U40&amp;"%"</f>
        <v/>
      </c>
      <c r="I40" s="53" t="n">
        <v>2021</v>
      </c>
      <c r="J40" s="53" t="n">
        <v>39</v>
      </c>
      <c r="K40" s="71" t="inlineStr">
        <is>
          <t>Ausgaben</t>
        </is>
      </c>
      <c r="L40" t="inlineStr">
        <is>
          <t>sonstige Betriebsausgaben</t>
        </is>
      </c>
      <c r="M40" s="9" t="inlineStr">
        <is>
          <t>60793/100/2021</t>
        </is>
      </c>
      <c r="N40" s="1" t="n">
        <v>44258</v>
      </c>
      <c r="O40" t="inlineStr">
        <is>
          <t>easy green energy GmbH &amp; Co KG</t>
        </is>
      </c>
      <c r="Q40" s="76" t="n"/>
      <c r="R40" t="b">
        <v>0</v>
      </c>
      <c r="S40" s="214" t="n">
        <v>2.5</v>
      </c>
      <c r="T40" s="159" t="n">
        <v>1</v>
      </c>
      <c r="U40" t="n">
        <v>20</v>
      </c>
      <c r="V40" s="237" t="n">
        <v>0.5</v>
      </c>
      <c r="W40" s="237" t="n">
        <v>0.5</v>
      </c>
      <c r="X40" s="208" t="n">
        <v>2.5</v>
      </c>
      <c r="Y40" s="251" t="n">
        <v>3</v>
      </c>
      <c r="Z40" s="251" t="n">
        <v>3</v>
      </c>
      <c r="AA40" s="35" t="n">
        <v>44331</v>
      </c>
      <c r="AB40" s="27" t="n"/>
      <c r="AC40" s="27" t="n"/>
      <c r="AD40" s="210" t="n">
        <v>2.5</v>
      </c>
      <c r="AE40" s="237" t="n">
        <v>0</v>
      </c>
      <c r="AF40" t="b">
        <v>0</v>
      </c>
      <c r="AG40" s="228" t="n">
        <v>-2.5</v>
      </c>
    </row>
    <row r="41">
      <c r="A41">
        <f>I41&amp;"-"&amp;J41</f>
        <v/>
      </c>
      <c r="B41" s="1">
        <f>N41</f>
        <v/>
      </c>
      <c r="C41">
        <f>M41&amp;"/"&amp;O41</f>
        <v/>
      </c>
      <c r="D41">
        <f>K41</f>
        <v/>
      </c>
      <c r="E41">
        <f>L41</f>
        <v/>
      </c>
      <c r="F41" s="236">
        <f>Z41</f>
        <v/>
      </c>
      <c r="G41">
        <f>U41&amp;"%"</f>
        <v/>
      </c>
      <c r="I41" s="53" t="n">
        <v>2021</v>
      </c>
      <c r="J41" s="53" t="n">
        <v>40</v>
      </c>
      <c r="K41" s="71" t="inlineStr">
        <is>
          <t>Ausgaben</t>
        </is>
      </c>
      <c r="L41" t="inlineStr">
        <is>
          <t>sonstige Betriebsausgaben</t>
        </is>
      </c>
      <c r="M41" s="131" t="inlineStr">
        <is>
          <t>211001871465</t>
        </is>
      </c>
      <c r="N41" s="1" t="n">
        <v>44258</v>
      </c>
      <c r="O41" t="inlineStr">
        <is>
          <t>Wirtschaftskammer Wien Grundumlagen, Straße der Wiener Wirtschaft 1, 1020 Wien: GU UBIT</t>
        </is>
      </c>
      <c r="Q41" s="76" t="n"/>
      <c r="R41" t="b">
        <v>0</v>
      </c>
      <c r="S41" s="214" t="n">
        <v>65</v>
      </c>
      <c r="T41" s="159" t="n">
        <v>1</v>
      </c>
      <c r="U41" t="n">
        <v>0</v>
      </c>
      <c r="V41" s="237" t="n">
        <v>0</v>
      </c>
      <c r="W41" s="237" t="n">
        <v>0</v>
      </c>
      <c r="X41" s="208" t="n">
        <v>65</v>
      </c>
      <c r="Y41" s="251" t="n">
        <v>65</v>
      </c>
      <c r="Z41" s="251" t="n">
        <v>65</v>
      </c>
      <c r="AA41" s="35" t="n">
        <v>44331</v>
      </c>
      <c r="AB41" s="27" t="n"/>
      <c r="AC41" s="27" t="n"/>
      <c r="AD41" s="210" t="n">
        <v>65</v>
      </c>
      <c r="AE41" s="237" t="n">
        <v>0</v>
      </c>
      <c r="AF41" t="b">
        <v>0</v>
      </c>
      <c r="AG41" s="228" t="n">
        <v>-65</v>
      </c>
    </row>
    <row r="42">
      <c r="A42">
        <f>I42&amp;"-"&amp;J42</f>
        <v/>
      </c>
      <c r="B42" s="1">
        <f>N42</f>
        <v/>
      </c>
      <c r="C42">
        <f>M42&amp;"/"&amp;O42</f>
        <v/>
      </c>
      <c r="D42">
        <f>K42</f>
        <v/>
      </c>
      <c r="E42">
        <f>L42</f>
        <v/>
      </c>
      <c r="F42" s="236">
        <f>Z42</f>
        <v/>
      </c>
      <c r="G42">
        <f>U42&amp;"%"</f>
        <v/>
      </c>
      <c r="I42" s="53" t="n">
        <v>2021</v>
      </c>
      <c r="J42" s="53" t="n">
        <v>41</v>
      </c>
      <c r="K42" s="71" t="inlineStr">
        <is>
          <t>Ausgaben</t>
        </is>
      </c>
      <c r="L42" t="inlineStr">
        <is>
          <t>Werbe- und Repräsentationsaufwand</t>
        </is>
      </c>
      <c r="M42" s="9" t="inlineStr">
        <is>
          <t>PRM321020004603</t>
        </is>
      </c>
      <c r="N42" s="1" t="n">
        <v>44258</v>
      </c>
      <c r="O42" t="inlineStr">
        <is>
          <t>New Work SE, Dammtorstraße 30, 20354 Hamburg</t>
        </is>
      </c>
      <c r="Q42" s="76" t="n"/>
      <c r="R42" t="b">
        <v>0</v>
      </c>
      <c r="S42" s="214" t="n">
        <v>24.88</v>
      </c>
      <c r="T42" s="159" t="n">
        <v>1</v>
      </c>
      <c r="U42" t="n">
        <v>0</v>
      </c>
      <c r="V42" s="237" t="n">
        <v>0</v>
      </c>
      <c r="W42" s="237" t="n">
        <v>0</v>
      </c>
      <c r="X42" s="208" t="n">
        <v>24.88</v>
      </c>
      <c r="Y42" s="251" t="n">
        <v>24.88</v>
      </c>
      <c r="Z42" s="251" t="n">
        <v>24.88</v>
      </c>
      <c r="AA42" s="35" t="n">
        <v>44331</v>
      </c>
      <c r="AB42" s="27" t="n"/>
      <c r="AC42" s="27" t="n">
        <v>20</v>
      </c>
      <c r="AD42" s="210" t="n">
        <v>24.88</v>
      </c>
      <c r="AE42" s="237" t="n">
        <v>4.976</v>
      </c>
      <c r="AF42" t="b">
        <v>0</v>
      </c>
      <c r="AG42" s="228" t="n">
        <v>-24.88</v>
      </c>
    </row>
    <row r="43">
      <c r="A43">
        <f>I43&amp;"-"&amp;J43</f>
        <v/>
      </c>
      <c r="B43" s="1">
        <f>N43</f>
        <v/>
      </c>
      <c r="C43">
        <f>M43&amp;"/"&amp;O43</f>
        <v/>
      </c>
      <c r="D43">
        <f>K43</f>
        <v/>
      </c>
      <c r="E43">
        <f>L43</f>
        <v/>
      </c>
      <c r="F43" s="236">
        <f>Z43</f>
        <v/>
      </c>
      <c r="G43">
        <f>U43&amp;"%"</f>
        <v/>
      </c>
      <c r="I43" s="53" t="n">
        <v>2021</v>
      </c>
      <c r="J43" s="53" t="n">
        <v>42</v>
      </c>
      <c r="K43" s="71" t="inlineStr">
        <is>
          <t>Ausgaben</t>
        </is>
      </c>
      <c r="L43" t="inlineStr">
        <is>
          <t>Telefon/Internet</t>
        </is>
      </c>
      <c r="M43" s="9" t="inlineStr">
        <is>
          <t>6217432904</t>
        </is>
      </c>
      <c r="N43" s="1" t="n">
        <v>44259</v>
      </c>
      <c r="O43" t="inlineStr">
        <is>
          <t>Hutchison Drei Austria GmbH, Brünner Straße 52, 1210 Wien, Österreich</t>
        </is>
      </c>
      <c r="Q43" s="76" t="n"/>
      <c r="R43" t="b">
        <v>0</v>
      </c>
      <c r="S43" s="214" t="n">
        <v>15</v>
      </c>
      <c r="T43" s="159" t="n">
        <v>1</v>
      </c>
      <c r="U43" t="n">
        <v>20</v>
      </c>
      <c r="V43" s="237" t="n">
        <v>3</v>
      </c>
      <c r="W43" s="237" t="n">
        <v>3</v>
      </c>
      <c r="X43" s="208" t="n">
        <v>15</v>
      </c>
      <c r="Y43" s="251" t="n">
        <v>18</v>
      </c>
      <c r="Z43" s="251" t="n">
        <v>18</v>
      </c>
      <c r="AA43" s="35" t="n">
        <v>44331</v>
      </c>
      <c r="AB43" s="27" t="n"/>
      <c r="AC43" s="27" t="n"/>
      <c r="AD43" s="210" t="n">
        <v>15</v>
      </c>
      <c r="AE43" s="237" t="n">
        <v>0</v>
      </c>
      <c r="AF43" t="b">
        <v>0</v>
      </c>
      <c r="AG43" s="228" t="n">
        <v>-15</v>
      </c>
    </row>
    <row r="44">
      <c r="A44">
        <f>I44&amp;"-"&amp;J44</f>
        <v/>
      </c>
      <c r="B44" s="1">
        <f>N44</f>
        <v/>
      </c>
      <c r="C44">
        <f>M44&amp;"/"&amp;O44</f>
        <v/>
      </c>
      <c r="D44">
        <f>K44</f>
        <v/>
      </c>
      <c r="E44">
        <f>L44</f>
        <v/>
      </c>
      <c r="F44" s="236">
        <f>Z44</f>
        <v/>
      </c>
      <c r="G44">
        <f>U44&amp;"%"</f>
        <v/>
      </c>
      <c r="I44" s="53" t="n">
        <v>2021</v>
      </c>
      <c r="J44" s="53" t="n">
        <v>43</v>
      </c>
      <c r="K44" s="71" t="inlineStr">
        <is>
          <t>Ausgaben</t>
        </is>
      </c>
      <c r="L44" t="inlineStr">
        <is>
          <t>sonstige Betriebsausgaben</t>
        </is>
      </c>
      <c r="M44" s="9" t="inlineStr">
        <is>
          <t>VS/19-01-05428</t>
        </is>
      </c>
      <c r="N44" s="1" t="n">
        <v>44260</v>
      </c>
      <c r="O44" t="inlineStr">
        <is>
          <t>Techem Messtechnik GmbH; Abnehmernummer 501686-0003-11-( (NACHTRAG 25.12.)</t>
        </is>
      </c>
      <c r="Q44" s="76" t="n"/>
      <c r="R44" t="b">
        <v>0</v>
      </c>
      <c r="S44" s="214" t="n">
        <v>35</v>
      </c>
      <c r="T44" s="159" t="n">
        <v>1</v>
      </c>
      <c r="U44" t="n">
        <v>20</v>
      </c>
      <c r="V44" s="237" t="n">
        <v>7</v>
      </c>
      <c r="W44" s="237" t="n">
        <v>7</v>
      </c>
      <c r="X44" s="208" t="n">
        <v>35</v>
      </c>
      <c r="Y44" s="251" t="n">
        <v>42</v>
      </c>
      <c r="Z44" s="251" t="n">
        <v>42</v>
      </c>
      <c r="AA44" s="35" t="n">
        <v>44331</v>
      </c>
      <c r="AB44" s="27" t="n"/>
      <c r="AC44" s="27" t="n"/>
      <c r="AD44" s="210" t="n">
        <v>35</v>
      </c>
      <c r="AE44" s="237" t="n">
        <v>0</v>
      </c>
      <c r="AF44" t="b">
        <v>0</v>
      </c>
      <c r="AG44" s="228" t="n">
        <v>-35</v>
      </c>
    </row>
    <row r="45">
      <c r="A45">
        <f>I45&amp;"-"&amp;J45</f>
        <v/>
      </c>
      <c r="B45" s="1">
        <f>N45</f>
        <v/>
      </c>
      <c r="C45">
        <f>M45&amp;"/"&amp;O45</f>
        <v/>
      </c>
      <c r="D45">
        <f>K45</f>
        <v/>
      </c>
      <c r="E45">
        <f>L45</f>
        <v/>
      </c>
      <c r="F45" s="236">
        <f>Z45</f>
        <v/>
      </c>
      <c r="G45">
        <f>U45&amp;"%"</f>
        <v/>
      </c>
      <c r="I45" s="53" t="n">
        <v>2021</v>
      </c>
      <c r="J45" s="53" t="n">
        <v>44</v>
      </c>
      <c r="K45" s="71" t="inlineStr">
        <is>
          <t>Ausgaben</t>
        </is>
      </c>
      <c r="L45" t="inlineStr">
        <is>
          <t>sonstige Betriebsausgaben</t>
        </is>
      </c>
      <c r="M45" s="9" t="inlineStr">
        <is>
          <t>R0012925195</t>
        </is>
      </c>
      <c r="N45" s="1" t="n">
        <v>44263</v>
      </c>
      <c r="O45" t="inlineStr">
        <is>
          <t>Hetzner Online GmbH</t>
        </is>
      </c>
      <c r="Q45" s="76" t="inlineStr">
        <is>
          <t>ja</t>
        </is>
      </c>
      <c r="R45" t="b">
        <v>0</v>
      </c>
      <c r="S45" s="214" t="n">
        <v>2.49</v>
      </c>
      <c r="T45" s="159" t="n">
        <v>1</v>
      </c>
      <c r="U45" t="n">
        <v>0</v>
      </c>
      <c r="V45" s="237" t="n">
        <v>0</v>
      </c>
      <c r="W45" s="237" t="n">
        <v>0</v>
      </c>
      <c r="X45" s="208" t="n">
        <v>2.49</v>
      </c>
      <c r="Y45" s="251" t="n">
        <v>2.49</v>
      </c>
      <c r="Z45" s="251" t="n">
        <v>2.49</v>
      </c>
      <c r="AA45" s="35" t="n">
        <v>44331</v>
      </c>
      <c r="AB45" s="27" t="n"/>
      <c r="AC45" s="27" t="n">
        <v>20</v>
      </c>
      <c r="AD45" s="210" t="n">
        <v>2.49</v>
      </c>
      <c r="AE45" s="237" t="n">
        <v>0.4980000000000001</v>
      </c>
      <c r="AF45" t="b">
        <v>0</v>
      </c>
      <c r="AG45" s="228" t="n">
        <v>-2.49</v>
      </c>
    </row>
    <row r="46">
      <c r="A46">
        <f>I46&amp;"-"&amp;J46</f>
        <v/>
      </c>
      <c r="B46" s="1">
        <f>N46</f>
        <v/>
      </c>
      <c r="C46">
        <f>M46&amp;"/"&amp;O46</f>
        <v/>
      </c>
      <c r="D46">
        <f>K46</f>
        <v/>
      </c>
      <c r="E46">
        <f>L46</f>
        <v/>
      </c>
      <c r="F46" s="236">
        <f>Z46</f>
        <v/>
      </c>
      <c r="G46">
        <f>U46&amp;"%"</f>
        <v/>
      </c>
      <c r="I46" s="53" t="n">
        <v>2021</v>
      </c>
      <c r="J46" s="53" t="n">
        <v>45</v>
      </c>
      <c r="K46" s="71" t="inlineStr">
        <is>
          <t>Ausgaben</t>
        </is>
      </c>
      <c r="L46" t="inlineStr">
        <is>
          <t>sonstige Betriebsausgaben</t>
        </is>
      </c>
      <c r="M46" s="9" t="inlineStr">
        <is>
          <t>5137082649</t>
        </is>
      </c>
      <c r="N46" s="1" t="n">
        <v>44265</v>
      </c>
      <c r="O46" t="inlineStr">
        <is>
          <t>Wiener Netze GmbH, Erdbergstraße 236, 1110 Wien, Postfach 422; Jahresabrechnung vom 17.12.20: GUTSCHRIFT</t>
        </is>
      </c>
      <c r="Q46" s="76" t="n"/>
      <c r="R46" t="b">
        <v>0</v>
      </c>
      <c r="S46" s="214" t="n">
        <v>13</v>
      </c>
      <c r="T46" s="159" t="n">
        <v>1</v>
      </c>
      <c r="U46" t="n">
        <v>20</v>
      </c>
      <c r="V46" s="237" t="n">
        <v>2.6</v>
      </c>
      <c r="W46" s="237" t="n">
        <v>2.6</v>
      </c>
      <c r="X46" s="208" t="n">
        <v>13</v>
      </c>
      <c r="Y46" s="251" t="n">
        <v>15.6</v>
      </c>
      <c r="Z46" s="251" t="n">
        <v>15.6</v>
      </c>
      <c r="AA46" s="35" t="n">
        <v>44331</v>
      </c>
      <c r="AB46" s="27" t="n"/>
      <c r="AC46" s="27" t="n"/>
      <c r="AD46" s="210" t="n">
        <v>13</v>
      </c>
      <c r="AE46" s="237" t="n">
        <v>0</v>
      </c>
      <c r="AF46" t="b">
        <v>0</v>
      </c>
      <c r="AG46" s="228" t="n">
        <v>-13</v>
      </c>
    </row>
    <row r="47">
      <c r="A47">
        <f>I47&amp;"-"&amp;J47</f>
        <v/>
      </c>
      <c r="B47" s="1">
        <f>N47</f>
        <v/>
      </c>
      <c r="C47">
        <f>M47&amp;"/"&amp;O47</f>
        <v/>
      </c>
      <c r="D47">
        <f>K47</f>
        <v/>
      </c>
      <c r="E47">
        <f>L47</f>
        <v/>
      </c>
      <c r="F47" s="236">
        <f>Z47</f>
        <v/>
      </c>
      <c r="G47">
        <f>U47&amp;"%"</f>
        <v/>
      </c>
      <c r="I47" s="53" t="n">
        <v>2021</v>
      </c>
      <c r="J47" s="53" t="n">
        <v>46</v>
      </c>
      <c r="K47" s="71" t="inlineStr">
        <is>
          <t>Ausgaben</t>
        </is>
      </c>
      <c r="L47" t="inlineStr">
        <is>
          <t>sonstige Betriebsausgaben</t>
        </is>
      </c>
      <c r="M47" s="9" t="inlineStr">
        <is>
          <t>R0012972046</t>
        </is>
      </c>
      <c r="N47" s="1" t="n">
        <v>44266</v>
      </c>
      <c r="O47" t="inlineStr">
        <is>
          <t>Hetzner Online GmbH</t>
        </is>
      </c>
      <c r="Q47" s="76" t="n"/>
      <c r="R47" t="b">
        <v>0</v>
      </c>
      <c r="S47" s="214" t="n">
        <v>46.9168</v>
      </c>
      <c r="T47" s="159" t="n">
        <v>1</v>
      </c>
      <c r="U47" t="n">
        <v>0</v>
      </c>
      <c r="V47" s="237" t="n">
        <v>0</v>
      </c>
      <c r="W47" s="237" t="n">
        <v>0</v>
      </c>
      <c r="X47" s="208" t="n">
        <v>46.9168</v>
      </c>
      <c r="Y47" s="251" t="n">
        <v>46.9168</v>
      </c>
      <c r="Z47" s="251" t="n">
        <v>46.9168</v>
      </c>
      <c r="AA47" s="35" t="n">
        <v>44331</v>
      </c>
      <c r="AB47" s="27" t="n"/>
      <c r="AC47" s="27" t="n">
        <v>20</v>
      </c>
      <c r="AD47" s="210" t="n">
        <v>46.9168</v>
      </c>
      <c r="AE47" s="237" t="n">
        <v>9.383360000000001</v>
      </c>
      <c r="AF47" t="b">
        <v>0</v>
      </c>
      <c r="AG47" s="228" t="n">
        <v>-46.9168</v>
      </c>
    </row>
    <row r="48">
      <c r="A48">
        <f>I48&amp;"-"&amp;J48</f>
        <v/>
      </c>
      <c r="B48" s="1">
        <f>N48</f>
        <v/>
      </c>
      <c r="C48">
        <f>M48&amp;"/"&amp;O48</f>
        <v/>
      </c>
      <c r="D48">
        <f>K48</f>
        <v/>
      </c>
      <c r="E48">
        <f>L48</f>
        <v/>
      </c>
      <c r="F48" s="236">
        <f>Z48</f>
        <v/>
      </c>
      <c r="G48">
        <f>U48&amp;"%"</f>
        <v/>
      </c>
      <c r="I48" s="53" t="n">
        <v>2021</v>
      </c>
      <c r="J48" s="53" t="n">
        <v>47</v>
      </c>
      <c r="K48" s="71" t="inlineStr">
        <is>
          <t>Ausgaben</t>
        </is>
      </c>
      <c r="L48" t="inlineStr">
        <is>
          <t>Waren, Rohstoffe, Hilfsstoffe</t>
        </is>
      </c>
      <c r="M48" s="9" t="inlineStr">
        <is>
          <t>831938</t>
        </is>
      </c>
      <c r="N48" s="1" t="n">
        <v>44272</v>
      </c>
      <c r="O48" t="inlineStr">
        <is>
          <t>Lemon Technologies GmbH, Unterweißenbach 181, 7330 Feldbach: Bildschirm</t>
        </is>
      </c>
      <c r="Q48" s="76" t="inlineStr">
        <is>
          <t>ja</t>
        </is>
      </c>
      <c r="R48" t="b">
        <v>0</v>
      </c>
      <c r="S48" s="214" t="n">
        <v>532.5599999999999</v>
      </c>
      <c r="T48" s="159" t="n">
        <v>1</v>
      </c>
      <c r="U48" t="n">
        <v>20</v>
      </c>
      <c r="V48" s="237" t="n">
        <v>106.512</v>
      </c>
      <c r="W48" s="237" t="n">
        <v>106.512</v>
      </c>
      <c r="X48" s="208" t="n">
        <v>532.5599999999999</v>
      </c>
      <c r="Y48" s="251" t="n">
        <v>639.0719999999999</v>
      </c>
      <c r="Z48" s="251" t="n">
        <v>639.0719999999999</v>
      </c>
      <c r="AA48" s="35" t="n">
        <v>44331</v>
      </c>
      <c r="AB48" s="27" t="n"/>
      <c r="AC48" s="27" t="n"/>
      <c r="AD48" s="210" t="n">
        <v>532.5599999999999</v>
      </c>
      <c r="AE48" s="237" t="n">
        <v>0</v>
      </c>
      <c r="AF48" t="b">
        <v>0</v>
      </c>
      <c r="AG48" s="228" t="n">
        <v>-532.5599999999999</v>
      </c>
    </row>
    <row r="49">
      <c r="A49">
        <f>I49&amp;"-"&amp;J49</f>
        <v/>
      </c>
      <c r="B49" s="1">
        <f>N49</f>
        <v/>
      </c>
      <c r="C49">
        <f>M49&amp;"/"&amp;O49</f>
        <v/>
      </c>
      <c r="D49">
        <f>K49</f>
        <v/>
      </c>
      <c r="E49">
        <f>L49</f>
        <v/>
      </c>
      <c r="F49" s="236">
        <f>Z49</f>
        <v/>
      </c>
      <c r="G49">
        <f>U49&amp;"%"</f>
        <v/>
      </c>
      <c r="I49" s="53" t="n">
        <v>2021</v>
      </c>
      <c r="J49" s="53" t="n">
        <v>48</v>
      </c>
      <c r="K49" s="71" t="inlineStr">
        <is>
          <t>Ausgaben</t>
        </is>
      </c>
      <c r="L49" t="inlineStr">
        <is>
          <t>Telefon/Internet</t>
        </is>
      </c>
      <c r="M49" s="9" t="inlineStr">
        <is>
          <t>901197380321</t>
        </is>
      </c>
      <c r="N49" s="1" t="n">
        <v>44274</v>
      </c>
      <c r="O49" t="inlineStr">
        <is>
          <t>Magenta: T-Mobile Austria GmbH, A-1120 Wien, PF 47</t>
        </is>
      </c>
      <c r="Q49" s="76" t="n"/>
      <c r="R49" t="b">
        <v>0</v>
      </c>
      <c r="S49" s="214" t="n">
        <v>31.92</v>
      </c>
      <c r="T49" s="159" t="n">
        <v>1</v>
      </c>
      <c r="U49" t="n">
        <v>20</v>
      </c>
      <c r="V49" s="237" t="n">
        <v>6.384000000000001</v>
      </c>
      <c r="W49" s="237" t="n">
        <v>6.384000000000001</v>
      </c>
      <c r="X49" s="208" t="n">
        <v>31.92</v>
      </c>
      <c r="Y49" s="251" t="n">
        <v>38.304</v>
      </c>
      <c r="Z49" s="251" t="n">
        <v>38.304</v>
      </c>
      <c r="AA49" s="35" t="n">
        <v>44331</v>
      </c>
      <c r="AB49" s="27" t="n"/>
      <c r="AC49" s="27" t="n"/>
      <c r="AD49" s="210" t="n">
        <v>31.92</v>
      </c>
      <c r="AE49" s="237" t="n">
        <v>0</v>
      </c>
      <c r="AF49" t="b">
        <v>0</v>
      </c>
      <c r="AG49" s="228" t="n">
        <v>-31.92</v>
      </c>
    </row>
    <row r="50">
      <c r="A50">
        <f>I50&amp;"-"&amp;J50</f>
        <v/>
      </c>
      <c r="B50" s="1">
        <f>N50</f>
        <v/>
      </c>
      <c r="C50">
        <f>M50&amp;"/"&amp;O50</f>
        <v/>
      </c>
      <c r="D50">
        <f>K50</f>
        <v/>
      </c>
      <c r="E50">
        <f>L50</f>
        <v/>
      </c>
      <c r="F50" s="236">
        <f>Z50</f>
        <v/>
      </c>
      <c r="G50">
        <f>U50&amp;"%"</f>
        <v/>
      </c>
      <c r="I50" s="53" t="n">
        <v>2021</v>
      </c>
      <c r="J50" s="53" t="n">
        <v>49</v>
      </c>
      <c r="K50" s="71" t="inlineStr">
        <is>
          <t>Ausgaben</t>
        </is>
      </c>
      <c r="L50" t="inlineStr">
        <is>
          <t>sonstige Betriebsausgaben</t>
        </is>
      </c>
      <c r="M50" s="9" t="inlineStr">
        <is>
          <t>RE0964139</t>
        </is>
      </c>
      <c r="N50" s="1" t="n">
        <v>44279</v>
      </c>
      <c r="O50" t="inlineStr">
        <is>
          <t>easyname GmbH, Fernkorngasse 10/3/501, A-1100 Wien</t>
        </is>
      </c>
      <c r="Q50" s="76" t="n"/>
      <c r="R50" t="b">
        <v>0</v>
      </c>
      <c r="S50" s="214" t="n">
        <v>12.42</v>
      </c>
      <c r="T50" s="159" t="n">
        <v>1</v>
      </c>
      <c r="U50" t="n">
        <v>20</v>
      </c>
      <c r="V50" s="237" t="n">
        <v>2.484</v>
      </c>
      <c r="W50" s="237" t="n">
        <v>2.484</v>
      </c>
      <c r="X50" s="208" t="n">
        <v>12.42</v>
      </c>
      <c r="Y50" s="251" t="n">
        <v>14.904</v>
      </c>
      <c r="Z50" s="251" t="n">
        <v>14.904</v>
      </c>
      <c r="AA50" s="35" t="n">
        <v>44331</v>
      </c>
      <c r="AB50" s="27" t="n"/>
      <c r="AC50" s="27" t="n"/>
      <c r="AD50" s="210" t="n">
        <v>12.42</v>
      </c>
      <c r="AE50" s="237" t="n">
        <v>0</v>
      </c>
      <c r="AF50" t="b">
        <v>0</v>
      </c>
      <c r="AG50" s="228" t="n">
        <v>-12.42</v>
      </c>
    </row>
    <row r="51">
      <c r="A51">
        <f>I51&amp;"-"&amp;J51</f>
        <v/>
      </c>
      <c r="B51" s="1">
        <f>N51</f>
        <v/>
      </c>
      <c r="C51">
        <f>M51&amp;"/"&amp;O51</f>
        <v/>
      </c>
      <c r="D51">
        <f>K51</f>
        <v/>
      </c>
      <c r="E51">
        <f>L51</f>
        <v/>
      </c>
      <c r="F51" s="236">
        <f>Z51</f>
        <v/>
      </c>
      <c r="G51">
        <f>U51&amp;"%"</f>
        <v/>
      </c>
      <c r="I51" s="53" t="n">
        <v>2021</v>
      </c>
      <c r="J51" s="53" t="n">
        <v>50</v>
      </c>
      <c r="K51" s="71" t="inlineStr">
        <is>
          <t>Ausgaben</t>
        </is>
      </c>
      <c r="L51" t="inlineStr">
        <is>
          <t>Telefon/Internet</t>
        </is>
      </c>
      <c r="M51" s="9" t="inlineStr">
        <is>
          <t>Kontoauszug 01.03.21-31.03.21</t>
        </is>
      </c>
      <c r="N51" s="1" t="n">
        <v>44285</v>
      </c>
      <c r="O51" t="inlineStr">
        <is>
          <t>HoT Telekom und Service GmbH</t>
        </is>
      </c>
      <c r="Q51" s="76" t="n"/>
      <c r="R51" t="b">
        <v>0</v>
      </c>
      <c r="S51" s="214" t="n">
        <v>9.833333333333334</v>
      </c>
      <c r="T51" s="159" t="n">
        <v>1</v>
      </c>
      <c r="U51" t="n">
        <v>20</v>
      </c>
      <c r="V51" s="237" t="n">
        <v>1.966666666666667</v>
      </c>
      <c r="W51" s="237" t="n">
        <v>1.966666666666667</v>
      </c>
      <c r="X51" s="208" t="n">
        <v>9.833333333333334</v>
      </c>
      <c r="Y51" s="251" t="n">
        <v>11.8</v>
      </c>
      <c r="Z51" s="251" t="n">
        <v>11.8</v>
      </c>
      <c r="AA51" s="35" t="n">
        <v>44331</v>
      </c>
      <c r="AB51" s="27" t="n"/>
      <c r="AC51" s="27" t="n"/>
      <c r="AD51" s="210" t="n">
        <v>9.833333333333334</v>
      </c>
      <c r="AE51" s="237" t="n">
        <v>0</v>
      </c>
      <c r="AF51" t="b">
        <v>0</v>
      </c>
      <c r="AG51" s="228" t="n">
        <v>-9.833333333333334</v>
      </c>
    </row>
    <row r="52">
      <c r="A52">
        <f>I52&amp;"-"&amp;J52</f>
        <v/>
      </c>
      <c r="B52" s="1">
        <f>N52</f>
        <v/>
      </c>
      <c r="C52">
        <f>M52&amp;"/"&amp;O52</f>
        <v/>
      </c>
      <c r="D52">
        <f>K52</f>
        <v/>
      </c>
      <c r="E52">
        <f>L52</f>
        <v/>
      </c>
      <c r="F52" s="236">
        <f>Z52</f>
        <v/>
      </c>
      <c r="G52">
        <f>U52&amp;"%"</f>
        <v/>
      </c>
      <c r="I52" s="53" t="n">
        <v>2021</v>
      </c>
      <c r="J52" s="53" t="n">
        <v>51</v>
      </c>
      <c r="K52" s="71" t="inlineStr">
        <is>
          <t>Ausgaben</t>
        </is>
      </c>
      <c r="L52" t="inlineStr">
        <is>
          <t>Miet- und Pachtaufwand, Leasing</t>
        </is>
      </c>
      <c r="M52" s="9" t="inlineStr">
        <is>
          <t>21/9801/VS00040</t>
        </is>
      </c>
      <c r="N52" s="1" t="n">
        <v>44287</v>
      </c>
      <c r="O52" t="inlineStr">
        <is>
          <t>Bontus Immobilienverwaltung GmbH, 1010 Wien, Franz Josefs Kai 65</t>
        </is>
      </c>
      <c r="Q52" s="76" t="n"/>
      <c r="R52" t="b">
        <v>0</v>
      </c>
      <c r="S52" s="214" t="n">
        <v>462.44</v>
      </c>
      <c r="T52" s="159" t="n">
        <v>1</v>
      </c>
      <c r="U52" t="n">
        <v>20</v>
      </c>
      <c r="V52" s="237" t="n">
        <v>92.488</v>
      </c>
      <c r="W52" s="237" t="n">
        <v>92.488</v>
      </c>
      <c r="X52" s="208" t="n">
        <v>462.44</v>
      </c>
      <c r="Y52" s="251" t="n">
        <v>554.928</v>
      </c>
      <c r="Z52" s="251" t="n">
        <v>554.928</v>
      </c>
      <c r="AA52" s="35" t="n">
        <v>44423</v>
      </c>
      <c r="AB52" s="27" t="n"/>
      <c r="AC52" s="27" t="n"/>
      <c r="AD52" s="210" t="n">
        <v>462.44</v>
      </c>
      <c r="AE52" s="237" t="n">
        <v>0</v>
      </c>
      <c r="AF52" t="b">
        <v>0</v>
      </c>
      <c r="AG52" s="228" t="n">
        <v>-462.44</v>
      </c>
    </row>
    <row r="53">
      <c r="A53">
        <f>I53&amp;"-"&amp;J53</f>
        <v/>
      </c>
      <c r="B53" s="1">
        <f>N53</f>
        <v/>
      </c>
      <c r="C53">
        <f>M53&amp;"/"&amp;O53</f>
        <v/>
      </c>
      <c r="D53">
        <f>K53</f>
        <v/>
      </c>
      <c r="E53">
        <f>L53</f>
        <v/>
      </c>
      <c r="F53" s="236">
        <f>Z53</f>
        <v/>
      </c>
      <c r="G53">
        <f>U53&amp;"%"</f>
        <v/>
      </c>
      <c r="I53" s="53" t="n">
        <v>2021</v>
      </c>
      <c r="J53" s="53" t="n">
        <v>52</v>
      </c>
      <c r="K53" s="71" t="inlineStr">
        <is>
          <t>Einnahmen</t>
        </is>
      </c>
      <c r="L53" t="inlineStr">
        <is>
          <t>Waren-/Leistungserlöse</t>
        </is>
      </c>
      <c r="M53" s="9" t="inlineStr">
        <is>
          <t>12021013</t>
        </is>
      </c>
      <c r="N53" s="1" t="n">
        <v>44287</v>
      </c>
      <c r="O53" t="inlineStr">
        <is>
          <t>Kolbitsch Engineering &amp; Consulting KNr 45</t>
        </is>
      </c>
      <c r="Q53" s="76" t="n"/>
      <c r="R53" t="b">
        <v>0</v>
      </c>
      <c r="S53" s="214" t="n">
        <v>801</v>
      </c>
      <c r="T53" s="159" t="n">
        <v>1</v>
      </c>
      <c r="U53" t="n">
        <v>20</v>
      </c>
      <c r="V53" s="237" t="n">
        <v>160.2</v>
      </c>
      <c r="W53" s="237" t="n">
        <v>160.2</v>
      </c>
      <c r="X53" s="208" t="n">
        <v>801</v>
      </c>
      <c r="Y53" s="251" t="n">
        <v>961.2</v>
      </c>
      <c r="Z53" s="251" t="n">
        <v>961.2</v>
      </c>
      <c r="AA53" s="35" t="n">
        <v>44423</v>
      </c>
      <c r="AB53" s="27" t="n"/>
      <c r="AC53" s="27" t="n"/>
      <c r="AD53" s="210" t="n">
        <v>801</v>
      </c>
      <c r="AE53" s="237" t="n">
        <v>0</v>
      </c>
      <c r="AF53" t="b">
        <v>0</v>
      </c>
      <c r="AG53" s="228" t="n">
        <v>801</v>
      </c>
    </row>
    <row r="54">
      <c r="A54">
        <f>I54&amp;"-"&amp;J54</f>
        <v/>
      </c>
      <c r="B54" s="1">
        <f>N54</f>
        <v/>
      </c>
      <c r="C54">
        <f>M54&amp;"/"&amp;O54</f>
        <v/>
      </c>
      <c r="D54">
        <f>K54</f>
        <v/>
      </c>
      <c r="E54">
        <f>L54</f>
        <v/>
      </c>
      <c r="F54" s="236">
        <f>Z54</f>
        <v/>
      </c>
      <c r="G54">
        <f>U54&amp;"%"</f>
        <v/>
      </c>
      <c r="I54" s="53" t="n">
        <v>2021</v>
      </c>
      <c r="J54" s="53" t="n">
        <v>53</v>
      </c>
      <c r="K54" s="71" t="inlineStr">
        <is>
          <t>Einnahmen</t>
        </is>
      </c>
      <c r="L54" t="inlineStr">
        <is>
          <t>Waren-/Leistungserlöse</t>
        </is>
      </c>
      <c r="M54" s="9" t="inlineStr">
        <is>
          <t>12021009</t>
        </is>
      </c>
      <c r="N54" s="1" t="n">
        <v>44287</v>
      </c>
      <c r="O54" t="inlineStr">
        <is>
          <t>ZT DI Dr. Arno Kolbitsch, Gütleweg 1, 6822 Satteins</t>
        </is>
      </c>
      <c r="Q54" s="76" t="n"/>
      <c r="R54" t="b">
        <v>0</v>
      </c>
      <c r="S54" s="214" t="n">
        <v>8140.37</v>
      </c>
      <c r="T54" s="159" t="n">
        <v>1</v>
      </c>
      <c r="U54" t="n">
        <v>20</v>
      </c>
      <c r="V54" s="237" t="n">
        <v>1628.074</v>
      </c>
      <c r="W54" s="237" t="n">
        <v>1628.074</v>
      </c>
      <c r="X54" s="208" t="n">
        <v>8140.37</v>
      </c>
      <c r="Y54" s="251" t="n">
        <v>9768.444</v>
      </c>
      <c r="Z54" s="251" t="n">
        <v>9768.444</v>
      </c>
      <c r="AA54" s="35" t="n">
        <v>44423</v>
      </c>
      <c r="AB54" s="27" t="n"/>
      <c r="AC54" s="27" t="n"/>
      <c r="AD54" s="210" t="n">
        <v>8140.37</v>
      </c>
      <c r="AE54" s="237" t="n">
        <v>0</v>
      </c>
      <c r="AF54" t="b">
        <v>0</v>
      </c>
      <c r="AG54" s="228" t="n">
        <v>8140.37</v>
      </c>
    </row>
    <row r="55">
      <c r="A55">
        <f>I55&amp;"-"&amp;J55</f>
        <v/>
      </c>
      <c r="B55" s="1">
        <f>N55</f>
        <v/>
      </c>
      <c r="C55">
        <f>M55&amp;"/"&amp;O55</f>
        <v/>
      </c>
      <c r="D55">
        <f>K55</f>
        <v/>
      </c>
      <c r="E55">
        <f>L55</f>
        <v/>
      </c>
      <c r="F55" s="236">
        <f>Z55</f>
        <v/>
      </c>
      <c r="G55">
        <f>U55&amp;"%"</f>
        <v/>
      </c>
      <c r="I55" s="53" t="n">
        <v>2021</v>
      </c>
      <c r="J55" s="53" t="n">
        <v>54</v>
      </c>
      <c r="K55" s="71" t="inlineStr">
        <is>
          <t>Ausgaben</t>
        </is>
      </c>
      <c r="L55" t="inlineStr">
        <is>
          <t>Lizenzgebühren</t>
        </is>
      </c>
      <c r="M55" s="9" t="inlineStr">
        <is>
          <t>R00640873</t>
        </is>
      </c>
      <c r="N55" s="1" t="n">
        <v>44292</v>
      </c>
      <c r="O55" t="inlineStr">
        <is>
          <t>TeamViewer Germany GmbH, Jahnstr. 30, 73037 Göppingen, Deutschland</t>
        </is>
      </c>
      <c r="Q55" s="76" t="n"/>
      <c r="R55" t="b">
        <v>0</v>
      </c>
      <c r="S55" s="214" t="n">
        <v>334.8</v>
      </c>
      <c r="T55" s="159" t="n">
        <v>1</v>
      </c>
      <c r="U55" t="n">
        <v>0</v>
      </c>
      <c r="V55" s="237" t="n">
        <v>0</v>
      </c>
      <c r="W55" s="237" t="n">
        <v>0</v>
      </c>
      <c r="X55" s="208" t="n">
        <v>334.8</v>
      </c>
      <c r="Y55" s="251" t="n">
        <v>334.8</v>
      </c>
      <c r="Z55" s="251" t="n">
        <v>334.8</v>
      </c>
      <c r="AA55" s="35" t="n">
        <v>44423</v>
      </c>
      <c r="AB55" s="27" t="n"/>
      <c r="AC55" s="27" t="n">
        <v>20</v>
      </c>
      <c r="AD55" s="210" t="n">
        <v>334.8</v>
      </c>
      <c r="AE55" s="237" t="n">
        <v>66.96000000000001</v>
      </c>
      <c r="AF55" t="b">
        <v>0</v>
      </c>
      <c r="AG55" s="228" t="n">
        <v>-334.8</v>
      </c>
    </row>
    <row r="56">
      <c r="A56">
        <f>I56&amp;"-"&amp;J56</f>
        <v/>
      </c>
      <c r="B56" s="1">
        <f>N56</f>
        <v/>
      </c>
      <c r="C56">
        <f>M56&amp;"/"&amp;O56</f>
        <v/>
      </c>
      <c r="D56">
        <f>K56</f>
        <v/>
      </c>
      <c r="E56">
        <f>L56</f>
        <v/>
      </c>
      <c r="F56" s="236">
        <f>Z56</f>
        <v/>
      </c>
      <c r="G56">
        <f>U56&amp;"%"</f>
        <v/>
      </c>
      <c r="I56" s="53" t="n">
        <v>2021</v>
      </c>
      <c r="J56" s="53" t="n">
        <v>55</v>
      </c>
      <c r="K56" s="71" t="inlineStr">
        <is>
          <t>Ausgaben</t>
        </is>
      </c>
      <c r="L56" t="inlineStr">
        <is>
          <t>Telefon/Internet</t>
        </is>
      </c>
      <c r="M56" s="9" t="n">
        <v>6219245070</v>
      </c>
      <c r="N56" s="1" t="n">
        <v>44292</v>
      </c>
      <c r="O56" t="inlineStr">
        <is>
          <t>Hutchison Drei Austria GmbH, Brünner Straße 52, 1210 Wien, Österreich</t>
        </is>
      </c>
      <c r="Q56" s="76" t="n"/>
      <c r="R56" t="b">
        <v>0</v>
      </c>
      <c r="S56" s="214" t="n">
        <v>15</v>
      </c>
      <c r="T56" s="159" t="n">
        <v>1</v>
      </c>
      <c r="U56" t="n">
        <v>20</v>
      </c>
      <c r="V56" s="237" t="n">
        <v>3</v>
      </c>
      <c r="W56" s="237" t="n">
        <v>3</v>
      </c>
      <c r="X56" s="208" t="n">
        <v>15</v>
      </c>
      <c r="Y56" s="251" t="n">
        <v>18</v>
      </c>
      <c r="Z56" s="251" t="n">
        <v>18</v>
      </c>
      <c r="AA56" s="35" t="n">
        <v>44423</v>
      </c>
      <c r="AB56" s="27" t="n"/>
      <c r="AC56" s="27" t="n"/>
      <c r="AD56" s="210" t="n">
        <v>15</v>
      </c>
      <c r="AE56" s="237" t="n">
        <v>0</v>
      </c>
      <c r="AF56" t="b">
        <v>0</v>
      </c>
      <c r="AG56" s="228" t="n">
        <v>-15</v>
      </c>
    </row>
    <row r="57">
      <c r="A57">
        <f>I57&amp;"-"&amp;J57</f>
        <v/>
      </c>
      <c r="B57" s="1">
        <f>N57</f>
        <v/>
      </c>
      <c r="C57">
        <f>M57&amp;"/"&amp;O57</f>
        <v/>
      </c>
      <c r="D57">
        <f>K57</f>
        <v/>
      </c>
      <c r="E57">
        <f>L57</f>
        <v/>
      </c>
      <c r="F57" s="236">
        <f>Z57</f>
        <v/>
      </c>
      <c r="G57">
        <f>U57&amp;"%"</f>
        <v/>
      </c>
      <c r="I57" s="53" t="n">
        <v>2021</v>
      </c>
      <c r="J57" s="53" t="n">
        <v>56</v>
      </c>
      <c r="K57" s="71" t="inlineStr">
        <is>
          <t>Ausgaben</t>
        </is>
      </c>
      <c r="L57" t="inlineStr">
        <is>
          <t>Reise- und Fahrtspesen inkl. Kilometergeld und Diäten</t>
        </is>
      </c>
      <c r="M57" s="131" t="inlineStr">
        <is>
          <t>4293000000020110</t>
        </is>
      </c>
      <c r="N57" s="1" t="n">
        <v>44292</v>
      </c>
      <c r="O57" t="inlineStr">
        <is>
          <t>car2go Österreich GmbH, Hintere Zollamtstraße 9, 1030 Wien</t>
        </is>
      </c>
      <c r="Q57" s="76" t="n"/>
      <c r="R57" t="b">
        <v>0</v>
      </c>
      <c r="S57" s="214" t="n">
        <v>46.12</v>
      </c>
      <c r="T57" s="159" t="n">
        <v>1</v>
      </c>
      <c r="U57" t="n">
        <v>20</v>
      </c>
      <c r="V57" s="237" t="n">
        <v>9.224</v>
      </c>
      <c r="W57" s="237" t="n">
        <v>9.224</v>
      </c>
      <c r="X57" s="208" t="n">
        <v>46.12</v>
      </c>
      <c r="Y57" s="251" t="n">
        <v>55.34399999999999</v>
      </c>
      <c r="Z57" s="251" t="n">
        <v>55.34399999999999</v>
      </c>
      <c r="AA57" s="35" t="n">
        <v>44423</v>
      </c>
      <c r="AB57" s="27" t="n"/>
      <c r="AC57" s="27" t="n"/>
      <c r="AD57" s="210" t="n">
        <v>46.12</v>
      </c>
      <c r="AE57" s="237" t="n">
        <v>0</v>
      </c>
      <c r="AF57" t="b">
        <v>0</v>
      </c>
      <c r="AG57" s="228" t="n">
        <v>-46.12</v>
      </c>
    </row>
    <row r="58">
      <c r="A58">
        <f>I58&amp;"-"&amp;J58</f>
        <v/>
      </c>
      <c r="B58" s="1">
        <f>N58</f>
        <v/>
      </c>
      <c r="C58">
        <f>M58&amp;"/"&amp;O58</f>
        <v/>
      </c>
      <c r="D58">
        <f>K58</f>
        <v/>
      </c>
      <c r="E58">
        <f>L58</f>
        <v/>
      </c>
      <c r="F58" s="236">
        <f>Z58</f>
        <v/>
      </c>
      <c r="G58">
        <f>U58&amp;"%"</f>
        <v/>
      </c>
      <c r="I58" s="53" t="n">
        <v>2021</v>
      </c>
      <c r="J58" s="53" t="n">
        <v>57</v>
      </c>
      <c r="K58" s="71" t="inlineStr">
        <is>
          <t>Ausgaben</t>
        </is>
      </c>
      <c r="L58" t="inlineStr">
        <is>
          <t>sonstige Betriebsausgaben</t>
        </is>
      </c>
      <c r="M58" s="9" t="inlineStr">
        <is>
          <t>60793/100/2021</t>
        </is>
      </c>
      <c r="N58" s="1" t="n">
        <v>44293</v>
      </c>
      <c r="O58" t="inlineStr">
        <is>
          <t>easy green energy GmbH &amp; Co KG</t>
        </is>
      </c>
      <c r="Q58" s="76" t="n"/>
      <c r="R58" t="b">
        <v>0</v>
      </c>
      <c r="S58" s="214" t="n">
        <v>2.5</v>
      </c>
      <c r="T58" s="159" t="n">
        <v>1</v>
      </c>
      <c r="U58" t="n">
        <v>20</v>
      </c>
      <c r="V58" s="237" t="n">
        <v>0.5</v>
      </c>
      <c r="W58" s="237" t="n">
        <v>0.5</v>
      </c>
      <c r="X58" s="208" t="n">
        <v>2.5</v>
      </c>
      <c r="Y58" s="251" t="n">
        <v>3</v>
      </c>
      <c r="Z58" s="251" t="n">
        <v>3</v>
      </c>
      <c r="AA58" s="35" t="n">
        <v>44423</v>
      </c>
      <c r="AB58" s="27" t="n"/>
      <c r="AC58" s="27" t="n"/>
      <c r="AD58" s="210" t="n">
        <v>2.5</v>
      </c>
      <c r="AE58" s="237" t="n">
        <v>0</v>
      </c>
      <c r="AF58" t="b">
        <v>0</v>
      </c>
      <c r="AG58" s="228" t="n">
        <v>-2.5</v>
      </c>
    </row>
    <row r="59">
      <c r="A59">
        <f>I59&amp;"-"&amp;J59</f>
        <v/>
      </c>
      <c r="B59" s="1">
        <f>N59</f>
        <v/>
      </c>
      <c r="C59">
        <f>M59&amp;"/"&amp;O59</f>
        <v/>
      </c>
      <c r="D59">
        <f>K59</f>
        <v/>
      </c>
      <c r="E59">
        <f>L59</f>
        <v/>
      </c>
      <c r="F59" s="236">
        <f>Z59</f>
        <v/>
      </c>
      <c r="G59">
        <f>U59&amp;"%"</f>
        <v/>
      </c>
      <c r="I59" s="53" t="n">
        <v>2021</v>
      </c>
      <c r="J59" s="53" t="n">
        <v>58</v>
      </c>
      <c r="K59" s="71" t="inlineStr">
        <is>
          <t>Einnahmen</t>
        </is>
      </c>
      <c r="L59" t="inlineStr">
        <is>
          <t>Waren-/Leistungserlöse</t>
        </is>
      </c>
      <c r="M59" s="9" t="inlineStr">
        <is>
          <t>12021011</t>
        </is>
      </c>
      <c r="N59" s="1" t="n">
        <v>44293</v>
      </c>
      <c r="O59" t="inlineStr">
        <is>
          <t>Theresa Häfele-Kolbitsch, Josef-Mohrgasse 9, 2102 Bisamberg</t>
        </is>
      </c>
      <c r="Q59" s="76" t="n"/>
      <c r="R59" t="b">
        <v>0</v>
      </c>
      <c r="S59" s="214" t="n">
        <v>489.5</v>
      </c>
      <c r="T59" s="159" t="n">
        <v>1</v>
      </c>
      <c r="U59" t="n">
        <v>20</v>
      </c>
      <c r="V59" s="237" t="n">
        <v>97.90000000000001</v>
      </c>
      <c r="W59" s="237" t="n">
        <v>97.90000000000001</v>
      </c>
      <c r="X59" s="208" t="n">
        <v>489.5</v>
      </c>
      <c r="Y59" s="251" t="n">
        <v>587.4</v>
      </c>
      <c r="Z59" s="251" t="n">
        <v>587.4</v>
      </c>
      <c r="AA59" s="35" t="n">
        <v>44423</v>
      </c>
      <c r="AB59" s="27" t="n"/>
      <c r="AC59" s="27" t="n"/>
      <c r="AD59" s="210" t="n">
        <v>489.5</v>
      </c>
      <c r="AE59" s="237" t="n">
        <v>0</v>
      </c>
      <c r="AF59" t="b">
        <v>0</v>
      </c>
      <c r="AG59" s="228" t="n">
        <v>489.5</v>
      </c>
    </row>
    <row r="60">
      <c r="A60">
        <f>I60&amp;"-"&amp;J60</f>
        <v/>
      </c>
      <c r="B60" s="1">
        <f>N60</f>
        <v/>
      </c>
      <c r="C60">
        <f>M60&amp;"/"&amp;O60</f>
        <v/>
      </c>
      <c r="D60">
        <f>K60</f>
        <v/>
      </c>
      <c r="E60">
        <f>L60</f>
        <v/>
      </c>
      <c r="F60" s="236">
        <f>Z60</f>
        <v/>
      </c>
      <c r="G60">
        <f>U60&amp;"%"</f>
        <v/>
      </c>
      <c r="I60" s="53" t="n">
        <v>2021</v>
      </c>
      <c r="J60" s="53" t="n">
        <v>59</v>
      </c>
      <c r="K60" s="71" t="inlineStr">
        <is>
          <t>Ausgaben</t>
        </is>
      </c>
      <c r="L60" t="inlineStr">
        <is>
          <t>sonstige Betriebsausgaben</t>
        </is>
      </c>
      <c r="M60" s="9" t="inlineStr">
        <is>
          <t>VS/19-01-05428</t>
        </is>
      </c>
      <c r="N60" s="1" t="n">
        <v>44293</v>
      </c>
      <c r="O60" t="inlineStr">
        <is>
          <t>Techem Messtechnik GmbH; Abnehmernummer 501686-0003-11-( (NACHTRAG 25.12.)</t>
        </is>
      </c>
      <c r="Q60" s="76" t="n"/>
      <c r="R60" t="b">
        <v>0</v>
      </c>
      <c r="S60" s="214" t="n">
        <v>35</v>
      </c>
      <c r="T60" s="159" t="n">
        <v>1</v>
      </c>
      <c r="U60" t="n">
        <v>20</v>
      </c>
      <c r="V60" s="237" t="n">
        <v>7</v>
      </c>
      <c r="W60" s="237" t="n">
        <v>7</v>
      </c>
      <c r="X60" s="208" t="n">
        <v>35</v>
      </c>
      <c r="Y60" s="251" t="n">
        <v>42</v>
      </c>
      <c r="Z60" s="251" t="n">
        <v>42</v>
      </c>
      <c r="AA60" s="35" t="n">
        <v>44423</v>
      </c>
      <c r="AB60" s="27" t="n"/>
      <c r="AC60" s="27" t="n"/>
      <c r="AD60" s="210" t="n">
        <v>35</v>
      </c>
      <c r="AE60" s="237" t="n">
        <v>0</v>
      </c>
      <c r="AF60" t="b">
        <v>0</v>
      </c>
      <c r="AG60" s="228" t="n">
        <v>-35</v>
      </c>
    </row>
    <row r="61">
      <c r="A61">
        <f>I61&amp;"-"&amp;J61</f>
        <v/>
      </c>
      <c r="B61" s="1">
        <f>N61</f>
        <v/>
      </c>
      <c r="C61">
        <f>M61&amp;"/"&amp;O61</f>
        <v/>
      </c>
      <c r="D61">
        <f>K61</f>
        <v/>
      </c>
      <c r="E61">
        <f>L61</f>
        <v/>
      </c>
      <c r="F61" s="236">
        <f>Z61</f>
        <v/>
      </c>
      <c r="G61">
        <f>U61&amp;"%"</f>
        <v/>
      </c>
      <c r="I61" s="53" t="n">
        <v>2021</v>
      </c>
      <c r="J61" s="53" t="n">
        <v>60</v>
      </c>
      <c r="K61" s="71" t="inlineStr">
        <is>
          <t>Ausgaben</t>
        </is>
      </c>
      <c r="L61" t="inlineStr">
        <is>
          <t>sonstige Betriebsausgaben</t>
        </is>
      </c>
      <c r="M61" s="9" t="inlineStr">
        <is>
          <t>2021160</t>
        </is>
      </c>
      <c r="N61" s="1" t="n">
        <v>44293</v>
      </c>
      <c r="O61" t="inlineStr">
        <is>
          <t>3W Steuerkanzlei, Roter Hof 1a, 1080 Wien</t>
        </is>
      </c>
      <c r="Q61" s="76" t="n"/>
      <c r="R61" t="b">
        <v>0</v>
      </c>
      <c r="S61" s="214" t="n">
        <v>865</v>
      </c>
      <c r="T61" s="159" t="n">
        <v>1</v>
      </c>
      <c r="U61" t="n">
        <v>20</v>
      </c>
      <c r="V61" s="237" t="n">
        <v>173</v>
      </c>
      <c r="W61" s="237" t="n">
        <v>173</v>
      </c>
      <c r="X61" s="208" t="n">
        <v>865</v>
      </c>
      <c r="Y61" s="251" t="n">
        <v>1038</v>
      </c>
      <c r="Z61" s="251" t="n">
        <v>1038</v>
      </c>
      <c r="AA61" s="35" t="n">
        <v>44423</v>
      </c>
      <c r="AB61" s="27" t="n"/>
      <c r="AC61" s="27" t="n"/>
      <c r="AD61" s="210" t="n">
        <v>865</v>
      </c>
      <c r="AE61" s="237" t="n">
        <v>0</v>
      </c>
      <c r="AF61" t="b">
        <v>0</v>
      </c>
      <c r="AG61" s="228" t="n">
        <v>-865</v>
      </c>
    </row>
    <row r="62">
      <c r="A62">
        <f>I62&amp;"-"&amp;J62</f>
        <v/>
      </c>
      <c r="B62" s="1">
        <f>N62</f>
        <v/>
      </c>
      <c r="C62">
        <f>M62&amp;"/"&amp;O62</f>
        <v/>
      </c>
      <c r="D62">
        <f>K62</f>
        <v/>
      </c>
      <c r="E62">
        <f>L62</f>
        <v/>
      </c>
      <c r="F62" s="236">
        <f>Z62</f>
        <v/>
      </c>
      <c r="G62">
        <f>U62&amp;"%"</f>
        <v/>
      </c>
      <c r="I62" s="53" t="n">
        <v>2021</v>
      </c>
      <c r="J62" s="53" t="n">
        <v>61</v>
      </c>
      <c r="K62" s="71" t="inlineStr">
        <is>
          <t>Ausgaben</t>
        </is>
      </c>
      <c r="L62" t="inlineStr">
        <is>
          <t>sonstige Betriebsausgaben</t>
        </is>
      </c>
      <c r="M62" s="9" t="inlineStr">
        <is>
          <t>R0013110660</t>
        </is>
      </c>
      <c r="N62" s="1" t="n">
        <v>44294</v>
      </c>
      <c r="O62" t="inlineStr">
        <is>
          <t>Hetzner Online GmbH</t>
        </is>
      </c>
      <c r="Q62" s="76" t="inlineStr">
        <is>
          <t>ja</t>
        </is>
      </c>
      <c r="R62" t="b">
        <v>0</v>
      </c>
      <c r="S62" s="214" t="n">
        <v>2.49</v>
      </c>
      <c r="T62" s="159" t="n">
        <v>1</v>
      </c>
      <c r="U62" t="n">
        <v>0</v>
      </c>
      <c r="V62" s="237" t="n">
        <v>0</v>
      </c>
      <c r="W62" s="237" t="n">
        <v>0</v>
      </c>
      <c r="X62" s="208" t="n">
        <v>2.49</v>
      </c>
      <c r="Y62" s="251" t="n">
        <v>2.49</v>
      </c>
      <c r="Z62" s="251" t="n">
        <v>2.49</v>
      </c>
      <c r="AA62" s="35" t="n">
        <v>44423</v>
      </c>
      <c r="AB62" s="27" t="n"/>
      <c r="AC62" s="27" t="n">
        <v>20</v>
      </c>
      <c r="AD62" s="210" t="n">
        <v>2.49</v>
      </c>
      <c r="AE62" s="237" t="n">
        <v>0.4980000000000001</v>
      </c>
      <c r="AF62" t="b">
        <v>0</v>
      </c>
      <c r="AG62" s="228" t="n">
        <v>-2.49</v>
      </c>
    </row>
    <row r="63">
      <c r="A63">
        <f>I63&amp;"-"&amp;J63</f>
        <v/>
      </c>
      <c r="B63" s="1">
        <f>N63</f>
        <v/>
      </c>
      <c r="C63">
        <f>M63&amp;"/"&amp;O63</f>
        <v/>
      </c>
      <c r="D63">
        <f>K63</f>
        <v/>
      </c>
      <c r="E63">
        <f>L63</f>
        <v/>
      </c>
      <c r="F63" s="236">
        <f>Z63</f>
        <v/>
      </c>
      <c r="G63">
        <f>U63&amp;"%"</f>
        <v/>
      </c>
      <c r="I63" s="53" t="n">
        <v>2021</v>
      </c>
      <c r="J63" s="53" t="n">
        <v>62</v>
      </c>
      <c r="K63" s="71" t="inlineStr">
        <is>
          <t>Einnahmen</t>
        </is>
      </c>
      <c r="L63" t="inlineStr">
        <is>
          <t>Waren-/Leistungserlöse</t>
        </is>
      </c>
      <c r="M63" s="9" t="inlineStr">
        <is>
          <t>12021010</t>
        </is>
      </c>
      <c r="N63" s="1" t="n">
        <v>44295</v>
      </c>
      <c r="O63" t="inlineStr">
        <is>
          <t>Schick Küchendesign e.U. Alexander Schick, Linzerstraße 247, 1140 Wien</t>
        </is>
      </c>
      <c r="Q63" s="76" t="n"/>
      <c r="R63" t="b">
        <v>0</v>
      </c>
      <c r="S63" s="214" t="n">
        <v>1959.56</v>
      </c>
      <c r="T63" s="159" t="n">
        <v>1</v>
      </c>
      <c r="U63" t="n">
        <v>20</v>
      </c>
      <c r="V63" s="237" t="n">
        <v>391.912</v>
      </c>
      <c r="W63" s="237" t="n">
        <v>391.912</v>
      </c>
      <c r="X63" s="208" t="n">
        <v>1959.56</v>
      </c>
      <c r="Y63" s="251" t="n">
        <v>2351.472</v>
      </c>
      <c r="Z63" s="251" t="n">
        <v>2351.472</v>
      </c>
      <c r="AA63" s="35" t="n">
        <v>44423</v>
      </c>
      <c r="AB63" s="27" t="n"/>
      <c r="AC63" s="27" t="n"/>
      <c r="AD63" s="210" t="n">
        <v>1959.56</v>
      </c>
      <c r="AE63" s="237" t="n">
        <v>0</v>
      </c>
      <c r="AF63" t="b">
        <v>0</v>
      </c>
      <c r="AG63" s="228" t="n">
        <v>1959.56</v>
      </c>
    </row>
    <row r="64">
      <c r="A64">
        <f>I64&amp;"-"&amp;J64</f>
        <v/>
      </c>
      <c r="B64" s="1">
        <f>N64</f>
        <v/>
      </c>
      <c r="C64">
        <f>M64&amp;"/"&amp;O64</f>
        <v/>
      </c>
      <c r="D64">
        <f>K64</f>
        <v/>
      </c>
      <c r="E64">
        <f>L64</f>
        <v/>
      </c>
      <c r="F64" s="236">
        <f>Z64</f>
        <v/>
      </c>
      <c r="G64">
        <f>U64&amp;"%"</f>
        <v/>
      </c>
      <c r="I64" s="53" t="n">
        <v>2021</v>
      </c>
      <c r="J64" s="53" t="n">
        <v>63</v>
      </c>
      <c r="K64" s="71" t="inlineStr">
        <is>
          <t>Ausgaben</t>
        </is>
      </c>
      <c r="L64" t="inlineStr">
        <is>
          <t>sonstige Betriebsausgaben</t>
        </is>
      </c>
      <c r="M64" s="9" t="inlineStr">
        <is>
          <t>5137082649</t>
        </is>
      </c>
      <c r="N64" s="1" t="n">
        <v>44298</v>
      </c>
      <c r="O64" t="inlineStr">
        <is>
          <t>Wiener Netze GmbH, Erdbergstraße 236, 1110 Wien, Postfach 422; Jahresabrechnung vom 17.12.20: GUTSCHRIFT</t>
        </is>
      </c>
      <c r="Q64" s="76" t="n"/>
      <c r="R64" t="b">
        <v>0</v>
      </c>
      <c r="S64" s="214" t="n">
        <v>13</v>
      </c>
      <c r="T64" s="159" t="n">
        <v>1</v>
      </c>
      <c r="U64" t="n">
        <v>20</v>
      </c>
      <c r="V64" s="237" t="n">
        <v>2.6</v>
      </c>
      <c r="W64" s="237" t="n">
        <v>2.6</v>
      </c>
      <c r="X64" s="208" t="n">
        <v>13</v>
      </c>
      <c r="Y64" s="251" t="n">
        <v>15.6</v>
      </c>
      <c r="Z64" s="251" t="n">
        <v>15.6</v>
      </c>
      <c r="AA64" s="35" t="n">
        <v>44423</v>
      </c>
      <c r="AB64" s="27" t="n"/>
      <c r="AC64" s="27" t="n"/>
      <c r="AD64" s="210" t="n">
        <v>13</v>
      </c>
      <c r="AE64" s="237" t="n">
        <v>0</v>
      </c>
      <c r="AF64" t="b">
        <v>0</v>
      </c>
      <c r="AG64" s="228" t="n">
        <v>-13</v>
      </c>
    </row>
    <row r="65">
      <c r="A65">
        <f>I65&amp;"-"&amp;J65</f>
        <v/>
      </c>
      <c r="B65" s="1">
        <f>N65</f>
        <v/>
      </c>
      <c r="C65">
        <f>M65&amp;"/"&amp;O65</f>
        <v/>
      </c>
      <c r="D65">
        <f>K65</f>
        <v/>
      </c>
      <c r="E65">
        <f>L65</f>
        <v/>
      </c>
      <c r="F65" s="236">
        <f>Z65</f>
        <v/>
      </c>
      <c r="G65">
        <f>U65&amp;"%"</f>
        <v/>
      </c>
      <c r="I65" s="53" t="n">
        <v>2021</v>
      </c>
      <c r="J65" s="53" t="n">
        <v>64</v>
      </c>
      <c r="K65" s="71" t="inlineStr">
        <is>
          <t>Ausgaben</t>
        </is>
      </c>
      <c r="L65" t="inlineStr">
        <is>
          <t>sonstige Betriebsausgaben</t>
        </is>
      </c>
      <c r="M65" s="9" t="inlineStr">
        <is>
          <t>R0013159645</t>
        </is>
      </c>
      <c r="N65" s="1" t="n">
        <v>44299</v>
      </c>
      <c r="O65" t="inlineStr">
        <is>
          <t>Hetzner Online GmbH</t>
        </is>
      </c>
      <c r="Q65" s="76" t="n"/>
      <c r="R65" t="b">
        <v>0</v>
      </c>
      <c r="S65" s="214" t="n">
        <v>46.9168</v>
      </c>
      <c r="T65" s="159" t="n">
        <v>1</v>
      </c>
      <c r="U65" t="n">
        <v>0</v>
      </c>
      <c r="V65" s="237" t="n">
        <v>0</v>
      </c>
      <c r="W65" s="237" t="n">
        <v>0</v>
      </c>
      <c r="X65" s="208" t="n">
        <v>46.9168</v>
      </c>
      <c r="Y65" s="251" t="n">
        <v>46.9168</v>
      </c>
      <c r="Z65" s="251" t="n">
        <v>46.9168</v>
      </c>
      <c r="AA65" s="35" t="n">
        <v>44423</v>
      </c>
      <c r="AB65" s="27" t="n"/>
      <c r="AC65" s="27" t="n">
        <v>20</v>
      </c>
      <c r="AD65" s="210" t="n">
        <v>46.9168</v>
      </c>
      <c r="AE65" s="237" t="n">
        <v>9.383360000000001</v>
      </c>
      <c r="AF65" t="b">
        <v>0</v>
      </c>
      <c r="AG65" s="228" t="n">
        <v>-46.9168</v>
      </c>
    </row>
    <row r="66">
      <c r="A66">
        <f>I66&amp;"-"&amp;J66</f>
        <v/>
      </c>
      <c r="B66" s="1">
        <f>N66</f>
        <v/>
      </c>
      <c r="C66">
        <f>M66&amp;"/"&amp;O66</f>
        <v/>
      </c>
      <c r="D66">
        <f>K66</f>
        <v/>
      </c>
      <c r="E66">
        <f>L66</f>
        <v/>
      </c>
      <c r="F66" s="236">
        <f>Z66</f>
        <v/>
      </c>
      <c r="G66">
        <f>U66&amp;"%"</f>
        <v/>
      </c>
      <c r="I66" s="53" t="n">
        <v>2021</v>
      </c>
      <c r="J66" s="53" t="n">
        <v>65</v>
      </c>
      <c r="K66" s="71" t="inlineStr">
        <is>
          <t>Ausgaben</t>
        </is>
      </c>
      <c r="L66" t="inlineStr">
        <is>
          <t>sonstige Betriebsausgaben</t>
        </is>
      </c>
      <c r="M66" s="9" t="inlineStr">
        <is>
          <t>174264207124-1, 174264207124-2</t>
        </is>
      </c>
      <c r="N66" s="1" t="n">
        <v>44305</v>
      </c>
      <c r="O66" t="inlineStr">
        <is>
          <t>Google Ireland Ltd., Gordon House, Barrow Street, Dublin 4, Ireland; VAT ID: IE 6388047V</t>
        </is>
      </c>
      <c r="Q66" s="76" t="n"/>
      <c r="R66" t="b">
        <v>0</v>
      </c>
      <c r="S66" s="214" t="n">
        <v>54.07</v>
      </c>
      <c r="T66" s="159" t="n">
        <v>1</v>
      </c>
      <c r="U66" t="n">
        <v>0</v>
      </c>
      <c r="V66" s="237" t="n">
        <v>0</v>
      </c>
      <c r="W66" s="237" t="n">
        <v>0</v>
      </c>
      <c r="X66" s="208" t="n">
        <v>54.07</v>
      </c>
      <c r="Y66" s="251" t="n">
        <v>54.07</v>
      </c>
      <c r="Z66" s="251" t="n">
        <v>54.07</v>
      </c>
      <c r="AA66" s="35" t="n">
        <v>44423</v>
      </c>
      <c r="AB66" s="27" t="n"/>
      <c r="AC66" s="27" t="n">
        <v>20</v>
      </c>
      <c r="AD66" s="210" t="n">
        <v>54.07</v>
      </c>
      <c r="AE66" s="237" t="n">
        <v>10.814</v>
      </c>
      <c r="AF66" t="b">
        <v>0</v>
      </c>
      <c r="AG66" s="228" t="n">
        <v>-54.07</v>
      </c>
    </row>
    <row r="67">
      <c r="A67">
        <f>I67&amp;"-"&amp;J67</f>
        <v/>
      </c>
      <c r="B67" s="1">
        <f>N67</f>
        <v/>
      </c>
      <c r="C67">
        <f>M67&amp;"/"&amp;O67</f>
        <v/>
      </c>
      <c r="D67">
        <f>K67</f>
        <v/>
      </c>
      <c r="E67">
        <f>L67</f>
        <v/>
      </c>
      <c r="F67" s="236">
        <f>Z67</f>
        <v/>
      </c>
      <c r="G67">
        <f>U67&amp;"%"</f>
        <v/>
      </c>
      <c r="I67" s="53" t="n">
        <v>2021</v>
      </c>
      <c r="J67" s="53" t="n">
        <v>66</v>
      </c>
      <c r="K67" s="71" t="inlineStr">
        <is>
          <t>Ausgaben</t>
        </is>
      </c>
      <c r="L67" t="inlineStr">
        <is>
          <t>Miet- und Pachtaufwand, Leasing</t>
        </is>
      </c>
      <c r="M67" s="9" t="inlineStr">
        <is>
          <t>Mahnung</t>
        </is>
      </c>
      <c r="N67" s="1" t="n">
        <v>44309</v>
      </c>
      <c r="O67" t="inlineStr">
        <is>
          <t>Bontus Immobilienverwaltung GmbH, 1010 Wien, Franz Josefs Kai 65 Mahnsaldo 23.4.21</t>
        </is>
      </c>
      <c r="Q67" s="76" t="n"/>
      <c r="R67" t="b">
        <v>0</v>
      </c>
      <c r="S67" s="214" t="n">
        <v>8.025</v>
      </c>
      <c r="T67" s="159" t="n">
        <v>1</v>
      </c>
      <c r="U67" t="n">
        <v>20</v>
      </c>
      <c r="V67" s="237" t="n">
        <v>1.605</v>
      </c>
      <c r="W67" s="237" t="n">
        <v>1.605</v>
      </c>
      <c r="X67" s="208" t="n">
        <v>8.025</v>
      </c>
      <c r="Y67" s="251" t="n">
        <v>9.630000000000001</v>
      </c>
      <c r="Z67" s="251" t="n">
        <v>9.630000000000001</v>
      </c>
      <c r="AA67" s="35" t="n">
        <v>44423</v>
      </c>
      <c r="AB67" s="27" t="n"/>
      <c r="AC67" s="27" t="n"/>
      <c r="AD67" s="210" t="n">
        <v>8.025</v>
      </c>
      <c r="AE67" s="237" t="n">
        <v>0</v>
      </c>
      <c r="AF67" t="b">
        <v>0</v>
      </c>
      <c r="AG67" s="228" t="n">
        <v>-8.025</v>
      </c>
    </row>
    <row r="68">
      <c r="A68">
        <f>I68&amp;"-"&amp;J68</f>
        <v/>
      </c>
      <c r="B68" s="1">
        <f>N68</f>
        <v/>
      </c>
      <c r="C68">
        <f>M68&amp;"/"&amp;O68</f>
        <v/>
      </c>
      <c r="D68">
        <f>K68</f>
        <v/>
      </c>
      <c r="E68">
        <f>L68</f>
        <v/>
      </c>
      <c r="F68" s="236">
        <f>Z68</f>
        <v/>
      </c>
      <c r="G68">
        <f>U68&amp;"%"</f>
        <v/>
      </c>
      <c r="I68" s="53" t="n">
        <v>2021</v>
      </c>
      <c r="J68" s="53" t="n">
        <v>67</v>
      </c>
      <c r="K68" s="71" t="inlineStr">
        <is>
          <t>Ausgaben</t>
        </is>
      </c>
      <c r="L68" t="inlineStr">
        <is>
          <t>Miet- und Pachtaufwand, Leasing</t>
        </is>
      </c>
      <c r="M68" s="9" t="inlineStr">
        <is>
          <t>Mahnung</t>
        </is>
      </c>
      <c r="N68" s="1" t="n">
        <v>44309</v>
      </c>
      <c r="O68" t="inlineStr">
        <is>
          <t>Bontus Immobilienverwaltung GmbH, 1010 Wien, Franz Josefs Kai 65 Mahngebühr 23.4.21</t>
        </is>
      </c>
      <c r="Q68" s="76" t="n"/>
      <c r="R68" t="b">
        <v>0</v>
      </c>
      <c r="S68" s="214" t="n">
        <v>8</v>
      </c>
      <c r="T68" s="159" t="n">
        <v>1</v>
      </c>
      <c r="U68" t="n">
        <v>0</v>
      </c>
      <c r="V68" s="237" t="n">
        <v>0</v>
      </c>
      <c r="W68" s="237" t="n">
        <v>0</v>
      </c>
      <c r="X68" s="208" t="n">
        <v>8</v>
      </c>
      <c r="Y68" s="251" t="n">
        <v>8</v>
      </c>
      <c r="Z68" s="251" t="n">
        <v>8</v>
      </c>
      <c r="AA68" s="35" t="n">
        <v>44423</v>
      </c>
      <c r="AB68" s="27" t="n"/>
      <c r="AC68" s="27" t="n"/>
      <c r="AD68" s="210" t="n">
        <v>8</v>
      </c>
      <c r="AE68" s="237" t="n">
        <v>0</v>
      </c>
      <c r="AF68" t="b">
        <v>0</v>
      </c>
      <c r="AG68" s="228" t="n">
        <v>-8</v>
      </c>
    </row>
    <row r="69">
      <c r="A69">
        <f>I69&amp;"-"&amp;J69</f>
        <v/>
      </c>
      <c r="B69" s="1">
        <f>N69</f>
        <v/>
      </c>
      <c r="C69">
        <f>M69&amp;"/"&amp;O69</f>
        <v/>
      </c>
      <c r="D69">
        <f>K69</f>
        <v/>
      </c>
      <c r="E69">
        <f>L69</f>
        <v/>
      </c>
      <c r="F69" s="236">
        <f>Z69</f>
        <v/>
      </c>
      <c r="G69">
        <f>U69&amp;"%"</f>
        <v/>
      </c>
      <c r="I69" s="53" t="n">
        <v>2021</v>
      </c>
      <c r="J69" s="53" t="n">
        <v>68</v>
      </c>
      <c r="K69" s="71" t="inlineStr">
        <is>
          <t>Ausgaben</t>
        </is>
      </c>
      <c r="L69" t="inlineStr">
        <is>
          <t>Telefon/Internet</t>
        </is>
      </c>
      <c r="M69" s="136" t="inlineStr">
        <is>
          <t>901200150421</t>
        </is>
      </c>
      <c r="N69" s="1" t="n">
        <v>44314</v>
      </c>
      <c r="O69" t="inlineStr">
        <is>
          <t>Magenta: T-Mobile Austria GmbH, A-1120 Wien, PF 47</t>
        </is>
      </c>
      <c r="Q69" s="76" t="n"/>
      <c r="R69" t="b">
        <v>0</v>
      </c>
      <c r="S69" s="214" t="n">
        <v>31.92</v>
      </c>
      <c r="T69" s="159" t="n">
        <v>1</v>
      </c>
      <c r="U69" t="n">
        <v>20</v>
      </c>
      <c r="V69" s="237" t="n">
        <v>6.384000000000001</v>
      </c>
      <c r="W69" s="237" t="n">
        <v>6.384000000000001</v>
      </c>
      <c r="X69" s="208" t="n">
        <v>31.92</v>
      </c>
      <c r="Y69" s="251" t="n">
        <v>38.304</v>
      </c>
      <c r="Z69" s="251" t="n">
        <v>38.304</v>
      </c>
      <c r="AA69" s="35" t="n">
        <v>44423</v>
      </c>
      <c r="AB69" s="27" t="n"/>
      <c r="AC69" s="27" t="n"/>
      <c r="AD69" s="210" t="n">
        <v>31.92</v>
      </c>
      <c r="AE69" s="237" t="n">
        <v>0</v>
      </c>
      <c r="AF69" t="b">
        <v>0</v>
      </c>
      <c r="AG69" s="228" t="n">
        <v>-31.92</v>
      </c>
    </row>
    <row r="70">
      <c r="A70">
        <f>I70&amp;"-"&amp;J70</f>
        <v/>
      </c>
      <c r="B70" s="1">
        <f>N70</f>
        <v/>
      </c>
      <c r="C70">
        <f>M70&amp;"/"&amp;O70</f>
        <v/>
      </c>
      <c r="D70">
        <f>K70</f>
        <v/>
      </c>
      <c r="E70">
        <f>L70</f>
        <v/>
      </c>
      <c r="F70" s="236">
        <f>Z70</f>
        <v/>
      </c>
      <c r="G70">
        <f>U70&amp;"%"</f>
        <v/>
      </c>
      <c r="I70" s="53" t="n">
        <v>2021</v>
      </c>
      <c r="J70" s="53" t="n">
        <v>69</v>
      </c>
      <c r="K70" s="71" t="inlineStr">
        <is>
          <t>Einnahmen</t>
        </is>
      </c>
      <c r="L70" t="inlineStr">
        <is>
          <t>Waren-/Leistungserlöse</t>
        </is>
      </c>
      <c r="M70" s="9" t="inlineStr">
        <is>
          <t>R12021012</t>
        </is>
      </c>
      <c r="N70" s="1" t="n">
        <v>44316</v>
      </c>
      <c r="O70" t="inlineStr">
        <is>
          <t>Musikschule Bad Vöslau, Hauptstraße 14, 2540 Bad Vöslau</t>
        </is>
      </c>
      <c r="Q70" s="76" t="n"/>
      <c r="R70" t="b">
        <v>0</v>
      </c>
      <c r="S70" s="214" t="n">
        <v>44.5</v>
      </c>
      <c r="T70" s="159" t="n">
        <v>1</v>
      </c>
      <c r="U70" t="n">
        <v>20</v>
      </c>
      <c r="V70" s="237" t="n">
        <v>8.9</v>
      </c>
      <c r="W70" s="237" t="n">
        <v>8.9</v>
      </c>
      <c r="X70" s="208" t="n">
        <v>44.5</v>
      </c>
      <c r="Y70" s="251" t="n">
        <v>53.4</v>
      </c>
      <c r="Z70" s="251" t="n">
        <v>53.4</v>
      </c>
      <c r="AA70" s="35" t="n">
        <v>44423</v>
      </c>
      <c r="AB70" s="27" t="n"/>
      <c r="AC70" s="27" t="n"/>
      <c r="AD70" s="210" t="n">
        <v>44.5</v>
      </c>
      <c r="AE70" s="237" t="n">
        <v>0</v>
      </c>
      <c r="AF70" t="b">
        <v>0</v>
      </c>
      <c r="AG70" s="228" t="n">
        <v>44.5</v>
      </c>
    </row>
    <row r="71">
      <c r="A71">
        <f>I71&amp;"-"&amp;J71</f>
        <v/>
      </c>
      <c r="B71" s="1">
        <f>N71</f>
        <v/>
      </c>
      <c r="C71">
        <f>M71&amp;"/"&amp;O71</f>
        <v/>
      </c>
      <c r="D71">
        <f>K71</f>
        <v/>
      </c>
      <c r="E71">
        <f>L71</f>
        <v/>
      </c>
      <c r="F71" s="236">
        <f>Z71</f>
        <v/>
      </c>
      <c r="G71">
        <f>U71&amp;"%"</f>
        <v/>
      </c>
      <c r="I71" s="53" t="n">
        <v>2021</v>
      </c>
      <c r="J71" s="53" t="n">
        <v>70</v>
      </c>
      <c r="K71" s="71" t="inlineStr">
        <is>
          <t>Ausgaben</t>
        </is>
      </c>
      <c r="L71" t="inlineStr">
        <is>
          <t>Telefon/Internet</t>
        </is>
      </c>
      <c r="M71" s="9" t="inlineStr">
        <is>
          <t>6221032088</t>
        </is>
      </c>
      <c r="N71" s="1" t="n">
        <v>44319</v>
      </c>
      <c r="O71" t="inlineStr">
        <is>
          <t>Hutchison Drei Austria GmbH, Brünner Straße 52, 1210 Wien, Österreich</t>
        </is>
      </c>
      <c r="Q71" s="76" t="n"/>
      <c r="R71" t="b">
        <v>0</v>
      </c>
      <c r="S71" s="214" t="n">
        <v>15</v>
      </c>
      <c r="T71" s="159" t="n">
        <v>1</v>
      </c>
      <c r="U71" t="n">
        <v>20</v>
      </c>
      <c r="V71" s="237" t="n">
        <v>3</v>
      </c>
      <c r="W71" s="237" t="n">
        <v>3</v>
      </c>
      <c r="X71" s="208" t="n">
        <v>15</v>
      </c>
      <c r="Y71" s="251" t="n">
        <v>18</v>
      </c>
      <c r="Z71" s="251" t="n">
        <v>18</v>
      </c>
      <c r="AA71" s="35" t="n">
        <v>44423</v>
      </c>
      <c r="AB71" s="27" t="n"/>
      <c r="AC71" s="27" t="n"/>
      <c r="AD71" s="210" t="n">
        <v>15</v>
      </c>
      <c r="AE71" s="237" t="n">
        <v>0</v>
      </c>
      <c r="AF71" t="b">
        <v>0</v>
      </c>
      <c r="AG71" s="228" t="n">
        <v>-15</v>
      </c>
    </row>
    <row r="72">
      <c r="A72">
        <f>I72&amp;"-"&amp;J72</f>
        <v/>
      </c>
      <c r="B72" s="1">
        <f>N72</f>
        <v/>
      </c>
      <c r="C72">
        <f>M72&amp;"/"&amp;O72</f>
        <v/>
      </c>
      <c r="D72">
        <f>K72</f>
        <v/>
      </c>
      <c r="E72">
        <f>L72</f>
        <v/>
      </c>
      <c r="F72" s="236">
        <f>Z72</f>
        <v/>
      </c>
      <c r="G72">
        <f>U72&amp;"%"</f>
        <v/>
      </c>
      <c r="I72" s="53" t="n">
        <v>2021</v>
      </c>
      <c r="J72" s="53" t="n">
        <v>71</v>
      </c>
      <c r="K72" s="71" t="inlineStr">
        <is>
          <t>Ausgaben</t>
        </is>
      </c>
      <c r="L72" t="inlineStr">
        <is>
          <t>Miet- und Pachtaufwand, Leasing</t>
        </is>
      </c>
      <c r="M72" s="136" t="inlineStr">
        <is>
          <t>21/9801/VS00412</t>
        </is>
      </c>
      <c r="N72" s="1" t="n">
        <v>44319</v>
      </c>
      <c r="O72" t="inlineStr">
        <is>
          <t>Bontus Immobilienverwaltung GmbH, 1010 Wien, Franz Josefs Kai 65</t>
        </is>
      </c>
      <c r="Q72" s="76" t="n"/>
      <c r="R72" t="b">
        <v>0</v>
      </c>
      <c r="S72" s="214" t="n">
        <v>470.4666666666666</v>
      </c>
      <c r="T72" s="159" t="n">
        <v>1</v>
      </c>
      <c r="U72" t="n">
        <v>20</v>
      </c>
      <c r="V72" s="237" t="n">
        <v>94.09333333333332</v>
      </c>
      <c r="W72" s="237" t="n">
        <v>94.09333333333332</v>
      </c>
      <c r="X72" s="208" t="n">
        <v>470.4666666666666</v>
      </c>
      <c r="Y72" s="251" t="n">
        <v>564.5599999999999</v>
      </c>
      <c r="Z72" s="251" t="n">
        <v>564.5599999999999</v>
      </c>
      <c r="AA72" s="35" t="n">
        <v>44423</v>
      </c>
      <c r="AB72" s="27" t="n"/>
      <c r="AC72" s="27" t="n"/>
      <c r="AD72" s="210" t="n">
        <v>470.4666666666666</v>
      </c>
      <c r="AE72" s="237" t="n">
        <v>0</v>
      </c>
      <c r="AF72" t="b">
        <v>0</v>
      </c>
      <c r="AG72" s="228" t="n">
        <v>-470.4666666666666</v>
      </c>
    </row>
    <row r="73">
      <c r="A73">
        <f>I73&amp;"-"&amp;J73</f>
        <v/>
      </c>
      <c r="B73" s="1">
        <f>N73</f>
        <v/>
      </c>
      <c r="C73">
        <f>M73&amp;"/"&amp;O73</f>
        <v/>
      </c>
      <c r="D73">
        <f>K73</f>
        <v/>
      </c>
      <c r="E73">
        <f>L73</f>
        <v/>
      </c>
      <c r="F73" s="236">
        <f>Z73</f>
        <v/>
      </c>
      <c r="G73">
        <f>U73&amp;"%"</f>
        <v/>
      </c>
      <c r="I73" s="53" t="n">
        <v>2021</v>
      </c>
      <c r="J73" s="53" t="n">
        <v>72</v>
      </c>
      <c r="K73" s="71" t="inlineStr">
        <is>
          <t>Ausgaben</t>
        </is>
      </c>
      <c r="L73" t="inlineStr">
        <is>
          <t>Reise- und Fahrtspesen inkl. Kilometergeld und Diäten</t>
        </is>
      </c>
      <c r="M73" s="131" t="inlineStr">
        <is>
          <t>4293000000020500</t>
        </is>
      </c>
      <c r="N73" s="1" t="n">
        <v>44319</v>
      </c>
      <c r="O73" t="inlineStr">
        <is>
          <t>car2go Österreich GmbH, Hintere Zollamtstraße 9, 1030 Wien</t>
        </is>
      </c>
      <c r="Q73" s="76" t="n"/>
      <c r="R73" t="b">
        <v>0</v>
      </c>
      <c r="S73" s="214" t="n">
        <v>30.73</v>
      </c>
      <c r="T73" s="159" t="n">
        <v>1</v>
      </c>
      <c r="U73" t="n">
        <v>20</v>
      </c>
      <c r="V73" s="237" t="n">
        <v>6.146</v>
      </c>
      <c r="W73" s="237" t="n">
        <v>6.146</v>
      </c>
      <c r="X73" s="208" t="n">
        <v>30.73</v>
      </c>
      <c r="Y73" s="251" t="n">
        <v>36.876</v>
      </c>
      <c r="Z73" s="251" t="n">
        <v>36.876</v>
      </c>
      <c r="AA73" s="35" t="n">
        <v>44423</v>
      </c>
      <c r="AB73" s="27" t="n"/>
      <c r="AC73" s="27" t="n"/>
      <c r="AD73" s="210" t="n">
        <v>30.73</v>
      </c>
      <c r="AE73" s="237" t="n">
        <v>0</v>
      </c>
      <c r="AF73" t="b">
        <v>0</v>
      </c>
      <c r="AG73" s="228" t="n">
        <v>-30.73</v>
      </c>
    </row>
    <row r="74">
      <c r="A74">
        <f>I74&amp;"-"&amp;J74</f>
        <v/>
      </c>
      <c r="B74" s="1">
        <f>N74</f>
        <v/>
      </c>
      <c r="C74">
        <f>M74&amp;"/"&amp;O74</f>
        <v/>
      </c>
      <c r="D74">
        <f>K74</f>
        <v/>
      </c>
      <c r="E74">
        <f>L74</f>
        <v/>
      </c>
      <c r="F74" s="236">
        <f>Z74</f>
        <v/>
      </c>
      <c r="G74">
        <f>U74&amp;"%"</f>
        <v/>
      </c>
      <c r="I74" s="53" t="n">
        <v>2021</v>
      </c>
      <c r="J74" s="53" t="n">
        <v>73</v>
      </c>
      <c r="K74" s="71" t="inlineStr">
        <is>
          <t>Ausgaben</t>
        </is>
      </c>
      <c r="L74" t="inlineStr">
        <is>
          <t>sonstige Betriebsausgaben</t>
        </is>
      </c>
      <c r="M74" s="9" t="inlineStr">
        <is>
          <t>60793/100/2021</t>
        </is>
      </c>
      <c r="N74" s="1" t="n">
        <v>44321</v>
      </c>
      <c r="O74" t="inlineStr">
        <is>
          <t>easy green energy GmbH &amp; Co KG</t>
        </is>
      </c>
      <c r="Q74" s="76" t="n"/>
      <c r="R74" t="b">
        <v>0</v>
      </c>
      <c r="S74" s="214" t="n">
        <v>2.5</v>
      </c>
      <c r="T74" s="159" t="n">
        <v>1</v>
      </c>
      <c r="U74" t="n">
        <v>20</v>
      </c>
      <c r="V74" s="237" t="n">
        <v>0.5</v>
      </c>
      <c r="W74" s="237" t="n">
        <v>0.5</v>
      </c>
      <c r="X74" s="208" t="n">
        <v>2.5</v>
      </c>
      <c r="Y74" s="251" t="n">
        <v>3</v>
      </c>
      <c r="Z74" s="251" t="n">
        <v>3</v>
      </c>
      <c r="AA74" s="35" t="n">
        <v>44423</v>
      </c>
      <c r="AB74" s="27" t="n"/>
      <c r="AC74" s="27" t="n"/>
      <c r="AD74" s="210" t="n">
        <v>2.5</v>
      </c>
      <c r="AE74" s="237" t="n">
        <v>0</v>
      </c>
      <c r="AF74" t="b">
        <v>0</v>
      </c>
      <c r="AG74" s="228" t="n">
        <v>-2.5</v>
      </c>
    </row>
    <row r="75">
      <c r="A75">
        <f>I75&amp;"-"&amp;J75</f>
        <v/>
      </c>
      <c r="B75" s="1">
        <f>N75</f>
        <v/>
      </c>
      <c r="C75">
        <f>M75&amp;"/"&amp;O75</f>
        <v/>
      </c>
      <c r="D75">
        <f>K75</f>
        <v/>
      </c>
      <c r="E75">
        <f>L75</f>
        <v/>
      </c>
      <c r="F75" s="236">
        <f>Z75</f>
        <v/>
      </c>
      <c r="G75">
        <f>U75&amp;"%"</f>
        <v/>
      </c>
      <c r="I75" s="53" t="n">
        <v>2021</v>
      </c>
      <c r="J75" s="53" t="n">
        <v>74</v>
      </c>
      <c r="K75" s="71" t="inlineStr">
        <is>
          <t>Ausgaben</t>
        </is>
      </c>
      <c r="L75" t="inlineStr">
        <is>
          <t>sonstige Betriebsausgaben</t>
        </is>
      </c>
      <c r="M75" s="9" t="inlineStr">
        <is>
          <t>VS/19-01-05428</t>
        </is>
      </c>
      <c r="N75" s="1" t="n">
        <v>44321</v>
      </c>
      <c r="O75" t="inlineStr">
        <is>
          <t>Techem Messtechnik GmbH; Abnehmernummer 501686-0003-11-( (NACHTRAG 25.12.)</t>
        </is>
      </c>
      <c r="Q75" s="76" t="n"/>
      <c r="R75" t="b">
        <v>0</v>
      </c>
      <c r="S75" s="214" t="n">
        <v>35</v>
      </c>
      <c r="T75" s="159" t="n">
        <v>1</v>
      </c>
      <c r="U75" t="n">
        <v>20</v>
      </c>
      <c r="V75" s="237" t="n">
        <v>7</v>
      </c>
      <c r="W75" s="237" t="n">
        <v>7</v>
      </c>
      <c r="X75" s="208" t="n">
        <v>35</v>
      </c>
      <c r="Y75" s="251" t="n">
        <v>42</v>
      </c>
      <c r="Z75" s="251" t="n">
        <v>42</v>
      </c>
      <c r="AA75" s="35" t="n">
        <v>44423</v>
      </c>
      <c r="AB75" s="27" t="n"/>
      <c r="AC75" s="27" t="n"/>
      <c r="AD75" s="210" t="n">
        <v>35</v>
      </c>
      <c r="AE75" s="237" t="n">
        <v>0</v>
      </c>
      <c r="AF75" t="b">
        <v>0</v>
      </c>
      <c r="AG75" s="228" t="n">
        <v>-35</v>
      </c>
    </row>
    <row r="76">
      <c r="A76">
        <f>I76&amp;"-"&amp;J76</f>
        <v/>
      </c>
      <c r="B76" s="1">
        <f>N76</f>
        <v/>
      </c>
      <c r="C76">
        <f>M76&amp;"/"&amp;O76</f>
        <v/>
      </c>
      <c r="D76">
        <f>K76</f>
        <v/>
      </c>
      <c r="E76">
        <f>L76</f>
        <v/>
      </c>
      <c r="F76" s="236">
        <f>Z76</f>
        <v/>
      </c>
      <c r="G76">
        <f>U76&amp;"%"</f>
        <v/>
      </c>
      <c r="I76" s="53" t="n">
        <v>2021</v>
      </c>
      <c r="J76" s="53" t="n">
        <v>75</v>
      </c>
      <c r="K76" s="71" t="inlineStr">
        <is>
          <t>Ausgaben</t>
        </is>
      </c>
      <c r="L76" t="inlineStr">
        <is>
          <t>sonstige Betriebsausgaben</t>
        </is>
      </c>
      <c r="M76" s="9" t="inlineStr">
        <is>
          <t>R0013299838</t>
        </is>
      </c>
      <c r="N76" s="1" t="n">
        <v>44322</v>
      </c>
      <c r="O76" t="inlineStr">
        <is>
          <t>Hetzner Online GmbH</t>
        </is>
      </c>
      <c r="Q76" s="76" t="inlineStr">
        <is>
          <t>ja</t>
        </is>
      </c>
      <c r="R76" t="b">
        <v>0</v>
      </c>
      <c r="S76" s="214" t="n">
        <v>2.49</v>
      </c>
      <c r="T76" s="159" t="n">
        <v>1</v>
      </c>
      <c r="U76" t="n">
        <v>0</v>
      </c>
      <c r="V76" s="237" t="n">
        <v>0</v>
      </c>
      <c r="W76" s="237" t="n">
        <v>0</v>
      </c>
      <c r="X76" s="208" t="n">
        <v>2.49</v>
      </c>
      <c r="Y76" s="251" t="n">
        <v>2.49</v>
      </c>
      <c r="Z76" s="251" t="n">
        <v>2.49</v>
      </c>
      <c r="AA76" s="35" t="n">
        <v>44423</v>
      </c>
      <c r="AB76" s="27" t="n"/>
      <c r="AC76" s="27" t="n">
        <v>20</v>
      </c>
      <c r="AD76" s="210" t="n">
        <v>2.49</v>
      </c>
      <c r="AE76" s="237" t="n">
        <v>0.4980000000000001</v>
      </c>
      <c r="AF76" t="b">
        <v>0</v>
      </c>
      <c r="AG76" s="228" t="n">
        <v>-2.49</v>
      </c>
    </row>
    <row r="77">
      <c r="A77">
        <f>I77&amp;"-"&amp;J77</f>
        <v/>
      </c>
      <c r="B77" s="1">
        <f>N77</f>
        <v/>
      </c>
      <c r="C77">
        <f>M77&amp;"/"&amp;O77</f>
        <v/>
      </c>
      <c r="D77">
        <f>K77</f>
        <v/>
      </c>
      <c r="E77">
        <f>L77</f>
        <v/>
      </c>
      <c r="F77" s="236">
        <f>Z77</f>
        <v/>
      </c>
      <c r="G77">
        <f>U77&amp;"%"</f>
        <v/>
      </c>
      <c r="I77" s="53" t="n">
        <v>2021</v>
      </c>
      <c r="J77" s="53" t="n">
        <v>76</v>
      </c>
      <c r="K77" s="71" t="inlineStr">
        <is>
          <t>Ausgaben</t>
        </is>
      </c>
      <c r="L77" t="inlineStr">
        <is>
          <t>sonstige Betriebsausgaben</t>
        </is>
      </c>
      <c r="M77" s="9" t="inlineStr">
        <is>
          <t>5137082649</t>
        </is>
      </c>
      <c r="N77" s="1" t="n">
        <v>44326</v>
      </c>
      <c r="O77" t="inlineStr">
        <is>
          <t>Wiener Netze GmbH, Erdbergstraße 236, 1110 Wien, Postfach 422; Jahresabrechnung vom 17.12.20: GUTSCHRIFT</t>
        </is>
      </c>
      <c r="Q77" s="76" t="n"/>
      <c r="R77" t="b">
        <v>0</v>
      </c>
      <c r="S77" s="214" t="n">
        <v>13</v>
      </c>
      <c r="T77" s="159" t="n">
        <v>1</v>
      </c>
      <c r="U77" t="n">
        <v>20</v>
      </c>
      <c r="V77" s="237" t="n">
        <v>2.6</v>
      </c>
      <c r="W77" s="237" t="n">
        <v>2.6</v>
      </c>
      <c r="X77" s="208" t="n">
        <v>13</v>
      </c>
      <c r="Y77" s="251" t="n">
        <v>15.6</v>
      </c>
      <c r="Z77" s="251" t="n">
        <v>15.6</v>
      </c>
      <c r="AA77" s="35" t="n">
        <v>44423</v>
      </c>
      <c r="AB77" s="27" t="n"/>
      <c r="AC77" s="27" t="n"/>
      <c r="AD77" s="210" t="n">
        <v>13</v>
      </c>
      <c r="AE77" s="237" t="n">
        <v>0</v>
      </c>
      <c r="AF77" t="b">
        <v>0</v>
      </c>
      <c r="AG77" s="228" t="n">
        <v>-13</v>
      </c>
    </row>
    <row r="78">
      <c r="A78">
        <f>I78&amp;"-"&amp;J78</f>
        <v/>
      </c>
      <c r="B78" s="1">
        <f>N78</f>
        <v/>
      </c>
      <c r="C78">
        <f>M78&amp;"/"&amp;O78</f>
        <v/>
      </c>
      <c r="D78">
        <f>K78</f>
        <v/>
      </c>
      <c r="E78">
        <f>L78</f>
        <v/>
      </c>
      <c r="F78" s="236">
        <f>Z78</f>
        <v/>
      </c>
      <c r="G78">
        <f>U78&amp;"%"</f>
        <v/>
      </c>
      <c r="I78" s="53" t="n">
        <v>2021</v>
      </c>
      <c r="J78" s="53" t="n">
        <v>77</v>
      </c>
      <c r="K78" s="71" t="inlineStr">
        <is>
          <t>Ausgaben</t>
        </is>
      </c>
      <c r="L78" t="inlineStr">
        <is>
          <t>sonstige Betriebsausgaben</t>
        </is>
      </c>
      <c r="M78" s="9" t="inlineStr">
        <is>
          <t>R0013350626</t>
        </is>
      </c>
      <c r="N78" s="1" t="n">
        <v>44330</v>
      </c>
      <c r="O78" t="inlineStr">
        <is>
          <t>Hetzner Online GmbH</t>
        </is>
      </c>
      <c r="Q78" s="76" t="n"/>
      <c r="R78" t="b">
        <v>0</v>
      </c>
      <c r="S78" s="214" t="n">
        <v>46.9168</v>
      </c>
      <c r="T78" s="159" t="n">
        <v>1</v>
      </c>
      <c r="U78" t="n">
        <v>0</v>
      </c>
      <c r="V78" s="237" t="n">
        <v>0</v>
      </c>
      <c r="W78" s="237" t="n">
        <v>0</v>
      </c>
      <c r="X78" s="208" t="n">
        <v>46.9168</v>
      </c>
      <c r="Y78" s="251" t="n">
        <v>46.9168</v>
      </c>
      <c r="Z78" s="251" t="n">
        <v>46.9168</v>
      </c>
      <c r="AA78" s="35" t="n">
        <v>44423</v>
      </c>
      <c r="AB78" s="27" t="n"/>
      <c r="AC78" s="27" t="n">
        <v>20</v>
      </c>
      <c r="AD78" s="210" t="n">
        <v>46.9168</v>
      </c>
      <c r="AE78" s="237" t="n">
        <v>9.383360000000001</v>
      </c>
      <c r="AF78" t="b">
        <v>0</v>
      </c>
      <c r="AG78" s="228" t="n">
        <v>-46.9168</v>
      </c>
    </row>
    <row r="79">
      <c r="A79">
        <f>I79&amp;"-"&amp;J79</f>
        <v/>
      </c>
      <c r="B79" s="1">
        <f>N79</f>
        <v/>
      </c>
      <c r="C79">
        <f>M79&amp;"/"&amp;O79</f>
        <v/>
      </c>
      <c r="D79">
        <f>K79</f>
        <v/>
      </c>
      <c r="E79">
        <f>L79</f>
        <v/>
      </c>
      <c r="F79" s="236">
        <f>Z79</f>
        <v/>
      </c>
      <c r="G79">
        <f>U79&amp;"%"</f>
        <v/>
      </c>
      <c r="I79" s="53" t="n">
        <v>2021</v>
      </c>
      <c r="J79" s="53" t="n">
        <v>78</v>
      </c>
      <c r="K79" s="71" t="inlineStr">
        <is>
          <t>Ausgaben</t>
        </is>
      </c>
      <c r="L79" t="inlineStr">
        <is>
          <t>Telefon/Internet</t>
        </is>
      </c>
      <c r="M79" s="136" t="inlineStr">
        <is>
          <t>901191780521</t>
        </is>
      </c>
      <c r="N79" s="1" t="n">
        <v>44337</v>
      </c>
      <c r="O79" t="inlineStr">
        <is>
          <t>Magenta: T-Mobile Austria GmbH, A-1120 Wien, PF 47</t>
        </is>
      </c>
      <c r="Q79" s="76" t="n"/>
      <c r="R79" t="b">
        <v>0</v>
      </c>
      <c r="S79" s="214" t="n">
        <v>31.92</v>
      </c>
      <c r="T79" s="159" t="n">
        <v>1</v>
      </c>
      <c r="U79" t="n">
        <v>20</v>
      </c>
      <c r="V79" s="237" t="n">
        <v>6.384000000000001</v>
      </c>
      <c r="W79" s="237" t="n">
        <v>6.384000000000001</v>
      </c>
      <c r="X79" s="208" t="n">
        <v>31.92</v>
      </c>
      <c r="Y79" s="251" t="n">
        <v>38.304</v>
      </c>
      <c r="Z79" s="251" t="n">
        <v>38.304</v>
      </c>
      <c r="AA79" s="35" t="n">
        <v>44423</v>
      </c>
      <c r="AB79" s="27" t="n"/>
      <c r="AC79" s="27" t="n"/>
      <c r="AD79" s="210" t="n">
        <v>31.92</v>
      </c>
      <c r="AE79" s="237" t="n">
        <v>0</v>
      </c>
      <c r="AF79" t="b">
        <v>0</v>
      </c>
      <c r="AG79" s="228" t="n">
        <v>-31.92</v>
      </c>
    </row>
    <row r="80">
      <c r="A80">
        <f>I80&amp;"-"&amp;J80</f>
        <v/>
      </c>
      <c r="B80" s="1">
        <f>N80</f>
        <v/>
      </c>
      <c r="C80">
        <f>M80&amp;"/"&amp;O80</f>
        <v/>
      </c>
      <c r="D80">
        <f>K80</f>
        <v/>
      </c>
      <c r="E80">
        <f>L80</f>
        <v/>
      </c>
      <c r="F80" s="236">
        <f>Z80</f>
        <v/>
      </c>
      <c r="G80">
        <f>U80&amp;"%"</f>
        <v/>
      </c>
      <c r="I80" s="53" t="n">
        <v>2021</v>
      </c>
      <c r="J80" s="53" t="n">
        <v>79</v>
      </c>
      <c r="K80" s="71" t="inlineStr">
        <is>
          <t>Ausgaben</t>
        </is>
      </c>
      <c r="L80" t="inlineStr">
        <is>
          <t>Reise- und Fahrtspesen inkl. Kilometergeld und Diäten</t>
        </is>
      </c>
      <c r="M80" s="143" t="inlineStr">
        <is>
          <t>201112105252ALB-00016VG017S0</t>
        </is>
      </c>
      <c r="N80" s="1" t="n">
        <v>44341</v>
      </c>
      <c r="O80" t="inlineStr">
        <is>
          <t>Wiener Linien 1010</t>
        </is>
      </c>
      <c r="Q80" s="76" t="n"/>
      <c r="R80" t="b">
        <v>0</v>
      </c>
      <c r="S80" s="256" t="n">
        <v>2.181818181818182</v>
      </c>
      <c r="T80" s="146" t="n">
        <v>1</v>
      </c>
      <c r="U80" s="147" t="n">
        <v>10</v>
      </c>
      <c r="V80" s="237" t="n">
        <v>0.2181818181818182</v>
      </c>
      <c r="W80" s="237" t="n">
        <v>0.2181818181818182</v>
      </c>
      <c r="X80" s="208" t="n">
        <v>2.181818181818182</v>
      </c>
      <c r="Y80" s="251" t="n">
        <v>2.4</v>
      </c>
      <c r="Z80" s="251" t="n">
        <v>2.4</v>
      </c>
      <c r="AA80" s="35" t="n">
        <v>44423</v>
      </c>
      <c r="AB80" s="27" t="n"/>
      <c r="AC80" s="27" t="n"/>
      <c r="AD80" s="210" t="n">
        <v>2.181818181818182</v>
      </c>
      <c r="AE80" s="237" t="n">
        <v>0</v>
      </c>
      <c r="AF80" t="b">
        <v>0</v>
      </c>
      <c r="AG80" s="228" t="n">
        <v>-2.181818181818182</v>
      </c>
    </row>
    <row r="81">
      <c r="A81">
        <f>I81&amp;"-"&amp;J81</f>
        <v/>
      </c>
      <c r="B81" s="1">
        <f>N81</f>
        <v/>
      </c>
      <c r="C81">
        <f>M81&amp;"/"&amp;O81</f>
        <v/>
      </c>
      <c r="D81">
        <f>K81</f>
        <v/>
      </c>
      <c r="E81">
        <f>L81</f>
        <v/>
      </c>
      <c r="F81" s="236">
        <f>Z81</f>
        <v/>
      </c>
      <c r="G81">
        <f>U81&amp;"%"</f>
        <v/>
      </c>
      <c r="I81" s="53" t="n">
        <v>2021</v>
      </c>
      <c r="J81" s="53" t="n">
        <v>80</v>
      </c>
      <c r="K81" s="71" t="inlineStr">
        <is>
          <t>Ausgaben</t>
        </is>
      </c>
      <c r="L81" t="inlineStr">
        <is>
          <t>Telefon/Internet</t>
        </is>
      </c>
      <c r="M81" s="9" t="inlineStr">
        <is>
          <t>6222766899</t>
        </is>
      </c>
      <c r="N81" s="1" t="n">
        <v>44347</v>
      </c>
      <c r="O81" t="inlineStr">
        <is>
          <t>Hutchison Drei Austria GmbH, Brünner Straße 52, 1210 Wien, Österreich</t>
        </is>
      </c>
      <c r="Q81" s="76" t="n"/>
      <c r="R81" t="b">
        <v>0</v>
      </c>
      <c r="S81" s="214" t="n">
        <v>15</v>
      </c>
      <c r="T81" s="159" t="n">
        <v>1</v>
      </c>
      <c r="U81" t="n">
        <v>20</v>
      </c>
      <c r="V81" s="237" t="n">
        <v>3</v>
      </c>
      <c r="W81" s="237" t="n">
        <v>3</v>
      </c>
      <c r="X81" s="208" t="n">
        <v>15</v>
      </c>
      <c r="Y81" s="251" t="n">
        <v>18</v>
      </c>
      <c r="Z81" s="251" t="n">
        <v>18</v>
      </c>
      <c r="AA81" s="35" t="n">
        <v>44423</v>
      </c>
      <c r="AB81" s="27" t="n"/>
      <c r="AC81" s="27" t="n"/>
      <c r="AD81" s="210" t="n">
        <v>15</v>
      </c>
      <c r="AE81" s="237" t="n">
        <v>0</v>
      </c>
      <c r="AF81" t="b">
        <v>0</v>
      </c>
      <c r="AG81" s="228" t="n">
        <v>-15</v>
      </c>
    </row>
    <row r="82">
      <c r="A82">
        <f>I82&amp;"-"&amp;J82</f>
        <v/>
      </c>
      <c r="B82" s="1">
        <f>N82</f>
        <v/>
      </c>
      <c r="C82">
        <f>M82&amp;"/"&amp;O82</f>
        <v/>
      </c>
      <c r="D82">
        <f>K82</f>
        <v/>
      </c>
      <c r="E82">
        <f>L82</f>
        <v/>
      </c>
      <c r="F82" s="236">
        <f>Z82</f>
        <v/>
      </c>
      <c r="G82">
        <f>U82&amp;"%"</f>
        <v/>
      </c>
      <c r="I82" s="53" t="n">
        <v>2021</v>
      </c>
      <c r="J82" s="53" t="n">
        <v>81</v>
      </c>
      <c r="K82" s="71" t="inlineStr">
        <is>
          <t>Ausgaben</t>
        </is>
      </c>
      <c r="L82" t="inlineStr">
        <is>
          <t>Werbe- und Repräsentationsaufwand</t>
        </is>
      </c>
      <c r="M82" s="9" t="inlineStr">
        <is>
          <t>PRM321050004109</t>
        </is>
      </c>
      <c r="N82" s="1" t="n">
        <v>44347</v>
      </c>
      <c r="O82" t="inlineStr">
        <is>
          <t>New Work SE, Dammtorstraße 30, 20354 Hamburg</t>
        </is>
      </c>
      <c r="Q82" s="76" t="n"/>
      <c r="R82" t="b">
        <v>0</v>
      </c>
      <c r="S82" s="214" t="n">
        <v>24.88</v>
      </c>
      <c r="T82" s="159" t="n">
        <v>1</v>
      </c>
      <c r="U82" t="n">
        <v>0</v>
      </c>
      <c r="V82" s="237" t="n">
        <v>0</v>
      </c>
      <c r="W82" s="237" t="n">
        <v>0</v>
      </c>
      <c r="X82" s="208" t="n">
        <v>24.88</v>
      </c>
      <c r="Y82" s="251" t="n">
        <v>24.88</v>
      </c>
      <c r="Z82" s="251" t="n">
        <v>24.88</v>
      </c>
      <c r="AA82" s="35" t="n">
        <v>44423</v>
      </c>
      <c r="AB82" s="27" t="n"/>
      <c r="AC82" s="27" t="n">
        <v>20</v>
      </c>
      <c r="AD82" s="210" t="n">
        <v>24.88</v>
      </c>
      <c r="AE82" s="237" t="n">
        <v>4.976</v>
      </c>
      <c r="AF82" t="b">
        <v>0</v>
      </c>
      <c r="AG82" s="228" t="n">
        <v>-24.88</v>
      </c>
    </row>
    <row r="83">
      <c r="A83">
        <f>I83&amp;"-"&amp;J83</f>
        <v/>
      </c>
      <c r="B83" s="1">
        <f>N83</f>
        <v/>
      </c>
      <c r="C83">
        <f>M83&amp;"/"&amp;O83</f>
        <v/>
      </c>
      <c r="D83">
        <f>K83</f>
        <v/>
      </c>
      <c r="E83">
        <f>L83</f>
        <v/>
      </c>
      <c r="F83" s="236">
        <f>Z83</f>
        <v/>
      </c>
      <c r="G83">
        <f>U83&amp;"%"</f>
        <v/>
      </c>
      <c r="I83" s="53" t="n">
        <v>2021</v>
      </c>
      <c r="J83" s="53" t="n">
        <v>82</v>
      </c>
      <c r="K83" s="71" t="inlineStr">
        <is>
          <t>Ausgaben</t>
        </is>
      </c>
      <c r="L83" t="inlineStr">
        <is>
          <t>Miet- und Pachtaufwand, Leasing</t>
        </is>
      </c>
      <c r="M83" s="136" t="inlineStr">
        <is>
          <t>21/9801/VS00413</t>
        </is>
      </c>
      <c r="N83" s="1" t="n">
        <v>44348</v>
      </c>
      <c r="O83" t="inlineStr">
        <is>
          <t>Bontus Immobilienverwaltung GmbH, 1010 Wien, Franz Josefs Kai 65</t>
        </is>
      </c>
      <c r="Q83" s="76" t="n"/>
      <c r="R83" t="b">
        <v>0</v>
      </c>
      <c r="S83" s="214" t="n">
        <v>470.4666666666666</v>
      </c>
      <c r="T83" s="159" t="n">
        <v>1</v>
      </c>
      <c r="U83" t="n">
        <v>20</v>
      </c>
      <c r="V83" s="237" t="n">
        <v>94.09333333333332</v>
      </c>
      <c r="W83" s="237" t="n">
        <v>94.09333333333332</v>
      </c>
      <c r="X83" s="208" t="n">
        <v>470.4666666666666</v>
      </c>
      <c r="Y83" s="251" t="n">
        <v>564.5599999999999</v>
      </c>
      <c r="Z83" s="251" t="n">
        <v>564.5599999999999</v>
      </c>
      <c r="AA83" s="35" t="n">
        <v>44423</v>
      </c>
      <c r="AB83" s="27" t="n"/>
      <c r="AC83" s="27" t="n"/>
      <c r="AD83" s="210" t="n">
        <v>470.4666666666666</v>
      </c>
      <c r="AE83" s="237" t="n">
        <v>0</v>
      </c>
      <c r="AF83" t="b">
        <v>0</v>
      </c>
      <c r="AG83" s="228" t="n">
        <v>-470.4666666666666</v>
      </c>
    </row>
    <row r="84">
      <c r="A84">
        <f>I84&amp;"-"&amp;J84</f>
        <v/>
      </c>
      <c r="B84" s="1">
        <f>N84</f>
        <v/>
      </c>
      <c r="C84">
        <f>M84&amp;"/"&amp;O84</f>
        <v/>
      </c>
      <c r="D84">
        <f>K84</f>
        <v/>
      </c>
      <c r="E84">
        <f>L84</f>
        <v/>
      </c>
      <c r="F84" s="236">
        <f>Z84</f>
        <v/>
      </c>
      <c r="G84">
        <f>U84&amp;"%"</f>
        <v/>
      </c>
      <c r="I84" s="53" t="n">
        <v>2021</v>
      </c>
      <c r="J84" s="53" t="n">
        <v>83</v>
      </c>
      <c r="K84" s="71" t="inlineStr">
        <is>
          <t>Ausgaben</t>
        </is>
      </c>
      <c r="L84" t="inlineStr">
        <is>
          <t>Reise- und Fahrtspesen inkl. Kilometergeld und Diäten</t>
        </is>
      </c>
      <c r="M84" s="131" t="inlineStr">
        <is>
          <t>4293000000020970</t>
        </is>
      </c>
      <c r="N84" s="1" t="n">
        <v>44349</v>
      </c>
      <c r="O84" t="inlineStr">
        <is>
          <t>car2go Österreich GmbH, Hintere Zollamtstraße 9, 1030 Wien</t>
        </is>
      </c>
      <c r="Q84" s="76" t="n"/>
      <c r="R84" t="b">
        <v>0</v>
      </c>
      <c r="S84" s="214" t="n">
        <v>28.45</v>
      </c>
      <c r="T84" s="159" t="n">
        <v>1</v>
      </c>
      <c r="U84" t="n">
        <v>20</v>
      </c>
      <c r="V84" s="237" t="n">
        <v>5.69</v>
      </c>
      <c r="W84" s="237" t="n">
        <v>5.69</v>
      </c>
      <c r="X84" s="208" t="n">
        <v>28.45</v>
      </c>
      <c r="Y84" s="251" t="n">
        <v>34.14</v>
      </c>
      <c r="Z84" s="251" t="n">
        <v>34.14</v>
      </c>
      <c r="AA84" s="35" t="n">
        <v>44423</v>
      </c>
      <c r="AB84" s="27" t="n"/>
      <c r="AC84" s="27" t="n"/>
      <c r="AD84" s="210" t="n">
        <v>28.45</v>
      </c>
      <c r="AE84" s="237" t="n">
        <v>0</v>
      </c>
      <c r="AF84" t="b">
        <v>0</v>
      </c>
      <c r="AG84" s="228" t="n">
        <v>-28.45</v>
      </c>
    </row>
    <row r="85">
      <c r="A85">
        <f>I85&amp;"-"&amp;J85</f>
        <v/>
      </c>
      <c r="B85" s="1">
        <f>N85</f>
        <v/>
      </c>
      <c r="C85">
        <f>M85&amp;"/"&amp;O85</f>
        <v/>
      </c>
      <c r="D85">
        <f>K85</f>
        <v/>
      </c>
      <c r="E85">
        <f>L85</f>
        <v/>
      </c>
      <c r="F85" s="236">
        <f>Z85</f>
        <v/>
      </c>
      <c r="G85">
        <f>U85&amp;"%"</f>
        <v/>
      </c>
      <c r="I85" s="53" t="n">
        <v>2021</v>
      </c>
      <c r="J85" s="53" t="n">
        <v>84</v>
      </c>
      <c r="K85" s="71" t="inlineStr">
        <is>
          <t>Ausgaben</t>
        </is>
      </c>
      <c r="L85" t="inlineStr">
        <is>
          <t>sonstige Betriebsausgaben</t>
        </is>
      </c>
      <c r="M85" s="9" t="inlineStr">
        <is>
          <t>60793/100/2021</t>
        </is>
      </c>
      <c r="N85" s="1" t="n">
        <v>44351</v>
      </c>
      <c r="O85" t="inlineStr">
        <is>
          <t>easy green energy GmbH &amp; Co KG</t>
        </is>
      </c>
      <c r="Q85" s="76" t="n"/>
      <c r="R85" t="b">
        <v>0</v>
      </c>
      <c r="S85" s="214" t="n">
        <v>2.5</v>
      </c>
      <c r="T85" s="159" t="n">
        <v>1</v>
      </c>
      <c r="U85" t="n">
        <v>20</v>
      </c>
      <c r="V85" s="237" t="n">
        <v>0.5</v>
      </c>
      <c r="W85" s="237" t="n">
        <v>0.5</v>
      </c>
      <c r="X85" s="208" t="n">
        <v>2.5</v>
      </c>
      <c r="Y85" s="251" t="n">
        <v>3</v>
      </c>
      <c r="Z85" s="251" t="n">
        <v>3</v>
      </c>
      <c r="AA85" s="35" t="n">
        <v>44423</v>
      </c>
      <c r="AB85" s="27" t="n"/>
      <c r="AC85" s="27" t="n"/>
      <c r="AD85" s="210" t="n">
        <v>2.5</v>
      </c>
      <c r="AE85" s="237" t="n">
        <v>0</v>
      </c>
      <c r="AF85" t="b">
        <v>0</v>
      </c>
      <c r="AG85" s="228" t="n">
        <v>-2.5</v>
      </c>
    </row>
    <row r="86">
      <c r="A86">
        <f>I86&amp;"-"&amp;J86</f>
        <v/>
      </c>
      <c r="B86" s="1">
        <f>N86</f>
        <v/>
      </c>
      <c r="C86">
        <f>M86&amp;"/"&amp;O86</f>
        <v/>
      </c>
      <c r="D86">
        <f>K86</f>
        <v/>
      </c>
      <c r="E86">
        <f>L86</f>
        <v/>
      </c>
      <c r="F86" s="236">
        <f>Z86</f>
        <v/>
      </c>
      <c r="G86">
        <f>U86&amp;"%"</f>
        <v/>
      </c>
      <c r="I86" s="53" t="n">
        <v>2021</v>
      </c>
      <c r="J86" s="53" t="n">
        <v>85</v>
      </c>
      <c r="K86" s="71" t="inlineStr">
        <is>
          <t>Ausgaben</t>
        </is>
      </c>
      <c r="L86" t="inlineStr">
        <is>
          <t>sonstige Betriebsausgaben</t>
        </is>
      </c>
      <c r="M86" s="9" t="inlineStr">
        <is>
          <t>VS/19-01-05428</t>
        </is>
      </c>
      <c r="N86" s="1" t="n">
        <v>44354</v>
      </c>
      <c r="O86" t="inlineStr">
        <is>
          <t>Techem Messtechnik GmbH; Abnehmernummer 501686-0003-11-( (NACHTRAG 25.12.)</t>
        </is>
      </c>
      <c r="Q86" s="76" t="n"/>
      <c r="R86" t="b">
        <v>0</v>
      </c>
      <c r="S86" s="214" t="n">
        <v>35</v>
      </c>
      <c r="T86" s="159" t="n">
        <v>1</v>
      </c>
      <c r="U86" t="n">
        <v>20</v>
      </c>
      <c r="V86" s="237" t="n">
        <v>7</v>
      </c>
      <c r="W86" s="237" t="n">
        <v>7</v>
      </c>
      <c r="X86" s="208" t="n">
        <v>35</v>
      </c>
      <c r="Y86" s="251" t="n">
        <v>42</v>
      </c>
      <c r="Z86" s="251" t="n">
        <v>42</v>
      </c>
      <c r="AA86" s="35" t="n">
        <v>44423</v>
      </c>
      <c r="AB86" s="27" t="n"/>
      <c r="AC86" s="27" t="n"/>
      <c r="AD86" s="210" t="n">
        <v>35</v>
      </c>
      <c r="AE86" s="237" t="n">
        <v>0</v>
      </c>
      <c r="AF86" t="b">
        <v>0</v>
      </c>
      <c r="AG86" s="228" t="n">
        <v>-35</v>
      </c>
    </row>
    <row r="87">
      <c r="A87">
        <f>I87&amp;"-"&amp;J87</f>
        <v/>
      </c>
      <c r="B87" s="1">
        <f>N87</f>
        <v/>
      </c>
      <c r="C87">
        <f>M87&amp;"/"&amp;O87</f>
        <v/>
      </c>
      <c r="D87">
        <f>K87</f>
        <v/>
      </c>
      <c r="E87">
        <f>L87</f>
        <v/>
      </c>
      <c r="F87" s="236">
        <f>Z87</f>
        <v/>
      </c>
      <c r="G87">
        <f>U87&amp;"%"</f>
        <v/>
      </c>
      <c r="I87" s="53" t="n">
        <v>2021</v>
      </c>
      <c r="J87" s="53" t="n">
        <v>86</v>
      </c>
      <c r="K87" s="71" t="inlineStr">
        <is>
          <t>Einnahmen</t>
        </is>
      </c>
      <c r="L87" t="inlineStr">
        <is>
          <t>Waren-/Leistungserlöse</t>
        </is>
      </c>
      <c r="M87" s="9" t="n">
        <v>12021014</v>
      </c>
      <c r="N87" s="1" t="n">
        <v>44354</v>
      </c>
      <c r="O87" t="inlineStr">
        <is>
          <t>DCF - Digital Coding Factory GmbH, Bauernfeldgasse 4/12 1090 Wien</t>
        </is>
      </c>
      <c r="Q87" s="76" t="n"/>
      <c r="R87" t="b">
        <v>0</v>
      </c>
      <c r="S87" s="214" t="n">
        <v>14.94</v>
      </c>
      <c r="T87" s="159" t="n">
        <v>1</v>
      </c>
      <c r="U87" t="n">
        <v>20</v>
      </c>
      <c r="V87" s="237" t="n">
        <v>2.988</v>
      </c>
      <c r="W87" s="237" t="n">
        <v>2.988</v>
      </c>
      <c r="X87" s="208" t="n">
        <v>14.94</v>
      </c>
      <c r="Y87" s="251" t="n">
        <v>17.928</v>
      </c>
      <c r="Z87" s="251" t="n">
        <v>17.928</v>
      </c>
      <c r="AA87" s="35" t="n">
        <v>44423</v>
      </c>
      <c r="AB87" s="27" t="n"/>
      <c r="AC87" s="27" t="n"/>
      <c r="AD87" s="210" t="n">
        <v>14.94</v>
      </c>
      <c r="AE87" s="237" t="n">
        <v>0</v>
      </c>
      <c r="AF87" t="b">
        <v>0</v>
      </c>
      <c r="AG87" s="228" t="n">
        <v>14.94</v>
      </c>
    </row>
    <row r="88">
      <c r="A88">
        <f>I88&amp;"-"&amp;J88</f>
        <v/>
      </c>
      <c r="B88" s="1">
        <f>N88</f>
        <v/>
      </c>
      <c r="C88">
        <f>M88&amp;"/"&amp;O88</f>
        <v/>
      </c>
      <c r="D88">
        <f>K88</f>
        <v/>
      </c>
      <c r="E88">
        <f>L88</f>
        <v/>
      </c>
      <c r="F88" s="236">
        <f>Z88</f>
        <v/>
      </c>
      <c r="G88">
        <f>U88&amp;"%"</f>
        <v/>
      </c>
      <c r="I88" s="53" t="n">
        <v>2021</v>
      </c>
      <c r="J88" s="53" t="n">
        <v>87</v>
      </c>
      <c r="K88" s="71" t="inlineStr">
        <is>
          <t>Ausgaben</t>
        </is>
      </c>
      <c r="L88" t="inlineStr">
        <is>
          <t>sonstige Betriebsausgaben</t>
        </is>
      </c>
      <c r="M88" s="9" t="inlineStr">
        <is>
          <t>R0013491644</t>
        </is>
      </c>
      <c r="N88" s="1" t="n">
        <v>44354</v>
      </c>
      <c r="O88" t="inlineStr">
        <is>
          <t>Hetzner Online GmbH</t>
        </is>
      </c>
      <c r="Q88" s="76" t="inlineStr">
        <is>
          <t>ja</t>
        </is>
      </c>
      <c r="R88" t="b">
        <v>0</v>
      </c>
      <c r="S88" s="214" t="n">
        <v>2.49</v>
      </c>
      <c r="T88" s="159" t="n">
        <v>1</v>
      </c>
      <c r="U88" t="n">
        <v>0</v>
      </c>
      <c r="V88" s="237" t="n">
        <v>0</v>
      </c>
      <c r="W88" s="237" t="n">
        <v>0</v>
      </c>
      <c r="X88" s="208" t="n">
        <v>2.49</v>
      </c>
      <c r="Y88" s="251" t="n">
        <v>2.49</v>
      </c>
      <c r="Z88" s="251" t="n">
        <v>2.49</v>
      </c>
      <c r="AA88" s="35" t="n">
        <v>44423</v>
      </c>
      <c r="AB88" s="27" t="n"/>
      <c r="AC88" s="27" t="n">
        <v>20</v>
      </c>
      <c r="AD88" s="210" t="n">
        <v>2.49</v>
      </c>
      <c r="AE88" s="237" t="n">
        <v>0.4980000000000001</v>
      </c>
      <c r="AF88" t="b">
        <v>0</v>
      </c>
      <c r="AG88" s="228" t="n">
        <v>-2.49</v>
      </c>
    </row>
    <row r="89">
      <c r="A89">
        <f>I89&amp;"-"&amp;J89</f>
        <v/>
      </c>
      <c r="B89" s="1">
        <f>N89</f>
        <v/>
      </c>
      <c r="C89">
        <f>M89&amp;"/"&amp;O89</f>
        <v/>
      </c>
      <c r="D89">
        <f>K89</f>
        <v/>
      </c>
      <c r="E89">
        <f>L89</f>
        <v/>
      </c>
      <c r="F89" s="236">
        <f>Z89</f>
        <v/>
      </c>
      <c r="G89">
        <f>U89&amp;"%"</f>
        <v/>
      </c>
      <c r="I89" s="53" t="n">
        <v>2021</v>
      </c>
      <c r="J89" s="53" t="n">
        <v>88</v>
      </c>
      <c r="K89" s="71" t="inlineStr">
        <is>
          <t>Ausgaben</t>
        </is>
      </c>
      <c r="L89" t="inlineStr">
        <is>
          <t>sonstige Betriebsausgaben</t>
        </is>
      </c>
      <c r="M89" s="9" t="inlineStr">
        <is>
          <t>5137082649</t>
        </is>
      </c>
      <c r="N89" s="1" t="n">
        <v>44357</v>
      </c>
      <c r="O89" t="inlineStr">
        <is>
          <t>Wiener Netze GmbH, Erdbergstraße 236, 1110 Wien, Postfach 422; Jahresabrechnung vom 17.12.20: GUTSCHRIFT</t>
        </is>
      </c>
      <c r="Q89" s="76" t="n"/>
      <c r="R89" t="b">
        <v>0</v>
      </c>
      <c r="S89" s="214" t="n">
        <v>13</v>
      </c>
      <c r="T89" s="159" t="n">
        <v>1</v>
      </c>
      <c r="U89" t="n">
        <v>20</v>
      </c>
      <c r="V89" s="237" t="n">
        <v>2.6</v>
      </c>
      <c r="W89" s="237" t="n">
        <v>2.6</v>
      </c>
      <c r="X89" s="208" t="n">
        <v>13</v>
      </c>
      <c r="Y89" s="251" t="n">
        <v>15.6</v>
      </c>
      <c r="Z89" s="251" t="n">
        <v>15.6</v>
      </c>
      <c r="AA89" s="35" t="n">
        <v>44423</v>
      </c>
      <c r="AB89" s="27" t="n"/>
      <c r="AC89" s="27" t="n"/>
      <c r="AD89" s="210" t="n">
        <v>13</v>
      </c>
      <c r="AE89" s="237" t="n">
        <v>0</v>
      </c>
      <c r="AF89" t="b">
        <v>0</v>
      </c>
      <c r="AG89" s="228" t="n">
        <v>-13</v>
      </c>
    </row>
    <row r="90">
      <c r="A90">
        <f>I90&amp;"-"&amp;J90</f>
        <v/>
      </c>
      <c r="B90" s="1">
        <f>N90</f>
        <v/>
      </c>
      <c r="C90">
        <f>M90&amp;"/"&amp;O90</f>
        <v/>
      </c>
      <c r="D90">
        <f>K90</f>
        <v/>
      </c>
      <c r="E90">
        <f>L90</f>
        <v/>
      </c>
      <c r="F90" s="236">
        <f>Z90</f>
        <v/>
      </c>
      <c r="G90">
        <f>U90&amp;"%"</f>
        <v/>
      </c>
      <c r="I90" s="53" t="n">
        <v>2021</v>
      </c>
      <c r="J90" s="53" t="n">
        <v>89</v>
      </c>
      <c r="K90" s="71" t="inlineStr">
        <is>
          <t>Ausgaben</t>
        </is>
      </c>
      <c r="L90" t="inlineStr">
        <is>
          <t>sonstige Betriebsausgaben</t>
        </is>
      </c>
      <c r="M90" s="9" t="inlineStr">
        <is>
          <t>R0013543327</t>
        </is>
      </c>
      <c r="N90" s="1" t="n">
        <v>44358</v>
      </c>
      <c r="O90" t="inlineStr">
        <is>
          <t>Hetzner Online GmbH</t>
        </is>
      </c>
      <c r="Q90" s="76" t="n"/>
      <c r="R90" t="b">
        <v>0</v>
      </c>
      <c r="S90" s="214" t="n">
        <v>46.9168</v>
      </c>
      <c r="T90" s="159" t="n">
        <v>1</v>
      </c>
      <c r="U90" t="n">
        <v>0</v>
      </c>
      <c r="V90" s="237" t="n">
        <v>0</v>
      </c>
      <c r="W90" s="237" t="n">
        <v>0</v>
      </c>
      <c r="X90" s="208" t="n">
        <v>46.9168</v>
      </c>
      <c r="Y90" s="251" t="n">
        <v>46.9168</v>
      </c>
      <c r="Z90" s="251" t="n">
        <v>46.9168</v>
      </c>
      <c r="AA90" s="35" t="n">
        <v>44423</v>
      </c>
      <c r="AB90" s="27" t="n"/>
      <c r="AC90" s="27" t="n">
        <v>20</v>
      </c>
      <c r="AD90" s="210" t="n">
        <v>46.9168</v>
      </c>
      <c r="AE90" s="237" t="n">
        <v>9.383360000000001</v>
      </c>
      <c r="AF90" t="b">
        <v>0</v>
      </c>
      <c r="AG90" s="228" t="n">
        <v>-46.9168</v>
      </c>
    </row>
    <row r="91">
      <c r="A91">
        <f>I91&amp;"-"&amp;J91</f>
        <v/>
      </c>
      <c r="B91" s="1">
        <f>N91</f>
        <v/>
      </c>
      <c r="C91">
        <f>M91&amp;"/"&amp;O91</f>
        <v/>
      </c>
      <c r="D91">
        <f>K91</f>
        <v/>
      </c>
      <c r="E91">
        <f>L91</f>
        <v/>
      </c>
      <c r="F91" s="236">
        <f>Z91</f>
        <v/>
      </c>
      <c r="G91">
        <f>U91&amp;"%"</f>
        <v/>
      </c>
      <c r="I91" s="53" t="n">
        <v>2021</v>
      </c>
      <c r="J91" s="53" t="n">
        <v>90</v>
      </c>
      <c r="K91" s="71" t="inlineStr">
        <is>
          <t>Ausgaben</t>
        </is>
      </c>
      <c r="L91" t="inlineStr">
        <is>
          <t>sonstige Betriebsausgaben</t>
        </is>
      </c>
      <c r="M91" s="9" t="inlineStr">
        <is>
          <t>AT2020-1130</t>
        </is>
      </c>
      <c r="N91" s="1" t="n">
        <v>44358</v>
      </c>
      <c r="O91" t="inlineStr">
        <is>
          <t>Woocommerce.com, 17 Shelley Road, Salt River, Cape Town 7625, South Africa</t>
        </is>
      </c>
      <c r="Q91" s="76" t="inlineStr">
        <is>
          <t>ja</t>
        </is>
      </c>
      <c r="R91" t="b">
        <v>0</v>
      </c>
      <c r="S91" s="214" t="n">
        <v>24.19</v>
      </c>
      <c r="T91" s="159" t="n">
        <v>1</v>
      </c>
      <c r="U91" t="n">
        <v>0</v>
      </c>
      <c r="V91" s="237" t="n">
        <v>0</v>
      </c>
      <c r="W91" s="237" t="n">
        <v>0</v>
      </c>
      <c r="X91" s="208" t="n">
        <v>24.19</v>
      </c>
      <c r="Y91" s="251" t="n">
        <v>24.19</v>
      </c>
      <c r="Z91" s="251" t="n">
        <v>24.19</v>
      </c>
      <c r="AA91" s="35" t="n">
        <v>44423</v>
      </c>
      <c r="AB91" s="27" t="n"/>
      <c r="AC91" s="27" t="n">
        <v>20</v>
      </c>
      <c r="AD91" s="210" t="n">
        <v>24.19</v>
      </c>
      <c r="AE91" s="237" t="n">
        <v>4.838000000000001</v>
      </c>
      <c r="AF91" t="b">
        <v>0</v>
      </c>
      <c r="AG91" s="228" t="n">
        <v>-24.19</v>
      </c>
    </row>
    <row r="92">
      <c r="A92">
        <f>I92&amp;"-"&amp;J92</f>
        <v/>
      </c>
      <c r="B92" s="1">
        <f>N92</f>
        <v/>
      </c>
      <c r="C92">
        <f>M92&amp;"/"&amp;O92</f>
        <v/>
      </c>
      <c r="D92">
        <f>K92</f>
        <v/>
      </c>
      <c r="E92">
        <f>L92</f>
        <v/>
      </c>
      <c r="F92" s="236">
        <f>Z92</f>
        <v/>
      </c>
      <c r="G92">
        <f>U92&amp;"%"</f>
        <v/>
      </c>
      <c r="I92" s="53" t="n">
        <v>2021</v>
      </c>
      <c r="J92" s="53" t="n">
        <v>91</v>
      </c>
      <c r="K92" s="71" t="inlineStr">
        <is>
          <t>Ausgaben</t>
        </is>
      </c>
      <c r="L92" t="inlineStr">
        <is>
          <t>sonstige Betriebsausgaben</t>
        </is>
      </c>
      <c r="M92" s="136" t="inlineStr">
        <is>
          <t>34466948189</t>
        </is>
      </c>
      <c r="N92" s="1" t="n">
        <v>44368</v>
      </c>
      <c r="O92" t="inlineStr">
        <is>
          <t>Microsoft Ireland Operations Ltd. One Microsoft Place, South County, Business Park, Leopardstown, Dublin 18, D18 P521, Ireland</t>
        </is>
      </c>
      <c r="Q92" s="76" t="n"/>
      <c r="R92" t="b">
        <v>0</v>
      </c>
      <c r="S92" s="214" t="n">
        <v>69</v>
      </c>
      <c r="T92" s="159" t="n">
        <v>1</v>
      </c>
      <c r="U92" t="n">
        <v>0</v>
      </c>
      <c r="V92" s="237" t="n">
        <v>0</v>
      </c>
      <c r="W92" s="237" t="n">
        <v>0</v>
      </c>
      <c r="X92" s="208" t="n">
        <v>69</v>
      </c>
      <c r="Y92" s="251" t="n">
        <v>69</v>
      </c>
      <c r="Z92" s="251" t="n">
        <v>69</v>
      </c>
      <c r="AA92" s="35" t="n">
        <v>44423</v>
      </c>
      <c r="AB92" s="27" t="n"/>
      <c r="AC92" s="27" t="n">
        <v>20</v>
      </c>
      <c r="AD92" s="210" t="n">
        <v>69</v>
      </c>
      <c r="AE92" s="237" t="n">
        <v>13.8</v>
      </c>
      <c r="AF92" t="b">
        <v>0</v>
      </c>
      <c r="AG92" s="228" t="n">
        <v>-69</v>
      </c>
    </row>
    <row r="93">
      <c r="A93">
        <f>I93&amp;"-"&amp;J93</f>
        <v/>
      </c>
      <c r="B93" s="1">
        <f>N93</f>
        <v/>
      </c>
      <c r="C93">
        <f>M93&amp;"/"&amp;O93</f>
        <v/>
      </c>
      <c r="D93">
        <f>K93</f>
        <v/>
      </c>
      <c r="E93">
        <f>L93</f>
        <v/>
      </c>
      <c r="F93" s="236">
        <f>Z93</f>
        <v/>
      </c>
      <c r="G93">
        <f>U93&amp;"%"</f>
        <v/>
      </c>
      <c r="I93" s="53" t="n">
        <v>2021</v>
      </c>
      <c r="J93" s="53" t="n">
        <v>92</v>
      </c>
      <c r="K93" s="71" t="inlineStr">
        <is>
          <t>Ausgaben</t>
        </is>
      </c>
      <c r="L93" t="inlineStr">
        <is>
          <t>sonstige Betriebsausgaben</t>
        </is>
      </c>
      <c r="M93" s="136" t="inlineStr">
        <is>
          <t>MP-2021-33591</t>
        </is>
      </c>
      <c r="N93" s="1" t="n">
        <v>44368</v>
      </c>
      <c r="O93" s="3" t="inlineStr">
        <is>
          <t>Marketpress GmbH</t>
        </is>
      </c>
      <c r="Q93" s="76" t="inlineStr">
        <is>
          <t>ja</t>
        </is>
      </c>
      <c r="R93" t="b">
        <v>0</v>
      </c>
      <c r="S93" s="214" t="n">
        <v>45.83</v>
      </c>
      <c r="T93" s="159" t="n">
        <v>1</v>
      </c>
      <c r="U93" t="n">
        <v>0</v>
      </c>
      <c r="V93" s="237" t="n">
        <v>0</v>
      </c>
      <c r="W93" s="237" t="n">
        <v>0</v>
      </c>
      <c r="X93" s="208" t="n">
        <v>45.83</v>
      </c>
      <c r="Y93" s="251" t="n">
        <v>45.83</v>
      </c>
      <c r="Z93" s="251" t="n">
        <v>45.83</v>
      </c>
      <c r="AA93" s="35" t="n">
        <v>44423</v>
      </c>
      <c r="AB93" s="27" t="n"/>
      <c r="AC93" s="27" t="n">
        <v>20</v>
      </c>
      <c r="AD93" s="210" t="n">
        <v>45.83</v>
      </c>
      <c r="AE93" s="237" t="n">
        <v>9.166</v>
      </c>
      <c r="AF93" t="b">
        <v>0</v>
      </c>
      <c r="AG93" s="228" t="n">
        <v>-45.83</v>
      </c>
    </row>
    <row r="94">
      <c r="A94">
        <f>I94&amp;"-"&amp;J94</f>
        <v/>
      </c>
      <c r="B94" s="1">
        <f>N94</f>
        <v/>
      </c>
      <c r="C94">
        <f>M94&amp;"/"&amp;O94</f>
        <v/>
      </c>
      <c r="D94">
        <f>K94</f>
        <v/>
      </c>
      <c r="E94">
        <f>L94</f>
        <v/>
      </c>
      <c r="F94" s="236">
        <f>Z94</f>
        <v/>
      </c>
      <c r="G94">
        <f>U94&amp;"%"</f>
        <v/>
      </c>
      <c r="I94" s="53" t="n">
        <v>2021</v>
      </c>
      <c r="J94" s="53" t="n">
        <v>93</v>
      </c>
      <c r="K94" s="71" t="inlineStr">
        <is>
          <t>Ausgaben</t>
        </is>
      </c>
      <c r="L94" t="inlineStr">
        <is>
          <t>Telefon/Internet</t>
        </is>
      </c>
      <c r="M94" s="136" t="inlineStr">
        <is>
          <t>901208980621</t>
        </is>
      </c>
      <c r="N94" s="1" t="n">
        <v>44369</v>
      </c>
      <c r="O94" t="inlineStr">
        <is>
          <t>Magenta: T-Mobile Austria GmbH, A-1120 Wien, PF 47</t>
        </is>
      </c>
      <c r="Q94" s="76" t="n"/>
      <c r="R94" t="b">
        <v>0</v>
      </c>
      <c r="S94" s="214" t="n">
        <v>31.92</v>
      </c>
      <c r="T94" s="159" t="n">
        <v>1</v>
      </c>
      <c r="U94" t="n">
        <v>20</v>
      </c>
      <c r="V94" s="237" t="n">
        <v>6.384000000000001</v>
      </c>
      <c r="W94" s="237" t="n">
        <v>6.384000000000001</v>
      </c>
      <c r="X94" s="208" t="n">
        <v>31.92</v>
      </c>
      <c r="Y94" s="251" t="n">
        <v>38.304</v>
      </c>
      <c r="Z94" s="251" t="n">
        <v>38.304</v>
      </c>
      <c r="AA94" s="35" t="n">
        <v>44423</v>
      </c>
      <c r="AB94" s="27" t="n"/>
      <c r="AC94" s="27" t="n"/>
      <c r="AD94" s="210" t="n">
        <v>31.92</v>
      </c>
      <c r="AE94" s="237" t="n">
        <v>0</v>
      </c>
      <c r="AF94" t="b">
        <v>0</v>
      </c>
      <c r="AG94" s="228" t="n">
        <v>-31.92</v>
      </c>
    </row>
    <row r="95">
      <c r="A95">
        <f>I95&amp;"-"&amp;J95</f>
        <v/>
      </c>
      <c r="B95" s="1">
        <f>N95</f>
        <v/>
      </c>
      <c r="C95">
        <f>M95&amp;"/"&amp;O95</f>
        <v/>
      </c>
      <c r="D95">
        <f>K95</f>
        <v/>
      </c>
      <c r="E95">
        <f>L95</f>
        <v/>
      </c>
      <c r="F95" s="236">
        <f>Z95</f>
        <v/>
      </c>
      <c r="G95">
        <f>U95&amp;"%"</f>
        <v/>
      </c>
      <c r="I95" s="53" t="n">
        <v>2021</v>
      </c>
      <c r="J95" s="53" t="n">
        <v>94</v>
      </c>
      <c r="K95" s="71" t="inlineStr">
        <is>
          <t>Ausgaben</t>
        </is>
      </c>
      <c r="L95" t="inlineStr">
        <is>
          <t>Waren, Rohstoffe, Hilfsstoffe</t>
        </is>
      </c>
      <c r="M95" s="136" t="inlineStr">
        <is>
          <t>842661</t>
        </is>
      </c>
      <c r="N95" s="1" t="n">
        <v>44372</v>
      </c>
      <c r="O95" t="inlineStr">
        <is>
          <t>Lemon Technologies GmbH, Unterweißenbach 181, 7330 Feldbach: Bildschirm</t>
        </is>
      </c>
      <c r="Q95" s="76" t="inlineStr">
        <is>
          <t>ja</t>
        </is>
      </c>
      <c r="R95" t="b">
        <v>0</v>
      </c>
      <c r="S95" s="214" t="n">
        <v>107.42</v>
      </c>
      <c r="T95" s="159" t="n">
        <v>1</v>
      </c>
      <c r="U95" t="n">
        <v>20</v>
      </c>
      <c r="V95" s="237" t="n">
        <v>21.484</v>
      </c>
      <c r="W95" s="237" t="n">
        <v>21.484</v>
      </c>
      <c r="X95" s="208" t="n">
        <v>107.42</v>
      </c>
      <c r="Y95" s="251" t="n">
        <v>128.904</v>
      </c>
      <c r="Z95" s="251" t="n">
        <v>128.904</v>
      </c>
      <c r="AA95" s="35" t="n">
        <v>44423</v>
      </c>
      <c r="AB95" s="27" t="n"/>
      <c r="AC95" s="27" t="n"/>
      <c r="AD95" s="210" t="n">
        <v>107.42</v>
      </c>
      <c r="AE95" s="237" t="n">
        <v>0</v>
      </c>
      <c r="AF95" t="b">
        <v>0</v>
      </c>
      <c r="AG95" s="228" t="n">
        <v>-107.42</v>
      </c>
    </row>
    <row r="96">
      <c r="A96">
        <f>I96&amp;"-"&amp;J96</f>
        <v/>
      </c>
      <c r="B96" s="1">
        <f>N96</f>
        <v/>
      </c>
      <c r="C96">
        <f>M96&amp;"/"&amp;O96</f>
        <v/>
      </c>
      <c r="D96">
        <f>K96</f>
        <v/>
      </c>
      <c r="E96">
        <f>L96</f>
        <v/>
      </c>
      <c r="F96" s="236">
        <f>Z96</f>
        <v/>
      </c>
      <c r="G96">
        <f>U96&amp;"%"</f>
        <v/>
      </c>
      <c r="I96" s="53" t="n">
        <v>2021</v>
      </c>
      <c r="J96" s="53" t="n">
        <v>95</v>
      </c>
      <c r="K96" s="71" t="inlineStr">
        <is>
          <t>Ausgaben</t>
        </is>
      </c>
      <c r="L96" t="inlineStr">
        <is>
          <t>Telefon/Internet</t>
        </is>
      </c>
      <c r="M96" s="9" t="inlineStr">
        <is>
          <t>6222766899</t>
        </is>
      </c>
      <c r="N96" s="1" t="n">
        <v>44377</v>
      </c>
      <c r="O96" t="inlineStr">
        <is>
          <t>Hutchison Drei Austria GmbH, Brünner Straße 52, 1210 Wien, Österreich</t>
        </is>
      </c>
      <c r="Q96" s="76" t="n"/>
      <c r="R96" t="b">
        <v>0</v>
      </c>
      <c r="S96" s="214" t="n">
        <v>15</v>
      </c>
      <c r="T96" s="159" t="n">
        <v>1</v>
      </c>
      <c r="U96" t="n">
        <v>20</v>
      </c>
      <c r="V96" s="237" t="n">
        <v>3</v>
      </c>
      <c r="W96" s="237" t="n">
        <v>3</v>
      </c>
      <c r="X96" s="208" t="n">
        <v>15</v>
      </c>
      <c r="Y96" s="251" t="n">
        <v>18</v>
      </c>
      <c r="Z96" s="251" t="n">
        <v>18</v>
      </c>
      <c r="AA96" s="35" t="n">
        <v>44423</v>
      </c>
      <c r="AB96" s="27" t="n"/>
      <c r="AC96" s="27" t="n"/>
      <c r="AD96" s="210" t="n">
        <v>15</v>
      </c>
      <c r="AE96" s="237" t="n">
        <v>0</v>
      </c>
      <c r="AF96" t="b">
        <v>0</v>
      </c>
      <c r="AG96" s="228" t="n">
        <v>-15</v>
      </c>
    </row>
    <row r="97">
      <c r="A97">
        <f>I97&amp;"-"&amp;J97</f>
        <v/>
      </c>
      <c r="B97" s="1">
        <f>N97</f>
        <v/>
      </c>
      <c r="C97">
        <f>M97&amp;"/"&amp;O97</f>
        <v/>
      </c>
      <c r="D97">
        <f>K97</f>
        <v/>
      </c>
      <c r="E97">
        <f>L97</f>
        <v/>
      </c>
      <c r="F97" s="236">
        <f>Z97</f>
        <v/>
      </c>
      <c r="G97">
        <f>U97&amp;"%"</f>
        <v/>
      </c>
      <c r="I97" s="53" t="n">
        <v>2021</v>
      </c>
      <c r="J97" s="53" t="n">
        <v>96</v>
      </c>
      <c r="K97" s="71" t="inlineStr">
        <is>
          <t>Ausgaben</t>
        </is>
      </c>
      <c r="L97" t="inlineStr">
        <is>
          <t>Miet- und Pachtaufwand, Leasing</t>
        </is>
      </c>
      <c r="M97" s="136" t="inlineStr">
        <is>
          <t>21/9801/VS00471</t>
        </is>
      </c>
      <c r="N97" s="1" t="n">
        <v>44378</v>
      </c>
      <c r="O97" t="inlineStr">
        <is>
          <t>Bontus Immobilienverwaltung GmbH, 1010 Wien, Franz Josefs Kai 65</t>
        </is>
      </c>
      <c r="Q97" s="76" t="n"/>
      <c r="R97" t="b">
        <v>0</v>
      </c>
      <c r="S97" s="214" t="n">
        <v>470.4666666666666</v>
      </c>
      <c r="T97" s="159" t="n">
        <v>1</v>
      </c>
      <c r="U97" t="n">
        <v>20</v>
      </c>
      <c r="V97" s="237" t="n">
        <v>94.09333333333332</v>
      </c>
      <c r="W97" s="237" t="n">
        <v>94.09333333333332</v>
      </c>
      <c r="X97" s="208" t="n">
        <v>470.4666666666666</v>
      </c>
      <c r="Y97" s="251" t="n">
        <v>564.5599999999999</v>
      </c>
      <c r="Z97" s="251" t="n">
        <v>564.5599999999999</v>
      </c>
      <c r="AA97" s="35" t="n">
        <v>44515</v>
      </c>
      <c r="AB97" s="27" t="n"/>
      <c r="AC97" s="27" t="n"/>
      <c r="AD97" s="210" t="n">
        <v>470.4666666666666</v>
      </c>
      <c r="AE97" s="237" t="n">
        <v>0</v>
      </c>
      <c r="AF97" t="b">
        <v>0</v>
      </c>
      <c r="AG97" s="228" t="n">
        <v>-470.4666666666666</v>
      </c>
    </row>
    <row r="98">
      <c r="A98">
        <f>I98&amp;"-"&amp;J98</f>
        <v/>
      </c>
      <c r="B98" s="1">
        <f>N98</f>
        <v/>
      </c>
      <c r="C98">
        <f>M98&amp;"/"&amp;O98</f>
        <v/>
      </c>
      <c r="D98">
        <f>K98</f>
        <v/>
      </c>
      <c r="E98">
        <f>L98</f>
        <v/>
      </c>
      <c r="F98" s="236">
        <f>Z98</f>
        <v/>
      </c>
      <c r="G98">
        <f>U98&amp;"%"</f>
        <v/>
      </c>
      <c r="I98" s="53" t="n">
        <v>2021</v>
      </c>
      <c r="J98" s="53" t="n">
        <v>97</v>
      </c>
      <c r="K98" s="71" t="inlineStr">
        <is>
          <t>Einnahmen</t>
        </is>
      </c>
      <c r="L98" t="inlineStr">
        <is>
          <t>Waren-/Leistungserlöse</t>
        </is>
      </c>
      <c r="M98" s="9" t="inlineStr">
        <is>
          <t>12021020</t>
        </is>
      </c>
      <c r="N98" s="1" t="n">
        <v>44378</v>
      </c>
      <c r="O98" t="inlineStr">
        <is>
          <t>Kolbitsch Engineering &amp; Consulting KNr 45</t>
        </is>
      </c>
      <c r="Q98" s="76" t="n"/>
      <c r="R98" t="b">
        <v>0</v>
      </c>
      <c r="S98" s="214" t="n">
        <v>89</v>
      </c>
      <c r="T98" s="159" t="n">
        <v>1</v>
      </c>
      <c r="U98" t="n">
        <v>20</v>
      </c>
      <c r="V98" s="237" t="n">
        <v>17.8</v>
      </c>
      <c r="W98" s="237" t="n">
        <v>17.8</v>
      </c>
      <c r="X98" s="208" t="n">
        <v>89</v>
      </c>
      <c r="Y98" s="251" t="n">
        <v>106.8</v>
      </c>
      <c r="Z98" s="251" t="n">
        <v>106.8</v>
      </c>
      <c r="AA98" s="35" t="n">
        <v>44515</v>
      </c>
      <c r="AB98" s="27" t="n"/>
      <c r="AC98" s="27" t="n"/>
      <c r="AD98" s="210" t="n">
        <v>89</v>
      </c>
      <c r="AE98" s="237" t="n">
        <v>0</v>
      </c>
      <c r="AF98" t="b">
        <v>0</v>
      </c>
      <c r="AG98" s="228" t="n">
        <v>89</v>
      </c>
    </row>
    <row r="99">
      <c r="A99">
        <f>I99&amp;"-"&amp;J99</f>
        <v/>
      </c>
      <c r="B99" s="1">
        <f>N99</f>
        <v/>
      </c>
      <c r="C99">
        <f>M99&amp;"/"&amp;O99</f>
        <v/>
      </c>
      <c r="D99">
        <f>K99</f>
        <v/>
      </c>
      <c r="E99">
        <f>L99</f>
        <v/>
      </c>
      <c r="F99" s="236">
        <f>Z99</f>
        <v/>
      </c>
      <c r="G99">
        <f>U99&amp;"%"</f>
        <v/>
      </c>
      <c r="I99" s="53" t="n">
        <v>2021</v>
      </c>
      <c r="J99" s="53" t="n">
        <v>98</v>
      </c>
      <c r="K99" s="71" t="inlineStr">
        <is>
          <t>Einnahmen</t>
        </is>
      </c>
      <c r="L99" t="inlineStr">
        <is>
          <t>Waren-/Leistungserlöse</t>
        </is>
      </c>
      <c r="M99" s="9" t="inlineStr">
        <is>
          <t>12021009</t>
        </is>
      </c>
      <c r="N99" s="1" t="n">
        <v>44378</v>
      </c>
      <c r="O99" t="inlineStr">
        <is>
          <t>ZT DI Dr. Arno Kolbitsch, Gütleweg 1, 6822 Satteins</t>
        </is>
      </c>
      <c r="Q99" s="76" t="n"/>
      <c r="R99" t="b">
        <v>0</v>
      </c>
      <c r="S99" s="214" t="n">
        <v>18500</v>
      </c>
      <c r="T99" s="159" t="n">
        <v>1</v>
      </c>
      <c r="U99" t="n">
        <v>20</v>
      </c>
      <c r="V99" s="237" t="n">
        <v>3700</v>
      </c>
      <c r="W99" s="237" t="n">
        <v>3700</v>
      </c>
      <c r="X99" s="208" t="n">
        <v>18500</v>
      </c>
      <c r="Y99" s="251" t="n">
        <v>22200</v>
      </c>
      <c r="Z99" s="251" t="n">
        <v>22200</v>
      </c>
      <c r="AA99" s="35" t="n">
        <v>44515</v>
      </c>
      <c r="AB99" s="27" t="n"/>
      <c r="AC99" s="27" t="n"/>
      <c r="AD99" s="210" t="n">
        <v>18500</v>
      </c>
      <c r="AE99" s="237" t="n">
        <v>0</v>
      </c>
      <c r="AF99" t="b">
        <v>0</v>
      </c>
      <c r="AG99" s="228" t="n">
        <v>18500</v>
      </c>
    </row>
    <row r="100">
      <c r="A100">
        <f>I100&amp;"-"&amp;J100</f>
        <v/>
      </c>
      <c r="B100" s="1">
        <f>N100</f>
        <v/>
      </c>
      <c r="C100">
        <f>M100&amp;"/"&amp;O100</f>
        <v/>
      </c>
      <c r="D100">
        <f>K100</f>
        <v/>
      </c>
      <c r="E100">
        <f>L100</f>
        <v/>
      </c>
      <c r="F100" s="236">
        <f>Z100</f>
        <v/>
      </c>
      <c r="G100">
        <f>U100&amp;"%"</f>
        <v/>
      </c>
      <c r="I100" s="53" t="n">
        <v>2021</v>
      </c>
      <c r="J100" s="53" t="n">
        <v>99</v>
      </c>
      <c r="K100" s="71" t="inlineStr">
        <is>
          <t>Einnahmen</t>
        </is>
      </c>
      <c r="L100" t="inlineStr">
        <is>
          <t>Waren-/Leistungserlöse</t>
        </is>
      </c>
      <c r="M100" s="9" t="inlineStr">
        <is>
          <t>12021016</t>
        </is>
      </c>
      <c r="N100" s="1" t="n">
        <v>44379</v>
      </c>
      <c r="O100" t="inlineStr">
        <is>
          <t>H. Jaros e.U., Kohlmarkt 16/2/2/15a, 1010 Wien</t>
        </is>
      </c>
      <c r="Q100" s="76" t="n"/>
      <c r="R100" t="b">
        <v>0</v>
      </c>
      <c r="S100" s="214" t="n">
        <v>175</v>
      </c>
      <c r="T100" s="159" t="n">
        <v>1</v>
      </c>
      <c r="U100" t="n">
        <v>20</v>
      </c>
      <c r="V100" s="237" t="n">
        <v>35</v>
      </c>
      <c r="W100" s="237" t="n">
        <v>35</v>
      </c>
      <c r="X100" s="208" t="n">
        <v>175</v>
      </c>
      <c r="Y100" s="251" t="n">
        <v>210</v>
      </c>
      <c r="Z100" s="251" t="n">
        <v>210</v>
      </c>
      <c r="AA100" s="35" t="n">
        <v>44515</v>
      </c>
      <c r="AB100" s="27" t="n"/>
      <c r="AC100" s="27" t="n"/>
      <c r="AD100" s="210" t="n">
        <v>175</v>
      </c>
      <c r="AE100" s="237" t="n">
        <v>0</v>
      </c>
      <c r="AF100" t="b">
        <v>0</v>
      </c>
      <c r="AG100" s="228" t="n">
        <v>175</v>
      </c>
    </row>
    <row r="101">
      <c r="A101">
        <f>I101&amp;"-"&amp;J101</f>
        <v/>
      </c>
      <c r="B101" s="1">
        <f>N101</f>
        <v/>
      </c>
      <c r="C101">
        <f>M101&amp;"/"&amp;O101</f>
        <v/>
      </c>
      <c r="D101">
        <f>K101</f>
        <v/>
      </c>
      <c r="E101">
        <f>L101</f>
        <v/>
      </c>
      <c r="F101" s="236">
        <f>Z101</f>
        <v/>
      </c>
      <c r="G101">
        <f>U101&amp;"%"</f>
        <v/>
      </c>
      <c r="I101" s="53" t="n">
        <v>2021</v>
      </c>
      <c r="J101" s="53" t="n">
        <v>100</v>
      </c>
      <c r="K101" s="71" t="inlineStr">
        <is>
          <t>Ausgaben</t>
        </is>
      </c>
      <c r="L101" t="inlineStr">
        <is>
          <t>Reise- und Fahrtspesen inkl. Kilometergeld und Diäten</t>
        </is>
      </c>
      <c r="M101" s="131" t="inlineStr">
        <is>
          <t>4293000000021290</t>
        </is>
      </c>
      <c r="N101" s="1" t="n">
        <v>44379</v>
      </c>
      <c r="O101" t="inlineStr">
        <is>
          <t>car2go Österreich GmbH, Hintere Zollamtstraße 9, 1030 Wien</t>
        </is>
      </c>
      <c r="Q101" s="76" t="n"/>
      <c r="R101" t="b">
        <v>0</v>
      </c>
      <c r="S101" s="214" t="n">
        <v>11.125</v>
      </c>
      <c r="T101" s="159" t="n">
        <v>1</v>
      </c>
      <c r="U101" t="n">
        <v>20</v>
      </c>
      <c r="V101" s="237" t="n">
        <v>2.225</v>
      </c>
      <c r="W101" s="237" t="n">
        <v>2.225</v>
      </c>
      <c r="X101" s="208" t="n">
        <v>11.125</v>
      </c>
      <c r="Y101" s="251" t="n">
        <v>13.35</v>
      </c>
      <c r="Z101" s="251" t="n">
        <v>13.35</v>
      </c>
      <c r="AA101" s="35" t="n">
        <v>44515</v>
      </c>
      <c r="AB101" s="27" t="n"/>
      <c r="AC101" s="27" t="n"/>
      <c r="AD101" s="210" t="n">
        <v>11.125</v>
      </c>
      <c r="AE101" s="237" t="n">
        <v>0</v>
      </c>
      <c r="AF101" t="b">
        <v>0</v>
      </c>
      <c r="AG101" s="228" t="n">
        <v>-11.125</v>
      </c>
    </row>
    <row r="102">
      <c r="A102">
        <f>I102&amp;"-"&amp;J102</f>
        <v/>
      </c>
      <c r="B102" s="1">
        <f>N102</f>
        <v/>
      </c>
      <c r="C102">
        <f>M102&amp;"/"&amp;O102</f>
        <v/>
      </c>
      <c r="D102">
        <f>K102</f>
        <v/>
      </c>
      <c r="E102">
        <f>L102</f>
        <v/>
      </c>
      <c r="F102" s="236">
        <f>Z102</f>
        <v/>
      </c>
      <c r="G102">
        <f>U102&amp;"%"</f>
        <v/>
      </c>
      <c r="I102" s="53" t="n">
        <v>2021</v>
      </c>
      <c r="J102" s="53" t="n">
        <v>101</v>
      </c>
      <c r="K102" s="71" t="inlineStr">
        <is>
          <t>Einnahmen</t>
        </is>
      </c>
      <c r="L102" t="inlineStr">
        <is>
          <t>Waren-/Leistungserlöse</t>
        </is>
      </c>
      <c r="M102" s="9" t="inlineStr">
        <is>
          <t>12021017</t>
        </is>
      </c>
      <c r="N102" s="1" t="n">
        <v>44382</v>
      </c>
      <c r="O102" t="inlineStr">
        <is>
          <t>Martin Dürauer e.U., Schreinergasse 7/1, A-3100 St. Pölten</t>
        </is>
      </c>
      <c r="Q102" s="76" t="n"/>
      <c r="R102" t="b">
        <v>0</v>
      </c>
      <c r="S102" s="214" t="n">
        <v>100</v>
      </c>
      <c r="T102" s="159" t="n">
        <v>1</v>
      </c>
      <c r="U102" t="n">
        <v>20</v>
      </c>
      <c r="V102" s="237" t="n">
        <v>20</v>
      </c>
      <c r="W102" s="237" t="n">
        <v>20</v>
      </c>
      <c r="X102" s="208" t="n">
        <v>100</v>
      </c>
      <c r="Y102" s="251" t="n">
        <v>120</v>
      </c>
      <c r="Z102" s="251" t="n">
        <v>120</v>
      </c>
      <c r="AA102" s="35" t="n">
        <v>44515</v>
      </c>
      <c r="AB102" s="27" t="n"/>
      <c r="AC102" s="27" t="n"/>
      <c r="AD102" s="210" t="n">
        <v>100</v>
      </c>
      <c r="AE102" s="237" t="n">
        <v>0</v>
      </c>
      <c r="AF102" t="b">
        <v>0</v>
      </c>
      <c r="AG102" s="228" t="n">
        <v>100</v>
      </c>
    </row>
    <row r="103">
      <c r="A103">
        <f>I103&amp;"-"&amp;J103</f>
        <v/>
      </c>
      <c r="B103" s="1">
        <f>N103</f>
        <v/>
      </c>
      <c r="C103">
        <f>M103&amp;"/"&amp;O103</f>
        <v/>
      </c>
      <c r="D103">
        <f>K103</f>
        <v/>
      </c>
      <c r="E103">
        <f>L103</f>
        <v/>
      </c>
      <c r="F103" s="236">
        <f>Z103</f>
        <v/>
      </c>
      <c r="G103">
        <f>U103&amp;"%"</f>
        <v/>
      </c>
      <c r="I103" s="53" t="n">
        <v>2021</v>
      </c>
      <c r="J103" s="53" t="n">
        <v>102</v>
      </c>
      <c r="K103" s="71" t="inlineStr">
        <is>
          <t>Ausgaben</t>
        </is>
      </c>
      <c r="L103" t="inlineStr">
        <is>
          <t>sonstige Betriebsausgaben</t>
        </is>
      </c>
      <c r="M103" s="9" t="inlineStr">
        <is>
          <t>60793/100/2021</t>
        </is>
      </c>
      <c r="N103" s="1" t="n">
        <v>44382</v>
      </c>
      <c r="O103" t="inlineStr">
        <is>
          <t>easy green energy GmbH &amp; Co KG</t>
        </is>
      </c>
      <c r="Q103" s="76" t="n"/>
      <c r="R103" t="b">
        <v>0</v>
      </c>
      <c r="S103" s="214" t="n">
        <v>2.5</v>
      </c>
      <c r="T103" s="159" t="n">
        <v>1</v>
      </c>
      <c r="U103" t="n">
        <v>20</v>
      </c>
      <c r="V103" s="237" t="n">
        <v>0.5</v>
      </c>
      <c r="W103" s="237" t="n">
        <v>0.5</v>
      </c>
      <c r="X103" s="208" t="n">
        <v>2.5</v>
      </c>
      <c r="Y103" s="251" t="n">
        <v>3</v>
      </c>
      <c r="Z103" s="251" t="n">
        <v>3</v>
      </c>
      <c r="AA103" s="35" t="n">
        <v>44515</v>
      </c>
      <c r="AB103" s="27" t="n"/>
      <c r="AC103" s="27" t="n"/>
      <c r="AD103" s="210" t="n">
        <v>2.5</v>
      </c>
      <c r="AE103" s="237" t="n">
        <v>0</v>
      </c>
      <c r="AF103" t="b">
        <v>0</v>
      </c>
      <c r="AG103" s="228" t="n">
        <v>-2.5</v>
      </c>
    </row>
    <row r="104">
      <c r="A104">
        <f>I104&amp;"-"&amp;J104</f>
        <v/>
      </c>
      <c r="B104" s="1">
        <f>N104</f>
        <v/>
      </c>
      <c r="C104">
        <f>M104&amp;"/"&amp;O104</f>
        <v/>
      </c>
      <c r="D104">
        <f>K104</f>
        <v/>
      </c>
      <c r="E104">
        <f>L104</f>
        <v/>
      </c>
      <c r="F104" s="236">
        <f>Z104</f>
        <v/>
      </c>
      <c r="G104">
        <f>U104&amp;"%"</f>
        <v/>
      </c>
      <c r="I104" s="53" t="n">
        <v>2021</v>
      </c>
      <c r="J104" s="53" t="n">
        <v>103</v>
      </c>
      <c r="K104" s="71" t="inlineStr">
        <is>
          <t>Ausgaben</t>
        </is>
      </c>
      <c r="L104" t="inlineStr">
        <is>
          <t>sonstige Betriebsausgaben</t>
        </is>
      </c>
      <c r="M104" s="9" t="inlineStr">
        <is>
          <t>HKA/20-01-58835</t>
        </is>
      </c>
      <c r="N104" s="1" t="n">
        <v>44382</v>
      </c>
      <c r="O104" t="inlineStr">
        <is>
          <t>Techem Messtechnik GmbH; Abnehmernummer 501686-0003-11-( (NACHTRAG 25.12.)</t>
        </is>
      </c>
      <c r="Q104" s="76" t="n"/>
      <c r="R104" t="b">
        <v>0</v>
      </c>
      <c r="S104" s="214" t="n">
        <v>74</v>
      </c>
      <c r="T104" s="159" t="n">
        <v>1</v>
      </c>
      <c r="U104" t="n">
        <v>20</v>
      </c>
      <c r="V104" s="237" t="n">
        <v>14.8</v>
      </c>
      <c r="W104" s="237" t="n">
        <v>14.8</v>
      </c>
      <c r="X104" s="208" t="n">
        <v>74</v>
      </c>
      <c r="Y104" s="251" t="n">
        <v>88.8</v>
      </c>
      <c r="Z104" s="251" t="n">
        <v>88.8</v>
      </c>
      <c r="AA104" s="35" t="n">
        <v>44515</v>
      </c>
      <c r="AB104" s="27" t="n"/>
      <c r="AC104" s="27" t="n"/>
      <c r="AD104" s="210" t="n">
        <v>74</v>
      </c>
      <c r="AE104" s="237" t="n">
        <v>0</v>
      </c>
      <c r="AF104" t="b">
        <v>0</v>
      </c>
      <c r="AG104" s="228" t="n">
        <v>-74</v>
      </c>
    </row>
    <row r="105">
      <c r="A105">
        <f>I105&amp;"-"&amp;J105</f>
        <v/>
      </c>
      <c r="B105" s="1">
        <f>N105</f>
        <v/>
      </c>
      <c r="C105">
        <f>M105&amp;"/"&amp;O105</f>
        <v/>
      </c>
      <c r="D105">
        <f>K105</f>
        <v/>
      </c>
      <c r="E105">
        <f>L105</f>
        <v/>
      </c>
      <c r="F105" s="236">
        <f>Z105</f>
        <v/>
      </c>
      <c r="G105">
        <f>U105&amp;"%"</f>
        <v/>
      </c>
      <c r="I105" s="53" t="n">
        <v>2021</v>
      </c>
      <c r="J105" s="53" t="n">
        <v>104</v>
      </c>
      <c r="K105" s="71" t="inlineStr">
        <is>
          <t>Ausgaben</t>
        </is>
      </c>
      <c r="L105" t="inlineStr">
        <is>
          <t>sonstige Betriebsausgaben</t>
        </is>
      </c>
      <c r="M105" s="9" t="inlineStr">
        <is>
          <t>R0013684276</t>
        </is>
      </c>
      <c r="N105" s="1" t="n">
        <v>44384</v>
      </c>
      <c r="O105" t="inlineStr">
        <is>
          <t>Hetzner Online GmbH</t>
        </is>
      </c>
      <c r="Q105" s="76" t="inlineStr">
        <is>
          <t>ja</t>
        </is>
      </c>
      <c r="R105" t="b">
        <v>0</v>
      </c>
      <c r="S105" s="214" t="n">
        <v>2.49</v>
      </c>
      <c r="T105" s="159" t="n">
        <v>1</v>
      </c>
      <c r="U105" t="n">
        <v>0</v>
      </c>
      <c r="V105" s="237" t="n">
        <v>0</v>
      </c>
      <c r="W105" s="237" t="n">
        <v>0</v>
      </c>
      <c r="X105" s="208" t="n">
        <v>2.49</v>
      </c>
      <c r="Y105" s="251" t="n">
        <v>2.49</v>
      </c>
      <c r="Z105" s="251" t="n">
        <v>2.49</v>
      </c>
      <c r="AA105" s="35" t="n">
        <v>44515</v>
      </c>
      <c r="AB105" s="27" t="n"/>
      <c r="AC105" s="27" t="n">
        <v>20</v>
      </c>
      <c r="AD105" s="210" t="n">
        <v>2.49</v>
      </c>
      <c r="AE105" s="237" t="n">
        <v>0.4980000000000001</v>
      </c>
      <c r="AF105" t="b">
        <v>0</v>
      </c>
      <c r="AG105" s="228" t="n">
        <v>-2.49</v>
      </c>
    </row>
    <row r="106">
      <c r="A106">
        <f>I106&amp;"-"&amp;J106</f>
        <v/>
      </c>
      <c r="B106" s="1">
        <f>N106</f>
        <v/>
      </c>
      <c r="C106">
        <f>M106&amp;"/"&amp;O106</f>
        <v/>
      </c>
      <c r="D106">
        <f>K106</f>
        <v/>
      </c>
      <c r="E106">
        <f>L106</f>
        <v/>
      </c>
      <c r="F106" s="236">
        <f>Z106</f>
        <v/>
      </c>
      <c r="G106">
        <f>U106&amp;"%"</f>
        <v/>
      </c>
      <c r="I106" s="53" t="n">
        <v>2021</v>
      </c>
      <c r="J106" s="53" t="n">
        <v>105</v>
      </c>
      <c r="K106" s="71" t="inlineStr">
        <is>
          <t>Ausgaben</t>
        </is>
      </c>
      <c r="L106" t="inlineStr">
        <is>
          <t>sonstige Betriebsausgaben</t>
        </is>
      </c>
      <c r="M106" s="9" t="inlineStr">
        <is>
          <t>5137082649</t>
        </is>
      </c>
      <c r="N106" s="1" t="n">
        <v>44389</v>
      </c>
      <c r="O106" t="inlineStr">
        <is>
          <t>Wiener Netze GmbH, Erdbergstraße 236, 1110 Wien, Postfach 422; Jahresabrechnung vom 17.12.20: GUTSCHRIFT</t>
        </is>
      </c>
      <c r="Q106" s="76" t="n"/>
      <c r="R106" t="b">
        <v>0</v>
      </c>
      <c r="S106" s="214" t="n">
        <v>13</v>
      </c>
      <c r="T106" s="159" t="n">
        <v>1</v>
      </c>
      <c r="U106" t="n">
        <v>20</v>
      </c>
      <c r="V106" s="237" t="n">
        <v>2.6</v>
      </c>
      <c r="W106" s="237" t="n">
        <v>2.6</v>
      </c>
      <c r="X106" s="208" t="n">
        <v>13</v>
      </c>
      <c r="Y106" s="251" t="n">
        <v>15.6</v>
      </c>
      <c r="Z106" s="251" t="n">
        <v>15.6</v>
      </c>
      <c r="AA106" s="35" t="n">
        <v>44515</v>
      </c>
      <c r="AB106" s="27" t="n"/>
      <c r="AC106" s="27" t="n"/>
      <c r="AD106" s="210" t="n">
        <v>13</v>
      </c>
      <c r="AE106" s="237" t="n">
        <v>0</v>
      </c>
      <c r="AF106" t="b">
        <v>0</v>
      </c>
      <c r="AG106" s="228" t="n">
        <v>-13</v>
      </c>
    </row>
    <row r="107">
      <c r="A107">
        <f>I107&amp;"-"&amp;J107</f>
        <v/>
      </c>
      <c r="B107" s="1">
        <f>N107</f>
        <v/>
      </c>
      <c r="C107">
        <f>M107&amp;"/"&amp;O107</f>
        <v/>
      </c>
      <c r="D107">
        <f>K107</f>
        <v/>
      </c>
      <c r="E107">
        <f>L107</f>
        <v/>
      </c>
      <c r="F107" s="236">
        <f>Z107</f>
        <v/>
      </c>
      <c r="G107">
        <f>U107&amp;"%"</f>
        <v/>
      </c>
      <c r="I107" s="53" t="n">
        <v>2021</v>
      </c>
      <c r="J107" s="53" t="n">
        <v>106</v>
      </c>
      <c r="K107" s="71" t="inlineStr">
        <is>
          <t>Ausgaben</t>
        </is>
      </c>
      <c r="L107" t="inlineStr">
        <is>
          <t>sonstige Betriebsausgaben</t>
        </is>
      </c>
      <c r="M107" s="9" t="inlineStr">
        <is>
          <t>R0013736658</t>
        </is>
      </c>
      <c r="N107" s="1" t="n">
        <v>44390</v>
      </c>
      <c r="O107" t="inlineStr">
        <is>
          <t>Hetzner Online GmbH</t>
        </is>
      </c>
      <c r="Q107" s="76" t="n"/>
      <c r="R107" t="b">
        <v>0</v>
      </c>
      <c r="S107" s="214" t="n">
        <v>46.9168</v>
      </c>
      <c r="T107" s="159" t="n">
        <v>1</v>
      </c>
      <c r="U107" t="n">
        <v>0</v>
      </c>
      <c r="V107" s="237" t="n">
        <v>0</v>
      </c>
      <c r="W107" s="237" t="n">
        <v>0</v>
      </c>
      <c r="X107" s="208" t="n">
        <v>46.9168</v>
      </c>
      <c r="Y107" s="251" t="n">
        <v>46.9168</v>
      </c>
      <c r="Z107" s="251" t="n">
        <v>46.9168</v>
      </c>
      <c r="AA107" s="35" t="n">
        <v>44515</v>
      </c>
      <c r="AB107" s="27" t="n"/>
      <c r="AC107" s="27" t="n">
        <v>20</v>
      </c>
      <c r="AD107" s="210" t="n">
        <v>46.9168</v>
      </c>
      <c r="AE107" s="237" t="n">
        <v>9.383360000000001</v>
      </c>
      <c r="AF107" t="b">
        <v>0</v>
      </c>
      <c r="AG107" s="228" t="n">
        <v>-46.9168</v>
      </c>
    </row>
    <row r="108">
      <c r="A108">
        <f>I108&amp;"-"&amp;J108</f>
        <v/>
      </c>
      <c r="B108" s="1">
        <f>N108</f>
        <v/>
      </c>
      <c r="C108">
        <f>M108&amp;"/"&amp;O108</f>
        <v/>
      </c>
      <c r="D108">
        <f>K108</f>
        <v/>
      </c>
      <c r="E108">
        <f>L108</f>
        <v/>
      </c>
      <c r="F108" s="236">
        <f>Z108</f>
        <v/>
      </c>
      <c r="G108">
        <f>U108&amp;"%"</f>
        <v/>
      </c>
      <c r="I108" s="53" t="n">
        <v>2021</v>
      </c>
      <c r="J108" s="53" t="n">
        <v>107</v>
      </c>
      <c r="K108" s="71" t="inlineStr">
        <is>
          <t>Einnahmen</t>
        </is>
      </c>
      <c r="L108" t="inlineStr">
        <is>
          <t>Waren-/Leistungserlöse</t>
        </is>
      </c>
      <c r="M108" s="9" t="inlineStr">
        <is>
          <t>12021019</t>
        </is>
      </c>
      <c r="N108" s="1" t="n">
        <v>44391</v>
      </c>
      <c r="O108" t="inlineStr">
        <is>
          <t>Musikschule Bad Vöslau, Hauptstraße 14, 2540 Bad Vöslau</t>
        </is>
      </c>
      <c r="Q108" s="76" t="n"/>
      <c r="R108" t="b">
        <v>0</v>
      </c>
      <c r="S108" s="214" t="n">
        <v>44.5</v>
      </c>
      <c r="T108" s="159" t="n">
        <v>1</v>
      </c>
      <c r="U108" t="n">
        <v>20</v>
      </c>
      <c r="V108" s="237" t="n">
        <v>8.9</v>
      </c>
      <c r="W108" s="237" t="n">
        <v>8.9</v>
      </c>
      <c r="X108" s="208" t="n">
        <v>44.5</v>
      </c>
      <c r="Y108" s="251" t="n">
        <v>53.4</v>
      </c>
      <c r="Z108" s="251" t="n">
        <v>53.4</v>
      </c>
      <c r="AA108" s="35" t="n">
        <v>44515</v>
      </c>
      <c r="AB108" s="27" t="n"/>
      <c r="AC108" s="27" t="n"/>
      <c r="AD108" s="210" t="n">
        <v>44.5</v>
      </c>
      <c r="AE108" s="237" t="n">
        <v>0</v>
      </c>
      <c r="AF108" t="b">
        <v>0</v>
      </c>
      <c r="AG108" s="228" t="n">
        <v>44.5</v>
      </c>
    </row>
    <row r="109">
      <c r="A109">
        <f>I109&amp;"-"&amp;J109</f>
        <v/>
      </c>
      <c r="B109" s="1">
        <f>N109</f>
        <v/>
      </c>
      <c r="C109">
        <f>M109&amp;"/"&amp;O109</f>
        <v/>
      </c>
      <c r="D109">
        <f>K109</f>
        <v/>
      </c>
      <c r="E109">
        <f>L109</f>
        <v/>
      </c>
      <c r="F109" s="236">
        <f>Z109</f>
        <v/>
      </c>
      <c r="G109">
        <f>U109&amp;"%"</f>
        <v/>
      </c>
      <c r="I109" s="53" t="n">
        <v>2021</v>
      </c>
      <c r="J109" s="53" t="n">
        <v>108</v>
      </c>
      <c r="K109" s="71" t="inlineStr">
        <is>
          <t>Ausgaben</t>
        </is>
      </c>
      <c r="L109" t="inlineStr">
        <is>
          <t>sonstige Betriebsausgaben</t>
        </is>
      </c>
      <c r="M109" s="9" t="inlineStr">
        <is>
          <t>AEU-INV-AT-2021-24480518</t>
        </is>
      </c>
      <c r="N109" s="1" t="n">
        <v>44392</v>
      </c>
      <c r="O109" t="inlineStr">
        <is>
          <t>Amazon EU S. à r.l., 38 avenue John F. Kennedy, L-1855 Luxembourg: HJEU: DVI-HDMI, Logitech Maus</t>
        </is>
      </c>
      <c r="Q109" s="76" t="n"/>
      <c r="R109" t="b">
        <v>0</v>
      </c>
      <c r="S109" s="214" t="n">
        <v>64.68000000000001</v>
      </c>
      <c r="T109" s="159" t="n">
        <v>1</v>
      </c>
      <c r="U109" t="n">
        <v>20</v>
      </c>
      <c r="V109" s="237" t="n">
        <v>12.936</v>
      </c>
      <c r="W109" s="237" t="n">
        <v>12.936</v>
      </c>
      <c r="X109" s="208" t="n">
        <v>64.68000000000001</v>
      </c>
      <c r="Y109" s="251" t="n">
        <v>77.61600000000001</v>
      </c>
      <c r="Z109" s="251" t="n">
        <v>77.61600000000001</v>
      </c>
      <c r="AA109" s="35" t="n">
        <v>44515</v>
      </c>
      <c r="AB109" s="27" t="n"/>
      <c r="AC109" s="27" t="n"/>
      <c r="AD109" s="210" t="n">
        <v>64.68000000000001</v>
      </c>
      <c r="AE109" s="237" t="n">
        <v>0</v>
      </c>
      <c r="AF109" t="b">
        <v>0</v>
      </c>
      <c r="AG109" s="228" t="n">
        <v>-64.68000000000001</v>
      </c>
    </row>
    <row r="110">
      <c r="A110">
        <f>I110&amp;"-"&amp;J110</f>
        <v/>
      </c>
      <c r="B110" s="1">
        <f>N110</f>
        <v/>
      </c>
      <c r="C110">
        <f>M110&amp;"/"&amp;O110</f>
        <v/>
      </c>
      <c r="D110">
        <f>K110</f>
        <v/>
      </c>
      <c r="E110">
        <f>L110</f>
        <v/>
      </c>
      <c r="F110" s="236">
        <f>Z110</f>
        <v/>
      </c>
      <c r="G110">
        <f>U110&amp;"%"</f>
        <v/>
      </c>
      <c r="I110" s="53" t="n">
        <v>2021</v>
      </c>
      <c r="J110" s="53" t="n">
        <v>109</v>
      </c>
      <c r="K110" s="71" t="inlineStr">
        <is>
          <t>Einnahmen</t>
        </is>
      </c>
      <c r="L110" t="inlineStr">
        <is>
          <t>Waren-/Leistungserlöse</t>
        </is>
      </c>
      <c r="M110" s="9" t="inlineStr">
        <is>
          <t>12021021</t>
        </is>
      </c>
      <c r="N110" s="1" t="n">
        <v>44393</v>
      </c>
      <c r="O110" t="inlineStr">
        <is>
          <t>immo 360 grad gmbh, Feldgasse 6-8, 1080 Wien; ATU51729508</t>
        </is>
      </c>
      <c r="Q110" s="76" t="n"/>
      <c r="R110" t="b">
        <v>0</v>
      </c>
      <c r="S110" s="214" t="n">
        <v>475</v>
      </c>
      <c r="T110" s="159" t="n">
        <v>1</v>
      </c>
      <c r="U110" t="n">
        <v>20</v>
      </c>
      <c r="V110" s="237" t="n">
        <v>95</v>
      </c>
      <c r="W110" s="237" t="n">
        <v>95</v>
      </c>
      <c r="X110" s="208" t="n">
        <v>475</v>
      </c>
      <c r="Y110" s="251" t="n">
        <v>570</v>
      </c>
      <c r="Z110" s="251" t="n">
        <v>570</v>
      </c>
      <c r="AA110" s="35" t="n">
        <v>44515</v>
      </c>
      <c r="AB110" s="27" t="n"/>
      <c r="AC110" s="27" t="n"/>
      <c r="AD110" s="210" t="n">
        <v>475</v>
      </c>
      <c r="AE110" s="237" t="n">
        <v>0</v>
      </c>
      <c r="AF110" t="b">
        <v>0</v>
      </c>
      <c r="AG110" s="228" t="n">
        <v>475</v>
      </c>
    </row>
    <row r="111">
      <c r="A111">
        <f>I111&amp;"-"&amp;J111</f>
        <v/>
      </c>
      <c r="B111" s="1">
        <f>N111</f>
        <v/>
      </c>
      <c r="C111">
        <f>M111&amp;"/"&amp;O111</f>
        <v/>
      </c>
      <c r="D111">
        <f>K111</f>
        <v/>
      </c>
      <c r="E111">
        <f>L111</f>
        <v/>
      </c>
      <c r="F111" s="236">
        <f>Z111</f>
        <v/>
      </c>
      <c r="G111">
        <f>U111&amp;"%"</f>
        <v/>
      </c>
      <c r="I111" s="53" t="n">
        <v>2021</v>
      </c>
      <c r="J111" s="53" t="n">
        <v>110</v>
      </c>
      <c r="K111" s="71" t="inlineStr">
        <is>
          <t>Ausgaben</t>
        </is>
      </c>
      <c r="L111" t="inlineStr">
        <is>
          <t>Telefon/Internet</t>
        </is>
      </c>
      <c r="M111" s="136" t="inlineStr">
        <is>
          <t>901190590721</t>
        </is>
      </c>
      <c r="N111" s="1" t="n">
        <v>44398</v>
      </c>
      <c r="O111" t="inlineStr">
        <is>
          <t>Magenta: T-Mobile Austria GmbH, A-1120 Wien, PF 47</t>
        </is>
      </c>
      <c r="Q111" s="76" t="n"/>
      <c r="R111" t="b">
        <v>0</v>
      </c>
      <c r="S111" s="214" t="n">
        <v>31.92</v>
      </c>
      <c r="T111" s="159" t="n">
        <v>1</v>
      </c>
      <c r="U111" t="n">
        <v>20</v>
      </c>
      <c r="V111" s="237" t="n">
        <v>6.384000000000001</v>
      </c>
      <c r="W111" s="237" t="n">
        <v>6.384000000000001</v>
      </c>
      <c r="X111" s="208" t="n">
        <v>31.92</v>
      </c>
      <c r="Y111" s="251" t="n">
        <v>38.304</v>
      </c>
      <c r="Z111" s="251" t="n">
        <v>38.304</v>
      </c>
      <c r="AA111" s="35" t="n">
        <v>44515</v>
      </c>
      <c r="AB111" s="27" t="n"/>
      <c r="AC111" s="27" t="n"/>
      <c r="AD111" s="210" t="n">
        <v>31.92</v>
      </c>
      <c r="AE111" s="237" t="n">
        <v>0</v>
      </c>
      <c r="AF111" t="b">
        <v>0</v>
      </c>
      <c r="AG111" s="228" t="n">
        <v>-31.92</v>
      </c>
    </row>
    <row r="112">
      <c r="A112">
        <f>I112&amp;"-"&amp;J112</f>
        <v/>
      </c>
      <c r="B112" s="1">
        <f>N112</f>
        <v/>
      </c>
      <c r="C112">
        <f>M112&amp;"/"&amp;O112</f>
        <v/>
      </c>
      <c r="D112">
        <f>K112</f>
        <v/>
      </c>
      <c r="E112">
        <f>L112</f>
        <v/>
      </c>
      <c r="F112" s="236">
        <f>Z112</f>
        <v/>
      </c>
      <c r="G112">
        <f>U112&amp;"%"</f>
        <v/>
      </c>
      <c r="I112" s="53" t="n">
        <v>2021</v>
      </c>
      <c r="J112" s="53" t="n">
        <v>111</v>
      </c>
      <c r="K112" s="71" t="inlineStr">
        <is>
          <t>Ausgaben</t>
        </is>
      </c>
      <c r="L112" t="inlineStr">
        <is>
          <t>Miet- und Pachtaufwand, Leasing</t>
        </is>
      </c>
      <c r="M112" s="9" t="inlineStr">
        <is>
          <t>HKA/20-01-58835</t>
        </is>
      </c>
      <c r="N112" s="1" t="n">
        <v>44405</v>
      </c>
      <c r="O112" t="inlineStr">
        <is>
          <t>Techem Messtechnik GmbH; Abnehmernummer 501686-0003-11-</t>
        </is>
      </c>
      <c r="Q112" s="76" t="n"/>
      <c r="R112" t="b">
        <v>0</v>
      </c>
      <c r="S112" s="214" t="n">
        <v>377.8</v>
      </c>
      <c r="T112" s="159" t="n">
        <v>1</v>
      </c>
      <c r="U112" t="n">
        <v>20</v>
      </c>
      <c r="V112" s="237" t="n">
        <v>75.56</v>
      </c>
      <c r="W112" s="237" t="n">
        <v>75.56</v>
      </c>
      <c r="X112" s="208" t="n">
        <v>377.8</v>
      </c>
      <c r="Y112" s="251" t="n">
        <v>453.36</v>
      </c>
      <c r="Z112" s="251" t="n">
        <v>453.36</v>
      </c>
      <c r="AA112" s="35" t="n">
        <v>44515</v>
      </c>
      <c r="AB112" s="27" t="n"/>
      <c r="AC112" s="27" t="n"/>
      <c r="AD112" s="210" t="n">
        <v>377.8</v>
      </c>
      <c r="AE112" s="237" t="n">
        <v>0</v>
      </c>
      <c r="AF112" t="b">
        <v>0</v>
      </c>
      <c r="AG112" s="228" t="n">
        <v>-377.8</v>
      </c>
    </row>
    <row r="113">
      <c r="A113">
        <f>I113&amp;"-"&amp;J113</f>
        <v/>
      </c>
      <c r="B113" s="1">
        <f>N113</f>
        <v/>
      </c>
      <c r="C113">
        <f>M113&amp;"/"&amp;O113</f>
        <v/>
      </c>
      <c r="D113">
        <f>K113</f>
        <v/>
      </c>
      <c r="E113">
        <f>L113</f>
        <v/>
      </c>
      <c r="F113" s="236">
        <f>Z113</f>
        <v/>
      </c>
      <c r="G113">
        <f>U113&amp;"%"</f>
        <v/>
      </c>
      <c r="I113" s="53" t="n">
        <v>2021</v>
      </c>
      <c r="J113" s="53" t="n">
        <v>112</v>
      </c>
      <c r="K113" s="71" t="inlineStr">
        <is>
          <t>Ausgaben</t>
        </is>
      </c>
      <c r="L113" t="inlineStr">
        <is>
          <t>Miet- und Pachtaufwand, Leasing</t>
        </is>
      </c>
      <c r="M113" s="136" t="inlineStr">
        <is>
          <t>21/9801/JA03121</t>
        </is>
      </c>
      <c r="N113" s="1" t="n">
        <v>44407</v>
      </c>
      <c r="O113" t="inlineStr">
        <is>
          <t>Bontus Immobilienverwaltung GmbH, 1010 Wien, Franz Josefs Kai 65</t>
        </is>
      </c>
      <c r="Q113" s="76" t="n"/>
      <c r="R113" t="b">
        <v>0</v>
      </c>
      <c r="S113" s="214" t="n">
        <v>3.183333333333333</v>
      </c>
      <c r="T113" s="159" t="n">
        <v>1</v>
      </c>
      <c r="U113" t="n">
        <v>20</v>
      </c>
      <c r="V113" s="237" t="n">
        <v>0.6366666666666666</v>
      </c>
      <c r="W113" s="237" t="n">
        <v>0.6366666666666666</v>
      </c>
      <c r="X113" s="208" t="n">
        <v>3.183333333333333</v>
      </c>
      <c r="Y113" s="251" t="n">
        <v>3.82</v>
      </c>
      <c r="Z113" s="251" t="n">
        <v>3.82</v>
      </c>
      <c r="AA113" s="35" t="n">
        <v>44515</v>
      </c>
      <c r="AB113" s="27" t="n"/>
      <c r="AC113" s="27" t="n"/>
      <c r="AD113" s="210" t="n">
        <v>3.183333333333333</v>
      </c>
      <c r="AE113" s="237" t="n">
        <v>0</v>
      </c>
      <c r="AF113" t="b">
        <v>0</v>
      </c>
      <c r="AG113" s="228" t="n">
        <v>-3.183333333333333</v>
      </c>
    </row>
    <row r="114">
      <c r="A114">
        <f>I114&amp;"-"&amp;J114</f>
        <v/>
      </c>
      <c r="B114" s="1">
        <f>N114</f>
        <v/>
      </c>
      <c r="C114">
        <f>M114&amp;"/"&amp;O114</f>
        <v/>
      </c>
      <c r="D114">
        <f>K114</f>
        <v/>
      </c>
      <c r="E114">
        <f>L114</f>
        <v/>
      </c>
      <c r="F114" s="236">
        <f>Z114</f>
        <v/>
      </c>
      <c r="G114">
        <f>U114&amp;"%"</f>
        <v/>
      </c>
      <c r="I114" s="53" t="n">
        <v>2021</v>
      </c>
      <c r="J114" s="53" t="n">
        <v>113</v>
      </c>
      <c r="K114" s="71" t="inlineStr">
        <is>
          <t>Ausgaben</t>
        </is>
      </c>
      <c r="L114" t="inlineStr">
        <is>
          <t>Miet- und Pachtaufwand, Leasing</t>
        </is>
      </c>
      <c r="M114" s="136" t="inlineStr">
        <is>
          <t>21/9801(VS00372</t>
        </is>
      </c>
      <c r="N114" s="1" t="n">
        <v>44410</v>
      </c>
      <c r="O114" t="inlineStr">
        <is>
          <t>Bontus Immobilienverwaltung GmbH, 1010 Wien, Franz Josefs Kai 65</t>
        </is>
      </c>
      <c r="Q114" s="76" t="n"/>
      <c r="R114" t="b">
        <v>0</v>
      </c>
      <c r="S114" s="214" t="n">
        <v>470.4666666666666</v>
      </c>
      <c r="T114" s="159" t="n">
        <v>1</v>
      </c>
      <c r="U114" t="n">
        <v>20</v>
      </c>
      <c r="V114" s="237" t="n">
        <v>94.09333333333332</v>
      </c>
      <c r="W114" s="237" t="n">
        <v>94.09333333333332</v>
      </c>
      <c r="X114" s="208" t="n">
        <v>470.4666666666666</v>
      </c>
      <c r="Y114" s="251" t="n">
        <v>564.5599999999999</v>
      </c>
      <c r="Z114" s="251" t="n">
        <v>564.5599999999999</v>
      </c>
      <c r="AA114" s="35" t="n">
        <v>44515</v>
      </c>
      <c r="AB114" s="27" t="n"/>
      <c r="AC114" s="27" t="n"/>
      <c r="AD114" s="210" t="n">
        <v>470.4666666666666</v>
      </c>
      <c r="AE114" s="237" t="n">
        <v>0</v>
      </c>
      <c r="AF114" t="b">
        <v>0</v>
      </c>
      <c r="AG114" s="228" t="n">
        <v>-470.4666666666666</v>
      </c>
    </row>
    <row r="115">
      <c r="A115">
        <f>I115&amp;"-"&amp;J115</f>
        <v/>
      </c>
      <c r="B115" s="1">
        <f>N115</f>
        <v/>
      </c>
      <c r="C115">
        <f>M115&amp;"/"&amp;O115</f>
        <v/>
      </c>
      <c r="D115">
        <f>K115</f>
        <v/>
      </c>
      <c r="E115">
        <f>L115</f>
        <v/>
      </c>
      <c r="F115" s="236">
        <f>Z115</f>
        <v/>
      </c>
      <c r="G115">
        <f>U115&amp;"%"</f>
        <v/>
      </c>
      <c r="I115" s="53" t="n">
        <v>2021</v>
      </c>
      <c r="J115" s="53" t="n">
        <v>114</v>
      </c>
      <c r="K115" s="71" t="inlineStr">
        <is>
          <t>Ausgaben</t>
        </is>
      </c>
      <c r="L115" t="inlineStr">
        <is>
          <t>Telefon/Internet</t>
        </is>
      </c>
      <c r="M115" s="9" t="inlineStr">
        <is>
          <t>6226243184</t>
        </is>
      </c>
      <c r="N115" s="1" t="n">
        <v>44411</v>
      </c>
      <c r="O115" t="inlineStr">
        <is>
          <t>Hutchison Drei Austria GmbH, Brünner Straße 52, 1210 Wien, Österreich</t>
        </is>
      </c>
      <c r="Q115" s="76" t="n"/>
      <c r="R115" t="b">
        <v>0</v>
      </c>
      <c r="S115" s="214" t="n">
        <v>15</v>
      </c>
      <c r="T115" s="159" t="n">
        <v>1</v>
      </c>
      <c r="U115" t="n">
        <v>20</v>
      </c>
      <c r="V115" s="237" t="n">
        <v>3</v>
      </c>
      <c r="W115" s="237" t="n">
        <v>3</v>
      </c>
      <c r="X115" s="208" t="n">
        <v>15</v>
      </c>
      <c r="Y115" s="251" t="n">
        <v>18</v>
      </c>
      <c r="Z115" s="251" t="n">
        <v>18</v>
      </c>
      <c r="AA115" s="35" t="n">
        <v>44515</v>
      </c>
      <c r="AB115" s="27" t="n"/>
      <c r="AC115" s="27" t="n"/>
      <c r="AD115" s="210" t="n">
        <v>15</v>
      </c>
      <c r="AE115" s="237" t="n">
        <v>0</v>
      </c>
      <c r="AF115" t="b">
        <v>0</v>
      </c>
      <c r="AG115" s="228" t="n">
        <v>-15</v>
      </c>
    </row>
    <row r="116">
      <c r="A116">
        <f>I116&amp;"-"&amp;J116</f>
        <v/>
      </c>
      <c r="B116" s="1">
        <f>N116</f>
        <v/>
      </c>
      <c r="C116">
        <f>M116&amp;"/"&amp;O116</f>
        <v/>
      </c>
      <c r="D116">
        <f>K116</f>
        <v/>
      </c>
      <c r="E116">
        <f>L116</f>
        <v/>
      </c>
      <c r="F116" s="236">
        <f>Z116</f>
        <v/>
      </c>
      <c r="G116">
        <f>U116&amp;"%"</f>
        <v/>
      </c>
      <c r="I116" s="53" t="n">
        <v>2021</v>
      </c>
      <c r="J116" s="53" t="n">
        <v>115</v>
      </c>
      <c r="K116" s="71" t="inlineStr">
        <is>
          <t>Einnahmen</t>
        </is>
      </c>
      <c r="L116" t="inlineStr">
        <is>
          <t>Waren-/Leistungserlöse</t>
        </is>
      </c>
      <c r="M116" s="9" t="n">
        <v>12021018</v>
      </c>
      <c r="N116" s="1" t="n">
        <v>44411</v>
      </c>
      <c r="O116" t="inlineStr">
        <is>
          <t>Paperholic all bout paper e.U.</t>
        </is>
      </c>
      <c r="Q116" s="76" t="n"/>
      <c r="R116" t="b">
        <v>0</v>
      </c>
      <c r="S116" s="214" t="n">
        <v>660.65</v>
      </c>
      <c r="T116" s="159" t="n">
        <v>1</v>
      </c>
      <c r="U116" t="n">
        <v>20</v>
      </c>
      <c r="V116" s="237" t="n">
        <v>132.13</v>
      </c>
      <c r="W116" s="237" t="n">
        <v>132.13</v>
      </c>
      <c r="X116" s="208" t="n">
        <v>660.65</v>
      </c>
      <c r="Y116" s="251" t="n">
        <v>792.78</v>
      </c>
      <c r="Z116" s="251" t="n">
        <v>792.78</v>
      </c>
      <c r="AA116" s="35" t="n">
        <v>44515</v>
      </c>
      <c r="AB116" s="27" t="n"/>
      <c r="AC116" s="27" t="n"/>
      <c r="AD116" s="210" t="n">
        <v>660.65</v>
      </c>
      <c r="AE116" s="237" t="n">
        <v>0</v>
      </c>
      <c r="AF116" t="b">
        <v>0</v>
      </c>
      <c r="AG116" s="228" t="n">
        <v>660.65</v>
      </c>
    </row>
    <row r="117">
      <c r="A117">
        <f>I117&amp;"-"&amp;J117</f>
        <v/>
      </c>
      <c r="B117" s="1">
        <f>N117</f>
        <v/>
      </c>
      <c r="C117">
        <f>M117&amp;"/"&amp;O117</f>
        <v/>
      </c>
      <c r="D117">
        <f>K117</f>
        <v/>
      </c>
      <c r="E117">
        <f>L117</f>
        <v/>
      </c>
      <c r="F117" s="236">
        <f>Z117</f>
        <v/>
      </c>
      <c r="G117">
        <f>U117&amp;"%"</f>
        <v/>
      </c>
      <c r="I117" s="53" t="n">
        <v>2021</v>
      </c>
      <c r="J117" s="53" t="n">
        <v>116</v>
      </c>
      <c r="K117" s="71" t="inlineStr">
        <is>
          <t>Ausgaben</t>
        </is>
      </c>
      <c r="L117" t="inlineStr">
        <is>
          <t>sonstige Betriebsausgaben</t>
        </is>
      </c>
      <c r="M117" s="9" t="inlineStr">
        <is>
          <t>60793/100/2021</t>
        </is>
      </c>
      <c r="N117" s="1" t="n">
        <v>44412</v>
      </c>
      <c r="O117" t="inlineStr">
        <is>
          <t>easy green energy GmbH &amp; Co KG</t>
        </is>
      </c>
      <c r="Q117" s="76" t="n"/>
      <c r="R117" t="b">
        <v>0</v>
      </c>
      <c r="S117" s="214" t="n">
        <v>2.5</v>
      </c>
      <c r="T117" s="159" t="n">
        <v>1</v>
      </c>
      <c r="U117" t="n">
        <v>20</v>
      </c>
      <c r="V117" s="237" t="n">
        <v>0.5</v>
      </c>
      <c r="W117" s="237" t="n">
        <v>0.5</v>
      </c>
      <c r="X117" s="208" t="n">
        <v>2.5</v>
      </c>
      <c r="Y117" s="251" t="n">
        <v>3</v>
      </c>
      <c r="Z117" s="251" t="n">
        <v>3</v>
      </c>
      <c r="AA117" s="35" t="n">
        <v>44515</v>
      </c>
      <c r="AB117" s="27" t="n"/>
      <c r="AC117" s="27" t="n"/>
      <c r="AD117" s="210" t="n">
        <v>2.5</v>
      </c>
      <c r="AE117" s="237" t="n">
        <v>0</v>
      </c>
      <c r="AF117" t="b">
        <v>0</v>
      </c>
      <c r="AG117" s="228" t="n">
        <v>-2.5</v>
      </c>
    </row>
    <row r="118">
      <c r="A118">
        <f>I118&amp;"-"&amp;J118</f>
        <v/>
      </c>
      <c r="B118" s="1">
        <f>N118</f>
        <v/>
      </c>
      <c r="C118">
        <f>M118&amp;"/"&amp;O118</f>
        <v/>
      </c>
      <c r="D118">
        <f>K118</f>
        <v/>
      </c>
      <c r="E118">
        <f>L118</f>
        <v/>
      </c>
      <c r="F118" s="236">
        <f>Z118</f>
        <v/>
      </c>
      <c r="G118">
        <f>U118&amp;"%"</f>
        <v/>
      </c>
      <c r="I118" s="53" t="n">
        <v>2021</v>
      </c>
      <c r="J118" s="53" t="n">
        <v>117</v>
      </c>
      <c r="K118" s="71" t="inlineStr">
        <is>
          <t>Ausgaben</t>
        </is>
      </c>
      <c r="L118" t="inlineStr">
        <is>
          <t>sonstige Betriebsausgaben</t>
        </is>
      </c>
      <c r="M118" s="9" t="n">
        <v>3947026044</v>
      </c>
      <c r="N118" s="1" t="n">
        <v>44412</v>
      </c>
      <c r="O118" t="inlineStr">
        <is>
          <t>Google Ireland Ltd, Gordon House, Barrow Street, Dublin 4, Ireland; VAT number: IE 6388047V</t>
        </is>
      </c>
      <c r="Q118" s="76" t="n"/>
      <c r="R118" t="b">
        <v>0</v>
      </c>
      <c r="S118" s="214" t="n">
        <v>9.359999999999999</v>
      </c>
      <c r="T118" s="159" t="n">
        <v>1</v>
      </c>
      <c r="U118" t="n">
        <v>0</v>
      </c>
      <c r="V118" s="237" t="n">
        <v>0</v>
      </c>
      <c r="W118" s="237" t="n">
        <v>0</v>
      </c>
      <c r="X118" s="208" t="n">
        <v>9.359999999999999</v>
      </c>
      <c r="Y118" s="251" t="n">
        <v>9.359999999999999</v>
      </c>
      <c r="Z118" s="251" t="n">
        <v>9.359999999999999</v>
      </c>
      <c r="AA118" s="35" t="n">
        <v>44515</v>
      </c>
      <c r="AB118" s="27" t="n"/>
      <c r="AC118" s="27" t="n">
        <v>20</v>
      </c>
      <c r="AD118" s="210" t="n">
        <v>9.359999999999999</v>
      </c>
      <c r="AE118" s="237" t="n">
        <v>1.872</v>
      </c>
      <c r="AF118" t="b">
        <v>0</v>
      </c>
      <c r="AG118" s="228" t="n">
        <v>-9.359999999999999</v>
      </c>
    </row>
    <row r="119">
      <c r="A119">
        <f>I119&amp;"-"&amp;J119</f>
        <v/>
      </c>
      <c r="B119" s="1">
        <f>N119</f>
        <v/>
      </c>
      <c r="C119">
        <f>M119&amp;"/"&amp;O119</f>
        <v/>
      </c>
      <c r="D119">
        <f>K119</f>
        <v/>
      </c>
      <c r="E119">
        <f>L119</f>
        <v/>
      </c>
      <c r="F119" s="236">
        <f>Z119</f>
        <v/>
      </c>
      <c r="G119">
        <f>U119&amp;"%"</f>
        <v/>
      </c>
      <c r="I119" s="53" t="n">
        <v>2021</v>
      </c>
      <c r="J119" s="53" t="n">
        <v>118</v>
      </c>
      <c r="K119" s="71" t="inlineStr">
        <is>
          <t>Ausgaben</t>
        </is>
      </c>
      <c r="L119" t="inlineStr">
        <is>
          <t>Waren, Rohstoffe, Hilfsstoffe</t>
        </is>
      </c>
      <c r="M119" s="9" t="inlineStr">
        <is>
          <t>845629</t>
        </is>
      </c>
      <c r="N119" s="1" t="n">
        <v>44412</v>
      </c>
      <c r="O119" t="inlineStr">
        <is>
          <t>Lemon Technologies GmbH, Unterweißenbach 181, 7330 Feldbach: Bildschirm</t>
        </is>
      </c>
      <c r="Q119" s="76" t="inlineStr">
        <is>
          <t>ja</t>
        </is>
      </c>
      <c r="R119" t="b">
        <v>0</v>
      </c>
      <c r="S119" s="214" t="n">
        <v>2924.14</v>
      </c>
      <c r="T119" s="159" t="n">
        <v>1</v>
      </c>
      <c r="U119" t="n">
        <v>20</v>
      </c>
      <c r="V119" s="237" t="n">
        <v>584.828</v>
      </c>
      <c r="W119" s="237" t="n">
        <v>584.828</v>
      </c>
      <c r="X119" s="208" t="n">
        <v>2924.14</v>
      </c>
      <c r="Y119" s="251" t="n">
        <v>3508.968</v>
      </c>
      <c r="Z119" s="251" t="n">
        <v>3508.968</v>
      </c>
      <c r="AA119" s="35" t="n">
        <v>44515</v>
      </c>
      <c r="AB119" s="27" t="n"/>
      <c r="AC119" s="27" t="n"/>
      <c r="AD119" s="210" t="n">
        <v>2924.14</v>
      </c>
      <c r="AE119" s="237" t="n">
        <v>0</v>
      </c>
      <c r="AF119" t="b">
        <v>0</v>
      </c>
      <c r="AG119" s="228" t="n">
        <v>-2924.14</v>
      </c>
    </row>
    <row r="120">
      <c r="A120">
        <f>I120&amp;"-"&amp;J120</f>
        <v/>
      </c>
      <c r="B120" s="1">
        <f>N120</f>
        <v/>
      </c>
      <c r="C120">
        <f>M120&amp;"/"&amp;O120</f>
        <v/>
      </c>
      <c r="D120">
        <f>K120</f>
        <v/>
      </c>
      <c r="E120">
        <f>L120</f>
        <v/>
      </c>
      <c r="F120" s="236">
        <f>Z120</f>
        <v/>
      </c>
      <c r="G120">
        <f>U120&amp;"%"</f>
        <v/>
      </c>
      <c r="I120" s="53" t="n">
        <v>2021</v>
      </c>
      <c r="J120" s="53" t="n">
        <v>119</v>
      </c>
      <c r="K120" s="71" t="inlineStr">
        <is>
          <t>Ausgaben</t>
        </is>
      </c>
      <c r="L120" t="inlineStr">
        <is>
          <t>Miet- und Pachtaufwand, Leasing</t>
        </is>
      </c>
      <c r="M120" s="9" t="inlineStr">
        <is>
          <t>HKA/20-01-58835</t>
        </is>
      </c>
      <c r="N120" s="1" t="n">
        <v>44413</v>
      </c>
      <c r="O120" t="inlineStr">
        <is>
          <t>Techem Messtechnik GmbH; Abnehmernummer 501686-0003-11-</t>
        </is>
      </c>
      <c r="Q120" s="76" t="n"/>
      <c r="R120" t="b">
        <v>0</v>
      </c>
      <c r="S120" s="214" t="n">
        <v>74</v>
      </c>
      <c r="T120" s="159" t="n">
        <v>1</v>
      </c>
      <c r="U120" t="n">
        <v>20</v>
      </c>
      <c r="V120" s="237" t="n">
        <v>14.8</v>
      </c>
      <c r="W120" s="237" t="n">
        <v>14.8</v>
      </c>
      <c r="X120" s="208" t="n">
        <v>74</v>
      </c>
      <c r="Y120" s="251" t="n">
        <v>88.8</v>
      </c>
      <c r="Z120" s="251" t="n">
        <v>88.8</v>
      </c>
      <c r="AA120" s="35" t="n">
        <v>44515</v>
      </c>
      <c r="AB120" s="27" t="n"/>
      <c r="AC120" s="27" t="n"/>
      <c r="AD120" s="210" t="n">
        <v>74</v>
      </c>
      <c r="AE120" s="237" t="n">
        <v>0</v>
      </c>
      <c r="AF120" t="b">
        <v>0</v>
      </c>
      <c r="AG120" s="228" t="n">
        <v>-74</v>
      </c>
    </row>
    <row r="121">
      <c r="A121">
        <f>I121&amp;"-"&amp;J121</f>
        <v/>
      </c>
      <c r="B121" s="1">
        <f>N121</f>
        <v/>
      </c>
      <c r="C121">
        <f>M121&amp;"/"&amp;O121</f>
        <v/>
      </c>
      <c r="D121">
        <f>K121</f>
        <v/>
      </c>
      <c r="E121">
        <f>L121</f>
        <v/>
      </c>
      <c r="F121" s="236">
        <f>Z121</f>
        <v/>
      </c>
      <c r="G121">
        <f>U121&amp;"%"</f>
        <v/>
      </c>
      <c r="I121" s="53" t="n">
        <v>2021</v>
      </c>
      <c r="J121" s="53" t="n">
        <v>120</v>
      </c>
      <c r="K121" s="71" t="inlineStr">
        <is>
          <t>Einnahmen</t>
        </is>
      </c>
      <c r="L121" t="inlineStr">
        <is>
          <t>Waren-/Leistungserlöse</t>
        </is>
      </c>
      <c r="M121" s="9" t="n">
        <v>12021015</v>
      </c>
      <c r="N121" s="1" t="n">
        <v>44414</v>
      </c>
      <c r="O121" t="inlineStr">
        <is>
          <t>Schick Küchendesign e.U. Alexander Schick, Linzerstraße 247, 1140 Wien</t>
        </is>
      </c>
      <c r="Q121" s="76" t="n"/>
      <c r="R121" t="b">
        <v>0</v>
      </c>
      <c r="S121" s="214" t="n">
        <v>1170</v>
      </c>
      <c r="T121" s="159" t="n">
        <v>1</v>
      </c>
      <c r="U121" t="n">
        <v>20</v>
      </c>
      <c r="V121" s="237" t="n">
        <v>234</v>
      </c>
      <c r="W121" s="237" t="n">
        <v>234</v>
      </c>
      <c r="X121" s="208" t="n">
        <v>1170</v>
      </c>
      <c r="Y121" s="251" t="n">
        <v>1404</v>
      </c>
      <c r="Z121" s="251" t="n">
        <v>1404</v>
      </c>
      <c r="AA121" s="35" t="n">
        <v>44515</v>
      </c>
      <c r="AB121" s="27" t="n"/>
      <c r="AC121" s="27" t="n"/>
      <c r="AD121" s="210" t="n">
        <v>1170</v>
      </c>
      <c r="AE121" s="237" t="n">
        <v>0</v>
      </c>
      <c r="AF121" t="b">
        <v>0</v>
      </c>
      <c r="AG121" s="228" t="n">
        <v>1170</v>
      </c>
    </row>
    <row r="122">
      <c r="A122">
        <f>I122&amp;"-"&amp;J122</f>
        <v/>
      </c>
      <c r="B122" s="1">
        <f>N122</f>
        <v/>
      </c>
      <c r="C122">
        <f>M122&amp;"/"&amp;O122</f>
        <v/>
      </c>
      <c r="D122">
        <f>K122</f>
        <v/>
      </c>
      <c r="E122">
        <f>L122</f>
        <v/>
      </c>
      <c r="F122" s="236">
        <f>Z122</f>
        <v/>
      </c>
      <c r="G122">
        <f>U122&amp;"%"</f>
        <v/>
      </c>
      <c r="I122" s="53" t="n">
        <v>2021</v>
      </c>
      <c r="J122" s="53" t="n">
        <v>121</v>
      </c>
      <c r="K122" s="71" t="inlineStr">
        <is>
          <t>Ausgaben</t>
        </is>
      </c>
      <c r="L122" t="inlineStr">
        <is>
          <t>sonstige Betriebsausgaben</t>
        </is>
      </c>
      <c r="M122" s="9" t="inlineStr">
        <is>
          <t>R0013878641</t>
        </is>
      </c>
      <c r="N122" s="1" t="n">
        <v>44414</v>
      </c>
      <c r="O122" t="inlineStr">
        <is>
          <t>Hetzner Online GmbH</t>
        </is>
      </c>
      <c r="Q122" s="76" t="inlineStr">
        <is>
          <t>ja</t>
        </is>
      </c>
      <c r="R122" t="b">
        <v>0</v>
      </c>
      <c r="S122" s="214" t="n">
        <v>2.49</v>
      </c>
      <c r="T122" s="159" t="n">
        <v>1</v>
      </c>
      <c r="U122" t="n">
        <v>0</v>
      </c>
      <c r="V122" s="237" t="n">
        <v>0</v>
      </c>
      <c r="W122" s="237" t="n">
        <v>0</v>
      </c>
      <c r="X122" s="208" t="n">
        <v>2.49</v>
      </c>
      <c r="Y122" s="251" t="n">
        <v>2.49</v>
      </c>
      <c r="Z122" s="251" t="n">
        <v>2.49</v>
      </c>
      <c r="AA122" s="35" t="n">
        <v>44515</v>
      </c>
      <c r="AB122" s="27" t="n"/>
      <c r="AC122" s="27" t="n">
        <v>20</v>
      </c>
      <c r="AD122" s="210" t="n">
        <v>2.49</v>
      </c>
      <c r="AE122" s="237" t="n">
        <v>0.4980000000000001</v>
      </c>
      <c r="AF122" t="b">
        <v>0</v>
      </c>
      <c r="AG122" s="228" t="n">
        <v>-2.49</v>
      </c>
    </row>
    <row r="123">
      <c r="A123">
        <f>I123&amp;"-"&amp;J123</f>
        <v/>
      </c>
      <c r="B123" s="1">
        <f>N123</f>
        <v/>
      </c>
      <c r="C123">
        <f>M123&amp;"/"&amp;O123</f>
        <v/>
      </c>
      <c r="D123">
        <f>K123</f>
        <v/>
      </c>
      <c r="E123">
        <f>L123</f>
        <v/>
      </c>
      <c r="F123" s="236">
        <f>Z123</f>
        <v/>
      </c>
      <c r="G123">
        <f>U123&amp;"%"</f>
        <v/>
      </c>
      <c r="I123" s="53" t="n">
        <v>2021</v>
      </c>
      <c r="J123" s="53" t="n">
        <v>122</v>
      </c>
      <c r="K123" s="71" t="inlineStr">
        <is>
          <t>Ausgaben</t>
        </is>
      </c>
      <c r="L123" t="inlineStr">
        <is>
          <t>sonstige Betriebsausgaben</t>
        </is>
      </c>
      <c r="M123" s="9" t="inlineStr">
        <is>
          <t>AT177AHAEUI</t>
        </is>
      </c>
      <c r="N123" s="1" t="n">
        <v>44414</v>
      </c>
      <c r="O123" t="inlineStr">
        <is>
          <t>Amazon EU S. à r.l., 38 avenue John F. Kennedy, L-1855 Luxembourg: HJEU: DVI-HDMI, Logitech Maus</t>
        </is>
      </c>
      <c r="Q123" s="76" t="n"/>
      <c r="R123" t="b">
        <v>0</v>
      </c>
      <c r="S123" s="214" t="n">
        <v>20.12</v>
      </c>
      <c r="T123" s="159" t="n">
        <v>1</v>
      </c>
      <c r="U123" t="n">
        <v>20</v>
      </c>
      <c r="V123" s="237" t="n">
        <v>4.024</v>
      </c>
      <c r="W123" s="237" t="n">
        <v>4.024</v>
      </c>
      <c r="X123" s="208" t="n">
        <v>20.12</v>
      </c>
      <c r="Y123" s="251" t="n">
        <v>24.144</v>
      </c>
      <c r="Z123" s="251" t="n">
        <v>24.144</v>
      </c>
      <c r="AA123" s="35" t="n">
        <v>44515</v>
      </c>
      <c r="AB123" s="27" t="n"/>
      <c r="AC123" s="27" t="n"/>
      <c r="AD123" s="210" t="n">
        <v>20.12</v>
      </c>
      <c r="AE123" s="237" t="n">
        <v>0</v>
      </c>
      <c r="AF123" t="b">
        <v>0</v>
      </c>
      <c r="AG123" s="228" t="n">
        <v>-20.12</v>
      </c>
    </row>
    <row r="124">
      <c r="A124">
        <f>I124&amp;"-"&amp;J124</f>
        <v/>
      </c>
      <c r="B124" s="1">
        <f>N124</f>
        <v/>
      </c>
      <c r="C124">
        <f>M124&amp;"/"&amp;O124</f>
        <v/>
      </c>
      <c r="D124">
        <f>K124</f>
        <v/>
      </c>
      <c r="E124">
        <f>L124</f>
        <v/>
      </c>
      <c r="F124" s="236">
        <f>Z124</f>
        <v/>
      </c>
      <c r="G124">
        <f>U124&amp;"%"</f>
        <v/>
      </c>
      <c r="I124" s="53" t="n">
        <v>2021</v>
      </c>
      <c r="J124" s="53" t="n">
        <v>123</v>
      </c>
      <c r="K124" s="71" t="inlineStr">
        <is>
          <t>Ausgaben</t>
        </is>
      </c>
      <c r="L124" t="inlineStr">
        <is>
          <t>sonstige Betriebsausgaben</t>
        </is>
      </c>
      <c r="M124" s="9" t="inlineStr">
        <is>
          <t>5137082649</t>
        </is>
      </c>
      <c r="N124" s="1" t="n">
        <v>44418</v>
      </c>
      <c r="O124" t="inlineStr">
        <is>
          <t>Wiener Netze GmbH, Erdbergstraße 236, 1110 Wien, Postfach 422; Jahresabrechnung vom 17.12.20: GUTSCHRIFT</t>
        </is>
      </c>
      <c r="Q124" s="76" t="n"/>
      <c r="R124" t="b">
        <v>0</v>
      </c>
      <c r="S124" s="214" t="n">
        <v>13</v>
      </c>
      <c r="T124" s="159" t="n">
        <v>1</v>
      </c>
      <c r="U124" t="n">
        <v>20</v>
      </c>
      <c r="V124" s="237" t="n">
        <v>2.6</v>
      </c>
      <c r="W124" s="237" t="n">
        <v>2.6</v>
      </c>
      <c r="X124" s="208" t="n">
        <v>13</v>
      </c>
      <c r="Y124" s="251" t="n">
        <v>15.6</v>
      </c>
      <c r="Z124" s="251" t="n">
        <v>15.6</v>
      </c>
      <c r="AA124" s="35" t="n">
        <v>44515</v>
      </c>
      <c r="AB124" s="27" t="n"/>
      <c r="AC124" s="27" t="n"/>
      <c r="AD124" s="210" t="n">
        <v>13</v>
      </c>
      <c r="AE124" s="237" t="n">
        <v>0</v>
      </c>
      <c r="AF124" t="b">
        <v>0</v>
      </c>
      <c r="AG124" s="228" t="n">
        <v>-13</v>
      </c>
    </row>
    <row r="125">
      <c r="A125">
        <f>I125&amp;"-"&amp;J125</f>
        <v/>
      </c>
      <c r="B125" s="1">
        <f>N125</f>
        <v/>
      </c>
      <c r="C125">
        <f>M125&amp;"/"&amp;O125</f>
        <v/>
      </c>
      <c r="D125">
        <f>K125</f>
        <v/>
      </c>
      <c r="E125">
        <f>L125</f>
        <v/>
      </c>
      <c r="F125" s="236">
        <f>Z125</f>
        <v/>
      </c>
      <c r="G125">
        <f>U125&amp;"%"</f>
        <v/>
      </c>
      <c r="I125" s="53" t="n">
        <v>2021</v>
      </c>
      <c r="J125" s="53" t="n">
        <v>124</v>
      </c>
      <c r="K125" s="71" t="inlineStr">
        <is>
          <t>Ausgaben</t>
        </is>
      </c>
      <c r="L125" t="inlineStr">
        <is>
          <t>sonstige Betriebsausgaben</t>
        </is>
      </c>
      <c r="M125" s="9" t="inlineStr">
        <is>
          <t>R0013736658</t>
        </is>
      </c>
      <c r="N125" s="1" t="n">
        <v>44420</v>
      </c>
      <c r="O125" t="inlineStr">
        <is>
          <t>Hetzner Online GmbH</t>
        </is>
      </c>
      <c r="Q125" s="76" t="n"/>
      <c r="R125" t="b">
        <v>0</v>
      </c>
      <c r="S125" s="214" t="n">
        <v>46.9168</v>
      </c>
      <c r="T125" s="159" t="n">
        <v>1</v>
      </c>
      <c r="U125" t="n">
        <v>0</v>
      </c>
      <c r="V125" s="237" t="n">
        <v>0</v>
      </c>
      <c r="W125" s="237" t="n">
        <v>0</v>
      </c>
      <c r="X125" s="208" t="n">
        <v>46.9168</v>
      </c>
      <c r="Y125" s="251" t="n">
        <v>46.9168</v>
      </c>
      <c r="Z125" s="251" t="n">
        <v>46.9168</v>
      </c>
      <c r="AA125" s="35" t="n">
        <v>44515</v>
      </c>
      <c r="AB125" s="27" t="n"/>
      <c r="AC125" s="27" t="n">
        <v>20</v>
      </c>
      <c r="AD125" s="210" t="n">
        <v>46.9168</v>
      </c>
      <c r="AE125" s="237" t="n">
        <v>9.383360000000001</v>
      </c>
      <c r="AF125" t="b">
        <v>0</v>
      </c>
      <c r="AG125" s="228" t="n">
        <v>-46.9168</v>
      </c>
    </row>
    <row r="126">
      <c r="A126">
        <f>I126&amp;"-"&amp;J126</f>
        <v/>
      </c>
      <c r="B126" s="1">
        <f>N126</f>
        <v/>
      </c>
      <c r="C126">
        <f>M126&amp;"/"&amp;O126</f>
        <v/>
      </c>
      <c r="D126">
        <f>K126</f>
        <v/>
      </c>
      <c r="E126">
        <f>L126</f>
        <v/>
      </c>
      <c r="F126" s="236">
        <f>Z126</f>
        <v/>
      </c>
      <c r="G126">
        <f>U126&amp;"%"</f>
        <v/>
      </c>
      <c r="I126" s="53" t="n">
        <v>2021</v>
      </c>
      <c r="J126" s="53" t="n">
        <v>125</v>
      </c>
      <c r="K126" s="71" t="inlineStr">
        <is>
          <t>Ausgaben</t>
        </is>
      </c>
      <c r="L126" t="inlineStr">
        <is>
          <t>sonstige Betriebsausgaben</t>
        </is>
      </c>
      <c r="M126" s="9" t="inlineStr">
        <is>
          <t>AT1PXC9AEUI</t>
        </is>
      </c>
      <c r="N126" s="1" t="n">
        <v>44424</v>
      </c>
      <c r="O126" t="inlineStr">
        <is>
          <t>Amazon EU S. à r.l., 38 avenue John F. Kennedy, L-1855 Luxembourg: HJEU: DVI-HDMI, Logitech Maus</t>
        </is>
      </c>
      <c r="Q126" s="76" t="n"/>
      <c r="R126" t="b">
        <v>0</v>
      </c>
      <c r="S126" s="214" t="n">
        <v>57.14</v>
      </c>
      <c r="T126" s="159" t="n">
        <v>1</v>
      </c>
      <c r="U126" t="n">
        <v>20</v>
      </c>
      <c r="V126" s="237" t="n">
        <v>11.428</v>
      </c>
      <c r="W126" s="237" t="n">
        <v>11.428</v>
      </c>
      <c r="X126" s="208" t="n">
        <v>57.14</v>
      </c>
      <c r="Y126" s="251" t="n">
        <v>68.568</v>
      </c>
      <c r="Z126" s="251" t="n">
        <v>68.568</v>
      </c>
      <c r="AA126" s="35" t="n">
        <v>44515</v>
      </c>
      <c r="AB126" s="27" t="n"/>
      <c r="AC126" s="27" t="n"/>
      <c r="AD126" s="210" t="n">
        <v>57.14</v>
      </c>
      <c r="AE126" s="237" t="n">
        <v>0</v>
      </c>
      <c r="AF126" t="b">
        <v>0</v>
      </c>
      <c r="AG126" s="228" t="n">
        <v>-57.14</v>
      </c>
    </row>
    <row r="127">
      <c r="A127">
        <f>I127&amp;"-"&amp;J127</f>
        <v/>
      </c>
      <c r="B127" s="1">
        <f>N127</f>
        <v/>
      </c>
      <c r="C127">
        <f>M127&amp;"/"&amp;O127</f>
        <v/>
      </c>
      <c r="D127">
        <f>K127</f>
        <v/>
      </c>
      <c r="E127">
        <f>L127</f>
        <v/>
      </c>
      <c r="F127" s="236">
        <f>Z127</f>
        <v/>
      </c>
      <c r="G127">
        <f>U127&amp;"%"</f>
        <v/>
      </c>
      <c r="I127" s="53" t="n">
        <v>2021</v>
      </c>
      <c r="J127" s="53" t="n">
        <v>126</v>
      </c>
      <c r="K127" s="71" t="inlineStr">
        <is>
          <t>Ausgaben</t>
        </is>
      </c>
      <c r="L127" t="inlineStr">
        <is>
          <t>Telefon/Internet</t>
        </is>
      </c>
      <c r="M127" s="131" t="inlineStr">
        <is>
          <t>901190380821</t>
        </is>
      </c>
      <c r="N127" s="1" t="n">
        <v>44431</v>
      </c>
      <c r="O127" t="inlineStr">
        <is>
          <t>Magenta: T-Mobile Austria GmbH, A-1120 Wien, PF 47</t>
        </is>
      </c>
      <c r="Q127" s="76" t="n"/>
      <c r="R127" t="b">
        <v>0</v>
      </c>
      <c r="S127" s="214" t="n">
        <v>31.92</v>
      </c>
      <c r="T127" s="159" t="n">
        <v>1</v>
      </c>
      <c r="U127" t="n">
        <v>20</v>
      </c>
      <c r="V127" s="237" t="n">
        <v>6.384000000000001</v>
      </c>
      <c r="W127" s="237" t="n">
        <v>6.384000000000001</v>
      </c>
      <c r="X127" s="208" t="n">
        <v>31.92</v>
      </c>
      <c r="Y127" s="251" t="n">
        <v>38.304</v>
      </c>
      <c r="Z127" s="251" t="n">
        <v>38.304</v>
      </c>
      <c r="AA127" s="35" t="n">
        <v>44515</v>
      </c>
      <c r="AB127" s="27" t="n"/>
      <c r="AC127" s="27" t="n"/>
      <c r="AD127" s="210" t="n">
        <v>31.92</v>
      </c>
      <c r="AE127" s="237" t="n">
        <v>0</v>
      </c>
      <c r="AF127" t="b">
        <v>0</v>
      </c>
      <c r="AG127" s="228" t="n">
        <v>-31.92</v>
      </c>
    </row>
    <row r="128">
      <c r="A128">
        <f>I128&amp;"-"&amp;J128</f>
        <v/>
      </c>
      <c r="B128" s="1">
        <f>N128</f>
        <v/>
      </c>
      <c r="C128">
        <f>M128&amp;"/"&amp;O128</f>
        <v/>
      </c>
      <c r="D128">
        <f>K128</f>
        <v/>
      </c>
      <c r="E128">
        <f>L128</f>
        <v/>
      </c>
      <c r="F128" s="236">
        <f>Z128</f>
        <v/>
      </c>
      <c r="G128">
        <f>U128&amp;"%"</f>
        <v/>
      </c>
      <c r="I128" s="53" t="n">
        <v>2021</v>
      </c>
      <c r="J128" s="53" t="n">
        <v>127</v>
      </c>
      <c r="K128" s="71" t="inlineStr">
        <is>
          <t>Ausgaben</t>
        </is>
      </c>
      <c r="L128" t="inlineStr">
        <is>
          <t>Waren, Rohstoffe, Hilfsstoffe</t>
        </is>
      </c>
      <c r="M128" s="9" t="n">
        <v>847269</v>
      </c>
      <c r="N128" s="1" t="n">
        <v>44433</v>
      </c>
      <c r="O128" t="inlineStr">
        <is>
          <t>Lemon Technologies GmbH, Unterweißenbach 181, 7330 Feldbach: Bildschirm</t>
        </is>
      </c>
      <c r="Q128" s="76" t="inlineStr">
        <is>
          <t>ja</t>
        </is>
      </c>
      <c r="R128" t="b">
        <v>0</v>
      </c>
      <c r="S128" s="214" t="n">
        <v>139.17</v>
      </c>
      <c r="T128" s="159" t="n">
        <v>1</v>
      </c>
      <c r="U128" t="n">
        <v>20</v>
      </c>
      <c r="V128" s="237" t="n">
        <v>27.834</v>
      </c>
      <c r="W128" s="237" t="n">
        <v>27.834</v>
      </c>
      <c r="X128" s="208" t="n">
        <v>139.17</v>
      </c>
      <c r="Y128" s="251" t="n">
        <v>167.004</v>
      </c>
      <c r="Z128" s="251" t="n">
        <v>167.004</v>
      </c>
      <c r="AA128" s="35" t="n">
        <v>44515</v>
      </c>
      <c r="AB128" s="27" t="n"/>
      <c r="AC128" s="27" t="n"/>
      <c r="AD128" s="210" t="n">
        <v>139.17</v>
      </c>
      <c r="AE128" s="237" t="n">
        <v>0</v>
      </c>
      <c r="AF128" t="b">
        <v>0</v>
      </c>
      <c r="AG128" s="228" t="n">
        <v>-139.17</v>
      </c>
    </row>
    <row r="129">
      <c r="A129">
        <f>I129&amp;"-"&amp;J129</f>
        <v/>
      </c>
      <c r="B129" s="1">
        <f>N129</f>
        <v/>
      </c>
      <c r="C129">
        <f>M129&amp;"/"&amp;O129</f>
        <v/>
      </c>
      <c r="D129">
        <f>K129</f>
        <v/>
      </c>
      <c r="E129">
        <f>L129</f>
        <v/>
      </c>
      <c r="F129" s="236">
        <f>Z129</f>
        <v/>
      </c>
      <c r="G129">
        <f>U129&amp;"%"</f>
        <v/>
      </c>
      <c r="I129" s="53" t="n">
        <v>2021</v>
      </c>
      <c r="J129" s="53" t="n">
        <v>128</v>
      </c>
      <c r="K129" s="71" t="inlineStr">
        <is>
          <t>Ausgaben</t>
        </is>
      </c>
      <c r="L129" t="inlineStr">
        <is>
          <t>Werbe- und Repräsentationsaufwand</t>
        </is>
      </c>
      <c r="M129" s="9" t="inlineStr">
        <is>
          <t>PRM321080003319</t>
        </is>
      </c>
      <c r="N129" s="1" t="n">
        <v>44439</v>
      </c>
      <c r="O129" t="inlineStr">
        <is>
          <t>New Work SE, Dammtorstraße 30, 20354 Hamburg</t>
        </is>
      </c>
      <c r="Q129" s="76" t="n"/>
      <c r="R129" t="b">
        <v>0</v>
      </c>
      <c r="S129" s="214" t="n">
        <v>24.88</v>
      </c>
      <c r="T129" s="159" t="n">
        <v>1</v>
      </c>
      <c r="U129" t="n">
        <v>0</v>
      </c>
      <c r="V129" s="237" t="n">
        <v>0</v>
      </c>
      <c r="W129" s="237" t="n">
        <v>0</v>
      </c>
      <c r="X129" s="208" t="n">
        <v>24.88</v>
      </c>
      <c r="Y129" s="251" t="n">
        <v>24.88</v>
      </c>
      <c r="Z129" s="251" t="n">
        <v>24.88</v>
      </c>
      <c r="AA129" s="35" t="n">
        <v>44515</v>
      </c>
      <c r="AB129" s="27" t="n"/>
      <c r="AC129" s="27" t="n">
        <v>20</v>
      </c>
      <c r="AD129" s="210" t="n">
        <v>24.88</v>
      </c>
      <c r="AE129" s="237" t="n">
        <v>4.976</v>
      </c>
      <c r="AF129" t="b">
        <v>0</v>
      </c>
      <c r="AG129" s="228" t="n">
        <v>-24.88</v>
      </c>
    </row>
    <row r="130">
      <c r="A130">
        <f>I130&amp;"-"&amp;J130</f>
        <v/>
      </c>
      <c r="B130" s="1">
        <f>N130</f>
        <v/>
      </c>
      <c r="C130">
        <f>M130&amp;"/"&amp;O130</f>
        <v/>
      </c>
      <c r="D130">
        <f>K130</f>
        <v/>
      </c>
      <c r="E130">
        <f>L130</f>
        <v/>
      </c>
      <c r="F130" s="236">
        <f>Z130</f>
        <v/>
      </c>
      <c r="G130">
        <f>U130&amp;"%"</f>
        <v/>
      </c>
      <c r="I130" s="53" t="n">
        <v>2021</v>
      </c>
      <c r="J130" s="53" t="n">
        <v>129</v>
      </c>
      <c r="K130" s="71" t="inlineStr">
        <is>
          <t>Ausgaben</t>
        </is>
      </c>
      <c r="L130" t="inlineStr">
        <is>
          <t>Miet- und Pachtaufwand, Leasing</t>
        </is>
      </c>
      <c r="M130" s="9" t="inlineStr">
        <is>
          <t>21/9801/VS00473</t>
        </is>
      </c>
      <c r="N130" s="1" t="n">
        <v>44440</v>
      </c>
      <c r="O130" t="inlineStr">
        <is>
          <t>Bontus Immobilienverwaltung GmbH, 1010 Wien, Franz Josefs Kai 65</t>
        </is>
      </c>
      <c r="Q130" s="76" t="n"/>
      <c r="R130" t="b">
        <v>0</v>
      </c>
      <c r="S130" s="214" t="n">
        <v>470.4666666666666</v>
      </c>
      <c r="T130" s="159" t="n">
        <v>1</v>
      </c>
      <c r="U130" t="n">
        <v>20</v>
      </c>
      <c r="V130" s="237" t="n">
        <v>94.09333333333332</v>
      </c>
      <c r="W130" s="237" t="n">
        <v>94.09333333333332</v>
      </c>
      <c r="X130" s="208" t="n">
        <v>470.4666666666666</v>
      </c>
      <c r="Y130" s="251" t="n">
        <v>564.5599999999999</v>
      </c>
      <c r="Z130" s="251" t="n">
        <v>564.5599999999999</v>
      </c>
      <c r="AA130" s="35" t="n">
        <v>44515</v>
      </c>
      <c r="AB130" s="27" t="n"/>
      <c r="AC130" s="27" t="n"/>
      <c r="AD130" s="210" t="n">
        <v>470.4666666666666</v>
      </c>
      <c r="AE130" s="237" t="n">
        <v>0</v>
      </c>
      <c r="AF130" t="b">
        <v>0</v>
      </c>
      <c r="AG130" s="228" t="n">
        <v>-470.4666666666666</v>
      </c>
    </row>
    <row r="131">
      <c r="A131">
        <f>I131&amp;"-"&amp;J131</f>
        <v/>
      </c>
      <c r="B131" s="1">
        <f>N131</f>
        <v/>
      </c>
      <c r="C131">
        <f>M131&amp;"/"&amp;O131</f>
        <v/>
      </c>
      <c r="D131">
        <f>K131</f>
        <v/>
      </c>
      <c r="E131">
        <f>L131</f>
        <v/>
      </c>
      <c r="F131" s="236">
        <f>Z131</f>
        <v/>
      </c>
      <c r="G131">
        <f>U131&amp;"%"</f>
        <v/>
      </c>
      <c r="I131" s="53" t="n">
        <v>2021</v>
      </c>
      <c r="J131" s="53" t="n">
        <v>130</v>
      </c>
      <c r="K131" s="71" t="inlineStr">
        <is>
          <t>Ausgaben</t>
        </is>
      </c>
      <c r="L131" t="inlineStr">
        <is>
          <t>Telefon/Internet</t>
        </is>
      </c>
      <c r="M131" s="9" t="inlineStr">
        <is>
          <t>6227980180</t>
        </is>
      </c>
      <c r="N131" s="1" t="n">
        <v>44441</v>
      </c>
      <c r="O131" t="inlineStr">
        <is>
          <t>Hutchison Drei Austria GmbH, Brünner Straße 52, 1210 Wien, Österreich</t>
        </is>
      </c>
      <c r="Q131" s="76" t="n"/>
      <c r="R131" t="b">
        <v>0</v>
      </c>
      <c r="S131" s="214" t="n">
        <v>15</v>
      </c>
      <c r="T131" s="159" t="n">
        <v>1</v>
      </c>
      <c r="U131" t="n">
        <v>20</v>
      </c>
      <c r="V131" s="237" t="n">
        <v>3</v>
      </c>
      <c r="W131" s="237" t="n">
        <v>3</v>
      </c>
      <c r="X131" s="208" t="n">
        <v>15</v>
      </c>
      <c r="Y131" s="251" t="n">
        <v>18</v>
      </c>
      <c r="Z131" s="251" t="n">
        <v>18</v>
      </c>
      <c r="AA131" s="35" t="n">
        <v>44515</v>
      </c>
      <c r="AB131" s="27" t="n"/>
      <c r="AC131" s="27" t="n"/>
      <c r="AD131" s="210" t="n">
        <v>15</v>
      </c>
      <c r="AE131" s="237" t="n">
        <v>0</v>
      </c>
      <c r="AF131" t="b">
        <v>0</v>
      </c>
      <c r="AG131" s="228" t="n">
        <v>-15</v>
      </c>
    </row>
    <row r="132">
      <c r="A132">
        <f>I132&amp;"-"&amp;J132</f>
        <v/>
      </c>
      <c r="B132" s="1">
        <f>N132</f>
        <v/>
      </c>
      <c r="C132">
        <f>M132&amp;"/"&amp;O132</f>
        <v/>
      </c>
      <c r="D132">
        <f>K132</f>
        <v/>
      </c>
      <c r="E132">
        <f>L132</f>
        <v/>
      </c>
      <c r="F132" s="236">
        <f>Z132</f>
        <v/>
      </c>
      <c r="G132">
        <f>U132&amp;"%"</f>
        <v/>
      </c>
      <c r="I132" s="53" t="n">
        <v>2021</v>
      </c>
      <c r="J132" s="53" t="n">
        <v>131</v>
      </c>
      <c r="K132" s="71" t="inlineStr">
        <is>
          <t>Ausgaben</t>
        </is>
      </c>
      <c r="L132" t="inlineStr">
        <is>
          <t>sonstige Betriebsausgaben</t>
        </is>
      </c>
      <c r="M132" s="9" t="inlineStr">
        <is>
          <t>60793/100/2021</t>
        </is>
      </c>
      <c r="N132" s="1" t="n">
        <v>44442</v>
      </c>
      <c r="O132" t="inlineStr">
        <is>
          <t>easy green energy GmbH &amp; Co KG</t>
        </is>
      </c>
      <c r="Q132" s="76" t="n"/>
      <c r="R132" t="b">
        <v>0</v>
      </c>
      <c r="S132" s="214" t="n">
        <v>2.5</v>
      </c>
      <c r="T132" s="159" t="n">
        <v>1</v>
      </c>
      <c r="U132" t="n">
        <v>20</v>
      </c>
      <c r="V132" s="237" t="n">
        <v>0.5</v>
      </c>
      <c r="W132" s="237" t="n">
        <v>0.5</v>
      </c>
      <c r="X132" s="208" t="n">
        <v>2.5</v>
      </c>
      <c r="Y132" s="251" t="n">
        <v>3</v>
      </c>
      <c r="Z132" s="251" t="n">
        <v>3</v>
      </c>
      <c r="AA132" s="35" t="n">
        <v>44515</v>
      </c>
      <c r="AB132" s="27" t="n"/>
      <c r="AC132" s="27" t="n"/>
      <c r="AD132" s="210" t="n">
        <v>2.5</v>
      </c>
      <c r="AE132" s="237" t="n">
        <v>0</v>
      </c>
      <c r="AF132" t="b">
        <v>0</v>
      </c>
      <c r="AG132" s="228" t="n">
        <v>-2.5</v>
      </c>
    </row>
    <row r="133">
      <c r="A133">
        <f>I133&amp;"-"&amp;J133</f>
        <v/>
      </c>
      <c r="B133" s="1">
        <f>N133</f>
        <v/>
      </c>
      <c r="C133">
        <f>M133&amp;"/"&amp;O133</f>
        <v/>
      </c>
      <c r="D133">
        <f>K133</f>
        <v/>
      </c>
      <c r="E133">
        <f>L133</f>
        <v/>
      </c>
      <c r="F133" s="236">
        <f>Z133</f>
        <v/>
      </c>
      <c r="G133">
        <f>U133&amp;"%"</f>
        <v/>
      </c>
      <c r="I133" s="53" t="n">
        <v>2021</v>
      </c>
      <c r="J133" s="53" t="n">
        <v>132</v>
      </c>
      <c r="K133" s="71" t="inlineStr">
        <is>
          <t>Ausgaben</t>
        </is>
      </c>
      <c r="L133" t="inlineStr">
        <is>
          <t>Lizenzgebühren</t>
        </is>
      </c>
      <c r="M133" s="9" t="inlineStr">
        <is>
          <t>INVCZ4061060</t>
        </is>
      </c>
      <c r="N133" s="1" t="n">
        <v>44442</v>
      </c>
      <c r="O133" t="inlineStr">
        <is>
          <t>JetBrains s.r.o, Kavci Hory Office Park, Na hrebenech II 1718/10, Praha 4- Nusle 14000, Ceska republika</t>
        </is>
      </c>
      <c r="Q133" s="76" t="n"/>
      <c r="R133" t="b">
        <v>0</v>
      </c>
      <c r="S133" s="214" t="n">
        <v>53</v>
      </c>
      <c r="T133" s="159" t="n">
        <v>1</v>
      </c>
      <c r="U133" t="n">
        <v>20</v>
      </c>
      <c r="V133" s="237" t="n">
        <v>10.6</v>
      </c>
      <c r="W133" s="237" t="n">
        <v>10.6</v>
      </c>
      <c r="X133" s="208" t="n">
        <v>53</v>
      </c>
      <c r="Y133" s="251" t="n">
        <v>63.6</v>
      </c>
      <c r="Z133" s="251" t="n">
        <v>63.6</v>
      </c>
      <c r="AA133" s="35" t="n">
        <v>44515</v>
      </c>
      <c r="AB133" s="27" t="n"/>
      <c r="AC133" s="27" t="n"/>
      <c r="AD133" s="210" t="n">
        <v>53</v>
      </c>
      <c r="AE133" s="237" t="n">
        <v>0</v>
      </c>
      <c r="AF133" t="b">
        <v>0</v>
      </c>
      <c r="AG133" s="228" t="n">
        <v>-53</v>
      </c>
    </row>
    <row r="134">
      <c r="A134">
        <f>I134&amp;"-"&amp;J134</f>
        <v/>
      </c>
      <c r="B134" s="1">
        <f>N134</f>
        <v/>
      </c>
      <c r="C134">
        <f>M134&amp;"/"&amp;O134</f>
        <v/>
      </c>
      <c r="D134">
        <f>K134</f>
        <v/>
      </c>
      <c r="E134">
        <f>L134</f>
        <v/>
      </c>
      <c r="F134" s="236">
        <f>Z134</f>
        <v/>
      </c>
      <c r="G134">
        <f>U134&amp;"%"</f>
        <v/>
      </c>
      <c r="I134" s="53" t="n">
        <v>2021</v>
      </c>
      <c r="J134" s="53" t="n">
        <v>133</v>
      </c>
      <c r="K134" s="71" t="inlineStr">
        <is>
          <t>Ausgaben</t>
        </is>
      </c>
      <c r="L134" t="inlineStr">
        <is>
          <t>Miet- und Pachtaufwand, Leasing</t>
        </is>
      </c>
      <c r="M134" s="9" t="inlineStr">
        <is>
          <t>HKA/20-01-58835</t>
        </is>
      </c>
      <c r="N134" s="1" t="n">
        <v>44445</v>
      </c>
      <c r="O134" t="inlineStr">
        <is>
          <t>Techem Messtechnik GmbH; Abnehmernummer 501686-0003-11-</t>
        </is>
      </c>
      <c r="Q134" s="76" t="n"/>
      <c r="R134" t="b">
        <v>0</v>
      </c>
      <c r="S134" s="214" t="n">
        <v>74</v>
      </c>
      <c r="T134" s="159" t="n">
        <v>1</v>
      </c>
      <c r="U134" t="n">
        <v>20</v>
      </c>
      <c r="V134" s="237" t="n">
        <v>14.8</v>
      </c>
      <c r="W134" s="237" t="n">
        <v>14.8</v>
      </c>
      <c r="X134" s="208" t="n">
        <v>74</v>
      </c>
      <c r="Y134" s="251" t="n">
        <v>88.8</v>
      </c>
      <c r="Z134" s="251" t="n">
        <v>88.8</v>
      </c>
      <c r="AA134" s="35" t="n">
        <v>44515</v>
      </c>
      <c r="AB134" s="27" t="n"/>
      <c r="AC134" s="27" t="n"/>
      <c r="AD134" s="210" t="n">
        <v>74</v>
      </c>
      <c r="AE134" s="237" t="n">
        <v>0</v>
      </c>
      <c r="AF134" t="b">
        <v>0</v>
      </c>
      <c r="AG134" s="228" t="n">
        <v>-74</v>
      </c>
    </row>
    <row r="135">
      <c r="A135">
        <f>I135&amp;"-"&amp;J135</f>
        <v/>
      </c>
      <c r="B135" s="1">
        <f>N135</f>
        <v/>
      </c>
      <c r="C135">
        <f>M135&amp;"/"&amp;O135</f>
        <v/>
      </c>
      <c r="D135">
        <f>K135</f>
        <v/>
      </c>
      <c r="E135">
        <f>L135</f>
        <v/>
      </c>
      <c r="F135" s="236">
        <f>Z135</f>
        <v/>
      </c>
      <c r="G135">
        <f>U135&amp;"%"</f>
        <v/>
      </c>
      <c r="I135" s="53" t="n">
        <v>2021</v>
      </c>
      <c r="J135" s="53" t="n">
        <v>134</v>
      </c>
      <c r="K135" s="71" t="inlineStr">
        <is>
          <t>Ausgaben</t>
        </is>
      </c>
      <c r="L135" t="inlineStr">
        <is>
          <t>sonstige Betriebsausgaben</t>
        </is>
      </c>
      <c r="M135" s="9" t="inlineStr">
        <is>
          <t>3965149853</t>
        </is>
      </c>
      <c r="N135" s="1" t="n">
        <v>44445</v>
      </c>
      <c r="O135" t="inlineStr">
        <is>
          <t>Google Ireland Ltd, Gordon House, Barrow Street, Dublin 4, Ireland; VAT number: IE 6388047V</t>
        </is>
      </c>
      <c r="Q135" s="76" t="n"/>
      <c r="R135" t="b">
        <v>0</v>
      </c>
      <c r="S135" s="214" t="n">
        <v>10.04</v>
      </c>
      <c r="T135" s="159" t="n">
        <v>1</v>
      </c>
      <c r="U135" t="n">
        <v>0</v>
      </c>
      <c r="V135" s="237" t="n">
        <v>0</v>
      </c>
      <c r="W135" s="237" t="n">
        <v>0</v>
      </c>
      <c r="X135" s="208" t="n">
        <v>10.04</v>
      </c>
      <c r="Y135" s="251" t="n">
        <v>10.04</v>
      </c>
      <c r="Z135" s="251" t="n">
        <v>10.04</v>
      </c>
      <c r="AA135" s="35" t="n">
        <v>44515</v>
      </c>
      <c r="AB135" s="27" t="n"/>
      <c r="AC135" s="27" t="n">
        <v>20</v>
      </c>
      <c r="AD135" s="210" t="n">
        <v>10.04</v>
      </c>
      <c r="AE135" s="237" t="n">
        <v>2.008</v>
      </c>
      <c r="AF135" t="b">
        <v>0</v>
      </c>
      <c r="AG135" s="228" t="n">
        <v>-10.04</v>
      </c>
    </row>
    <row r="136">
      <c r="A136">
        <f>I136&amp;"-"&amp;J136</f>
        <v/>
      </c>
      <c r="B136" s="1">
        <f>N136</f>
        <v/>
      </c>
      <c r="C136">
        <f>M136&amp;"/"&amp;O136</f>
        <v/>
      </c>
      <c r="D136">
        <f>K136</f>
        <v/>
      </c>
      <c r="E136">
        <f>L136</f>
        <v/>
      </c>
      <c r="F136" s="236">
        <f>Z136</f>
        <v/>
      </c>
      <c r="G136">
        <f>U136&amp;"%"</f>
        <v/>
      </c>
      <c r="I136" s="53" t="n">
        <v>2021</v>
      </c>
      <c r="J136" s="53" t="n">
        <v>135</v>
      </c>
      <c r="K136" s="71" t="inlineStr">
        <is>
          <t>Ausgaben</t>
        </is>
      </c>
      <c r="L136" t="inlineStr">
        <is>
          <t>sonstige Betriebsausgaben</t>
        </is>
      </c>
      <c r="M136" s="9" t="inlineStr">
        <is>
          <t>R0014075709</t>
        </is>
      </c>
      <c r="N136" s="1" t="n">
        <v>44447</v>
      </c>
      <c r="O136" t="inlineStr">
        <is>
          <t>Hetzner Online GmbH</t>
        </is>
      </c>
      <c r="Q136" s="76" t="inlineStr">
        <is>
          <t>ja</t>
        </is>
      </c>
      <c r="R136" t="b">
        <v>0</v>
      </c>
      <c r="S136" s="214" t="n">
        <v>2.49</v>
      </c>
      <c r="T136" s="159" t="n">
        <v>1</v>
      </c>
      <c r="U136" t="n">
        <v>0</v>
      </c>
      <c r="V136" s="237" t="n">
        <v>0</v>
      </c>
      <c r="W136" s="237" t="n">
        <v>0</v>
      </c>
      <c r="X136" s="208" t="n">
        <v>2.49</v>
      </c>
      <c r="Y136" s="251" t="n">
        <v>2.49</v>
      </c>
      <c r="Z136" s="251" t="n">
        <v>2.49</v>
      </c>
      <c r="AA136" s="35" t="n">
        <v>44515</v>
      </c>
      <c r="AB136" s="27" t="n"/>
      <c r="AC136" s="27" t="n">
        <v>20</v>
      </c>
      <c r="AD136" s="210" t="n">
        <v>2.49</v>
      </c>
      <c r="AE136" s="237" t="n">
        <v>0.4980000000000001</v>
      </c>
      <c r="AF136" t="b">
        <v>0</v>
      </c>
      <c r="AG136" s="228" t="n">
        <v>-2.49</v>
      </c>
    </row>
    <row r="137">
      <c r="A137">
        <f>I137&amp;"-"&amp;J137</f>
        <v/>
      </c>
      <c r="B137" s="1">
        <f>N137</f>
        <v/>
      </c>
      <c r="C137">
        <f>M137&amp;"/"&amp;O137</f>
        <v/>
      </c>
      <c r="D137">
        <f>K137</f>
        <v/>
      </c>
      <c r="E137">
        <f>L137</f>
        <v/>
      </c>
      <c r="F137" s="236">
        <f>Z137</f>
        <v/>
      </c>
      <c r="G137">
        <f>U137&amp;"%"</f>
        <v/>
      </c>
      <c r="I137" s="53" t="n">
        <v>2021</v>
      </c>
      <c r="J137" s="53" t="n">
        <v>136</v>
      </c>
      <c r="K137" s="71" t="inlineStr">
        <is>
          <t>Ausgaben</t>
        </is>
      </c>
      <c r="L137" t="inlineStr">
        <is>
          <t>sonstige Betriebsausgaben</t>
        </is>
      </c>
      <c r="M137" s="9" t="inlineStr">
        <is>
          <t>5137082649</t>
        </is>
      </c>
      <c r="N137" s="1" t="n">
        <v>44449</v>
      </c>
      <c r="O137" t="inlineStr">
        <is>
          <t>Wiener Netze GmbH, Erdbergstraße 236, 1110 Wien, Postfach 422; Jahresabrechnung vom 17.12.20: GUTSCHRIFT</t>
        </is>
      </c>
      <c r="Q137" s="76" t="n"/>
      <c r="R137" t="b">
        <v>0</v>
      </c>
      <c r="S137" s="214" t="n">
        <v>13</v>
      </c>
      <c r="T137" s="159" t="n">
        <v>1</v>
      </c>
      <c r="U137" t="n">
        <v>20</v>
      </c>
      <c r="V137" s="237" t="n">
        <v>2.6</v>
      </c>
      <c r="W137" s="237" t="n">
        <v>2.6</v>
      </c>
      <c r="X137" s="208" t="n">
        <v>13</v>
      </c>
      <c r="Y137" s="251" t="n">
        <v>15.6</v>
      </c>
      <c r="Z137" s="251" t="n">
        <v>15.6</v>
      </c>
      <c r="AA137" s="35" t="n">
        <v>44515</v>
      </c>
      <c r="AB137" s="27" t="n"/>
      <c r="AC137" s="27" t="n"/>
      <c r="AD137" s="210" t="n">
        <v>13</v>
      </c>
      <c r="AE137" s="237" t="n">
        <v>0</v>
      </c>
      <c r="AF137" t="b">
        <v>0</v>
      </c>
      <c r="AG137" s="228" t="n">
        <v>-13</v>
      </c>
    </row>
    <row r="138">
      <c r="A138">
        <f>I138&amp;"-"&amp;J138</f>
        <v/>
      </c>
      <c r="B138" s="1">
        <f>N138</f>
        <v/>
      </c>
      <c r="C138">
        <f>M138&amp;"/"&amp;O138</f>
        <v/>
      </c>
      <c r="D138">
        <f>K138</f>
        <v/>
      </c>
      <c r="E138">
        <f>L138</f>
        <v/>
      </c>
      <c r="F138" s="236">
        <f>Z138</f>
        <v/>
      </c>
      <c r="G138">
        <f>U138&amp;"%"</f>
        <v/>
      </c>
      <c r="I138" s="53" t="n">
        <v>2021</v>
      </c>
      <c r="J138" s="53" t="n">
        <v>137</v>
      </c>
      <c r="K138" s="71" t="inlineStr">
        <is>
          <t>Ausgaben</t>
        </is>
      </c>
      <c r="L138" t="inlineStr">
        <is>
          <t>sonstige Betriebsausgaben</t>
        </is>
      </c>
      <c r="M138" s="9" t="inlineStr">
        <is>
          <t>R0014130118</t>
        </is>
      </c>
      <c r="N138" s="1" t="n">
        <v>44452</v>
      </c>
      <c r="O138" t="inlineStr">
        <is>
          <t>Hetzner Online GmbH</t>
        </is>
      </c>
      <c r="Q138" s="76" t="n"/>
      <c r="R138" t="b">
        <v>0</v>
      </c>
      <c r="S138" s="214" t="n">
        <v>46.9168</v>
      </c>
      <c r="T138" s="159" t="n">
        <v>1</v>
      </c>
      <c r="U138" t="n">
        <v>0</v>
      </c>
      <c r="V138" s="237" t="n">
        <v>0</v>
      </c>
      <c r="W138" s="237" t="n">
        <v>0</v>
      </c>
      <c r="X138" s="208" t="n">
        <v>46.9168</v>
      </c>
      <c r="Y138" s="251" t="n">
        <v>46.9168</v>
      </c>
      <c r="Z138" s="251" t="n">
        <v>46.9168</v>
      </c>
      <c r="AA138" s="35" t="n">
        <v>44515</v>
      </c>
      <c r="AB138" s="27" t="n"/>
      <c r="AC138" s="27" t="n">
        <v>20</v>
      </c>
      <c r="AD138" s="210" t="n">
        <v>46.9168</v>
      </c>
      <c r="AE138" s="237" t="n">
        <v>9.383360000000001</v>
      </c>
      <c r="AF138" t="b">
        <v>0</v>
      </c>
      <c r="AG138" s="228" t="n">
        <v>-46.9168</v>
      </c>
    </row>
    <row r="139">
      <c r="A139">
        <f>I139&amp;"-"&amp;J139</f>
        <v/>
      </c>
      <c r="B139" s="1">
        <f>N139</f>
        <v/>
      </c>
      <c r="C139">
        <f>M139&amp;"/"&amp;O139</f>
        <v/>
      </c>
      <c r="D139">
        <f>K139</f>
        <v/>
      </c>
      <c r="E139">
        <f>L139</f>
        <v/>
      </c>
      <c r="F139" s="236">
        <f>Z139</f>
        <v/>
      </c>
      <c r="G139">
        <f>U139&amp;"%"</f>
        <v/>
      </c>
      <c r="I139" s="53" t="n">
        <v>2021</v>
      </c>
      <c r="J139" s="53" t="n">
        <v>138</v>
      </c>
      <c r="K139" s="71" t="inlineStr">
        <is>
          <t>Ausgaben</t>
        </is>
      </c>
      <c r="L139" t="inlineStr">
        <is>
          <t>Telefon/Internet</t>
        </is>
      </c>
      <c r="M139" s="131" t="inlineStr">
        <is>
          <t>901185470921</t>
        </is>
      </c>
      <c r="N139" s="1" t="n">
        <v>44460</v>
      </c>
      <c r="O139" t="inlineStr">
        <is>
          <t>Magenta: T-Mobile Austria GmbH, A-1120 Wien, PF 47</t>
        </is>
      </c>
      <c r="Q139" s="76" t="n"/>
      <c r="R139" t="b">
        <v>0</v>
      </c>
      <c r="S139" s="214" t="n">
        <v>31.92</v>
      </c>
      <c r="T139" s="159" t="n">
        <v>1</v>
      </c>
      <c r="U139" t="n">
        <v>20</v>
      </c>
      <c r="V139" s="237" t="n">
        <v>6.384000000000001</v>
      </c>
      <c r="W139" s="237" t="n">
        <v>6.384000000000001</v>
      </c>
      <c r="X139" s="208" t="n">
        <v>31.92</v>
      </c>
      <c r="Y139" s="251" t="n">
        <v>38.304</v>
      </c>
      <c r="Z139" s="251" t="n">
        <v>38.304</v>
      </c>
      <c r="AA139" s="35" t="n">
        <v>44515</v>
      </c>
      <c r="AB139" s="27" t="n"/>
      <c r="AC139" s="27" t="n"/>
      <c r="AD139" s="210" t="n">
        <v>31.92</v>
      </c>
      <c r="AE139" s="237" t="n">
        <v>0</v>
      </c>
      <c r="AF139" t="b">
        <v>0</v>
      </c>
      <c r="AG139" s="228" t="n">
        <v>-31.92</v>
      </c>
    </row>
    <row r="140">
      <c r="A140">
        <f>I140&amp;"-"&amp;J140</f>
        <v/>
      </c>
      <c r="B140" s="1">
        <f>N140</f>
        <v/>
      </c>
      <c r="C140">
        <f>M140&amp;"/"&amp;O140</f>
        <v/>
      </c>
      <c r="D140">
        <f>K140</f>
        <v/>
      </c>
      <c r="E140">
        <f>L140</f>
        <v/>
      </c>
      <c r="F140" s="236">
        <f>Z140</f>
        <v/>
      </c>
      <c r="G140">
        <f>U140&amp;"%"</f>
        <v/>
      </c>
      <c r="I140" s="53" t="n">
        <v>2021</v>
      </c>
      <c r="J140" s="53" t="n">
        <v>139</v>
      </c>
      <c r="K140" s="71" t="inlineStr">
        <is>
          <t>Ausgaben</t>
        </is>
      </c>
      <c r="L140" t="inlineStr">
        <is>
          <t>Miet- und Pachtaufwand, Leasing</t>
        </is>
      </c>
      <c r="M140" s="9" t="inlineStr">
        <is>
          <t>21/9801/VS00474</t>
        </is>
      </c>
      <c r="N140" s="1" t="n">
        <v>44470</v>
      </c>
      <c r="O140" t="inlineStr">
        <is>
          <t>Bontus Immobilienverwaltung GmbH, 1010 Wien, Franz Josefs Kai 65</t>
        </is>
      </c>
      <c r="Q140" s="76" t="n"/>
      <c r="R140" t="b">
        <v>0</v>
      </c>
      <c r="S140" s="214" t="n">
        <v>470.4666666666666</v>
      </c>
      <c r="T140" s="159" t="n">
        <v>1</v>
      </c>
      <c r="U140" t="n">
        <v>20</v>
      </c>
      <c r="V140" s="237" t="n">
        <v>94.09333333333332</v>
      </c>
      <c r="W140" s="237" t="n">
        <v>94.09333333333332</v>
      </c>
      <c r="X140" s="208" t="n">
        <v>470.4666666666666</v>
      </c>
      <c r="Y140" s="251" t="n">
        <v>564.5599999999999</v>
      </c>
      <c r="Z140" s="251" t="n">
        <v>564.5599999999999</v>
      </c>
      <c r="AA140" s="35" t="n">
        <v>44607</v>
      </c>
      <c r="AB140" s="27" t="n"/>
      <c r="AC140" s="27" t="n"/>
      <c r="AD140" s="210" t="n">
        <v>470.4666666666666</v>
      </c>
      <c r="AE140" s="237" t="n">
        <v>0</v>
      </c>
      <c r="AF140" t="b">
        <v>0</v>
      </c>
      <c r="AG140" s="228" t="n">
        <v>-470.4666666666666</v>
      </c>
    </row>
    <row r="141">
      <c r="A141">
        <f>I141&amp;"-"&amp;J141</f>
        <v/>
      </c>
      <c r="B141" s="1">
        <f>N141</f>
        <v/>
      </c>
      <c r="C141">
        <f>M141&amp;"/"&amp;O141</f>
        <v/>
      </c>
      <c r="D141">
        <f>K141</f>
        <v/>
      </c>
      <c r="E141">
        <f>L141</f>
        <v/>
      </c>
      <c r="F141" s="236">
        <f>Z141</f>
        <v/>
      </c>
      <c r="G141">
        <f>U141&amp;"%"</f>
        <v/>
      </c>
      <c r="I141" s="53" t="n">
        <v>2021</v>
      </c>
      <c r="J141" s="53" t="n">
        <v>140</v>
      </c>
      <c r="K141" s="71" t="inlineStr">
        <is>
          <t>Ausgaben</t>
        </is>
      </c>
      <c r="L141" t="inlineStr">
        <is>
          <t>Telefon/Internet</t>
        </is>
      </c>
      <c r="M141" s="9" t="inlineStr">
        <is>
          <t>6229698678</t>
        </is>
      </c>
      <c r="N141" s="1" t="n">
        <v>44470</v>
      </c>
      <c r="O141" t="inlineStr">
        <is>
          <t>Hutchison Drei Austria GmbH, Brünner Straße 52, 1210 Wien, Österreich</t>
        </is>
      </c>
      <c r="Q141" s="76" t="n"/>
      <c r="R141" t="b">
        <v>0</v>
      </c>
      <c r="S141" s="214" t="n">
        <v>15</v>
      </c>
      <c r="T141" s="159" t="n">
        <v>1</v>
      </c>
      <c r="U141" t="n">
        <v>20</v>
      </c>
      <c r="V141" s="237" t="n">
        <v>3</v>
      </c>
      <c r="W141" s="237" t="n">
        <v>3</v>
      </c>
      <c r="X141" s="208" t="n">
        <v>15</v>
      </c>
      <c r="Y141" s="251" t="n">
        <v>18</v>
      </c>
      <c r="Z141" s="251" t="n">
        <v>18</v>
      </c>
      <c r="AA141" s="35" t="n">
        <v>44607</v>
      </c>
      <c r="AB141" s="27" t="n"/>
      <c r="AC141" s="27" t="n"/>
      <c r="AD141" s="210" t="n">
        <v>15</v>
      </c>
      <c r="AE141" s="237" t="n">
        <v>0</v>
      </c>
      <c r="AF141" t="b">
        <v>0</v>
      </c>
      <c r="AG141" s="228" t="n">
        <v>-15</v>
      </c>
    </row>
    <row r="142">
      <c r="A142">
        <f>I142&amp;"-"&amp;J142</f>
        <v/>
      </c>
      <c r="B142" s="1">
        <f>N142</f>
        <v/>
      </c>
      <c r="C142">
        <f>M142&amp;"/"&amp;O142</f>
        <v/>
      </c>
      <c r="D142">
        <f>K142</f>
        <v/>
      </c>
      <c r="E142">
        <f>L142</f>
        <v/>
      </c>
      <c r="F142" s="236">
        <f>Z142</f>
        <v/>
      </c>
      <c r="G142">
        <f>U142&amp;"%"</f>
        <v/>
      </c>
      <c r="I142" s="53" t="n">
        <v>2021</v>
      </c>
      <c r="J142" s="53" t="n">
        <v>141</v>
      </c>
      <c r="K142" s="71" t="inlineStr">
        <is>
          <t>Ausgaben</t>
        </is>
      </c>
      <c r="L142" t="inlineStr">
        <is>
          <t>Reise- und Fahrtspesen inkl. Kilometergeld und Diäten</t>
        </is>
      </c>
      <c r="M142" s="131" t="inlineStr">
        <is>
          <t>4293000000022560</t>
        </is>
      </c>
      <c r="N142" s="1" t="n">
        <v>44470</v>
      </c>
      <c r="O142" t="inlineStr">
        <is>
          <t>car2go Österreich GmbH, Hintere Zollamtstraße 9, 1030 Wien</t>
        </is>
      </c>
      <c r="Q142" s="76" t="n"/>
      <c r="R142" t="b">
        <v>0</v>
      </c>
      <c r="S142" s="214" t="n">
        <v>8.77</v>
      </c>
      <c r="T142" s="159" t="n">
        <v>1</v>
      </c>
      <c r="U142" t="n">
        <v>20</v>
      </c>
      <c r="V142" s="237" t="n">
        <v>1.754</v>
      </c>
      <c r="W142" s="237" t="n">
        <v>1.754</v>
      </c>
      <c r="X142" s="208" t="n">
        <v>8.77</v>
      </c>
      <c r="Y142" s="251" t="n">
        <v>10.524</v>
      </c>
      <c r="Z142" s="251" t="n">
        <v>10.524</v>
      </c>
      <c r="AA142" s="35" t="n">
        <v>44607</v>
      </c>
      <c r="AB142" s="27" t="n"/>
      <c r="AC142" s="27" t="n"/>
      <c r="AD142" s="210" t="n">
        <v>8.77</v>
      </c>
      <c r="AE142" s="237" t="n">
        <v>0</v>
      </c>
      <c r="AF142" t="b">
        <v>0</v>
      </c>
      <c r="AG142" s="228" t="n">
        <v>-8.77</v>
      </c>
    </row>
    <row r="143">
      <c r="A143">
        <f>I143&amp;"-"&amp;J143</f>
        <v/>
      </c>
      <c r="B143" s="1">
        <f>N143</f>
        <v/>
      </c>
      <c r="C143">
        <f>M143&amp;"/"&amp;O143</f>
        <v/>
      </c>
      <c r="D143">
        <f>K143</f>
        <v/>
      </c>
      <c r="E143">
        <f>L143</f>
        <v/>
      </c>
      <c r="F143" s="236">
        <f>Z143</f>
        <v/>
      </c>
      <c r="G143">
        <f>U143&amp;"%"</f>
        <v/>
      </c>
      <c r="I143" s="53" t="n">
        <v>2021</v>
      </c>
      <c r="J143" s="53" t="n">
        <v>142</v>
      </c>
      <c r="K143" s="71" t="inlineStr">
        <is>
          <t>Einnahmen</t>
        </is>
      </c>
      <c r="L143" t="inlineStr">
        <is>
          <t>Waren-/Leistungserlöse</t>
        </is>
      </c>
      <c r="M143" s="9" t="n">
        <v>12021025</v>
      </c>
      <c r="N143" s="1" t="n">
        <v>44470</v>
      </c>
      <c r="O143" t="inlineStr">
        <is>
          <t>Kolbitsch Engineering &amp; Consulting KNr 45</t>
        </is>
      </c>
      <c r="Q143" s="76" t="n"/>
      <c r="R143" t="b">
        <v>0</v>
      </c>
      <c r="S143" s="214" t="n">
        <v>400.5</v>
      </c>
      <c r="T143" s="159" t="n">
        <v>1</v>
      </c>
      <c r="U143" t="n">
        <v>20</v>
      </c>
      <c r="V143" s="237" t="n">
        <v>80.09999999999999</v>
      </c>
      <c r="W143" s="237" t="n">
        <v>80.09999999999999</v>
      </c>
      <c r="X143" s="208" t="n">
        <v>400.5</v>
      </c>
      <c r="Y143" s="251" t="n">
        <v>480.6</v>
      </c>
      <c r="Z143" s="251" t="n">
        <v>480.6</v>
      </c>
      <c r="AA143" s="35" t="n">
        <v>44607</v>
      </c>
      <c r="AB143" s="27" t="n"/>
      <c r="AC143" s="27" t="n"/>
      <c r="AD143" s="210" t="n">
        <v>400.5</v>
      </c>
      <c r="AE143" s="237" t="n">
        <v>0</v>
      </c>
      <c r="AF143" t="b">
        <v>0</v>
      </c>
      <c r="AG143" s="228" t="n">
        <v>400.5</v>
      </c>
    </row>
    <row r="144">
      <c r="A144">
        <f>I144&amp;"-"&amp;J144</f>
        <v/>
      </c>
      <c r="B144" s="1">
        <f>N144</f>
        <v/>
      </c>
      <c r="C144">
        <f>M144&amp;"/"&amp;O144</f>
        <v/>
      </c>
      <c r="D144">
        <f>K144</f>
        <v/>
      </c>
      <c r="E144">
        <f>L144</f>
        <v/>
      </c>
      <c r="F144" s="236">
        <f>Z144</f>
        <v/>
      </c>
      <c r="G144">
        <f>U144&amp;"%"</f>
        <v/>
      </c>
      <c r="I144" s="53" t="n">
        <v>2021</v>
      </c>
      <c r="J144" s="53" t="n">
        <v>143</v>
      </c>
      <c r="K144" s="71" t="inlineStr">
        <is>
          <t>Einnahmen</t>
        </is>
      </c>
      <c r="L144" t="inlineStr">
        <is>
          <t>Waren-/Leistungserlöse</t>
        </is>
      </c>
      <c r="M144" s="9" t="n">
        <v>12021024</v>
      </c>
      <c r="N144" s="1" t="n">
        <v>44470</v>
      </c>
      <c r="O144" t="inlineStr">
        <is>
          <t>ZT DI Dr. Arno Kolbitsch, Gütleweg 1, 6822 Satteins</t>
        </is>
      </c>
      <c r="Q144" s="76" t="n"/>
      <c r="R144" t="b">
        <v>0</v>
      </c>
      <c r="S144" s="214" t="n">
        <v>14035.92</v>
      </c>
      <c r="T144" s="159" t="n">
        <v>1</v>
      </c>
      <c r="U144" t="n">
        <v>20</v>
      </c>
      <c r="V144" s="237" t="n">
        <v>2807.184</v>
      </c>
      <c r="W144" s="237" t="n">
        <v>2807.184</v>
      </c>
      <c r="X144" s="208" t="n">
        <v>14035.92</v>
      </c>
      <c r="Y144" s="251" t="n">
        <v>16843.104</v>
      </c>
      <c r="Z144" s="251" t="n">
        <v>16843.104</v>
      </c>
      <c r="AA144" s="35" t="n">
        <v>44607</v>
      </c>
      <c r="AB144" s="27" t="n"/>
      <c r="AC144" s="27" t="n"/>
      <c r="AD144" s="210" t="n">
        <v>14035.92</v>
      </c>
      <c r="AE144" s="237" t="n">
        <v>0</v>
      </c>
      <c r="AF144" t="b">
        <v>0</v>
      </c>
      <c r="AG144" s="228" t="n">
        <v>14035.92</v>
      </c>
    </row>
    <row r="145">
      <c r="A145">
        <f>I145&amp;"-"&amp;J145</f>
        <v/>
      </c>
      <c r="B145" s="1">
        <f>N145</f>
        <v/>
      </c>
      <c r="C145">
        <f>M145&amp;"/"&amp;O145</f>
        <v/>
      </c>
      <c r="D145">
        <f>K145</f>
        <v/>
      </c>
      <c r="E145">
        <f>L145</f>
        <v/>
      </c>
      <c r="F145" s="236">
        <f>Z145</f>
        <v/>
      </c>
      <c r="G145">
        <f>U145&amp;"%"</f>
        <v/>
      </c>
      <c r="I145" s="53" t="n">
        <v>2021</v>
      </c>
      <c r="J145" s="53" t="n">
        <v>144</v>
      </c>
      <c r="K145" s="71" t="inlineStr">
        <is>
          <t>Ausgaben</t>
        </is>
      </c>
      <c r="L145" t="inlineStr">
        <is>
          <t>sonstige Betriebsausgaben</t>
        </is>
      </c>
      <c r="M145" s="144" t="inlineStr">
        <is>
          <t>3996373128</t>
        </is>
      </c>
      <c r="N145" s="1" t="n">
        <v>44473</v>
      </c>
      <c r="O145" t="inlineStr">
        <is>
          <t>Google Ireland Ltd, Gordon House, Barrow Street, Dublin 4, Ireland; VAT number: IE 6388047V</t>
        </is>
      </c>
      <c r="Q145" s="76" t="n"/>
      <c r="R145" t="b">
        <v>0</v>
      </c>
      <c r="S145" s="256" t="n">
        <v>10.4</v>
      </c>
      <c r="T145" s="159" t="n">
        <v>1</v>
      </c>
      <c r="U145" t="n">
        <v>0</v>
      </c>
      <c r="V145" s="237" t="n">
        <v>0</v>
      </c>
      <c r="W145" s="237" t="n">
        <v>0</v>
      </c>
      <c r="X145" s="208" t="n">
        <v>10.4</v>
      </c>
      <c r="Y145" s="251" t="n">
        <v>10.4</v>
      </c>
      <c r="Z145" s="251" t="n">
        <v>10.4</v>
      </c>
      <c r="AA145" s="35" t="n">
        <v>44607</v>
      </c>
      <c r="AB145" s="27" t="n"/>
      <c r="AC145" s="27" t="n">
        <v>20</v>
      </c>
      <c r="AD145" s="210" t="n">
        <v>10.4</v>
      </c>
      <c r="AE145" s="237" t="n">
        <v>2.08</v>
      </c>
      <c r="AF145" t="b">
        <v>0</v>
      </c>
      <c r="AG145" s="228" t="n">
        <v>-10.4</v>
      </c>
    </row>
    <row r="146">
      <c r="A146">
        <f>I146&amp;"-"&amp;J146</f>
        <v/>
      </c>
      <c r="B146" s="1">
        <f>N146</f>
        <v/>
      </c>
      <c r="C146">
        <f>M146&amp;"/"&amp;O146</f>
        <v/>
      </c>
      <c r="D146">
        <f>K146</f>
        <v/>
      </c>
      <c r="E146">
        <f>L146</f>
        <v/>
      </c>
      <c r="F146" s="236">
        <f>Z146</f>
        <v/>
      </c>
      <c r="G146">
        <f>U146&amp;"%"</f>
        <v/>
      </c>
      <c r="I146" s="53" t="n">
        <v>2021</v>
      </c>
      <c r="J146" s="53" t="n">
        <v>145</v>
      </c>
      <c r="K146" s="71" t="inlineStr">
        <is>
          <t>Ausgaben</t>
        </is>
      </c>
      <c r="L146" t="inlineStr">
        <is>
          <t>sonstige Betriebsausgaben</t>
        </is>
      </c>
      <c r="M146" s="9" t="inlineStr">
        <is>
          <t>R0014275284</t>
        </is>
      </c>
      <c r="N146" s="1" t="n">
        <v>44474</v>
      </c>
      <c r="O146" t="inlineStr">
        <is>
          <t>Hetzner Online GmbH</t>
        </is>
      </c>
      <c r="Q146" s="76" t="inlineStr">
        <is>
          <t>ja</t>
        </is>
      </c>
      <c r="R146" t="b">
        <v>0</v>
      </c>
      <c r="S146" s="214" t="n">
        <v>2.49</v>
      </c>
      <c r="T146" s="159" t="n">
        <v>1</v>
      </c>
      <c r="U146" t="n">
        <v>0</v>
      </c>
      <c r="V146" s="237" t="n">
        <v>0</v>
      </c>
      <c r="W146" s="237" t="n">
        <v>0</v>
      </c>
      <c r="X146" s="208" t="n">
        <v>2.49</v>
      </c>
      <c r="Y146" s="251" t="n">
        <v>2.49</v>
      </c>
      <c r="Z146" s="251" t="n">
        <v>2.49</v>
      </c>
      <c r="AA146" s="35" t="n">
        <v>44607</v>
      </c>
      <c r="AB146" s="27" t="n"/>
      <c r="AC146" s="27" t="n">
        <v>20</v>
      </c>
      <c r="AD146" s="210" t="n">
        <v>2.49</v>
      </c>
      <c r="AE146" s="237" t="n">
        <v>0.4980000000000001</v>
      </c>
      <c r="AF146" t="b">
        <v>0</v>
      </c>
      <c r="AG146" s="228" t="n">
        <v>-2.49</v>
      </c>
    </row>
    <row r="147">
      <c r="A147">
        <f>I147&amp;"-"&amp;J147</f>
        <v/>
      </c>
      <c r="B147" s="1">
        <f>N147</f>
        <v/>
      </c>
      <c r="C147">
        <f>M147&amp;"/"&amp;O147</f>
        <v/>
      </c>
      <c r="D147">
        <f>K147</f>
        <v/>
      </c>
      <c r="E147">
        <f>L147</f>
        <v/>
      </c>
      <c r="F147" s="236">
        <f>Z147</f>
        <v/>
      </c>
      <c r="G147">
        <f>U147&amp;"%"</f>
        <v/>
      </c>
      <c r="I147" s="53" t="n">
        <v>2021</v>
      </c>
      <c r="J147" s="53" t="n">
        <v>146</v>
      </c>
      <c r="K147" s="71" t="inlineStr">
        <is>
          <t>Ausgaben</t>
        </is>
      </c>
      <c r="L147" t="inlineStr">
        <is>
          <t>sonstige Betriebsausgaben</t>
        </is>
      </c>
      <c r="M147" s="9" t="inlineStr">
        <is>
          <t>60793/100/2021</t>
        </is>
      </c>
      <c r="N147" s="1" t="n">
        <v>44474</v>
      </c>
      <c r="O147" t="inlineStr">
        <is>
          <t>easy green energy GmbH &amp; Co KG</t>
        </is>
      </c>
      <c r="Q147" s="76" t="n"/>
      <c r="R147" t="b">
        <v>0</v>
      </c>
      <c r="S147" s="214" t="n">
        <v>2.5</v>
      </c>
      <c r="T147" s="159" t="n">
        <v>1</v>
      </c>
      <c r="U147" t="n">
        <v>20</v>
      </c>
      <c r="V147" s="237" t="n">
        <v>0.5</v>
      </c>
      <c r="W147" s="237" t="n">
        <v>0.5</v>
      </c>
      <c r="X147" s="208" t="n">
        <v>2.5</v>
      </c>
      <c r="Y147" s="251" t="n">
        <v>3</v>
      </c>
      <c r="Z147" s="251" t="n">
        <v>3</v>
      </c>
      <c r="AA147" s="35" t="n">
        <v>44607</v>
      </c>
      <c r="AB147" s="27" t="n"/>
      <c r="AC147" s="27" t="n"/>
      <c r="AD147" s="210" t="n">
        <v>2.5</v>
      </c>
      <c r="AE147" s="237" t="n">
        <v>0</v>
      </c>
      <c r="AF147" t="b">
        <v>0</v>
      </c>
      <c r="AG147" s="228" t="n">
        <v>-2.5</v>
      </c>
    </row>
    <row r="148">
      <c r="A148">
        <f>I148&amp;"-"&amp;J148</f>
        <v/>
      </c>
      <c r="B148" s="1">
        <f>N148</f>
        <v/>
      </c>
      <c r="C148">
        <f>M148&amp;"/"&amp;O148</f>
        <v/>
      </c>
      <c r="D148">
        <f>K148</f>
        <v/>
      </c>
      <c r="E148">
        <f>L148</f>
        <v/>
      </c>
      <c r="F148" s="236">
        <f>Z148</f>
        <v/>
      </c>
      <c r="G148">
        <f>U148&amp;"%"</f>
        <v/>
      </c>
      <c r="I148" s="53" t="n">
        <v>2021</v>
      </c>
      <c r="J148" s="53" t="n">
        <v>147</v>
      </c>
      <c r="K148" s="71" t="inlineStr">
        <is>
          <t>Ausgaben</t>
        </is>
      </c>
      <c r="L148" t="inlineStr">
        <is>
          <t>Miet- und Pachtaufwand, Leasing</t>
        </is>
      </c>
      <c r="M148" s="9" t="inlineStr">
        <is>
          <t>HKA/20-01-58835</t>
        </is>
      </c>
      <c r="N148" s="1" t="n">
        <v>44474</v>
      </c>
      <c r="O148" t="inlineStr">
        <is>
          <t>Techem Messtechnik GmbH; Abnehmernummer 501686-0003-11-</t>
        </is>
      </c>
      <c r="Q148" s="76" t="n"/>
      <c r="R148" t="b">
        <v>0</v>
      </c>
      <c r="S148" s="214" t="n">
        <v>74</v>
      </c>
      <c r="T148" s="159" t="n">
        <v>1</v>
      </c>
      <c r="U148" t="n">
        <v>20</v>
      </c>
      <c r="V148" s="237" t="n">
        <v>14.8</v>
      </c>
      <c r="W148" s="237" t="n">
        <v>14.8</v>
      </c>
      <c r="X148" s="208" t="n">
        <v>74</v>
      </c>
      <c r="Y148" s="251" t="n">
        <v>88.8</v>
      </c>
      <c r="Z148" s="251" t="n">
        <v>88.8</v>
      </c>
      <c r="AA148" s="35" t="n">
        <v>44607</v>
      </c>
      <c r="AB148" s="27" t="n"/>
      <c r="AC148" s="27" t="n"/>
      <c r="AD148" s="210" t="n">
        <v>74</v>
      </c>
      <c r="AE148" s="237" t="n">
        <v>0</v>
      </c>
      <c r="AF148" t="b">
        <v>0</v>
      </c>
      <c r="AG148" s="228" t="n">
        <v>-74</v>
      </c>
    </row>
    <row r="149">
      <c r="A149">
        <f>I149&amp;"-"&amp;J149</f>
        <v/>
      </c>
      <c r="B149" s="1">
        <f>N149</f>
        <v/>
      </c>
      <c r="C149">
        <f>M149&amp;"/"&amp;O149</f>
        <v/>
      </c>
      <c r="D149">
        <f>K149</f>
        <v/>
      </c>
      <c r="E149">
        <f>L149</f>
        <v/>
      </c>
      <c r="F149" s="236">
        <f>Z149</f>
        <v/>
      </c>
      <c r="G149">
        <f>U149&amp;"%"</f>
        <v/>
      </c>
      <c r="I149" s="53" t="n">
        <v>2021</v>
      </c>
      <c r="J149" s="53" t="n">
        <v>148</v>
      </c>
      <c r="K149" s="71" t="inlineStr">
        <is>
          <t>Ausgaben</t>
        </is>
      </c>
      <c r="L149" t="inlineStr">
        <is>
          <t>sonstige Betriebsausgaben</t>
        </is>
      </c>
      <c r="M149" s="9" t="inlineStr">
        <is>
          <t>5137082649</t>
        </is>
      </c>
      <c r="N149" s="1" t="n">
        <v>44480</v>
      </c>
      <c r="O149" t="inlineStr">
        <is>
          <t>Wiener Netze GmbH, Erdbergstraße 236, 1110 Wien, Postfach 422; Jahresabrechnung vom 17.12.20: GUTSCHRIFT</t>
        </is>
      </c>
      <c r="Q149" s="76" t="n"/>
      <c r="R149" t="b">
        <v>0</v>
      </c>
      <c r="S149" s="214" t="n">
        <v>13</v>
      </c>
      <c r="T149" s="159" t="n">
        <v>1</v>
      </c>
      <c r="U149" t="n">
        <v>20</v>
      </c>
      <c r="V149" s="237" t="n">
        <v>2.6</v>
      </c>
      <c r="W149" s="237" t="n">
        <v>2.6</v>
      </c>
      <c r="X149" s="208" t="n">
        <v>13</v>
      </c>
      <c r="Y149" s="251" t="n">
        <v>15.6</v>
      </c>
      <c r="Z149" s="251" t="n">
        <v>15.6</v>
      </c>
      <c r="AA149" s="35" t="n">
        <v>44607</v>
      </c>
      <c r="AB149" s="27" t="n"/>
      <c r="AC149" s="27" t="n"/>
      <c r="AD149" s="210" t="n">
        <v>13</v>
      </c>
      <c r="AE149" s="237" t="n">
        <v>0</v>
      </c>
      <c r="AF149" t="b">
        <v>0</v>
      </c>
      <c r="AG149" s="228" t="n">
        <v>-13</v>
      </c>
    </row>
    <row r="150">
      <c r="A150">
        <f>I150&amp;"-"&amp;J150</f>
        <v/>
      </c>
      <c r="B150" s="1">
        <f>N150</f>
        <v/>
      </c>
      <c r="C150">
        <f>M150&amp;"/"&amp;O150</f>
        <v/>
      </c>
      <c r="D150">
        <f>K150</f>
        <v/>
      </c>
      <c r="E150">
        <f>L150</f>
        <v/>
      </c>
      <c r="F150" s="236">
        <f>Z150</f>
        <v/>
      </c>
      <c r="G150">
        <f>U150&amp;"%"</f>
        <v/>
      </c>
      <c r="I150" s="53" t="n">
        <v>2021</v>
      </c>
      <c r="J150" s="53" t="n">
        <v>149</v>
      </c>
      <c r="K150" s="71" t="inlineStr">
        <is>
          <t>Ausgaben</t>
        </is>
      </c>
      <c r="L150" t="inlineStr">
        <is>
          <t>Reise- und Fahrtspesen inkl. Kilometergeld und Diäten</t>
        </is>
      </c>
      <c r="M150" s="131" t="inlineStr">
        <is>
          <t>3293000011885509</t>
        </is>
      </c>
      <c r="N150" s="1" t="n">
        <v>44480</v>
      </c>
      <c r="O150" t="inlineStr">
        <is>
          <t>car2go Österreich GmbH, Hintere Zollamtstraße 9, 1030 Wien</t>
        </is>
      </c>
      <c r="Q150" s="76" t="n"/>
      <c r="R150" t="b">
        <v>0</v>
      </c>
      <c r="S150" s="214" t="n">
        <v>4.100000000000001</v>
      </c>
      <c r="T150" s="159" t="n">
        <v>1</v>
      </c>
      <c r="U150" t="n">
        <v>20</v>
      </c>
      <c r="V150" s="237" t="n">
        <v>0.8200000000000002</v>
      </c>
      <c r="W150" s="237" t="n">
        <v>0.8200000000000002</v>
      </c>
      <c r="X150" s="208" t="n">
        <v>4.100000000000001</v>
      </c>
      <c r="Y150" s="251" t="n">
        <v>4.920000000000001</v>
      </c>
      <c r="Z150" s="251" t="n">
        <v>4.920000000000001</v>
      </c>
      <c r="AA150" s="35" t="n">
        <v>44607</v>
      </c>
      <c r="AB150" s="27" t="n"/>
      <c r="AC150" s="27" t="n"/>
      <c r="AD150" s="210" t="n">
        <v>4.100000000000001</v>
      </c>
      <c r="AE150" s="237" t="n">
        <v>0</v>
      </c>
      <c r="AF150" t="b">
        <v>0</v>
      </c>
      <c r="AG150" s="228" t="n">
        <v>-4.100000000000001</v>
      </c>
    </row>
    <row r="151">
      <c r="A151">
        <f>I151&amp;"-"&amp;J151</f>
        <v/>
      </c>
      <c r="B151" s="1">
        <f>N151</f>
        <v/>
      </c>
      <c r="C151">
        <f>M151&amp;"/"&amp;O151</f>
        <v/>
      </c>
      <c r="D151">
        <f>K151</f>
        <v/>
      </c>
      <c r="E151">
        <f>L151</f>
        <v/>
      </c>
      <c r="F151" s="236">
        <f>Z151</f>
        <v/>
      </c>
      <c r="G151">
        <f>U151&amp;"%"</f>
        <v/>
      </c>
      <c r="I151" s="53" t="n">
        <v>2021</v>
      </c>
      <c r="J151" s="53" t="n">
        <v>150</v>
      </c>
      <c r="K151" s="71" t="inlineStr">
        <is>
          <t>Einnahmen</t>
        </is>
      </c>
      <c r="L151" t="inlineStr">
        <is>
          <t>Waren-/Leistungserlöse</t>
        </is>
      </c>
      <c r="M151" s="9" t="n">
        <v>12021026</v>
      </c>
      <c r="N151" s="1" t="n">
        <v>44482</v>
      </c>
      <c r="O151" t="inlineStr">
        <is>
          <t>Musikschule Bad Vöslau, Hauptstraße 14, 2540 Bad Vöslau</t>
        </is>
      </c>
      <c r="Q151" s="76" t="n"/>
      <c r="R151" t="b">
        <v>0</v>
      </c>
      <c r="S151" s="214" t="n">
        <v>1620</v>
      </c>
      <c r="T151" s="159" t="n">
        <v>1</v>
      </c>
      <c r="U151" t="n">
        <v>20</v>
      </c>
      <c r="V151" s="237" t="n">
        <v>324</v>
      </c>
      <c r="W151" s="237" t="n">
        <v>324</v>
      </c>
      <c r="X151" s="208" t="n">
        <v>1620</v>
      </c>
      <c r="Y151" s="251" t="n">
        <v>1944</v>
      </c>
      <c r="Z151" s="251" t="n">
        <v>1944</v>
      </c>
      <c r="AA151" s="35" t="n">
        <v>44607</v>
      </c>
      <c r="AB151" s="27" t="n"/>
      <c r="AC151" s="27" t="n"/>
      <c r="AD151" s="210" t="n">
        <v>1620</v>
      </c>
      <c r="AE151" s="237" t="n">
        <v>0</v>
      </c>
      <c r="AF151" t="b">
        <v>0</v>
      </c>
      <c r="AG151" s="228" t="n">
        <v>1620</v>
      </c>
    </row>
    <row r="152">
      <c r="A152">
        <f>I152&amp;"-"&amp;J152</f>
        <v/>
      </c>
      <c r="B152" s="1">
        <f>N152</f>
        <v/>
      </c>
      <c r="C152">
        <f>M152&amp;"/"&amp;O152</f>
        <v/>
      </c>
      <c r="D152">
        <f>K152</f>
        <v/>
      </c>
      <c r="E152">
        <f>L152</f>
        <v/>
      </c>
      <c r="F152" s="236">
        <f>Z152</f>
        <v/>
      </c>
      <c r="G152">
        <f>U152&amp;"%"</f>
        <v/>
      </c>
      <c r="I152" s="53" t="n">
        <v>2021</v>
      </c>
      <c r="J152" s="53" t="n">
        <v>151</v>
      </c>
      <c r="K152" s="71" t="inlineStr">
        <is>
          <t>Ausgaben</t>
        </is>
      </c>
      <c r="L152" t="inlineStr">
        <is>
          <t>sonstige Betriebsausgaben</t>
        </is>
      </c>
      <c r="M152" s="9" t="inlineStr">
        <is>
          <t>R0014331001</t>
        </is>
      </c>
      <c r="N152" s="1" t="n">
        <v>44482</v>
      </c>
      <c r="O152" t="inlineStr">
        <is>
          <t>Hetzner Online GmbH</t>
        </is>
      </c>
      <c r="Q152" s="76" t="n"/>
      <c r="R152" t="b">
        <v>0</v>
      </c>
      <c r="S152" s="214" t="n">
        <v>46.9168</v>
      </c>
      <c r="T152" s="159" t="n">
        <v>1</v>
      </c>
      <c r="U152" t="n">
        <v>0</v>
      </c>
      <c r="V152" s="237" t="n">
        <v>0</v>
      </c>
      <c r="W152" s="237" t="n">
        <v>0</v>
      </c>
      <c r="X152" s="208" t="n">
        <v>46.9168</v>
      </c>
      <c r="Y152" s="251" t="n">
        <v>46.9168</v>
      </c>
      <c r="Z152" s="251" t="n">
        <v>46.9168</v>
      </c>
      <c r="AA152" s="35" t="n">
        <v>44607</v>
      </c>
      <c r="AB152" s="27" t="n"/>
      <c r="AC152" s="27" t="n">
        <v>20</v>
      </c>
      <c r="AD152" s="210" t="n">
        <v>46.9168</v>
      </c>
      <c r="AE152" s="237" t="n">
        <v>9.383360000000001</v>
      </c>
      <c r="AF152" t="b">
        <v>0</v>
      </c>
      <c r="AG152" s="228" t="n">
        <v>-46.9168</v>
      </c>
    </row>
    <row r="153">
      <c r="A153">
        <f>I153&amp;"-"&amp;J153</f>
        <v/>
      </c>
      <c r="B153" s="1">
        <f>N153</f>
        <v/>
      </c>
      <c r="C153">
        <f>M153&amp;"/"&amp;O153</f>
        <v/>
      </c>
      <c r="D153">
        <f>K153</f>
        <v/>
      </c>
      <c r="E153">
        <f>L153</f>
        <v/>
      </c>
      <c r="F153" s="236">
        <f>Z153</f>
        <v/>
      </c>
      <c r="G153">
        <f>U153&amp;"%"</f>
        <v/>
      </c>
      <c r="I153" s="53" t="n">
        <v>2021</v>
      </c>
      <c r="J153" s="53" t="n">
        <v>152</v>
      </c>
      <c r="K153" s="71" t="inlineStr">
        <is>
          <t>Ausgaben</t>
        </is>
      </c>
      <c r="L153" t="inlineStr">
        <is>
          <t>Lizenzgebühren</t>
        </is>
      </c>
      <c r="M153" s="9" t="inlineStr">
        <is>
          <t>67723833</t>
        </is>
      </c>
      <c r="N153" s="1" t="n">
        <v>44490</v>
      </c>
      <c r="O153" t="inlineStr">
        <is>
          <t>Fontspring, 1813 Marsh Road, Suite H, Wilmington, DE 19810, USA; 105 USD</t>
        </is>
      </c>
      <c r="Q153" s="76" t="inlineStr">
        <is>
          <t>ja</t>
        </is>
      </c>
      <c r="R153" t="b">
        <v>0</v>
      </c>
      <c r="S153" s="214" t="n">
        <v>92.11</v>
      </c>
      <c r="T153" s="159" t="n">
        <v>1</v>
      </c>
      <c r="U153" t="n">
        <v>0</v>
      </c>
      <c r="V153" s="237" t="n">
        <v>0</v>
      </c>
      <c r="W153" s="237" t="n">
        <v>0</v>
      </c>
      <c r="X153" s="208" t="n">
        <v>92.11</v>
      </c>
      <c r="Y153" s="251" t="n">
        <v>92.11</v>
      </c>
      <c r="Z153" s="251" t="n">
        <v>92.11</v>
      </c>
      <c r="AA153" s="35" t="n">
        <v>44607</v>
      </c>
      <c r="AB153" s="27" t="n"/>
      <c r="AC153" s="27" t="n"/>
      <c r="AD153" s="210" t="n">
        <v>92.11</v>
      </c>
      <c r="AE153" s="237" t="n">
        <v>0</v>
      </c>
      <c r="AF153" t="b">
        <v>0</v>
      </c>
      <c r="AG153" s="228" t="n">
        <v>-92.11</v>
      </c>
    </row>
    <row r="154">
      <c r="A154">
        <f>I154&amp;"-"&amp;J154</f>
        <v/>
      </c>
      <c r="B154" s="1">
        <f>N154</f>
        <v/>
      </c>
      <c r="C154">
        <f>M154&amp;"/"&amp;O154</f>
        <v/>
      </c>
      <c r="D154">
        <f>K154</f>
        <v/>
      </c>
      <c r="E154">
        <f>L154</f>
        <v/>
      </c>
      <c r="F154" s="236">
        <f>Z154</f>
        <v/>
      </c>
      <c r="G154">
        <f>U154&amp;"%"</f>
        <v/>
      </c>
      <c r="I154" s="53" t="n">
        <v>2021</v>
      </c>
      <c r="J154" s="53" t="n">
        <v>153</v>
      </c>
      <c r="K154" s="71" t="inlineStr">
        <is>
          <t>Ausgaben</t>
        </is>
      </c>
      <c r="L154" t="inlineStr">
        <is>
          <t>Telefon/Internet</t>
        </is>
      </c>
      <c r="M154" s="131" t="inlineStr">
        <is>
          <t>901188321021</t>
        </is>
      </c>
      <c r="N154" s="1" t="n">
        <v>44490</v>
      </c>
      <c r="O154" t="inlineStr">
        <is>
          <t>Magenta: T-Mobile Austria GmbH, A-1120 Wien, PF 47</t>
        </is>
      </c>
      <c r="Q154" s="76" t="n"/>
      <c r="R154" t="b">
        <v>0</v>
      </c>
      <c r="S154" s="214" t="n">
        <v>31.92</v>
      </c>
      <c r="T154" s="159" t="n">
        <v>1</v>
      </c>
      <c r="U154" t="n">
        <v>20</v>
      </c>
      <c r="V154" s="237" t="n">
        <v>6.384000000000001</v>
      </c>
      <c r="W154" s="237" t="n">
        <v>6.384000000000001</v>
      </c>
      <c r="X154" s="208" t="n">
        <v>31.92</v>
      </c>
      <c r="Y154" s="251" t="n">
        <v>38.304</v>
      </c>
      <c r="Z154" s="251" t="n">
        <v>38.304</v>
      </c>
      <c r="AA154" s="35" t="n">
        <v>44607</v>
      </c>
      <c r="AB154" s="27" t="n"/>
      <c r="AC154" s="27" t="n"/>
      <c r="AD154" s="210" t="n">
        <v>31.92</v>
      </c>
      <c r="AE154" s="237" t="n">
        <v>0</v>
      </c>
      <c r="AF154" t="b">
        <v>0</v>
      </c>
      <c r="AG154" s="228" t="n">
        <v>-31.92</v>
      </c>
    </row>
    <row r="155">
      <c r="A155">
        <f>I155&amp;"-"&amp;J155</f>
        <v/>
      </c>
      <c r="B155" s="1">
        <f>N155</f>
        <v/>
      </c>
      <c r="C155">
        <f>M155&amp;"/"&amp;O155</f>
        <v/>
      </c>
      <c r="D155">
        <f>K155</f>
        <v/>
      </c>
      <c r="E155">
        <f>L155</f>
        <v/>
      </c>
      <c r="F155" s="236">
        <f>Z155</f>
        <v/>
      </c>
      <c r="G155">
        <f>U155&amp;"%"</f>
        <v/>
      </c>
      <c r="I155" s="53" t="n">
        <v>2021</v>
      </c>
      <c r="J155" s="53" t="n">
        <v>154</v>
      </c>
      <c r="K155" s="71" t="inlineStr">
        <is>
          <t>Ausgaben</t>
        </is>
      </c>
      <c r="L155" t="inlineStr">
        <is>
          <t>Reise- und Fahrtspesen inkl. Kilometergeld und Diäten</t>
        </is>
      </c>
      <c r="M155" s="131" t="inlineStr">
        <is>
          <t>3293000011951610</t>
        </is>
      </c>
      <c r="N155" s="1" t="n">
        <v>44494</v>
      </c>
      <c r="O155" t="inlineStr">
        <is>
          <t>car2go Österreich GmbH, Hintere Zollamtstraße 9, 1030 Wien</t>
        </is>
      </c>
      <c r="Q155" s="76" t="n"/>
      <c r="R155" t="b">
        <v>0</v>
      </c>
      <c r="S155" s="214" t="n">
        <v>1.81</v>
      </c>
      <c r="T155" s="159" t="n">
        <v>1</v>
      </c>
      <c r="U155" t="n">
        <v>20</v>
      </c>
      <c r="V155" s="237" t="n">
        <v>0.362</v>
      </c>
      <c r="W155" s="237" t="n">
        <v>0.362</v>
      </c>
      <c r="X155" s="208" t="n">
        <v>1.81</v>
      </c>
      <c r="Y155" s="251" t="n">
        <v>2.172</v>
      </c>
      <c r="Z155" s="251" t="n">
        <v>2.172</v>
      </c>
      <c r="AA155" s="35" t="n">
        <v>44607</v>
      </c>
      <c r="AB155" s="27" t="n"/>
      <c r="AC155" s="27" t="n"/>
      <c r="AD155" s="210" t="n">
        <v>1.81</v>
      </c>
      <c r="AE155" s="237" t="n">
        <v>0</v>
      </c>
      <c r="AF155" t="b">
        <v>0</v>
      </c>
      <c r="AG155" s="228" t="n">
        <v>-1.81</v>
      </c>
    </row>
    <row r="156">
      <c r="A156">
        <f>I156&amp;"-"&amp;J156</f>
        <v/>
      </c>
      <c r="B156" s="1">
        <f>N156</f>
        <v/>
      </c>
      <c r="C156">
        <f>M156&amp;"/"&amp;O156</f>
        <v/>
      </c>
      <c r="D156">
        <f>K156</f>
        <v/>
      </c>
      <c r="E156">
        <f>L156</f>
        <v/>
      </c>
      <c r="F156" s="236">
        <f>Z156</f>
        <v/>
      </c>
      <c r="G156">
        <f>U156&amp;"%"</f>
        <v/>
      </c>
      <c r="I156" s="53" t="n">
        <v>2021</v>
      </c>
      <c r="J156" s="53" t="n">
        <v>155</v>
      </c>
      <c r="K156" s="71" t="inlineStr">
        <is>
          <t>Ausgaben</t>
        </is>
      </c>
      <c r="L156" t="inlineStr">
        <is>
          <t>Lizenzgebühren</t>
        </is>
      </c>
      <c r="M156" s="9" t="inlineStr">
        <is>
          <t>IEE2021009286377</t>
        </is>
      </c>
      <c r="N156" s="1" t="n">
        <v>44496</v>
      </c>
      <c r="O156" t="inlineStr">
        <is>
          <t>Adobe Systems Software Ireland Ltd., 4-6 Riverwalk, Citywest Business Park, Dublin 24, Ireland, VAT ID IE6364992H</t>
        </is>
      </c>
      <c r="Q156" s="76" t="n"/>
      <c r="R156" t="b">
        <v>0</v>
      </c>
      <c r="S156" s="214" t="n">
        <v>20.28</v>
      </c>
      <c r="T156" s="159" t="n">
        <v>1</v>
      </c>
      <c r="U156" t="n">
        <v>0</v>
      </c>
      <c r="V156" s="237" t="n">
        <v>0</v>
      </c>
      <c r="W156" s="237" t="n">
        <v>0</v>
      </c>
      <c r="X156" s="208" t="n">
        <v>20.28</v>
      </c>
      <c r="Y156" s="251" t="n">
        <v>20.28</v>
      </c>
      <c r="Z156" s="251" t="n">
        <v>20.28</v>
      </c>
      <c r="AA156" s="35" t="n">
        <v>44607</v>
      </c>
      <c r="AB156" s="27" t="n"/>
      <c r="AC156" s="27" t="n">
        <v>20</v>
      </c>
      <c r="AD156" s="210" t="n">
        <v>20.28</v>
      </c>
      <c r="AE156" s="237" t="n">
        <v>4.056</v>
      </c>
      <c r="AF156" t="b">
        <v>0</v>
      </c>
      <c r="AG156" s="228" t="n">
        <v>-20.28</v>
      </c>
    </row>
    <row r="157">
      <c r="A157">
        <f>I157&amp;"-"&amp;J157</f>
        <v/>
      </c>
      <c r="B157" s="1">
        <f>N157</f>
        <v/>
      </c>
      <c r="C157">
        <f>M157&amp;"/"&amp;O157</f>
        <v/>
      </c>
      <c r="D157">
        <f>K157</f>
        <v/>
      </c>
      <c r="E157">
        <f>L157</f>
        <v/>
      </c>
      <c r="F157" s="236">
        <f>Z157</f>
        <v/>
      </c>
      <c r="G157">
        <f>U157&amp;"%"</f>
        <v/>
      </c>
      <c r="I157" s="53" t="n">
        <v>2021</v>
      </c>
      <c r="J157" s="53" t="n">
        <v>156</v>
      </c>
      <c r="K157" s="71" t="inlineStr">
        <is>
          <t>Ausgaben</t>
        </is>
      </c>
      <c r="L157" t="inlineStr">
        <is>
          <t>sonstige Betriebsausgaben</t>
        </is>
      </c>
      <c r="M157" s="9" t="inlineStr">
        <is>
          <t>4005917408</t>
        </is>
      </c>
      <c r="N157" s="1" t="n">
        <v>44502</v>
      </c>
      <c r="O157" t="inlineStr">
        <is>
          <t>Google Ireland Ltd, Gordon House, Barrow Street, Dublin 4, Ireland; VAT number: IE 6388047V</t>
        </is>
      </c>
      <c r="Q157" s="76" t="n"/>
      <c r="R157" t="b">
        <v>0</v>
      </c>
      <c r="S157" s="214" t="n">
        <v>10.4</v>
      </c>
      <c r="T157" s="159" t="n">
        <v>1</v>
      </c>
      <c r="U157" t="n">
        <v>0</v>
      </c>
      <c r="V157" s="237" t="n">
        <v>0</v>
      </c>
      <c r="W157" s="237" t="n">
        <v>0</v>
      </c>
      <c r="X157" s="208" t="n">
        <v>10.4</v>
      </c>
      <c r="Y157" s="251" t="n">
        <v>10.4</v>
      </c>
      <c r="Z157" s="251" t="n">
        <v>10.4</v>
      </c>
      <c r="AA157" s="35" t="n">
        <v>44607</v>
      </c>
      <c r="AB157" s="27" t="n"/>
      <c r="AC157" s="27" t="n">
        <v>20</v>
      </c>
      <c r="AD157" s="210" t="n">
        <v>10.4</v>
      </c>
      <c r="AE157" s="237" t="n">
        <v>2.08</v>
      </c>
      <c r="AF157" t="b">
        <v>0</v>
      </c>
      <c r="AG157" s="228" t="n">
        <v>-10.4</v>
      </c>
    </row>
    <row r="158">
      <c r="A158">
        <f>I158&amp;"-"&amp;J158</f>
        <v/>
      </c>
      <c r="B158" s="1">
        <f>N158</f>
        <v/>
      </c>
      <c r="C158">
        <f>M158&amp;"/"&amp;O158</f>
        <v/>
      </c>
      <c r="D158">
        <f>K158</f>
        <v/>
      </c>
      <c r="E158">
        <f>L158</f>
        <v/>
      </c>
      <c r="F158" s="236">
        <f>Z158</f>
        <v/>
      </c>
      <c r="G158">
        <f>U158&amp;"%"</f>
        <v/>
      </c>
      <c r="I158" s="53" t="n">
        <v>2021</v>
      </c>
      <c r="J158" s="53" t="n">
        <v>157</v>
      </c>
      <c r="K158" s="71" t="inlineStr">
        <is>
          <t>Ausgaben</t>
        </is>
      </c>
      <c r="L158" t="inlineStr">
        <is>
          <t>Miet- und Pachtaufwand, Leasing</t>
        </is>
      </c>
      <c r="M158" s="9" t="inlineStr">
        <is>
          <t>21/9801/VS00475</t>
        </is>
      </c>
      <c r="N158" s="1" t="n">
        <v>44502</v>
      </c>
      <c r="O158" t="inlineStr">
        <is>
          <t>Bontus Immobilienverwaltung GmbH, 1010 Wien, Franz Josefs Kai 65</t>
        </is>
      </c>
      <c r="Q158" s="76" t="n"/>
      <c r="R158" t="b">
        <v>0</v>
      </c>
      <c r="S158" s="214" t="n">
        <v>470.4666666666666</v>
      </c>
      <c r="T158" s="159" t="n">
        <v>1</v>
      </c>
      <c r="U158" t="n">
        <v>20</v>
      </c>
      <c r="V158" s="237" t="n">
        <v>94.09333333333332</v>
      </c>
      <c r="W158" s="237" t="n">
        <v>94.09333333333332</v>
      </c>
      <c r="X158" s="208" t="n">
        <v>470.4666666666666</v>
      </c>
      <c r="Y158" s="251" t="n">
        <v>564.5599999999999</v>
      </c>
      <c r="Z158" s="251" t="n">
        <v>564.5599999999999</v>
      </c>
      <c r="AA158" s="35" t="n">
        <v>44607</v>
      </c>
      <c r="AB158" s="27" t="n"/>
      <c r="AC158" s="27" t="n"/>
      <c r="AD158" s="210" t="n">
        <v>470.4666666666666</v>
      </c>
      <c r="AE158" s="237" t="n">
        <v>0</v>
      </c>
      <c r="AF158" t="b">
        <v>0</v>
      </c>
      <c r="AG158" s="228" t="n">
        <v>-470.4666666666666</v>
      </c>
    </row>
    <row r="159">
      <c r="A159">
        <f>I159&amp;"-"&amp;J159</f>
        <v/>
      </c>
      <c r="B159" s="1">
        <f>N159</f>
        <v/>
      </c>
      <c r="C159">
        <f>M159&amp;"/"&amp;O159</f>
        <v/>
      </c>
      <c r="D159">
        <f>K159</f>
        <v/>
      </c>
      <c r="E159">
        <f>L159</f>
        <v/>
      </c>
      <c r="F159" s="236">
        <f>Z159</f>
        <v/>
      </c>
      <c r="G159">
        <f>U159&amp;"%"</f>
        <v/>
      </c>
      <c r="I159" s="53" t="n">
        <v>2021</v>
      </c>
      <c r="J159" s="53" t="n">
        <v>158</v>
      </c>
      <c r="K159" s="71" t="inlineStr">
        <is>
          <t>Ausgaben</t>
        </is>
      </c>
      <c r="L159" t="inlineStr">
        <is>
          <t>Telefon/Internet</t>
        </is>
      </c>
      <c r="M159" s="9" t="inlineStr">
        <is>
          <t>6231435320</t>
        </is>
      </c>
      <c r="N159" s="1" t="n">
        <v>44502</v>
      </c>
      <c r="O159" t="inlineStr">
        <is>
          <t>Hutchison Drei Austria GmbH, Brünner Straße 52, 1210 Wien, Österreich</t>
        </is>
      </c>
      <c r="Q159" s="76" t="n"/>
      <c r="R159" t="b">
        <v>0</v>
      </c>
      <c r="S159" s="214" t="n">
        <v>15</v>
      </c>
      <c r="T159" s="159" t="n">
        <v>1</v>
      </c>
      <c r="U159" t="n">
        <v>20</v>
      </c>
      <c r="V159" s="237" t="n">
        <v>3</v>
      </c>
      <c r="W159" s="237" t="n">
        <v>3</v>
      </c>
      <c r="X159" s="208" t="n">
        <v>15</v>
      </c>
      <c r="Y159" s="251" t="n">
        <v>18</v>
      </c>
      <c r="Z159" s="251" t="n">
        <v>18</v>
      </c>
      <c r="AA159" s="35" t="n">
        <v>44607</v>
      </c>
      <c r="AB159" s="27" t="n"/>
      <c r="AC159" s="27" t="n"/>
      <c r="AD159" s="210" t="n">
        <v>15</v>
      </c>
      <c r="AE159" s="237" t="n">
        <v>0</v>
      </c>
      <c r="AF159" t="b">
        <v>0</v>
      </c>
      <c r="AG159" s="228" t="n">
        <v>-15</v>
      </c>
    </row>
    <row r="160">
      <c r="A160">
        <f>I160&amp;"-"&amp;J160</f>
        <v/>
      </c>
      <c r="B160" s="1">
        <f>N160</f>
        <v/>
      </c>
      <c r="C160">
        <f>M160&amp;"/"&amp;O160</f>
        <v/>
      </c>
      <c r="D160">
        <f>K160</f>
        <v/>
      </c>
      <c r="E160">
        <f>L160</f>
        <v/>
      </c>
      <c r="F160" s="236">
        <f>Z160</f>
        <v/>
      </c>
      <c r="G160">
        <f>U160&amp;"%"</f>
        <v/>
      </c>
      <c r="I160" s="53" t="n">
        <v>2021</v>
      </c>
      <c r="J160" s="53" t="n">
        <v>159</v>
      </c>
      <c r="K160" s="71" t="inlineStr">
        <is>
          <t>Ausgaben</t>
        </is>
      </c>
      <c r="L160" t="inlineStr">
        <is>
          <t>Reise- und Fahrtspesen inkl. Kilometergeld und Diäten</t>
        </is>
      </c>
      <c r="M160" s="131" t="inlineStr">
        <is>
          <t>4293000000022460</t>
        </is>
      </c>
      <c r="N160" s="1" t="n">
        <v>44502</v>
      </c>
      <c r="O160" t="inlineStr">
        <is>
          <t>car2go Österreich GmbH, Hintere Zollamtstraße 9, 1030 Wien</t>
        </is>
      </c>
      <c r="Q160" s="76" t="n"/>
      <c r="R160" t="b">
        <v>0</v>
      </c>
      <c r="S160" s="214" t="n">
        <v>3.62</v>
      </c>
      <c r="T160" s="159" t="n">
        <v>1</v>
      </c>
      <c r="U160" t="n">
        <v>20</v>
      </c>
      <c r="V160" s="237" t="n">
        <v>0.7240000000000001</v>
      </c>
      <c r="W160" s="237" t="n">
        <v>0.7240000000000001</v>
      </c>
      <c r="X160" s="208" t="n">
        <v>3.62</v>
      </c>
      <c r="Y160" s="251" t="n">
        <v>4.344</v>
      </c>
      <c r="Z160" s="251" t="n">
        <v>4.344</v>
      </c>
      <c r="AA160" s="35" t="n">
        <v>44607</v>
      </c>
      <c r="AB160" s="27" t="n"/>
      <c r="AC160" s="27" t="n"/>
      <c r="AD160" s="210" t="n">
        <v>3.62</v>
      </c>
      <c r="AE160" s="237" t="n">
        <v>0</v>
      </c>
      <c r="AF160" t="b">
        <v>0</v>
      </c>
      <c r="AG160" s="228" t="n">
        <v>-3.62</v>
      </c>
    </row>
    <row r="161">
      <c r="A161">
        <f>I161&amp;"-"&amp;J161</f>
        <v/>
      </c>
      <c r="B161" s="1">
        <f>N161</f>
        <v/>
      </c>
      <c r="C161">
        <f>M161&amp;"/"&amp;O161</f>
        <v/>
      </c>
      <c r="D161">
        <f>K161</f>
        <v/>
      </c>
      <c r="E161">
        <f>L161</f>
        <v/>
      </c>
      <c r="F161" s="236">
        <f>Z161</f>
        <v/>
      </c>
      <c r="G161">
        <f>U161&amp;"%"</f>
        <v/>
      </c>
      <c r="I161" s="53" t="n">
        <v>2021</v>
      </c>
      <c r="J161" s="53" t="n">
        <v>160</v>
      </c>
      <c r="K161" s="71" t="inlineStr">
        <is>
          <t>Ausgaben</t>
        </is>
      </c>
      <c r="L161" t="inlineStr">
        <is>
          <t>Reise- und Fahrtspesen inkl. Kilometergeld und Diäten</t>
        </is>
      </c>
      <c r="M161" s="131" t="inlineStr">
        <is>
          <t>4293000000022463</t>
        </is>
      </c>
      <c r="N161" s="1" t="n">
        <v>44503</v>
      </c>
      <c r="O161" t="inlineStr">
        <is>
          <t>car2go Österreich GmbH, Hintere Zollamtstraße 9, 1030 Wien</t>
        </is>
      </c>
      <c r="Q161" s="76" t="n"/>
      <c r="R161" t="b">
        <v>0</v>
      </c>
      <c r="S161" s="214" t="n">
        <v>2.7</v>
      </c>
      <c r="T161" s="159" t="n">
        <v>1</v>
      </c>
      <c r="U161" t="n">
        <v>20</v>
      </c>
      <c r="V161" s="237" t="n">
        <v>0.54</v>
      </c>
      <c r="W161" s="237" t="n">
        <v>0.54</v>
      </c>
      <c r="X161" s="208" t="n">
        <v>2.7</v>
      </c>
      <c r="Y161" s="251" t="n">
        <v>3.24</v>
      </c>
      <c r="Z161" s="251" t="n">
        <v>3.24</v>
      </c>
      <c r="AA161" s="35" t="n">
        <v>44607</v>
      </c>
      <c r="AB161" s="27" t="n"/>
      <c r="AC161" s="27" t="n"/>
      <c r="AD161" s="210" t="n">
        <v>2.7</v>
      </c>
      <c r="AE161" s="237" t="n">
        <v>0</v>
      </c>
      <c r="AF161" t="b">
        <v>0</v>
      </c>
      <c r="AG161" s="228" t="n">
        <v>-2.7</v>
      </c>
    </row>
    <row r="162">
      <c r="A162">
        <f>I162&amp;"-"&amp;J162</f>
        <v/>
      </c>
      <c r="B162" s="1">
        <f>N162</f>
        <v/>
      </c>
      <c r="C162">
        <f>M162&amp;"/"&amp;O162</f>
        <v/>
      </c>
      <c r="D162">
        <f>K162</f>
        <v/>
      </c>
      <c r="E162">
        <f>L162</f>
        <v/>
      </c>
      <c r="F162" s="236">
        <f>Z162</f>
        <v/>
      </c>
      <c r="G162">
        <f>U162&amp;"%"</f>
        <v/>
      </c>
      <c r="I162" s="53" t="n">
        <v>2021</v>
      </c>
      <c r="J162" s="53" t="n">
        <v>161</v>
      </c>
      <c r="K162" s="71" t="inlineStr">
        <is>
          <t>Ausgaben</t>
        </is>
      </c>
      <c r="L162" t="inlineStr">
        <is>
          <t>sonstige Betriebsausgaben</t>
        </is>
      </c>
      <c r="M162" s="9" t="inlineStr">
        <is>
          <t>60793/100/2021</t>
        </is>
      </c>
      <c r="N162" s="1" t="n">
        <v>44504</v>
      </c>
      <c r="O162" t="inlineStr">
        <is>
          <t>easy green energy GmbH &amp; Co KG</t>
        </is>
      </c>
      <c r="Q162" s="76" t="n"/>
      <c r="R162" t="b">
        <v>0</v>
      </c>
      <c r="S162" s="214" t="n">
        <v>2.5</v>
      </c>
      <c r="T162" s="159" t="n">
        <v>1</v>
      </c>
      <c r="U162" t="n">
        <v>20</v>
      </c>
      <c r="V162" s="237" t="n">
        <v>0.5</v>
      </c>
      <c r="W162" s="237" t="n">
        <v>0.5</v>
      </c>
      <c r="X162" s="208" t="n">
        <v>2.5</v>
      </c>
      <c r="Y162" s="251" t="n">
        <v>3</v>
      </c>
      <c r="Z162" s="251" t="n">
        <v>3</v>
      </c>
      <c r="AA162" s="35" t="n">
        <v>44607</v>
      </c>
      <c r="AB162" s="27" t="n"/>
      <c r="AC162" s="27" t="n"/>
      <c r="AD162" s="210" t="n">
        <v>2.5</v>
      </c>
      <c r="AE162" s="237" t="n">
        <v>0</v>
      </c>
      <c r="AF162" t="b">
        <v>0</v>
      </c>
      <c r="AG162" s="228" t="n">
        <v>-2.5</v>
      </c>
    </row>
    <row r="163">
      <c r="A163">
        <f>I163&amp;"-"&amp;J163</f>
        <v/>
      </c>
      <c r="B163" s="1">
        <f>N163</f>
        <v/>
      </c>
      <c r="C163">
        <f>M163&amp;"/"&amp;O163</f>
        <v/>
      </c>
      <c r="D163">
        <f>K163</f>
        <v/>
      </c>
      <c r="E163">
        <f>L163</f>
        <v/>
      </c>
      <c r="F163" s="236">
        <f>Z163</f>
        <v/>
      </c>
      <c r="G163">
        <f>U163&amp;"%"</f>
        <v/>
      </c>
      <c r="I163" s="53" t="n">
        <v>2021</v>
      </c>
      <c r="J163" s="53" t="n">
        <v>162</v>
      </c>
      <c r="K163" s="71" t="inlineStr">
        <is>
          <t>Ausgaben</t>
        </is>
      </c>
      <c r="L163" t="inlineStr">
        <is>
          <t>Miet- und Pachtaufwand, Leasing</t>
        </is>
      </c>
      <c r="M163" s="9" t="inlineStr">
        <is>
          <t>HKA/20-01-58835</t>
        </is>
      </c>
      <c r="N163" s="1" t="n">
        <v>44505</v>
      </c>
      <c r="O163" t="inlineStr">
        <is>
          <t>Techem Messtechnik GmbH; Abnehmernummer 501686-0003-11-</t>
        </is>
      </c>
      <c r="Q163" s="76" t="n"/>
      <c r="R163" t="b">
        <v>0</v>
      </c>
      <c r="S163" s="214" t="n">
        <v>74</v>
      </c>
      <c r="T163" s="159" t="n">
        <v>1</v>
      </c>
      <c r="U163" t="n">
        <v>20</v>
      </c>
      <c r="V163" s="237" t="n">
        <v>14.8</v>
      </c>
      <c r="W163" s="237" t="n">
        <v>14.8</v>
      </c>
      <c r="X163" s="208" t="n">
        <v>74</v>
      </c>
      <c r="Y163" s="251" t="n">
        <v>88.8</v>
      </c>
      <c r="Z163" s="251" t="n">
        <v>88.8</v>
      </c>
      <c r="AA163" s="35" t="n">
        <v>44607</v>
      </c>
      <c r="AB163" s="27" t="n"/>
      <c r="AC163" s="27" t="n"/>
      <c r="AD163" s="210" t="n">
        <v>74</v>
      </c>
      <c r="AE163" s="237" t="n">
        <v>0</v>
      </c>
      <c r="AF163" t="b">
        <v>0</v>
      </c>
      <c r="AG163" s="228" t="n">
        <v>-74</v>
      </c>
    </row>
    <row r="164">
      <c r="A164">
        <f>I164&amp;"-"&amp;J164</f>
        <v/>
      </c>
      <c r="B164" s="1">
        <f>N164</f>
        <v/>
      </c>
      <c r="C164">
        <f>M164&amp;"/"&amp;O164</f>
        <v/>
      </c>
      <c r="D164">
        <f>K164</f>
        <v/>
      </c>
      <c r="E164">
        <f>L164</f>
        <v/>
      </c>
      <c r="F164" s="236">
        <f>Z164</f>
        <v/>
      </c>
      <c r="G164">
        <f>U164&amp;"%"</f>
        <v/>
      </c>
      <c r="I164" s="53" t="n">
        <v>2021</v>
      </c>
      <c r="J164" s="53" t="n">
        <v>163</v>
      </c>
      <c r="K164" s="71" t="inlineStr">
        <is>
          <t>Ausgaben</t>
        </is>
      </c>
      <c r="L164" t="inlineStr">
        <is>
          <t>Reise- und Fahrtspesen inkl. Kilometergeld und Diäten</t>
        </is>
      </c>
      <c r="M164" s="131" t="inlineStr">
        <is>
          <t>3293000012017639</t>
        </is>
      </c>
      <c r="N164" s="1" t="n">
        <v>44505</v>
      </c>
      <c r="O164" t="inlineStr">
        <is>
          <t>car2go Österreich GmbH, Hintere Zollamtstraße 9, 1030 Wien</t>
        </is>
      </c>
      <c r="Q164" s="76" t="n"/>
      <c r="R164" t="b">
        <v>0</v>
      </c>
      <c r="S164" s="214" t="n">
        <v>3.36</v>
      </c>
      <c r="T164" s="159" t="n">
        <v>1</v>
      </c>
      <c r="U164" t="n">
        <v>20</v>
      </c>
      <c r="V164" s="237" t="n">
        <v>0.672</v>
      </c>
      <c r="W164" s="237" t="n">
        <v>0.672</v>
      </c>
      <c r="X164" s="208" t="n">
        <v>3.36</v>
      </c>
      <c r="Y164" s="251" t="n">
        <v>4.032</v>
      </c>
      <c r="Z164" s="251" t="n">
        <v>4.032</v>
      </c>
      <c r="AA164" s="35" t="n">
        <v>44607</v>
      </c>
      <c r="AB164" s="27" t="n"/>
      <c r="AC164" s="27" t="n"/>
      <c r="AD164" s="210" t="n">
        <v>3.36</v>
      </c>
      <c r="AE164" s="237" t="n">
        <v>0</v>
      </c>
      <c r="AF164" t="b">
        <v>0</v>
      </c>
      <c r="AG164" s="228" t="n">
        <v>-3.36</v>
      </c>
    </row>
    <row r="165">
      <c r="A165">
        <f>I165&amp;"-"&amp;J165</f>
        <v/>
      </c>
      <c r="B165" s="1">
        <f>N165</f>
        <v/>
      </c>
      <c r="C165">
        <f>M165&amp;"/"&amp;O165</f>
        <v/>
      </c>
      <c r="D165">
        <f>K165</f>
        <v/>
      </c>
      <c r="E165">
        <f>L165</f>
        <v/>
      </c>
      <c r="F165" s="236">
        <f>Z165</f>
        <v/>
      </c>
      <c r="G165">
        <f>U165&amp;"%"</f>
        <v/>
      </c>
      <c r="I165" s="53" t="n">
        <v>2021</v>
      </c>
      <c r="J165" s="53" t="n">
        <v>164</v>
      </c>
      <c r="K165" s="71" t="inlineStr">
        <is>
          <t>Ausgaben</t>
        </is>
      </c>
      <c r="L165" t="inlineStr">
        <is>
          <t>sonstige Betriebsausgaben</t>
        </is>
      </c>
      <c r="M165" s="6" t="inlineStr">
        <is>
          <t>R0014477126</t>
        </is>
      </c>
      <c r="N165" s="1" t="n">
        <v>44508</v>
      </c>
      <c r="O165" t="inlineStr">
        <is>
          <t>Hetzner Online GmbH</t>
        </is>
      </c>
      <c r="Q165" s="76" t="inlineStr">
        <is>
          <t>ja</t>
        </is>
      </c>
      <c r="R165" t="b">
        <v>0</v>
      </c>
      <c r="S165" s="214" t="n">
        <v>2.49</v>
      </c>
      <c r="T165" s="159" t="n">
        <v>1</v>
      </c>
      <c r="U165" t="n">
        <v>0</v>
      </c>
      <c r="V165" s="237" t="n">
        <v>0</v>
      </c>
      <c r="W165" s="237" t="n">
        <v>0</v>
      </c>
      <c r="X165" s="208" t="n">
        <v>2.49</v>
      </c>
      <c r="Y165" s="251" t="n">
        <v>2.49</v>
      </c>
      <c r="Z165" s="251" t="n">
        <v>2.49</v>
      </c>
      <c r="AA165" s="35" t="n">
        <v>44607</v>
      </c>
      <c r="AB165" s="27" t="n"/>
      <c r="AC165" s="27" t="n">
        <v>20</v>
      </c>
      <c r="AD165" s="210" t="n">
        <v>2.49</v>
      </c>
      <c r="AE165" s="237" t="n">
        <v>0.4980000000000001</v>
      </c>
      <c r="AF165" t="b">
        <v>0</v>
      </c>
      <c r="AG165" s="228" t="n">
        <v>-2.49</v>
      </c>
    </row>
    <row r="166">
      <c r="A166">
        <f>I166&amp;"-"&amp;J166</f>
        <v/>
      </c>
      <c r="B166" s="1">
        <f>N166</f>
        <v/>
      </c>
      <c r="C166">
        <f>M166&amp;"/"&amp;O166</f>
        <v/>
      </c>
      <c r="D166">
        <f>K166</f>
        <v/>
      </c>
      <c r="E166">
        <f>L166</f>
        <v/>
      </c>
      <c r="F166" s="236">
        <f>Z166</f>
        <v/>
      </c>
      <c r="G166">
        <f>U166&amp;"%"</f>
        <v/>
      </c>
      <c r="I166" s="53" t="n">
        <v>2021</v>
      </c>
      <c r="J166" s="53" t="n">
        <v>165</v>
      </c>
      <c r="K166" s="71" t="inlineStr">
        <is>
          <t>Ausgaben</t>
        </is>
      </c>
      <c r="L166" t="inlineStr">
        <is>
          <t>sonstige Betriebsausgaben</t>
        </is>
      </c>
      <c r="M166" s="9" t="inlineStr">
        <is>
          <t>5137082649</t>
        </is>
      </c>
      <c r="N166" s="1" t="n">
        <v>44510</v>
      </c>
      <c r="O166" t="inlineStr">
        <is>
          <t>Wiener Netze GmbH, Erdbergstraße 236, 1110 Wien, Postfach 422; Jahresabrechnung vom 17.12.20: GUTSCHRIFT</t>
        </is>
      </c>
      <c r="Q166" s="76" t="n"/>
      <c r="R166" t="b">
        <v>0</v>
      </c>
      <c r="S166" s="214" t="n">
        <v>13</v>
      </c>
      <c r="T166" s="159" t="n">
        <v>1</v>
      </c>
      <c r="U166" t="n">
        <v>20</v>
      </c>
      <c r="V166" s="237" t="n">
        <v>2.6</v>
      </c>
      <c r="W166" s="237" t="n">
        <v>2.6</v>
      </c>
      <c r="X166" s="208" t="n">
        <v>13</v>
      </c>
      <c r="Y166" s="251" t="n">
        <v>15.6</v>
      </c>
      <c r="Z166" s="251" t="n">
        <v>15.6</v>
      </c>
      <c r="AA166" s="35" t="n">
        <v>44607</v>
      </c>
      <c r="AB166" s="27" t="n"/>
      <c r="AC166" s="27" t="n"/>
      <c r="AD166" s="210" t="n">
        <v>13</v>
      </c>
      <c r="AE166" s="237" t="n">
        <v>0</v>
      </c>
      <c r="AF166" t="b">
        <v>0</v>
      </c>
      <c r="AG166" s="228" t="n">
        <v>-13</v>
      </c>
    </row>
    <row r="167">
      <c r="A167">
        <f>I167&amp;"-"&amp;J167</f>
        <v/>
      </c>
      <c r="B167" s="1">
        <f>N167</f>
        <v/>
      </c>
      <c r="C167">
        <f>M167&amp;"/"&amp;O167</f>
        <v/>
      </c>
      <c r="D167">
        <f>K167</f>
        <v/>
      </c>
      <c r="E167">
        <f>L167</f>
        <v/>
      </c>
      <c r="F167" s="236">
        <f>Z167</f>
        <v/>
      </c>
      <c r="G167">
        <f>U167&amp;"%"</f>
        <v/>
      </c>
      <c r="I167" s="53" t="n">
        <v>2021</v>
      </c>
      <c r="J167" s="53" t="n">
        <v>166</v>
      </c>
      <c r="K167" s="71" t="inlineStr">
        <is>
          <t>Ausgaben</t>
        </is>
      </c>
      <c r="L167" t="inlineStr">
        <is>
          <t>sonstige Betriebsausgaben</t>
        </is>
      </c>
      <c r="M167" s="9" t="inlineStr">
        <is>
          <t>R0014533637</t>
        </is>
      </c>
      <c r="N167" s="1" t="n">
        <v>44511</v>
      </c>
      <c r="O167" t="inlineStr">
        <is>
          <t>Hetzner Online GmbH</t>
        </is>
      </c>
      <c r="Q167" s="76" t="n"/>
      <c r="R167" t="b">
        <v>0</v>
      </c>
      <c r="S167" s="214" t="n">
        <v>46.9168</v>
      </c>
      <c r="T167" s="159" t="n">
        <v>1</v>
      </c>
      <c r="U167" t="n">
        <v>0</v>
      </c>
      <c r="V167" s="237" t="n">
        <v>0</v>
      </c>
      <c r="W167" s="237" t="n">
        <v>0</v>
      </c>
      <c r="X167" s="208" t="n">
        <v>46.9168</v>
      </c>
      <c r="Y167" s="251" t="n">
        <v>46.9168</v>
      </c>
      <c r="Z167" s="251" t="n">
        <v>46.9168</v>
      </c>
      <c r="AA167" s="35" t="n">
        <v>44607</v>
      </c>
      <c r="AB167" s="27" t="n"/>
      <c r="AC167" s="27" t="n">
        <v>20</v>
      </c>
      <c r="AD167" s="210" t="n">
        <v>46.9168</v>
      </c>
      <c r="AE167" s="237" t="n">
        <v>9.383360000000001</v>
      </c>
      <c r="AF167" t="b">
        <v>0</v>
      </c>
      <c r="AG167" s="228" t="n">
        <v>-46.9168</v>
      </c>
    </row>
    <row r="168">
      <c r="A168">
        <f>I168&amp;"-"&amp;J168</f>
        <v/>
      </c>
      <c r="B168" s="1">
        <f>N168</f>
        <v/>
      </c>
      <c r="C168">
        <f>M168&amp;"/"&amp;O168</f>
        <v/>
      </c>
      <c r="D168">
        <f>K168</f>
        <v/>
      </c>
      <c r="E168">
        <f>L168</f>
        <v/>
      </c>
      <c r="F168" s="236">
        <f>Z168</f>
        <v/>
      </c>
      <c r="G168">
        <f>U168&amp;"%"</f>
        <v/>
      </c>
      <c r="I168" s="53" t="n">
        <v>2021</v>
      </c>
      <c r="J168" s="53" t="n">
        <v>167</v>
      </c>
      <c r="K168" s="71" t="inlineStr">
        <is>
          <t>Ausgaben</t>
        </is>
      </c>
      <c r="L168" t="inlineStr">
        <is>
          <t>Porto/Gebühren</t>
        </is>
      </c>
      <c r="M168" s="9" t="inlineStr">
        <is>
          <t>SRB20211110154912056</t>
        </is>
      </c>
      <c r="N168" s="1" t="n">
        <v>44515</v>
      </c>
      <c r="O168" t="inlineStr">
        <is>
          <t>LPD Wien</t>
        </is>
      </c>
      <c r="Q168" s="76" t="n"/>
      <c r="R168" t="b">
        <v>0</v>
      </c>
      <c r="S168" s="214" t="n">
        <v>10.7</v>
      </c>
      <c r="T168" s="159" t="n">
        <v>1</v>
      </c>
      <c r="U168" t="n">
        <v>0</v>
      </c>
      <c r="V168" s="237" t="n">
        <v>0</v>
      </c>
      <c r="W168" s="237" t="n">
        <v>0</v>
      </c>
      <c r="X168" s="208" t="n">
        <v>10.7</v>
      </c>
      <c r="Y168" s="251" t="n">
        <v>10.7</v>
      </c>
      <c r="Z168" s="251" t="n">
        <v>10.7</v>
      </c>
      <c r="AA168" s="35" t="n">
        <v>44607</v>
      </c>
      <c r="AB168" s="27" t="n"/>
      <c r="AC168" s="27" t="n"/>
      <c r="AD168" s="210" t="n">
        <v>10.7</v>
      </c>
      <c r="AE168" s="237" t="n">
        <v>0</v>
      </c>
      <c r="AF168" t="b">
        <v>0</v>
      </c>
      <c r="AG168" s="228" t="n">
        <v>-10.7</v>
      </c>
    </row>
    <row r="169">
      <c r="A169">
        <f>I169&amp;"-"&amp;J169</f>
        <v/>
      </c>
      <c r="B169" s="1">
        <f>N169</f>
        <v/>
      </c>
      <c r="C169">
        <f>M169&amp;"/"&amp;O169</f>
        <v/>
      </c>
      <c r="D169">
        <f>K169</f>
        <v/>
      </c>
      <c r="E169">
        <f>L169</f>
        <v/>
      </c>
      <c r="F169" s="236">
        <f>Z169</f>
        <v/>
      </c>
      <c r="G169">
        <f>U169&amp;"%"</f>
        <v/>
      </c>
      <c r="I169" s="53" t="n">
        <v>2021</v>
      </c>
      <c r="J169" s="53" t="n">
        <v>168</v>
      </c>
      <c r="K169" s="71" t="inlineStr">
        <is>
          <t>Ausgaben</t>
        </is>
      </c>
      <c r="L169" t="inlineStr">
        <is>
          <t>Reise- und Fahrtspesen inkl. Kilometergeld und Diäten</t>
        </is>
      </c>
      <c r="M169" s="131" t="inlineStr">
        <is>
          <t>3293000012088420</t>
        </is>
      </c>
      <c r="N169" s="1" t="n">
        <v>44519</v>
      </c>
      <c r="O169" t="inlineStr">
        <is>
          <t>car2go Österreich GmbH, Hintere Zollamtstraße 9, 1030 Wien</t>
        </is>
      </c>
      <c r="Q169" s="76" t="n"/>
      <c r="R169" t="b">
        <v>0</v>
      </c>
      <c r="S169" s="214" t="n">
        <v>4.78</v>
      </c>
      <c r="T169" s="159" t="n">
        <v>1</v>
      </c>
      <c r="U169" t="n">
        <v>20</v>
      </c>
      <c r="V169" s="237" t="n">
        <v>0.9560000000000001</v>
      </c>
      <c r="W169" s="237" t="n">
        <v>0.9560000000000001</v>
      </c>
      <c r="X169" s="208" t="n">
        <v>4.78</v>
      </c>
      <c r="Y169" s="251" t="n">
        <v>5.736000000000001</v>
      </c>
      <c r="Z169" s="251" t="n">
        <v>5.736000000000001</v>
      </c>
      <c r="AA169" s="35" t="n">
        <v>44607</v>
      </c>
      <c r="AB169" s="27" t="n"/>
      <c r="AC169" s="27" t="n"/>
      <c r="AD169" s="210" t="n">
        <v>4.78</v>
      </c>
      <c r="AE169" s="237" t="n">
        <v>0</v>
      </c>
      <c r="AF169" t="b">
        <v>0</v>
      </c>
      <c r="AG169" s="228" t="n">
        <v>-4.78</v>
      </c>
    </row>
    <row r="170">
      <c r="A170">
        <f>I170&amp;"-"&amp;J170</f>
        <v/>
      </c>
      <c r="B170" s="1">
        <f>N170</f>
        <v/>
      </c>
      <c r="C170">
        <f>M170&amp;"/"&amp;O170</f>
        <v/>
      </c>
      <c r="D170">
        <f>K170</f>
        <v/>
      </c>
      <c r="E170">
        <f>L170</f>
        <v/>
      </c>
      <c r="F170" s="236">
        <f>Z170</f>
        <v/>
      </c>
      <c r="G170">
        <f>U170&amp;"%"</f>
        <v/>
      </c>
      <c r="I170" s="53" t="n">
        <v>2021</v>
      </c>
      <c r="J170" s="53" t="n">
        <v>169</v>
      </c>
      <c r="K170" s="71" t="inlineStr">
        <is>
          <t>Einnahmen</t>
        </is>
      </c>
      <c r="L170" t="inlineStr">
        <is>
          <t>Waren-/Leistungserlöse</t>
        </is>
      </c>
      <c r="M170" s="6" t="n">
        <v>12021023</v>
      </c>
      <c r="N170" s="1" t="n">
        <v>44519</v>
      </c>
      <c r="O170" t="inlineStr">
        <is>
          <t>Schick Küchendesign e.U. Alexander Schick, Linzerstraße 247, 1140 Wien</t>
        </is>
      </c>
      <c r="Q170" s="76" t="n"/>
      <c r="R170" t="b">
        <v>0</v>
      </c>
      <c r="S170" s="214" t="n">
        <v>585</v>
      </c>
      <c r="T170" s="159" t="n">
        <v>1</v>
      </c>
      <c r="U170" t="n">
        <v>20</v>
      </c>
      <c r="V170" s="237" t="n">
        <v>117</v>
      </c>
      <c r="W170" s="237" t="n">
        <v>117</v>
      </c>
      <c r="X170" s="208" t="n">
        <v>585</v>
      </c>
      <c r="Y170" s="251" t="n">
        <v>702</v>
      </c>
      <c r="Z170" s="251" t="n">
        <v>702</v>
      </c>
      <c r="AA170" s="35" t="n">
        <v>44607</v>
      </c>
      <c r="AB170" s="27" t="n"/>
      <c r="AC170" s="27" t="n"/>
      <c r="AD170" s="210" t="n">
        <v>585</v>
      </c>
      <c r="AE170" s="237" t="n">
        <v>0</v>
      </c>
      <c r="AF170" t="b">
        <v>0</v>
      </c>
      <c r="AG170" s="228" t="n">
        <v>585</v>
      </c>
    </row>
    <row r="171">
      <c r="A171">
        <f>I171&amp;"-"&amp;J171</f>
        <v/>
      </c>
      <c r="B171" s="1">
        <f>N171</f>
        <v/>
      </c>
      <c r="C171">
        <f>M171&amp;"/"&amp;O171</f>
        <v/>
      </c>
      <c r="D171">
        <f>K171</f>
        <v/>
      </c>
      <c r="E171">
        <f>L171</f>
        <v/>
      </c>
      <c r="F171" s="236">
        <f>Z171</f>
        <v/>
      </c>
      <c r="G171">
        <f>U171&amp;"%"</f>
        <v/>
      </c>
      <c r="I171" s="53" t="n">
        <v>2021</v>
      </c>
      <c r="J171" s="53" t="n">
        <v>170</v>
      </c>
      <c r="K171" s="71" t="inlineStr">
        <is>
          <t>Ausgaben</t>
        </is>
      </c>
      <c r="L171" t="inlineStr">
        <is>
          <t>Telefon/Internet</t>
        </is>
      </c>
      <c r="M171" s="131" t="inlineStr">
        <is>
          <t>901189031121</t>
        </is>
      </c>
      <c r="N171" s="1" t="n">
        <v>44522</v>
      </c>
      <c r="O171" t="inlineStr">
        <is>
          <t>Magenta: T-Mobile Austria GmbH, A-1120 Wien, PF 47</t>
        </is>
      </c>
      <c r="Q171" s="76" t="n"/>
      <c r="R171" t="b">
        <v>0</v>
      </c>
      <c r="S171" s="214" t="n">
        <v>31.92</v>
      </c>
      <c r="T171" s="159" t="n">
        <v>1</v>
      </c>
      <c r="U171" t="n">
        <v>20</v>
      </c>
      <c r="V171" s="237" t="n">
        <v>6.384000000000001</v>
      </c>
      <c r="W171" s="237" t="n">
        <v>6.384000000000001</v>
      </c>
      <c r="X171" s="208" t="n">
        <v>31.92</v>
      </c>
      <c r="Y171" s="251" t="n">
        <v>38.304</v>
      </c>
      <c r="Z171" s="251" t="n">
        <v>38.304</v>
      </c>
      <c r="AA171" s="35" t="n">
        <v>44607</v>
      </c>
      <c r="AB171" s="27" t="n"/>
      <c r="AC171" s="27" t="n"/>
      <c r="AD171" s="210" t="n">
        <v>31.92</v>
      </c>
      <c r="AE171" s="237" t="n">
        <v>0</v>
      </c>
      <c r="AF171" t="b">
        <v>0</v>
      </c>
      <c r="AG171" s="228" t="n">
        <v>-31.92</v>
      </c>
    </row>
    <row r="172">
      <c r="A172">
        <f>I172&amp;"-"&amp;J172</f>
        <v/>
      </c>
      <c r="B172" s="1">
        <f>N172</f>
        <v/>
      </c>
      <c r="C172">
        <f>M172&amp;"/"&amp;O172</f>
        <v/>
      </c>
      <c r="D172">
        <f>K172</f>
        <v/>
      </c>
      <c r="E172">
        <f>L172</f>
        <v/>
      </c>
      <c r="F172" s="236">
        <f>Z172</f>
        <v/>
      </c>
      <c r="G172">
        <f>U172&amp;"%"</f>
        <v/>
      </c>
      <c r="I172" s="53" t="n">
        <v>2021</v>
      </c>
      <c r="J172" s="53" t="n">
        <v>171</v>
      </c>
      <c r="K172" s="71" t="inlineStr">
        <is>
          <t>Ausgaben</t>
        </is>
      </c>
      <c r="L172" t="inlineStr">
        <is>
          <t>sonstige Betriebsausgaben</t>
        </is>
      </c>
      <c r="M172" s="6" t="inlineStr">
        <is>
          <t>AT184F1UAEUI</t>
        </is>
      </c>
      <c r="N172" s="1" t="n">
        <v>44525</v>
      </c>
      <c r="O172" t="inlineStr">
        <is>
          <t>Amazon EU S. à r.l., 38 avenue John F. Kennedy, L-1855 Luxembourg: HJEU: DVI-HDMI, Logitech Maus</t>
        </is>
      </c>
      <c r="Q172" s="76" t="n"/>
      <c r="R172" t="b">
        <v>0</v>
      </c>
      <c r="S172" s="214" t="n">
        <v>26.21</v>
      </c>
      <c r="T172" s="159" t="n">
        <v>1</v>
      </c>
      <c r="U172" t="n">
        <v>20</v>
      </c>
      <c r="V172" s="237" t="n">
        <v>5.242000000000001</v>
      </c>
      <c r="W172" s="237" t="n">
        <v>5.242000000000001</v>
      </c>
      <c r="X172" s="208" t="n">
        <v>26.21</v>
      </c>
      <c r="Y172" s="251" t="n">
        <v>31.452</v>
      </c>
      <c r="Z172" s="251" t="n">
        <v>31.452</v>
      </c>
      <c r="AA172" s="35" t="n">
        <v>44607</v>
      </c>
      <c r="AB172" s="27" t="n"/>
      <c r="AC172" s="27" t="n"/>
      <c r="AD172" s="210" t="n">
        <v>26.21</v>
      </c>
      <c r="AE172" s="237" t="n">
        <v>0</v>
      </c>
      <c r="AF172" t="b">
        <v>0</v>
      </c>
      <c r="AG172" s="228" t="n">
        <v>-26.21</v>
      </c>
    </row>
    <row r="173">
      <c r="A173">
        <f>I173&amp;"-"&amp;J173</f>
        <v/>
      </c>
      <c r="B173" s="1">
        <f>N173</f>
        <v/>
      </c>
      <c r="C173">
        <f>M173&amp;"/"&amp;O173</f>
        <v/>
      </c>
      <c r="D173">
        <f>K173</f>
        <v/>
      </c>
      <c r="E173">
        <f>L173</f>
        <v/>
      </c>
      <c r="F173" s="236">
        <f>Z173</f>
        <v/>
      </c>
      <c r="G173">
        <f>U173&amp;"%"</f>
        <v/>
      </c>
      <c r="I173" s="53" t="n">
        <v>2021</v>
      </c>
      <c r="J173" s="53" t="n">
        <v>172</v>
      </c>
      <c r="K173" s="71" t="inlineStr">
        <is>
          <t>Einnahmen</t>
        </is>
      </c>
      <c r="L173" t="inlineStr">
        <is>
          <t>Waren-/Leistungserlöse</t>
        </is>
      </c>
      <c r="M173" s="6" t="n">
        <v>12021027</v>
      </c>
      <c r="N173" s="1" t="n">
        <v>44526</v>
      </c>
      <c r="O173" t="inlineStr">
        <is>
          <t>Musikschule Bad Vöslau, Hauptstraße 14, 2540 Bad Vöslau</t>
        </is>
      </c>
      <c r="Q173" s="76" t="n"/>
      <c r="R173" t="b">
        <v>0</v>
      </c>
      <c r="S173" s="214" t="n">
        <v>3780</v>
      </c>
      <c r="T173" s="159" t="n">
        <v>1</v>
      </c>
      <c r="U173" t="n">
        <v>20</v>
      </c>
      <c r="V173" s="237" t="n">
        <v>756</v>
      </c>
      <c r="W173" s="237" t="n">
        <v>756</v>
      </c>
      <c r="X173" s="208" t="n">
        <v>3780</v>
      </c>
      <c r="Y173" s="251" t="n">
        <v>4536</v>
      </c>
      <c r="Z173" s="251" t="n">
        <v>4536</v>
      </c>
      <c r="AA173" s="35" t="n">
        <v>44607</v>
      </c>
      <c r="AB173" s="27" t="n"/>
      <c r="AC173" s="27" t="n"/>
      <c r="AD173" s="210" t="n">
        <v>3780</v>
      </c>
      <c r="AE173" s="237" t="n">
        <v>0</v>
      </c>
      <c r="AF173" t="b">
        <v>0</v>
      </c>
      <c r="AG173" s="228" t="n">
        <v>3780</v>
      </c>
    </row>
    <row r="174">
      <c r="A174">
        <f>I174&amp;"-"&amp;J174</f>
        <v/>
      </c>
      <c r="B174" s="1">
        <f>N174</f>
        <v/>
      </c>
      <c r="C174">
        <f>M174&amp;"/"&amp;O174</f>
        <v/>
      </c>
      <c r="D174">
        <f>K174</f>
        <v/>
      </c>
      <c r="E174">
        <f>L174</f>
        <v/>
      </c>
      <c r="F174" s="236">
        <f>Z174</f>
        <v/>
      </c>
      <c r="G174">
        <f>U174&amp;"%"</f>
        <v/>
      </c>
      <c r="I174" s="53" t="n">
        <v>2021</v>
      </c>
      <c r="J174" s="53" t="n">
        <v>173</v>
      </c>
      <c r="K174" s="71" t="inlineStr">
        <is>
          <t>Ausgaben</t>
        </is>
      </c>
      <c r="L174" t="inlineStr">
        <is>
          <t>Reise- und Fahrtspesen inkl. Kilometergeld und Diäten</t>
        </is>
      </c>
      <c r="M174" s="131" t="inlineStr">
        <is>
          <t>3293000012123132</t>
        </is>
      </c>
      <c r="N174" s="1" t="n">
        <v>44526</v>
      </c>
      <c r="O174" t="inlineStr">
        <is>
          <t>car2go Österreich GmbH, Hintere Zollamtstraße 9, 1030 Wien</t>
        </is>
      </c>
      <c r="Q174" s="76" t="n"/>
      <c r="R174" t="b">
        <v>0</v>
      </c>
      <c r="S174" s="214" t="n">
        <v>3.08</v>
      </c>
      <c r="T174" s="159" t="n">
        <v>1</v>
      </c>
      <c r="U174" t="n">
        <v>20</v>
      </c>
      <c r="V174" s="237" t="n">
        <v>0.616</v>
      </c>
      <c r="W174" s="237" t="n">
        <v>0.616</v>
      </c>
      <c r="X174" s="208" t="n">
        <v>3.08</v>
      </c>
      <c r="Y174" s="251" t="n">
        <v>3.696</v>
      </c>
      <c r="Z174" s="251" t="n">
        <v>3.696</v>
      </c>
      <c r="AA174" s="35" t="n">
        <v>44607</v>
      </c>
      <c r="AB174" s="27" t="n"/>
      <c r="AC174" s="27" t="n"/>
      <c r="AD174" s="210" t="n">
        <v>3.08</v>
      </c>
      <c r="AE174" s="237" t="n">
        <v>0</v>
      </c>
      <c r="AF174" t="b">
        <v>0</v>
      </c>
      <c r="AG174" s="228" t="n">
        <v>-3.08</v>
      </c>
    </row>
    <row r="175">
      <c r="A175">
        <f>I175&amp;"-"&amp;J175</f>
        <v/>
      </c>
      <c r="B175" s="1">
        <f>N175</f>
        <v/>
      </c>
      <c r="C175">
        <f>M175&amp;"/"&amp;O175</f>
        <v/>
      </c>
      <c r="D175">
        <f>K175</f>
        <v/>
      </c>
      <c r="E175">
        <f>L175</f>
        <v/>
      </c>
      <c r="F175" s="236">
        <f>Z175</f>
        <v/>
      </c>
      <c r="G175">
        <f>U175&amp;"%"</f>
        <v/>
      </c>
      <c r="I175" s="53" t="n">
        <v>2021</v>
      </c>
      <c r="J175" s="53" t="n">
        <v>174</v>
      </c>
      <c r="K175" s="71" t="inlineStr">
        <is>
          <t>Ausgaben</t>
        </is>
      </c>
      <c r="L175" t="inlineStr">
        <is>
          <t>Reise- und Fahrtspesen inkl. Kilometergeld und Diäten</t>
        </is>
      </c>
      <c r="M175" s="131" t="inlineStr">
        <is>
          <t>3293000012142740</t>
        </is>
      </c>
      <c r="N175" s="1" t="n">
        <v>44531</v>
      </c>
      <c r="O175" t="inlineStr">
        <is>
          <t>car2go Österreich GmbH, Hintere Zollamtstraße 9, 1030 Wien</t>
        </is>
      </c>
      <c r="Q175" s="76" t="n"/>
      <c r="R175" t="b">
        <v>0</v>
      </c>
      <c r="S175" s="214" t="n">
        <v>3.48</v>
      </c>
      <c r="T175" s="159" t="n">
        <v>1</v>
      </c>
      <c r="U175" t="n">
        <v>20</v>
      </c>
      <c r="V175" s="237" t="n">
        <v>0.696</v>
      </c>
      <c r="W175" s="237" t="n">
        <v>0.696</v>
      </c>
      <c r="X175" s="208" t="n">
        <v>3.48</v>
      </c>
      <c r="Y175" s="251" t="n">
        <v>4.176</v>
      </c>
      <c r="Z175" s="251" t="n">
        <v>4.176</v>
      </c>
      <c r="AA175" s="35" t="n">
        <v>44607</v>
      </c>
      <c r="AB175" s="27" t="n"/>
      <c r="AC175" s="27" t="n"/>
      <c r="AD175" s="210" t="n">
        <v>3.48</v>
      </c>
      <c r="AE175" s="237" t="n">
        <v>0</v>
      </c>
      <c r="AF175" t="b">
        <v>0</v>
      </c>
      <c r="AG175" s="228" t="n">
        <v>-3.48</v>
      </c>
    </row>
    <row r="176">
      <c r="A176">
        <f>I176&amp;"-"&amp;J176</f>
        <v/>
      </c>
      <c r="B176" s="1">
        <f>N176</f>
        <v/>
      </c>
      <c r="C176">
        <f>M176&amp;"/"&amp;O176</f>
        <v/>
      </c>
      <c r="D176">
        <f>K176</f>
        <v/>
      </c>
      <c r="E176">
        <f>L176</f>
        <v/>
      </c>
      <c r="F176" s="236">
        <f>Z176</f>
        <v/>
      </c>
      <c r="G176">
        <f>U176&amp;"%"</f>
        <v/>
      </c>
      <c r="I176" s="53" t="n">
        <v>2021</v>
      </c>
      <c r="J176" s="53" t="n">
        <v>175</v>
      </c>
      <c r="K176" s="71" t="inlineStr">
        <is>
          <t>Ausgaben</t>
        </is>
      </c>
      <c r="L176" t="inlineStr">
        <is>
          <t>Waren, Rohstoffe, Hilfsstoffe</t>
        </is>
      </c>
      <c r="M176" s="6" t="n">
        <v>855501</v>
      </c>
      <c r="N176" s="1" t="n">
        <v>44531</v>
      </c>
      <c r="O176" t="inlineStr">
        <is>
          <t>Lemon Technologies GmbH, Unterweißenbach 181, 7330 Feldbach: Bildschirm</t>
        </is>
      </c>
      <c r="Q176" s="76" t="inlineStr">
        <is>
          <t>ja</t>
        </is>
      </c>
      <c r="R176" t="b">
        <v>0</v>
      </c>
      <c r="S176" s="214" t="n">
        <v>45.66</v>
      </c>
      <c r="T176" s="159" t="n">
        <v>1</v>
      </c>
      <c r="U176" t="n">
        <v>20</v>
      </c>
      <c r="V176" s="237" t="n">
        <v>9.132</v>
      </c>
      <c r="W176" s="237" t="n">
        <v>9.132</v>
      </c>
      <c r="X176" s="208" t="n">
        <v>45.66</v>
      </c>
      <c r="Y176" s="251" t="n">
        <v>54.79199999999999</v>
      </c>
      <c r="Z176" s="251" t="n">
        <v>54.79199999999999</v>
      </c>
      <c r="AA176" s="35" t="n">
        <v>44607</v>
      </c>
      <c r="AB176" s="27" t="n"/>
      <c r="AC176" s="27" t="n"/>
      <c r="AD176" s="210" t="n">
        <v>45.66</v>
      </c>
      <c r="AE176" s="237" t="n">
        <v>0</v>
      </c>
      <c r="AF176" t="b">
        <v>0</v>
      </c>
      <c r="AG176" s="228" t="n">
        <v>-45.66</v>
      </c>
    </row>
    <row r="177">
      <c r="A177">
        <f>I177&amp;"-"&amp;J177</f>
        <v/>
      </c>
      <c r="B177" s="1">
        <f>N177</f>
        <v/>
      </c>
      <c r="C177">
        <f>M177&amp;"/"&amp;O177</f>
        <v/>
      </c>
      <c r="D177">
        <f>K177</f>
        <v/>
      </c>
      <c r="E177">
        <f>L177</f>
        <v/>
      </c>
      <c r="F177" s="236">
        <f>Z177</f>
        <v/>
      </c>
      <c r="G177">
        <f>U177&amp;"%"</f>
        <v/>
      </c>
      <c r="I177" s="53" t="n">
        <v>2021</v>
      </c>
      <c r="J177" s="53" t="n">
        <v>176</v>
      </c>
      <c r="K177" s="71" t="inlineStr">
        <is>
          <t>Ausgaben</t>
        </is>
      </c>
      <c r="L177" t="inlineStr">
        <is>
          <t>Miet- und Pachtaufwand, Leasing</t>
        </is>
      </c>
      <c r="M177" s="9" t="inlineStr">
        <is>
          <t>21/9801/VS00476</t>
        </is>
      </c>
      <c r="N177" s="1" t="n">
        <v>44531</v>
      </c>
      <c r="O177" t="inlineStr">
        <is>
          <t>Bontus Immobilienverwaltung GmbH, 1010 Wien, Franz Josefs Kai 65</t>
        </is>
      </c>
      <c r="Q177" s="76" t="n"/>
      <c r="R177" t="b">
        <v>0</v>
      </c>
      <c r="S177" s="214" t="n">
        <v>470.4666666666666</v>
      </c>
      <c r="T177" s="159" t="n">
        <v>1</v>
      </c>
      <c r="U177" t="n">
        <v>20</v>
      </c>
      <c r="V177" s="237" t="n">
        <v>94.09333333333332</v>
      </c>
      <c r="W177" s="237" t="n">
        <v>94.09333333333332</v>
      </c>
      <c r="X177" s="208" t="n">
        <v>470.4666666666666</v>
      </c>
      <c r="Y177" s="251" t="n">
        <v>564.5599999999999</v>
      </c>
      <c r="Z177" s="251" t="n">
        <v>564.5599999999999</v>
      </c>
      <c r="AA177" s="35" t="n">
        <v>44607</v>
      </c>
      <c r="AB177" s="27" t="n"/>
      <c r="AC177" s="27" t="n"/>
      <c r="AD177" s="210" t="n">
        <v>470.4666666666666</v>
      </c>
      <c r="AE177" s="237" t="n">
        <v>0</v>
      </c>
      <c r="AF177" t="b">
        <v>0</v>
      </c>
      <c r="AG177" s="228" t="n">
        <v>-470.4666666666666</v>
      </c>
    </row>
    <row r="178">
      <c r="A178">
        <f>I178&amp;"-"&amp;J178</f>
        <v/>
      </c>
      <c r="B178" s="1">
        <f>N178</f>
        <v/>
      </c>
      <c r="C178">
        <f>M178&amp;"/"&amp;O178</f>
        <v/>
      </c>
      <c r="D178">
        <f>K178</f>
        <v/>
      </c>
      <c r="E178">
        <f>L178</f>
        <v/>
      </c>
      <c r="F178" s="236">
        <f>Z178</f>
        <v/>
      </c>
      <c r="G178">
        <f>U178&amp;"%"</f>
        <v/>
      </c>
      <c r="I178" s="53" t="n">
        <v>2021</v>
      </c>
      <c r="J178" s="53" t="n">
        <v>177</v>
      </c>
      <c r="K178" s="71" t="inlineStr">
        <is>
          <t>Ausgaben</t>
        </is>
      </c>
      <c r="L178" t="inlineStr">
        <is>
          <t>sonstige Betriebsausgaben</t>
        </is>
      </c>
      <c r="M178" s="9" t="inlineStr">
        <is>
          <t>4027980636</t>
        </is>
      </c>
      <c r="N178" s="1" t="n">
        <v>44532</v>
      </c>
      <c r="O178" t="inlineStr">
        <is>
          <t>Google Ireland Ltd, Gordon House, Barrow Street, Dublin 4, Ireland; VAT number: IE 6388047V</t>
        </is>
      </c>
      <c r="Q178" s="76" t="n"/>
      <c r="R178" t="b">
        <v>0</v>
      </c>
      <c r="S178" s="214" t="n">
        <v>10.4</v>
      </c>
      <c r="T178" s="159" t="n">
        <v>1</v>
      </c>
      <c r="U178" t="n">
        <v>0</v>
      </c>
      <c r="V178" s="237" t="n">
        <v>0</v>
      </c>
      <c r="W178" s="237" t="n">
        <v>0</v>
      </c>
      <c r="X178" s="208" t="n">
        <v>10.4</v>
      </c>
      <c r="Y178" s="251" t="n">
        <v>10.4</v>
      </c>
      <c r="Z178" s="251" t="n">
        <v>10.4</v>
      </c>
      <c r="AA178" s="35" t="n">
        <v>44607</v>
      </c>
      <c r="AB178" s="27" t="n"/>
      <c r="AC178" s="27" t="n">
        <v>20</v>
      </c>
      <c r="AD178" s="210" t="n">
        <v>10.4</v>
      </c>
      <c r="AE178" s="237" t="n">
        <v>2.08</v>
      </c>
      <c r="AF178" t="b">
        <v>0</v>
      </c>
      <c r="AG178" s="228" t="n">
        <v>-10.4</v>
      </c>
    </row>
    <row r="179">
      <c r="A179">
        <f>I179&amp;"-"&amp;J179</f>
        <v/>
      </c>
      <c r="B179" s="1">
        <f>N179</f>
        <v/>
      </c>
      <c r="C179">
        <f>M179&amp;"/"&amp;O179</f>
        <v/>
      </c>
      <c r="D179">
        <f>K179</f>
        <v/>
      </c>
      <c r="E179">
        <f>L179</f>
        <v/>
      </c>
      <c r="F179" s="236">
        <f>Z179</f>
        <v/>
      </c>
      <c r="G179">
        <f>U179&amp;"%"</f>
        <v/>
      </c>
      <c r="I179" s="53" t="n">
        <v>2021</v>
      </c>
      <c r="J179" s="53" t="n">
        <v>178</v>
      </c>
      <c r="K179" s="71" t="inlineStr">
        <is>
          <t>Ausgaben</t>
        </is>
      </c>
      <c r="L179" t="inlineStr">
        <is>
          <t>Telefon/Internet</t>
        </is>
      </c>
      <c r="M179" s="9" t="inlineStr">
        <is>
          <t>6233151878</t>
        </is>
      </c>
      <c r="N179" s="1" t="n">
        <v>44532</v>
      </c>
      <c r="O179" t="inlineStr">
        <is>
          <t>Hutchison Drei Austria GmbH, Brünner Straße 52, 1210 Wien, Österreich</t>
        </is>
      </c>
      <c r="Q179" s="76" t="n"/>
      <c r="R179" t="b">
        <v>0</v>
      </c>
      <c r="S179" s="214" t="n">
        <v>15</v>
      </c>
      <c r="T179" s="159" t="n">
        <v>1</v>
      </c>
      <c r="U179" t="n">
        <v>20</v>
      </c>
      <c r="V179" s="237" t="n">
        <v>3</v>
      </c>
      <c r="W179" s="237" t="n">
        <v>3</v>
      </c>
      <c r="X179" s="208" t="n">
        <v>15</v>
      </c>
      <c r="Y179" s="251" t="n">
        <v>18</v>
      </c>
      <c r="Z179" s="251" t="n">
        <v>18</v>
      </c>
      <c r="AA179" s="35" t="n">
        <v>44607</v>
      </c>
      <c r="AB179" s="27" t="n"/>
      <c r="AC179" s="27" t="n"/>
      <c r="AD179" s="210" t="n">
        <v>15</v>
      </c>
      <c r="AE179" s="237" t="n">
        <v>0</v>
      </c>
      <c r="AF179" t="b">
        <v>0</v>
      </c>
      <c r="AG179" s="228" t="n">
        <v>-15</v>
      </c>
    </row>
    <row r="180">
      <c r="A180">
        <f>I180&amp;"-"&amp;J180</f>
        <v/>
      </c>
      <c r="B180" s="1">
        <f>N180</f>
        <v/>
      </c>
      <c r="C180">
        <f>M180&amp;"/"&amp;O180</f>
        <v/>
      </c>
      <c r="D180">
        <f>K180</f>
        <v/>
      </c>
      <c r="E180">
        <f>L180</f>
        <v/>
      </c>
      <c r="F180" s="236">
        <f>Z180</f>
        <v/>
      </c>
      <c r="G180">
        <f>U180&amp;"%"</f>
        <v/>
      </c>
      <c r="I180" s="53" t="n">
        <v>2021</v>
      </c>
      <c r="J180" s="53" t="n">
        <v>179</v>
      </c>
      <c r="K180" s="71" t="inlineStr">
        <is>
          <t>Ausgaben</t>
        </is>
      </c>
      <c r="L180" t="inlineStr">
        <is>
          <t>sonstige Betriebsausgaben</t>
        </is>
      </c>
      <c r="M180" s="9" t="inlineStr">
        <is>
          <t>60793/100/2021</t>
        </is>
      </c>
      <c r="N180" s="1" t="n">
        <v>44533</v>
      </c>
      <c r="O180" t="inlineStr">
        <is>
          <t>easy green energy GmbH &amp; Co KG</t>
        </is>
      </c>
      <c r="Q180" s="76" t="n"/>
      <c r="R180" t="b">
        <v>0</v>
      </c>
      <c r="S180" s="214" t="n">
        <v>2.5</v>
      </c>
      <c r="T180" s="159" t="n">
        <v>1</v>
      </c>
      <c r="U180" t="n">
        <v>20</v>
      </c>
      <c r="V180" s="237" t="n">
        <v>0.5</v>
      </c>
      <c r="W180" s="237" t="n">
        <v>0.5</v>
      </c>
      <c r="X180" s="208" t="n">
        <v>2.5</v>
      </c>
      <c r="Y180" s="251" t="n">
        <v>3</v>
      </c>
      <c r="Z180" s="251" t="n">
        <v>3</v>
      </c>
      <c r="AA180" s="35" t="n">
        <v>44607</v>
      </c>
      <c r="AB180" s="27" t="n"/>
      <c r="AC180" s="27" t="n"/>
      <c r="AD180" s="210" t="n">
        <v>2.5</v>
      </c>
      <c r="AE180" s="237" t="n">
        <v>0</v>
      </c>
      <c r="AF180" t="b">
        <v>0</v>
      </c>
      <c r="AG180" s="228" t="n">
        <v>-2.5</v>
      </c>
    </row>
    <row r="181">
      <c r="A181">
        <f>I181&amp;"-"&amp;J181</f>
        <v/>
      </c>
      <c r="B181" s="1">
        <f>N181</f>
        <v/>
      </c>
      <c r="C181">
        <f>M181&amp;"/"&amp;O181</f>
        <v/>
      </c>
      <c r="D181">
        <f>K181</f>
        <v/>
      </c>
      <c r="E181">
        <f>L181</f>
        <v/>
      </c>
      <c r="F181" s="236">
        <f>Z181</f>
        <v/>
      </c>
      <c r="G181">
        <f>U181&amp;"%"</f>
        <v/>
      </c>
      <c r="I181" s="53" t="n">
        <v>2021</v>
      </c>
      <c r="J181" s="53" t="n">
        <v>180</v>
      </c>
      <c r="K181" s="71" t="inlineStr">
        <is>
          <t>Ausgaben</t>
        </is>
      </c>
      <c r="L181" t="inlineStr">
        <is>
          <t>Miet- und Pachtaufwand, Leasing</t>
        </is>
      </c>
      <c r="M181" s="9" t="inlineStr">
        <is>
          <t>HKA/20-01-58835</t>
        </is>
      </c>
      <c r="N181" s="1" t="n">
        <v>44536</v>
      </c>
      <c r="O181" t="inlineStr">
        <is>
          <t>Techem Messtechnik GmbH; Abnehmernummer 501686-0003-11-</t>
        </is>
      </c>
      <c r="Q181" s="76" t="n"/>
      <c r="R181" t="b">
        <v>0</v>
      </c>
      <c r="S181" s="214" t="n">
        <v>74</v>
      </c>
      <c r="T181" s="159" t="n">
        <v>1</v>
      </c>
      <c r="U181" t="n">
        <v>20</v>
      </c>
      <c r="V181" s="237" t="n">
        <v>14.8</v>
      </c>
      <c r="W181" s="237" t="n">
        <v>14.8</v>
      </c>
      <c r="X181" s="208" t="n">
        <v>74</v>
      </c>
      <c r="Y181" s="251" t="n">
        <v>88.8</v>
      </c>
      <c r="Z181" s="251" t="n">
        <v>88.8</v>
      </c>
      <c r="AA181" s="35" t="n">
        <v>44607</v>
      </c>
      <c r="AB181" s="27" t="n"/>
      <c r="AC181" s="27" t="n"/>
      <c r="AD181" s="210" t="n">
        <v>74</v>
      </c>
      <c r="AE181" s="237" t="n">
        <v>0</v>
      </c>
      <c r="AF181" t="b">
        <v>0</v>
      </c>
      <c r="AG181" s="228" t="n">
        <v>-74</v>
      </c>
    </row>
    <row r="182">
      <c r="A182">
        <f>I182&amp;"-"&amp;J182</f>
        <v/>
      </c>
      <c r="B182" s="1">
        <f>N182</f>
        <v/>
      </c>
      <c r="C182">
        <f>M182&amp;"/"&amp;O182</f>
        <v/>
      </c>
      <c r="D182">
        <f>K182</f>
        <v/>
      </c>
      <c r="E182">
        <f>L182</f>
        <v/>
      </c>
      <c r="F182" s="236">
        <f>Z182</f>
        <v/>
      </c>
      <c r="G182">
        <f>U182&amp;"%"</f>
        <v/>
      </c>
      <c r="I182" s="53" t="n">
        <v>2021</v>
      </c>
      <c r="J182" s="53" t="n">
        <v>181</v>
      </c>
      <c r="K182" s="71" t="inlineStr">
        <is>
          <t>Einnahmen</t>
        </is>
      </c>
      <c r="L182" t="inlineStr">
        <is>
          <t>Waren-/Leistungserlöse</t>
        </is>
      </c>
      <c r="M182" s="6" t="n">
        <v>12021028</v>
      </c>
      <c r="N182" s="1" t="n">
        <v>44537</v>
      </c>
      <c r="O182" t="inlineStr">
        <is>
          <t>foxcraft - DI Mag. Alexander Wagner, Leschetitzkygasse 30/5, 1180 Wien</t>
        </is>
      </c>
      <c r="Q182" s="76" t="n"/>
      <c r="R182" t="b">
        <v>0</v>
      </c>
      <c r="S182" s="214" t="n">
        <v>150.78</v>
      </c>
      <c r="T182" s="159" t="n">
        <v>1</v>
      </c>
      <c r="U182" t="n">
        <v>20</v>
      </c>
      <c r="V182" s="237" t="n">
        <v>30.156</v>
      </c>
      <c r="W182" s="237" t="n">
        <v>30.156</v>
      </c>
      <c r="X182" s="208" t="n">
        <v>150.78</v>
      </c>
      <c r="Y182" s="251" t="n">
        <v>180.936</v>
      </c>
      <c r="Z182" s="251" t="n">
        <v>180.936</v>
      </c>
      <c r="AA182" s="35" t="n">
        <v>44607</v>
      </c>
      <c r="AB182" s="27" t="n"/>
      <c r="AC182" s="27" t="n"/>
      <c r="AD182" s="210" t="n">
        <v>150.78</v>
      </c>
      <c r="AE182" s="237" t="n">
        <v>0</v>
      </c>
      <c r="AF182" t="b">
        <v>0</v>
      </c>
      <c r="AG182" s="228" t="n">
        <v>150.78</v>
      </c>
    </row>
    <row r="183">
      <c r="A183">
        <f>I183&amp;"-"&amp;J183</f>
        <v/>
      </c>
      <c r="B183" s="1">
        <f>N183</f>
        <v/>
      </c>
      <c r="C183">
        <f>M183&amp;"/"&amp;O183</f>
        <v/>
      </c>
      <c r="D183">
        <f>K183</f>
        <v/>
      </c>
      <c r="E183">
        <f>L183</f>
        <v/>
      </c>
      <c r="F183" s="236">
        <f>Z183</f>
        <v/>
      </c>
      <c r="G183">
        <f>U183&amp;"%"</f>
        <v/>
      </c>
      <c r="I183" s="53" t="n">
        <v>2021</v>
      </c>
      <c r="J183" s="53" t="n">
        <v>182</v>
      </c>
      <c r="K183" s="71" t="inlineStr">
        <is>
          <t>Ausgaben</t>
        </is>
      </c>
      <c r="L183" t="inlineStr">
        <is>
          <t>sonstige Betriebsausgaben</t>
        </is>
      </c>
      <c r="M183" s="6" t="inlineStr">
        <is>
          <t>R0014682501</t>
        </is>
      </c>
      <c r="N183" s="1" t="n">
        <v>44539</v>
      </c>
      <c r="O183" t="inlineStr">
        <is>
          <t>Hetzner Online GmbH</t>
        </is>
      </c>
      <c r="Q183" s="76" t="inlineStr">
        <is>
          <t>ja</t>
        </is>
      </c>
      <c r="R183" t="b">
        <v>0</v>
      </c>
      <c r="S183" s="214" t="n">
        <v>2.49</v>
      </c>
      <c r="T183" s="159" t="n">
        <v>1</v>
      </c>
      <c r="U183" t="n">
        <v>0</v>
      </c>
      <c r="V183" s="237" t="n">
        <v>0</v>
      </c>
      <c r="W183" s="237" t="n">
        <v>0</v>
      </c>
      <c r="X183" s="208" t="n">
        <v>2.49</v>
      </c>
      <c r="Y183" s="251" t="n">
        <v>2.49</v>
      </c>
      <c r="Z183" s="251" t="n">
        <v>2.49</v>
      </c>
      <c r="AA183" s="35" t="n">
        <v>44607</v>
      </c>
      <c r="AB183" s="27" t="n"/>
      <c r="AC183" s="27" t="n">
        <v>20</v>
      </c>
      <c r="AD183" s="210" t="n">
        <v>2.49</v>
      </c>
      <c r="AE183" s="237" t="n">
        <v>0.4980000000000001</v>
      </c>
      <c r="AF183" t="b">
        <v>0</v>
      </c>
      <c r="AG183" s="228" t="n">
        <v>-2.49</v>
      </c>
    </row>
    <row r="184">
      <c r="A184">
        <f>I184&amp;"-"&amp;J184</f>
        <v/>
      </c>
      <c r="B184" s="1">
        <f>N184</f>
        <v/>
      </c>
      <c r="C184">
        <f>M184&amp;"/"&amp;O184</f>
        <v/>
      </c>
      <c r="D184">
        <f>K184</f>
        <v/>
      </c>
      <c r="E184">
        <f>L184</f>
        <v/>
      </c>
      <c r="F184" s="236">
        <f>Z184</f>
        <v/>
      </c>
      <c r="G184">
        <f>U184&amp;"%"</f>
        <v/>
      </c>
      <c r="I184" s="53" t="n">
        <v>2021</v>
      </c>
      <c r="J184" s="53" t="n">
        <v>183</v>
      </c>
      <c r="K184" s="71" t="inlineStr">
        <is>
          <t>Ausgaben</t>
        </is>
      </c>
      <c r="L184" t="inlineStr">
        <is>
          <t>sonstige Betriebsausgaben</t>
        </is>
      </c>
      <c r="M184" s="9" t="inlineStr">
        <is>
          <t>R0014740755</t>
        </is>
      </c>
      <c r="N184" s="1" t="n">
        <v>44543</v>
      </c>
      <c r="O184" t="inlineStr">
        <is>
          <t>Hetzner Online GmbH</t>
        </is>
      </c>
      <c r="Q184" s="76" t="n"/>
      <c r="R184" t="b">
        <v>0</v>
      </c>
      <c r="S184" s="214" t="n">
        <v>46.9168</v>
      </c>
      <c r="T184" s="159" t="n">
        <v>1</v>
      </c>
      <c r="U184" t="n">
        <v>0</v>
      </c>
      <c r="V184" s="237" t="n">
        <v>0</v>
      </c>
      <c r="W184" s="237" t="n">
        <v>0</v>
      </c>
      <c r="X184" s="208" t="n">
        <v>46.9168</v>
      </c>
      <c r="Y184" s="251" t="n">
        <v>46.9168</v>
      </c>
      <c r="Z184" s="251" t="n">
        <v>46.9168</v>
      </c>
      <c r="AA184" s="35" t="n">
        <v>44607</v>
      </c>
      <c r="AB184" s="27" t="n"/>
      <c r="AC184" s="27" t="n">
        <v>20</v>
      </c>
      <c r="AD184" s="210" t="n">
        <v>46.9168</v>
      </c>
      <c r="AE184" s="237" t="n">
        <v>9.383360000000001</v>
      </c>
      <c r="AF184" t="b">
        <v>0</v>
      </c>
      <c r="AG184" s="228" t="n">
        <v>-46.9168</v>
      </c>
    </row>
    <row r="185">
      <c r="A185">
        <f>I185&amp;"-"&amp;J185</f>
        <v/>
      </c>
      <c r="B185" s="1">
        <f>N185</f>
        <v/>
      </c>
      <c r="C185">
        <f>M185&amp;"/"&amp;O185</f>
        <v/>
      </c>
      <c r="D185">
        <f>K185</f>
        <v/>
      </c>
      <c r="E185">
        <f>L185</f>
        <v/>
      </c>
      <c r="F185" s="236">
        <f>Z185</f>
        <v/>
      </c>
      <c r="G185">
        <f>U185&amp;"%"</f>
        <v/>
      </c>
      <c r="I185" s="53" t="n">
        <v>2021</v>
      </c>
      <c r="J185" s="53" t="n">
        <v>184</v>
      </c>
      <c r="K185" s="71" t="inlineStr">
        <is>
          <t>Ausgaben</t>
        </is>
      </c>
      <c r="L185" t="inlineStr">
        <is>
          <t>sonstige Betriebsausgaben</t>
        </is>
      </c>
      <c r="M185" s="6" t="inlineStr">
        <is>
          <t>AT1B8GA1AEUI</t>
        </is>
      </c>
      <c r="N185" s="1" t="n">
        <v>44546</v>
      </c>
      <c r="O185" t="inlineStr">
        <is>
          <t>Amazon EU S. à r.l., 38 avenue John F. Kennedy, L-1855 Luxembourg: HJEU: DVI-HDMI, Logitech Maus</t>
        </is>
      </c>
      <c r="Q185" s="76" t="n"/>
      <c r="R185" t="b">
        <v>0</v>
      </c>
      <c r="S185" s="214" t="n">
        <v>29.4</v>
      </c>
      <c r="T185" s="159" t="n">
        <v>1</v>
      </c>
      <c r="U185" t="n">
        <v>20</v>
      </c>
      <c r="V185" s="237" t="n">
        <v>5.88</v>
      </c>
      <c r="W185" s="237" t="n">
        <v>5.88</v>
      </c>
      <c r="X185" s="208" t="n">
        <v>29.4</v>
      </c>
      <c r="Y185" s="251" t="n">
        <v>35.28</v>
      </c>
      <c r="Z185" s="251" t="n">
        <v>35.28</v>
      </c>
      <c r="AA185" s="35" t="n">
        <v>44607</v>
      </c>
      <c r="AB185" s="27" t="n"/>
      <c r="AC185" s="27" t="n"/>
      <c r="AD185" s="210" t="n">
        <v>29.4</v>
      </c>
      <c r="AE185" s="237" t="n">
        <v>0</v>
      </c>
      <c r="AF185" t="b">
        <v>0</v>
      </c>
      <c r="AG185" s="228" t="n">
        <v>-29.4</v>
      </c>
    </row>
    <row r="186">
      <c r="A186">
        <f>I186&amp;"-"&amp;J186</f>
        <v/>
      </c>
      <c r="B186" s="1">
        <f>N186</f>
        <v/>
      </c>
      <c r="C186">
        <f>M186&amp;"/"&amp;O186</f>
        <v/>
      </c>
      <c r="D186">
        <f>K186</f>
        <v/>
      </c>
      <c r="E186">
        <f>L186</f>
        <v/>
      </c>
      <c r="F186" s="236">
        <f>Z186</f>
        <v/>
      </c>
      <c r="G186">
        <f>U186&amp;"%"</f>
        <v/>
      </c>
      <c r="I186" s="53" t="n">
        <v>2021</v>
      </c>
      <c r="J186" s="53" t="n">
        <v>185</v>
      </c>
      <c r="K186" s="71" t="inlineStr">
        <is>
          <t>Ausgaben</t>
        </is>
      </c>
      <c r="L186" t="inlineStr">
        <is>
          <t>sonstige Betriebsausgaben</t>
        </is>
      </c>
      <c r="M186" s="131" t="inlineStr">
        <is>
          <t>AT1B4K7KAEUI</t>
        </is>
      </c>
      <c r="N186" s="1" t="n">
        <v>44546</v>
      </c>
      <c r="O186" t="inlineStr">
        <is>
          <t>Amazon EU S. à r.l., 38 avenue John F. Kennedy, L-1855 Luxembourg: HJEU: DVI-HDMI, Logitech Maus</t>
        </is>
      </c>
      <c r="Q186" s="76" t="n"/>
      <c r="R186" t="b">
        <v>0</v>
      </c>
      <c r="S186" s="214" t="n">
        <v>25.87</v>
      </c>
      <c r="T186" s="159" t="n">
        <v>1</v>
      </c>
      <c r="U186" t="n">
        <v>20</v>
      </c>
      <c r="V186" s="237" t="n">
        <v>5.173999999999999</v>
      </c>
      <c r="W186" s="237" t="n">
        <v>5.173999999999999</v>
      </c>
      <c r="X186" s="208" t="n">
        <v>25.87</v>
      </c>
      <c r="Y186" s="251" t="n">
        <v>31.044</v>
      </c>
      <c r="Z186" s="251" t="n">
        <v>31.044</v>
      </c>
      <c r="AA186" s="35" t="n">
        <v>44607</v>
      </c>
      <c r="AB186" s="27" t="n"/>
      <c r="AC186" s="27" t="n"/>
      <c r="AD186" s="210" t="n">
        <v>25.87</v>
      </c>
      <c r="AE186" s="237" t="n">
        <v>0</v>
      </c>
      <c r="AF186" t="b">
        <v>0</v>
      </c>
      <c r="AG186" s="228" t="n">
        <v>-25.87</v>
      </c>
    </row>
    <row r="187">
      <c r="A187">
        <f>I187&amp;"-"&amp;J187</f>
        <v/>
      </c>
      <c r="B187" s="1">
        <f>N187</f>
        <v/>
      </c>
      <c r="C187">
        <f>M187&amp;"/"&amp;O187</f>
        <v/>
      </c>
      <c r="D187">
        <f>K187</f>
        <v/>
      </c>
      <c r="E187">
        <f>L187</f>
        <v/>
      </c>
      <c r="F187" s="236">
        <f>Z187</f>
        <v/>
      </c>
      <c r="G187">
        <f>U187&amp;"%"</f>
        <v/>
      </c>
      <c r="I187" s="53" t="n">
        <v>2021</v>
      </c>
      <c r="J187" s="53" t="n">
        <v>186</v>
      </c>
      <c r="K187" s="71" t="inlineStr">
        <is>
          <t>Ausgaben</t>
        </is>
      </c>
      <c r="L187" t="inlineStr">
        <is>
          <t>Telefon/Internet</t>
        </is>
      </c>
      <c r="M187" s="131" t="inlineStr">
        <is>
          <t>901209161221</t>
        </is>
      </c>
      <c r="N187" s="1" t="n">
        <v>44551</v>
      </c>
      <c r="O187" t="inlineStr">
        <is>
          <t>Magenta: T-Mobile Austria GmbH, A-1120 Wien, PF 47</t>
        </is>
      </c>
      <c r="Q187" s="76" t="n"/>
      <c r="R187" t="b">
        <v>0</v>
      </c>
      <c r="S187" s="214" t="n">
        <v>31.92</v>
      </c>
      <c r="T187" s="159" t="n">
        <v>1</v>
      </c>
      <c r="U187" t="n">
        <v>20</v>
      </c>
      <c r="V187" s="237" t="n">
        <v>6.384000000000001</v>
      </c>
      <c r="W187" s="237" t="n">
        <v>6.384000000000001</v>
      </c>
      <c r="X187" s="208" t="n">
        <v>31.92</v>
      </c>
      <c r="Y187" s="251" t="n">
        <v>38.304</v>
      </c>
      <c r="Z187" s="251" t="n">
        <v>38.304</v>
      </c>
      <c r="AA187" s="35" t="n">
        <v>44607</v>
      </c>
      <c r="AB187" s="27" t="n"/>
      <c r="AC187" s="27" t="n"/>
      <c r="AD187" s="210" t="n">
        <v>31.92</v>
      </c>
      <c r="AE187" s="237" t="n">
        <v>0</v>
      </c>
      <c r="AF187" t="b">
        <v>0</v>
      </c>
      <c r="AG187" s="228" t="n">
        <v>-31.92</v>
      </c>
    </row>
    <row r="188">
      <c r="A188">
        <f>I188&amp;"-"&amp;J188</f>
        <v/>
      </c>
      <c r="B188" s="1">
        <f>N188</f>
        <v/>
      </c>
      <c r="C188">
        <f>M188&amp;"/"&amp;O188</f>
        <v/>
      </c>
      <c r="D188">
        <f>K188</f>
        <v/>
      </c>
      <c r="E188">
        <f>L188</f>
        <v/>
      </c>
      <c r="F188" s="236">
        <f>Z188</f>
        <v/>
      </c>
      <c r="G188">
        <f>U188&amp;"%"</f>
        <v/>
      </c>
      <c r="I188" s="53" t="n">
        <v>2021</v>
      </c>
      <c r="J188" s="53" t="n">
        <v>187</v>
      </c>
      <c r="K188" s="71" t="inlineStr">
        <is>
          <t>Einnahmen</t>
        </is>
      </c>
      <c r="L188" t="inlineStr">
        <is>
          <t>Waren-/Leistungserlöse</t>
        </is>
      </c>
      <c r="M188" s="6" t="n">
        <v>12021030</v>
      </c>
      <c r="N188" s="1" t="n">
        <v>44551</v>
      </c>
      <c r="O188" t="inlineStr">
        <is>
          <t>ZT DI Dr. Arno Kolbitsch, Gütleweg 1, 6822 Satteins</t>
        </is>
      </c>
      <c r="Q188" s="76" t="n"/>
      <c r="R188" t="b">
        <v>0</v>
      </c>
      <c r="S188" s="214" t="n">
        <v>6351.81</v>
      </c>
      <c r="T188" s="159" t="n">
        <v>1</v>
      </c>
      <c r="U188" t="n">
        <v>20</v>
      </c>
      <c r="V188" s="237" t="n">
        <v>1270.362</v>
      </c>
      <c r="W188" s="237" t="n">
        <v>1270.362</v>
      </c>
      <c r="X188" s="208" t="n">
        <v>6351.81</v>
      </c>
      <c r="Y188" s="251" t="n">
        <v>7622.172</v>
      </c>
      <c r="Z188" s="251" t="n">
        <v>7622.172</v>
      </c>
      <c r="AA188" s="35" t="n">
        <v>44607</v>
      </c>
      <c r="AB188" s="27" t="n"/>
      <c r="AC188" s="27" t="n"/>
      <c r="AD188" s="210" t="n">
        <v>6351.81</v>
      </c>
      <c r="AE188" s="237" t="n">
        <v>0</v>
      </c>
      <c r="AF188" t="b">
        <v>0</v>
      </c>
      <c r="AG188" s="228" t="n">
        <v>6351.81</v>
      </c>
    </row>
    <row r="189">
      <c r="A189">
        <f>I189&amp;"-"&amp;J189</f>
        <v/>
      </c>
      <c r="B189" s="1">
        <f>N189</f>
        <v/>
      </c>
      <c r="C189">
        <f>M189&amp;"/"&amp;O189</f>
        <v/>
      </c>
      <c r="D189">
        <f>K189</f>
        <v/>
      </c>
      <c r="E189">
        <f>L189</f>
        <v/>
      </c>
      <c r="F189" s="236">
        <f>Z189</f>
        <v/>
      </c>
      <c r="G189">
        <f>U189&amp;"%"</f>
        <v/>
      </c>
      <c r="I189" s="53" t="n">
        <v>2021</v>
      </c>
      <c r="J189" s="53" t="n">
        <v>188</v>
      </c>
      <c r="K189" s="71" t="inlineStr">
        <is>
          <t>Ausgaben</t>
        </is>
      </c>
      <c r="L189" t="inlineStr">
        <is>
          <t>sonstige Betriebsausgaben</t>
        </is>
      </c>
      <c r="M189" s="6" t="inlineStr">
        <is>
          <t>E0600GXXZJ</t>
        </is>
      </c>
      <c r="N189" s="1" t="n">
        <v>44551</v>
      </c>
      <c r="O189" t="inlineStr">
        <is>
          <t>Microsoft Ireland Operations Ltd. One Microsoft Place, South County, Business Park, Leopardstown, Dublin 18, D18 P521, Ireland</t>
        </is>
      </c>
      <c r="Q189" s="76" t="n"/>
      <c r="R189" t="b">
        <v>0</v>
      </c>
      <c r="S189" s="214" t="n">
        <v>10.5</v>
      </c>
      <c r="T189" s="159" t="n">
        <v>1</v>
      </c>
      <c r="U189" t="n">
        <v>0</v>
      </c>
      <c r="V189" s="237" t="n">
        <v>0</v>
      </c>
      <c r="W189" s="237" t="n">
        <v>0</v>
      </c>
      <c r="X189" s="208" t="n">
        <v>10.5</v>
      </c>
      <c r="Y189" s="251" t="n">
        <v>10.5</v>
      </c>
      <c r="Z189" s="251" t="n">
        <v>10.5</v>
      </c>
      <c r="AA189" s="35" t="n">
        <v>44607</v>
      </c>
      <c r="AB189" s="27" t="n"/>
      <c r="AC189" s="27" t="n">
        <v>20</v>
      </c>
      <c r="AD189" s="210" t="n">
        <v>10.5</v>
      </c>
      <c r="AE189" s="237" t="n">
        <v>2.1</v>
      </c>
      <c r="AF189" t="b">
        <v>0</v>
      </c>
      <c r="AG189" s="228" t="n">
        <v>-10.5</v>
      </c>
    </row>
    <row r="190">
      <c r="A190">
        <f>I190&amp;"-"&amp;J190</f>
        <v/>
      </c>
      <c r="B190" s="1">
        <f>N190</f>
        <v/>
      </c>
      <c r="C190">
        <f>M190&amp;"/"&amp;O190</f>
        <v/>
      </c>
      <c r="D190">
        <f>K190</f>
        <v/>
      </c>
      <c r="E190">
        <f>L190</f>
        <v/>
      </c>
      <c r="F190" s="236">
        <f>Z190</f>
        <v/>
      </c>
      <c r="G190">
        <f>U190&amp;"%"</f>
        <v/>
      </c>
      <c r="I190" s="53" t="n">
        <v>2021</v>
      </c>
      <c r="J190" s="53" t="n">
        <v>189</v>
      </c>
      <c r="K190" s="71" t="inlineStr">
        <is>
          <t>Ausgaben</t>
        </is>
      </c>
      <c r="L190" t="inlineStr">
        <is>
          <t>Reise- und Fahrtspesen inkl. Kilometergeld und Diäten</t>
        </is>
      </c>
      <c r="M190" s="9" t="inlineStr">
        <is>
          <t>227JS2212211155</t>
        </is>
      </c>
      <c r="N190" s="1" t="n">
        <v>44552</v>
      </c>
      <c r="O190" t="inlineStr">
        <is>
          <t>Wiener Linien GmbH &amp; Co KG</t>
        </is>
      </c>
      <c r="Q190" s="76" t="n"/>
      <c r="R190" t="b">
        <v>0</v>
      </c>
      <c r="S190" s="214" t="n">
        <v>40.8</v>
      </c>
      <c r="T190" s="159" t="n">
        <v>1</v>
      </c>
      <c r="U190" t="n">
        <v>0</v>
      </c>
      <c r="V190" s="237" t="n">
        <v>0</v>
      </c>
      <c r="W190" s="237" t="n">
        <v>0</v>
      </c>
      <c r="X190" s="208" t="n">
        <v>40.8</v>
      </c>
      <c r="Y190" s="251" t="n">
        <v>40.8</v>
      </c>
      <c r="Z190" s="251" t="n">
        <v>40.8</v>
      </c>
      <c r="AA190" s="35" t="n">
        <v>44607</v>
      </c>
      <c r="AB190" s="27" t="n"/>
      <c r="AC190" s="27" t="n"/>
      <c r="AD190" s="210" t="n">
        <v>40.8</v>
      </c>
      <c r="AE190" s="237" t="n">
        <v>0</v>
      </c>
      <c r="AF190" t="b">
        <v>0</v>
      </c>
      <c r="AG190" s="228" t="n">
        <v>-40.8</v>
      </c>
    </row>
    <row r="191">
      <c r="A191">
        <f>I191&amp;"-"&amp;J191</f>
        <v/>
      </c>
      <c r="B191" s="1">
        <f>N191</f>
        <v/>
      </c>
      <c r="C191">
        <f>M191&amp;"/"&amp;O191</f>
        <v/>
      </c>
      <c r="D191">
        <f>K191</f>
        <v/>
      </c>
      <c r="E191">
        <f>L191</f>
        <v/>
      </c>
      <c r="F191" s="236">
        <f>Z191</f>
        <v/>
      </c>
      <c r="G191">
        <f>U191&amp;"%"</f>
        <v/>
      </c>
      <c r="I191" s="53" t="n">
        <v>2021</v>
      </c>
      <c r="J191" s="53" t="n">
        <v>190</v>
      </c>
      <c r="K191" s="71" t="inlineStr">
        <is>
          <t>Ausgaben</t>
        </is>
      </c>
      <c r="L191" t="inlineStr">
        <is>
          <t>sonstige Betriebsausgaben</t>
        </is>
      </c>
      <c r="M191" s="6" t="inlineStr">
        <is>
          <t>I210003034925</t>
        </is>
      </c>
      <c r="N191" s="1" t="n">
        <v>44552</v>
      </c>
      <c r="O191" t="inlineStr">
        <is>
          <t>Hetzner Online GmbH: .at Domainregistrierung (mj1.at)</t>
        </is>
      </c>
      <c r="Q191" s="76" t="n"/>
      <c r="R191" t="b">
        <v>0</v>
      </c>
      <c r="S191" s="214" t="n">
        <v>10</v>
      </c>
      <c r="T191" s="159" t="n">
        <v>1</v>
      </c>
      <c r="U191" t="n">
        <v>0</v>
      </c>
      <c r="V191" s="237" t="n">
        <v>0</v>
      </c>
      <c r="W191" s="237" t="n">
        <v>0</v>
      </c>
      <c r="X191" s="208" t="n">
        <v>10</v>
      </c>
      <c r="Y191" s="251" t="n">
        <v>10</v>
      </c>
      <c r="Z191" s="251" t="n">
        <v>10</v>
      </c>
      <c r="AA191" s="35" t="n">
        <v>44607</v>
      </c>
      <c r="AB191" s="27" t="n"/>
      <c r="AC191" s="27" t="n">
        <v>20</v>
      </c>
      <c r="AD191" s="210" t="n">
        <v>10</v>
      </c>
      <c r="AE191" s="237" t="n">
        <v>2</v>
      </c>
      <c r="AF191" t="b">
        <v>0</v>
      </c>
      <c r="AG191" s="228" t="n">
        <v>-10</v>
      </c>
    </row>
    <row r="192">
      <c r="A192">
        <f>I192&amp;"-"&amp;J192</f>
        <v/>
      </c>
      <c r="B192" s="1">
        <f>N192</f>
        <v/>
      </c>
      <c r="C192">
        <f>M192&amp;"/"&amp;O192</f>
        <v/>
      </c>
      <c r="D192">
        <f>K192</f>
        <v/>
      </c>
      <c r="E192">
        <f>L192</f>
        <v/>
      </c>
      <c r="F192" s="236">
        <f>Z192</f>
        <v/>
      </c>
      <c r="G192">
        <f>U192&amp;"%"</f>
        <v/>
      </c>
      <c r="I192" s="53" t="n">
        <v>2021</v>
      </c>
      <c r="J192" s="53" t="n">
        <v>191</v>
      </c>
      <c r="K192" s="71" t="inlineStr">
        <is>
          <t>Einnahmen</t>
        </is>
      </c>
      <c r="L192" t="inlineStr">
        <is>
          <t>Waren-/Leistungserlöse</t>
        </is>
      </c>
      <c r="M192" s="6" t="n">
        <v>12021032</v>
      </c>
      <c r="N192" s="1" t="n">
        <v>44558</v>
      </c>
      <c r="O192" t="inlineStr">
        <is>
          <t>Kolbitsch Engineering &amp; Consulting KNr 45</t>
        </is>
      </c>
      <c r="Q192" s="76" t="n"/>
      <c r="R192" t="b">
        <v>0</v>
      </c>
      <c r="S192" s="214" t="n">
        <v>1134.75</v>
      </c>
      <c r="T192" s="159" t="n">
        <v>1</v>
      </c>
      <c r="U192" t="n">
        <v>20</v>
      </c>
      <c r="V192" s="237" t="n">
        <v>226.95</v>
      </c>
      <c r="W192" s="237" t="n">
        <v>226.95</v>
      </c>
      <c r="X192" s="208" t="n">
        <v>1134.75</v>
      </c>
      <c r="Y192" s="251" t="n">
        <v>1361.7</v>
      </c>
      <c r="Z192" s="251" t="n">
        <v>1361.7</v>
      </c>
      <c r="AA192" s="35" t="n">
        <v>44607</v>
      </c>
      <c r="AB192" s="27" t="n"/>
      <c r="AC192" s="27" t="n"/>
      <c r="AD192" s="210" t="n">
        <v>1134.75</v>
      </c>
      <c r="AE192" s="237" t="n">
        <v>0</v>
      </c>
      <c r="AF192" t="b">
        <v>0</v>
      </c>
      <c r="AG192" s="228" t="n">
        <v>1134.75</v>
      </c>
    </row>
    <row r="193">
      <c r="A193">
        <f>I193&amp;"-"&amp;J193</f>
        <v/>
      </c>
      <c r="B193" s="1">
        <f>N193</f>
        <v/>
      </c>
      <c r="C193">
        <f>M193&amp;"/"&amp;O193</f>
        <v/>
      </c>
      <c r="D193">
        <f>K193</f>
        <v/>
      </c>
      <c r="E193">
        <f>L193</f>
        <v/>
      </c>
      <c r="F193" s="236">
        <f>Z193</f>
        <v/>
      </c>
      <c r="G193">
        <f>U193&amp;"%"</f>
        <v/>
      </c>
      <c r="I193" s="53" t="n">
        <v>2021</v>
      </c>
      <c r="J193" s="53" t="n">
        <v>192</v>
      </c>
      <c r="K193" s="71" t="inlineStr">
        <is>
          <t>Ausgaben</t>
        </is>
      </c>
      <c r="L193" t="inlineStr">
        <is>
          <t>Büromaterial</t>
        </is>
      </c>
      <c r="M193" s="9" t="inlineStr">
        <is>
          <t>0893-20211020-01-5323</t>
        </is>
      </c>
      <c r="N193" s="1" t="n">
        <v>44489</v>
      </c>
      <c r="O193" t="inlineStr">
        <is>
          <t>"Libro" PL Handelsgesellschaft mbH, 1080 Wien, Josefstädter Straße 105, ATU 56240311</t>
        </is>
      </c>
      <c r="Q193" s="76" t="n"/>
      <c r="R193" t="b">
        <v>0</v>
      </c>
      <c r="S193" s="214" t="n">
        <v>3.58</v>
      </c>
      <c r="T193" s="159" t="n">
        <v>1</v>
      </c>
      <c r="U193" t="n">
        <v>20</v>
      </c>
      <c r="V193" s="237" t="n">
        <v>0.716</v>
      </c>
      <c r="W193" s="237" t="n">
        <v>0.716</v>
      </c>
      <c r="X193" s="208" t="n">
        <v>3.58</v>
      </c>
      <c r="Y193" s="251" t="n">
        <v>4.296</v>
      </c>
      <c r="Z193" s="251" t="n">
        <v>4.296</v>
      </c>
      <c r="AA193" s="35" t="n">
        <v>44607</v>
      </c>
      <c r="AB193" s="27" t="n"/>
      <c r="AC193" s="27" t="n"/>
      <c r="AD193" s="210" t="n">
        <v>3.58</v>
      </c>
      <c r="AE193" s="237" t="n">
        <v>0</v>
      </c>
      <c r="AF193" t="b">
        <v>0</v>
      </c>
      <c r="AG193" s="228" t="n">
        <v>-3.58</v>
      </c>
    </row>
    <row r="194">
      <c r="A194">
        <f>I194&amp;"-"&amp;J194</f>
        <v/>
      </c>
      <c r="B194" s="1">
        <f>N194</f>
        <v/>
      </c>
      <c r="C194">
        <f>M194&amp;"/"&amp;O194</f>
        <v/>
      </c>
      <c r="D194">
        <f>K194</f>
        <v/>
      </c>
      <c r="E194">
        <f>L194</f>
        <v/>
      </c>
      <c r="F194" s="236">
        <f>Z194</f>
        <v/>
      </c>
      <c r="G194">
        <f>U194&amp;"%"</f>
        <v/>
      </c>
      <c r="I194" s="53" t="n">
        <v>2021</v>
      </c>
      <c r="J194" s="53" t="n">
        <v>193</v>
      </c>
      <c r="K194" s="71" t="inlineStr">
        <is>
          <t>Ausgaben</t>
        </is>
      </c>
      <c r="L194" t="inlineStr">
        <is>
          <t>Büromaterial</t>
        </is>
      </c>
      <c r="M194" s="9" t="inlineStr">
        <is>
          <t>0893-20211118-01-8116</t>
        </is>
      </c>
      <c r="N194" s="1" t="n">
        <v>44518</v>
      </c>
      <c r="O194" t="inlineStr">
        <is>
          <t>"Libro" PL Handelsgesellschaft mbH, 1080 Wien, Josefstädter Straße 105, ATU 56240311</t>
        </is>
      </c>
      <c r="Q194" s="76" t="n"/>
      <c r="R194" t="b">
        <v>0</v>
      </c>
      <c r="S194" s="214" t="n">
        <v>10.32</v>
      </c>
      <c r="T194" s="159" t="n">
        <v>1</v>
      </c>
      <c r="U194" t="n">
        <v>20</v>
      </c>
      <c r="V194" s="237" t="n">
        <v>2.064</v>
      </c>
      <c r="W194" s="237" t="n">
        <v>2.064</v>
      </c>
      <c r="X194" s="208" t="n">
        <v>10.32</v>
      </c>
      <c r="Y194" s="251" t="n">
        <v>12.384</v>
      </c>
      <c r="Z194" s="251" t="n">
        <v>12.384</v>
      </c>
      <c r="AA194" s="35" t="n">
        <v>44607</v>
      </c>
      <c r="AB194" s="27" t="n"/>
      <c r="AC194" s="27" t="n"/>
      <c r="AD194" s="210" t="n">
        <v>10.32</v>
      </c>
      <c r="AE194" s="237" t="n">
        <v>0</v>
      </c>
      <c r="AF194" t="b">
        <v>0</v>
      </c>
      <c r="AG194" s="228" t="n">
        <v>-10.32</v>
      </c>
    </row>
    <row r="195">
      <c r="F195" s="236" t="n"/>
    </row>
    <row r="196">
      <c r="F196" s="236" t="n"/>
    </row>
    <row r="197">
      <c r="F197" s="236" t="n"/>
    </row>
    <row r="198">
      <c r="F198" s="236" t="n"/>
    </row>
    <row r="199">
      <c r="F199" s="236" t="n"/>
    </row>
    <row r="200">
      <c r="F200" s="236" t="n"/>
    </row>
    <row r="201">
      <c r="F201" s="236" t="n"/>
    </row>
    <row r="202">
      <c r="F202" s="236" t="n"/>
    </row>
    <row r="203">
      <c r="F203" s="236" t="n"/>
    </row>
    <row r="204">
      <c r="F204" s="236" t="n"/>
    </row>
    <row r="205">
      <c r="F205" s="236" t="n"/>
    </row>
    <row r="206">
      <c r="F206" s="236" t="n"/>
    </row>
    <row r="207">
      <c r="F207" s="236" t="n"/>
    </row>
    <row r="208">
      <c r="F208" s="236" t="n"/>
    </row>
    <row r="209">
      <c r="F209" s="236" t="n"/>
    </row>
    <row r="210">
      <c r="F210" s="236" t="n"/>
    </row>
    <row r="211">
      <c r="F211" s="236" t="n"/>
    </row>
    <row r="212">
      <c r="F212" s="236" t="n"/>
    </row>
    <row r="213">
      <c r="F213" s="236" t="n"/>
    </row>
    <row r="214">
      <c r="F214" s="236" t="n"/>
    </row>
    <row r="215">
      <c r="F215" s="236" t="n"/>
    </row>
    <row r="216">
      <c r="F216" s="236" t="n"/>
    </row>
    <row r="217">
      <c r="F217" s="236" t="n"/>
    </row>
    <row r="218">
      <c r="F218" s="236" t="n"/>
    </row>
    <row r="219">
      <c r="F219" s="236" t="n"/>
    </row>
    <row r="220">
      <c r="F220" s="236" t="n"/>
    </row>
    <row r="221">
      <c r="F221" s="236" t="n"/>
    </row>
  </sheetData>
  <autoFilter ref="A1:G197"/>
  <conditionalFormatting sqref="D1">
    <cfRule type="containsText" priority="12165" operator="containsText" dxfId="1" text="Einnahmen">
      <formula>NOT(ISERROR(SEARCH("Einnahmen",D1)))</formula>
    </cfRule>
    <cfRule type="containsText" priority="12166" operator="containsText" dxfId="0" text="Ausgaben">
      <formula>NOT(ISERROR(SEARCH("Ausgaben",D1)))</formula>
    </cfRule>
  </conditionalFormatting>
  <conditionalFormatting sqref="B1">
    <cfRule type="expression" priority="12164" dxfId="2">
      <formula>ISBLANK(#REF!)</formula>
    </cfRule>
  </conditionalFormatting>
  <conditionalFormatting sqref="M9:M10 M12 M14 M18 M27 M37 M51 M53 M55 M61 M66 M70:M71 M107 M109:M110 M153 M156 M168 M192:M193">
    <cfRule type="expression" priority="1560" dxfId="1390">
      <formula>ISBLANK(M9)</formula>
    </cfRule>
  </conditionalFormatting>
  <conditionalFormatting sqref="K2 K9:K10 K12 K14 K18 K27 K34:K35 K37 K51 K53 K55 K61 K71 K93 K95">
    <cfRule type="containsText" priority="1558" operator="containsText" dxfId="1" text="Einnahmen">
      <formula>NOT(ISERROR(SEARCH("Einnahmen",K2)))</formula>
    </cfRule>
    <cfRule type="containsText" priority="1559" operator="containsText" dxfId="0" text="Ausgaben">
      <formula>NOT(ISERROR(SEARCH("Ausgaben",K2)))</formula>
    </cfRule>
  </conditionalFormatting>
  <conditionalFormatting sqref="M2">
    <cfRule type="expression" priority="1557" dxfId="1390">
      <formula>ISBLANK(M2)</formula>
    </cfRule>
  </conditionalFormatting>
  <conditionalFormatting sqref="K3">
    <cfRule type="containsText" priority="1555" operator="containsText" dxfId="1" text="Einnahmen">
      <formula>NOT(ISERROR(SEARCH("Einnahmen",K3)))</formula>
    </cfRule>
    <cfRule type="containsText" priority="1556" operator="containsText" dxfId="0" text="Ausgaben">
      <formula>NOT(ISERROR(SEARCH("Ausgaben",K3)))</formula>
    </cfRule>
  </conditionalFormatting>
  <conditionalFormatting sqref="K4">
    <cfRule type="containsText" priority="1553" operator="containsText" dxfId="1" text="Einnahmen">
      <formula>NOT(ISERROR(SEARCH("Einnahmen",K4)))</formula>
    </cfRule>
    <cfRule type="containsText" priority="1554" operator="containsText" dxfId="0" text="Ausgaben">
      <formula>NOT(ISERROR(SEARCH("Ausgaben",K4)))</formula>
    </cfRule>
  </conditionalFormatting>
  <conditionalFormatting sqref="M4">
    <cfRule type="expression" priority="1552" dxfId="1390">
      <formula>ISBLANK(M4)</formula>
    </cfRule>
  </conditionalFormatting>
  <conditionalFormatting sqref="K5">
    <cfRule type="containsText" priority="1550" operator="containsText" dxfId="1" text="Einnahmen">
      <formula>NOT(ISERROR(SEARCH("Einnahmen",K5)))</formula>
    </cfRule>
    <cfRule type="containsText" priority="1551" operator="containsText" dxfId="0" text="Ausgaben">
      <formula>NOT(ISERROR(SEARCH("Ausgaben",K5)))</formula>
    </cfRule>
  </conditionalFormatting>
  <conditionalFormatting sqref="K6">
    <cfRule type="containsText" priority="1548" operator="containsText" dxfId="1" text="Einnahmen">
      <formula>NOT(ISERROR(SEARCH("Einnahmen",K6)))</formula>
    </cfRule>
    <cfRule type="containsText" priority="1549" operator="containsText" dxfId="0" text="Ausgaben">
      <formula>NOT(ISERROR(SEARCH("Ausgaben",K6)))</formula>
    </cfRule>
  </conditionalFormatting>
  <conditionalFormatting sqref="K8">
    <cfRule type="containsText" priority="1546" operator="containsText" dxfId="1" text="Einnahmen">
      <formula>NOT(ISERROR(SEARCH("Einnahmen",K8)))</formula>
    </cfRule>
    <cfRule type="containsText" priority="1547" operator="containsText" dxfId="0" text="Ausgaben">
      <formula>NOT(ISERROR(SEARCH("Ausgaben",K8)))</formula>
    </cfRule>
    <cfRule type="containsText" priority="1543" operator="containsText" dxfId="1" text="Einnahmen">
      <formula>NOT(ISERROR(SEARCH("Einnahmen",K8)))</formula>
    </cfRule>
    <cfRule type="containsText" priority="1544" operator="containsText" dxfId="0" text="Ausgaben">
      <formula>NOT(ISERROR(SEARCH("Ausgaben",K8)))</formula>
    </cfRule>
    <cfRule type="containsText" priority="1537" operator="containsText" dxfId="1" text="Einnahmen">
      <formula>NOT(ISERROR(SEARCH("Einnahmen",K8)))</formula>
    </cfRule>
    <cfRule type="containsText" priority="1538" operator="containsText" dxfId="0" text="Ausgaben">
      <formula>NOT(ISERROR(SEARCH("Ausgaben",K8)))</formula>
    </cfRule>
    <cfRule type="containsText" priority="1531" operator="containsText" dxfId="1" text="Einnahmen">
      <formula>NOT(ISERROR(SEARCH("Einnahmen",K8)))</formula>
    </cfRule>
    <cfRule type="containsText" priority="1532" operator="containsText" dxfId="0" text="Ausgaben">
      <formula>NOT(ISERROR(SEARCH("Ausgaben",K8)))</formula>
    </cfRule>
  </conditionalFormatting>
  <conditionalFormatting sqref="M8">
    <cfRule type="expression" priority="1545" dxfId="1390">
      <formula>ISBLANK(M8)</formula>
    </cfRule>
    <cfRule type="expression" priority="1542" dxfId="1390">
      <formula>ISBLANK(M8)</formula>
    </cfRule>
    <cfRule type="expression" priority="1536" dxfId="1390">
      <formula>ISBLANK(M8)</formula>
    </cfRule>
    <cfRule type="expression" priority="1530" dxfId="1390">
      <formula>ISBLANK(M8)</formula>
    </cfRule>
  </conditionalFormatting>
  <conditionalFormatting sqref="K9">
    <cfRule type="containsText" priority="1540" operator="containsText" dxfId="1" text="Einnahmen">
      <formula>NOT(ISERROR(SEARCH("Einnahmen",K9)))</formula>
    </cfRule>
    <cfRule type="containsText" priority="1541" operator="containsText" dxfId="0" text="Ausgaben">
      <formula>NOT(ISERROR(SEARCH("Ausgaben",K9)))</formula>
    </cfRule>
    <cfRule type="containsText" priority="1534" operator="containsText" dxfId="1" text="Einnahmen">
      <formula>NOT(ISERROR(SEARCH("Einnahmen",K9)))</formula>
    </cfRule>
    <cfRule type="containsText" priority="1535" operator="containsText" dxfId="0" text="Ausgaben">
      <formula>NOT(ISERROR(SEARCH("Ausgaben",K9)))</formula>
    </cfRule>
    <cfRule type="containsText" priority="1528" operator="containsText" dxfId="1" text="Einnahmen">
      <formula>NOT(ISERROR(SEARCH("Einnahmen",K9)))</formula>
    </cfRule>
    <cfRule type="containsText" priority="1529" operator="containsText" dxfId="0" text="Ausgaben">
      <formula>NOT(ISERROR(SEARCH("Ausgaben",K9)))</formula>
    </cfRule>
  </conditionalFormatting>
  <conditionalFormatting sqref="M9">
    <cfRule type="expression" priority="1539" dxfId="1390">
      <formula>ISBLANK(M9)</formula>
    </cfRule>
    <cfRule type="expression" priority="1533" dxfId="1390">
      <formula>ISBLANK(M9)</formula>
    </cfRule>
    <cfRule type="expression" priority="1527" dxfId="1390">
      <formula>ISBLANK(M9)</formula>
    </cfRule>
  </conditionalFormatting>
  <conditionalFormatting sqref="K10">
    <cfRule type="containsText" priority="1525" operator="containsText" dxfId="1" text="Einnahmen">
      <formula>NOT(ISERROR(SEARCH("Einnahmen",K10)))</formula>
    </cfRule>
    <cfRule type="containsText" priority="1526" operator="containsText" dxfId="0" text="Ausgaben">
      <formula>NOT(ISERROR(SEARCH("Ausgaben",K10)))</formula>
    </cfRule>
  </conditionalFormatting>
  <conditionalFormatting sqref="M10">
    <cfRule type="expression" priority="1524" dxfId="1390">
      <formula>ISBLANK(M10)</formula>
    </cfRule>
  </conditionalFormatting>
  <conditionalFormatting sqref="M7">
    <cfRule type="expression" priority="1523" dxfId="1390">
      <formula>ISBLANK(M7)</formula>
    </cfRule>
  </conditionalFormatting>
  <conditionalFormatting sqref="K7">
    <cfRule type="containsText" priority="1521" operator="containsText" dxfId="1" text="Einnahmen">
      <formula>NOT(ISERROR(SEARCH("Einnahmen",K7)))</formula>
    </cfRule>
    <cfRule type="containsText" priority="1522" operator="containsText" dxfId="0" text="Ausgaben">
      <formula>NOT(ISERROR(SEARCH("Ausgaben",K7)))</formula>
    </cfRule>
  </conditionalFormatting>
  <conditionalFormatting sqref="M5">
    <cfRule type="expression" priority="1520" dxfId="1390">
      <formula>ISBLANK(M5)</formula>
    </cfRule>
  </conditionalFormatting>
  <conditionalFormatting sqref="K11">
    <cfRule type="containsText" priority="1518" operator="containsText" dxfId="1" text="Einnahmen">
      <formula>NOT(ISERROR(SEARCH("Einnahmen",K11)))</formula>
    </cfRule>
    <cfRule type="containsText" priority="1519" operator="containsText" dxfId="0" text="Ausgaben">
      <formula>NOT(ISERROR(SEARCH("Ausgaben",K11)))</formula>
    </cfRule>
  </conditionalFormatting>
  <conditionalFormatting sqref="M11">
    <cfRule type="expression" priority="1517" dxfId="1390">
      <formula>ISBLANK(M11)</formula>
    </cfRule>
  </conditionalFormatting>
  <conditionalFormatting sqref="M13">
    <cfRule type="expression" priority="1516" dxfId="1390">
      <formula>ISBLANK(M13)</formula>
    </cfRule>
  </conditionalFormatting>
  <conditionalFormatting sqref="K13">
    <cfRule type="containsText" priority="1514" operator="containsText" dxfId="1" text="Einnahmen">
      <formula>NOT(ISERROR(SEARCH("Einnahmen",K13)))</formula>
    </cfRule>
    <cfRule type="containsText" priority="1515" operator="containsText" dxfId="0" text="Ausgaben">
      <formula>NOT(ISERROR(SEARCH("Ausgaben",K13)))</formula>
    </cfRule>
  </conditionalFormatting>
  <conditionalFormatting sqref="K15">
    <cfRule type="containsText" priority="1512" operator="containsText" dxfId="1" text="Einnahmen">
      <formula>NOT(ISERROR(SEARCH("Einnahmen",K15)))</formula>
    </cfRule>
    <cfRule type="containsText" priority="1513" operator="containsText" dxfId="0" text="Ausgaben">
      <formula>NOT(ISERROR(SEARCH("Ausgaben",K15)))</formula>
    </cfRule>
  </conditionalFormatting>
  <conditionalFormatting sqref="M15">
    <cfRule type="expression" priority="1511" dxfId="1390">
      <formula>ISBLANK(M15)</formula>
    </cfRule>
  </conditionalFormatting>
  <conditionalFormatting sqref="K16">
    <cfRule type="containsText" priority="1509" operator="containsText" dxfId="1" text="Einnahmen">
      <formula>NOT(ISERROR(SEARCH("Einnahmen",K16)))</formula>
    </cfRule>
    <cfRule type="containsText" priority="1510" operator="containsText" dxfId="0" text="Ausgaben">
      <formula>NOT(ISERROR(SEARCH("Ausgaben",K16)))</formula>
    </cfRule>
  </conditionalFormatting>
  <conditionalFormatting sqref="K17">
    <cfRule type="containsText" priority="1507" operator="containsText" dxfId="1" text="Einnahmen">
      <formula>NOT(ISERROR(SEARCH("Einnahmen",K17)))</formula>
    </cfRule>
    <cfRule type="containsText" priority="1508" operator="containsText" dxfId="0" text="Ausgaben">
      <formula>NOT(ISERROR(SEARCH("Ausgaben",K17)))</formula>
    </cfRule>
  </conditionalFormatting>
  <conditionalFormatting sqref="M17">
    <cfRule type="expression" priority="1506" dxfId="1390">
      <formula>ISBLANK(M17)</formula>
    </cfRule>
  </conditionalFormatting>
  <conditionalFormatting sqref="M19">
    <cfRule type="expression" priority="1505" dxfId="1390">
      <formula>ISBLANK(M19)</formula>
    </cfRule>
  </conditionalFormatting>
  <conditionalFormatting sqref="K19">
    <cfRule type="containsText" priority="1503" operator="containsText" dxfId="1" text="Einnahmen">
      <formula>NOT(ISERROR(SEARCH("Einnahmen",K19)))</formula>
    </cfRule>
    <cfRule type="containsText" priority="1504" operator="containsText" dxfId="0" text="Ausgaben">
      <formula>NOT(ISERROR(SEARCH("Ausgaben",K19)))</formula>
    </cfRule>
  </conditionalFormatting>
  <conditionalFormatting sqref="K20">
    <cfRule type="containsText" priority="1501" operator="containsText" dxfId="1" text="Einnahmen">
      <formula>NOT(ISERROR(SEARCH("Einnahmen",K20)))</formula>
    </cfRule>
    <cfRule type="containsText" priority="1502" operator="containsText" dxfId="0" text="Ausgaben">
      <formula>NOT(ISERROR(SEARCH("Ausgaben",K20)))</formula>
    </cfRule>
  </conditionalFormatting>
  <conditionalFormatting sqref="M20">
    <cfRule type="expression" priority="1500" dxfId="1390">
      <formula>ISBLANK(M20)</formula>
    </cfRule>
  </conditionalFormatting>
  <conditionalFormatting sqref="K21">
    <cfRule type="containsText" priority="1498" operator="containsText" dxfId="1" text="Einnahmen">
      <formula>NOT(ISERROR(SEARCH("Einnahmen",K21)))</formula>
    </cfRule>
    <cfRule type="containsText" priority="1499" operator="containsText" dxfId="0" text="Ausgaben">
      <formula>NOT(ISERROR(SEARCH("Ausgaben",K21)))</formula>
    </cfRule>
  </conditionalFormatting>
  <conditionalFormatting sqref="M21">
    <cfRule type="expression" priority="1497" dxfId="1390">
      <formula>ISBLANK(M21)</formula>
    </cfRule>
  </conditionalFormatting>
  <conditionalFormatting sqref="K22">
    <cfRule type="containsText" priority="1495" operator="containsText" dxfId="1" text="Einnahmen">
      <formula>NOT(ISERROR(SEARCH("Einnahmen",K22)))</formula>
    </cfRule>
    <cfRule type="containsText" priority="1496" operator="containsText" dxfId="0" text="Ausgaben">
      <formula>NOT(ISERROR(SEARCH("Ausgaben",K22)))</formula>
    </cfRule>
  </conditionalFormatting>
  <conditionalFormatting sqref="K23">
    <cfRule type="containsText" priority="1493" operator="containsText" dxfId="1" text="Einnahmen">
      <formula>NOT(ISERROR(SEARCH("Einnahmen",K23)))</formula>
    </cfRule>
    <cfRule type="containsText" priority="1494" operator="containsText" dxfId="0" text="Ausgaben">
      <formula>NOT(ISERROR(SEARCH("Ausgaben",K23)))</formula>
    </cfRule>
  </conditionalFormatting>
  <conditionalFormatting sqref="K24">
    <cfRule type="containsText" priority="1491" operator="containsText" dxfId="1" text="Einnahmen">
      <formula>NOT(ISERROR(SEARCH("Einnahmen",K24)))</formula>
    </cfRule>
    <cfRule type="containsText" priority="1492" operator="containsText" dxfId="0" text="Ausgaben">
      <formula>NOT(ISERROR(SEARCH("Ausgaben",K24)))</formula>
    </cfRule>
  </conditionalFormatting>
  <conditionalFormatting sqref="K25">
    <cfRule type="containsText" priority="1489" operator="containsText" dxfId="1" text="Einnahmen">
      <formula>NOT(ISERROR(SEARCH("Einnahmen",K25)))</formula>
    </cfRule>
    <cfRule type="containsText" priority="1490" operator="containsText" dxfId="0" text="Ausgaben">
      <formula>NOT(ISERROR(SEARCH("Ausgaben",K25)))</formula>
    </cfRule>
  </conditionalFormatting>
  <conditionalFormatting sqref="M26">
    <cfRule type="expression" priority="1488" dxfId="1390">
      <formula>ISBLANK(M26)</formula>
    </cfRule>
    <cfRule type="expression" priority="1487" dxfId="1390">
      <formula>ISBLANK(M26)</formula>
    </cfRule>
  </conditionalFormatting>
  <conditionalFormatting sqref="M27">
    <cfRule type="expression" priority="1486" dxfId="1390">
      <formula>ISBLANK(M27)</formula>
    </cfRule>
  </conditionalFormatting>
  <conditionalFormatting sqref="K28">
    <cfRule type="containsText" priority="1484" operator="containsText" dxfId="1" text="Einnahmen">
      <formula>NOT(ISERROR(SEARCH("Einnahmen",K28)))</formula>
    </cfRule>
    <cfRule type="containsText" priority="1485" operator="containsText" dxfId="0" text="Ausgaben">
      <formula>NOT(ISERROR(SEARCH("Ausgaben",K28)))</formula>
    </cfRule>
  </conditionalFormatting>
  <conditionalFormatting sqref="M28">
    <cfRule type="expression" priority="1483" dxfId="1390">
      <formula>ISBLANK(M28)</formula>
    </cfRule>
  </conditionalFormatting>
  <conditionalFormatting sqref="M29">
    <cfRule type="expression" priority="1482" dxfId="1390">
      <formula>ISBLANK(M29)</formula>
    </cfRule>
  </conditionalFormatting>
  <conditionalFormatting sqref="K29">
    <cfRule type="containsText" priority="1480" operator="containsText" dxfId="1" text="Einnahmen">
      <formula>NOT(ISERROR(SEARCH("Einnahmen",K29)))</formula>
    </cfRule>
    <cfRule type="containsText" priority="1481" operator="containsText" dxfId="0" text="Ausgaben">
      <formula>NOT(ISERROR(SEARCH("Ausgaben",K29)))</formula>
    </cfRule>
  </conditionalFormatting>
  <conditionalFormatting sqref="M30">
    <cfRule type="expression" priority="1479" dxfId="1390">
      <formula>ISBLANK(M30)</formula>
    </cfRule>
  </conditionalFormatting>
  <conditionalFormatting sqref="K30">
    <cfRule type="containsText" priority="1477" operator="containsText" dxfId="1" text="Einnahmen">
      <formula>NOT(ISERROR(SEARCH("Einnahmen",K30)))</formula>
    </cfRule>
    <cfRule type="containsText" priority="1478" operator="containsText" dxfId="0" text="Ausgaben">
      <formula>NOT(ISERROR(SEARCH("Ausgaben",K30)))</formula>
    </cfRule>
  </conditionalFormatting>
  <conditionalFormatting sqref="K26">
    <cfRule type="containsText" priority="1475" operator="containsText" dxfId="1" text="Einnahmen">
      <formula>NOT(ISERROR(SEARCH("Einnahmen",K26)))</formula>
    </cfRule>
    <cfRule type="containsText" priority="1476" operator="containsText" dxfId="0" text="Ausgaben">
      <formula>NOT(ISERROR(SEARCH("Ausgaben",K26)))</formula>
    </cfRule>
  </conditionalFormatting>
  <conditionalFormatting sqref="K31">
    <cfRule type="containsText" priority="1473" operator="containsText" dxfId="1" text="Einnahmen">
      <formula>NOT(ISERROR(SEARCH("Einnahmen",K31)))</formula>
    </cfRule>
    <cfRule type="containsText" priority="1474" operator="containsText" dxfId="0" text="Ausgaben">
      <formula>NOT(ISERROR(SEARCH("Ausgaben",K31)))</formula>
    </cfRule>
  </conditionalFormatting>
  <conditionalFormatting sqref="M32">
    <cfRule type="expression" priority="1472" dxfId="1390">
      <formula>ISBLANK(M32)</formula>
    </cfRule>
  </conditionalFormatting>
  <conditionalFormatting sqref="K32">
    <cfRule type="containsText" priority="1470" operator="containsText" dxfId="1" text="Einnahmen">
      <formula>NOT(ISERROR(SEARCH("Einnahmen",K32)))</formula>
    </cfRule>
    <cfRule type="containsText" priority="1471" operator="containsText" dxfId="0" text="Ausgaben">
      <formula>NOT(ISERROR(SEARCH("Ausgaben",K32)))</formula>
    </cfRule>
  </conditionalFormatting>
  <conditionalFormatting sqref="K33">
    <cfRule type="containsText" priority="1468" operator="containsText" dxfId="1" text="Einnahmen">
      <formula>NOT(ISERROR(SEARCH("Einnahmen",K33)))</formula>
    </cfRule>
    <cfRule type="containsText" priority="1469" operator="containsText" dxfId="0" text="Ausgaben">
      <formula>NOT(ISERROR(SEARCH("Ausgaben",K33)))</formula>
    </cfRule>
  </conditionalFormatting>
  <conditionalFormatting sqref="M34">
    <cfRule type="expression" priority="1467" dxfId="1390">
      <formula>ISBLANK(M34)</formula>
    </cfRule>
  </conditionalFormatting>
  <conditionalFormatting sqref="M35">
    <cfRule type="expression" priority="1466" dxfId="1390">
      <formula>ISBLANK(M35)</formula>
    </cfRule>
  </conditionalFormatting>
  <conditionalFormatting sqref="K36">
    <cfRule type="containsText" priority="1464" operator="containsText" dxfId="1" text="Einnahmen">
      <formula>NOT(ISERROR(SEARCH("Einnahmen",K36)))</formula>
    </cfRule>
    <cfRule type="containsText" priority="1465" operator="containsText" dxfId="0" text="Ausgaben">
      <formula>NOT(ISERROR(SEARCH("Ausgaben",K36)))</formula>
    </cfRule>
  </conditionalFormatting>
  <conditionalFormatting sqref="M38">
    <cfRule type="expression" priority="1463" dxfId="1390">
      <formula>ISBLANK(M38)</formula>
    </cfRule>
  </conditionalFormatting>
  <conditionalFormatting sqref="K38">
    <cfRule type="containsText" priority="1461" operator="containsText" dxfId="1" text="Einnahmen">
      <formula>NOT(ISERROR(SEARCH("Einnahmen",K38)))</formula>
    </cfRule>
    <cfRule type="containsText" priority="1462" operator="containsText" dxfId="0" text="Ausgaben">
      <formula>NOT(ISERROR(SEARCH("Ausgaben",K38)))</formula>
    </cfRule>
  </conditionalFormatting>
  <conditionalFormatting sqref="K39">
    <cfRule type="containsText" priority="1459" operator="containsText" dxfId="1" text="Einnahmen">
      <formula>NOT(ISERROR(SEARCH("Einnahmen",K39)))</formula>
    </cfRule>
    <cfRule type="containsText" priority="1460" operator="containsText" dxfId="0" text="Ausgaben">
      <formula>NOT(ISERROR(SEARCH("Ausgaben",K39)))</formula>
    </cfRule>
  </conditionalFormatting>
  <conditionalFormatting sqref="K40">
    <cfRule type="containsText" priority="1457" operator="containsText" dxfId="1" text="Einnahmen">
      <formula>NOT(ISERROR(SEARCH("Einnahmen",K40)))</formula>
    </cfRule>
    <cfRule type="containsText" priority="1458" operator="containsText" dxfId="0" text="Ausgaben">
      <formula>NOT(ISERROR(SEARCH("Ausgaben",K40)))</formula>
    </cfRule>
  </conditionalFormatting>
  <conditionalFormatting sqref="K41">
    <cfRule type="containsText" priority="1455" operator="containsText" dxfId="1" text="Einnahmen">
      <formula>NOT(ISERROR(SEARCH("Einnahmen",K41)))</formula>
    </cfRule>
    <cfRule type="containsText" priority="1456" operator="containsText" dxfId="0" text="Ausgaben">
      <formula>NOT(ISERROR(SEARCH("Ausgaben",K41)))</formula>
    </cfRule>
  </conditionalFormatting>
  <conditionalFormatting sqref="K42">
    <cfRule type="containsText" priority="1453" operator="containsText" dxfId="1" text="Einnahmen">
      <formula>NOT(ISERROR(SEARCH("Einnahmen",K42)))</formula>
    </cfRule>
    <cfRule type="containsText" priority="1454" operator="containsText" dxfId="0" text="Ausgaben">
      <formula>NOT(ISERROR(SEARCH("Ausgaben",K42)))</formula>
    </cfRule>
  </conditionalFormatting>
  <conditionalFormatting sqref="M42">
    <cfRule type="expression" priority="1452" dxfId="1390">
      <formula>ISBLANK(M42)</formula>
    </cfRule>
  </conditionalFormatting>
  <conditionalFormatting sqref="M43">
    <cfRule type="expression" priority="1451" dxfId="1390">
      <formula>ISBLANK(M43)</formula>
    </cfRule>
    <cfRule type="expression" priority="1450" dxfId="1390">
      <formula>ISBLANK(M43)</formula>
    </cfRule>
  </conditionalFormatting>
  <conditionalFormatting sqref="K43">
    <cfRule type="containsText" priority="1448" operator="containsText" dxfId="1" text="Einnahmen">
      <formula>NOT(ISERROR(SEARCH("Einnahmen",K43)))</formula>
    </cfRule>
    <cfRule type="containsText" priority="1449" operator="containsText" dxfId="0" text="Ausgaben">
      <formula>NOT(ISERROR(SEARCH("Ausgaben",K43)))</formula>
    </cfRule>
  </conditionalFormatting>
  <conditionalFormatting sqref="M44">
    <cfRule type="expression" priority="1447" dxfId="1390">
      <formula>ISBLANK(M44)</formula>
    </cfRule>
    <cfRule type="expression" priority="1444" dxfId="1390">
      <formula>ISBLANK(M44)</formula>
    </cfRule>
  </conditionalFormatting>
  <conditionalFormatting sqref="K44">
    <cfRule type="containsText" priority="1445" operator="containsText" dxfId="1" text="Einnahmen">
      <formula>NOT(ISERROR(SEARCH("Einnahmen",K44)))</formula>
    </cfRule>
    <cfRule type="containsText" priority="1446" operator="containsText" dxfId="0" text="Ausgaben">
      <formula>NOT(ISERROR(SEARCH("Ausgaben",K44)))</formula>
    </cfRule>
  </conditionalFormatting>
  <conditionalFormatting sqref="M45">
    <cfRule type="expression" priority="1443" dxfId="1390">
      <formula>ISBLANK(M45)</formula>
    </cfRule>
  </conditionalFormatting>
  <conditionalFormatting sqref="K45">
    <cfRule type="containsText" priority="1441" operator="containsText" dxfId="1" text="Einnahmen">
      <formula>NOT(ISERROR(SEARCH("Einnahmen",K45)))</formula>
    </cfRule>
    <cfRule type="containsText" priority="1442" operator="containsText" dxfId="0" text="Ausgaben">
      <formula>NOT(ISERROR(SEARCH("Ausgaben",K45)))</formula>
    </cfRule>
  </conditionalFormatting>
  <conditionalFormatting sqref="K46">
    <cfRule type="containsText" priority="1439" operator="containsText" dxfId="1" text="Einnahmen">
      <formula>NOT(ISERROR(SEARCH("Einnahmen",K46)))</formula>
    </cfRule>
    <cfRule type="containsText" priority="1440" operator="containsText" dxfId="0" text="Ausgaben">
      <formula>NOT(ISERROR(SEARCH("Ausgaben",K46)))</formula>
    </cfRule>
  </conditionalFormatting>
  <conditionalFormatting sqref="M47">
    <cfRule type="expression" priority="1438" dxfId="1390">
      <formula>ISBLANK(M47)</formula>
    </cfRule>
  </conditionalFormatting>
  <conditionalFormatting sqref="K47">
    <cfRule type="containsText" priority="1436" operator="containsText" dxfId="1" text="Einnahmen">
      <formula>NOT(ISERROR(SEARCH("Einnahmen",K47)))</formula>
    </cfRule>
    <cfRule type="containsText" priority="1437" operator="containsText" dxfId="0" text="Ausgaben">
      <formula>NOT(ISERROR(SEARCH("Ausgaben",K47)))</formula>
    </cfRule>
  </conditionalFormatting>
  <conditionalFormatting sqref="K48">
    <cfRule type="containsText" priority="1434" operator="containsText" dxfId="1" text="Einnahmen">
      <formula>NOT(ISERROR(SEARCH("Einnahmen",K48)))</formula>
    </cfRule>
    <cfRule type="containsText" priority="1435" operator="containsText" dxfId="0" text="Ausgaben">
      <formula>NOT(ISERROR(SEARCH("Ausgaben",K48)))</formula>
    </cfRule>
  </conditionalFormatting>
  <conditionalFormatting sqref="M48">
    <cfRule type="expression" priority="1433" dxfId="1390">
      <formula>ISBLANK(M48)</formula>
    </cfRule>
  </conditionalFormatting>
  <conditionalFormatting sqref="K49">
    <cfRule type="containsText" priority="1431" operator="containsText" dxfId="1" text="Einnahmen">
      <formula>NOT(ISERROR(SEARCH("Einnahmen",K49)))</formula>
    </cfRule>
    <cfRule type="containsText" priority="1432" operator="containsText" dxfId="0" text="Ausgaben">
      <formula>NOT(ISERROR(SEARCH("Ausgaben",K49)))</formula>
    </cfRule>
  </conditionalFormatting>
  <conditionalFormatting sqref="M49">
    <cfRule type="expression" priority="1430" dxfId="1390">
      <formula>ISBLANK(M49)</formula>
    </cfRule>
  </conditionalFormatting>
  <conditionalFormatting sqref="M25">
    <cfRule type="expression" priority="1429" dxfId="1390">
      <formula>ISBLANK(M25)</formula>
    </cfRule>
    <cfRule type="expression" priority="1428" dxfId="1390">
      <formula>ISBLANK(M25)</formula>
    </cfRule>
    <cfRule type="expression" priority="1427" dxfId="1390">
      <formula>ISBLANK(M25)</formula>
    </cfRule>
    <cfRule type="expression" priority="1426" dxfId="1390">
      <formula>ISBLANK(M25)</formula>
    </cfRule>
  </conditionalFormatting>
  <conditionalFormatting sqref="M33">
    <cfRule type="expression" priority="1425" dxfId="1390">
      <formula>ISBLANK(M33)</formula>
    </cfRule>
    <cfRule type="expression" priority="1424" dxfId="1390">
      <formula>ISBLANK(M33)</formula>
    </cfRule>
    <cfRule type="expression" priority="1423" dxfId="1390">
      <formula>ISBLANK(M33)</formula>
    </cfRule>
    <cfRule type="expression" priority="1422" dxfId="1390">
      <formula>ISBLANK(M33)</formula>
    </cfRule>
  </conditionalFormatting>
  <conditionalFormatting sqref="M40">
    <cfRule type="expression" priority="1421" dxfId="1390">
      <formula>ISBLANK(M40)</formula>
    </cfRule>
    <cfRule type="expression" priority="1420" dxfId="1390">
      <formula>ISBLANK(M40)</formula>
    </cfRule>
    <cfRule type="expression" priority="1419" dxfId="1390">
      <formula>ISBLANK(M40)</formula>
    </cfRule>
    <cfRule type="expression" priority="1418" dxfId="1390">
      <formula>ISBLANK(M40)</formula>
    </cfRule>
  </conditionalFormatting>
  <conditionalFormatting sqref="M50">
    <cfRule type="expression" priority="1417" dxfId="1390">
      <formula>ISBLANK(M50)</formula>
    </cfRule>
  </conditionalFormatting>
  <conditionalFormatting sqref="K50">
    <cfRule type="containsText" priority="1415" operator="containsText" dxfId="1" text="Einnahmen">
      <formula>NOT(ISERROR(SEARCH("Einnahmen",K50)))</formula>
    </cfRule>
    <cfRule type="containsText" priority="1416" operator="containsText" dxfId="0" text="Ausgaben">
      <formula>NOT(ISERROR(SEARCH("Ausgaben",K50)))</formula>
    </cfRule>
  </conditionalFormatting>
  <conditionalFormatting sqref="K52">
    <cfRule type="containsText" priority="1413" operator="containsText" dxfId="1" text="Einnahmen">
      <formula>NOT(ISERROR(SEARCH("Einnahmen",K52)))</formula>
    </cfRule>
    <cfRule type="containsText" priority="1414" operator="containsText" dxfId="0" text="Ausgaben">
      <formula>NOT(ISERROR(SEARCH("Ausgaben",K52)))</formula>
    </cfRule>
  </conditionalFormatting>
  <conditionalFormatting sqref="K54">
    <cfRule type="containsText" priority="1411" operator="containsText" dxfId="1" text="Einnahmen">
      <formula>NOT(ISERROR(SEARCH("Einnahmen",K54)))</formula>
    </cfRule>
    <cfRule type="containsText" priority="1412" operator="containsText" dxfId="0" text="Ausgaben">
      <formula>NOT(ISERROR(SEARCH("Ausgaben",K54)))</formula>
    </cfRule>
  </conditionalFormatting>
  <conditionalFormatting sqref="K56 K66 K68 K70 K80">
    <cfRule type="containsText" priority="1409" operator="containsText" dxfId="1" text="Einnahmen">
      <formula>NOT(ISERROR(SEARCH("Einnahmen",K56)))</formula>
    </cfRule>
    <cfRule type="containsText" priority="1410" operator="containsText" dxfId="0" text="Ausgaben">
      <formula>NOT(ISERROR(SEARCH("Ausgaben",K56)))</formula>
    </cfRule>
  </conditionalFormatting>
  <conditionalFormatting sqref="K57">
    <cfRule type="containsText" priority="1407" operator="containsText" dxfId="1" text="Einnahmen">
      <formula>NOT(ISERROR(SEARCH("Einnahmen",K57)))</formula>
    </cfRule>
    <cfRule type="containsText" priority="1408" operator="containsText" dxfId="0" text="Ausgaben">
      <formula>NOT(ISERROR(SEARCH("Ausgaben",K57)))</formula>
    </cfRule>
  </conditionalFormatting>
  <conditionalFormatting sqref="K58">
    <cfRule type="containsText" priority="1405" operator="containsText" dxfId="1" text="Einnahmen">
      <formula>NOT(ISERROR(SEARCH("Einnahmen",K58)))</formula>
    </cfRule>
    <cfRule type="containsText" priority="1406" operator="containsText" dxfId="0" text="Ausgaben">
      <formula>NOT(ISERROR(SEARCH("Ausgaben",K58)))</formula>
    </cfRule>
  </conditionalFormatting>
  <conditionalFormatting sqref="M58">
    <cfRule type="expression" priority="1404" dxfId="1390">
      <formula>ISBLANK(M58)</formula>
    </cfRule>
    <cfRule type="expression" priority="1403" dxfId="1390">
      <formula>ISBLANK(M58)</formula>
    </cfRule>
    <cfRule type="expression" priority="1402" dxfId="1390">
      <formula>ISBLANK(M58)</formula>
    </cfRule>
    <cfRule type="expression" priority="1401" dxfId="1390">
      <formula>ISBLANK(M58)</formula>
    </cfRule>
  </conditionalFormatting>
  <conditionalFormatting sqref="K59">
    <cfRule type="containsText" priority="1399" operator="containsText" dxfId="1" text="Einnahmen">
      <formula>NOT(ISERROR(SEARCH("Einnahmen",K59)))</formula>
    </cfRule>
    <cfRule type="containsText" priority="1400" operator="containsText" dxfId="0" text="Ausgaben">
      <formula>NOT(ISERROR(SEARCH("Ausgaben",K59)))</formula>
    </cfRule>
    <cfRule type="containsText" priority="1396" operator="containsText" dxfId="1" text="Einnahmen">
      <formula>NOT(ISERROR(SEARCH("Einnahmen",K59)))</formula>
    </cfRule>
    <cfRule type="containsText" priority="1397" operator="containsText" dxfId="0" text="Ausgaben">
      <formula>NOT(ISERROR(SEARCH("Ausgaben",K59)))</formula>
    </cfRule>
    <cfRule type="containsText" priority="1393" operator="containsText" dxfId="1" text="Einnahmen">
      <formula>NOT(ISERROR(SEARCH("Einnahmen",K59)))</formula>
    </cfRule>
    <cfRule type="containsText" priority="1394" operator="containsText" dxfId="0" text="Ausgaben">
      <formula>NOT(ISERROR(SEARCH("Ausgaben",K59)))</formula>
    </cfRule>
    <cfRule type="containsText" priority="1390" operator="containsText" dxfId="1" text="Einnahmen">
      <formula>NOT(ISERROR(SEARCH("Einnahmen",K59)))</formula>
    </cfRule>
    <cfRule type="containsText" priority="1391" operator="containsText" dxfId="0" text="Ausgaben">
      <formula>NOT(ISERROR(SEARCH("Ausgaben",K59)))</formula>
    </cfRule>
  </conditionalFormatting>
  <conditionalFormatting sqref="M59">
    <cfRule type="expression" priority="1398" dxfId="1390">
      <formula>ISBLANK(M59)</formula>
    </cfRule>
    <cfRule type="expression" priority="1395" dxfId="1390">
      <formula>ISBLANK(M59)</formula>
    </cfRule>
    <cfRule type="expression" priority="1392" dxfId="1390">
      <formula>ISBLANK(M59)</formula>
    </cfRule>
    <cfRule type="expression" priority="1389" dxfId="1390">
      <formula>ISBLANK(M59)</formula>
    </cfRule>
  </conditionalFormatting>
  <conditionalFormatting sqref="M60">
    <cfRule type="expression" priority="1388" dxfId="1390">
      <formula>ISBLANK(M60)</formula>
    </cfRule>
    <cfRule type="expression" priority="1385" dxfId="1390">
      <formula>ISBLANK(M60)</formula>
    </cfRule>
  </conditionalFormatting>
  <conditionalFormatting sqref="K60">
    <cfRule type="containsText" priority="1386" operator="containsText" dxfId="1" text="Einnahmen">
      <formula>NOT(ISERROR(SEARCH("Einnahmen",K60)))</formula>
    </cfRule>
    <cfRule type="containsText" priority="1387" operator="containsText" dxfId="0" text="Ausgaben">
      <formula>NOT(ISERROR(SEARCH("Ausgaben",K60)))</formula>
    </cfRule>
  </conditionalFormatting>
  <conditionalFormatting sqref="M22">
    <cfRule type="expression" priority="1384" dxfId="1390">
      <formula>ISBLANK(M22)</formula>
    </cfRule>
  </conditionalFormatting>
  <conditionalFormatting sqref="M36">
    <cfRule type="expression" priority="1383" dxfId="1390">
      <formula>ISBLANK(M36)</formula>
    </cfRule>
  </conditionalFormatting>
  <conditionalFormatting sqref="M52">
    <cfRule type="expression" priority="1382" dxfId="1390">
      <formula>ISBLANK(M52)</formula>
    </cfRule>
  </conditionalFormatting>
  <conditionalFormatting sqref="M62">
    <cfRule type="expression" priority="1381" dxfId="1390">
      <formula>ISBLANK(M62)</formula>
    </cfRule>
  </conditionalFormatting>
  <conditionalFormatting sqref="K62">
    <cfRule type="containsText" priority="1379" operator="containsText" dxfId="1" text="Einnahmen">
      <formula>NOT(ISERROR(SEARCH("Einnahmen",K62)))</formula>
    </cfRule>
    <cfRule type="containsText" priority="1380" operator="containsText" dxfId="0" text="Ausgaben">
      <formula>NOT(ISERROR(SEARCH("Ausgaben",K62)))</formula>
    </cfRule>
  </conditionalFormatting>
  <conditionalFormatting sqref="K63">
    <cfRule type="containsText" priority="1377" operator="containsText" dxfId="1" text="Einnahmen">
      <formula>NOT(ISERROR(SEARCH("Einnahmen",K63)))</formula>
    </cfRule>
    <cfRule type="containsText" priority="1378" operator="containsText" dxfId="0" text="Ausgaben">
      <formula>NOT(ISERROR(SEARCH("Ausgaben",K63)))</formula>
    </cfRule>
  </conditionalFormatting>
  <conditionalFormatting sqref="K64">
    <cfRule type="containsText" priority="1375" operator="containsText" dxfId="1" text="Einnahmen">
      <formula>NOT(ISERROR(SEARCH("Einnahmen",K64)))</formula>
    </cfRule>
    <cfRule type="containsText" priority="1376" operator="containsText" dxfId="0" text="Ausgaben">
      <formula>NOT(ISERROR(SEARCH("Ausgaben",K64)))</formula>
    </cfRule>
  </conditionalFormatting>
  <conditionalFormatting sqref="M65">
    <cfRule type="expression" priority="1374" dxfId="1390">
      <formula>ISBLANK(M65)</formula>
    </cfRule>
  </conditionalFormatting>
  <conditionalFormatting sqref="K65">
    <cfRule type="containsText" priority="1372" operator="containsText" dxfId="1" text="Einnahmen">
      <formula>NOT(ISERROR(SEARCH("Einnahmen",K65)))</formula>
    </cfRule>
    <cfRule type="containsText" priority="1373" operator="containsText" dxfId="0" text="Ausgaben">
      <formula>NOT(ISERROR(SEARCH("Ausgaben",K65)))</formula>
    </cfRule>
  </conditionalFormatting>
  <conditionalFormatting sqref="K67">
    <cfRule type="containsText" priority="1370" operator="containsText" dxfId="1" text="Einnahmen">
      <formula>NOT(ISERROR(SEARCH("Einnahmen",K67)))</formula>
    </cfRule>
    <cfRule type="containsText" priority="1371" operator="containsText" dxfId="0" text="Ausgaben">
      <formula>NOT(ISERROR(SEARCH("Ausgaben",K67)))</formula>
    </cfRule>
  </conditionalFormatting>
  <conditionalFormatting sqref="M67">
    <cfRule type="expression" priority="1369" dxfId="1390">
      <formula>ISBLANK(M67)</formula>
    </cfRule>
  </conditionalFormatting>
  <conditionalFormatting sqref="K69">
    <cfRule type="containsText" priority="1367" operator="containsText" dxfId="1" text="Einnahmen">
      <formula>NOT(ISERROR(SEARCH("Einnahmen",K69)))</formula>
    </cfRule>
    <cfRule type="containsText" priority="1368" operator="containsText" dxfId="0" text="Ausgaben">
      <formula>NOT(ISERROR(SEARCH("Ausgaben",K69)))</formula>
    </cfRule>
  </conditionalFormatting>
  <conditionalFormatting sqref="M69">
    <cfRule type="expression" priority="1366" dxfId="1390">
      <formula>ISBLANK(M69)</formula>
    </cfRule>
  </conditionalFormatting>
  <conditionalFormatting sqref="M68">
    <cfRule type="expression" priority="1365" dxfId="1390">
      <formula>ISBLANK(M68)</formula>
    </cfRule>
  </conditionalFormatting>
  <conditionalFormatting sqref="K72">
    <cfRule type="containsText" priority="1363" operator="containsText" dxfId="1" text="Einnahmen">
      <formula>NOT(ISERROR(SEARCH("Einnahmen",K72)))</formula>
    </cfRule>
    <cfRule type="containsText" priority="1364" operator="containsText" dxfId="0" text="Ausgaben">
      <formula>NOT(ISERROR(SEARCH("Ausgaben",K72)))</formula>
    </cfRule>
  </conditionalFormatting>
  <conditionalFormatting sqref="M72">
    <cfRule type="expression" priority="1362" dxfId="1390">
      <formula>ISBLANK(M72)</formula>
    </cfRule>
  </conditionalFormatting>
  <conditionalFormatting sqref="K73">
    <cfRule type="containsText" priority="1360" operator="containsText" dxfId="1" text="Einnahmen">
      <formula>NOT(ISERROR(SEARCH("Einnahmen",K73)))</formula>
    </cfRule>
    <cfRule type="containsText" priority="1361" operator="containsText" dxfId="0" text="Ausgaben">
      <formula>NOT(ISERROR(SEARCH("Ausgaben",K73)))</formula>
    </cfRule>
  </conditionalFormatting>
  <conditionalFormatting sqref="K74">
    <cfRule type="containsText" priority="1358" operator="containsText" dxfId="1" text="Einnahmen">
      <formula>NOT(ISERROR(SEARCH("Einnahmen",K74)))</formula>
    </cfRule>
    <cfRule type="containsText" priority="1359" operator="containsText" dxfId="0" text="Ausgaben">
      <formula>NOT(ISERROR(SEARCH("Ausgaben",K74)))</formula>
    </cfRule>
  </conditionalFormatting>
  <conditionalFormatting sqref="M74">
    <cfRule type="expression" priority="1357" dxfId="1390">
      <formula>ISBLANK(M74)</formula>
    </cfRule>
    <cfRule type="expression" priority="1356" dxfId="1390">
      <formula>ISBLANK(M74)</formula>
    </cfRule>
    <cfRule type="expression" priority="1355" dxfId="1390">
      <formula>ISBLANK(M74)</formula>
    </cfRule>
    <cfRule type="expression" priority="1354" dxfId="1390">
      <formula>ISBLANK(M74)</formula>
    </cfRule>
  </conditionalFormatting>
  <conditionalFormatting sqref="M75">
    <cfRule type="expression" priority="1353" dxfId="1390">
      <formula>ISBLANK(M75)</formula>
    </cfRule>
    <cfRule type="expression" priority="1350" dxfId="1390">
      <formula>ISBLANK(M75)</formula>
    </cfRule>
  </conditionalFormatting>
  <conditionalFormatting sqref="K75">
    <cfRule type="containsText" priority="1351" operator="containsText" dxfId="1" text="Einnahmen">
      <formula>NOT(ISERROR(SEARCH("Einnahmen",K75)))</formula>
    </cfRule>
    <cfRule type="containsText" priority="1352" operator="containsText" dxfId="0" text="Ausgaben">
      <formula>NOT(ISERROR(SEARCH("Ausgaben",K75)))</formula>
    </cfRule>
  </conditionalFormatting>
  <conditionalFormatting sqref="M76">
    <cfRule type="expression" priority="1349" dxfId="1390">
      <formula>ISBLANK(M76)</formula>
    </cfRule>
  </conditionalFormatting>
  <conditionalFormatting sqref="K76">
    <cfRule type="containsText" priority="1347" operator="containsText" dxfId="1" text="Einnahmen">
      <formula>NOT(ISERROR(SEARCH("Einnahmen",K76)))</formula>
    </cfRule>
    <cfRule type="containsText" priority="1348" operator="containsText" dxfId="0" text="Ausgaben">
      <formula>NOT(ISERROR(SEARCH("Ausgaben",K76)))</formula>
    </cfRule>
  </conditionalFormatting>
  <conditionalFormatting sqref="K77">
    <cfRule type="containsText" priority="1345" operator="containsText" dxfId="1" text="Einnahmen">
      <formula>NOT(ISERROR(SEARCH("Einnahmen",K77)))</formula>
    </cfRule>
    <cfRule type="containsText" priority="1346" operator="containsText" dxfId="0" text="Ausgaben">
      <formula>NOT(ISERROR(SEARCH("Ausgaben",K77)))</formula>
    </cfRule>
  </conditionalFormatting>
  <conditionalFormatting sqref="M78">
    <cfRule type="expression" priority="1344" dxfId="1390">
      <formula>ISBLANK(M78)</formula>
    </cfRule>
  </conditionalFormatting>
  <conditionalFormatting sqref="K78">
    <cfRule type="containsText" priority="1342" operator="containsText" dxfId="1" text="Einnahmen">
      <formula>NOT(ISERROR(SEARCH("Einnahmen",K78)))</formula>
    </cfRule>
    <cfRule type="containsText" priority="1343" operator="containsText" dxfId="0" text="Ausgaben">
      <formula>NOT(ISERROR(SEARCH("Ausgaben",K78)))</formula>
    </cfRule>
  </conditionalFormatting>
  <conditionalFormatting sqref="K79">
    <cfRule type="containsText" priority="1340" operator="containsText" dxfId="1" text="Einnahmen">
      <formula>NOT(ISERROR(SEARCH("Einnahmen",K79)))</formula>
    </cfRule>
    <cfRule type="containsText" priority="1341" operator="containsText" dxfId="0" text="Ausgaben">
      <formula>NOT(ISERROR(SEARCH("Ausgaben",K79)))</formula>
    </cfRule>
  </conditionalFormatting>
  <conditionalFormatting sqref="M79">
    <cfRule type="expression" priority="1339" dxfId="1390">
      <formula>ISBLANK(M79)</formula>
    </cfRule>
  </conditionalFormatting>
  <conditionalFormatting sqref="M81">
    <cfRule type="expression" priority="1338" dxfId="1390">
      <formula>ISBLANK(M81)</formula>
    </cfRule>
  </conditionalFormatting>
  <conditionalFormatting sqref="K81">
    <cfRule type="containsText" priority="1336" operator="containsText" dxfId="1" text="Einnahmen">
      <formula>NOT(ISERROR(SEARCH("Einnahmen",K81)))</formula>
    </cfRule>
    <cfRule type="containsText" priority="1337" operator="containsText" dxfId="0" text="Ausgaben">
      <formula>NOT(ISERROR(SEARCH("Ausgaben",K81)))</formula>
    </cfRule>
  </conditionalFormatting>
  <conditionalFormatting sqref="K82">
    <cfRule type="containsText" priority="1334" operator="containsText" dxfId="1" text="Einnahmen">
      <formula>NOT(ISERROR(SEARCH("Einnahmen",K82)))</formula>
    </cfRule>
    <cfRule type="containsText" priority="1335" operator="containsText" dxfId="0" text="Ausgaben">
      <formula>NOT(ISERROR(SEARCH("Ausgaben",K82)))</formula>
    </cfRule>
  </conditionalFormatting>
  <conditionalFormatting sqref="M82">
    <cfRule type="expression" priority="1333" dxfId="1390">
      <formula>ISBLANK(M82)</formula>
    </cfRule>
  </conditionalFormatting>
  <conditionalFormatting sqref="K83">
    <cfRule type="containsText" priority="1331" operator="containsText" dxfId="1" text="Einnahmen">
      <formula>NOT(ISERROR(SEARCH("Einnahmen",K83)))</formula>
    </cfRule>
    <cfRule type="containsText" priority="1332" operator="containsText" dxfId="0" text="Ausgaben">
      <formula>NOT(ISERROR(SEARCH("Ausgaben",K83)))</formula>
    </cfRule>
  </conditionalFormatting>
  <conditionalFormatting sqref="M83">
    <cfRule type="expression" priority="1330" dxfId="1390">
      <formula>ISBLANK(M83)</formula>
    </cfRule>
  </conditionalFormatting>
  <conditionalFormatting sqref="K84">
    <cfRule type="containsText" priority="1328" operator="containsText" dxfId="1" text="Einnahmen">
      <formula>NOT(ISERROR(SEARCH("Einnahmen",K84)))</formula>
    </cfRule>
    <cfRule type="containsText" priority="1329" operator="containsText" dxfId="0" text="Ausgaben">
      <formula>NOT(ISERROR(SEARCH("Ausgaben",K84)))</formula>
    </cfRule>
  </conditionalFormatting>
  <conditionalFormatting sqref="K85">
    <cfRule type="containsText" priority="1326" operator="containsText" dxfId="1" text="Einnahmen">
      <formula>NOT(ISERROR(SEARCH("Einnahmen",K85)))</formula>
    </cfRule>
    <cfRule type="containsText" priority="1327" operator="containsText" dxfId="0" text="Ausgaben">
      <formula>NOT(ISERROR(SEARCH("Ausgaben",K85)))</formula>
    </cfRule>
  </conditionalFormatting>
  <conditionalFormatting sqref="M85">
    <cfRule type="expression" priority="1325" dxfId="1390">
      <formula>ISBLANK(M85)</formula>
    </cfRule>
    <cfRule type="expression" priority="1324" dxfId="1390">
      <formula>ISBLANK(M85)</formula>
    </cfRule>
    <cfRule type="expression" priority="1323" dxfId="1390">
      <formula>ISBLANK(M85)</formula>
    </cfRule>
    <cfRule type="expression" priority="1322" dxfId="1390">
      <formula>ISBLANK(M85)</formula>
    </cfRule>
  </conditionalFormatting>
  <conditionalFormatting sqref="M86">
    <cfRule type="expression" priority="1321" dxfId="1390">
      <formula>ISBLANK(M86)</formula>
    </cfRule>
    <cfRule type="expression" priority="1318" dxfId="1390">
      <formula>ISBLANK(M86)</formula>
    </cfRule>
  </conditionalFormatting>
  <conditionalFormatting sqref="K86">
    <cfRule type="containsText" priority="1319" operator="containsText" dxfId="1" text="Einnahmen">
      <formula>NOT(ISERROR(SEARCH("Einnahmen",K86)))</formula>
    </cfRule>
    <cfRule type="containsText" priority="1320" operator="containsText" dxfId="0" text="Ausgaben">
      <formula>NOT(ISERROR(SEARCH("Ausgaben",K86)))</formula>
    </cfRule>
  </conditionalFormatting>
  <conditionalFormatting sqref="K87">
    <cfRule type="containsText" priority="1316" operator="containsText" dxfId="1" text="Einnahmen">
      <formula>NOT(ISERROR(SEARCH("Einnahmen",K87)))</formula>
    </cfRule>
    <cfRule type="containsText" priority="1317" operator="containsText" dxfId="0" text="Ausgaben">
      <formula>NOT(ISERROR(SEARCH("Ausgaben",K87)))</formula>
    </cfRule>
  </conditionalFormatting>
  <conditionalFormatting sqref="M88">
    <cfRule type="expression" priority="1315" dxfId="1390">
      <formula>ISBLANK(M88)</formula>
    </cfRule>
  </conditionalFormatting>
  <conditionalFormatting sqref="K88">
    <cfRule type="containsText" priority="1313" operator="containsText" dxfId="1" text="Einnahmen">
      <formula>NOT(ISERROR(SEARCH("Einnahmen",K88)))</formula>
    </cfRule>
    <cfRule type="containsText" priority="1314" operator="containsText" dxfId="0" text="Ausgaben">
      <formula>NOT(ISERROR(SEARCH("Ausgaben",K88)))</formula>
    </cfRule>
  </conditionalFormatting>
  <conditionalFormatting sqref="K89">
    <cfRule type="containsText" priority="1311" operator="containsText" dxfId="1" text="Einnahmen">
      <formula>NOT(ISERROR(SEARCH("Einnahmen",K89)))</formula>
    </cfRule>
    <cfRule type="containsText" priority="1312" operator="containsText" dxfId="0" text="Ausgaben">
      <formula>NOT(ISERROR(SEARCH("Ausgaben",K89)))</formula>
    </cfRule>
  </conditionalFormatting>
  <conditionalFormatting sqref="M90">
    <cfRule type="expression" priority="1310" dxfId="1390">
      <formula>ISBLANK(M90)</formula>
    </cfRule>
  </conditionalFormatting>
  <conditionalFormatting sqref="K90">
    <cfRule type="containsText" priority="1308" operator="containsText" dxfId="1" text="Einnahmen">
      <formula>NOT(ISERROR(SEARCH("Einnahmen",K90)))</formula>
    </cfRule>
    <cfRule type="containsText" priority="1309" operator="containsText" dxfId="0" text="Ausgaben">
      <formula>NOT(ISERROR(SEARCH("Ausgaben",K90)))</formula>
    </cfRule>
  </conditionalFormatting>
  <conditionalFormatting sqref="K91">
    <cfRule type="containsText" priority="1306" operator="containsText" dxfId="1" text="Einnahmen">
      <formula>NOT(ISERROR(SEARCH("Einnahmen",K91)))</formula>
    </cfRule>
    <cfRule type="containsText" priority="1307" operator="containsText" dxfId="0" text="Ausgaben">
      <formula>NOT(ISERROR(SEARCH("Ausgaben",K91)))</formula>
    </cfRule>
  </conditionalFormatting>
  <conditionalFormatting sqref="K92">
    <cfRule type="containsText" priority="1304" operator="containsText" dxfId="1" text="Einnahmen">
      <formula>NOT(ISERROR(SEARCH("Einnahmen",K92)))</formula>
    </cfRule>
    <cfRule type="containsText" priority="1305" operator="containsText" dxfId="0" text="Ausgaben">
      <formula>NOT(ISERROR(SEARCH("Ausgaben",K92)))</formula>
    </cfRule>
  </conditionalFormatting>
  <conditionalFormatting sqref="M92">
    <cfRule type="expression" priority="1303" dxfId="1390">
      <formula>ISBLANK(M92)</formula>
    </cfRule>
  </conditionalFormatting>
  <conditionalFormatting sqref="M93">
    <cfRule type="expression" priority="1302" dxfId="1390">
      <formula>ISBLANK(M93)</formula>
    </cfRule>
  </conditionalFormatting>
  <conditionalFormatting sqref="K94">
    <cfRule type="containsText" priority="1300" operator="containsText" dxfId="1" text="Einnahmen">
      <formula>NOT(ISERROR(SEARCH("Einnahmen",K94)))</formula>
    </cfRule>
    <cfRule type="containsText" priority="1301" operator="containsText" dxfId="0" text="Ausgaben">
      <formula>NOT(ISERROR(SEARCH("Ausgaben",K94)))</formula>
    </cfRule>
  </conditionalFormatting>
  <conditionalFormatting sqref="M94">
    <cfRule type="expression" priority="1299" dxfId="1390">
      <formula>ISBLANK(M94)</formula>
    </cfRule>
  </conditionalFormatting>
  <conditionalFormatting sqref="M95">
    <cfRule type="expression" priority="1298" dxfId="1390">
      <formula>ISBLANK(M95)</formula>
    </cfRule>
  </conditionalFormatting>
  <conditionalFormatting sqref="M96">
    <cfRule type="expression" priority="1297" dxfId="1390">
      <formula>ISBLANK(M96)</formula>
    </cfRule>
  </conditionalFormatting>
  <conditionalFormatting sqref="K96">
    <cfRule type="containsText" priority="1295" operator="containsText" dxfId="1" text="Einnahmen">
      <formula>NOT(ISERROR(SEARCH("Einnahmen",K96)))</formula>
    </cfRule>
    <cfRule type="containsText" priority="1296" operator="containsText" dxfId="0" text="Ausgaben">
      <formula>NOT(ISERROR(SEARCH("Ausgaben",K96)))</formula>
    </cfRule>
  </conditionalFormatting>
  <conditionalFormatting sqref="M98">
    <cfRule type="expression" priority="1294" dxfId="1390">
      <formula>ISBLANK(M98)</formula>
    </cfRule>
  </conditionalFormatting>
  <conditionalFormatting sqref="K98">
    <cfRule type="containsText" priority="1292" operator="containsText" dxfId="1" text="Einnahmen">
      <formula>NOT(ISERROR(SEARCH("Einnahmen",K98)))</formula>
    </cfRule>
    <cfRule type="containsText" priority="1293" operator="containsText" dxfId="0" text="Ausgaben">
      <formula>NOT(ISERROR(SEARCH("Ausgaben",K98)))</formula>
    </cfRule>
  </conditionalFormatting>
  <conditionalFormatting sqref="K97">
    <cfRule type="containsText" priority="1290" operator="containsText" dxfId="1" text="Einnahmen">
      <formula>NOT(ISERROR(SEARCH("Einnahmen",K97)))</formula>
    </cfRule>
    <cfRule type="containsText" priority="1291" operator="containsText" dxfId="0" text="Ausgaben">
      <formula>NOT(ISERROR(SEARCH("Ausgaben",K97)))</formula>
    </cfRule>
  </conditionalFormatting>
  <conditionalFormatting sqref="M97">
    <cfRule type="expression" priority="1289" dxfId="1390">
      <formula>ISBLANK(M97)</formula>
    </cfRule>
  </conditionalFormatting>
  <conditionalFormatting sqref="K99">
    <cfRule type="containsText" priority="1287" operator="containsText" dxfId="1" text="Einnahmen">
      <formula>NOT(ISERROR(SEARCH("Einnahmen",K99)))</formula>
    </cfRule>
    <cfRule type="containsText" priority="1288" operator="containsText" dxfId="0" text="Ausgaben">
      <formula>NOT(ISERROR(SEARCH("Ausgaben",K99)))</formula>
    </cfRule>
  </conditionalFormatting>
  <conditionalFormatting sqref="K100">
    <cfRule type="containsText" priority="1285" operator="containsText" dxfId="1" text="Einnahmen">
      <formula>NOT(ISERROR(SEARCH("Einnahmen",K100)))</formula>
    </cfRule>
    <cfRule type="containsText" priority="1286" operator="containsText" dxfId="0" text="Ausgaben">
      <formula>NOT(ISERROR(SEARCH("Ausgaben",K100)))</formula>
    </cfRule>
  </conditionalFormatting>
  <conditionalFormatting sqref="M100">
    <cfRule type="expression" priority="1284" dxfId="1390">
      <formula>ISBLANK(M100)</formula>
    </cfRule>
  </conditionalFormatting>
  <conditionalFormatting sqref="K101">
    <cfRule type="containsText" priority="1282" operator="containsText" dxfId="1" text="Einnahmen">
      <formula>NOT(ISERROR(SEARCH("Einnahmen",K101)))</formula>
    </cfRule>
    <cfRule type="containsText" priority="1283" operator="containsText" dxfId="0" text="Ausgaben">
      <formula>NOT(ISERROR(SEARCH("Ausgaben",K101)))</formula>
    </cfRule>
  </conditionalFormatting>
  <conditionalFormatting sqref="M102">
    <cfRule type="expression" priority="1281" dxfId="1390">
      <formula>ISBLANK(M102)</formula>
    </cfRule>
  </conditionalFormatting>
  <conditionalFormatting sqref="K102">
    <cfRule type="containsText" priority="1279" operator="containsText" dxfId="1" text="Einnahmen">
      <formula>NOT(ISERROR(SEARCH("Einnahmen",K102)))</formula>
    </cfRule>
    <cfRule type="containsText" priority="1280" operator="containsText" dxfId="0" text="Ausgaben">
      <formula>NOT(ISERROR(SEARCH("Ausgaben",K102)))</formula>
    </cfRule>
  </conditionalFormatting>
  <conditionalFormatting sqref="K103">
    <cfRule type="containsText" priority="1277" operator="containsText" dxfId="1" text="Einnahmen">
      <formula>NOT(ISERROR(SEARCH("Einnahmen",K103)))</formula>
    </cfRule>
    <cfRule type="containsText" priority="1278" operator="containsText" dxfId="0" text="Ausgaben">
      <formula>NOT(ISERROR(SEARCH("Ausgaben",K103)))</formula>
    </cfRule>
  </conditionalFormatting>
  <conditionalFormatting sqref="M103">
    <cfRule type="expression" priority="1276" dxfId="1390">
      <formula>ISBLANK(M103)</formula>
    </cfRule>
    <cfRule type="expression" priority="1275" dxfId="1390">
      <formula>ISBLANK(M103)</formula>
    </cfRule>
    <cfRule type="expression" priority="1274" dxfId="1390">
      <formula>ISBLANK(M103)</formula>
    </cfRule>
    <cfRule type="expression" priority="1273" dxfId="1390">
      <formula>ISBLANK(M103)</formula>
    </cfRule>
  </conditionalFormatting>
  <conditionalFormatting sqref="M104">
    <cfRule type="expression" priority="1272" dxfId="1390">
      <formula>ISBLANK(M104)</formula>
    </cfRule>
    <cfRule type="expression" priority="1269" dxfId="1390">
      <formula>ISBLANK(M104)</formula>
    </cfRule>
  </conditionalFormatting>
  <conditionalFormatting sqref="K104">
    <cfRule type="containsText" priority="1270" operator="containsText" dxfId="1" text="Einnahmen">
      <formula>NOT(ISERROR(SEARCH("Einnahmen",K104)))</formula>
    </cfRule>
    <cfRule type="containsText" priority="1271" operator="containsText" dxfId="0" text="Ausgaben">
      <formula>NOT(ISERROR(SEARCH("Ausgaben",K104)))</formula>
    </cfRule>
  </conditionalFormatting>
  <conditionalFormatting sqref="M105">
    <cfRule type="expression" priority="1268" dxfId="1390">
      <formula>ISBLANK(M105)</formula>
    </cfRule>
  </conditionalFormatting>
  <conditionalFormatting sqref="K105">
    <cfRule type="containsText" priority="1266" operator="containsText" dxfId="1" text="Einnahmen">
      <formula>NOT(ISERROR(SEARCH("Einnahmen",K105)))</formula>
    </cfRule>
    <cfRule type="containsText" priority="1267" operator="containsText" dxfId="0" text="Ausgaben">
      <formula>NOT(ISERROR(SEARCH("Ausgaben",K105)))</formula>
    </cfRule>
  </conditionalFormatting>
  <conditionalFormatting sqref="K106">
    <cfRule type="containsText" priority="1264" operator="containsText" dxfId="1" text="Einnahmen">
      <formula>NOT(ISERROR(SEARCH("Einnahmen",K106)))</formula>
    </cfRule>
    <cfRule type="containsText" priority="1265" operator="containsText" dxfId="0" text="Ausgaben">
      <formula>NOT(ISERROR(SEARCH("Ausgaben",K106)))</formula>
    </cfRule>
  </conditionalFormatting>
  <conditionalFormatting sqref="K107">
    <cfRule type="containsText" priority="1262" operator="containsText" dxfId="1" text="Einnahmen">
      <formula>NOT(ISERROR(SEARCH("Einnahmen",K107)))</formula>
    </cfRule>
    <cfRule type="containsText" priority="1263" operator="containsText" dxfId="0" text="Ausgaben">
      <formula>NOT(ISERROR(SEARCH("Ausgaben",K107)))</formula>
    </cfRule>
  </conditionalFormatting>
  <conditionalFormatting sqref="M108">
    <cfRule type="expression" priority="1261" dxfId="1390">
      <formula>ISBLANK(M108)</formula>
    </cfRule>
  </conditionalFormatting>
  <conditionalFormatting sqref="K108">
    <cfRule type="containsText" priority="1259" operator="containsText" dxfId="1" text="Einnahmen">
      <formula>NOT(ISERROR(SEARCH("Einnahmen",K108)))</formula>
    </cfRule>
    <cfRule type="containsText" priority="1260" operator="containsText" dxfId="0" text="Ausgaben">
      <formula>NOT(ISERROR(SEARCH("Ausgaben",K108)))</formula>
    </cfRule>
  </conditionalFormatting>
  <conditionalFormatting sqref="K109">
    <cfRule type="containsText" priority="1257" operator="containsText" dxfId="1" text="Einnahmen">
      <formula>NOT(ISERROR(SEARCH("Einnahmen",K109)))</formula>
    </cfRule>
    <cfRule type="containsText" priority="1258" operator="containsText" dxfId="0" text="Ausgaben">
      <formula>NOT(ISERROR(SEARCH("Ausgaben",K109)))</formula>
    </cfRule>
  </conditionalFormatting>
  <conditionalFormatting sqref="K110">
    <cfRule type="containsText" priority="1255" operator="containsText" dxfId="1" text="Einnahmen">
      <formula>NOT(ISERROR(SEARCH("Einnahmen",K110)))</formula>
    </cfRule>
    <cfRule type="containsText" priority="1256" operator="containsText" dxfId="0" text="Ausgaben">
      <formula>NOT(ISERROR(SEARCH("Ausgaben",K110)))</formula>
    </cfRule>
  </conditionalFormatting>
  <conditionalFormatting sqref="K111">
    <cfRule type="containsText" priority="1253" operator="containsText" dxfId="1" text="Einnahmen">
      <formula>NOT(ISERROR(SEARCH("Einnahmen",K111)))</formula>
    </cfRule>
    <cfRule type="containsText" priority="1254" operator="containsText" dxfId="0" text="Ausgaben">
      <formula>NOT(ISERROR(SEARCH("Ausgaben",K111)))</formula>
    </cfRule>
  </conditionalFormatting>
  <conditionalFormatting sqref="M111">
    <cfRule type="expression" priority="1252" dxfId="1390">
      <formula>ISBLANK(M111)</formula>
    </cfRule>
  </conditionalFormatting>
  <conditionalFormatting sqref="K112">
    <cfRule type="containsText" priority="1250" operator="containsText" dxfId="1" text="Einnahmen">
      <formula>NOT(ISERROR(SEARCH("Einnahmen",K112)))</formula>
    </cfRule>
    <cfRule type="containsText" priority="1251" operator="containsText" dxfId="0" text="Ausgaben">
      <formula>NOT(ISERROR(SEARCH("Ausgaben",K112)))</formula>
    </cfRule>
  </conditionalFormatting>
  <conditionalFormatting sqref="K113">
    <cfRule type="containsText" priority="1248" operator="containsText" dxfId="1" text="Einnahmen">
      <formula>NOT(ISERROR(SEARCH("Einnahmen",K113)))</formula>
    </cfRule>
    <cfRule type="containsText" priority="1249" operator="containsText" dxfId="0" text="Ausgaben">
      <formula>NOT(ISERROR(SEARCH("Ausgaben",K113)))</formula>
    </cfRule>
  </conditionalFormatting>
  <conditionalFormatting sqref="M113">
    <cfRule type="expression" priority="1247" dxfId="1390">
      <formula>ISBLANK(M113)</formula>
    </cfRule>
    <cfRule type="expression" priority="1245" dxfId="1390">
      <formula>ISBLANK(M113)</formula>
    </cfRule>
  </conditionalFormatting>
  <conditionalFormatting sqref="M114">
    <cfRule type="expression" priority="1246" dxfId="1390">
      <formula>ISBLANK(M114)</formula>
    </cfRule>
    <cfRule type="expression" priority="1244" dxfId="1390">
      <formula>ISBLANK(M114)</formula>
    </cfRule>
  </conditionalFormatting>
  <conditionalFormatting sqref="K114">
    <cfRule type="containsText" priority="1242" operator="containsText" dxfId="1" text="Einnahmen">
      <formula>NOT(ISERROR(SEARCH("Einnahmen",K114)))</formula>
    </cfRule>
    <cfRule type="containsText" priority="1243" operator="containsText" dxfId="0" text="Ausgaben">
      <formula>NOT(ISERROR(SEARCH("Ausgaben",K114)))</formula>
    </cfRule>
  </conditionalFormatting>
  <conditionalFormatting sqref="M112">
    <cfRule type="expression" priority="1241" dxfId="1390">
      <formula>ISBLANK(M112)</formula>
    </cfRule>
    <cfRule type="expression" priority="1240" dxfId="1390">
      <formula>ISBLANK(M112)</formula>
    </cfRule>
  </conditionalFormatting>
  <conditionalFormatting sqref="M31 M46 M64 M77 M89 M106">
    <cfRule type="expression" priority="1239" dxfId="1390">
      <formula>ISBLANK(M31)</formula>
    </cfRule>
  </conditionalFormatting>
  <conditionalFormatting sqref="M115">
    <cfRule type="expression" priority="1238" dxfId="1390">
      <formula>ISBLANK(M115)</formula>
    </cfRule>
  </conditionalFormatting>
  <conditionalFormatting sqref="K115">
    <cfRule type="containsText" priority="1236" operator="containsText" dxfId="1" text="Einnahmen">
      <formula>NOT(ISERROR(SEARCH("Einnahmen",K115)))</formula>
    </cfRule>
    <cfRule type="containsText" priority="1237" operator="containsText" dxfId="0" text="Ausgaben">
      <formula>NOT(ISERROR(SEARCH("Ausgaben",K115)))</formula>
    </cfRule>
  </conditionalFormatting>
  <conditionalFormatting sqref="K116">
    <cfRule type="containsText" priority="1234" operator="containsText" dxfId="1" text="Einnahmen">
      <formula>NOT(ISERROR(SEARCH("Einnahmen",K116)))</formula>
    </cfRule>
    <cfRule type="containsText" priority="1235" operator="containsText" dxfId="0" text="Ausgaben">
      <formula>NOT(ISERROR(SEARCH("Ausgaben",K116)))</formula>
    </cfRule>
  </conditionalFormatting>
  <conditionalFormatting sqref="K117">
    <cfRule type="containsText" priority="1232" operator="containsText" dxfId="1" text="Einnahmen">
      <formula>NOT(ISERROR(SEARCH("Einnahmen",K117)))</formula>
    </cfRule>
    <cfRule type="containsText" priority="1233" operator="containsText" dxfId="0" text="Ausgaben">
      <formula>NOT(ISERROR(SEARCH("Ausgaben",K117)))</formula>
    </cfRule>
  </conditionalFormatting>
  <conditionalFormatting sqref="M117">
    <cfRule type="expression" priority="1231" dxfId="1390">
      <formula>ISBLANK(M117)</formula>
    </cfRule>
    <cfRule type="expression" priority="1230" dxfId="1390">
      <formula>ISBLANK(M117)</formula>
    </cfRule>
    <cfRule type="expression" priority="1229" dxfId="1390">
      <formula>ISBLANK(M117)</formula>
    </cfRule>
    <cfRule type="expression" priority="1228" dxfId="1390">
      <formula>ISBLANK(M117)</formula>
    </cfRule>
  </conditionalFormatting>
  <conditionalFormatting sqref="K118">
    <cfRule type="containsText" priority="1226" operator="containsText" dxfId="1" text="Einnahmen">
      <formula>NOT(ISERROR(SEARCH("Einnahmen",K118)))</formula>
    </cfRule>
    <cfRule type="containsText" priority="1227" operator="containsText" dxfId="0" text="Ausgaben">
      <formula>NOT(ISERROR(SEARCH("Ausgaben",K118)))</formula>
    </cfRule>
  </conditionalFormatting>
  <conditionalFormatting sqref="K119">
    <cfRule type="containsText" priority="1224" operator="containsText" dxfId="1" text="Einnahmen">
      <formula>NOT(ISERROR(SEARCH("Einnahmen",K119)))</formula>
    </cfRule>
    <cfRule type="containsText" priority="1225" operator="containsText" dxfId="0" text="Ausgaben">
      <formula>NOT(ISERROR(SEARCH("Ausgaben",K119)))</formula>
    </cfRule>
  </conditionalFormatting>
  <conditionalFormatting sqref="M119">
    <cfRule type="expression" priority="1223" dxfId="1390">
      <formula>ISBLANK(M119)</formula>
    </cfRule>
  </conditionalFormatting>
  <conditionalFormatting sqref="K120">
    <cfRule type="containsText" priority="1221" operator="containsText" dxfId="1" text="Einnahmen">
      <formula>NOT(ISERROR(SEARCH("Einnahmen",K120)))</formula>
    </cfRule>
    <cfRule type="containsText" priority="1222" operator="containsText" dxfId="0" text="Ausgaben">
      <formula>NOT(ISERROR(SEARCH("Ausgaben",K120)))</formula>
    </cfRule>
  </conditionalFormatting>
  <conditionalFormatting sqref="M120">
    <cfRule type="expression" priority="1220" dxfId="1390">
      <formula>ISBLANK(M120)</formula>
    </cfRule>
    <cfRule type="expression" priority="1219" dxfId="1390">
      <formula>ISBLANK(M120)</formula>
    </cfRule>
  </conditionalFormatting>
  <conditionalFormatting sqref="K121">
    <cfRule type="containsText" priority="1217" operator="containsText" dxfId="1" text="Einnahmen">
      <formula>NOT(ISERROR(SEARCH("Einnahmen",K121)))</formula>
    </cfRule>
    <cfRule type="containsText" priority="1218" operator="containsText" dxfId="0" text="Ausgaben">
      <formula>NOT(ISERROR(SEARCH("Ausgaben",K121)))</formula>
    </cfRule>
  </conditionalFormatting>
  <conditionalFormatting sqref="M122">
    <cfRule type="expression" priority="1216" dxfId="1390">
      <formula>ISBLANK(M122)</formula>
    </cfRule>
  </conditionalFormatting>
  <conditionalFormatting sqref="K122">
    <cfRule type="containsText" priority="1214" operator="containsText" dxfId="1" text="Einnahmen">
      <formula>NOT(ISERROR(SEARCH("Einnahmen",K122)))</formula>
    </cfRule>
    <cfRule type="containsText" priority="1215" operator="containsText" dxfId="0" text="Ausgaben">
      <formula>NOT(ISERROR(SEARCH("Ausgaben",K122)))</formula>
    </cfRule>
  </conditionalFormatting>
  <conditionalFormatting sqref="K123">
    <cfRule type="containsText" priority="1212" operator="containsText" dxfId="1" text="Einnahmen">
      <formula>NOT(ISERROR(SEARCH("Einnahmen",K123)))</formula>
    </cfRule>
    <cfRule type="containsText" priority="1213" operator="containsText" dxfId="0" text="Ausgaben">
      <formula>NOT(ISERROR(SEARCH("Ausgaben",K123)))</formula>
    </cfRule>
  </conditionalFormatting>
  <conditionalFormatting sqref="K124">
    <cfRule type="containsText" priority="1210" operator="containsText" dxfId="1" text="Einnahmen">
      <formula>NOT(ISERROR(SEARCH("Einnahmen",K124)))</formula>
    </cfRule>
    <cfRule type="containsText" priority="1211" operator="containsText" dxfId="0" text="Ausgaben">
      <formula>NOT(ISERROR(SEARCH("Ausgaben",K124)))</formula>
    </cfRule>
  </conditionalFormatting>
  <conditionalFormatting sqref="M124">
    <cfRule type="expression" priority="1209" dxfId="1390">
      <formula>ISBLANK(M124)</formula>
    </cfRule>
  </conditionalFormatting>
  <conditionalFormatting sqref="M125">
    <cfRule type="expression" priority="1208" dxfId="1390">
      <formula>ISBLANK(M125)</formula>
    </cfRule>
  </conditionalFormatting>
  <conditionalFormatting sqref="K125">
    <cfRule type="containsText" priority="1206" operator="containsText" dxfId="1" text="Einnahmen">
      <formula>NOT(ISERROR(SEARCH("Einnahmen",K125)))</formula>
    </cfRule>
    <cfRule type="containsText" priority="1207" operator="containsText" dxfId="0" text="Ausgaben">
      <formula>NOT(ISERROR(SEARCH("Ausgaben",K125)))</formula>
    </cfRule>
  </conditionalFormatting>
  <conditionalFormatting sqref="K126">
    <cfRule type="containsText" priority="1204" operator="containsText" dxfId="1" text="Einnahmen">
      <formula>NOT(ISERROR(SEARCH("Einnahmen",K126)))</formula>
    </cfRule>
    <cfRule type="containsText" priority="1205" operator="containsText" dxfId="0" text="Ausgaben">
      <formula>NOT(ISERROR(SEARCH("Ausgaben",K126)))</formula>
    </cfRule>
  </conditionalFormatting>
  <conditionalFormatting sqref="K127">
    <cfRule type="containsText" priority="1202" operator="containsText" dxfId="1" text="Einnahmen">
      <formula>NOT(ISERROR(SEARCH("Einnahmen",K127)))</formula>
    </cfRule>
    <cfRule type="containsText" priority="1203" operator="containsText" dxfId="0" text="Ausgaben">
      <formula>NOT(ISERROR(SEARCH("Ausgaben",K127)))</formula>
    </cfRule>
  </conditionalFormatting>
  <conditionalFormatting sqref="M80">
    <cfRule type="expression" priority="1201" dxfId="1390">
      <formula>ISBLANK(M80)</formula>
    </cfRule>
  </conditionalFormatting>
  <conditionalFormatting sqref="K128">
    <cfRule type="containsText" priority="1199" operator="containsText" dxfId="1" text="Einnahmen">
      <formula>NOT(ISERROR(SEARCH("Einnahmen",K128)))</formula>
    </cfRule>
    <cfRule type="containsText" priority="1200" operator="containsText" dxfId="0" text="Ausgaben">
      <formula>NOT(ISERROR(SEARCH("Ausgaben",K128)))</formula>
    </cfRule>
  </conditionalFormatting>
  <conditionalFormatting sqref="K129">
    <cfRule type="containsText" priority="1197" operator="containsText" dxfId="1" text="Einnahmen">
      <formula>NOT(ISERROR(SEARCH("Einnahmen",K129)))</formula>
    </cfRule>
    <cfRule type="containsText" priority="1198" operator="containsText" dxfId="0" text="Ausgaben">
      <formula>NOT(ISERROR(SEARCH("Ausgaben",K129)))</formula>
    </cfRule>
  </conditionalFormatting>
  <conditionalFormatting sqref="M129">
    <cfRule type="expression" priority="1196" dxfId="1390">
      <formula>ISBLANK(M129)</formula>
    </cfRule>
  </conditionalFormatting>
  <conditionalFormatting sqref="K130">
    <cfRule type="containsText" priority="1194" operator="containsText" dxfId="1" text="Einnahmen">
      <formula>NOT(ISERROR(SEARCH("Einnahmen",K130)))</formula>
    </cfRule>
    <cfRule type="containsText" priority="1195" operator="containsText" dxfId="0" text="Ausgaben">
      <formula>NOT(ISERROR(SEARCH("Ausgaben",K130)))</formula>
    </cfRule>
  </conditionalFormatting>
  <conditionalFormatting sqref="M130">
    <cfRule type="expression" priority="1193" dxfId="1390">
      <formula>ISBLANK(M130)</formula>
    </cfRule>
  </conditionalFormatting>
  <conditionalFormatting sqref="K131">
    <cfRule type="containsText" priority="1191" operator="containsText" dxfId="1" text="Einnahmen">
      <formula>NOT(ISERROR(SEARCH("Einnahmen",K131)))</formula>
    </cfRule>
    <cfRule type="containsText" priority="1192" operator="containsText" dxfId="0" text="Ausgaben">
      <formula>NOT(ISERROR(SEARCH("Ausgaben",K131)))</formula>
    </cfRule>
  </conditionalFormatting>
  <conditionalFormatting sqref="M131">
    <cfRule type="expression" priority="1190" dxfId="1390">
      <formula>ISBLANK(M131)</formula>
    </cfRule>
  </conditionalFormatting>
  <conditionalFormatting sqref="K132">
    <cfRule type="containsText" priority="1188" operator="containsText" dxfId="1" text="Einnahmen">
      <formula>NOT(ISERROR(SEARCH("Einnahmen",K132)))</formula>
    </cfRule>
    <cfRule type="containsText" priority="1189" operator="containsText" dxfId="0" text="Ausgaben">
      <formula>NOT(ISERROR(SEARCH("Ausgaben",K132)))</formula>
    </cfRule>
  </conditionalFormatting>
  <conditionalFormatting sqref="M132">
    <cfRule type="expression" priority="1187" dxfId="1390">
      <formula>ISBLANK(M132)</formula>
    </cfRule>
    <cfRule type="expression" priority="1186" dxfId="1390">
      <formula>ISBLANK(M132)</formula>
    </cfRule>
    <cfRule type="expression" priority="1185" dxfId="1390">
      <formula>ISBLANK(M132)</formula>
    </cfRule>
    <cfRule type="expression" priority="1184" dxfId="1390">
      <formula>ISBLANK(M132)</formula>
    </cfRule>
  </conditionalFormatting>
  <conditionalFormatting sqref="K133">
    <cfRule type="containsText" priority="1182" operator="containsText" dxfId="1" text="Einnahmen">
      <formula>NOT(ISERROR(SEARCH("Einnahmen",K133)))</formula>
    </cfRule>
    <cfRule type="containsText" priority="1183" operator="containsText" dxfId="0" text="Ausgaben">
      <formula>NOT(ISERROR(SEARCH("Ausgaben",K133)))</formula>
    </cfRule>
  </conditionalFormatting>
  <conditionalFormatting sqref="K134">
    <cfRule type="containsText" priority="1180" operator="containsText" dxfId="1" text="Einnahmen">
      <formula>NOT(ISERROR(SEARCH("Einnahmen",K134)))</formula>
    </cfRule>
    <cfRule type="containsText" priority="1181" operator="containsText" dxfId="0" text="Ausgaben">
      <formula>NOT(ISERROR(SEARCH("Ausgaben",K134)))</formula>
    </cfRule>
  </conditionalFormatting>
  <conditionalFormatting sqref="M134">
    <cfRule type="expression" priority="1179" dxfId="1390">
      <formula>ISBLANK(M134)</formula>
    </cfRule>
    <cfRule type="expression" priority="1178" dxfId="1390">
      <formula>ISBLANK(M134)</formula>
    </cfRule>
  </conditionalFormatting>
  <conditionalFormatting sqref="K135">
    <cfRule type="containsText" priority="1176" operator="containsText" dxfId="1" text="Einnahmen">
      <formula>NOT(ISERROR(SEARCH("Einnahmen",K135)))</formula>
    </cfRule>
    <cfRule type="containsText" priority="1177" operator="containsText" dxfId="0" text="Ausgaben">
      <formula>NOT(ISERROR(SEARCH("Ausgaben",K135)))</formula>
    </cfRule>
  </conditionalFormatting>
  <conditionalFormatting sqref="M136">
    <cfRule type="expression" priority="1175" dxfId="1390">
      <formula>ISBLANK(M136)</formula>
    </cfRule>
  </conditionalFormatting>
  <conditionalFormatting sqref="K136">
    <cfRule type="containsText" priority="1173" operator="containsText" dxfId="1" text="Einnahmen">
      <formula>NOT(ISERROR(SEARCH("Einnahmen",K136)))</formula>
    </cfRule>
    <cfRule type="containsText" priority="1174" operator="containsText" dxfId="0" text="Ausgaben">
      <formula>NOT(ISERROR(SEARCH("Ausgaben",K136)))</formula>
    </cfRule>
  </conditionalFormatting>
  <conditionalFormatting sqref="K137">
    <cfRule type="containsText" priority="1171" operator="containsText" dxfId="1" text="Einnahmen">
      <formula>NOT(ISERROR(SEARCH("Einnahmen",K137)))</formula>
    </cfRule>
    <cfRule type="containsText" priority="1172" operator="containsText" dxfId="0" text="Ausgaben">
      <formula>NOT(ISERROR(SEARCH("Ausgaben",K137)))</formula>
    </cfRule>
  </conditionalFormatting>
  <conditionalFormatting sqref="M137">
    <cfRule type="expression" priority="1170" dxfId="1390">
      <formula>ISBLANK(M137)</formula>
    </cfRule>
  </conditionalFormatting>
  <conditionalFormatting sqref="M138">
    <cfRule type="expression" priority="1169" dxfId="1390">
      <formula>ISBLANK(M138)</formula>
    </cfRule>
  </conditionalFormatting>
  <conditionalFormatting sqref="K138">
    <cfRule type="containsText" priority="1167" operator="containsText" dxfId="1" text="Einnahmen">
      <formula>NOT(ISERROR(SEARCH("Einnahmen",K138)))</formula>
    </cfRule>
    <cfRule type="containsText" priority="1168" operator="containsText" dxfId="0" text="Ausgaben">
      <formula>NOT(ISERROR(SEARCH("Ausgaben",K138)))</formula>
    </cfRule>
  </conditionalFormatting>
  <conditionalFormatting sqref="K139">
    <cfRule type="containsText" priority="1165" operator="containsText" dxfId="1" text="Einnahmen">
      <formula>NOT(ISERROR(SEARCH("Einnahmen",K139)))</formula>
    </cfRule>
    <cfRule type="containsText" priority="1166" operator="containsText" dxfId="0" text="Ausgaben">
      <formula>NOT(ISERROR(SEARCH("Ausgaben",K139)))</formula>
    </cfRule>
  </conditionalFormatting>
  <conditionalFormatting sqref="K140">
    <cfRule type="containsText" priority="1163" operator="containsText" dxfId="1" text="Einnahmen">
      <formula>NOT(ISERROR(SEARCH("Einnahmen",K140)))</formula>
    </cfRule>
    <cfRule type="containsText" priority="1164" operator="containsText" dxfId="0" text="Ausgaben">
      <formula>NOT(ISERROR(SEARCH("Ausgaben",K140)))</formula>
    </cfRule>
  </conditionalFormatting>
  <conditionalFormatting sqref="M140">
    <cfRule type="expression" priority="1162" dxfId="1390">
      <formula>ISBLANK(M140)</formula>
    </cfRule>
  </conditionalFormatting>
  <conditionalFormatting sqref="K141">
    <cfRule type="containsText" priority="1160" operator="containsText" dxfId="1" text="Einnahmen">
      <formula>NOT(ISERROR(SEARCH("Einnahmen",K141)))</formula>
    </cfRule>
    <cfRule type="containsText" priority="1161" operator="containsText" dxfId="0" text="Ausgaben">
      <formula>NOT(ISERROR(SEARCH("Ausgaben",K141)))</formula>
    </cfRule>
  </conditionalFormatting>
  <conditionalFormatting sqref="M141">
    <cfRule type="expression" priority="1159" dxfId="1390">
      <formula>ISBLANK(M141)</formula>
    </cfRule>
  </conditionalFormatting>
  <conditionalFormatting sqref="K142">
    <cfRule type="containsText" priority="1157" operator="containsText" dxfId="1" text="Einnahmen">
      <formula>NOT(ISERROR(SEARCH("Einnahmen",K142)))</formula>
    </cfRule>
    <cfRule type="containsText" priority="1158" operator="containsText" dxfId="0" text="Ausgaben">
      <formula>NOT(ISERROR(SEARCH("Ausgaben",K142)))</formula>
    </cfRule>
  </conditionalFormatting>
  <conditionalFormatting sqref="K143">
    <cfRule type="containsText" priority="1155" operator="containsText" dxfId="1" text="Einnahmen">
      <formula>NOT(ISERROR(SEARCH("Einnahmen",K143)))</formula>
    </cfRule>
    <cfRule type="containsText" priority="1156" operator="containsText" dxfId="0" text="Ausgaben">
      <formula>NOT(ISERROR(SEARCH("Ausgaben",K143)))</formula>
    </cfRule>
  </conditionalFormatting>
  <conditionalFormatting sqref="K144">
    <cfRule type="containsText" priority="1153" operator="containsText" dxfId="1" text="Einnahmen">
      <formula>NOT(ISERROR(SEARCH("Einnahmen",K144)))</formula>
    </cfRule>
    <cfRule type="containsText" priority="1154" operator="containsText" dxfId="0" text="Ausgaben">
      <formula>NOT(ISERROR(SEARCH("Ausgaben",K144)))</formula>
    </cfRule>
  </conditionalFormatting>
  <conditionalFormatting sqref="K145">
    <cfRule type="containsText" priority="1151" operator="containsText" dxfId="1" text="Einnahmen">
      <formula>NOT(ISERROR(SEARCH("Einnahmen",K145)))</formula>
    </cfRule>
    <cfRule type="containsText" priority="1152" operator="containsText" dxfId="0" text="Ausgaben">
      <formula>NOT(ISERROR(SEARCH("Ausgaben",K145)))</formula>
    </cfRule>
  </conditionalFormatting>
  <conditionalFormatting sqref="M145">
    <cfRule type="expression" priority="1150" dxfId="1390">
      <formula>ISBLANK(M145)</formula>
    </cfRule>
  </conditionalFormatting>
  <conditionalFormatting sqref="M146">
    <cfRule type="expression" priority="1149" dxfId="1390">
      <formula>ISBLANK(M146)</formula>
    </cfRule>
  </conditionalFormatting>
  <conditionalFormatting sqref="K146">
    <cfRule type="containsText" priority="1147" operator="containsText" dxfId="1" text="Einnahmen">
      <formula>NOT(ISERROR(SEARCH("Einnahmen",K146)))</formula>
    </cfRule>
    <cfRule type="containsText" priority="1148" operator="containsText" dxfId="0" text="Ausgaben">
      <formula>NOT(ISERROR(SEARCH("Ausgaben",K146)))</formula>
    </cfRule>
  </conditionalFormatting>
  <conditionalFormatting sqref="K147">
    <cfRule type="containsText" priority="1145" operator="containsText" dxfId="1" text="Einnahmen">
      <formula>NOT(ISERROR(SEARCH("Einnahmen",K147)))</formula>
    </cfRule>
    <cfRule type="containsText" priority="1146" operator="containsText" dxfId="0" text="Ausgaben">
      <formula>NOT(ISERROR(SEARCH("Ausgaben",K147)))</formula>
    </cfRule>
  </conditionalFormatting>
  <conditionalFormatting sqref="M147">
    <cfRule type="expression" priority="1144" dxfId="1390">
      <formula>ISBLANK(M147)</formula>
    </cfRule>
    <cfRule type="expression" priority="1143" dxfId="1390">
      <formula>ISBLANK(M147)</formula>
    </cfRule>
    <cfRule type="expression" priority="1142" dxfId="1390">
      <formula>ISBLANK(M147)</formula>
    </cfRule>
    <cfRule type="expression" priority="1141" dxfId="1390">
      <formula>ISBLANK(M147)</formula>
    </cfRule>
  </conditionalFormatting>
  <conditionalFormatting sqref="K148">
    <cfRule type="containsText" priority="1139" operator="containsText" dxfId="1" text="Einnahmen">
      <formula>NOT(ISERROR(SEARCH("Einnahmen",K148)))</formula>
    </cfRule>
    <cfRule type="containsText" priority="1140" operator="containsText" dxfId="0" text="Ausgaben">
      <formula>NOT(ISERROR(SEARCH("Ausgaben",K148)))</formula>
    </cfRule>
  </conditionalFormatting>
  <conditionalFormatting sqref="M148">
    <cfRule type="expression" priority="1138" dxfId="1390">
      <formula>ISBLANK(M148)</formula>
    </cfRule>
    <cfRule type="expression" priority="1137" dxfId="1390">
      <formula>ISBLANK(M148)</formula>
    </cfRule>
  </conditionalFormatting>
  <conditionalFormatting sqref="K149">
    <cfRule type="containsText" priority="1135" operator="containsText" dxfId="1" text="Einnahmen">
      <formula>NOT(ISERROR(SEARCH("Einnahmen",K149)))</formula>
    </cfRule>
    <cfRule type="containsText" priority="1136" operator="containsText" dxfId="0" text="Ausgaben">
      <formula>NOT(ISERROR(SEARCH("Ausgaben",K149)))</formula>
    </cfRule>
  </conditionalFormatting>
  <conditionalFormatting sqref="M149">
    <cfRule type="expression" priority="1134" dxfId="1390">
      <formula>ISBLANK(M149)</formula>
    </cfRule>
  </conditionalFormatting>
  <conditionalFormatting sqref="K150">
    <cfRule type="containsText" priority="1132" operator="containsText" dxfId="1" text="Einnahmen">
      <formula>NOT(ISERROR(SEARCH("Einnahmen",K150)))</formula>
    </cfRule>
    <cfRule type="containsText" priority="1133" operator="containsText" dxfId="0" text="Ausgaben">
      <formula>NOT(ISERROR(SEARCH("Ausgaben",K150)))</formula>
    </cfRule>
  </conditionalFormatting>
  <conditionalFormatting sqref="K151">
    <cfRule type="containsText" priority="1130" operator="containsText" dxfId="1" text="Einnahmen">
      <formula>NOT(ISERROR(SEARCH("Einnahmen",K151)))</formula>
    </cfRule>
    <cfRule type="containsText" priority="1131" operator="containsText" dxfId="0" text="Ausgaben">
      <formula>NOT(ISERROR(SEARCH("Ausgaben",K151)))</formula>
    </cfRule>
  </conditionalFormatting>
  <conditionalFormatting sqref="M152">
    <cfRule type="expression" priority="1129" dxfId="1390">
      <formula>ISBLANK(M152)</formula>
    </cfRule>
  </conditionalFormatting>
  <conditionalFormatting sqref="K152">
    <cfRule type="containsText" priority="1127" operator="containsText" dxfId="1" text="Einnahmen">
      <formula>NOT(ISERROR(SEARCH("Einnahmen",K152)))</formula>
    </cfRule>
    <cfRule type="containsText" priority="1128" operator="containsText" dxfId="0" text="Ausgaben">
      <formula>NOT(ISERROR(SEARCH("Ausgaben",K152)))</formula>
    </cfRule>
  </conditionalFormatting>
  <conditionalFormatting sqref="K153 K156 K168 K193:K194">
    <cfRule type="containsText" priority="1125" operator="containsText" dxfId="1" text="Einnahmen">
      <formula>NOT(ISERROR(SEARCH("Einnahmen",K153)))</formula>
    </cfRule>
    <cfRule type="containsText" priority="1126" operator="containsText" dxfId="0" text="Ausgaben">
      <formula>NOT(ISERROR(SEARCH("Ausgaben",K153)))</formula>
    </cfRule>
  </conditionalFormatting>
  <conditionalFormatting sqref="K154">
    <cfRule type="containsText" priority="1123" operator="containsText" dxfId="1" text="Einnahmen">
      <formula>NOT(ISERROR(SEARCH("Einnahmen",K154)))</formula>
    </cfRule>
    <cfRule type="containsText" priority="1124" operator="containsText" dxfId="0" text="Ausgaben">
      <formula>NOT(ISERROR(SEARCH("Ausgaben",K154)))</formula>
    </cfRule>
  </conditionalFormatting>
  <conditionalFormatting sqref="K155">
    <cfRule type="containsText" priority="1121" operator="containsText" dxfId="1" text="Einnahmen">
      <formula>NOT(ISERROR(SEARCH("Einnahmen",K155)))</formula>
    </cfRule>
    <cfRule type="containsText" priority="1122" operator="containsText" dxfId="0" text="Ausgaben">
      <formula>NOT(ISERROR(SEARCH("Ausgaben",K155)))</formula>
    </cfRule>
  </conditionalFormatting>
  <conditionalFormatting sqref="K157">
    <cfRule type="containsText" priority="1119" operator="containsText" dxfId="1" text="Einnahmen">
      <formula>NOT(ISERROR(SEARCH("Einnahmen",K157)))</formula>
    </cfRule>
    <cfRule type="containsText" priority="1120" operator="containsText" dxfId="0" text="Ausgaben">
      <formula>NOT(ISERROR(SEARCH("Ausgaben",K157)))</formula>
    </cfRule>
  </conditionalFormatting>
  <conditionalFormatting sqref="K158">
    <cfRule type="containsText" priority="1117" operator="containsText" dxfId="1" text="Einnahmen">
      <formula>NOT(ISERROR(SEARCH("Einnahmen",K158)))</formula>
    </cfRule>
    <cfRule type="containsText" priority="1118" operator="containsText" dxfId="0" text="Ausgaben">
      <formula>NOT(ISERROR(SEARCH("Ausgaben",K158)))</formula>
    </cfRule>
  </conditionalFormatting>
  <conditionalFormatting sqref="M158">
    <cfRule type="expression" priority="1116" dxfId="1390">
      <formula>ISBLANK(M158)</formula>
    </cfRule>
  </conditionalFormatting>
  <conditionalFormatting sqref="K159">
    <cfRule type="containsText" priority="1114" operator="containsText" dxfId="1" text="Einnahmen">
      <formula>NOT(ISERROR(SEARCH("Einnahmen",K159)))</formula>
    </cfRule>
    <cfRule type="containsText" priority="1115" operator="containsText" dxfId="0" text="Ausgaben">
      <formula>NOT(ISERROR(SEARCH("Ausgaben",K159)))</formula>
    </cfRule>
  </conditionalFormatting>
  <conditionalFormatting sqref="M159">
    <cfRule type="expression" priority="1113" dxfId="1390">
      <formula>ISBLANK(M159)</formula>
    </cfRule>
  </conditionalFormatting>
  <conditionalFormatting sqref="K160">
    <cfRule type="containsText" priority="1111" operator="containsText" dxfId="1" text="Einnahmen">
      <formula>NOT(ISERROR(SEARCH("Einnahmen",K160)))</formula>
    </cfRule>
    <cfRule type="containsText" priority="1112" operator="containsText" dxfId="0" text="Ausgaben">
      <formula>NOT(ISERROR(SEARCH("Ausgaben",K160)))</formula>
    </cfRule>
  </conditionalFormatting>
  <conditionalFormatting sqref="K161">
    <cfRule type="containsText" priority="1109" operator="containsText" dxfId="1" text="Einnahmen">
      <formula>NOT(ISERROR(SEARCH("Einnahmen",K161)))</formula>
    </cfRule>
    <cfRule type="containsText" priority="1110" operator="containsText" dxfId="0" text="Ausgaben">
      <formula>NOT(ISERROR(SEARCH("Ausgaben",K161)))</formula>
    </cfRule>
  </conditionalFormatting>
  <conditionalFormatting sqref="K162">
    <cfRule type="containsText" priority="1107" operator="containsText" dxfId="1" text="Einnahmen">
      <formula>NOT(ISERROR(SEARCH("Einnahmen",K162)))</formula>
    </cfRule>
    <cfRule type="containsText" priority="1108" operator="containsText" dxfId="0" text="Ausgaben">
      <formula>NOT(ISERROR(SEARCH("Ausgaben",K162)))</formula>
    </cfRule>
  </conditionalFormatting>
  <conditionalFormatting sqref="M162">
    <cfRule type="expression" priority="1106" dxfId="1390">
      <formula>ISBLANK(M162)</formula>
    </cfRule>
    <cfRule type="expression" priority="1105" dxfId="1390">
      <formula>ISBLANK(M162)</formula>
    </cfRule>
    <cfRule type="expression" priority="1104" dxfId="1390">
      <formula>ISBLANK(M162)</formula>
    </cfRule>
    <cfRule type="expression" priority="1103" dxfId="1390">
      <formula>ISBLANK(M162)</formula>
    </cfRule>
  </conditionalFormatting>
  <conditionalFormatting sqref="K163">
    <cfRule type="containsText" priority="1101" operator="containsText" dxfId="1" text="Einnahmen">
      <formula>NOT(ISERROR(SEARCH("Einnahmen",K163)))</formula>
    </cfRule>
    <cfRule type="containsText" priority="1102" operator="containsText" dxfId="0" text="Ausgaben">
      <formula>NOT(ISERROR(SEARCH("Ausgaben",K163)))</formula>
    </cfRule>
  </conditionalFormatting>
  <conditionalFormatting sqref="M163">
    <cfRule type="expression" priority="1100" dxfId="1390">
      <formula>ISBLANK(M163)</formula>
    </cfRule>
    <cfRule type="expression" priority="1099" dxfId="1390">
      <formula>ISBLANK(M163)</formula>
    </cfRule>
  </conditionalFormatting>
  <conditionalFormatting sqref="K164">
    <cfRule type="containsText" priority="1097" operator="containsText" dxfId="1" text="Einnahmen">
      <formula>NOT(ISERROR(SEARCH("Einnahmen",K164)))</formula>
    </cfRule>
    <cfRule type="containsText" priority="1098" operator="containsText" dxfId="0" text="Ausgaben">
      <formula>NOT(ISERROR(SEARCH("Ausgaben",K164)))</formula>
    </cfRule>
  </conditionalFormatting>
  <conditionalFormatting sqref="K165">
    <cfRule type="containsText" priority="1095" operator="containsText" dxfId="1" text="Einnahmen">
      <formula>NOT(ISERROR(SEARCH("Einnahmen",K165)))</formula>
    </cfRule>
    <cfRule type="containsText" priority="1096" operator="containsText" dxfId="0" text="Ausgaben">
      <formula>NOT(ISERROR(SEARCH("Ausgaben",K165)))</formula>
    </cfRule>
  </conditionalFormatting>
  <conditionalFormatting sqref="K166">
    <cfRule type="containsText" priority="1093" operator="containsText" dxfId="1" text="Einnahmen">
      <formula>NOT(ISERROR(SEARCH("Einnahmen",K166)))</formula>
    </cfRule>
    <cfRule type="containsText" priority="1094" operator="containsText" dxfId="0" text="Ausgaben">
      <formula>NOT(ISERROR(SEARCH("Ausgaben",K166)))</formula>
    </cfRule>
  </conditionalFormatting>
  <conditionalFormatting sqref="M166">
    <cfRule type="expression" priority="1092" dxfId="1390">
      <formula>ISBLANK(M166)</formula>
    </cfRule>
  </conditionalFormatting>
  <conditionalFormatting sqref="M167">
    <cfRule type="expression" priority="1091" dxfId="1390">
      <formula>ISBLANK(M167)</formula>
    </cfRule>
  </conditionalFormatting>
  <conditionalFormatting sqref="K167">
    <cfRule type="containsText" priority="1089" operator="containsText" dxfId="1" text="Einnahmen">
      <formula>NOT(ISERROR(SEARCH("Einnahmen",K167)))</formula>
    </cfRule>
    <cfRule type="containsText" priority="1090" operator="containsText" dxfId="0" text="Ausgaben">
      <formula>NOT(ISERROR(SEARCH("Ausgaben",K167)))</formula>
    </cfRule>
  </conditionalFormatting>
  <conditionalFormatting sqref="K169">
    <cfRule type="containsText" priority="1087" operator="containsText" dxfId="1" text="Einnahmen">
      <formula>NOT(ISERROR(SEARCH("Einnahmen",K169)))</formula>
    </cfRule>
    <cfRule type="containsText" priority="1088" operator="containsText" dxfId="0" text="Ausgaben">
      <formula>NOT(ISERROR(SEARCH("Ausgaben",K169)))</formula>
    </cfRule>
  </conditionalFormatting>
  <conditionalFormatting sqref="K170">
    <cfRule type="containsText" priority="1085" operator="containsText" dxfId="1" text="Einnahmen">
      <formula>NOT(ISERROR(SEARCH("Einnahmen",K170)))</formula>
    </cfRule>
    <cfRule type="containsText" priority="1086" operator="containsText" dxfId="0" text="Ausgaben">
      <formula>NOT(ISERROR(SEARCH("Ausgaben",K170)))</formula>
    </cfRule>
  </conditionalFormatting>
  <conditionalFormatting sqref="K171">
    <cfRule type="containsText" priority="1083" operator="containsText" dxfId="1" text="Einnahmen">
      <formula>NOT(ISERROR(SEARCH("Einnahmen",K171)))</formula>
    </cfRule>
    <cfRule type="containsText" priority="1084" operator="containsText" dxfId="0" text="Ausgaben">
      <formula>NOT(ISERROR(SEARCH("Ausgaben",K171)))</formula>
    </cfRule>
  </conditionalFormatting>
  <conditionalFormatting sqref="K172">
    <cfRule type="containsText" priority="1081" operator="containsText" dxfId="1" text="Einnahmen">
      <formula>NOT(ISERROR(SEARCH("Einnahmen",K172)))</formula>
    </cfRule>
    <cfRule type="containsText" priority="1082" operator="containsText" dxfId="0" text="Ausgaben">
      <formula>NOT(ISERROR(SEARCH("Ausgaben",K172)))</formula>
    </cfRule>
  </conditionalFormatting>
  <conditionalFormatting sqref="K173">
    <cfRule type="containsText" priority="1079" operator="containsText" dxfId="1" text="Einnahmen">
      <formula>NOT(ISERROR(SEARCH("Einnahmen",K173)))</formula>
    </cfRule>
    <cfRule type="containsText" priority="1080" operator="containsText" dxfId="0" text="Ausgaben">
      <formula>NOT(ISERROR(SEARCH("Ausgaben",K173)))</formula>
    </cfRule>
  </conditionalFormatting>
  <conditionalFormatting sqref="K174">
    <cfRule type="containsText" priority="1077" operator="containsText" dxfId="1" text="Einnahmen">
      <formula>NOT(ISERROR(SEARCH("Einnahmen",K174)))</formula>
    </cfRule>
    <cfRule type="containsText" priority="1078" operator="containsText" dxfId="0" text="Ausgaben">
      <formula>NOT(ISERROR(SEARCH("Ausgaben",K174)))</formula>
    </cfRule>
  </conditionalFormatting>
  <conditionalFormatting sqref="K175">
    <cfRule type="containsText" priority="1075" operator="containsText" dxfId="1" text="Einnahmen">
      <formula>NOT(ISERROR(SEARCH("Einnahmen",K175)))</formula>
    </cfRule>
    <cfRule type="containsText" priority="1076" operator="containsText" dxfId="0" text="Ausgaben">
      <formula>NOT(ISERROR(SEARCH("Ausgaben",K175)))</formula>
    </cfRule>
  </conditionalFormatting>
  <conditionalFormatting sqref="K176">
    <cfRule type="containsText" priority="1073" operator="containsText" dxfId="1" text="Einnahmen">
      <formula>NOT(ISERROR(SEARCH("Einnahmen",K176)))</formula>
    </cfRule>
    <cfRule type="containsText" priority="1074" operator="containsText" dxfId="0" text="Ausgaben">
      <formula>NOT(ISERROR(SEARCH("Ausgaben",K176)))</formula>
    </cfRule>
  </conditionalFormatting>
  <conditionalFormatting sqref="K177">
    <cfRule type="containsText" priority="1071" operator="containsText" dxfId="1" text="Einnahmen">
      <formula>NOT(ISERROR(SEARCH("Einnahmen",K177)))</formula>
    </cfRule>
    <cfRule type="containsText" priority="1072" operator="containsText" dxfId="0" text="Ausgaben">
      <formula>NOT(ISERROR(SEARCH("Ausgaben",K177)))</formula>
    </cfRule>
  </conditionalFormatting>
  <conditionalFormatting sqref="M177">
    <cfRule type="expression" priority="1070" dxfId="1390">
      <formula>ISBLANK(M177)</formula>
    </cfRule>
  </conditionalFormatting>
  <conditionalFormatting sqref="K178">
    <cfRule type="containsText" priority="1068" operator="containsText" dxfId="1" text="Einnahmen">
      <formula>NOT(ISERROR(SEARCH("Einnahmen",K178)))</formula>
    </cfRule>
    <cfRule type="containsText" priority="1069" operator="containsText" dxfId="0" text="Ausgaben">
      <formula>NOT(ISERROR(SEARCH("Ausgaben",K178)))</formula>
    </cfRule>
  </conditionalFormatting>
  <conditionalFormatting sqref="K179">
    <cfRule type="containsText" priority="1066" operator="containsText" dxfId="1" text="Einnahmen">
      <formula>NOT(ISERROR(SEARCH("Einnahmen",K179)))</formula>
    </cfRule>
    <cfRule type="containsText" priority="1067" operator="containsText" dxfId="0" text="Ausgaben">
      <formula>NOT(ISERROR(SEARCH("Ausgaben",K179)))</formula>
    </cfRule>
  </conditionalFormatting>
  <conditionalFormatting sqref="M179">
    <cfRule type="expression" priority="1065" dxfId="1390">
      <formula>ISBLANK(M179)</formula>
    </cfRule>
  </conditionalFormatting>
  <conditionalFormatting sqref="K180">
    <cfRule type="containsText" priority="1063" operator="containsText" dxfId="1" text="Einnahmen">
      <formula>NOT(ISERROR(SEARCH("Einnahmen",K180)))</formula>
    </cfRule>
    <cfRule type="containsText" priority="1064" operator="containsText" dxfId="0" text="Ausgaben">
      <formula>NOT(ISERROR(SEARCH("Ausgaben",K180)))</formula>
    </cfRule>
  </conditionalFormatting>
  <conditionalFormatting sqref="M180">
    <cfRule type="expression" priority="1062" dxfId="1390">
      <formula>ISBLANK(M180)</formula>
    </cfRule>
    <cfRule type="expression" priority="1061" dxfId="1390">
      <formula>ISBLANK(M180)</formula>
    </cfRule>
    <cfRule type="expression" priority="1060" dxfId="1390">
      <formula>ISBLANK(M180)</formula>
    </cfRule>
    <cfRule type="expression" priority="1059" dxfId="1390">
      <formula>ISBLANK(M180)</formula>
    </cfRule>
  </conditionalFormatting>
  <conditionalFormatting sqref="K181">
    <cfRule type="containsText" priority="1057" operator="containsText" dxfId="1" text="Einnahmen">
      <formula>NOT(ISERROR(SEARCH("Einnahmen",K181)))</formula>
    </cfRule>
    <cfRule type="containsText" priority="1058" operator="containsText" dxfId="0" text="Ausgaben">
      <formula>NOT(ISERROR(SEARCH("Ausgaben",K181)))</formula>
    </cfRule>
  </conditionalFormatting>
  <conditionalFormatting sqref="M181">
    <cfRule type="expression" priority="1056" dxfId="1390">
      <formula>ISBLANK(M181)</formula>
    </cfRule>
    <cfRule type="expression" priority="1055" dxfId="1390">
      <formula>ISBLANK(M181)</formula>
    </cfRule>
  </conditionalFormatting>
  <conditionalFormatting sqref="K182">
    <cfRule type="containsText" priority="1053" operator="containsText" dxfId="1" text="Einnahmen">
      <formula>NOT(ISERROR(SEARCH("Einnahmen",K182)))</formula>
    </cfRule>
    <cfRule type="containsText" priority="1054" operator="containsText" dxfId="0" text="Ausgaben">
      <formula>NOT(ISERROR(SEARCH("Ausgaben",K182)))</formula>
    </cfRule>
    <cfRule type="containsText" priority="1051" operator="containsText" dxfId="1" text="Einnahmen">
      <formula>NOT(ISERROR(SEARCH("Einnahmen",K182)))</formula>
    </cfRule>
    <cfRule type="containsText" priority="1052" operator="containsText" dxfId="0" text="Ausgaben">
      <formula>NOT(ISERROR(SEARCH("Ausgaben",K182)))</formula>
    </cfRule>
  </conditionalFormatting>
  <conditionalFormatting sqref="K183">
    <cfRule type="containsText" priority="1049" operator="containsText" dxfId="1" text="Einnahmen">
      <formula>NOT(ISERROR(SEARCH("Einnahmen",K183)))</formula>
    </cfRule>
    <cfRule type="containsText" priority="1050" operator="containsText" dxfId="0" text="Ausgaben">
      <formula>NOT(ISERROR(SEARCH("Ausgaben",K183)))</formula>
    </cfRule>
  </conditionalFormatting>
  <conditionalFormatting sqref="M184">
    <cfRule type="expression" priority="1048" dxfId="1390">
      <formula>ISBLANK(M184)</formula>
    </cfRule>
  </conditionalFormatting>
  <conditionalFormatting sqref="K184">
    <cfRule type="containsText" priority="1046" operator="containsText" dxfId="1" text="Einnahmen">
      <formula>NOT(ISERROR(SEARCH("Einnahmen",K184)))</formula>
    </cfRule>
    <cfRule type="containsText" priority="1047" operator="containsText" dxfId="0" text="Ausgaben">
      <formula>NOT(ISERROR(SEARCH("Ausgaben",K184)))</formula>
    </cfRule>
  </conditionalFormatting>
  <conditionalFormatting sqref="K185">
    <cfRule type="containsText" priority="1044" operator="containsText" dxfId="1" text="Einnahmen">
      <formula>NOT(ISERROR(SEARCH("Einnahmen",K185)))</formula>
    </cfRule>
    <cfRule type="containsText" priority="1045" operator="containsText" dxfId="0" text="Ausgaben">
      <formula>NOT(ISERROR(SEARCH("Ausgaben",K185)))</formula>
    </cfRule>
  </conditionalFormatting>
  <conditionalFormatting sqref="K186">
    <cfRule type="containsText" priority="1042" operator="containsText" dxfId="1" text="Einnahmen">
      <formula>NOT(ISERROR(SEARCH("Einnahmen",K186)))</formula>
    </cfRule>
    <cfRule type="containsText" priority="1043" operator="containsText" dxfId="0" text="Ausgaben">
      <formula>NOT(ISERROR(SEARCH("Ausgaben",K186)))</formula>
    </cfRule>
  </conditionalFormatting>
  <conditionalFormatting sqref="K189">
    <cfRule type="containsText" priority="1040" operator="containsText" dxfId="1" text="Einnahmen">
      <formula>NOT(ISERROR(SEARCH("Einnahmen",K189)))</formula>
    </cfRule>
    <cfRule type="containsText" priority="1041" operator="containsText" dxfId="0" text="Ausgaben">
      <formula>NOT(ISERROR(SEARCH("Ausgaben",K189)))</formula>
    </cfRule>
  </conditionalFormatting>
  <conditionalFormatting sqref="M189">
    <cfRule type="expression" priority="1039" dxfId="1390">
      <formula>ISBLANK(M189)</formula>
    </cfRule>
  </conditionalFormatting>
  <conditionalFormatting sqref="K190">
    <cfRule type="containsText" priority="1037" operator="containsText" dxfId="1" text="Einnahmen">
      <formula>NOT(ISERROR(SEARCH("Einnahmen",K190)))</formula>
    </cfRule>
    <cfRule type="containsText" priority="1038" operator="containsText" dxfId="0" text="Ausgaben">
      <formula>NOT(ISERROR(SEARCH("Ausgaben",K190)))</formula>
    </cfRule>
  </conditionalFormatting>
  <conditionalFormatting sqref="M190">
    <cfRule type="expression" priority="1036" dxfId="1390">
      <formula>ISBLANK(M190)</formula>
    </cfRule>
  </conditionalFormatting>
  <conditionalFormatting sqref="K192">
    <cfRule type="containsText" priority="1034" operator="containsText" dxfId="1" text="Einnahmen">
      <formula>NOT(ISERROR(SEARCH("Einnahmen",K192)))</formula>
    </cfRule>
    <cfRule type="containsText" priority="1035" operator="containsText" dxfId="0" text="Ausgaben">
      <formula>NOT(ISERROR(SEARCH("Ausgaben",K192)))</formula>
    </cfRule>
  </conditionalFormatting>
  <conditionalFormatting sqref="K191">
    <cfRule type="containsText" priority="1032" operator="containsText" dxfId="1" text="Einnahmen">
      <formula>NOT(ISERROR(SEARCH("Einnahmen",K191)))</formula>
    </cfRule>
    <cfRule type="containsText" priority="1033" operator="containsText" dxfId="0" text="Ausgaben">
      <formula>NOT(ISERROR(SEARCH("Ausgaben",K191)))</formula>
    </cfRule>
  </conditionalFormatting>
  <conditionalFormatting sqref="K187">
    <cfRule type="containsText" priority="1030" operator="containsText" dxfId="1" text="Einnahmen">
      <formula>NOT(ISERROR(SEARCH("Einnahmen",K187)))</formula>
    </cfRule>
    <cfRule type="containsText" priority="1031" operator="containsText" dxfId="0" text="Ausgaben">
      <formula>NOT(ISERROR(SEARCH("Ausgaben",K187)))</formula>
    </cfRule>
  </conditionalFormatting>
  <conditionalFormatting sqref="K188">
    <cfRule type="containsText" priority="1028" operator="containsText" dxfId="1" text="Einnahmen">
      <formula>NOT(ISERROR(SEARCH("Einnahmen",K188)))</formula>
    </cfRule>
    <cfRule type="containsText" priority="1029" operator="containsText" dxfId="0" text="Ausgaben">
      <formula>NOT(ISERROR(SEARCH("Ausgaben",K188)))</formula>
    </cfRule>
  </conditionalFormatting>
  <conditionalFormatting sqref="M194">
    <cfRule type="expression" priority="1027" dxfId="1390">
      <formula>ISBLANK(M194)</formula>
    </cfRule>
  </conditionalFormatting>
  <conditionalFormatting sqref="Q9:Q10 Q14 Q27 Q37 Q51 Q53 Q55 Q61 Q66 Q68 Q70 Q80 Q110 Q153 Q156 Q168 Q192:Q194">
    <cfRule type="cellIs" priority="1026" operator="equal" dxfId="2034">
      <formula>"ja"</formula>
    </cfRule>
  </conditionalFormatting>
  <conditionalFormatting sqref="AG192">
    <cfRule type="dataBar" priority="1025">
      <dataBar>
        <cfvo type="min"/>
        <cfvo type="max"/>
        <color rgb="FF63C384"/>
      </dataBar>
    </cfRule>
    <cfRule type="dataBar" priority="1024">
      <dataBar>
        <cfvo type="min"/>
        <cfvo type="max"/>
        <color rgb="FF63C384"/>
      </dataBar>
    </cfRule>
    <cfRule type="dataBar" priority="19">
      <dataBar>
        <cfvo type="min"/>
        <cfvo type="max"/>
        <color rgb="FF63C384"/>
      </dataBar>
    </cfRule>
    <cfRule type="dataBar" priority="18">
      <dataBar>
        <cfvo type="min"/>
        <cfvo type="max"/>
        <color rgb="FF63C384"/>
      </dataBar>
    </cfRule>
  </conditionalFormatting>
  <conditionalFormatting sqref="AA9:AA10 AA27 AA37">
    <cfRule type="expression" priority="1023" dxfId="2">
      <formula>AND(AND($W9&lt;TODAY(),$W9&lt;&gt;""),$X9="")</formula>
    </cfRule>
  </conditionalFormatting>
  <conditionalFormatting sqref="AG9:AG10 AG27 AG37">
    <cfRule type="dataBar" priority="1022">
      <dataBar>
        <cfvo type="min"/>
        <cfvo type="max"/>
        <color rgb="FF63C384"/>
      </dataBar>
    </cfRule>
  </conditionalFormatting>
  <conditionalFormatting sqref="AG9:AG10">
    <cfRule type="dataBar" priority="1021">
      <dataBar>
        <cfvo type="min"/>
        <cfvo type="max"/>
        <color rgb="FF63C384"/>
      </dataBar>
    </cfRule>
  </conditionalFormatting>
  <conditionalFormatting sqref="AA29">
    <cfRule type="expression" priority="878" dxfId="2">
      <formula>AND(AND($W29&lt;TODAY(),$W29&lt;&gt;""),$X29="")</formula>
    </cfRule>
  </conditionalFormatting>
  <conditionalFormatting sqref="AA2">
    <cfRule type="expression" priority="1020" dxfId="2">
      <formula>AND(AND($W2&lt;TODAY(),$W2&lt;&gt;""),$X2="")</formula>
    </cfRule>
  </conditionalFormatting>
  <conditionalFormatting sqref="AG2">
    <cfRule type="dataBar" priority="1019">
      <dataBar>
        <cfvo type="min"/>
        <cfvo type="max"/>
        <color rgb="FF63C384"/>
      </dataBar>
    </cfRule>
    <cfRule type="dataBar" priority="1018">
      <dataBar>
        <cfvo type="min"/>
        <cfvo type="max"/>
        <color rgb="FF63C384"/>
      </dataBar>
    </cfRule>
  </conditionalFormatting>
  <conditionalFormatting sqref="Q2">
    <cfRule type="cellIs" priority="1017" operator="equal" dxfId="2034">
      <formula>"ja"</formula>
    </cfRule>
  </conditionalFormatting>
  <conditionalFormatting sqref="Q3">
    <cfRule type="cellIs" priority="1016" operator="equal" dxfId="2034">
      <formula>"ja"</formula>
    </cfRule>
  </conditionalFormatting>
  <conditionalFormatting sqref="AA3">
    <cfRule type="expression" priority="1015" dxfId="2">
      <formula>AND(AND($W3&lt;TODAY(),$W3&lt;&gt;""),$X3="")</formula>
    </cfRule>
  </conditionalFormatting>
  <conditionalFormatting sqref="AG3">
    <cfRule type="dataBar" priority="1014">
      <dataBar>
        <cfvo type="min"/>
        <cfvo type="max"/>
        <color rgb="FF63C384"/>
      </dataBar>
    </cfRule>
    <cfRule type="dataBar" priority="1013">
      <dataBar>
        <cfvo type="min"/>
        <cfvo type="max"/>
        <color rgb="FF63C384"/>
      </dataBar>
    </cfRule>
  </conditionalFormatting>
  <conditionalFormatting sqref="AA4">
    <cfRule type="expression" priority="1012" dxfId="2">
      <formula>AND(AND($W4&lt;TODAY(),$W4&lt;&gt;""),$X4="")</formula>
    </cfRule>
  </conditionalFormatting>
  <conditionalFormatting sqref="Q4">
    <cfRule type="cellIs" priority="1011" operator="equal" dxfId="2034">
      <formula>"ja"</formula>
    </cfRule>
  </conditionalFormatting>
  <conditionalFormatting sqref="AG4">
    <cfRule type="dataBar" priority="1010">
      <dataBar>
        <cfvo type="min"/>
        <cfvo type="max"/>
        <color rgb="FF63C384"/>
      </dataBar>
    </cfRule>
    <cfRule type="dataBar" priority="1009">
      <dataBar>
        <cfvo type="min"/>
        <cfvo type="max"/>
        <color rgb="FF63C384"/>
      </dataBar>
    </cfRule>
  </conditionalFormatting>
  <conditionalFormatting sqref="Q8">
    <cfRule type="cellIs" priority="1008" operator="equal" dxfId="2034">
      <formula>"ja"</formula>
    </cfRule>
    <cfRule type="cellIs" priority="1004" operator="equal" dxfId="2034">
      <formula>"ja"</formula>
    </cfRule>
    <cfRule type="cellIs" priority="996" operator="equal" dxfId="2034">
      <formula>"ja"</formula>
    </cfRule>
    <cfRule type="cellIs" priority="988" operator="equal" dxfId="2034">
      <formula>"ja"</formula>
    </cfRule>
  </conditionalFormatting>
  <conditionalFormatting sqref="AA8">
    <cfRule type="expression" priority="1007" dxfId="2">
      <formula>AND(AND($W8&lt;TODAY(),$W8&lt;&gt;""),$X8="")</formula>
    </cfRule>
    <cfRule type="expression" priority="1003" dxfId="2">
      <formula>AND(AND($W8&lt;TODAY(),$W8&lt;&gt;""),$X8="")</formula>
    </cfRule>
    <cfRule type="expression" priority="995" dxfId="2">
      <formula>AND(AND($W8&lt;TODAY(),$W8&lt;&gt;""),$X8="")</formula>
    </cfRule>
    <cfRule type="expression" priority="987" dxfId="2">
      <formula>AND(AND($W8&lt;TODAY(),$W8&lt;&gt;""),$X8="")</formula>
    </cfRule>
  </conditionalFormatting>
  <conditionalFormatting sqref="AG8">
    <cfRule type="dataBar" priority="1006">
      <dataBar>
        <cfvo type="min"/>
        <cfvo type="max"/>
        <color rgb="FF63C384"/>
      </dataBar>
    </cfRule>
    <cfRule type="dataBar" priority="1005">
      <dataBar>
        <cfvo type="min"/>
        <cfvo type="max"/>
        <color rgb="FF63C384"/>
      </dataBar>
    </cfRule>
    <cfRule type="dataBar" priority="1002">
      <dataBar>
        <cfvo type="min"/>
        <cfvo type="max"/>
        <color rgb="FF63C384"/>
      </dataBar>
    </cfRule>
    <cfRule type="dataBar" priority="1001">
      <dataBar>
        <cfvo type="min"/>
        <cfvo type="max"/>
        <color rgb="FF63C384"/>
      </dataBar>
    </cfRule>
    <cfRule type="dataBar" priority="994">
      <dataBar>
        <cfvo type="min"/>
        <cfvo type="max"/>
        <color rgb="FF63C384"/>
      </dataBar>
    </cfRule>
    <cfRule type="dataBar" priority="993">
      <dataBar>
        <cfvo type="min"/>
        <cfvo type="max"/>
        <color rgb="FF63C384"/>
      </dataBar>
    </cfRule>
    <cfRule type="dataBar" priority="986">
      <dataBar>
        <cfvo type="min"/>
        <cfvo type="max"/>
        <color rgb="FF63C384"/>
      </dataBar>
    </cfRule>
    <cfRule type="dataBar" priority="985">
      <dataBar>
        <cfvo type="min"/>
        <cfvo type="max"/>
        <color rgb="FF63C384"/>
      </dataBar>
    </cfRule>
  </conditionalFormatting>
  <conditionalFormatting sqref="Q9">
    <cfRule type="cellIs" priority="1000" operator="equal" dxfId="2034">
      <formula>"ja"</formula>
    </cfRule>
    <cfRule type="cellIs" priority="992" operator="equal" dxfId="2034">
      <formula>"ja"</formula>
    </cfRule>
    <cfRule type="cellIs" priority="984" operator="equal" dxfId="2034">
      <formula>"ja"</formula>
    </cfRule>
  </conditionalFormatting>
  <conditionalFormatting sqref="AA9">
    <cfRule type="expression" priority="999" dxfId="2">
      <formula>AND(AND($W9&lt;TODAY(),$W9&lt;&gt;""),$X9="")</formula>
    </cfRule>
    <cfRule type="expression" priority="991" dxfId="2">
      <formula>AND(AND($W9&lt;TODAY(),$W9&lt;&gt;""),$X9="")</formula>
    </cfRule>
    <cfRule type="expression" priority="983" dxfId="2">
      <formula>AND(AND($W9&lt;TODAY(),$W9&lt;&gt;""),$X9="")</formula>
    </cfRule>
  </conditionalFormatting>
  <conditionalFormatting sqref="AG9">
    <cfRule type="dataBar" priority="998">
      <dataBar>
        <cfvo type="min"/>
        <cfvo type="max"/>
        <color rgb="FF63C384"/>
      </dataBar>
    </cfRule>
    <cfRule type="dataBar" priority="997">
      <dataBar>
        <cfvo type="min"/>
        <cfvo type="max"/>
        <color rgb="FF63C384"/>
      </dataBar>
    </cfRule>
    <cfRule type="dataBar" priority="990">
      <dataBar>
        <cfvo type="min"/>
        <cfvo type="max"/>
        <color rgb="FF63C384"/>
      </dataBar>
    </cfRule>
    <cfRule type="dataBar" priority="989">
      <dataBar>
        <cfvo type="min"/>
        <cfvo type="max"/>
        <color rgb="FF63C384"/>
      </dataBar>
    </cfRule>
    <cfRule type="dataBar" priority="982">
      <dataBar>
        <cfvo type="min"/>
        <cfvo type="max"/>
        <color rgb="FF63C384"/>
      </dataBar>
    </cfRule>
    <cfRule type="dataBar" priority="981">
      <dataBar>
        <cfvo type="min"/>
        <cfvo type="max"/>
        <color rgb="FF63C384"/>
      </dataBar>
    </cfRule>
  </conditionalFormatting>
  <conditionalFormatting sqref="Q10">
    <cfRule type="cellIs" priority="980" operator="equal" dxfId="2034">
      <formula>"ja"</formula>
    </cfRule>
  </conditionalFormatting>
  <conditionalFormatting sqref="AA10">
    <cfRule type="expression" priority="979" dxfId="2">
      <formula>AND(AND($W10&lt;TODAY(),$W10&lt;&gt;""),$X10="")</formula>
    </cfRule>
  </conditionalFormatting>
  <conditionalFormatting sqref="AG10">
    <cfRule type="dataBar" priority="978">
      <dataBar>
        <cfvo type="min"/>
        <cfvo type="max"/>
        <color rgb="FF63C384"/>
      </dataBar>
    </cfRule>
    <cfRule type="dataBar" priority="977">
      <dataBar>
        <cfvo type="min"/>
        <cfvo type="max"/>
        <color rgb="FF63C384"/>
      </dataBar>
    </cfRule>
  </conditionalFormatting>
  <conditionalFormatting sqref="AA7">
    <cfRule type="expression" priority="976" dxfId="2">
      <formula>AND(AND($W7&lt;TODAY(),$W7&lt;&gt;""),$X7="")</formula>
    </cfRule>
  </conditionalFormatting>
  <conditionalFormatting sqref="AG7">
    <cfRule type="dataBar" priority="975">
      <dataBar>
        <cfvo type="min"/>
        <cfvo type="max"/>
        <color rgb="FF63C384"/>
      </dataBar>
    </cfRule>
    <cfRule type="dataBar" priority="974">
      <dataBar>
        <cfvo type="min"/>
        <cfvo type="max"/>
        <color rgb="FF63C384"/>
      </dataBar>
    </cfRule>
  </conditionalFormatting>
  <conditionalFormatting sqref="Q6">
    <cfRule type="cellIs" priority="973" operator="equal" dxfId="2034">
      <formula>"ja"</formula>
    </cfRule>
  </conditionalFormatting>
  <conditionalFormatting sqref="AA6">
    <cfRule type="expression" priority="972" dxfId="2">
      <formula>AND(AND($W6&lt;TODAY(),$W6&lt;&gt;""),$X6="")</formula>
    </cfRule>
  </conditionalFormatting>
  <conditionalFormatting sqref="AG6">
    <cfRule type="dataBar" priority="971">
      <dataBar>
        <cfvo type="min"/>
        <cfvo type="max"/>
        <color rgb="FF63C384"/>
      </dataBar>
    </cfRule>
    <cfRule type="dataBar" priority="970">
      <dataBar>
        <cfvo type="min"/>
        <cfvo type="max"/>
        <color rgb="FF63C384"/>
      </dataBar>
    </cfRule>
  </conditionalFormatting>
  <conditionalFormatting sqref="Q5">
    <cfRule type="cellIs" priority="969" operator="equal" dxfId="2034">
      <formula>"ja"</formula>
    </cfRule>
  </conditionalFormatting>
  <conditionalFormatting sqref="AA5">
    <cfRule type="expression" priority="968" dxfId="2">
      <formula>AND(AND($W5&lt;TODAY(),$W5&lt;&gt;""),$X5="")</formula>
    </cfRule>
  </conditionalFormatting>
  <conditionalFormatting sqref="AG5">
    <cfRule type="dataBar" priority="967">
      <dataBar>
        <cfvo type="min"/>
        <cfvo type="max"/>
        <color rgb="FF63C384"/>
      </dataBar>
    </cfRule>
    <cfRule type="dataBar" priority="966">
      <dataBar>
        <cfvo type="min"/>
        <cfvo type="max"/>
        <color rgb="FF63C384"/>
      </dataBar>
    </cfRule>
  </conditionalFormatting>
  <conditionalFormatting sqref="AA11">
    <cfRule type="expression" priority="965" dxfId="2">
      <formula>AND(AND($W11&lt;TODAY(),$W11&lt;&gt;""),$X11="")</formula>
    </cfRule>
  </conditionalFormatting>
  <conditionalFormatting sqref="Q11">
    <cfRule type="cellIs" priority="964" operator="equal" dxfId="2034">
      <formula>"ja"</formula>
    </cfRule>
  </conditionalFormatting>
  <conditionalFormatting sqref="AG11">
    <cfRule type="dataBar" priority="963">
      <dataBar>
        <cfvo type="min"/>
        <cfvo type="max"/>
        <color rgb="FF63C384"/>
      </dataBar>
    </cfRule>
    <cfRule type="dataBar" priority="962">
      <dataBar>
        <cfvo type="min"/>
        <cfvo type="max"/>
        <color rgb="FF63C384"/>
      </dataBar>
    </cfRule>
  </conditionalFormatting>
  <conditionalFormatting sqref="AA12">
    <cfRule type="expression" priority="961" dxfId="2">
      <formula>AND(AND($W12&lt;TODAY(),$W12&lt;&gt;""),$X12="")</formula>
    </cfRule>
  </conditionalFormatting>
  <conditionalFormatting sqref="Q12">
    <cfRule type="cellIs" priority="960" operator="equal" dxfId="2034">
      <formula>"ja"</formula>
    </cfRule>
  </conditionalFormatting>
  <conditionalFormatting sqref="AG12">
    <cfRule type="dataBar" priority="959">
      <dataBar>
        <cfvo type="min"/>
        <cfvo type="max"/>
        <color rgb="FF63C384"/>
      </dataBar>
    </cfRule>
    <cfRule type="dataBar" priority="958">
      <dataBar>
        <cfvo type="min"/>
        <cfvo type="max"/>
        <color rgb="FF63C384"/>
      </dataBar>
    </cfRule>
  </conditionalFormatting>
  <conditionalFormatting sqref="AA13">
    <cfRule type="expression" priority="957" dxfId="2">
      <formula>AND(AND($W13&lt;TODAY(),$W13&lt;&gt;""),$X13="")</formula>
    </cfRule>
  </conditionalFormatting>
  <conditionalFormatting sqref="Q13">
    <cfRule type="cellIs" priority="956" operator="equal" dxfId="2034">
      <formula>"ja"</formula>
    </cfRule>
  </conditionalFormatting>
  <conditionalFormatting sqref="AG13">
    <cfRule type="dataBar" priority="955">
      <dataBar>
        <cfvo type="min"/>
        <cfvo type="max"/>
        <color rgb="FF63C384"/>
      </dataBar>
    </cfRule>
    <cfRule type="dataBar" priority="954">
      <dataBar>
        <cfvo type="min"/>
        <cfvo type="max"/>
        <color rgb="FF63C384"/>
      </dataBar>
    </cfRule>
  </conditionalFormatting>
  <conditionalFormatting sqref="AA14">
    <cfRule type="expression" priority="953" dxfId="2">
      <formula>AND(AND($W14&lt;TODAY(),$W14&lt;&gt;""),$X14="")</formula>
    </cfRule>
  </conditionalFormatting>
  <conditionalFormatting sqref="AG14">
    <cfRule type="dataBar" priority="952">
      <dataBar>
        <cfvo type="min"/>
        <cfvo type="max"/>
        <color rgb="FF63C384"/>
      </dataBar>
    </cfRule>
    <cfRule type="dataBar" priority="951">
      <dataBar>
        <cfvo type="min"/>
        <cfvo type="max"/>
        <color rgb="FF63C384"/>
      </dataBar>
    </cfRule>
  </conditionalFormatting>
  <conditionalFormatting sqref="Q15">
    <cfRule type="cellIs" priority="950" operator="equal" dxfId="2034">
      <formula>"ja"</formula>
    </cfRule>
  </conditionalFormatting>
  <conditionalFormatting sqref="AA15">
    <cfRule type="expression" priority="949" dxfId="2">
      <formula>AND(AND($W15&lt;TODAY(),$W15&lt;&gt;""),$X15="")</formula>
    </cfRule>
  </conditionalFormatting>
  <conditionalFormatting sqref="AG15">
    <cfRule type="dataBar" priority="948">
      <dataBar>
        <cfvo type="min"/>
        <cfvo type="max"/>
        <color rgb="FF63C384"/>
      </dataBar>
    </cfRule>
    <cfRule type="dataBar" priority="947">
      <dataBar>
        <cfvo type="min"/>
        <cfvo type="max"/>
        <color rgb="FF63C384"/>
      </dataBar>
    </cfRule>
  </conditionalFormatting>
  <conditionalFormatting sqref="Q16">
    <cfRule type="cellIs" priority="946" operator="equal" dxfId="2034">
      <formula>"ja"</formula>
    </cfRule>
  </conditionalFormatting>
  <conditionalFormatting sqref="AA16">
    <cfRule type="expression" priority="945" dxfId="2">
      <formula>AND(AND($W16&lt;TODAY(),$W16&lt;&gt;""),$X16="")</formula>
    </cfRule>
  </conditionalFormatting>
  <conditionalFormatting sqref="AG16">
    <cfRule type="dataBar" priority="944">
      <dataBar>
        <cfvo type="min"/>
        <cfvo type="max"/>
        <color rgb="FF63C384"/>
      </dataBar>
    </cfRule>
    <cfRule type="dataBar" priority="943">
      <dataBar>
        <cfvo type="min"/>
        <cfvo type="max"/>
        <color rgb="FF63C384"/>
      </dataBar>
    </cfRule>
  </conditionalFormatting>
  <conditionalFormatting sqref="Q17">
    <cfRule type="cellIs" priority="942" operator="equal" dxfId="2034">
      <formula>"ja"</formula>
    </cfRule>
  </conditionalFormatting>
  <conditionalFormatting sqref="AA17">
    <cfRule type="expression" priority="941" dxfId="2">
      <formula>AND(AND($W17&lt;TODAY(),$W17&lt;&gt;""),$X17="")</formula>
    </cfRule>
  </conditionalFormatting>
  <conditionalFormatting sqref="AG17">
    <cfRule type="dataBar" priority="940">
      <dataBar>
        <cfvo type="min"/>
        <cfvo type="max"/>
        <color rgb="FF63C384"/>
      </dataBar>
    </cfRule>
    <cfRule type="dataBar" priority="939">
      <dataBar>
        <cfvo type="min"/>
        <cfvo type="max"/>
        <color rgb="FF63C384"/>
      </dataBar>
    </cfRule>
  </conditionalFormatting>
  <conditionalFormatting sqref="AA18">
    <cfRule type="expression" priority="938" dxfId="2">
      <formula>AND(AND($W18&lt;TODAY(),$W18&lt;&gt;""),$X18="")</formula>
    </cfRule>
  </conditionalFormatting>
  <conditionalFormatting sqref="Q18">
    <cfRule type="cellIs" priority="937" operator="equal" dxfId="2034">
      <formula>"ja"</formula>
    </cfRule>
  </conditionalFormatting>
  <conditionalFormatting sqref="AG18">
    <cfRule type="dataBar" priority="936">
      <dataBar>
        <cfvo type="min"/>
        <cfvo type="max"/>
        <color rgb="FF63C384"/>
      </dataBar>
    </cfRule>
    <cfRule type="dataBar" priority="935">
      <dataBar>
        <cfvo type="min"/>
        <cfvo type="max"/>
        <color rgb="FF63C384"/>
      </dataBar>
    </cfRule>
  </conditionalFormatting>
  <conditionalFormatting sqref="Q19">
    <cfRule type="cellIs" priority="934" operator="equal" dxfId="2034">
      <formula>"ja"</formula>
    </cfRule>
  </conditionalFormatting>
  <conditionalFormatting sqref="AA19">
    <cfRule type="expression" priority="933" dxfId="2">
      <formula>AND(AND($W19&lt;TODAY(),$W19&lt;&gt;""),$X19="")</formula>
    </cfRule>
  </conditionalFormatting>
  <conditionalFormatting sqref="AG19">
    <cfRule type="dataBar" priority="932">
      <dataBar>
        <cfvo type="min"/>
        <cfvo type="max"/>
        <color rgb="FF63C384"/>
      </dataBar>
    </cfRule>
    <cfRule type="dataBar" priority="931">
      <dataBar>
        <cfvo type="min"/>
        <cfvo type="max"/>
        <color rgb="FF63C384"/>
      </dataBar>
    </cfRule>
  </conditionalFormatting>
  <conditionalFormatting sqref="AA20">
    <cfRule type="expression" priority="930" dxfId="2">
      <formula>AND(AND($W20&lt;TODAY(),$W20&lt;&gt;""),$X20="")</formula>
    </cfRule>
  </conditionalFormatting>
  <conditionalFormatting sqref="AG20">
    <cfRule type="dataBar" priority="929">
      <dataBar>
        <cfvo type="min"/>
        <cfvo type="max"/>
        <color rgb="FF63C384"/>
      </dataBar>
    </cfRule>
    <cfRule type="dataBar" priority="928">
      <dataBar>
        <cfvo type="min"/>
        <cfvo type="max"/>
        <color rgb="FF63C384"/>
      </dataBar>
    </cfRule>
  </conditionalFormatting>
  <conditionalFormatting sqref="AA21">
    <cfRule type="expression" priority="927" dxfId="2">
      <formula>AND(AND($W21&lt;TODAY(),$W21&lt;&gt;""),$X21="")</formula>
    </cfRule>
  </conditionalFormatting>
  <conditionalFormatting sqref="Q21">
    <cfRule type="cellIs" priority="926" operator="equal" dxfId="2034">
      <formula>"ja"</formula>
    </cfRule>
  </conditionalFormatting>
  <conditionalFormatting sqref="AG21">
    <cfRule type="dataBar" priority="925">
      <dataBar>
        <cfvo type="min"/>
        <cfvo type="max"/>
        <color rgb="FF63C384"/>
      </dataBar>
    </cfRule>
    <cfRule type="dataBar" priority="924">
      <dataBar>
        <cfvo type="min"/>
        <cfvo type="max"/>
        <color rgb="FF63C384"/>
      </dataBar>
    </cfRule>
  </conditionalFormatting>
  <conditionalFormatting sqref="AA22">
    <cfRule type="expression" priority="923" dxfId="2">
      <formula>AND(AND($W22&lt;TODAY(),$W22&lt;&gt;""),$X22="")</formula>
    </cfRule>
  </conditionalFormatting>
  <conditionalFormatting sqref="AG22">
    <cfRule type="dataBar" priority="922">
      <dataBar>
        <cfvo type="min"/>
        <cfvo type="max"/>
        <color rgb="FF63C384"/>
      </dataBar>
    </cfRule>
    <cfRule type="dataBar" priority="921">
      <dataBar>
        <cfvo type="min"/>
        <cfvo type="max"/>
        <color rgb="FF63C384"/>
      </dataBar>
    </cfRule>
  </conditionalFormatting>
  <conditionalFormatting sqref="Q22">
    <cfRule type="cellIs" priority="920" operator="equal" dxfId="2034">
      <formula>"ja"</formula>
    </cfRule>
  </conditionalFormatting>
  <conditionalFormatting sqref="Q23">
    <cfRule type="cellIs" priority="919" operator="equal" dxfId="2034">
      <formula>"ja"</formula>
    </cfRule>
  </conditionalFormatting>
  <conditionalFormatting sqref="AA23">
    <cfRule type="expression" priority="918" dxfId="2">
      <formula>AND(AND($W23&lt;TODAY(),$W23&lt;&gt;""),$X23="")</formula>
    </cfRule>
  </conditionalFormatting>
  <conditionalFormatting sqref="AG23">
    <cfRule type="dataBar" priority="917">
      <dataBar>
        <cfvo type="min"/>
        <cfvo type="max"/>
        <color rgb="FF63C384"/>
      </dataBar>
    </cfRule>
    <cfRule type="dataBar" priority="916">
      <dataBar>
        <cfvo type="min"/>
        <cfvo type="max"/>
        <color rgb="FF63C384"/>
      </dataBar>
    </cfRule>
  </conditionalFormatting>
  <conditionalFormatting sqref="Q24">
    <cfRule type="cellIs" priority="915" operator="equal" dxfId="2034">
      <formula>"ja"</formula>
    </cfRule>
  </conditionalFormatting>
  <conditionalFormatting sqref="AA24">
    <cfRule type="expression" priority="914" dxfId="2">
      <formula>AND(AND($W24&lt;TODAY(),$W24&lt;&gt;""),$X24="")</formula>
    </cfRule>
  </conditionalFormatting>
  <conditionalFormatting sqref="AG24">
    <cfRule type="dataBar" priority="913">
      <dataBar>
        <cfvo type="min"/>
        <cfvo type="max"/>
        <color rgb="FF63C384"/>
      </dataBar>
    </cfRule>
    <cfRule type="dataBar" priority="912">
      <dataBar>
        <cfvo type="min"/>
        <cfvo type="max"/>
        <color rgb="FF63C384"/>
      </dataBar>
    </cfRule>
  </conditionalFormatting>
  <conditionalFormatting sqref="Q25">
    <cfRule type="cellIs" priority="899" operator="equal" dxfId="2034">
      <formula>"ja"</formula>
    </cfRule>
    <cfRule type="cellIs" priority="887" operator="equal" dxfId="2034">
      <formula>"ja"</formula>
    </cfRule>
    <cfRule type="cellIs" priority="895" operator="equal" dxfId="2034">
      <formula>"ja"</formula>
    </cfRule>
    <cfRule type="cellIs" priority="891" operator="equal" dxfId="2034">
      <formula>"ja"</formula>
    </cfRule>
  </conditionalFormatting>
  <conditionalFormatting sqref="Q26">
    <cfRule type="cellIs" priority="911" operator="equal" dxfId="2034">
      <formula>"ja"</formula>
    </cfRule>
    <cfRule type="cellIs" priority="906" operator="equal" dxfId="2034">
      <formula>"ja"</formula>
    </cfRule>
  </conditionalFormatting>
  <conditionalFormatting sqref="AA26">
    <cfRule type="expression" priority="910" dxfId="2">
      <formula>AND(AND($W26&lt;TODAY(),$W26&lt;&gt;""),$X26="")</formula>
    </cfRule>
    <cfRule type="expression" priority="907" dxfId="2">
      <formula>AND(AND($W26&lt;TODAY(),$W26&lt;&gt;""),$X26="")</formula>
    </cfRule>
  </conditionalFormatting>
  <conditionalFormatting sqref="AG26">
    <cfRule type="dataBar" priority="909">
      <dataBar>
        <cfvo type="min"/>
        <cfvo type="max"/>
        <color rgb="FF63C384"/>
      </dataBar>
    </cfRule>
    <cfRule type="dataBar" priority="908">
      <dataBar>
        <cfvo type="min"/>
        <cfvo type="max"/>
        <color rgb="FF63C384"/>
      </dataBar>
    </cfRule>
    <cfRule type="dataBar" priority="905">
      <dataBar>
        <cfvo type="min"/>
        <cfvo type="max"/>
        <color rgb="FF63C384"/>
      </dataBar>
    </cfRule>
    <cfRule type="dataBar" priority="904">
      <dataBar>
        <cfvo type="min"/>
        <cfvo type="max"/>
        <color rgb="FF63C384"/>
      </dataBar>
    </cfRule>
  </conditionalFormatting>
  <conditionalFormatting sqref="Q27">
    <cfRule type="cellIs" priority="903" operator="equal" dxfId="2034">
      <formula>"ja"</formula>
    </cfRule>
  </conditionalFormatting>
  <conditionalFormatting sqref="AA27">
    <cfRule type="expression" priority="902" dxfId="2">
      <formula>AND(AND($W27&lt;TODAY(),$W27&lt;&gt;""),$X27="")</formula>
    </cfRule>
  </conditionalFormatting>
  <conditionalFormatting sqref="AG27">
    <cfRule type="dataBar" priority="901">
      <dataBar>
        <cfvo type="min"/>
        <cfvo type="max"/>
        <color rgb="FF63C384"/>
      </dataBar>
    </cfRule>
    <cfRule type="dataBar" priority="900">
      <dataBar>
        <cfvo type="min"/>
        <cfvo type="max"/>
        <color rgb="FF63C384"/>
      </dataBar>
    </cfRule>
  </conditionalFormatting>
  <conditionalFormatting sqref="AA25">
    <cfRule type="expression" priority="886" dxfId="2">
      <formula>AND(AND($W25&lt;TODAY(),$W25&lt;&gt;""),$X25="")</formula>
    </cfRule>
    <cfRule type="expression" priority="898" dxfId="2">
      <formula>AND(AND($W25&lt;TODAY(),$W25&lt;&gt;""),$X25="")</formula>
    </cfRule>
    <cfRule type="expression" priority="894" dxfId="2">
      <formula>AND(AND($W25&lt;TODAY(),$W25&lt;&gt;""),$X25="")</formula>
    </cfRule>
    <cfRule type="expression" priority="890" dxfId="2">
      <formula>AND(AND($W25&lt;TODAY(),$W25&lt;&gt;""),$X25="")</formula>
    </cfRule>
  </conditionalFormatting>
  <conditionalFormatting sqref="AG25">
    <cfRule type="dataBar" priority="897">
      <dataBar>
        <cfvo type="min"/>
        <cfvo type="max"/>
        <color rgb="FF63C384"/>
      </dataBar>
    </cfRule>
    <cfRule type="dataBar" priority="896">
      <dataBar>
        <cfvo type="min"/>
        <cfvo type="max"/>
        <color rgb="FF63C384"/>
      </dataBar>
    </cfRule>
    <cfRule type="dataBar" priority="893">
      <dataBar>
        <cfvo type="min"/>
        <cfvo type="max"/>
        <color rgb="FF63C384"/>
      </dataBar>
    </cfRule>
    <cfRule type="dataBar" priority="892">
      <dataBar>
        <cfvo type="min"/>
        <cfvo type="max"/>
        <color rgb="FF63C384"/>
      </dataBar>
    </cfRule>
    <cfRule type="dataBar" priority="889">
      <dataBar>
        <cfvo type="min"/>
        <cfvo type="max"/>
        <color rgb="FF63C384"/>
      </dataBar>
    </cfRule>
    <cfRule type="dataBar" priority="888">
      <dataBar>
        <cfvo type="min"/>
        <cfvo type="max"/>
        <color rgb="FF63C384"/>
      </dataBar>
    </cfRule>
    <cfRule type="dataBar" priority="885">
      <dataBar>
        <cfvo type="min"/>
        <cfvo type="max"/>
        <color rgb="FF63C384"/>
      </dataBar>
    </cfRule>
    <cfRule type="dataBar" priority="884">
      <dataBar>
        <cfvo type="min"/>
        <cfvo type="max"/>
        <color rgb="FF63C384"/>
      </dataBar>
    </cfRule>
  </conditionalFormatting>
  <conditionalFormatting sqref="Q28">
    <cfRule type="cellIs" priority="883" operator="equal" dxfId="2034">
      <formula>"ja"</formula>
    </cfRule>
  </conditionalFormatting>
  <conditionalFormatting sqref="AA28">
    <cfRule type="expression" priority="882" dxfId="2">
      <formula>AND(AND($W28&lt;TODAY(),$W28&lt;&gt;""),$X28="")</formula>
    </cfRule>
  </conditionalFormatting>
  <conditionalFormatting sqref="AG28">
    <cfRule type="dataBar" priority="881">
      <dataBar>
        <cfvo type="min"/>
        <cfvo type="max"/>
        <color rgb="FF63C384"/>
      </dataBar>
    </cfRule>
    <cfRule type="dataBar" priority="880">
      <dataBar>
        <cfvo type="min"/>
        <cfvo type="max"/>
        <color rgb="FF63C384"/>
      </dataBar>
    </cfRule>
  </conditionalFormatting>
  <conditionalFormatting sqref="Q29">
    <cfRule type="cellIs" priority="879" operator="equal" dxfId="2034">
      <formula>"ja"</formula>
    </cfRule>
  </conditionalFormatting>
  <conditionalFormatting sqref="AG29">
    <cfRule type="dataBar" priority="877">
      <dataBar>
        <cfvo type="min"/>
        <cfvo type="max"/>
        <color rgb="FF63C384"/>
      </dataBar>
    </cfRule>
    <cfRule type="dataBar" priority="876">
      <dataBar>
        <cfvo type="min"/>
        <cfvo type="max"/>
        <color rgb="FF63C384"/>
      </dataBar>
    </cfRule>
  </conditionalFormatting>
  <conditionalFormatting sqref="AA30">
    <cfRule type="expression" priority="875" dxfId="2">
      <formula>AND(AND($W30&lt;TODAY(),$W30&lt;&gt;""),$X30="")</formula>
    </cfRule>
  </conditionalFormatting>
  <conditionalFormatting sqref="AG30">
    <cfRule type="dataBar" priority="874">
      <dataBar>
        <cfvo type="min"/>
        <cfvo type="max"/>
        <color rgb="FF63C384"/>
      </dataBar>
    </cfRule>
    <cfRule type="dataBar" priority="873">
      <dataBar>
        <cfvo type="min"/>
        <cfvo type="max"/>
        <color rgb="FF63C384"/>
      </dataBar>
    </cfRule>
  </conditionalFormatting>
  <conditionalFormatting sqref="Q31">
    <cfRule type="cellIs" priority="872" operator="equal" dxfId="2034">
      <formula>"ja"</formula>
    </cfRule>
  </conditionalFormatting>
  <conditionalFormatting sqref="AA32">
    <cfRule type="expression" priority="871" dxfId="2">
      <formula>AND(AND($W32&lt;TODAY(),$W32&lt;&gt;""),$X32="")</formula>
    </cfRule>
  </conditionalFormatting>
  <conditionalFormatting sqref="Q32">
    <cfRule type="cellIs" priority="870" operator="equal" dxfId="2034">
      <formula>"ja"</formula>
    </cfRule>
  </conditionalFormatting>
  <conditionalFormatting sqref="AG32">
    <cfRule type="dataBar" priority="869">
      <dataBar>
        <cfvo type="min"/>
        <cfvo type="max"/>
        <color rgb="FF63C384"/>
      </dataBar>
    </cfRule>
    <cfRule type="dataBar" priority="868">
      <dataBar>
        <cfvo type="min"/>
        <cfvo type="max"/>
        <color rgb="FF63C384"/>
      </dataBar>
    </cfRule>
  </conditionalFormatting>
  <conditionalFormatting sqref="Q34">
    <cfRule type="cellIs" priority="867" operator="equal" dxfId="2034">
      <formula>"ja"</formula>
    </cfRule>
  </conditionalFormatting>
  <conditionalFormatting sqref="AA34">
    <cfRule type="expression" priority="866" dxfId="2">
      <formula>AND(AND($W34&lt;TODAY(),$W34&lt;&gt;""),$X34="")</formula>
    </cfRule>
  </conditionalFormatting>
  <conditionalFormatting sqref="AG34">
    <cfRule type="dataBar" priority="865">
      <dataBar>
        <cfvo type="min"/>
        <cfvo type="max"/>
        <color rgb="FF63C384"/>
      </dataBar>
    </cfRule>
  </conditionalFormatting>
  <conditionalFormatting sqref="Q33">
    <cfRule type="cellIs" priority="864" operator="equal" dxfId="2034">
      <formula>"ja"</formula>
    </cfRule>
    <cfRule type="cellIs" priority="852" operator="equal" dxfId="2034">
      <formula>"ja"</formula>
    </cfRule>
    <cfRule type="cellIs" priority="860" operator="equal" dxfId="2034">
      <formula>"ja"</formula>
    </cfRule>
    <cfRule type="cellIs" priority="856" operator="equal" dxfId="2034">
      <formula>"ja"</formula>
    </cfRule>
  </conditionalFormatting>
  <conditionalFormatting sqref="AA33">
    <cfRule type="expression" priority="851" dxfId="2">
      <formula>AND(AND($W33&lt;TODAY(),$W33&lt;&gt;""),$X33="")</formula>
    </cfRule>
    <cfRule type="expression" priority="863" dxfId="2">
      <formula>AND(AND($W33&lt;TODAY(),$W33&lt;&gt;""),$X33="")</formula>
    </cfRule>
    <cfRule type="expression" priority="859" dxfId="2">
      <formula>AND(AND($W33&lt;TODAY(),$W33&lt;&gt;""),$X33="")</formula>
    </cfRule>
    <cfRule type="expression" priority="855" dxfId="2">
      <formula>AND(AND($W33&lt;TODAY(),$W33&lt;&gt;""),$X33="")</formula>
    </cfRule>
  </conditionalFormatting>
  <conditionalFormatting sqref="AG33">
    <cfRule type="dataBar" priority="862">
      <dataBar>
        <cfvo type="min"/>
        <cfvo type="max"/>
        <color rgb="FF63C384"/>
      </dataBar>
    </cfRule>
    <cfRule type="dataBar" priority="861">
      <dataBar>
        <cfvo type="min"/>
        <cfvo type="max"/>
        <color rgb="FF63C384"/>
      </dataBar>
    </cfRule>
    <cfRule type="dataBar" priority="858">
      <dataBar>
        <cfvo type="min"/>
        <cfvo type="max"/>
        <color rgb="FF63C384"/>
      </dataBar>
    </cfRule>
    <cfRule type="dataBar" priority="857">
      <dataBar>
        <cfvo type="min"/>
        <cfvo type="max"/>
        <color rgb="FF63C384"/>
      </dataBar>
    </cfRule>
    <cfRule type="dataBar" priority="854">
      <dataBar>
        <cfvo type="min"/>
        <cfvo type="max"/>
        <color rgb="FF63C384"/>
      </dataBar>
    </cfRule>
    <cfRule type="dataBar" priority="853">
      <dataBar>
        <cfvo type="min"/>
        <cfvo type="max"/>
        <color rgb="FF63C384"/>
      </dataBar>
    </cfRule>
    <cfRule type="dataBar" priority="850">
      <dataBar>
        <cfvo type="min"/>
        <cfvo type="max"/>
        <color rgb="FF63C384"/>
      </dataBar>
    </cfRule>
    <cfRule type="dataBar" priority="849">
      <dataBar>
        <cfvo type="min"/>
        <cfvo type="max"/>
        <color rgb="FF63C384"/>
      </dataBar>
    </cfRule>
  </conditionalFormatting>
  <conditionalFormatting sqref="Q35">
    <cfRule type="cellIs" priority="848" operator="equal" dxfId="2034">
      <formula>"ja"</formula>
    </cfRule>
  </conditionalFormatting>
  <conditionalFormatting sqref="AA35">
    <cfRule type="expression" priority="847" dxfId="2">
      <formula>AND(AND($W35&lt;TODAY(),$W35&lt;&gt;""),$X35="")</formula>
    </cfRule>
  </conditionalFormatting>
  <conditionalFormatting sqref="AG35">
    <cfRule type="dataBar" priority="846">
      <dataBar>
        <cfvo type="min"/>
        <cfvo type="max"/>
        <color rgb="FF63C384"/>
      </dataBar>
    </cfRule>
  </conditionalFormatting>
  <conditionalFormatting sqref="AA36">
    <cfRule type="expression" priority="845" dxfId="2">
      <formula>AND(AND($W36&lt;TODAY(),$W36&lt;&gt;""),$X36="")</formula>
    </cfRule>
  </conditionalFormatting>
  <conditionalFormatting sqref="AG36">
    <cfRule type="dataBar" priority="844">
      <dataBar>
        <cfvo type="min"/>
        <cfvo type="max"/>
        <color rgb="FF63C384"/>
      </dataBar>
    </cfRule>
    <cfRule type="dataBar" priority="843">
      <dataBar>
        <cfvo type="min"/>
        <cfvo type="max"/>
        <color rgb="FF63C384"/>
      </dataBar>
    </cfRule>
  </conditionalFormatting>
  <conditionalFormatting sqref="Q36">
    <cfRule type="cellIs" priority="842" operator="equal" dxfId="2034">
      <formula>"ja"</formula>
    </cfRule>
  </conditionalFormatting>
  <conditionalFormatting sqref="Q38">
    <cfRule type="cellIs" priority="841" operator="equal" dxfId="2034">
      <formula>"ja"</formula>
    </cfRule>
  </conditionalFormatting>
  <conditionalFormatting sqref="AA38">
    <cfRule type="expression" priority="840" dxfId="2">
      <formula>AND(AND($W38&lt;TODAY(),$W38&lt;&gt;""),$X38="")</formula>
    </cfRule>
  </conditionalFormatting>
  <conditionalFormatting sqref="AG38">
    <cfRule type="dataBar" priority="839">
      <dataBar>
        <cfvo type="min"/>
        <cfvo type="max"/>
        <color rgb="FF63C384"/>
      </dataBar>
    </cfRule>
  </conditionalFormatting>
  <conditionalFormatting sqref="Q39">
    <cfRule type="cellIs" priority="838" operator="equal" dxfId="2034">
      <formula>"ja"</formula>
    </cfRule>
  </conditionalFormatting>
  <conditionalFormatting sqref="AA39">
    <cfRule type="expression" priority="837" dxfId="2">
      <formula>AND(AND($W39&lt;TODAY(),$W39&lt;&gt;""),$X39="")</formula>
    </cfRule>
  </conditionalFormatting>
  <conditionalFormatting sqref="AG39">
    <cfRule type="dataBar" priority="836">
      <dataBar>
        <cfvo type="min"/>
        <cfvo type="max"/>
        <color rgb="FF63C384"/>
      </dataBar>
    </cfRule>
    <cfRule type="dataBar" priority="835">
      <dataBar>
        <cfvo type="min"/>
        <cfvo type="max"/>
        <color rgb="FF63C384"/>
      </dataBar>
    </cfRule>
  </conditionalFormatting>
  <conditionalFormatting sqref="Q40">
    <cfRule type="cellIs" priority="834" operator="equal" dxfId="2034">
      <formula>"ja"</formula>
    </cfRule>
    <cfRule type="cellIs" priority="822" operator="equal" dxfId="2034">
      <formula>"ja"</formula>
    </cfRule>
    <cfRule type="cellIs" priority="830" operator="equal" dxfId="2034">
      <formula>"ja"</formula>
    </cfRule>
    <cfRule type="cellIs" priority="826" operator="equal" dxfId="2034">
      <formula>"ja"</formula>
    </cfRule>
  </conditionalFormatting>
  <conditionalFormatting sqref="AA40">
    <cfRule type="expression" priority="821" dxfId="2">
      <formula>AND(AND($W40&lt;TODAY(),$W40&lt;&gt;""),$X40="")</formula>
    </cfRule>
    <cfRule type="expression" priority="833" dxfId="2">
      <formula>AND(AND($W40&lt;TODAY(),$W40&lt;&gt;""),$X40="")</formula>
    </cfRule>
    <cfRule type="expression" priority="829" dxfId="2">
      <formula>AND(AND($W40&lt;TODAY(),$W40&lt;&gt;""),$X40="")</formula>
    </cfRule>
    <cfRule type="expression" priority="825" dxfId="2">
      <formula>AND(AND($W40&lt;TODAY(),$W40&lt;&gt;""),$X40="")</formula>
    </cfRule>
  </conditionalFormatting>
  <conditionalFormatting sqref="AG40">
    <cfRule type="dataBar" priority="832">
      <dataBar>
        <cfvo type="min"/>
        <cfvo type="max"/>
        <color rgb="FF63C384"/>
      </dataBar>
    </cfRule>
    <cfRule type="dataBar" priority="831">
      <dataBar>
        <cfvo type="min"/>
        <cfvo type="max"/>
        <color rgb="FF63C384"/>
      </dataBar>
    </cfRule>
    <cfRule type="dataBar" priority="828">
      <dataBar>
        <cfvo type="min"/>
        <cfvo type="max"/>
        <color rgb="FF63C384"/>
      </dataBar>
    </cfRule>
    <cfRule type="dataBar" priority="827">
      <dataBar>
        <cfvo type="min"/>
        <cfvo type="max"/>
        <color rgb="FF63C384"/>
      </dataBar>
    </cfRule>
    <cfRule type="dataBar" priority="824">
      <dataBar>
        <cfvo type="min"/>
        <cfvo type="max"/>
        <color rgb="FF63C384"/>
      </dataBar>
    </cfRule>
    <cfRule type="dataBar" priority="823">
      <dataBar>
        <cfvo type="min"/>
        <cfvo type="max"/>
        <color rgb="FF63C384"/>
      </dataBar>
    </cfRule>
    <cfRule type="dataBar" priority="820">
      <dataBar>
        <cfvo type="min"/>
        <cfvo type="max"/>
        <color rgb="FF63C384"/>
      </dataBar>
    </cfRule>
    <cfRule type="dataBar" priority="819">
      <dataBar>
        <cfvo type="min"/>
        <cfvo type="max"/>
        <color rgb="FF63C384"/>
      </dataBar>
    </cfRule>
  </conditionalFormatting>
  <conditionalFormatting sqref="Q41">
    <cfRule type="cellIs" priority="818" operator="equal" dxfId="2034">
      <formula>"ja"</formula>
    </cfRule>
  </conditionalFormatting>
  <conditionalFormatting sqref="AA41">
    <cfRule type="expression" priority="817" dxfId="2">
      <formula>AND(AND($W41&lt;TODAY(),$W41&lt;&gt;""),$X41="")</formula>
    </cfRule>
  </conditionalFormatting>
  <conditionalFormatting sqref="AG41">
    <cfRule type="dataBar" priority="816">
      <dataBar>
        <cfvo type="min"/>
        <cfvo type="max"/>
        <color rgb="FF63C384"/>
      </dataBar>
    </cfRule>
    <cfRule type="dataBar" priority="815">
      <dataBar>
        <cfvo type="min"/>
        <cfvo type="max"/>
        <color rgb="FF63C384"/>
      </dataBar>
    </cfRule>
  </conditionalFormatting>
  <conditionalFormatting sqref="Q42">
    <cfRule type="cellIs" priority="814" operator="equal" dxfId="2034">
      <formula>"ja"</formula>
    </cfRule>
  </conditionalFormatting>
  <conditionalFormatting sqref="AA42">
    <cfRule type="expression" priority="813" dxfId="2">
      <formula>AND(AND($W42&lt;TODAY(),$W42&lt;&gt;""),$X42="")</formula>
    </cfRule>
  </conditionalFormatting>
  <conditionalFormatting sqref="AG42">
    <cfRule type="dataBar" priority="812">
      <dataBar>
        <cfvo type="min"/>
        <cfvo type="max"/>
        <color rgb="FF63C384"/>
      </dataBar>
    </cfRule>
    <cfRule type="dataBar" priority="811">
      <dataBar>
        <cfvo type="min"/>
        <cfvo type="max"/>
        <color rgb="FF63C384"/>
      </dataBar>
    </cfRule>
  </conditionalFormatting>
  <conditionalFormatting sqref="Q43">
    <cfRule type="cellIs" priority="810" operator="equal" dxfId="2034">
      <formula>"ja"</formula>
    </cfRule>
    <cfRule type="cellIs" priority="805" operator="equal" dxfId="2034">
      <formula>"ja"</formula>
    </cfRule>
  </conditionalFormatting>
  <conditionalFormatting sqref="AA43">
    <cfRule type="expression" priority="809" dxfId="2">
      <formula>AND(AND($W43&lt;TODAY(),$W43&lt;&gt;""),$X43="")</formula>
    </cfRule>
    <cfRule type="expression" priority="806" dxfId="2">
      <formula>AND(AND($W43&lt;TODAY(),$W43&lt;&gt;""),$X43="")</formula>
    </cfRule>
  </conditionalFormatting>
  <conditionalFormatting sqref="AG43">
    <cfRule type="dataBar" priority="808">
      <dataBar>
        <cfvo type="min"/>
        <cfvo type="max"/>
        <color rgb="FF63C384"/>
      </dataBar>
    </cfRule>
    <cfRule type="dataBar" priority="807">
      <dataBar>
        <cfvo type="min"/>
        <cfvo type="max"/>
        <color rgb="FF63C384"/>
      </dataBar>
    </cfRule>
    <cfRule type="dataBar" priority="804">
      <dataBar>
        <cfvo type="min"/>
        <cfvo type="max"/>
        <color rgb="FF63C384"/>
      </dataBar>
    </cfRule>
    <cfRule type="dataBar" priority="803">
      <dataBar>
        <cfvo type="min"/>
        <cfvo type="max"/>
        <color rgb="FF63C384"/>
      </dataBar>
    </cfRule>
  </conditionalFormatting>
  <conditionalFormatting sqref="Q44">
    <cfRule type="cellIs" priority="802" operator="equal" dxfId="2034">
      <formula>"ja"</formula>
    </cfRule>
    <cfRule type="cellIs" priority="799" operator="equal" dxfId="2034">
      <formula>"ja"</formula>
    </cfRule>
  </conditionalFormatting>
  <conditionalFormatting sqref="AA44">
    <cfRule type="expression" priority="801" dxfId="2">
      <formula>AND(AND($W44&lt;TODAY(),$W44&lt;&gt;""),$X44="")</formula>
    </cfRule>
    <cfRule type="expression" priority="798" dxfId="2">
      <formula>AND(AND($W44&lt;TODAY(),$W44&lt;&gt;""),$X44="")</formula>
    </cfRule>
  </conditionalFormatting>
  <conditionalFormatting sqref="AG44">
    <cfRule type="dataBar" priority="800">
      <dataBar>
        <cfvo type="min"/>
        <cfvo type="max"/>
        <color rgb="FF63C384"/>
      </dataBar>
    </cfRule>
    <cfRule type="dataBar" priority="797">
      <dataBar>
        <cfvo type="min"/>
        <cfvo type="max"/>
        <color rgb="FF63C384"/>
      </dataBar>
    </cfRule>
    <cfRule type="dataBar" priority="796">
      <dataBar>
        <cfvo type="min"/>
        <cfvo type="max"/>
        <color rgb="FF63C384"/>
      </dataBar>
    </cfRule>
  </conditionalFormatting>
  <conditionalFormatting sqref="AA45">
    <cfRule type="expression" priority="795" dxfId="2">
      <formula>AND(AND($W45&lt;TODAY(),$W45&lt;&gt;""),$X45="")</formula>
    </cfRule>
  </conditionalFormatting>
  <conditionalFormatting sqref="AG45">
    <cfRule type="dataBar" priority="794">
      <dataBar>
        <cfvo type="min"/>
        <cfvo type="max"/>
        <color rgb="FF63C384"/>
      </dataBar>
    </cfRule>
    <cfRule type="dataBar" priority="793">
      <dataBar>
        <cfvo type="min"/>
        <cfvo type="max"/>
        <color rgb="FF63C384"/>
      </dataBar>
    </cfRule>
  </conditionalFormatting>
  <conditionalFormatting sqref="Q46">
    <cfRule type="cellIs" priority="792" operator="equal" dxfId="2034">
      <formula>"ja"</formula>
    </cfRule>
  </conditionalFormatting>
  <conditionalFormatting sqref="AA47">
    <cfRule type="expression" priority="791" dxfId="2">
      <formula>AND(AND($W47&lt;TODAY(),$W47&lt;&gt;""),$X47="")</formula>
    </cfRule>
  </conditionalFormatting>
  <conditionalFormatting sqref="Q47">
    <cfRule type="cellIs" priority="790" operator="equal" dxfId="2034">
      <formula>"ja"</formula>
    </cfRule>
  </conditionalFormatting>
  <conditionalFormatting sqref="AG47">
    <cfRule type="dataBar" priority="789">
      <dataBar>
        <cfvo type="min"/>
        <cfvo type="max"/>
        <color rgb="FF63C384"/>
      </dataBar>
    </cfRule>
    <cfRule type="dataBar" priority="788">
      <dataBar>
        <cfvo type="min"/>
        <cfvo type="max"/>
        <color rgb="FF63C384"/>
      </dataBar>
    </cfRule>
  </conditionalFormatting>
  <conditionalFormatting sqref="AA48">
    <cfRule type="expression" priority="787" dxfId="2">
      <formula>AND(AND($W48&lt;TODAY(),$W48&lt;&gt;""),$X48="")</formula>
    </cfRule>
  </conditionalFormatting>
  <conditionalFormatting sqref="AG48">
    <cfRule type="dataBar" priority="786">
      <dataBar>
        <cfvo type="min"/>
        <cfvo type="max"/>
        <color rgb="FF63C384"/>
      </dataBar>
    </cfRule>
    <cfRule type="dataBar" priority="785">
      <dataBar>
        <cfvo type="min"/>
        <cfvo type="max"/>
        <color rgb="FF63C384"/>
      </dataBar>
    </cfRule>
  </conditionalFormatting>
  <conditionalFormatting sqref="Q48">
    <cfRule type="cellIs" priority="784" operator="equal" dxfId="2034">
      <formula>"ja"</formula>
    </cfRule>
  </conditionalFormatting>
  <conditionalFormatting sqref="Q49">
    <cfRule type="cellIs" priority="783" operator="equal" dxfId="2034">
      <formula>"ja"</formula>
    </cfRule>
  </conditionalFormatting>
  <conditionalFormatting sqref="AA49">
    <cfRule type="expression" priority="782" dxfId="2">
      <formula>AND(AND($W49&lt;TODAY(),$W49&lt;&gt;""),$X49="")</formula>
    </cfRule>
  </conditionalFormatting>
  <conditionalFormatting sqref="AG49">
    <cfRule type="dataBar" priority="781">
      <dataBar>
        <cfvo type="min"/>
        <cfvo type="max"/>
        <color rgb="FF63C384"/>
      </dataBar>
    </cfRule>
  </conditionalFormatting>
  <conditionalFormatting sqref="Q20">
    <cfRule type="cellIs" priority="780" operator="equal" dxfId="2034">
      <formula>"ja"</formula>
    </cfRule>
  </conditionalFormatting>
  <conditionalFormatting sqref="AA50">
    <cfRule type="expression" priority="779" dxfId="2">
      <formula>AND(AND($W50&lt;TODAY(),$W50&lt;&gt;""),$X50="")</formula>
    </cfRule>
  </conditionalFormatting>
  <conditionalFormatting sqref="Q50">
    <cfRule type="cellIs" priority="778" operator="equal" dxfId="2034">
      <formula>"ja"</formula>
    </cfRule>
  </conditionalFormatting>
  <conditionalFormatting sqref="AG50">
    <cfRule type="dataBar" priority="777">
      <dataBar>
        <cfvo type="min"/>
        <cfvo type="max"/>
        <color rgb="FF63C384"/>
      </dataBar>
    </cfRule>
    <cfRule type="dataBar" priority="776">
      <dataBar>
        <cfvo type="min"/>
        <cfvo type="max"/>
        <color rgb="FF63C384"/>
      </dataBar>
    </cfRule>
  </conditionalFormatting>
  <conditionalFormatting sqref="AA51">
    <cfRule type="expression" priority="775" dxfId="2">
      <formula>AND(AND($W51&lt;TODAY(),$W51&lt;&gt;""),$X51="")</formula>
    </cfRule>
  </conditionalFormatting>
  <conditionalFormatting sqref="AG51">
    <cfRule type="dataBar" priority="774">
      <dataBar>
        <cfvo type="min"/>
        <cfvo type="max"/>
        <color rgb="FF63C384"/>
      </dataBar>
    </cfRule>
    <cfRule type="dataBar" priority="773">
      <dataBar>
        <cfvo type="min"/>
        <cfvo type="max"/>
        <color rgb="FF63C384"/>
      </dataBar>
    </cfRule>
  </conditionalFormatting>
  <conditionalFormatting sqref="AA52">
    <cfRule type="expression" priority="772" dxfId="2">
      <formula>AND(AND($W52&lt;TODAY(),$W52&lt;&gt;""),$X52="")</formula>
    </cfRule>
  </conditionalFormatting>
  <conditionalFormatting sqref="AG52">
    <cfRule type="dataBar" priority="771">
      <dataBar>
        <cfvo type="min"/>
        <cfvo type="max"/>
        <color rgb="FF63C384"/>
      </dataBar>
    </cfRule>
    <cfRule type="dataBar" priority="770">
      <dataBar>
        <cfvo type="min"/>
        <cfvo type="max"/>
        <color rgb="FF63C384"/>
      </dataBar>
    </cfRule>
  </conditionalFormatting>
  <conditionalFormatting sqref="Q52">
    <cfRule type="cellIs" priority="769" operator="equal" dxfId="2034">
      <formula>"ja"</formula>
    </cfRule>
  </conditionalFormatting>
  <conditionalFormatting sqref="AA53">
    <cfRule type="expression" priority="768" dxfId="2">
      <formula>AND(AND($W53&lt;TODAY(),$W53&lt;&gt;""),$X53="")</formula>
    </cfRule>
  </conditionalFormatting>
  <conditionalFormatting sqref="AG53">
    <cfRule type="dataBar" priority="767">
      <dataBar>
        <cfvo type="min"/>
        <cfvo type="max"/>
        <color rgb="FF63C384"/>
      </dataBar>
    </cfRule>
    <cfRule type="dataBar" priority="766">
      <dataBar>
        <cfvo type="min"/>
        <cfvo type="max"/>
        <color rgb="FF63C384"/>
      </dataBar>
    </cfRule>
  </conditionalFormatting>
  <conditionalFormatting sqref="Q54">
    <cfRule type="cellIs" priority="765" operator="equal" dxfId="2034">
      <formula>"ja"</formula>
    </cfRule>
  </conditionalFormatting>
  <conditionalFormatting sqref="AA54">
    <cfRule type="expression" priority="764" dxfId="2">
      <formula>AND(AND($W54&lt;TODAY(),$W54&lt;&gt;""),$X54="")</formula>
    </cfRule>
  </conditionalFormatting>
  <conditionalFormatting sqref="AG54">
    <cfRule type="dataBar" priority="763">
      <dataBar>
        <cfvo type="min"/>
        <cfvo type="max"/>
        <color rgb="FF63C384"/>
      </dataBar>
    </cfRule>
    <cfRule type="dataBar" priority="762">
      <dataBar>
        <cfvo type="min"/>
        <cfvo type="max"/>
        <color rgb="FF63C384"/>
      </dataBar>
    </cfRule>
  </conditionalFormatting>
  <conditionalFormatting sqref="AA55">
    <cfRule type="expression" priority="761" dxfId="2">
      <formula>AND(AND($W55&lt;TODAY(),$W55&lt;&gt;""),$X55="")</formula>
    </cfRule>
  </conditionalFormatting>
  <conditionalFormatting sqref="AG55">
    <cfRule type="dataBar" priority="760">
      <dataBar>
        <cfvo type="min"/>
        <cfvo type="max"/>
        <color rgb="FF63C384"/>
      </dataBar>
    </cfRule>
    <cfRule type="dataBar" priority="759">
      <dataBar>
        <cfvo type="min"/>
        <cfvo type="max"/>
        <color rgb="FF63C384"/>
      </dataBar>
    </cfRule>
  </conditionalFormatting>
  <conditionalFormatting sqref="Q56">
    <cfRule type="cellIs" priority="758" operator="equal" dxfId="2034">
      <formula>"ja"</formula>
    </cfRule>
    <cfRule type="cellIs" priority="753" operator="equal" dxfId="2034">
      <formula>"ja"</formula>
    </cfRule>
  </conditionalFormatting>
  <conditionalFormatting sqref="AA56">
    <cfRule type="expression" priority="757" dxfId="2">
      <formula>AND(AND($W56&lt;TODAY(),$W56&lt;&gt;""),$X56="")</formula>
    </cfRule>
    <cfRule type="expression" priority="754" dxfId="2">
      <formula>AND(AND($W56&lt;TODAY(),$W56&lt;&gt;""),$X56="")</formula>
    </cfRule>
  </conditionalFormatting>
  <conditionalFormatting sqref="AG56">
    <cfRule type="dataBar" priority="756">
      <dataBar>
        <cfvo type="min"/>
        <cfvo type="max"/>
        <color rgb="FF63C384"/>
      </dataBar>
    </cfRule>
    <cfRule type="dataBar" priority="755">
      <dataBar>
        <cfvo type="min"/>
        <cfvo type="max"/>
        <color rgb="FF63C384"/>
      </dataBar>
    </cfRule>
    <cfRule type="dataBar" priority="752">
      <dataBar>
        <cfvo type="min"/>
        <cfvo type="max"/>
        <color rgb="FF63C384"/>
      </dataBar>
    </cfRule>
    <cfRule type="dataBar" priority="751">
      <dataBar>
        <cfvo type="min"/>
        <cfvo type="max"/>
        <color rgb="FF63C384"/>
      </dataBar>
    </cfRule>
  </conditionalFormatting>
  <conditionalFormatting sqref="Q57">
    <cfRule type="cellIs" priority="750" operator="equal" dxfId="2034">
      <formula>"ja"</formula>
    </cfRule>
  </conditionalFormatting>
  <conditionalFormatting sqref="AA57">
    <cfRule type="expression" priority="749" dxfId="2">
      <formula>AND(AND($W57&lt;TODAY(),$W57&lt;&gt;""),$X57="")</formula>
    </cfRule>
  </conditionalFormatting>
  <conditionalFormatting sqref="AG57">
    <cfRule type="dataBar" priority="748">
      <dataBar>
        <cfvo type="min"/>
        <cfvo type="max"/>
        <color rgb="FF63C384"/>
      </dataBar>
    </cfRule>
    <cfRule type="dataBar" priority="747">
      <dataBar>
        <cfvo type="min"/>
        <cfvo type="max"/>
        <color rgb="FF63C384"/>
      </dataBar>
    </cfRule>
  </conditionalFormatting>
  <conditionalFormatting sqref="Q58">
    <cfRule type="cellIs" priority="746" operator="equal" dxfId="2034">
      <formula>"ja"</formula>
    </cfRule>
    <cfRule type="cellIs" priority="734" operator="equal" dxfId="2034">
      <formula>"ja"</formula>
    </cfRule>
    <cfRule type="cellIs" priority="742" operator="equal" dxfId="2034">
      <formula>"ja"</formula>
    </cfRule>
    <cfRule type="cellIs" priority="738" operator="equal" dxfId="2034">
      <formula>"ja"</formula>
    </cfRule>
  </conditionalFormatting>
  <conditionalFormatting sqref="AA58">
    <cfRule type="expression" priority="733" dxfId="2">
      <formula>AND(AND($W58&lt;TODAY(),$W58&lt;&gt;""),$X58="")</formula>
    </cfRule>
    <cfRule type="expression" priority="745" dxfId="2">
      <formula>AND(AND($W58&lt;TODAY(),$W58&lt;&gt;""),$X58="")</formula>
    </cfRule>
    <cfRule type="expression" priority="741" dxfId="2">
      <formula>AND(AND($W58&lt;TODAY(),$W58&lt;&gt;""),$X58="")</formula>
    </cfRule>
    <cfRule type="expression" priority="737" dxfId="2">
      <formula>AND(AND($W58&lt;TODAY(),$W58&lt;&gt;""),$X58="")</formula>
    </cfRule>
  </conditionalFormatting>
  <conditionalFormatting sqref="AG58">
    <cfRule type="dataBar" priority="744">
      <dataBar>
        <cfvo type="min"/>
        <cfvo type="max"/>
        <color rgb="FF63C384"/>
      </dataBar>
    </cfRule>
    <cfRule type="dataBar" priority="743">
      <dataBar>
        <cfvo type="min"/>
        <cfvo type="max"/>
        <color rgb="FF63C384"/>
      </dataBar>
    </cfRule>
    <cfRule type="dataBar" priority="740">
      <dataBar>
        <cfvo type="min"/>
        <cfvo type="max"/>
        <color rgb="FF63C384"/>
      </dataBar>
    </cfRule>
    <cfRule type="dataBar" priority="739">
      <dataBar>
        <cfvo type="min"/>
        <cfvo type="max"/>
        <color rgb="FF63C384"/>
      </dataBar>
    </cfRule>
    <cfRule type="dataBar" priority="736">
      <dataBar>
        <cfvo type="min"/>
        <cfvo type="max"/>
        <color rgb="FF63C384"/>
      </dataBar>
    </cfRule>
    <cfRule type="dataBar" priority="735">
      <dataBar>
        <cfvo type="min"/>
        <cfvo type="max"/>
        <color rgb="FF63C384"/>
      </dataBar>
    </cfRule>
    <cfRule type="dataBar" priority="732">
      <dataBar>
        <cfvo type="min"/>
        <cfvo type="max"/>
        <color rgb="FF63C384"/>
      </dataBar>
    </cfRule>
    <cfRule type="dataBar" priority="731">
      <dataBar>
        <cfvo type="min"/>
        <cfvo type="max"/>
        <color rgb="FF63C384"/>
      </dataBar>
    </cfRule>
  </conditionalFormatting>
  <conditionalFormatting sqref="Q59">
    <cfRule type="cellIs" priority="730" operator="equal" dxfId="2034">
      <formula>"ja"</formula>
    </cfRule>
    <cfRule type="cellIs" priority="726" operator="equal" dxfId="2034">
      <formula>"ja"</formula>
    </cfRule>
    <cfRule type="cellIs" priority="722" operator="equal" dxfId="2034">
      <formula>"ja"</formula>
    </cfRule>
    <cfRule type="cellIs" priority="718" operator="equal" dxfId="2034">
      <formula>"ja"</formula>
    </cfRule>
  </conditionalFormatting>
  <conditionalFormatting sqref="AA59">
    <cfRule type="expression" priority="729" dxfId="2">
      <formula>AND(AND($W59&lt;TODAY(),$W59&lt;&gt;""),$X59="")</formula>
    </cfRule>
    <cfRule type="expression" priority="725" dxfId="2">
      <formula>AND(AND($W59&lt;TODAY(),$W59&lt;&gt;""),$X59="")</formula>
    </cfRule>
    <cfRule type="expression" priority="721" dxfId="2">
      <formula>AND(AND($W59&lt;TODAY(),$W59&lt;&gt;""),$X59="")</formula>
    </cfRule>
    <cfRule type="expression" priority="717" dxfId="2">
      <formula>AND(AND($W59&lt;TODAY(),$W59&lt;&gt;""),$X59="")</formula>
    </cfRule>
  </conditionalFormatting>
  <conditionalFormatting sqref="AG59">
    <cfRule type="dataBar" priority="728">
      <dataBar>
        <cfvo type="min"/>
        <cfvo type="max"/>
        <color rgb="FF63C384"/>
      </dataBar>
    </cfRule>
    <cfRule type="dataBar" priority="727">
      <dataBar>
        <cfvo type="min"/>
        <cfvo type="max"/>
        <color rgb="FF63C384"/>
      </dataBar>
    </cfRule>
    <cfRule type="dataBar" priority="724">
      <dataBar>
        <cfvo type="min"/>
        <cfvo type="max"/>
        <color rgb="FF63C384"/>
      </dataBar>
    </cfRule>
    <cfRule type="dataBar" priority="723">
      <dataBar>
        <cfvo type="min"/>
        <cfvo type="max"/>
        <color rgb="FF63C384"/>
      </dataBar>
    </cfRule>
    <cfRule type="dataBar" priority="720">
      <dataBar>
        <cfvo type="min"/>
        <cfvo type="max"/>
        <color rgb="FF63C384"/>
      </dataBar>
    </cfRule>
    <cfRule type="dataBar" priority="719">
      <dataBar>
        <cfvo type="min"/>
        <cfvo type="max"/>
        <color rgb="FF63C384"/>
      </dataBar>
    </cfRule>
    <cfRule type="dataBar" priority="716">
      <dataBar>
        <cfvo type="min"/>
        <cfvo type="max"/>
        <color rgb="FF63C384"/>
      </dataBar>
    </cfRule>
    <cfRule type="dataBar" priority="715">
      <dataBar>
        <cfvo type="min"/>
        <cfvo type="max"/>
        <color rgb="FF63C384"/>
      </dataBar>
    </cfRule>
  </conditionalFormatting>
  <conditionalFormatting sqref="Q60">
    <cfRule type="cellIs" priority="714" operator="equal" dxfId="2034">
      <formula>"ja"</formula>
    </cfRule>
    <cfRule type="cellIs" priority="711" operator="equal" dxfId="2034">
      <formula>"ja"</formula>
    </cfRule>
  </conditionalFormatting>
  <conditionalFormatting sqref="AA60">
    <cfRule type="expression" priority="713" dxfId="2">
      <formula>AND(AND($W60&lt;TODAY(),$W60&lt;&gt;""),$X60="")</formula>
    </cfRule>
    <cfRule type="expression" priority="710" dxfId="2">
      <formula>AND(AND($W60&lt;TODAY(),$W60&lt;&gt;""),$X60="")</formula>
    </cfRule>
  </conditionalFormatting>
  <conditionalFormatting sqref="AG60">
    <cfRule type="dataBar" priority="712">
      <dataBar>
        <cfvo type="min"/>
        <cfvo type="max"/>
        <color rgb="FF63C384"/>
      </dataBar>
    </cfRule>
    <cfRule type="dataBar" priority="709">
      <dataBar>
        <cfvo type="min"/>
        <cfvo type="max"/>
        <color rgb="FF63C384"/>
      </dataBar>
    </cfRule>
    <cfRule type="dataBar" priority="708">
      <dataBar>
        <cfvo type="min"/>
        <cfvo type="max"/>
        <color rgb="FF63C384"/>
      </dataBar>
    </cfRule>
  </conditionalFormatting>
  <conditionalFormatting sqref="AA61">
    <cfRule type="expression" priority="707" dxfId="2">
      <formula>AND(AND($W61&lt;TODAY(),$W61&lt;&gt;""),$X61="")</formula>
    </cfRule>
    <cfRule type="expression" priority="705" dxfId="2">
      <formula>AND(AND($W61&lt;TODAY(),$W61&lt;&gt;""),$X61="")</formula>
    </cfRule>
  </conditionalFormatting>
  <conditionalFormatting sqref="AG61">
    <cfRule type="dataBar" priority="706">
      <dataBar>
        <cfvo type="min"/>
        <cfvo type="max"/>
        <color rgb="FF63C384"/>
      </dataBar>
    </cfRule>
    <cfRule type="dataBar" priority="704">
      <dataBar>
        <cfvo type="min"/>
        <cfvo type="max"/>
        <color rgb="FF63C384"/>
      </dataBar>
    </cfRule>
    <cfRule type="dataBar" priority="703">
      <dataBar>
        <cfvo type="min"/>
        <cfvo type="max"/>
        <color rgb="FF63C384"/>
      </dataBar>
    </cfRule>
  </conditionalFormatting>
  <conditionalFormatting sqref="AA62">
    <cfRule type="expression" priority="702" dxfId="2">
      <formula>AND(AND($W62&lt;TODAY(),$W62&lt;&gt;""),$X62="")</formula>
    </cfRule>
  </conditionalFormatting>
  <conditionalFormatting sqref="AG62">
    <cfRule type="dataBar" priority="701">
      <dataBar>
        <cfvo type="min"/>
        <cfvo type="max"/>
        <color rgb="FF63C384"/>
      </dataBar>
    </cfRule>
    <cfRule type="dataBar" priority="700">
      <dataBar>
        <cfvo type="min"/>
        <cfvo type="max"/>
        <color rgb="FF63C384"/>
      </dataBar>
    </cfRule>
  </conditionalFormatting>
  <conditionalFormatting sqref="Q63">
    <cfRule type="cellIs" priority="699" operator="equal" dxfId="2034">
      <formula>"ja"</formula>
    </cfRule>
  </conditionalFormatting>
  <conditionalFormatting sqref="AA63">
    <cfRule type="expression" priority="698" dxfId="2">
      <formula>AND(AND($W63&lt;TODAY(),$W63&lt;&gt;""),$X63="")</formula>
    </cfRule>
  </conditionalFormatting>
  <conditionalFormatting sqref="AG63">
    <cfRule type="dataBar" priority="697">
      <dataBar>
        <cfvo type="min"/>
        <cfvo type="max"/>
        <color rgb="FF63C384"/>
      </dataBar>
    </cfRule>
    <cfRule type="dataBar" priority="696">
      <dataBar>
        <cfvo type="min"/>
        <cfvo type="max"/>
        <color rgb="FF63C384"/>
      </dataBar>
    </cfRule>
  </conditionalFormatting>
  <conditionalFormatting sqref="Q64">
    <cfRule type="cellIs" priority="695" operator="equal" dxfId="2034">
      <formula>"ja"</formula>
    </cfRule>
  </conditionalFormatting>
  <conditionalFormatting sqref="AA64">
    <cfRule type="expression" priority="694" dxfId="2">
      <formula>AND(AND($W64&lt;TODAY(),$W64&lt;&gt;""),$X64="")</formula>
    </cfRule>
  </conditionalFormatting>
  <conditionalFormatting sqref="AG64">
    <cfRule type="dataBar" priority="693">
      <dataBar>
        <cfvo type="min"/>
        <cfvo type="max"/>
        <color rgb="FF63C384"/>
      </dataBar>
    </cfRule>
    <cfRule type="dataBar" priority="692">
      <dataBar>
        <cfvo type="min"/>
        <cfvo type="max"/>
        <color rgb="FF63C384"/>
      </dataBar>
    </cfRule>
  </conditionalFormatting>
  <conditionalFormatting sqref="AA46">
    <cfRule type="expression" priority="691" dxfId="2">
      <formula>AND(AND($W46&lt;TODAY(),$W46&lt;&gt;""),$X46="")</formula>
    </cfRule>
  </conditionalFormatting>
  <conditionalFormatting sqref="AG46">
    <cfRule type="dataBar" priority="690">
      <dataBar>
        <cfvo type="min"/>
        <cfvo type="max"/>
        <color rgb="FF63C384"/>
      </dataBar>
    </cfRule>
    <cfRule type="dataBar" priority="689">
      <dataBar>
        <cfvo type="min"/>
        <cfvo type="max"/>
        <color rgb="FF63C384"/>
      </dataBar>
    </cfRule>
  </conditionalFormatting>
  <conditionalFormatting sqref="AA31">
    <cfRule type="expression" priority="688" dxfId="2">
      <formula>AND(AND($W31&lt;TODAY(),$W31&lt;&gt;""),$X31="")</formula>
    </cfRule>
  </conditionalFormatting>
  <conditionalFormatting sqref="AG31">
    <cfRule type="dataBar" priority="687">
      <dataBar>
        <cfvo type="min"/>
        <cfvo type="max"/>
        <color rgb="FF63C384"/>
      </dataBar>
    </cfRule>
    <cfRule type="dataBar" priority="686">
      <dataBar>
        <cfvo type="min"/>
        <cfvo type="max"/>
        <color rgb="FF63C384"/>
      </dataBar>
    </cfRule>
  </conditionalFormatting>
  <conditionalFormatting sqref="AA65">
    <cfRule type="expression" priority="685" dxfId="2">
      <formula>AND(AND($W65&lt;TODAY(),$W65&lt;&gt;""),$X65="")</formula>
    </cfRule>
  </conditionalFormatting>
  <conditionalFormatting sqref="Q65">
    <cfRule type="cellIs" priority="684" operator="equal" dxfId="2034">
      <formula>"ja"</formula>
    </cfRule>
  </conditionalFormatting>
  <conditionalFormatting sqref="AG65">
    <cfRule type="dataBar" priority="683">
      <dataBar>
        <cfvo type="min"/>
        <cfvo type="max"/>
        <color rgb="FF63C384"/>
      </dataBar>
    </cfRule>
    <cfRule type="dataBar" priority="682">
      <dataBar>
        <cfvo type="min"/>
        <cfvo type="max"/>
        <color rgb="FF63C384"/>
      </dataBar>
    </cfRule>
  </conditionalFormatting>
  <conditionalFormatting sqref="AA66">
    <cfRule type="expression" priority="681" dxfId="2">
      <formula>AND(AND($W66&lt;TODAY(),$W66&lt;&gt;""),$X66="")</formula>
    </cfRule>
  </conditionalFormatting>
  <conditionalFormatting sqref="AG66">
    <cfRule type="dataBar" priority="680">
      <dataBar>
        <cfvo type="min"/>
        <cfvo type="max"/>
        <color rgb="FF63C384"/>
      </dataBar>
    </cfRule>
    <cfRule type="dataBar" priority="679">
      <dataBar>
        <cfvo type="min"/>
        <cfvo type="max"/>
        <color rgb="FF63C384"/>
      </dataBar>
    </cfRule>
  </conditionalFormatting>
  <conditionalFormatting sqref="AA67">
    <cfRule type="expression" priority="678" dxfId="2">
      <formula>AND(AND($W67&lt;TODAY(),$W67&lt;&gt;""),$X67="")</formula>
    </cfRule>
  </conditionalFormatting>
  <conditionalFormatting sqref="AG67">
    <cfRule type="dataBar" priority="677">
      <dataBar>
        <cfvo type="min"/>
        <cfvo type="max"/>
        <color rgb="FF63C384"/>
      </dataBar>
    </cfRule>
    <cfRule type="dataBar" priority="676">
      <dataBar>
        <cfvo type="min"/>
        <cfvo type="max"/>
        <color rgb="FF63C384"/>
      </dataBar>
    </cfRule>
  </conditionalFormatting>
  <conditionalFormatting sqref="Q67">
    <cfRule type="cellIs" priority="675" operator="equal" dxfId="2034">
      <formula>"ja"</formula>
    </cfRule>
  </conditionalFormatting>
  <conditionalFormatting sqref="AA68">
    <cfRule type="expression" priority="674" dxfId="2">
      <formula>AND(AND($W68&lt;TODAY(),$W68&lt;&gt;""),$X68="")</formula>
    </cfRule>
  </conditionalFormatting>
  <conditionalFormatting sqref="AG68">
    <cfRule type="dataBar" priority="673">
      <dataBar>
        <cfvo type="min"/>
        <cfvo type="max"/>
        <color rgb="FF63C384"/>
      </dataBar>
    </cfRule>
    <cfRule type="dataBar" priority="672">
      <dataBar>
        <cfvo type="min"/>
        <cfvo type="max"/>
        <color rgb="FF63C384"/>
      </dataBar>
    </cfRule>
  </conditionalFormatting>
  <conditionalFormatting sqref="Q69">
    <cfRule type="cellIs" priority="671" operator="equal" dxfId="2034">
      <formula>"ja"</formula>
    </cfRule>
  </conditionalFormatting>
  <conditionalFormatting sqref="AA69">
    <cfRule type="expression" priority="670" dxfId="2">
      <formula>AND(AND($W69&lt;TODAY(),$W69&lt;&gt;""),$X69="")</formula>
    </cfRule>
  </conditionalFormatting>
  <conditionalFormatting sqref="AG69">
    <cfRule type="dataBar" priority="669">
      <dataBar>
        <cfvo type="min"/>
        <cfvo type="max"/>
        <color rgb="FF63C384"/>
      </dataBar>
    </cfRule>
  </conditionalFormatting>
  <conditionalFormatting sqref="AA70">
    <cfRule type="expression" priority="668" dxfId="2">
      <formula>AND(AND($W70&lt;TODAY(),$W70&lt;&gt;""),$X70="")</formula>
    </cfRule>
  </conditionalFormatting>
  <conditionalFormatting sqref="AG70">
    <cfRule type="dataBar" priority="667">
      <dataBar>
        <cfvo type="min"/>
        <cfvo type="max"/>
        <color rgb="FF63C384"/>
      </dataBar>
    </cfRule>
  </conditionalFormatting>
  <conditionalFormatting sqref="Q71">
    <cfRule type="cellIs" priority="666" operator="equal" dxfId="2034">
      <formula>"ja"</formula>
    </cfRule>
    <cfRule type="cellIs" priority="661" operator="equal" dxfId="2034">
      <formula>"ja"</formula>
    </cfRule>
  </conditionalFormatting>
  <conditionalFormatting sqref="AA71">
    <cfRule type="expression" priority="665" dxfId="2">
      <formula>AND(AND($W71&lt;TODAY(),$W71&lt;&gt;""),$X71="")</formula>
    </cfRule>
    <cfRule type="expression" priority="662" dxfId="2">
      <formula>AND(AND($W71&lt;TODAY(),$W71&lt;&gt;""),$X71="")</formula>
    </cfRule>
  </conditionalFormatting>
  <conditionalFormatting sqref="AG71">
    <cfRule type="dataBar" priority="664">
      <dataBar>
        <cfvo type="min"/>
        <cfvo type="max"/>
        <color rgb="FF63C384"/>
      </dataBar>
    </cfRule>
    <cfRule type="dataBar" priority="663">
      <dataBar>
        <cfvo type="min"/>
        <cfvo type="max"/>
        <color rgb="FF63C384"/>
      </dataBar>
    </cfRule>
    <cfRule type="dataBar" priority="660">
      <dataBar>
        <cfvo type="min"/>
        <cfvo type="max"/>
        <color rgb="FF63C384"/>
      </dataBar>
    </cfRule>
    <cfRule type="dataBar" priority="659">
      <dataBar>
        <cfvo type="min"/>
        <cfvo type="max"/>
        <color rgb="FF63C384"/>
      </dataBar>
    </cfRule>
  </conditionalFormatting>
  <conditionalFormatting sqref="AA72">
    <cfRule type="expression" priority="658" dxfId="2">
      <formula>AND(AND($W72&lt;TODAY(),$W72&lt;&gt;""),$X72="")</formula>
    </cfRule>
  </conditionalFormatting>
  <conditionalFormatting sqref="AG72">
    <cfRule type="dataBar" priority="657">
      <dataBar>
        <cfvo type="min"/>
        <cfvo type="max"/>
        <color rgb="FF63C384"/>
      </dataBar>
    </cfRule>
    <cfRule type="dataBar" priority="656">
      <dataBar>
        <cfvo type="min"/>
        <cfvo type="max"/>
        <color rgb="FF63C384"/>
      </dataBar>
    </cfRule>
  </conditionalFormatting>
  <conditionalFormatting sqref="Q72">
    <cfRule type="cellIs" priority="655" operator="equal" dxfId="2034">
      <formula>"ja"</formula>
    </cfRule>
  </conditionalFormatting>
  <conditionalFormatting sqref="Q73">
    <cfRule type="cellIs" priority="654" operator="equal" dxfId="2034">
      <formula>"ja"</formula>
    </cfRule>
  </conditionalFormatting>
  <conditionalFormatting sqref="AA73">
    <cfRule type="expression" priority="653" dxfId="2">
      <formula>AND(AND($W73&lt;TODAY(),$W73&lt;&gt;""),$X73="")</formula>
    </cfRule>
  </conditionalFormatting>
  <conditionalFormatting sqref="AG73">
    <cfRule type="dataBar" priority="652">
      <dataBar>
        <cfvo type="min"/>
        <cfvo type="max"/>
        <color rgb="FF63C384"/>
      </dataBar>
    </cfRule>
    <cfRule type="dataBar" priority="651">
      <dataBar>
        <cfvo type="min"/>
        <cfvo type="max"/>
        <color rgb="FF63C384"/>
      </dataBar>
    </cfRule>
  </conditionalFormatting>
  <conditionalFormatting sqref="Q74">
    <cfRule type="cellIs" priority="650" operator="equal" dxfId="2034">
      <formula>"ja"</formula>
    </cfRule>
    <cfRule type="cellIs" priority="638" operator="equal" dxfId="2034">
      <formula>"ja"</formula>
    </cfRule>
    <cfRule type="cellIs" priority="646" operator="equal" dxfId="2034">
      <formula>"ja"</formula>
    </cfRule>
    <cfRule type="cellIs" priority="642" operator="equal" dxfId="2034">
      <formula>"ja"</formula>
    </cfRule>
  </conditionalFormatting>
  <conditionalFormatting sqref="AA74">
    <cfRule type="expression" priority="637" dxfId="2">
      <formula>AND(AND($W74&lt;TODAY(),$W74&lt;&gt;""),$X74="")</formula>
    </cfRule>
    <cfRule type="expression" priority="649" dxfId="2">
      <formula>AND(AND($W74&lt;TODAY(),$W74&lt;&gt;""),$X74="")</formula>
    </cfRule>
    <cfRule type="expression" priority="645" dxfId="2">
      <formula>AND(AND($W74&lt;TODAY(),$W74&lt;&gt;""),$X74="")</formula>
    </cfRule>
    <cfRule type="expression" priority="641" dxfId="2">
      <formula>AND(AND($W74&lt;TODAY(),$W74&lt;&gt;""),$X74="")</formula>
    </cfRule>
  </conditionalFormatting>
  <conditionalFormatting sqref="AG74">
    <cfRule type="dataBar" priority="648">
      <dataBar>
        <cfvo type="min"/>
        <cfvo type="max"/>
        <color rgb="FF63C384"/>
      </dataBar>
    </cfRule>
    <cfRule type="dataBar" priority="647">
      <dataBar>
        <cfvo type="min"/>
        <cfvo type="max"/>
        <color rgb="FF63C384"/>
      </dataBar>
    </cfRule>
    <cfRule type="dataBar" priority="644">
      <dataBar>
        <cfvo type="min"/>
        <cfvo type="max"/>
        <color rgb="FF63C384"/>
      </dataBar>
    </cfRule>
    <cfRule type="dataBar" priority="643">
      <dataBar>
        <cfvo type="min"/>
        <cfvo type="max"/>
        <color rgb="FF63C384"/>
      </dataBar>
    </cfRule>
    <cfRule type="dataBar" priority="640">
      <dataBar>
        <cfvo type="min"/>
        <cfvo type="max"/>
        <color rgb="FF63C384"/>
      </dataBar>
    </cfRule>
    <cfRule type="dataBar" priority="639">
      <dataBar>
        <cfvo type="min"/>
        <cfvo type="max"/>
        <color rgb="FF63C384"/>
      </dataBar>
    </cfRule>
    <cfRule type="dataBar" priority="636">
      <dataBar>
        <cfvo type="min"/>
        <cfvo type="max"/>
        <color rgb="FF63C384"/>
      </dataBar>
    </cfRule>
    <cfRule type="dataBar" priority="635">
      <dataBar>
        <cfvo type="min"/>
        <cfvo type="max"/>
        <color rgb="FF63C384"/>
      </dataBar>
    </cfRule>
  </conditionalFormatting>
  <conditionalFormatting sqref="Q75">
    <cfRule type="cellIs" priority="634" operator="equal" dxfId="2034">
      <formula>"ja"</formula>
    </cfRule>
    <cfRule type="cellIs" priority="631" operator="equal" dxfId="2034">
      <formula>"ja"</formula>
    </cfRule>
  </conditionalFormatting>
  <conditionalFormatting sqref="AA75">
    <cfRule type="expression" priority="633" dxfId="2">
      <formula>AND(AND($W75&lt;TODAY(),$W75&lt;&gt;""),$X75="")</formula>
    </cfRule>
    <cfRule type="expression" priority="630" dxfId="2">
      <formula>AND(AND($W75&lt;TODAY(),$W75&lt;&gt;""),$X75="")</formula>
    </cfRule>
  </conditionalFormatting>
  <conditionalFormatting sqref="AG75">
    <cfRule type="dataBar" priority="632">
      <dataBar>
        <cfvo type="min"/>
        <cfvo type="max"/>
        <color rgb="FF63C384"/>
      </dataBar>
    </cfRule>
    <cfRule type="dataBar" priority="629">
      <dataBar>
        <cfvo type="min"/>
        <cfvo type="max"/>
        <color rgb="FF63C384"/>
      </dataBar>
    </cfRule>
    <cfRule type="dataBar" priority="628">
      <dataBar>
        <cfvo type="min"/>
        <cfvo type="max"/>
        <color rgb="FF63C384"/>
      </dataBar>
    </cfRule>
  </conditionalFormatting>
  <conditionalFormatting sqref="AA76">
    <cfRule type="expression" priority="627" dxfId="2">
      <formula>AND(AND($W76&lt;TODAY(),$W76&lt;&gt;""),$X76="")</formula>
    </cfRule>
  </conditionalFormatting>
  <conditionalFormatting sqref="AG76">
    <cfRule type="dataBar" priority="626">
      <dataBar>
        <cfvo type="min"/>
        <cfvo type="max"/>
        <color rgb="FF63C384"/>
      </dataBar>
    </cfRule>
    <cfRule type="dataBar" priority="625">
      <dataBar>
        <cfvo type="min"/>
        <cfvo type="max"/>
        <color rgb="FF63C384"/>
      </dataBar>
    </cfRule>
  </conditionalFormatting>
  <conditionalFormatting sqref="Q77">
    <cfRule type="cellIs" priority="624" operator="equal" dxfId="2034">
      <formula>"ja"</formula>
    </cfRule>
  </conditionalFormatting>
  <conditionalFormatting sqref="AA77">
    <cfRule type="expression" priority="623" dxfId="2">
      <formula>AND(AND($W77&lt;TODAY(),$W77&lt;&gt;""),$X77="")</formula>
    </cfRule>
  </conditionalFormatting>
  <conditionalFormatting sqref="AG77">
    <cfRule type="dataBar" priority="622">
      <dataBar>
        <cfvo type="min"/>
        <cfvo type="max"/>
        <color rgb="FF63C384"/>
      </dataBar>
    </cfRule>
    <cfRule type="dataBar" priority="621">
      <dataBar>
        <cfvo type="min"/>
        <cfvo type="max"/>
        <color rgb="FF63C384"/>
      </dataBar>
    </cfRule>
  </conditionalFormatting>
  <conditionalFormatting sqref="AA78">
    <cfRule type="expression" priority="620" dxfId="2">
      <formula>AND(AND($W78&lt;TODAY(),$W78&lt;&gt;""),$X78="")</formula>
    </cfRule>
  </conditionalFormatting>
  <conditionalFormatting sqref="Q78">
    <cfRule type="cellIs" priority="619" operator="equal" dxfId="2034">
      <formula>"ja"</formula>
    </cfRule>
  </conditionalFormatting>
  <conditionalFormatting sqref="AG78">
    <cfRule type="dataBar" priority="618">
      <dataBar>
        <cfvo type="min"/>
        <cfvo type="max"/>
        <color rgb="FF63C384"/>
      </dataBar>
    </cfRule>
    <cfRule type="dataBar" priority="617">
      <dataBar>
        <cfvo type="min"/>
        <cfvo type="max"/>
        <color rgb="FF63C384"/>
      </dataBar>
    </cfRule>
  </conditionalFormatting>
  <conditionalFormatting sqref="Q79">
    <cfRule type="cellIs" priority="616" operator="equal" dxfId="2034">
      <formula>"ja"</formula>
    </cfRule>
  </conditionalFormatting>
  <conditionalFormatting sqref="AA79">
    <cfRule type="expression" priority="615" dxfId="2">
      <formula>AND(AND($W79&lt;TODAY(),$W79&lt;&gt;""),$X79="")</formula>
    </cfRule>
  </conditionalFormatting>
  <conditionalFormatting sqref="AG79">
    <cfRule type="dataBar" priority="614">
      <dataBar>
        <cfvo type="min"/>
        <cfvo type="max"/>
        <color rgb="FF63C384"/>
      </dataBar>
    </cfRule>
  </conditionalFormatting>
  <conditionalFormatting sqref="AA80">
    <cfRule type="expression" priority="613" dxfId="2">
      <formula>AND(AND($W80&lt;TODAY(),$W80&lt;&gt;""),$X80="")</formula>
    </cfRule>
  </conditionalFormatting>
  <conditionalFormatting sqref="AG80">
    <cfRule type="dataBar" priority="612">
      <dataBar>
        <cfvo type="min"/>
        <cfvo type="max"/>
        <color rgb="FF63C384"/>
      </dataBar>
    </cfRule>
  </conditionalFormatting>
  <conditionalFormatting sqref="Q81">
    <cfRule type="cellIs" priority="611" operator="equal" dxfId="2034">
      <formula>"ja"</formula>
    </cfRule>
    <cfRule type="cellIs" priority="606" operator="equal" dxfId="2034">
      <formula>"ja"</formula>
    </cfRule>
  </conditionalFormatting>
  <conditionalFormatting sqref="AA81">
    <cfRule type="expression" priority="610" dxfId="2">
      <formula>AND(AND($W81&lt;TODAY(),$W81&lt;&gt;""),$X81="")</formula>
    </cfRule>
    <cfRule type="expression" priority="607" dxfId="2">
      <formula>AND(AND($W81&lt;TODAY(),$W81&lt;&gt;""),$X81="")</formula>
    </cfRule>
  </conditionalFormatting>
  <conditionalFormatting sqref="AG81">
    <cfRule type="dataBar" priority="609">
      <dataBar>
        <cfvo type="min"/>
        <cfvo type="max"/>
        <color rgb="FF63C384"/>
      </dataBar>
    </cfRule>
    <cfRule type="dataBar" priority="608">
      <dataBar>
        <cfvo type="min"/>
        <cfvo type="max"/>
        <color rgb="FF63C384"/>
      </dataBar>
    </cfRule>
    <cfRule type="dataBar" priority="605">
      <dataBar>
        <cfvo type="min"/>
        <cfvo type="max"/>
        <color rgb="FF63C384"/>
      </dataBar>
    </cfRule>
    <cfRule type="dataBar" priority="604">
      <dataBar>
        <cfvo type="min"/>
        <cfvo type="max"/>
        <color rgb="FF63C384"/>
      </dataBar>
    </cfRule>
  </conditionalFormatting>
  <conditionalFormatting sqref="Q82">
    <cfRule type="cellIs" priority="603" operator="equal" dxfId="2034">
      <formula>"ja"</formula>
    </cfRule>
  </conditionalFormatting>
  <conditionalFormatting sqref="AA82">
    <cfRule type="expression" priority="602" dxfId="2">
      <formula>AND(AND($W82&lt;TODAY(),$W82&lt;&gt;""),$X82="")</formula>
    </cfRule>
  </conditionalFormatting>
  <conditionalFormatting sqref="AG82">
    <cfRule type="dataBar" priority="601">
      <dataBar>
        <cfvo type="min"/>
        <cfvo type="max"/>
        <color rgb="FF63C384"/>
      </dataBar>
    </cfRule>
    <cfRule type="dataBar" priority="600">
      <dataBar>
        <cfvo type="min"/>
        <cfvo type="max"/>
        <color rgb="FF63C384"/>
      </dataBar>
    </cfRule>
  </conditionalFormatting>
  <conditionalFormatting sqref="AA83">
    <cfRule type="expression" priority="599" dxfId="2">
      <formula>AND(AND($W83&lt;TODAY(),$W83&lt;&gt;""),$X83="")</formula>
    </cfRule>
  </conditionalFormatting>
  <conditionalFormatting sqref="AG83">
    <cfRule type="dataBar" priority="598">
      <dataBar>
        <cfvo type="min"/>
        <cfvo type="max"/>
        <color rgb="FF63C384"/>
      </dataBar>
    </cfRule>
    <cfRule type="dataBar" priority="597">
      <dataBar>
        <cfvo type="min"/>
        <cfvo type="max"/>
        <color rgb="FF63C384"/>
      </dataBar>
    </cfRule>
  </conditionalFormatting>
  <conditionalFormatting sqref="Q83">
    <cfRule type="cellIs" priority="596" operator="equal" dxfId="2034">
      <formula>"ja"</formula>
    </cfRule>
  </conditionalFormatting>
  <conditionalFormatting sqref="Q84">
    <cfRule type="cellIs" priority="595" operator="equal" dxfId="2034">
      <formula>"ja"</formula>
    </cfRule>
  </conditionalFormatting>
  <conditionalFormatting sqref="AA84">
    <cfRule type="expression" priority="594" dxfId="2">
      <formula>AND(AND($W84&lt;TODAY(),$W84&lt;&gt;""),$X84="")</formula>
    </cfRule>
  </conditionalFormatting>
  <conditionalFormatting sqref="AG84">
    <cfRule type="dataBar" priority="593">
      <dataBar>
        <cfvo type="min"/>
        <cfvo type="max"/>
        <color rgb="FF63C384"/>
      </dataBar>
    </cfRule>
    <cfRule type="dataBar" priority="592">
      <dataBar>
        <cfvo type="min"/>
        <cfvo type="max"/>
        <color rgb="FF63C384"/>
      </dataBar>
    </cfRule>
  </conditionalFormatting>
  <conditionalFormatting sqref="Q85">
    <cfRule type="cellIs" priority="591" operator="equal" dxfId="2034">
      <formula>"ja"</formula>
    </cfRule>
    <cfRule type="cellIs" priority="579" operator="equal" dxfId="2034">
      <formula>"ja"</formula>
    </cfRule>
    <cfRule type="cellIs" priority="587" operator="equal" dxfId="2034">
      <formula>"ja"</formula>
    </cfRule>
    <cfRule type="cellIs" priority="583" operator="equal" dxfId="2034">
      <formula>"ja"</formula>
    </cfRule>
  </conditionalFormatting>
  <conditionalFormatting sqref="AA85">
    <cfRule type="expression" priority="578" dxfId="2">
      <formula>AND(AND($W85&lt;TODAY(),$W85&lt;&gt;""),$X85="")</formula>
    </cfRule>
    <cfRule type="expression" priority="590" dxfId="2">
      <formula>AND(AND($W85&lt;TODAY(),$W85&lt;&gt;""),$X85="")</formula>
    </cfRule>
    <cfRule type="expression" priority="586" dxfId="2">
      <formula>AND(AND($W85&lt;TODAY(),$W85&lt;&gt;""),$X85="")</formula>
    </cfRule>
    <cfRule type="expression" priority="582" dxfId="2">
      <formula>AND(AND($W85&lt;TODAY(),$W85&lt;&gt;""),$X85="")</formula>
    </cfRule>
  </conditionalFormatting>
  <conditionalFormatting sqref="AG85">
    <cfRule type="dataBar" priority="589">
      <dataBar>
        <cfvo type="min"/>
        <cfvo type="max"/>
        <color rgb="FF63C384"/>
      </dataBar>
    </cfRule>
    <cfRule type="dataBar" priority="588">
      <dataBar>
        <cfvo type="min"/>
        <cfvo type="max"/>
        <color rgb="FF63C384"/>
      </dataBar>
    </cfRule>
    <cfRule type="dataBar" priority="585">
      <dataBar>
        <cfvo type="min"/>
        <cfvo type="max"/>
        <color rgb="FF63C384"/>
      </dataBar>
    </cfRule>
    <cfRule type="dataBar" priority="584">
      <dataBar>
        <cfvo type="min"/>
        <cfvo type="max"/>
        <color rgb="FF63C384"/>
      </dataBar>
    </cfRule>
    <cfRule type="dataBar" priority="581">
      <dataBar>
        <cfvo type="min"/>
        <cfvo type="max"/>
        <color rgb="FF63C384"/>
      </dataBar>
    </cfRule>
    <cfRule type="dataBar" priority="580">
      <dataBar>
        <cfvo type="min"/>
        <cfvo type="max"/>
        <color rgb="FF63C384"/>
      </dataBar>
    </cfRule>
    <cfRule type="dataBar" priority="577">
      <dataBar>
        <cfvo type="min"/>
        <cfvo type="max"/>
        <color rgb="FF63C384"/>
      </dataBar>
    </cfRule>
    <cfRule type="dataBar" priority="576">
      <dataBar>
        <cfvo type="min"/>
        <cfvo type="max"/>
        <color rgb="FF63C384"/>
      </dataBar>
    </cfRule>
  </conditionalFormatting>
  <conditionalFormatting sqref="Q86">
    <cfRule type="cellIs" priority="575" operator="equal" dxfId="2034">
      <formula>"ja"</formula>
    </cfRule>
    <cfRule type="cellIs" priority="572" operator="equal" dxfId="2034">
      <formula>"ja"</formula>
    </cfRule>
  </conditionalFormatting>
  <conditionalFormatting sqref="AA86">
    <cfRule type="expression" priority="574" dxfId="2">
      <formula>AND(AND($W86&lt;TODAY(),$W86&lt;&gt;""),$X86="")</formula>
    </cfRule>
    <cfRule type="expression" priority="571" dxfId="2">
      <formula>AND(AND($W86&lt;TODAY(),$W86&lt;&gt;""),$X86="")</formula>
    </cfRule>
  </conditionalFormatting>
  <conditionalFormatting sqref="AG86">
    <cfRule type="dataBar" priority="573">
      <dataBar>
        <cfvo type="min"/>
        <cfvo type="max"/>
        <color rgb="FF63C384"/>
      </dataBar>
    </cfRule>
    <cfRule type="dataBar" priority="570">
      <dataBar>
        <cfvo type="min"/>
        <cfvo type="max"/>
        <color rgb="FF63C384"/>
      </dataBar>
    </cfRule>
    <cfRule type="dataBar" priority="569">
      <dataBar>
        <cfvo type="min"/>
        <cfvo type="max"/>
        <color rgb="FF63C384"/>
      </dataBar>
    </cfRule>
  </conditionalFormatting>
  <conditionalFormatting sqref="Q87">
    <cfRule type="cellIs" priority="568" operator="equal" dxfId="2034">
      <formula>"ja"</formula>
    </cfRule>
  </conditionalFormatting>
  <conditionalFormatting sqref="AA87">
    <cfRule type="expression" priority="567" dxfId="2">
      <formula>AND(AND($W87&lt;TODAY(),$W87&lt;&gt;""),$X87="")</formula>
    </cfRule>
  </conditionalFormatting>
  <conditionalFormatting sqref="AG87">
    <cfRule type="dataBar" priority="566">
      <dataBar>
        <cfvo type="min"/>
        <cfvo type="max"/>
        <color rgb="FF63C384"/>
      </dataBar>
    </cfRule>
    <cfRule type="dataBar" priority="565">
      <dataBar>
        <cfvo type="min"/>
        <cfvo type="max"/>
        <color rgb="FF63C384"/>
      </dataBar>
    </cfRule>
  </conditionalFormatting>
  <conditionalFormatting sqref="AA88">
    <cfRule type="expression" priority="564" dxfId="2">
      <formula>AND(AND($W88&lt;TODAY(),$W88&lt;&gt;""),$X88="")</formula>
    </cfRule>
  </conditionalFormatting>
  <conditionalFormatting sqref="AG88">
    <cfRule type="dataBar" priority="563">
      <dataBar>
        <cfvo type="min"/>
        <cfvo type="max"/>
        <color rgb="FF63C384"/>
      </dataBar>
    </cfRule>
    <cfRule type="dataBar" priority="562">
      <dataBar>
        <cfvo type="min"/>
        <cfvo type="max"/>
        <color rgb="FF63C384"/>
      </dataBar>
    </cfRule>
  </conditionalFormatting>
  <conditionalFormatting sqref="Q89">
    <cfRule type="cellIs" priority="561" operator="equal" dxfId="2034">
      <formula>"ja"</formula>
    </cfRule>
  </conditionalFormatting>
  <conditionalFormatting sqref="AA89">
    <cfRule type="expression" priority="560" dxfId="2">
      <formula>AND(AND($W89&lt;TODAY(),$W89&lt;&gt;""),$X89="")</formula>
    </cfRule>
  </conditionalFormatting>
  <conditionalFormatting sqref="AG89">
    <cfRule type="dataBar" priority="559">
      <dataBar>
        <cfvo type="min"/>
        <cfvo type="max"/>
        <color rgb="FF63C384"/>
      </dataBar>
    </cfRule>
    <cfRule type="dataBar" priority="558">
      <dataBar>
        <cfvo type="min"/>
        <cfvo type="max"/>
        <color rgb="FF63C384"/>
      </dataBar>
    </cfRule>
  </conditionalFormatting>
  <conditionalFormatting sqref="AA90">
    <cfRule type="expression" priority="557" dxfId="2">
      <formula>AND(AND($W90&lt;TODAY(),$W90&lt;&gt;""),$X90="")</formula>
    </cfRule>
  </conditionalFormatting>
  <conditionalFormatting sqref="Q90">
    <cfRule type="cellIs" priority="556" operator="equal" dxfId="2034">
      <formula>"ja"</formula>
    </cfRule>
  </conditionalFormatting>
  <conditionalFormatting sqref="AG90">
    <cfRule type="dataBar" priority="555">
      <dataBar>
        <cfvo type="min"/>
        <cfvo type="max"/>
        <color rgb="FF63C384"/>
      </dataBar>
    </cfRule>
    <cfRule type="dataBar" priority="554">
      <dataBar>
        <cfvo type="min"/>
        <cfvo type="max"/>
        <color rgb="FF63C384"/>
      </dataBar>
    </cfRule>
  </conditionalFormatting>
  <conditionalFormatting sqref="AA91">
    <cfRule type="expression" priority="553" dxfId="2">
      <formula>AND(AND($W91&lt;TODAY(),$W91&lt;&gt;""),$X91="")</formula>
    </cfRule>
  </conditionalFormatting>
  <conditionalFormatting sqref="AG91">
    <cfRule type="dataBar" priority="552">
      <dataBar>
        <cfvo type="min"/>
        <cfvo type="max"/>
        <color rgb="FF63C384"/>
      </dataBar>
    </cfRule>
    <cfRule type="dataBar" priority="551">
      <dataBar>
        <cfvo type="min"/>
        <cfvo type="max"/>
        <color rgb="FF63C384"/>
      </dataBar>
    </cfRule>
  </conditionalFormatting>
  <conditionalFormatting sqref="Q92">
    <cfRule type="cellIs" priority="550" operator="equal" dxfId="2034">
      <formula>"ja"</formula>
    </cfRule>
  </conditionalFormatting>
  <conditionalFormatting sqref="AA92">
    <cfRule type="expression" priority="549" dxfId="2">
      <formula>AND(AND($W92&lt;TODAY(),$W92&lt;&gt;""),$X92="")</formula>
    </cfRule>
  </conditionalFormatting>
  <conditionalFormatting sqref="AG92">
    <cfRule type="dataBar" priority="548">
      <dataBar>
        <cfvo type="min"/>
        <cfvo type="max"/>
        <color rgb="FF63C384"/>
      </dataBar>
    </cfRule>
    <cfRule type="dataBar" priority="547">
      <dataBar>
        <cfvo type="min"/>
        <cfvo type="max"/>
        <color rgb="FF63C384"/>
      </dataBar>
    </cfRule>
  </conditionalFormatting>
  <conditionalFormatting sqref="AA93">
    <cfRule type="expression" priority="546" dxfId="2">
      <formula>AND(AND($W93&lt;TODAY(),$W93&lt;&gt;""),$X93="")</formula>
    </cfRule>
  </conditionalFormatting>
  <conditionalFormatting sqref="AG93">
    <cfRule type="dataBar" priority="545">
      <dataBar>
        <cfvo type="min"/>
        <cfvo type="max"/>
        <color rgb="FF63C384"/>
      </dataBar>
    </cfRule>
    <cfRule type="dataBar" priority="544">
      <dataBar>
        <cfvo type="min"/>
        <cfvo type="max"/>
        <color rgb="FF63C384"/>
      </dataBar>
    </cfRule>
  </conditionalFormatting>
  <conditionalFormatting sqref="AA94">
    <cfRule type="expression" priority="543" dxfId="2">
      <formula>AND(AND($W94&lt;TODAY(),$W94&lt;&gt;""),$X94="")</formula>
    </cfRule>
  </conditionalFormatting>
  <conditionalFormatting sqref="AG94">
    <cfRule type="dataBar" priority="542">
      <dataBar>
        <cfvo type="min"/>
        <cfvo type="max"/>
        <color rgb="FF63C384"/>
      </dataBar>
    </cfRule>
    <cfRule type="dataBar" priority="541">
      <dataBar>
        <cfvo type="min"/>
        <cfvo type="max"/>
        <color rgb="FF63C384"/>
      </dataBar>
    </cfRule>
  </conditionalFormatting>
  <conditionalFormatting sqref="Q93">
    <cfRule type="cellIs" priority="540" operator="equal" dxfId="2034">
      <formula>"ja"</formula>
    </cfRule>
  </conditionalFormatting>
  <conditionalFormatting sqref="Q91">
    <cfRule type="cellIs" priority="539" operator="equal" dxfId="2034">
      <formula>"ja"</formula>
    </cfRule>
  </conditionalFormatting>
  <conditionalFormatting sqref="Q88">
    <cfRule type="cellIs" priority="538" operator="equal" dxfId="2034">
      <formula>"ja"</formula>
    </cfRule>
  </conditionalFormatting>
  <conditionalFormatting sqref="AA95">
    <cfRule type="expression" priority="537" dxfId="2">
      <formula>AND(AND($W95&lt;TODAY(),$W95&lt;&gt;""),$X95="")</formula>
    </cfRule>
  </conditionalFormatting>
  <conditionalFormatting sqref="AG95">
    <cfRule type="dataBar" priority="536">
      <dataBar>
        <cfvo type="min"/>
        <cfvo type="max"/>
        <color rgb="FF63C384"/>
      </dataBar>
    </cfRule>
    <cfRule type="dataBar" priority="535">
      <dataBar>
        <cfvo type="min"/>
        <cfvo type="max"/>
        <color rgb="FF63C384"/>
      </dataBar>
    </cfRule>
  </conditionalFormatting>
  <conditionalFormatting sqref="Q95">
    <cfRule type="cellIs" priority="534" operator="equal" dxfId="2034">
      <formula>"ja"</formula>
    </cfRule>
  </conditionalFormatting>
  <conditionalFormatting sqref="Q94">
    <cfRule type="cellIs" priority="533" operator="equal" dxfId="2034">
      <formula>"ja"</formula>
    </cfRule>
  </conditionalFormatting>
  <conditionalFormatting sqref="Q96">
    <cfRule type="cellIs" priority="532" operator="equal" dxfId="2034">
      <formula>"ja"</formula>
    </cfRule>
    <cfRule type="cellIs" priority="527" operator="equal" dxfId="2034">
      <formula>"ja"</formula>
    </cfRule>
  </conditionalFormatting>
  <conditionalFormatting sqref="AA96">
    <cfRule type="expression" priority="531" dxfId="2">
      <formula>AND(AND($W96&lt;TODAY(),$W96&lt;&gt;""),$X96="")</formula>
    </cfRule>
    <cfRule type="expression" priority="528" dxfId="2">
      <formula>AND(AND($W96&lt;TODAY(),$W96&lt;&gt;""),$X96="")</formula>
    </cfRule>
  </conditionalFormatting>
  <conditionalFormatting sqref="AG96">
    <cfRule type="dataBar" priority="530">
      <dataBar>
        <cfvo type="min"/>
        <cfvo type="max"/>
        <color rgb="FF63C384"/>
      </dataBar>
    </cfRule>
    <cfRule type="dataBar" priority="529">
      <dataBar>
        <cfvo type="min"/>
        <cfvo type="max"/>
        <color rgb="FF63C384"/>
      </dataBar>
    </cfRule>
    <cfRule type="dataBar" priority="526">
      <dataBar>
        <cfvo type="min"/>
        <cfvo type="max"/>
        <color rgb="FF63C384"/>
      </dataBar>
    </cfRule>
    <cfRule type="dataBar" priority="525">
      <dataBar>
        <cfvo type="min"/>
        <cfvo type="max"/>
        <color rgb="FF63C384"/>
      </dataBar>
    </cfRule>
  </conditionalFormatting>
  <conditionalFormatting sqref="Q98">
    <cfRule type="cellIs" priority="524" operator="equal" dxfId="2034">
      <formula>"ja"</formula>
    </cfRule>
  </conditionalFormatting>
  <conditionalFormatting sqref="AA98">
    <cfRule type="expression" priority="523" dxfId="2">
      <formula>AND(AND($W98&lt;TODAY(),$W98&lt;&gt;""),$X98="")</formula>
    </cfRule>
  </conditionalFormatting>
  <conditionalFormatting sqref="AG98">
    <cfRule type="dataBar" priority="522">
      <dataBar>
        <cfvo type="min"/>
        <cfvo type="max"/>
        <color rgb="FF63C384"/>
      </dataBar>
    </cfRule>
    <cfRule type="dataBar" priority="521">
      <dataBar>
        <cfvo type="min"/>
        <cfvo type="max"/>
        <color rgb="FF63C384"/>
      </dataBar>
    </cfRule>
  </conditionalFormatting>
  <conditionalFormatting sqref="AA97">
    <cfRule type="expression" priority="520" dxfId="2">
      <formula>AND(AND($W97&lt;TODAY(),$W97&lt;&gt;""),$X97="")</formula>
    </cfRule>
  </conditionalFormatting>
  <conditionalFormatting sqref="AG97">
    <cfRule type="dataBar" priority="519">
      <dataBar>
        <cfvo type="min"/>
        <cfvo type="max"/>
        <color rgb="FF63C384"/>
      </dataBar>
    </cfRule>
    <cfRule type="dataBar" priority="518">
      <dataBar>
        <cfvo type="min"/>
        <cfvo type="max"/>
        <color rgb="FF63C384"/>
      </dataBar>
    </cfRule>
  </conditionalFormatting>
  <conditionalFormatting sqref="Q97">
    <cfRule type="cellIs" priority="517" operator="equal" dxfId="2034">
      <formula>"ja"</formula>
    </cfRule>
  </conditionalFormatting>
  <conditionalFormatting sqref="Q99">
    <cfRule type="cellIs" priority="516" operator="equal" dxfId="2034">
      <formula>"ja"</formula>
    </cfRule>
  </conditionalFormatting>
  <conditionalFormatting sqref="AA99">
    <cfRule type="expression" priority="515" dxfId="2">
      <formula>AND(AND($W99&lt;TODAY(),$W99&lt;&gt;""),$X99="")</formula>
    </cfRule>
  </conditionalFormatting>
  <conditionalFormatting sqref="AG99">
    <cfRule type="dataBar" priority="514">
      <dataBar>
        <cfvo type="min"/>
        <cfvo type="max"/>
        <color rgb="FF63C384"/>
      </dataBar>
    </cfRule>
    <cfRule type="dataBar" priority="513">
      <dataBar>
        <cfvo type="min"/>
        <cfvo type="max"/>
        <color rgb="FF63C384"/>
      </dataBar>
    </cfRule>
  </conditionalFormatting>
  <conditionalFormatting sqref="AA100">
    <cfRule type="expression" priority="512" dxfId="2">
      <formula>AND(AND($W100&lt;TODAY(),$W100&lt;&gt;""),$X100="")</formula>
    </cfRule>
  </conditionalFormatting>
  <conditionalFormatting sqref="Q100">
    <cfRule type="cellIs" priority="511" operator="equal" dxfId="2034">
      <formula>"ja"</formula>
    </cfRule>
  </conditionalFormatting>
  <conditionalFormatting sqref="AG100">
    <cfRule type="dataBar" priority="510">
      <dataBar>
        <cfvo type="min"/>
        <cfvo type="max"/>
        <color rgb="FF63C384"/>
      </dataBar>
    </cfRule>
    <cfRule type="dataBar" priority="509">
      <dataBar>
        <cfvo type="min"/>
        <cfvo type="max"/>
        <color rgb="FF63C384"/>
      </dataBar>
    </cfRule>
  </conditionalFormatting>
  <conditionalFormatting sqref="Q101">
    <cfRule type="cellIs" priority="508" operator="equal" dxfId="2034">
      <formula>"ja"</formula>
    </cfRule>
  </conditionalFormatting>
  <conditionalFormatting sqref="AA101">
    <cfRule type="expression" priority="507" dxfId="2">
      <formula>AND(AND($W101&lt;TODAY(),$W101&lt;&gt;""),$X101="")</formula>
    </cfRule>
  </conditionalFormatting>
  <conditionalFormatting sqref="AG101">
    <cfRule type="dataBar" priority="506">
      <dataBar>
        <cfvo type="min"/>
        <cfvo type="max"/>
        <color rgb="FF63C384"/>
      </dataBar>
    </cfRule>
    <cfRule type="dataBar" priority="505">
      <dataBar>
        <cfvo type="min"/>
        <cfvo type="max"/>
        <color rgb="FF63C384"/>
      </dataBar>
    </cfRule>
  </conditionalFormatting>
  <conditionalFormatting sqref="Q102">
    <cfRule type="cellIs" priority="504" operator="equal" dxfId="2034">
      <formula>"ja"</formula>
    </cfRule>
  </conditionalFormatting>
  <conditionalFormatting sqref="AA102">
    <cfRule type="expression" priority="503" dxfId="2">
      <formula>AND(AND($W102&lt;TODAY(),$W102&lt;&gt;""),$X102="")</formula>
    </cfRule>
  </conditionalFormatting>
  <conditionalFormatting sqref="AG102">
    <cfRule type="dataBar" priority="502">
      <dataBar>
        <cfvo type="min"/>
        <cfvo type="max"/>
        <color rgb="FF63C384"/>
      </dataBar>
    </cfRule>
    <cfRule type="dataBar" priority="501">
      <dataBar>
        <cfvo type="min"/>
        <cfvo type="max"/>
        <color rgb="FF63C384"/>
      </dataBar>
    </cfRule>
  </conditionalFormatting>
  <conditionalFormatting sqref="Q103">
    <cfRule type="cellIs" priority="500" operator="equal" dxfId="2034">
      <formula>"ja"</formula>
    </cfRule>
    <cfRule type="cellIs" priority="488" operator="equal" dxfId="2034">
      <formula>"ja"</formula>
    </cfRule>
    <cfRule type="cellIs" priority="496" operator="equal" dxfId="2034">
      <formula>"ja"</formula>
    </cfRule>
    <cfRule type="cellIs" priority="492" operator="equal" dxfId="2034">
      <formula>"ja"</formula>
    </cfRule>
  </conditionalFormatting>
  <conditionalFormatting sqref="AA103">
    <cfRule type="expression" priority="487" dxfId="2">
      <formula>AND(AND($W103&lt;TODAY(),$W103&lt;&gt;""),$X103="")</formula>
    </cfRule>
    <cfRule type="expression" priority="499" dxfId="2">
      <formula>AND(AND($W103&lt;TODAY(),$W103&lt;&gt;""),$X103="")</formula>
    </cfRule>
    <cfRule type="expression" priority="495" dxfId="2">
      <formula>AND(AND($W103&lt;TODAY(),$W103&lt;&gt;""),$X103="")</formula>
    </cfRule>
    <cfRule type="expression" priority="491" dxfId="2">
      <formula>AND(AND($W103&lt;TODAY(),$W103&lt;&gt;""),$X103="")</formula>
    </cfRule>
  </conditionalFormatting>
  <conditionalFormatting sqref="AG103">
    <cfRule type="dataBar" priority="498">
      <dataBar>
        <cfvo type="min"/>
        <cfvo type="max"/>
        <color rgb="FF63C384"/>
      </dataBar>
    </cfRule>
    <cfRule type="dataBar" priority="497">
      <dataBar>
        <cfvo type="min"/>
        <cfvo type="max"/>
        <color rgb="FF63C384"/>
      </dataBar>
    </cfRule>
    <cfRule type="dataBar" priority="494">
      <dataBar>
        <cfvo type="min"/>
        <cfvo type="max"/>
        <color rgb="FF63C384"/>
      </dataBar>
    </cfRule>
    <cfRule type="dataBar" priority="493">
      <dataBar>
        <cfvo type="min"/>
        <cfvo type="max"/>
        <color rgb="FF63C384"/>
      </dataBar>
    </cfRule>
    <cfRule type="dataBar" priority="490">
      <dataBar>
        <cfvo type="min"/>
        <cfvo type="max"/>
        <color rgb="FF63C384"/>
      </dataBar>
    </cfRule>
    <cfRule type="dataBar" priority="489">
      <dataBar>
        <cfvo type="min"/>
        <cfvo type="max"/>
        <color rgb="FF63C384"/>
      </dataBar>
    </cfRule>
    <cfRule type="dataBar" priority="486">
      <dataBar>
        <cfvo type="min"/>
        <cfvo type="max"/>
        <color rgb="FF63C384"/>
      </dataBar>
    </cfRule>
    <cfRule type="dataBar" priority="485">
      <dataBar>
        <cfvo type="min"/>
        <cfvo type="max"/>
        <color rgb="FF63C384"/>
      </dataBar>
    </cfRule>
  </conditionalFormatting>
  <conditionalFormatting sqref="Q104">
    <cfRule type="cellIs" priority="484" operator="equal" dxfId="2034">
      <formula>"ja"</formula>
    </cfRule>
    <cfRule type="cellIs" priority="481" operator="equal" dxfId="2034">
      <formula>"ja"</formula>
    </cfRule>
  </conditionalFormatting>
  <conditionalFormatting sqref="AA104">
    <cfRule type="expression" priority="483" dxfId="2">
      <formula>AND(AND($W104&lt;TODAY(),$W104&lt;&gt;""),$X104="")</formula>
    </cfRule>
    <cfRule type="expression" priority="480" dxfId="2">
      <formula>AND(AND($W104&lt;TODAY(),$W104&lt;&gt;""),$X104="")</formula>
    </cfRule>
  </conditionalFormatting>
  <conditionalFormatting sqref="AG104">
    <cfRule type="dataBar" priority="482">
      <dataBar>
        <cfvo type="min"/>
        <cfvo type="max"/>
        <color rgb="FF63C384"/>
      </dataBar>
    </cfRule>
    <cfRule type="dataBar" priority="479">
      <dataBar>
        <cfvo type="min"/>
        <cfvo type="max"/>
        <color rgb="FF63C384"/>
      </dataBar>
    </cfRule>
    <cfRule type="dataBar" priority="478">
      <dataBar>
        <cfvo type="min"/>
        <cfvo type="max"/>
        <color rgb="FF63C384"/>
      </dataBar>
    </cfRule>
  </conditionalFormatting>
  <conditionalFormatting sqref="AA105">
    <cfRule type="expression" priority="477" dxfId="2">
      <formula>AND(AND($W105&lt;TODAY(),$W105&lt;&gt;""),$X105="")</formula>
    </cfRule>
  </conditionalFormatting>
  <conditionalFormatting sqref="AG105">
    <cfRule type="dataBar" priority="476">
      <dataBar>
        <cfvo type="min"/>
        <cfvo type="max"/>
        <color rgb="FF63C384"/>
      </dataBar>
    </cfRule>
    <cfRule type="dataBar" priority="475">
      <dataBar>
        <cfvo type="min"/>
        <cfvo type="max"/>
        <color rgb="FF63C384"/>
      </dataBar>
    </cfRule>
  </conditionalFormatting>
  <conditionalFormatting sqref="Q105">
    <cfRule type="cellIs" priority="474" operator="equal" dxfId="2034">
      <formula>"ja"</formula>
    </cfRule>
  </conditionalFormatting>
  <conditionalFormatting sqref="Q106">
    <cfRule type="cellIs" priority="473" operator="equal" dxfId="2034">
      <formula>"ja"</formula>
    </cfRule>
  </conditionalFormatting>
  <conditionalFormatting sqref="AA106">
    <cfRule type="expression" priority="472" dxfId="2">
      <formula>AND(AND($W106&lt;TODAY(),$W106&lt;&gt;""),$X106="")</formula>
    </cfRule>
  </conditionalFormatting>
  <conditionalFormatting sqref="AG106">
    <cfRule type="dataBar" priority="471">
      <dataBar>
        <cfvo type="min"/>
        <cfvo type="max"/>
        <color rgb="FF63C384"/>
      </dataBar>
    </cfRule>
    <cfRule type="dataBar" priority="470">
      <dataBar>
        <cfvo type="min"/>
        <cfvo type="max"/>
        <color rgb="FF63C384"/>
      </dataBar>
    </cfRule>
  </conditionalFormatting>
  <conditionalFormatting sqref="AA107">
    <cfRule type="expression" priority="469" dxfId="2">
      <formula>AND(AND($W107&lt;TODAY(),$W107&lt;&gt;""),$X107="")</formula>
    </cfRule>
  </conditionalFormatting>
  <conditionalFormatting sqref="Q107">
    <cfRule type="cellIs" priority="468" operator="equal" dxfId="2034">
      <formula>"ja"</formula>
    </cfRule>
  </conditionalFormatting>
  <conditionalFormatting sqref="AG107">
    <cfRule type="dataBar" priority="467">
      <dataBar>
        <cfvo type="min"/>
        <cfvo type="max"/>
        <color rgb="FF63C384"/>
      </dataBar>
    </cfRule>
    <cfRule type="dataBar" priority="466">
      <dataBar>
        <cfvo type="min"/>
        <cfvo type="max"/>
        <color rgb="FF63C384"/>
      </dataBar>
    </cfRule>
  </conditionalFormatting>
  <conditionalFormatting sqref="Q108">
    <cfRule type="cellIs" priority="465" operator="equal" dxfId="2034">
      <formula>"ja"</formula>
    </cfRule>
  </conditionalFormatting>
  <conditionalFormatting sqref="AA108">
    <cfRule type="expression" priority="464" dxfId="2">
      <formula>AND(AND($W108&lt;TODAY(),$W108&lt;&gt;""),$X108="")</formula>
    </cfRule>
  </conditionalFormatting>
  <conditionalFormatting sqref="AG108">
    <cfRule type="dataBar" priority="463">
      <dataBar>
        <cfvo type="min"/>
        <cfvo type="max"/>
        <color rgb="FF63C384"/>
      </dataBar>
    </cfRule>
    <cfRule type="dataBar" priority="462">
      <dataBar>
        <cfvo type="min"/>
        <cfvo type="max"/>
        <color rgb="FF63C384"/>
      </dataBar>
    </cfRule>
  </conditionalFormatting>
  <conditionalFormatting sqref="Q109">
    <cfRule type="cellIs" priority="461" operator="equal" dxfId="2034">
      <formula>"ja"</formula>
    </cfRule>
  </conditionalFormatting>
  <conditionalFormatting sqref="AA109">
    <cfRule type="expression" priority="460" dxfId="2">
      <formula>AND(AND($W109&lt;TODAY(),$W109&lt;&gt;""),$X109="")</formula>
    </cfRule>
  </conditionalFormatting>
  <conditionalFormatting sqref="AG109">
    <cfRule type="dataBar" priority="459">
      <dataBar>
        <cfvo type="min"/>
        <cfvo type="max"/>
        <color rgb="FF63C384"/>
      </dataBar>
    </cfRule>
    <cfRule type="dataBar" priority="458">
      <dataBar>
        <cfvo type="min"/>
        <cfvo type="max"/>
        <color rgb="FF63C384"/>
      </dataBar>
    </cfRule>
  </conditionalFormatting>
  <conditionalFormatting sqref="AA110">
    <cfRule type="expression" priority="457" dxfId="2">
      <formula>AND(AND($W110&lt;TODAY(),$W110&lt;&gt;""),$X110="")</formula>
    </cfRule>
  </conditionalFormatting>
  <conditionalFormatting sqref="AG110">
    <cfRule type="dataBar" priority="456">
      <dataBar>
        <cfvo type="min"/>
        <cfvo type="max"/>
        <color rgb="FF63C384"/>
      </dataBar>
    </cfRule>
    <cfRule type="dataBar" priority="455">
      <dataBar>
        <cfvo type="min"/>
        <cfvo type="max"/>
        <color rgb="FF63C384"/>
      </dataBar>
    </cfRule>
  </conditionalFormatting>
  <conditionalFormatting sqref="AA111">
    <cfRule type="expression" priority="454" dxfId="2">
      <formula>AND(AND($W111&lt;TODAY(),$W111&lt;&gt;""),$X111="")</formula>
    </cfRule>
  </conditionalFormatting>
  <conditionalFormatting sqref="AG111">
    <cfRule type="dataBar" priority="453">
      <dataBar>
        <cfvo type="min"/>
        <cfvo type="max"/>
        <color rgb="FF63C384"/>
      </dataBar>
    </cfRule>
    <cfRule type="dataBar" priority="452">
      <dataBar>
        <cfvo type="min"/>
        <cfvo type="max"/>
        <color rgb="FF63C384"/>
      </dataBar>
    </cfRule>
  </conditionalFormatting>
  <conditionalFormatting sqref="Q111">
    <cfRule type="cellIs" priority="451" operator="equal" dxfId="2034">
      <formula>"ja"</formula>
    </cfRule>
  </conditionalFormatting>
  <conditionalFormatting sqref="AA112">
    <cfRule type="expression" priority="450" dxfId="2">
      <formula>AND(AND($W112&lt;TODAY(),$W112&lt;&gt;""),$X112="")</formula>
    </cfRule>
  </conditionalFormatting>
  <conditionalFormatting sqref="AG112">
    <cfRule type="dataBar" priority="449">
      <dataBar>
        <cfvo type="min"/>
        <cfvo type="max"/>
        <color rgb="FF63C384"/>
      </dataBar>
    </cfRule>
    <cfRule type="dataBar" priority="448">
      <dataBar>
        <cfvo type="min"/>
        <cfvo type="max"/>
        <color rgb="FF63C384"/>
      </dataBar>
    </cfRule>
  </conditionalFormatting>
  <conditionalFormatting sqref="Q112">
    <cfRule type="cellIs" priority="447" operator="equal" dxfId="2034">
      <formula>"ja"</formula>
    </cfRule>
  </conditionalFormatting>
  <conditionalFormatting sqref="AA113">
    <cfRule type="expression" priority="446" dxfId="2">
      <formula>AND(AND($W113&lt;TODAY(),$W113&lt;&gt;""),$X113="")</formula>
    </cfRule>
    <cfRule type="expression" priority="438" dxfId="2">
      <formula>AND(AND($W113&lt;TODAY(),$W113&lt;&gt;""),$X113="")</formula>
    </cfRule>
  </conditionalFormatting>
  <conditionalFormatting sqref="AG113">
    <cfRule type="dataBar" priority="445">
      <dataBar>
        <cfvo type="min"/>
        <cfvo type="max"/>
        <color rgb="FF63C384"/>
      </dataBar>
    </cfRule>
    <cfRule type="dataBar" priority="444">
      <dataBar>
        <cfvo type="min"/>
        <cfvo type="max"/>
        <color rgb="FF63C384"/>
      </dataBar>
    </cfRule>
    <cfRule type="dataBar" priority="437">
      <dataBar>
        <cfvo type="min"/>
        <cfvo type="max"/>
        <color rgb="FF63C384"/>
      </dataBar>
    </cfRule>
    <cfRule type="dataBar" priority="436">
      <dataBar>
        <cfvo type="min"/>
        <cfvo type="max"/>
        <color rgb="FF63C384"/>
      </dataBar>
    </cfRule>
  </conditionalFormatting>
  <conditionalFormatting sqref="Q113">
    <cfRule type="cellIs" priority="443" operator="equal" dxfId="2034">
      <formula>"ja"</formula>
    </cfRule>
    <cfRule type="cellIs" priority="435" operator="equal" dxfId="2034">
      <formula>"ja"</formula>
    </cfRule>
  </conditionalFormatting>
  <conditionalFormatting sqref="AA114">
    <cfRule type="expression" priority="442" dxfId="2">
      <formula>AND(AND($W114&lt;TODAY(),$W114&lt;&gt;""),$X114="")</formula>
    </cfRule>
    <cfRule type="expression" priority="434" dxfId="2">
      <formula>AND(AND($W114&lt;TODAY(),$W114&lt;&gt;""),$X114="")</formula>
    </cfRule>
  </conditionalFormatting>
  <conditionalFormatting sqref="AG114">
    <cfRule type="dataBar" priority="441">
      <dataBar>
        <cfvo type="min"/>
        <cfvo type="max"/>
        <color rgb="FF63C384"/>
      </dataBar>
    </cfRule>
    <cfRule type="dataBar" priority="440">
      <dataBar>
        <cfvo type="min"/>
        <cfvo type="max"/>
        <color rgb="FF63C384"/>
      </dataBar>
    </cfRule>
    <cfRule type="dataBar" priority="433">
      <dataBar>
        <cfvo type="min"/>
        <cfvo type="max"/>
        <color rgb="FF63C384"/>
      </dataBar>
    </cfRule>
    <cfRule type="dataBar" priority="432">
      <dataBar>
        <cfvo type="min"/>
        <cfvo type="max"/>
        <color rgb="FF63C384"/>
      </dataBar>
    </cfRule>
  </conditionalFormatting>
  <conditionalFormatting sqref="Q114">
    <cfRule type="cellIs" priority="439" operator="equal" dxfId="2034">
      <formula>"ja"</formula>
    </cfRule>
    <cfRule type="cellIs" priority="431" operator="equal" dxfId="2034">
      <formula>"ja"</formula>
    </cfRule>
  </conditionalFormatting>
  <conditionalFormatting sqref="Q115">
    <cfRule type="cellIs" priority="430" operator="equal" dxfId="2034">
      <formula>"ja"</formula>
    </cfRule>
    <cfRule type="cellIs" priority="425" operator="equal" dxfId="2034">
      <formula>"ja"</formula>
    </cfRule>
  </conditionalFormatting>
  <conditionalFormatting sqref="AA115">
    <cfRule type="expression" priority="429" dxfId="2">
      <formula>AND(AND($W115&lt;TODAY(),$W115&lt;&gt;""),$X115="")</formula>
    </cfRule>
    <cfRule type="expression" priority="426" dxfId="2">
      <formula>AND(AND($W115&lt;TODAY(),$W115&lt;&gt;""),$X115="")</formula>
    </cfRule>
  </conditionalFormatting>
  <conditionalFormatting sqref="AG115">
    <cfRule type="dataBar" priority="428">
      <dataBar>
        <cfvo type="min"/>
        <cfvo type="max"/>
        <color rgb="FF63C384"/>
      </dataBar>
    </cfRule>
    <cfRule type="dataBar" priority="427">
      <dataBar>
        <cfvo type="min"/>
        <cfvo type="max"/>
        <color rgb="FF63C384"/>
      </dataBar>
    </cfRule>
    <cfRule type="dataBar" priority="424">
      <dataBar>
        <cfvo type="min"/>
        <cfvo type="max"/>
        <color rgb="FF63C384"/>
      </dataBar>
    </cfRule>
    <cfRule type="dataBar" priority="423">
      <dataBar>
        <cfvo type="min"/>
        <cfvo type="max"/>
        <color rgb="FF63C384"/>
      </dataBar>
    </cfRule>
  </conditionalFormatting>
  <conditionalFormatting sqref="AA116">
    <cfRule type="expression" priority="421" dxfId="2">
      <formula>AND(AND($W116&lt;TODAY(),$W116&lt;&gt;""),$X116="")</formula>
    </cfRule>
  </conditionalFormatting>
  <conditionalFormatting sqref="Q116">
    <cfRule type="cellIs" priority="422" operator="equal" dxfId="2034">
      <formula>"ja"</formula>
    </cfRule>
  </conditionalFormatting>
  <conditionalFormatting sqref="AG116">
    <cfRule type="dataBar" priority="420">
      <dataBar>
        <cfvo type="min"/>
        <cfvo type="max"/>
        <color rgb="FF63C384"/>
      </dataBar>
    </cfRule>
    <cfRule type="dataBar" priority="419">
      <dataBar>
        <cfvo type="min"/>
        <cfvo type="max"/>
        <color rgb="FF63C384"/>
      </dataBar>
    </cfRule>
  </conditionalFormatting>
  <conditionalFormatting sqref="Q117">
    <cfRule type="cellIs" priority="418" operator="equal" dxfId="2034">
      <formula>"ja"</formula>
    </cfRule>
    <cfRule type="cellIs" priority="406" operator="equal" dxfId="2034">
      <formula>"ja"</formula>
    </cfRule>
    <cfRule type="cellIs" priority="414" operator="equal" dxfId="2034">
      <formula>"ja"</formula>
    </cfRule>
    <cfRule type="cellIs" priority="410" operator="equal" dxfId="2034">
      <formula>"ja"</formula>
    </cfRule>
  </conditionalFormatting>
  <conditionalFormatting sqref="AA117">
    <cfRule type="expression" priority="405" dxfId="2">
      <formula>AND(AND($W117&lt;TODAY(),$W117&lt;&gt;""),$X117="")</formula>
    </cfRule>
    <cfRule type="expression" priority="417" dxfId="2">
      <formula>AND(AND($W117&lt;TODAY(),$W117&lt;&gt;""),$X117="")</formula>
    </cfRule>
    <cfRule type="expression" priority="413" dxfId="2">
      <formula>AND(AND($W117&lt;TODAY(),$W117&lt;&gt;""),$X117="")</formula>
    </cfRule>
    <cfRule type="expression" priority="409" dxfId="2">
      <formula>AND(AND($W117&lt;TODAY(),$W117&lt;&gt;""),$X117="")</formula>
    </cfRule>
  </conditionalFormatting>
  <conditionalFormatting sqref="AG117">
    <cfRule type="dataBar" priority="416">
      <dataBar>
        <cfvo type="min"/>
        <cfvo type="max"/>
        <color rgb="FF63C384"/>
      </dataBar>
    </cfRule>
    <cfRule type="dataBar" priority="415">
      <dataBar>
        <cfvo type="min"/>
        <cfvo type="max"/>
        <color rgb="FF63C384"/>
      </dataBar>
    </cfRule>
    <cfRule type="dataBar" priority="412">
      <dataBar>
        <cfvo type="min"/>
        <cfvo type="max"/>
        <color rgb="FF63C384"/>
      </dataBar>
    </cfRule>
    <cfRule type="dataBar" priority="411">
      <dataBar>
        <cfvo type="min"/>
        <cfvo type="max"/>
        <color rgb="FF63C384"/>
      </dataBar>
    </cfRule>
    <cfRule type="dataBar" priority="408">
      <dataBar>
        <cfvo type="min"/>
        <cfvo type="max"/>
        <color rgb="FF63C384"/>
      </dataBar>
    </cfRule>
    <cfRule type="dataBar" priority="407">
      <dataBar>
        <cfvo type="min"/>
        <cfvo type="max"/>
        <color rgb="FF63C384"/>
      </dataBar>
    </cfRule>
    <cfRule type="dataBar" priority="404">
      <dataBar>
        <cfvo type="min"/>
        <cfvo type="max"/>
        <color rgb="FF63C384"/>
      </dataBar>
    </cfRule>
    <cfRule type="dataBar" priority="403">
      <dataBar>
        <cfvo type="min"/>
        <cfvo type="max"/>
        <color rgb="FF63C384"/>
      </dataBar>
    </cfRule>
  </conditionalFormatting>
  <conditionalFormatting sqref="Q118">
    <cfRule type="cellIs" priority="402" operator="equal" dxfId="2034">
      <formula>"ja"</formula>
    </cfRule>
  </conditionalFormatting>
  <conditionalFormatting sqref="AA118">
    <cfRule type="expression" priority="401" dxfId="2">
      <formula>AND(AND($W118&lt;TODAY(),$W118&lt;&gt;""),$X118="")</formula>
    </cfRule>
  </conditionalFormatting>
  <conditionalFormatting sqref="AG118">
    <cfRule type="dataBar" priority="400">
      <dataBar>
        <cfvo type="min"/>
        <cfvo type="max"/>
        <color rgb="FF63C384"/>
      </dataBar>
    </cfRule>
    <cfRule type="dataBar" priority="399">
      <dataBar>
        <cfvo type="min"/>
        <cfvo type="max"/>
        <color rgb="FF63C384"/>
      </dataBar>
    </cfRule>
  </conditionalFormatting>
  <conditionalFormatting sqref="AA119">
    <cfRule type="expression" priority="398" dxfId="2">
      <formula>AND(AND($W119&lt;TODAY(),$W119&lt;&gt;""),$X119="")</formula>
    </cfRule>
  </conditionalFormatting>
  <conditionalFormatting sqref="AG119">
    <cfRule type="dataBar" priority="397">
      <dataBar>
        <cfvo type="min"/>
        <cfvo type="max"/>
        <color rgb="FF63C384"/>
      </dataBar>
    </cfRule>
    <cfRule type="dataBar" priority="396">
      <dataBar>
        <cfvo type="min"/>
        <cfvo type="max"/>
        <color rgb="FF63C384"/>
      </dataBar>
    </cfRule>
  </conditionalFormatting>
  <conditionalFormatting sqref="Q119">
    <cfRule type="cellIs" priority="395" operator="equal" dxfId="2034">
      <formula>"ja"</formula>
    </cfRule>
  </conditionalFormatting>
  <conditionalFormatting sqref="AA120">
    <cfRule type="expression" priority="394" dxfId="2">
      <formula>AND(AND($W120&lt;TODAY(),$W120&lt;&gt;""),$X120="")</formula>
    </cfRule>
  </conditionalFormatting>
  <conditionalFormatting sqref="AG120">
    <cfRule type="dataBar" priority="393">
      <dataBar>
        <cfvo type="min"/>
        <cfvo type="max"/>
        <color rgb="FF63C384"/>
      </dataBar>
    </cfRule>
    <cfRule type="dataBar" priority="392">
      <dataBar>
        <cfvo type="min"/>
        <cfvo type="max"/>
        <color rgb="FF63C384"/>
      </dataBar>
    </cfRule>
  </conditionalFormatting>
  <conditionalFormatting sqref="Q120">
    <cfRule type="cellIs" priority="391" operator="equal" dxfId="2034">
      <formula>"ja"</formula>
    </cfRule>
  </conditionalFormatting>
  <conditionalFormatting sqref="Q121">
    <cfRule type="cellIs" priority="390" operator="equal" dxfId="2034">
      <formula>"ja"</formula>
    </cfRule>
  </conditionalFormatting>
  <conditionalFormatting sqref="AA121">
    <cfRule type="expression" priority="389" dxfId="2">
      <formula>AND(AND($W121&lt;TODAY(),$W121&lt;&gt;""),$X121="")</formula>
    </cfRule>
  </conditionalFormatting>
  <conditionalFormatting sqref="AG121">
    <cfRule type="dataBar" priority="388">
      <dataBar>
        <cfvo type="min"/>
        <cfvo type="max"/>
        <color rgb="FF63C384"/>
      </dataBar>
    </cfRule>
    <cfRule type="dataBar" priority="387">
      <dataBar>
        <cfvo type="min"/>
        <cfvo type="max"/>
        <color rgb="FF63C384"/>
      </dataBar>
    </cfRule>
  </conditionalFormatting>
  <conditionalFormatting sqref="AA122">
    <cfRule type="expression" priority="386" dxfId="2">
      <formula>AND(AND($W122&lt;TODAY(),$W122&lt;&gt;""),$X122="")</formula>
    </cfRule>
  </conditionalFormatting>
  <conditionalFormatting sqref="AG122">
    <cfRule type="dataBar" priority="385">
      <dataBar>
        <cfvo type="min"/>
        <cfvo type="max"/>
        <color rgb="FF63C384"/>
      </dataBar>
    </cfRule>
    <cfRule type="dataBar" priority="384">
      <dataBar>
        <cfvo type="min"/>
        <cfvo type="max"/>
        <color rgb="FF63C384"/>
      </dataBar>
    </cfRule>
  </conditionalFormatting>
  <conditionalFormatting sqref="Q122">
    <cfRule type="cellIs" priority="383" operator="equal" dxfId="2034">
      <formula>"ja"</formula>
    </cfRule>
  </conditionalFormatting>
  <conditionalFormatting sqref="Q123">
    <cfRule type="cellIs" priority="382" operator="equal" dxfId="2034">
      <formula>"ja"</formula>
    </cfRule>
  </conditionalFormatting>
  <conditionalFormatting sqref="AA123">
    <cfRule type="expression" priority="381" dxfId="2">
      <formula>AND(AND($W123&lt;TODAY(),$W123&lt;&gt;""),$X123="")</formula>
    </cfRule>
  </conditionalFormatting>
  <conditionalFormatting sqref="AG123">
    <cfRule type="dataBar" priority="380">
      <dataBar>
        <cfvo type="min"/>
        <cfvo type="max"/>
        <color rgb="FF63C384"/>
      </dataBar>
    </cfRule>
    <cfRule type="dataBar" priority="379">
      <dataBar>
        <cfvo type="min"/>
        <cfvo type="max"/>
        <color rgb="FF63C384"/>
      </dataBar>
    </cfRule>
  </conditionalFormatting>
  <conditionalFormatting sqref="Q124">
    <cfRule type="cellIs" priority="378" operator="equal" dxfId="2034">
      <formula>"ja"</formula>
    </cfRule>
  </conditionalFormatting>
  <conditionalFormatting sqref="AA124">
    <cfRule type="expression" priority="377" dxfId="2">
      <formula>AND(AND($W124&lt;TODAY(),$W124&lt;&gt;""),$X124="")</formula>
    </cfRule>
  </conditionalFormatting>
  <conditionalFormatting sqref="AG124">
    <cfRule type="dataBar" priority="376">
      <dataBar>
        <cfvo type="min"/>
        <cfvo type="max"/>
        <color rgb="FF63C384"/>
      </dataBar>
    </cfRule>
    <cfRule type="dataBar" priority="375">
      <dataBar>
        <cfvo type="min"/>
        <cfvo type="max"/>
        <color rgb="FF63C384"/>
      </dataBar>
    </cfRule>
  </conditionalFormatting>
  <conditionalFormatting sqref="AA125">
    <cfRule type="expression" priority="374" dxfId="2">
      <formula>AND(AND($W125&lt;TODAY(),$W125&lt;&gt;""),$X125="")</formula>
    </cfRule>
  </conditionalFormatting>
  <conditionalFormatting sqref="Q125">
    <cfRule type="cellIs" priority="373" operator="equal" dxfId="2034">
      <formula>"ja"</formula>
    </cfRule>
  </conditionalFormatting>
  <conditionalFormatting sqref="AG125">
    <cfRule type="dataBar" priority="372">
      <dataBar>
        <cfvo type="min"/>
        <cfvo type="max"/>
        <color rgb="FF63C384"/>
      </dataBar>
    </cfRule>
    <cfRule type="dataBar" priority="371">
      <dataBar>
        <cfvo type="min"/>
        <cfvo type="max"/>
        <color rgb="FF63C384"/>
      </dataBar>
    </cfRule>
  </conditionalFormatting>
  <conditionalFormatting sqref="Q126">
    <cfRule type="cellIs" priority="370" operator="equal" dxfId="2034">
      <formula>"ja"</formula>
    </cfRule>
  </conditionalFormatting>
  <conditionalFormatting sqref="AA126">
    <cfRule type="expression" priority="369" dxfId="2">
      <formula>AND(AND($W126&lt;TODAY(),$W126&lt;&gt;""),$X126="")</formula>
    </cfRule>
  </conditionalFormatting>
  <conditionalFormatting sqref="AG126">
    <cfRule type="dataBar" priority="368">
      <dataBar>
        <cfvo type="min"/>
        <cfvo type="max"/>
        <color rgb="FF63C384"/>
      </dataBar>
    </cfRule>
    <cfRule type="dataBar" priority="367">
      <dataBar>
        <cfvo type="min"/>
        <cfvo type="max"/>
        <color rgb="FF63C384"/>
      </dataBar>
    </cfRule>
  </conditionalFormatting>
  <conditionalFormatting sqref="AA127">
    <cfRule type="expression" priority="366" dxfId="2">
      <formula>AND(AND($W127&lt;TODAY(),$W127&lt;&gt;""),$X127="")</formula>
    </cfRule>
  </conditionalFormatting>
  <conditionalFormatting sqref="AG127">
    <cfRule type="dataBar" priority="365">
      <dataBar>
        <cfvo type="min"/>
        <cfvo type="max"/>
        <color rgb="FF63C384"/>
      </dataBar>
    </cfRule>
    <cfRule type="dataBar" priority="364">
      <dataBar>
        <cfvo type="min"/>
        <cfvo type="max"/>
        <color rgb="FF63C384"/>
      </dataBar>
    </cfRule>
  </conditionalFormatting>
  <conditionalFormatting sqref="Q127">
    <cfRule type="cellIs" priority="363" operator="equal" dxfId="2034">
      <formula>"ja"</formula>
    </cfRule>
  </conditionalFormatting>
  <conditionalFormatting sqref="AA128">
    <cfRule type="expression" priority="362" dxfId="2">
      <formula>AND(AND($W128&lt;TODAY(),$W128&lt;&gt;""),$X128="")</formula>
    </cfRule>
  </conditionalFormatting>
  <conditionalFormatting sqref="AG128">
    <cfRule type="dataBar" priority="361">
      <dataBar>
        <cfvo type="min"/>
        <cfvo type="max"/>
        <color rgb="FF63C384"/>
      </dataBar>
    </cfRule>
    <cfRule type="dataBar" priority="360">
      <dataBar>
        <cfvo type="min"/>
        <cfvo type="max"/>
        <color rgb="FF63C384"/>
      </dataBar>
    </cfRule>
  </conditionalFormatting>
  <conditionalFormatting sqref="Q128">
    <cfRule type="cellIs" priority="359" operator="equal" dxfId="2034">
      <formula>"ja"</formula>
    </cfRule>
  </conditionalFormatting>
  <conditionalFormatting sqref="Q129">
    <cfRule type="cellIs" priority="358" operator="equal" dxfId="2034">
      <formula>"ja"</formula>
    </cfRule>
  </conditionalFormatting>
  <conditionalFormatting sqref="AA129">
    <cfRule type="expression" priority="357" dxfId="2">
      <formula>AND(AND($W129&lt;TODAY(),$W129&lt;&gt;""),$X129="")</formula>
    </cfRule>
  </conditionalFormatting>
  <conditionalFormatting sqref="AG129">
    <cfRule type="dataBar" priority="356">
      <dataBar>
        <cfvo type="min"/>
        <cfvo type="max"/>
        <color rgb="FF63C384"/>
      </dataBar>
    </cfRule>
    <cfRule type="dataBar" priority="355">
      <dataBar>
        <cfvo type="min"/>
        <cfvo type="max"/>
        <color rgb="FF63C384"/>
      </dataBar>
    </cfRule>
  </conditionalFormatting>
  <conditionalFormatting sqref="AA130">
    <cfRule type="expression" priority="354" dxfId="2">
      <formula>AND(AND($W130&lt;TODAY(),$W130&lt;&gt;""),$X130="")</formula>
    </cfRule>
  </conditionalFormatting>
  <conditionalFormatting sqref="AG130">
    <cfRule type="dataBar" priority="353">
      <dataBar>
        <cfvo type="min"/>
        <cfvo type="max"/>
        <color rgb="FF63C384"/>
      </dataBar>
    </cfRule>
    <cfRule type="dataBar" priority="352">
      <dataBar>
        <cfvo type="min"/>
        <cfvo type="max"/>
        <color rgb="FF63C384"/>
      </dataBar>
    </cfRule>
  </conditionalFormatting>
  <conditionalFormatting sqref="Q130">
    <cfRule type="cellIs" priority="351" operator="equal" dxfId="2034">
      <formula>"ja"</formula>
    </cfRule>
  </conditionalFormatting>
  <conditionalFormatting sqref="Q131">
    <cfRule type="cellIs" priority="350" operator="equal" dxfId="2034">
      <formula>"ja"</formula>
    </cfRule>
    <cfRule type="cellIs" priority="345" operator="equal" dxfId="2034">
      <formula>"ja"</formula>
    </cfRule>
  </conditionalFormatting>
  <conditionalFormatting sqref="AA131">
    <cfRule type="expression" priority="349" dxfId="2">
      <formula>AND(AND($W131&lt;TODAY(),$W131&lt;&gt;""),$X131="")</formula>
    </cfRule>
    <cfRule type="expression" priority="346" dxfId="2">
      <formula>AND(AND($W131&lt;TODAY(),$W131&lt;&gt;""),$X131="")</formula>
    </cfRule>
  </conditionalFormatting>
  <conditionalFormatting sqref="AG131">
    <cfRule type="dataBar" priority="348">
      <dataBar>
        <cfvo type="min"/>
        <cfvo type="max"/>
        <color rgb="FF63C384"/>
      </dataBar>
    </cfRule>
    <cfRule type="dataBar" priority="347">
      <dataBar>
        <cfvo type="min"/>
        <cfvo type="max"/>
        <color rgb="FF63C384"/>
      </dataBar>
    </cfRule>
    <cfRule type="dataBar" priority="344">
      <dataBar>
        <cfvo type="min"/>
        <cfvo type="max"/>
        <color rgb="FF63C384"/>
      </dataBar>
    </cfRule>
    <cfRule type="dataBar" priority="343">
      <dataBar>
        <cfvo type="min"/>
        <cfvo type="max"/>
        <color rgb="FF63C384"/>
      </dataBar>
    </cfRule>
  </conditionalFormatting>
  <conditionalFormatting sqref="Q132">
    <cfRule type="cellIs" priority="342" operator="equal" dxfId="2034">
      <formula>"ja"</formula>
    </cfRule>
    <cfRule type="cellIs" priority="330" operator="equal" dxfId="2034">
      <formula>"ja"</formula>
    </cfRule>
    <cfRule type="cellIs" priority="338" operator="equal" dxfId="2034">
      <formula>"ja"</formula>
    </cfRule>
    <cfRule type="cellIs" priority="334" operator="equal" dxfId="2034">
      <formula>"ja"</formula>
    </cfRule>
  </conditionalFormatting>
  <conditionalFormatting sqref="AA132">
    <cfRule type="expression" priority="329" dxfId="2">
      <formula>AND(AND($W132&lt;TODAY(),$W132&lt;&gt;""),$X132="")</formula>
    </cfRule>
    <cfRule type="expression" priority="341" dxfId="2">
      <formula>AND(AND($W132&lt;TODAY(),$W132&lt;&gt;""),$X132="")</formula>
    </cfRule>
    <cfRule type="expression" priority="337" dxfId="2">
      <formula>AND(AND($W132&lt;TODAY(),$W132&lt;&gt;""),$X132="")</formula>
    </cfRule>
    <cfRule type="expression" priority="333" dxfId="2">
      <formula>AND(AND($W132&lt;TODAY(),$W132&lt;&gt;""),$X132="")</formula>
    </cfRule>
  </conditionalFormatting>
  <conditionalFormatting sqref="AG132">
    <cfRule type="dataBar" priority="340">
      <dataBar>
        <cfvo type="min"/>
        <cfvo type="max"/>
        <color rgb="FF63C384"/>
      </dataBar>
    </cfRule>
    <cfRule type="dataBar" priority="339">
      <dataBar>
        <cfvo type="min"/>
        <cfvo type="max"/>
        <color rgb="FF63C384"/>
      </dataBar>
    </cfRule>
    <cfRule type="dataBar" priority="336">
      <dataBar>
        <cfvo type="min"/>
        <cfvo type="max"/>
        <color rgb="FF63C384"/>
      </dataBar>
    </cfRule>
    <cfRule type="dataBar" priority="335">
      <dataBar>
        <cfvo type="min"/>
        <cfvo type="max"/>
        <color rgb="FF63C384"/>
      </dataBar>
    </cfRule>
    <cfRule type="dataBar" priority="332">
      <dataBar>
        <cfvo type="min"/>
        <cfvo type="max"/>
        <color rgb="FF63C384"/>
      </dataBar>
    </cfRule>
    <cfRule type="dataBar" priority="331">
      <dataBar>
        <cfvo type="min"/>
        <cfvo type="max"/>
        <color rgb="FF63C384"/>
      </dataBar>
    </cfRule>
    <cfRule type="dataBar" priority="328">
      <dataBar>
        <cfvo type="min"/>
        <cfvo type="max"/>
        <color rgb="FF63C384"/>
      </dataBar>
    </cfRule>
    <cfRule type="dataBar" priority="327">
      <dataBar>
        <cfvo type="min"/>
        <cfvo type="max"/>
        <color rgb="FF63C384"/>
      </dataBar>
    </cfRule>
  </conditionalFormatting>
  <conditionalFormatting sqref="Q133">
    <cfRule type="cellIs" priority="326" operator="equal" dxfId="2034">
      <formula>"ja"</formula>
    </cfRule>
  </conditionalFormatting>
  <conditionalFormatting sqref="AA133">
    <cfRule type="expression" priority="325" dxfId="2">
      <formula>AND(AND($W133&lt;TODAY(),$W133&lt;&gt;""),$X133="")</formula>
    </cfRule>
  </conditionalFormatting>
  <conditionalFormatting sqref="AG133">
    <cfRule type="dataBar" priority="324">
      <dataBar>
        <cfvo type="min"/>
        <cfvo type="max"/>
        <color rgb="FF63C384"/>
      </dataBar>
    </cfRule>
    <cfRule type="dataBar" priority="323">
      <dataBar>
        <cfvo type="min"/>
        <cfvo type="max"/>
        <color rgb="FF63C384"/>
      </dataBar>
    </cfRule>
  </conditionalFormatting>
  <conditionalFormatting sqref="AA134">
    <cfRule type="expression" priority="322" dxfId="2">
      <formula>AND(AND($W134&lt;TODAY(),$W134&lt;&gt;""),$X134="")</formula>
    </cfRule>
  </conditionalFormatting>
  <conditionalFormatting sqref="AG134">
    <cfRule type="dataBar" priority="321">
      <dataBar>
        <cfvo type="min"/>
        <cfvo type="max"/>
        <color rgb="FF63C384"/>
      </dataBar>
    </cfRule>
    <cfRule type="dataBar" priority="320">
      <dataBar>
        <cfvo type="min"/>
        <cfvo type="max"/>
        <color rgb="FF63C384"/>
      </dataBar>
    </cfRule>
  </conditionalFormatting>
  <conditionalFormatting sqref="Q134">
    <cfRule type="cellIs" priority="319" operator="equal" dxfId="2034">
      <formula>"ja"</formula>
    </cfRule>
  </conditionalFormatting>
  <conditionalFormatting sqref="Q135">
    <cfRule type="cellIs" priority="318" operator="equal" dxfId="2034">
      <formula>"ja"</formula>
    </cfRule>
  </conditionalFormatting>
  <conditionalFormatting sqref="AA135">
    <cfRule type="expression" priority="317" dxfId="2">
      <formula>AND(AND($W135&lt;TODAY(),$W135&lt;&gt;""),$X135="")</formula>
    </cfRule>
  </conditionalFormatting>
  <conditionalFormatting sqref="AG135">
    <cfRule type="dataBar" priority="316">
      <dataBar>
        <cfvo type="min"/>
        <cfvo type="max"/>
        <color rgb="FF63C384"/>
      </dataBar>
    </cfRule>
    <cfRule type="dataBar" priority="315">
      <dataBar>
        <cfvo type="min"/>
        <cfvo type="max"/>
        <color rgb="FF63C384"/>
      </dataBar>
    </cfRule>
  </conditionalFormatting>
  <conditionalFormatting sqref="AA136">
    <cfRule type="expression" priority="314" dxfId="2">
      <formula>AND(AND($W136&lt;TODAY(),$W136&lt;&gt;""),$X136="")</formula>
    </cfRule>
  </conditionalFormatting>
  <conditionalFormatting sqref="AG136">
    <cfRule type="dataBar" priority="313">
      <dataBar>
        <cfvo type="min"/>
        <cfvo type="max"/>
        <color rgb="FF63C384"/>
      </dataBar>
    </cfRule>
    <cfRule type="dataBar" priority="312">
      <dataBar>
        <cfvo type="min"/>
        <cfvo type="max"/>
        <color rgb="FF63C384"/>
      </dataBar>
    </cfRule>
  </conditionalFormatting>
  <conditionalFormatting sqref="Q136">
    <cfRule type="cellIs" priority="311" operator="equal" dxfId="2034">
      <formula>"ja"</formula>
    </cfRule>
  </conditionalFormatting>
  <conditionalFormatting sqref="Q137">
    <cfRule type="cellIs" priority="310" operator="equal" dxfId="2034">
      <formula>"ja"</formula>
    </cfRule>
  </conditionalFormatting>
  <conditionalFormatting sqref="AA137">
    <cfRule type="expression" priority="309" dxfId="2">
      <formula>AND(AND($W137&lt;TODAY(),$W137&lt;&gt;""),$X137="")</formula>
    </cfRule>
  </conditionalFormatting>
  <conditionalFormatting sqref="AG137">
    <cfRule type="dataBar" priority="308">
      <dataBar>
        <cfvo type="min"/>
        <cfvo type="max"/>
        <color rgb="FF63C384"/>
      </dataBar>
    </cfRule>
    <cfRule type="dataBar" priority="307">
      <dataBar>
        <cfvo type="min"/>
        <cfvo type="max"/>
        <color rgb="FF63C384"/>
      </dataBar>
    </cfRule>
  </conditionalFormatting>
  <conditionalFormatting sqref="AA138">
    <cfRule type="expression" priority="306" dxfId="2">
      <formula>AND(AND($W138&lt;TODAY(),$W138&lt;&gt;""),$X138="")</formula>
    </cfRule>
  </conditionalFormatting>
  <conditionalFormatting sqref="Q138">
    <cfRule type="cellIs" priority="305" operator="equal" dxfId="2034">
      <formula>"ja"</formula>
    </cfRule>
  </conditionalFormatting>
  <conditionalFormatting sqref="AG138">
    <cfRule type="dataBar" priority="304">
      <dataBar>
        <cfvo type="min"/>
        <cfvo type="max"/>
        <color rgb="FF63C384"/>
      </dataBar>
    </cfRule>
    <cfRule type="dataBar" priority="303">
      <dataBar>
        <cfvo type="min"/>
        <cfvo type="max"/>
        <color rgb="FF63C384"/>
      </dataBar>
    </cfRule>
  </conditionalFormatting>
  <conditionalFormatting sqref="AA139">
    <cfRule type="expression" priority="302" dxfId="2">
      <formula>AND(AND($W139&lt;TODAY(),$W139&lt;&gt;""),$X139="")</formula>
    </cfRule>
  </conditionalFormatting>
  <conditionalFormatting sqref="AG139">
    <cfRule type="dataBar" priority="301">
      <dataBar>
        <cfvo type="min"/>
        <cfvo type="max"/>
        <color rgb="FF63C384"/>
      </dataBar>
    </cfRule>
    <cfRule type="dataBar" priority="300">
      <dataBar>
        <cfvo type="min"/>
        <cfvo type="max"/>
        <color rgb="FF63C384"/>
      </dataBar>
    </cfRule>
  </conditionalFormatting>
  <conditionalFormatting sqref="Q139">
    <cfRule type="cellIs" priority="299" operator="equal" dxfId="2034">
      <formula>"ja"</formula>
    </cfRule>
  </conditionalFormatting>
  <conditionalFormatting sqref="AA140">
    <cfRule type="expression" priority="298" dxfId="2">
      <formula>AND(AND($W140&lt;TODAY(),$W140&lt;&gt;""),$X140="")</formula>
    </cfRule>
  </conditionalFormatting>
  <conditionalFormatting sqref="AG140">
    <cfRule type="dataBar" priority="297">
      <dataBar>
        <cfvo type="min"/>
        <cfvo type="max"/>
        <color rgb="FF63C384"/>
      </dataBar>
    </cfRule>
    <cfRule type="dataBar" priority="296">
      <dataBar>
        <cfvo type="min"/>
        <cfvo type="max"/>
        <color rgb="FF63C384"/>
      </dataBar>
    </cfRule>
  </conditionalFormatting>
  <conditionalFormatting sqref="Q140">
    <cfRule type="cellIs" priority="295" operator="equal" dxfId="2034">
      <formula>"ja"</formula>
    </cfRule>
  </conditionalFormatting>
  <conditionalFormatting sqref="Q141">
    <cfRule type="cellIs" priority="294" operator="equal" dxfId="2034">
      <formula>"ja"</formula>
    </cfRule>
    <cfRule type="cellIs" priority="289" operator="equal" dxfId="2034">
      <formula>"ja"</formula>
    </cfRule>
  </conditionalFormatting>
  <conditionalFormatting sqref="AA141">
    <cfRule type="expression" priority="293" dxfId="2">
      <formula>AND(AND($W141&lt;TODAY(),$W141&lt;&gt;""),$X141="")</formula>
    </cfRule>
    <cfRule type="expression" priority="290" dxfId="2">
      <formula>AND(AND($W141&lt;TODAY(),$W141&lt;&gt;""),$X141="")</formula>
    </cfRule>
  </conditionalFormatting>
  <conditionalFormatting sqref="AG141">
    <cfRule type="dataBar" priority="292">
      <dataBar>
        <cfvo type="min"/>
        <cfvo type="max"/>
        <color rgb="FF63C384"/>
      </dataBar>
    </cfRule>
    <cfRule type="dataBar" priority="291">
      <dataBar>
        <cfvo type="min"/>
        <cfvo type="max"/>
        <color rgb="FF63C384"/>
      </dataBar>
    </cfRule>
    <cfRule type="dataBar" priority="288">
      <dataBar>
        <cfvo type="min"/>
        <cfvo type="max"/>
        <color rgb="FF63C384"/>
      </dataBar>
    </cfRule>
    <cfRule type="dataBar" priority="287">
      <dataBar>
        <cfvo type="min"/>
        <cfvo type="max"/>
        <color rgb="FF63C384"/>
      </dataBar>
    </cfRule>
  </conditionalFormatting>
  <conditionalFormatting sqref="Q142">
    <cfRule type="cellIs" priority="286" operator="equal" dxfId="2034">
      <formula>"ja"</formula>
    </cfRule>
  </conditionalFormatting>
  <conditionalFormatting sqref="AA142">
    <cfRule type="expression" priority="285" dxfId="2">
      <formula>AND(AND($W142&lt;TODAY(),$W142&lt;&gt;""),$X142="")</formula>
    </cfRule>
  </conditionalFormatting>
  <conditionalFormatting sqref="AG142">
    <cfRule type="dataBar" priority="284">
      <dataBar>
        <cfvo type="min"/>
        <cfvo type="max"/>
        <color rgb="FF63C384"/>
      </dataBar>
    </cfRule>
    <cfRule type="dataBar" priority="283">
      <dataBar>
        <cfvo type="min"/>
        <cfvo type="max"/>
        <color rgb="FF63C384"/>
      </dataBar>
    </cfRule>
  </conditionalFormatting>
  <conditionalFormatting sqref="Q143">
    <cfRule type="cellIs" priority="282" operator="equal" dxfId="2034">
      <formula>"ja"</formula>
    </cfRule>
  </conditionalFormatting>
  <conditionalFormatting sqref="AA143">
    <cfRule type="expression" priority="281" dxfId="2">
      <formula>AND(AND($W143&lt;TODAY(),$W143&lt;&gt;""),$X143="")</formula>
    </cfRule>
  </conditionalFormatting>
  <conditionalFormatting sqref="AG143">
    <cfRule type="dataBar" priority="280">
      <dataBar>
        <cfvo type="min"/>
        <cfvo type="max"/>
        <color rgb="FF63C384"/>
      </dataBar>
    </cfRule>
    <cfRule type="dataBar" priority="279">
      <dataBar>
        <cfvo type="min"/>
        <cfvo type="max"/>
        <color rgb="FF63C384"/>
      </dataBar>
    </cfRule>
  </conditionalFormatting>
  <conditionalFormatting sqref="Q144">
    <cfRule type="cellIs" priority="278" operator="equal" dxfId="2034">
      <formula>"ja"</formula>
    </cfRule>
  </conditionalFormatting>
  <conditionalFormatting sqref="AA144">
    <cfRule type="expression" priority="277" dxfId="2">
      <formula>AND(AND($W144&lt;TODAY(),$W144&lt;&gt;""),$X144="")</formula>
    </cfRule>
  </conditionalFormatting>
  <conditionalFormatting sqref="AG144">
    <cfRule type="dataBar" priority="276">
      <dataBar>
        <cfvo type="min"/>
        <cfvo type="max"/>
        <color rgb="FF63C384"/>
      </dataBar>
    </cfRule>
    <cfRule type="dataBar" priority="275">
      <dataBar>
        <cfvo type="min"/>
        <cfvo type="max"/>
        <color rgb="FF63C384"/>
      </dataBar>
    </cfRule>
  </conditionalFormatting>
  <conditionalFormatting sqref="Q145">
    <cfRule type="cellIs" priority="274" operator="equal" dxfId="2034">
      <formula>"ja"</formula>
    </cfRule>
  </conditionalFormatting>
  <conditionalFormatting sqref="AA145">
    <cfRule type="expression" priority="273" dxfId="2">
      <formula>AND(AND($W145&lt;TODAY(),$W145&lt;&gt;""),$X145="")</formula>
    </cfRule>
  </conditionalFormatting>
  <conditionalFormatting sqref="AG145">
    <cfRule type="dataBar" priority="272">
      <dataBar>
        <cfvo type="min"/>
        <cfvo type="max"/>
        <color rgb="FF63C384"/>
      </dataBar>
    </cfRule>
    <cfRule type="dataBar" priority="271">
      <dataBar>
        <cfvo type="min"/>
        <cfvo type="max"/>
        <color rgb="FF63C384"/>
      </dataBar>
    </cfRule>
  </conditionalFormatting>
  <conditionalFormatting sqref="AA146">
    <cfRule type="expression" priority="270" dxfId="2">
      <formula>AND(AND($W146&lt;TODAY(),$W146&lt;&gt;""),$X146="")</formula>
    </cfRule>
  </conditionalFormatting>
  <conditionalFormatting sqref="AG146">
    <cfRule type="dataBar" priority="269">
      <dataBar>
        <cfvo type="min"/>
        <cfvo type="max"/>
        <color rgb="FF63C384"/>
      </dataBar>
    </cfRule>
    <cfRule type="dataBar" priority="268">
      <dataBar>
        <cfvo type="min"/>
        <cfvo type="max"/>
        <color rgb="FF63C384"/>
      </dataBar>
    </cfRule>
  </conditionalFormatting>
  <conditionalFormatting sqref="Q146">
    <cfRule type="cellIs" priority="267" operator="equal" dxfId="2034">
      <formula>"ja"</formula>
    </cfRule>
  </conditionalFormatting>
  <conditionalFormatting sqref="Q147">
    <cfRule type="cellIs" priority="266" operator="equal" dxfId="2034">
      <formula>"ja"</formula>
    </cfRule>
    <cfRule type="cellIs" priority="254" operator="equal" dxfId="2034">
      <formula>"ja"</formula>
    </cfRule>
    <cfRule type="cellIs" priority="262" operator="equal" dxfId="2034">
      <formula>"ja"</formula>
    </cfRule>
    <cfRule type="cellIs" priority="258" operator="equal" dxfId="2034">
      <formula>"ja"</formula>
    </cfRule>
  </conditionalFormatting>
  <conditionalFormatting sqref="AA147">
    <cfRule type="expression" priority="253" dxfId="2">
      <formula>AND(AND($W147&lt;TODAY(),$W147&lt;&gt;""),$X147="")</formula>
    </cfRule>
    <cfRule type="expression" priority="265" dxfId="2">
      <formula>AND(AND($W147&lt;TODAY(),$W147&lt;&gt;""),$X147="")</formula>
    </cfRule>
    <cfRule type="expression" priority="261" dxfId="2">
      <formula>AND(AND($W147&lt;TODAY(),$W147&lt;&gt;""),$X147="")</formula>
    </cfRule>
    <cfRule type="expression" priority="257" dxfId="2">
      <formula>AND(AND($W147&lt;TODAY(),$W147&lt;&gt;""),$X147="")</formula>
    </cfRule>
  </conditionalFormatting>
  <conditionalFormatting sqref="AG147">
    <cfRule type="dataBar" priority="264">
      <dataBar>
        <cfvo type="min"/>
        <cfvo type="max"/>
        <color rgb="FF63C384"/>
      </dataBar>
    </cfRule>
    <cfRule type="dataBar" priority="263">
      <dataBar>
        <cfvo type="min"/>
        <cfvo type="max"/>
        <color rgb="FF63C384"/>
      </dataBar>
    </cfRule>
    <cfRule type="dataBar" priority="260">
      <dataBar>
        <cfvo type="min"/>
        <cfvo type="max"/>
        <color rgb="FF63C384"/>
      </dataBar>
    </cfRule>
    <cfRule type="dataBar" priority="259">
      <dataBar>
        <cfvo type="min"/>
        <cfvo type="max"/>
        <color rgb="FF63C384"/>
      </dataBar>
    </cfRule>
    <cfRule type="dataBar" priority="256">
      <dataBar>
        <cfvo type="min"/>
        <cfvo type="max"/>
        <color rgb="FF63C384"/>
      </dataBar>
    </cfRule>
    <cfRule type="dataBar" priority="255">
      <dataBar>
        <cfvo type="min"/>
        <cfvo type="max"/>
        <color rgb="FF63C384"/>
      </dataBar>
    </cfRule>
    <cfRule type="dataBar" priority="252">
      <dataBar>
        <cfvo type="min"/>
        <cfvo type="max"/>
        <color rgb="FF63C384"/>
      </dataBar>
    </cfRule>
    <cfRule type="dataBar" priority="251">
      <dataBar>
        <cfvo type="min"/>
        <cfvo type="max"/>
        <color rgb="FF63C384"/>
      </dataBar>
    </cfRule>
  </conditionalFormatting>
  <conditionalFormatting sqref="AA148">
    <cfRule type="expression" priority="250" dxfId="2">
      <formula>AND(AND($W148&lt;TODAY(),$W148&lt;&gt;""),$X148="")</formula>
    </cfRule>
  </conditionalFormatting>
  <conditionalFormatting sqref="AG148">
    <cfRule type="dataBar" priority="249">
      <dataBar>
        <cfvo type="min"/>
        <cfvo type="max"/>
        <color rgb="FF63C384"/>
      </dataBar>
    </cfRule>
    <cfRule type="dataBar" priority="248">
      <dataBar>
        <cfvo type="min"/>
        <cfvo type="max"/>
        <color rgb="FF63C384"/>
      </dataBar>
    </cfRule>
  </conditionalFormatting>
  <conditionalFormatting sqref="Q148">
    <cfRule type="cellIs" priority="247" operator="equal" dxfId="2034">
      <formula>"ja"</formula>
    </cfRule>
  </conditionalFormatting>
  <conditionalFormatting sqref="Q149">
    <cfRule type="cellIs" priority="246" operator="equal" dxfId="2034">
      <formula>"ja"</formula>
    </cfRule>
  </conditionalFormatting>
  <conditionalFormatting sqref="AA149">
    <cfRule type="expression" priority="245" dxfId="2">
      <formula>AND(AND($W149&lt;TODAY(),$W149&lt;&gt;""),$X149="")</formula>
    </cfRule>
  </conditionalFormatting>
  <conditionalFormatting sqref="AG149">
    <cfRule type="dataBar" priority="244">
      <dataBar>
        <cfvo type="min"/>
        <cfvo type="max"/>
        <color rgb="FF63C384"/>
      </dataBar>
    </cfRule>
    <cfRule type="dataBar" priority="243">
      <dataBar>
        <cfvo type="min"/>
        <cfvo type="max"/>
        <color rgb="FF63C384"/>
      </dataBar>
    </cfRule>
  </conditionalFormatting>
  <conditionalFormatting sqref="Q150">
    <cfRule type="cellIs" priority="242" operator="equal" dxfId="2034">
      <formula>"ja"</formula>
    </cfRule>
  </conditionalFormatting>
  <conditionalFormatting sqref="AA150">
    <cfRule type="expression" priority="241" dxfId="2">
      <formula>AND(AND($W150&lt;TODAY(),$W150&lt;&gt;""),$X150="")</formula>
    </cfRule>
  </conditionalFormatting>
  <conditionalFormatting sqref="AG150">
    <cfRule type="dataBar" priority="240">
      <dataBar>
        <cfvo type="min"/>
        <cfvo type="max"/>
        <color rgb="FF63C384"/>
      </dataBar>
    </cfRule>
    <cfRule type="dataBar" priority="239">
      <dataBar>
        <cfvo type="min"/>
        <cfvo type="max"/>
        <color rgb="FF63C384"/>
      </dataBar>
    </cfRule>
  </conditionalFormatting>
  <conditionalFormatting sqref="Q151">
    <cfRule type="cellIs" priority="238" operator="equal" dxfId="2034">
      <formula>"ja"</formula>
    </cfRule>
  </conditionalFormatting>
  <conditionalFormatting sqref="AA151">
    <cfRule type="expression" priority="237" dxfId="2">
      <formula>AND(AND($W151&lt;TODAY(),$W151&lt;&gt;""),$X151="")</formula>
    </cfRule>
  </conditionalFormatting>
  <conditionalFormatting sqref="AG151">
    <cfRule type="dataBar" priority="236">
      <dataBar>
        <cfvo type="min"/>
        <cfvo type="max"/>
        <color rgb="FF63C384"/>
      </dataBar>
    </cfRule>
    <cfRule type="dataBar" priority="235">
      <dataBar>
        <cfvo type="min"/>
        <cfvo type="max"/>
        <color rgb="FF63C384"/>
      </dataBar>
    </cfRule>
  </conditionalFormatting>
  <conditionalFormatting sqref="AA152">
    <cfRule type="expression" priority="234" dxfId="2">
      <formula>AND(AND($W152&lt;TODAY(),$W152&lt;&gt;""),$X152="")</formula>
    </cfRule>
  </conditionalFormatting>
  <conditionalFormatting sqref="Q152">
    <cfRule type="cellIs" priority="233" operator="equal" dxfId="2034">
      <formula>"ja"</formula>
    </cfRule>
  </conditionalFormatting>
  <conditionalFormatting sqref="AG152">
    <cfRule type="dataBar" priority="232">
      <dataBar>
        <cfvo type="min"/>
        <cfvo type="max"/>
        <color rgb="FF63C384"/>
      </dataBar>
    </cfRule>
    <cfRule type="dataBar" priority="231">
      <dataBar>
        <cfvo type="min"/>
        <cfvo type="max"/>
        <color rgb="FF63C384"/>
      </dataBar>
    </cfRule>
  </conditionalFormatting>
  <conditionalFormatting sqref="AA153">
    <cfRule type="expression" priority="230" dxfId="2">
      <formula>AND(AND($W153&lt;TODAY(),$W153&lt;&gt;""),$X153="")</formula>
    </cfRule>
  </conditionalFormatting>
  <conditionalFormatting sqref="AG153">
    <cfRule type="dataBar" priority="229">
      <dataBar>
        <cfvo type="min"/>
        <cfvo type="max"/>
        <color rgb="FF63C384"/>
      </dataBar>
    </cfRule>
    <cfRule type="dataBar" priority="228">
      <dataBar>
        <cfvo type="min"/>
        <cfvo type="max"/>
        <color rgb="FF63C384"/>
      </dataBar>
    </cfRule>
  </conditionalFormatting>
  <conditionalFormatting sqref="AA154">
    <cfRule type="expression" priority="227" dxfId="2">
      <formula>AND(AND($W154&lt;TODAY(),$W154&lt;&gt;""),$X154="")</formula>
    </cfRule>
  </conditionalFormatting>
  <conditionalFormatting sqref="AG154">
    <cfRule type="dataBar" priority="226">
      <dataBar>
        <cfvo type="min"/>
        <cfvo type="max"/>
        <color rgb="FF63C384"/>
      </dataBar>
    </cfRule>
    <cfRule type="dataBar" priority="225">
      <dataBar>
        <cfvo type="min"/>
        <cfvo type="max"/>
        <color rgb="FF63C384"/>
      </dataBar>
    </cfRule>
  </conditionalFormatting>
  <conditionalFormatting sqref="Q154">
    <cfRule type="cellIs" priority="224" operator="equal" dxfId="2034">
      <formula>"ja"</formula>
    </cfRule>
  </conditionalFormatting>
  <conditionalFormatting sqref="Q155">
    <cfRule type="cellIs" priority="223" operator="equal" dxfId="2034">
      <formula>"ja"</formula>
    </cfRule>
  </conditionalFormatting>
  <conditionalFormatting sqref="AA155">
    <cfRule type="expression" priority="222" dxfId="2">
      <formula>AND(AND($W155&lt;TODAY(),$W155&lt;&gt;""),$X155="")</formula>
    </cfRule>
  </conditionalFormatting>
  <conditionalFormatting sqref="AG155">
    <cfRule type="dataBar" priority="221">
      <dataBar>
        <cfvo type="min"/>
        <cfvo type="max"/>
        <color rgb="FF63C384"/>
      </dataBar>
    </cfRule>
    <cfRule type="dataBar" priority="220">
      <dataBar>
        <cfvo type="min"/>
        <cfvo type="max"/>
        <color rgb="FF63C384"/>
      </dataBar>
    </cfRule>
  </conditionalFormatting>
  <conditionalFormatting sqref="AA156">
    <cfRule type="expression" priority="219" dxfId="2">
      <formula>AND(AND($W156&lt;TODAY(),$W156&lt;&gt;""),$X156="")</formula>
    </cfRule>
  </conditionalFormatting>
  <conditionalFormatting sqref="AG156">
    <cfRule type="dataBar" priority="218">
      <dataBar>
        <cfvo type="min"/>
        <cfvo type="max"/>
        <color rgb="FF63C384"/>
      </dataBar>
    </cfRule>
    <cfRule type="dataBar" priority="217">
      <dataBar>
        <cfvo type="min"/>
        <cfvo type="max"/>
        <color rgb="FF63C384"/>
      </dataBar>
    </cfRule>
  </conditionalFormatting>
  <conditionalFormatting sqref="Q157">
    <cfRule type="cellIs" priority="216" operator="equal" dxfId="2034">
      <formula>"ja"</formula>
    </cfRule>
  </conditionalFormatting>
  <conditionalFormatting sqref="AA157">
    <cfRule type="expression" priority="215" dxfId="2">
      <formula>AND(AND($W157&lt;TODAY(),$W157&lt;&gt;""),$X157="")</formula>
    </cfRule>
  </conditionalFormatting>
  <conditionalFormatting sqref="AG157">
    <cfRule type="dataBar" priority="214">
      <dataBar>
        <cfvo type="min"/>
        <cfvo type="max"/>
        <color rgb="FF63C384"/>
      </dataBar>
    </cfRule>
    <cfRule type="dataBar" priority="213">
      <dataBar>
        <cfvo type="min"/>
        <cfvo type="max"/>
        <color rgb="FF63C384"/>
      </dataBar>
    </cfRule>
  </conditionalFormatting>
  <conditionalFormatting sqref="AA158">
    <cfRule type="expression" priority="212" dxfId="2">
      <formula>AND(AND($W158&lt;TODAY(),$W158&lt;&gt;""),$X158="")</formula>
    </cfRule>
  </conditionalFormatting>
  <conditionalFormatting sqref="AG158">
    <cfRule type="dataBar" priority="211">
      <dataBar>
        <cfvo type="min"/>
        <cfvo type="max"/>
        <color rgb="FF63C384"/>
      </dataBar>
    </cfRule>
    <cfRule type="dataBar" priority="210">
      <dataBar>
        <cfvo type="min"/>
        <cfvo type="max"/>
        <color rgb="FF63C384"/>
      </dataBar>
    </cfRule>
  </conditionalFormatting>
  <conditionalFormatting sqref="Q158">
    <cfRule type="cellIs" priority="209" operator="equal" dxfId="2034">
      <formula>"ja"</formula>
    </cfRule>
  </conditionalFormatting>
  <conditionalFormatting sqref="Q159">
    <cfRule type="cellIs" priority="208" operator="equal" dxfId="2034">
      <formula>"ja"</formula>
    </cfRule>
    <cfRule type="cellIs" priority="203" operator="equal" dxfId="2034">
      <formula>"ja"</formula>
    </cfRule>
  </conditionalFormatting>
  <conditionalFormatting sqref="AA159">
    <cfRule type="expression" priority="207" dxfId="2">
      <formula>AND(AND($W159&lt;TODAY(),$W159&lt;&gt;""),$X159="")</formula>
    </cfRule>
    <cfRule type="expression" priority="204" dxfId="2">
      <formula>AND(AND($W159&lt;TODAY(),$W159&lt;&gt;""),$X159="")</formula>
    </cfRule>
  </conditionalFormatting>
  <conditionalFormatting sqref="AG159">
    <cfRule type="dataBar" priority="206">
      <dataBar>
        <cfvo type="min"/>
        <cfvo type="max"/>
        <color rgb="FF63C384"/>
      </dataBar>
    </cfRule>
    <cfRule type="dataBar" priority="205">
      <dataBar>
        <cfvo type="min"/>
        <cfvo type="max"/>
        <color rgb="FF63C384"/>
      </dataBar>
    </cfRule>
    <cfRule type="dataBar" priority="202">
      <dataBar>
        <cfvo type="min"/>
        <cfvo type="max"/>
        <color rgb="FF63C384"/>
      </dataBar>
    </cfRule>
    <cfRule type="dataBar" priority="201">
      <dataBar>
        <cfvo type="min"/>
        <cfvo type="max"/>
        <color rgb="FF63C384"/>
      </dataBar>
    </cfRule>
  </conditionalFormatting>
  <conditionalFormatting sqref="Q160">
    <cfRule type="cellIs" priority="200" operator="equal" dxfId="2034">
      <formula>"ja"</formula>
    </cfRule>
  </conditionalFormatting>
  <conditionalFormatting sqref="AA160">
    <cfRule type="expression" priority="199" dxfId="2">
      <formula>AND(AND($W160&lt;TODAY(),$W160&lt;&gt;""),$X160="")</formula>
    </cfRule>
  </conditionalFormatting>
  <conditionalFormatting sqref="AG160">
    <cfRule type="dataBar" priority="198">
      <dataBar>
        <cfvo type="min"/>
        <cfvo type="max"/>
        <color rgb="FF63C384"/>
      </dataBar>
    </cfRule>
    <cfRule type="dataBar" priority="197">
      <dataBar>
        <cfvo type="min"/>
        <cfvo type="max"/>
        <color rgb="FF63C384"/>
      </dataBar>
    </cfRule>
  </conditionalFormatting>
  <conditionalFormatting sqref="Q161">
    <cfRule type="cellIs" priority="196" operator="equal" dxfId="2034">
      <formula>"ja"</formula>
    </cfRule>
  </conditionalFormatting>
  <conditionalFormatting sqref="AA161">
    <cfRule type="expression" priority="195" dxfId="2">
      <formula>AND(AND($W161&lt;TODAY(),$W161&lt;&gt;""),$X161="")</formula>
    </cfRule>
  </conditionalFormatting>
  <conditionalFormatting sqref="AG161">
    <cfRule type="dataBar" priority="194">
      <dataBar>
        <cfvo type="min"/>
        <cfvo type="max"/>
        <color rgb="FF63C384"/>
      </dataBar>
    </cfRule>
    <cfRule type="dataBar" priority="193">
      <dataBar>
        <cfvo type="min"/>
        <cfvo type="max"/>
        <color rgb="FF63C384"/>
      </dataBar>
    </cfRule>
  </conditionalFormatting>
  <conditionalFormatting sqref="Q162">
    <cfRule type="cellIs" priority="192" operator="equal" dxfId="2034">
      <formula>"ja"</formula>
    </cfRule>
    <cfRule type="cellIs" priority="180" operator="equal" dxfId="2034">
      <formula>"ja"</formula>
    </cfRule>
    <cfRule type="cellIs" priority="188" operator="equal" dxfId="2034">
      <formula>"ja"</formula>
    </cfRule>
    <cfRule type="cellIs" priority="184" operator="equal" dxfId="2034">
      <formula>"ja"</formula>
    </cfRule>
  </conditionalFormatting>
  <conditionalFormatting sqref="AA162">
    <cfRule type="expression" priority="179" dxfId="2">
      <formula>AND(AND($W162&lt;TODAY(),$W162&lt;&gt;""),$X162="")</formula>
    </cfRule>
    <cfRule type="expression" priority="191" dxfId="2">
      <formula>AND(AND($W162&lt;TODAY(),$W162&lt;&gt;""),$X162="")</formula>
    </cfRule>
    <cfRule type="expression" priority="187" dxfId="2">
      <formula>AND(AND($W162&lt;TODAY(),$W162&lt;&gt;""),$X162="")</formula>
    </cfRule>
    <cfRule type="expression" priority="183" dxfId="2">
      <formula>AND(AND($W162&lt;TODAY(),$W162&lt;&gt;""),$X162="")</formula>
    </cfRule>
  </conditionalFormatting>
  <conditionalFormatting sqref="AG162">
    <cfRule type="dataBar" priority="190">
      <dataBar>
        <cfvo type="min"/>
        <cfvo type="max"/>
        <color rgb="FF63C384"/>
      </dataBar>
    </cfRule>
    <cfRule type="dataBar" priority="189">
      <dataBar>
        <cfvo type="min"/>
        <cfvo type="max"/>
        <color rgb="FF63C384"/>
      </dataBar>
    </cfRule>
    <cfRule type="dataBar" priority="186">
      <dataBar>
        <cfvo type="min"/>
        <cfvo type="max"/>
        <color rgb="FF63C384"/>
      </dataBar>
    </cfRule>
    <cfRule type="dataBar" priority="185">
      <dataBar>
        <cfvo type="min"/>
        <cfvo type="max"/>
        <color rgb="FF63C384"/>
      </dataBar>
    </cfRule>
    <cfRule type="dataBar" priority="182">
      <dataBar>
        <cfvo type="min"/>
        <cfvo type="max"/>
        <color rgb="FF63C384"/>
      </dataBar>
    </cfRule>
    <cfRule type="dataBar" priority="181">
      <dataBar>
        <cfvo type="min"/>
        <cfvo type="max"/>
        <color rgb="FF63C384"/>
      </dataBar>
    </cfRule>
    <cfRule type="dataBar" priority="178">
      <dataBar>
        <cfvo type="min"/>
        <cfvo type="max"/>
        <color rgb="FF63C384"/>
      </dataBar>
    </cfRule>
    <cfRule type="dataBar" priority="177">
      <dataBar>
        <cfvo type="min"/>
        <cfvo type="max"/>
        <color rgb="FF63C384"/>
      </dataBar>
    </cfRule>
  </conditionalFormatting>
  <conditionalFormatting sqref="AA163">
    <cfRule type="expression" priority="176" dxfId="2">
      <formula>AND(AND($W163&lt;TODAY(),$W163&lt;&gt;""),$X163="")</formula>
    </cfRule>
  </conditionalFormatting>
  <conditionalFormatting sqref="AG163">
    <cfRule type="dataBar" priority="175">
      <dataBar>
        <cfvo type="min"/>
        <cfvo type="max"/>
        <color rgb="FF63C384"/>
      </dataBar>
    </cfRule>
    <cfRule type="dataBar" priority="174">
      <dataBar>
        <cfvo type="min"/>
        <cfvo type="max"/>
        <color rgb="FF63C384"/>
      </dataBar>
    </cfRule>
  </conditionalFormatting>
  <conditionalFormatting sqref="Q163">
    <cfRule type="cellIs" priority="173" operator="equal" dxfId="2034">
      <formula>"ja"</formula>
    </cfRule>
  </conditionalFormatting>
  <conditionalFormatting sqref="Q164">
    <cfRule type="cellIs" priority="172" operator="equal" dxfId="2034">
      <formula>"ja"</formula>
    </cfRule>
  </conditionalFormatting>
  <conditionalFormatting sqref="AA164">
    <cfRule type="expression" priority="171" dxfId="2">
      <formula>AND(AND($W164&lt;TODAY(),$W164&lt;&gt;""),$X164="")</formula>
    </cfRule>
  </conditionalFormatting>
  <conditionalFormatting sqref="AG164">
    <cfRule type="dataBar" priority="170">
      <dataBar>
        <cfvo type="min"/>
        <cfvo type="max"/>
        <color rgb="FF63C384"/>
      </dataBar>
    </cfRule>
    <cfRule type="dataBar" priority="169">
      <dataBar>
        <cfvo type="min"/>
        <cfvo type="max"/>
        <color rgb="FF63C384"/>
      </dataBar>
    </cfRule>
  </conditionalFormatting>
  <conditionalFormatting sqref="AG165">
    <cfRule type="dataBar" priority="168">
      <dataBar>
        <cfvo type="min"/>
        <cfvo type="max"/>
        <color rgb="FF63C384"/>
      </dataBar>
    </cfRule>
    <cfRule type="dataBar" priority="167">
      <dataBar>
        <cfvo type="min"/>
        <cfvo type="max"/>
        <color rgb="FF63C384"/>
      </dataBar>
    </cfRule>
  </conditionalFormatting>
  <conditionalFormatting sqref="Q165">
    <cfRule type="cellIs" priority="166" operator="equal" dxfId="2034">
      <formula>"ja"</formula>
    </cfRule>
  </conditionalFormatting>
  <conditionalFormatting sqref="AA165">
    <cfRule type="expression" priority="165" dxfId="2">
      <formula>AND(AND($W165&lt;TODAY(),$W165&lt;&gt;""),$X165="")</formula>
    </cfRule>
  </conditionalFormatting>
  <conditionalFormatting sqref="Q166">
    <cfRule type="cellIs" priority="164" operator="equal" dxfId="2034">
      <formula>"ja"</formula>
    </cfRule>
  </conditionalFormatting>
  <conditionalFormatting sqref="AA166">
    <cfRule type="expression" priority="163" dxfId="2">
      <formula>AND(AND($W166&lt;TODAY(),$W166&lt;&gt;""),$X166="")</formula>
    </cfRule>
  </conditionalFormatting>
  <conditionalFormatting sqref="AG166">
    <cfRule type="dataBar" priority="162">
      <dataBar>
        <cfvo type="min"/>
        <cfvo type="max"/>
        <color rgb="FF63C384"/>
      </dataBar>
    </cfRule>
    <cfRule type="dataBar" priority="161">
      <dataBar>
        <cfvo type="min"/>
        <cfvo type="max"/>
        <color rgb="FF63C384"/>
      </dataBar>
    </cfRule>
  </conditionalFormatting>
  <conditionalFormatting sqref="AA167">
    <cfRule type="expression" priority="160" dxfId="2">
      <formula>AND(AND($W167&lt;TODAY(),$W167&lt;&gt;""),$X167="")</formula>
    </cfRule>
  </conditionalFormatting>
  <conditionalFormatting sqref="Q167">
    <cfRule type="cellIs" priority="159" operator="equal" dxfId="2034">
      <formula>"ja"</formula>
    </cfRule>
  </conditionalFormatting>
  <conditionalFormatting sqref="AG167">
    <cfRule type="dataBar" priority="158">
      <dataBar>
        <cfvo type="min"/>
        <cfvo type="max"/>
        <color rgb="FF63C384"/>
      </dataBar>
    </cfRule>
    <cfRule type="dataBar" priority="157">
      <dataBar>
        <cfvo type="min"/>
        <cfvo type="max"/>
        <color rgb="FF63C384"/>
      </dataBar>
    </cfRule>
  </conditionalFormatting>
  <conditionalFormatting sqref="AA168">
    <cfRule type="expression" priority="156" dxfId="2">
      <formula>AND(AND($W168&lt;TODAY(),$W168&lt;&gt;""),$X168="")</formula>
    </cfRule>
  </conditionalFormatting>
  <conditionalFormatting sqref="AG168">
    <cfRule type="dataBar" priority="155">
      <dataBar>
        <cfvo type="min"/>
        <cfvo type="max"/>
        <color rgb="FF63C384"/>
      </dataBar>
    </cfRule>
    <cfRule type="dataBar" priority="154">
      <dataBar>
        <cfvo type="min"/>
        <cfvo type="max"/>
        <color rgb="FF63C384"/>
      </dataBar>
    </cfRule>
  </conditionalFormatting>
  <conditionalFormatting sqref="Q169">
    <cfRule type="cellIs" priority="153" operator="equal" dxfId="2034">
      <formula>"ja"</formula>
    </cfRule>
  </conditionalFormatting>
  <conditionalFormatting sqref="AA169">
    <cfRule type="expression" priority="152" dxfId="2">
      <formula>AND(AND($W169&lt;TODAY(),$W169&lt;&gt;""),$X169="")</formula>
    </cfRule>
  </conditionalFormatting>
  <conditionalFormatting sqref="AG169">
    <cfRule type="dataBar" priority="151">
      <dataBar>
        <cfvo type="min"/>
        <cfvo type="max"/>
        <color rgb="FF63C384"/>
      </dataBar>
    </cfRule>
    <cfRule type="dataBar" priority="150">
      <dataBar>
        <cfvo type="min"/>
        <cfvo type="max"/>
        <color rgb="FF63C384"/>
      </dataBar>
    </cfRule>
  </conditionalFormatting>
  <conditionalFormatting sqref="Q170">
    <cfRule type="cellIs" priority="149" operator="equal" dxfId="2034">
      <formula>"ja"</formula>
    </cfRule>
  </conditionalFormatting>
  <conditionalFormatting sqref="AA170">
    <cfRule type="expression" priority="148" dxfId="2">
      <formula>AND(AND($W170&lt;TODAY(),$W170&lt;&gt;""),$X170="")</formula>
    </cfRule>
  </conditionalFormatting>
  <conditionalFormatting sqref="AG170">
    <cfRule type="dataBar" priority="147">
      <dataBar>
        <cfvo type="min"/>
        <cfvo type="max"/>
        <color rgb="FF63C384"/>
      </dataBar>
    </cfRule>
    <cfRule type="dataBar" priority="146">
      <dataBar>
        <cfvo type="min"/>
        <cfvo type="max"/>
        <color rgb="FF63C384"/>
      </dataBar>
    </cfRule>
  </conditionalFormatting>
  <conditionalFormatting sqref="AA171">
    <cfRule type="expression" priority="145" dxfId="2">
      <formula>AND(AND($W171&lt;TODAY(),$W171&lt;&gt;""),$X171="")</formula>
    </cfRule>
  </conditionalFormatting>
  <conditionalFormatting sqref="AG171">
    <cfRule type="dataBar" priority="144">
      <dataBar>
        <cfvo type="min"/>
        <cfvo type="max"/>
        <color rgb="FF63C384"/>
      </dataBar>
    </cfRule>
    <cfRule type="dataBar" priority="143">
      <dataBar>
        <cfvo type="min"/>
        <cfvo type="max"/>
        <color rgb="FF63C384"/>
      </dataBar>
    </cfRule>
  </conditionalFormatting>
  <conditionalFormatting sqref="Q171">
    <cfRule type="cellIs" priority="142" operator="equal" dxfId="2034">
      <formula>"ja"</formula>
    </cfRule>
  </conditionalFormatting>
  <conditionalFormatting sqref="Q172">
    <cfRule type="cellIs" priority="141" operator="equal" dxfId="2034">
      <formula>"ja"</formula>
    </cfRule>
  </conditionalFormatting>
  <conditionalFormatting sqref="AA172">
    <cfRule type="expression" priority="140" dxfId="2">
      <formula>AND(AND($W172&lt;TODAY(),$W172&lt;&gt;""),$X172="")</formula>
    </cfRule>
  </conditionalFormatting>
  <conditionalFormatting sqref="AG172">
    <cfRule type="dataBar" priority="139">
      <dataBar>
        <cfvo type="min"/>
        <cfvo type="max"/>
        <color rgb="FF63C384"/>
      </dataBar>
    </cfRule>
    <cfRule type="dataBar" priority="138">
      <dataBar>
        <cfvo type="min"/>
        <cfvo type="max"/>
        <color rgb="FF63C384"/>
      </dataBar>
    </cfRule>
  </conditionalFormatting>
  <conditionalFormatting sqref="Q173">
    <cfRule type="cellIs" priority="137" operator="equal" dxfId="2034">
      <formula>"ja"</formula>
    </cfRule>
  </conditionalFormatting>
  <conditionalFormatting sqref="AA173">
    <cfRule type="expression" priority="136" dxfId="2">
      <formula>AND(AND($W173&lt;TODAY(),$W173&lt;&gt;""),$X173="")</formula>
    </cfRule>
  </conditionalFormatting>
  <conditionalFormatting sqref="AG173">
    <cfRule type="dataBar" priority="135">
      <dataBar>
        <cfvo type="min"/>
        <cfvo type="max"/>
        <color rgb="FF63C384"/>
      </dataBar>
    </cfRule>
    <cfRule type="dataBar" priority="134">
      <dataBar>
        <cfvo type="min"/>
        <cfvo type="max"/>
        <color rgb="FF63C384"/>
      </dataBar>
    </cfRule>
  </conditionalFormatting>
  <conditionalFormatting sqref="Q174">
    <cfRule type="cellIs" priority="133" operator="equal" dxfId="2034">
      <formula>"ja"</formula>
    </cfRule>
  </conditionalFormatting>
  <conditionalFormatting sqref="AA174">
    <cfRule type="expression" priority="132" dxfId="2">
      <formula>AND(AND($W174&lt;TODAY(),$W174&lt;&gt;""),$X174="")</formula>
    </cfRule>
  </conditionalFormatting>
  <conditionalFormatting sqref="AG174">
    <cfRule type="dataBar" priority="131">
      <dataBar>
        <cfvo type="min"/>
        <cfvo type="max"/>
        <color rgb="FF63C384"/>
      </dataBar>
    </cfRule>
    <cfRule type="dataBar" priority="130">
      <dataBar>
        <cfvo type="min"/>
        <cfvo type="max"/>
        <color rgb="FF63C384"/>
      </dataBar>
    </cfRule>
  </conditionalFormatting>
  <conditionalFormatting sqref="Q175">
    <cfRule type="cellIs" priority="129" operator="equal" dxfId="2034">
      <formula>"ja"</formula>
    </cfRule>
  </conditionalFormatting>
  <conditionalFormatting sqref="AA175">
    <cfRule type="expression" priority="128" dxfId="2">
      <formula>AND(AND($W175&lt;TODAY(),$W175&lt;&gt;""),$X175="")</formula>
    </cfRule>
  </conditionalFormatting>
  <conditionalFormatting sqref="AG175">
    <cfRule type="dataBar" priority="127">
      <dataBar>
        <cfvo type="min"/>
        <cfvo type="max"/>
        <color rgb="FF63C384"/>
      </dataBar>
    </cfRule>
    <cfRule type="dataBar" priority="126">
      <dataBar>
        <cfvo type="min"/>
        <cfvo type="max"/>
        <color rgb="FF63C384"/>
      </dataBar>
    </cfRule>
  </conditionalFormatting>
  <conditionalFormatting sqref="AA176">
    <cfRule type="expression" priority="125" dxfId="2">
      <formula>AND(AND($W176&lt;TODAY(),$W176&lt;&gt;""),$X176="")</formula>
    </cfRule>
  </conditionalFormatting>
  <conditionalFormatting sqref="AG176">
    <cfRule type="dataBar" priority="124">
      <dataBar>
        <cfvo type="min"/>
        <cfvo type="max"/>
        <color rgb="FF63C384"/>
      </dataBar>
    </cfRule>
    <cfRule type="dataBar" priority="123">
      <dataBar>
        <cfvo type="min"/>
        <cfvo type="max"/>
        <color rgb="FF63C384"/>
      </dataBar>
    </cfRule>
  </conditionalFormatting>
  <conditionalFormatting sqref="Q176">
    <cfRule type="cellIs" priority="122" operator="equal" dxfId="2034">
      <formula>"ja"</formula>
    </cfRule>
  </conditionalFormatting>
  <conditionalFormatting sqref="AA177">
    <cfRule type="expression" priority="121" dxfId="2">
      <formula>AND(AND($W177&lt;TODAY(),$W177&lt;&gt;""),$X177="")</formula>
    </cfRule>
  </conditionalFormatting>
  <conditionalFormatting sqref="AG177">
    <cfRule type="dataBar" priority="120">
      <dataBar>
        <cfvo type="min"/>
        <cfvo type="max"/>
        <color rgb="FF63C384"/>
      </dataBar>
    </cfRule>
    <cfRule type="dataBar" priority="119">
      <dataBar>
        <cfvo type="min"/>
        <cfvo type="max"/>
        <color rgb="FF63C384"/>
      </dataBar>
    </cfRule>
  </conditionalFormatting>
  <conditionalFormatting sqref="Q177">
    <cfRule type="cellIs" priority="118" operator="equal" dxfId="2034">
      <formula>"ja"</formula>
    </cfRule>
  </conditionalFormatting>
  <conditionalFormatting sqref="Q178">
    <cfRule type="cellIs" priority="117" operator="equal" dxfId="2034">
      <formula>"ja"</formula>
    </cfRule>
  </conditionalFormatting>
  <conditionalFormatting sqref="AA178">
    <cfRule type="expression" priority="116" dxfId="2">
      <formula>AND(AND($W178&lt;TODAY(),$W178&lt;&gt;""),$X178="")</formula>
    </cfRule>
  </conditionalFormatting>
  <conditionalFormatting sqref="AG178">
    <cfRule type="dataBar" priority="115">
      <dataBar>
        <cfvo type="min"/>
        <cfvo type="max"/>
        <color rgb="FF63C384"/>
      </dataBar>
    </cfRule>
    <cfRule type="dataBar" priority="114">
      <dataBar>
        <cfvo type="min"/>
        <cfvo type="max"/>
        <color rgb="FF63C384"/>
      </dataBar>
    </cfRule>
  </conditionalFormatting>
  <conditionalFormatting sqref="Q179">
    <cfRule type="cellIs" priority="113" operator="equal" dxfId="2034">
      <formula>"ja"</formula>
    </cfRule>
    <cfRule type="cellIs" priority="108" operator="equal" dxfId="2034">
      <formula>"ja"</formula>
    </cfRule>
  </conditionalFormatting>
  <conditionalFormatting sqref="AA179">
    <cfRule type="expression" priority="112" dxfId="2">
      <formula>AND(AND($W179&lt;TODAY(),$W179&lt;&gt;""),$X179="")</formula>
    </cfRule>
    <cfRule type="expression" priority="109" dxfId="2">
      <formula>AND(AND($W179&lt;TODAY(),$W179&lt;&gt;""),$X179="")</formula>
    </cfRule>
  </conditionalFormatting>
  <conditionalFormatting sqref="AG179">
    <cfRule type="dataBar" priority="111">
      <dataBar>
        <cfvo type="min"/>
        <cfvo type="max"/>
        <color rgb="FF63C384"/>
      </dataBar>
    </cfRule>
    <cfRule type="dataBar" priority="110">
      <dataBar>
        <cfvo type="min"/>
        <cfvo type="max"/>
        <color rgb="FF63C384"/>
      </dataBar>
    </cfRule>
    <cfRule type="dataBar" priority="107">
      <dataBar>
        <cfvo type="min"/>
        <cfvo type="max"/>
        <color rgb="FF63C384"/>
      </dataBar>
    </cfRule>
    <cfRule type="dataBar" priority="106">
      <dataBar>
        <cfvo type="min"/>
        <cfvo type="max"/>
        <color rgb="FF63C384"/>
      </dataBar>
    </cfRule>
  </conditionalFormatting>
  <conditionalFormatting sqref="Q180">
    <cfRule type="cellIs" priority="105" operator="equal" dxfId="2034">
      <formula>"ja"</formula>
    </cfRule>
    <cfRule type="cellIs" priority="93" operator="equal" dxfId="2034">
      <formula>"ja"</formula>
    </cfRule>
    <cfRule type="cellIs" priority="101" operator="equal" dxfId="2034">
      <formula>"ja"</formula>
    </cfRule>
    <cfRule type="cellIs" priority="97" operator="equal" dxfId="2034">
      <formula>"ja"</formula>
    </cfRule>
  </conditionalFormatting>
  <conditionalFormatting sqref="AA180">
    <cfRule type="expression" priority="92" dxfId="2">
      <formula>AND(AND($W180&lt;TODAY(),$W180&lt;&gt;""),$X180="")</formula>
    </cfRule>
    <cfRule type="expression" priority="104" dxfId="2">
      <formula>AND(AND($W180&lt;TODAY(),$W180&lt;&gt;""),$X180="")</formula>
    </cfRule>
    <cfRule type="expression" priority="100" dxfId="2">
      <formula>AND(AND($W180&lt;TODAY(),$W180&lt;&gt;""),$X180="")</formula>
    </cfRule>
    <cfRule type="expression" priority="96" dxfId="2">
      <formula>AND(AND($W180&lt;TODAY(),$W180&lt;&gt;""),$X180="")</formula>
    </cfRule>
  </conditionalFormatting>
  <conditionalFormatting sqref="AG180">
    <cfRule type="dataBar" priority="103">
      <dataBar>
        <cfvo type="min"/>
        <cfvo type="max"/>
        <color rgb="FF63C384"/>
      </dataBar>
    </cfRule>
    <cfRule type="dataBar" priority="102">
      <dataBar>
        <cfvo type="min"/>
        <cfvo type="max"/>
        <color rgb="FF63C384"/>
      </dataBar>
    </cfRule>
    <cfRule type="dataBar" priority="99">
      <dataBar>
        <cfvo type="min"/>
        <cfvo type="max"/>
        <color rgb="FF63C384"/>
      </dataBar>
    </cfRule>
    <cfRule type="dataBar" priority="98">
      <dataBar>
        <cfvo type="min"/>
        <cfvo type="max"/>
        <color rgb="FF63C384"/>
      </dataBar>
    </cfRule>
    <cfRule type="dataBar" priority="95">
      <dataBar>
        <cfvo type="min"/>
        <cfvo type="max"/>
        <color rgb="FF63C384"/>
      </dataBar>
    </cfRule>
    <cfRule type="dataBar" priority="94">
      <dataBar>
        <cfvo type="min"/>
        <cfvo type="max"/>
        <color rgb="FF63C384"/>
      </dataBar>
    </cfRule>
    <cfRule type="dataBar" priority="91">
      <dataBar>
        <cfvo type="min"/>
        <cfvo type="max"/>
        <color rgb="FF63C384"/>
      </dataBar>
    </cfRule>
    <cfRule type="dataBar" priority="90">
      <dataBar>
        <cfvo type="min"/>
        <cfvo type="max"/>
        <color rgb="FF63C384"/>
      </dataBar>
    </cfRule>
  </conditionalFormatting>
  <conditionalFormatting sqref="AA181">
    <cfRule type="expression" priority="89" dxfId="2">
      <formula>AND(AND($W181&lt;TODAY(),$W181&lt;&gt;""),$X181="")</formula>
    </cfRule>
  </conditionalFormatting>
  <conditionalFormatting sqref="AG181">
    <cfRule type="dataBar" priority="88">
      <dataBar>
        <cfvo type="min"/>
        <cfvo type="max"/>
        <color rgb="FF63C384"/>
      </dataBar>
    </cfRule>
    <cfRule type="dataBar" priority="87">
      <dataBar>
        <cfvo type="min"/>
        <cfvo type="max"/>
        <color rgb="FF63C384"/>
      </dataBar>
    </cfRule>
  </conditionalFormatting>
  <conditionalFormatting sqref="Q181">
    <cfRule type="cellIs" priority="86" operator="equal" dxfId="2034">
      <formula>"ja"</formula>
    </cfRule>
  </conditionalFormatting>
  <conditionalFormatting sqref="Q182">
    <cfRule type="cellIs" priority="85" operator="equal" dxfId="2034">
      <formula>"ja"</formula>
    </cfRule>
    <cfRule type="cellIs" priority="81" operator="equal" dxfId="2034">
      <formula>"ja"</formula>
    </cfRule>
  </conditionalFormatting>
  <conditionalFormatting sqref="AA182">
    <cfRule type="expression" priority="84" dxfId="2">
      <formula>AND(AND($W182&lt;TODAY(),$W182&lt;&gt;""),$X182="")</formula>
    </cfRule>
    <cfRule type="expression" priority="80" dxfId="2">
      <formula>AND(AND($W182&lt;TODAY(),$W182&lt;&gt;""),$X182="")</formula>
    </cfRule>
  </conditionalFormatting>
  <conditionalFormatting sqref="AG182">
    <cfRule type="dataBar" priority="83">
      <dataBar>
        <cfvo type="min"/>
        <cfvo type="max"/>
        <color rgb="FF63C384"/>
      </dataBar>
    </cfRule>
    <cfRule type="dataBar" priority="82">
      <dataBar>
        <cfvo type="min"/>
        <cfvo type="max"/>
        <color rgb="FF63C384"/>
      </dataBar>
    </cfRule>
    <cfRule type="dataBar" priority="79">
      <dataBar>
        <cfvo type="min"/>
        <cfvo type="max"/>
        <color rgb="FF63C384"/>
      </dataBar>
    </cfRule>
    <cfRule type="dataBar" priority="78">
      <dataBar>
        <cfvo type="min"/>
        <cfvo type="max"/>
        <color rgb="FF63C384"/>
      </dataBar>
    </cfRule>
  </conditionalFormatting>
  <conditionalFormatting sqref="AG183">
    <cfRule type="dataBar" priority="77">
      <dataBar>
        <cfvo type="min"/>
        <cfvo type="max"/>
        <color rgb="FF63C384"/>
      </dataBar>
    </cfRule>
    <cfRule type="dataBar" priority="76">
      <dataBar>
        <cfvo type="min"/>
        <cfvo type="max"/>
        <color rgb="FF63C384"/>
      </dataBar>
    </cfRule>
  </conditionalFormatting>
  <conditionalFormatting sqref="Q183">
    <cfRule type="cellIs" priority="75" operator="equal" dxfId="2034">
      <formula>"ja"</formula>
    </cfRule>
  </conditionalFormatting>
  <conditionalFormatting sqref="AA183">
    <cfRule type="expression" priority="74" dxfId="2">
      <formula>AND(AND($W183&lt;TODAY(),$W183&lt;&gt;""),$X183="")</formula>
    </cfRule>
  </conditionalFormatting>
  <conditionalFormatting sqref="AA184">
    <cfRule type="expression" priority="73" dxfId="2">
      <formula>AND(AND($W184&lt;TODAY(),$W184&lt;&gt;""),$X184="")</formula>
    </cfRule>
  </conditionalFormatting>
  <conditionalFormatting sqref="Q184">
    <cfRule type="cellIs" priority="72" operator="equal" dxfId="2034">
      <formula>"ja"</formula>
    </cfRule>
  </conditionalFormatting>
  <conditionalFormatting sqref="AG184">
    <cfRule type="dataBar" priority="71">
      <dataBar>
        <cfvo type="min"/>
        <cfvo type="max"/>
        <color rgb="FF63C384"/>
      </dataBar>
    </cfRule>
    <cfRule type="dataBar" priority="70">
      <dataBar>
        <cfvo type="min"/>
        <cfvo type="max"/>
        <color rgb="FF63C384"/>
      </dataBar>
    </cfRule>
  </conditionalFormatting>
  <conditionalFormatting sqref="Q185">
    <cfRule type="cellIs" priority="69" operator="equal" dxfId="2034">
      <formula>"ja"</formula>
    </cfRule>
  </conditionalFormatting>
  <conditionalFormatting sqref="AA185">
    <cfRule type="expression" priority="68" dxfId="2">
      <formula>AND(AND($W185&lt;TODAY(),$W185&lt;&gt;""),$X185="")</formula>
    </cfRule>
  </conditionalFormatting>
  <conditionalFormatting sqref="AG185">
    <cfRule type="dataBar" priority="67">
      <dataBar>
        <cfvo type="min"/>
        <cfvo type="max"/>
        <color rgb="FF63C384"/>
      </dataBar>
    </cfRule>
    <cfRule type="dataBar" priority="66">
      <dataBar>
        <cfvo type="min"/>
        <cfvo type="max"/>
        <color rgb="FF63C384"/>
      </dataBar>
    </cfRule>
  </conditionalFormatting>
  <conditionalFormatting sqref="AA186">
    <cfRule type="expression" priority="65" dxfId="2">
      <formula>AND(AND($W186&lt;TODAY(),$W186&lt;&gt;""),$X186="")</formula>
    </cfRule>
  </conditionalFormatting>
  <conditionalFormatting sqref="AG186">
    <cfRule type="dataBar" priority="64">
      <dataBar>
        <cfvo type="min"/>
        <cfvo type="max"/>
        <color rgb="FF63C384"/>
      </dataBar>
    </cfRule>
    <cfRule type="dataBar" priority="63">
      <dataBar>
        <cfvo type="min"/>
        <cfvo type="max"/>
        <color rgb="FF63C384"/>
      </dataBar>
    </cfRule>
  </conditionalFormatting>
  <conditionalFormatting sqref="Q186">
    <cfRule type="cellIs" priority="62" operator="equal" dxfId="2034">
      <formula>"ja"</formula>
    </cfRule>
  </conditionalFormatting>
  <conditionalFormatting sqref="Q187">
    <cfRule type="cellIs" priority="61" operator="equal" dxfId="2034">
      <formula>"ja"</formula>
    </cfRule>
    <cfRule type="cellIs" priority="38" operator="equal" dxfId="2034">
      <formula>"ja"</formula>
    </cfRule>
  </conditionalFormatting>
  <conditionalFormatting sqref="AA187">
    <cfRule type="expression" priority="60" dxfId="2">
      <formula>AND(AND($W187&lt;TODAY(),$W187&lt;&gt;""),$X187="")</formula>
    </cfRule>
    <cfRule type="expression" priority="41" dxfId="2">
      <formula>AND(AND($W187&lt;TODAY(),$W187&lt;&gt;""),$X187="")</formula>
    </cfRule>
  </conditionalFormatting>
  <conditionalFormatting sqref="AG187">
    <cfRule type="dataBar" priority="59">
      <dataBar>
        <cfvo type="min"/>
        <cfvo type="max"/>
        <color rgb="FF63C384"/>
      </dataBar>
    </cfRule>
    <cfRule type="dataBar" priority="58">
      <dataBar>
        <cfvo type="min"/>
        <cfvo type="max"/>
        <color rgb="FF63C384"/>
      </dataBar>
    </cfRule>
    <cfRule type="dataBar" priority="40">
      <dataBar>
        <cfvo type="min"/>
        <cfvo type="max"/>
        <color rgb="FF63C384"/>
      </dataBar>
    </cfRule>
    <cfRule type="dataBar" priority="39">
      <dataBar>
        <cfvo type="min"/>
        <cfvo type="max"/>
        <color rgb="FF63C384"/>
      </dataBar>
    </cfRule>
  </conditionalFormatting>
  <conditionalFormatting sqref="Q188">
    <cfRule type="cellIs" priority="57" operator="equal" dxfId="2034">
      <formula>"ja"</formula>
    </cfRule>
    <cfRule type="cellIs" priority="37" operator="equal" dxfId="2034">
      <formula>"ja"</formula>
    </cfRule>
  </conditionalFormatting>
  <conditionalFormatting sqref="AA188">
    <cfRule type="expression" priority="56" dxfId="2">
      <formula>AND(AND($W188&lt;TODAY(),$W188&lt;&gt;""),$X188="")</formula>
    </cfRule>
    <cfRule type="expression" priority="36" dxfId="2">
      <formula>AND(AND($W188&lt;TODAY(),$W188&lt;&gt;""),$X188="")</formula>
    </cfRule>
  </conditionalFormatting>
  <conditionalFormatting sqref="AG188">
    <cfRule type="dataBar" priority="55">
      <dataBar>
        <cfvo type="min"/>
        <cfvo type="max"/>
        <color rgb="FF63C384"/>
      </dataBar>
    </cfRule>
    <cfRule type="dataBar" priority="54">
      <dataBar>
        <cfvo type="min"/>
        <cfvo type="max"/>
        <color rgb="FF63C384"/>
      </dataBar>
    </cfRule>
    <cfRule type="dataBar" priority="35">
      <dataBar>
        <cfvo type="min"/>
        <cfvo type="max"/>
        <color rgb="FF63C384"/>
      </dataBar>
    </cfRule>
    <cfRule type="dataBar" priority="34">
      <dataBar>
        <cfvo type="min"/>
        <cfvo type="max"/>
        <color rgb="FF63C384"/>
      </dataBar>
    </cfRule>
  </conditionalFormatting>
  <conditionalFormatting sqref="Q189">
    <cfRule type="cellIs" priority="53" operator="equal" dxfId="2034">
      <formula>"ja"</formula>
    </cfRule>
    <cfRule type="cellIs" priority="33" operator="equal" dxfId="2034">
      <formula>"ja"</formula>
    </cfRule>
  </conditionalFormatting>
  <conditionalFormatting sqref="AA189">
    <cfRule type="expression" priority="52" dxfId="2">
      <formula>AND(AND($W189&lt;TODAY(),$W189&lt;&gt;""),$X189="")</formula>
    </cfRule>
    <cfRule type="expression" priority="32" dxfId="2">
      <formula>AND(AND($W189&lt;TODAY(),$W189&lt;&gt;""),$X189="")</formula>
    </cfRule>
  </conditionalFormatting>
  <conditionalFormatting sqref="AG189">
    <cfRule type="dataBar" priority="51">
      <dataBar>
        <cfvo type="min"/>
        <cfvo type="max"/>
        <color rgb="FF63C384"/>
      </dataBar>
    </cfRule>
    <cfRule type="dataBar" priority="50">
      <dataBar>
        <cfvo type="min"/>
        <cfvo type="max"/>
        <color rgb="FF63C384"/>
      </dataBar>
    </cfRule>
    <cfRule type="dataBar" priority="31">
      <dataBar>
        <cfvo type="min"/>
        <cfvo type="max"/>
        <color rgb="FF63C384"/>
      </dataBar>
    </cfRule>
    <cfRule type="dataBar" priority="30">
      <dataBar>
        <cfvo type="min"/>
        <cfvo type="max"/>
        <color rgb="FF63C384"/>
      </dataBar>
    </cfRule>
  </conditionalFormatting>
  <conditionalFormatting sqref="AA190">
    <cfRule type="expression" priority="49" dxfId="2">
      <formula>AND(AND($W190&lt;TODAY(),$W190&lt;&gt;""),$X190="")</formula>
    </cfRule>
    <cfRule type="expression" priority="28" dxfId="2">
      <formula>AND(AND($W190&lt;TODAY(),$W190&lt;&gt;""),$X190="")</formula>
    </cfRule>
  </conditionalFormatting>
  <conditionalFormatting sqref="Q190">
    <cfRule type="cellIs" priority="48" operator="equal" dxfId="2034">
      <formula>"ja"</formula>
    </cfRule>
    <cfRule type="cellIs" priority="29" operator="equal" dxfId="2034">
      <formula>"ja"</formula>
    </cfRule>
  </conditionalFormatting>
  <conditionalFormatting sqref="AG190">
    <cfRule type="dataBar" priority="47">
      <dataBar>
        <cfvo type="min"/>
        <cfvo type="max"/>
        <color rgb="FF63C384"/>
      </dataBar>
    </cfRule>
    <cfRule type="dataBar" priority="46">
      <dataBar>
        <cfvo type="min"/>
        <cfvo type="max"/>
        <color rgb="FF63C384"/>
      </dataBar>
    </cfRule>
    <cfRule type="dataBar" priority="27">
      <dataBar>
        <cfvo type="min"/>
        <cfvo type="max"/>
        <color rgb="FF63C384"/>
      </dataBar>
    </cfRule>
    <cfRule type="dataBar" priority="26">
      <dataBar>
        <cfvo type="min"/>
        <cfvo type="max"/>
        <color rgb="FF63C384"/>
      </dataBar>
    </cfRule>
  </conditionalFormatting>
  <conditionalFormatting sqref="Q191">
    <cfRule type="cellIs" priority="45" operator="equal" dxfId="2034">
      <formula>"ja"</formula>
    </cfRule>
    <cfRule type="cellIs" priority="24" operator="equal" dxfId="2034">
      <formula>"ja"</formula>
    </cfRule>
  </conditionalFormatting>
  <conditionalFormatting sqref="AA191">
    <cfRule type="expression" priority="44" dxfId="2">
      <formula>AND(AND($W191&lt;TODAY(),$W191&lt;&gt;""),$X191="")</formula>
    </cfRule>
    <cfRule type="expression" priority="25" dxfId="2">
      <formula>AND(AND($W191&lt;TODAY(),$W191&lt;&gt;""),$X191="")</formula>
    </cfRule>
  </conditionalFormatting>
  <conditionalFormatting sqref="AG191">
    <cfRule type="dataBar" priority="43">
      <dataBar>
        <cfvo type="min"/>
        <cfvo type="max"/>
        <color rgb="FF63C384"/>
      </dataBar>
    </cfRule>
    <cfRule type="dataBar" priority="42">
      <dataBar>
        <cfvo type="min"/>
        <cfvo type="max"/>
        <color rgb="FF63C384"/>
      </dataBar>
    </cfRule>
    <cfRule type="dataBar" priority="23">
      <dataBar>
        <cfvo type="min"/>
        <cfvo type="max"/>
        <color rgb="FF63C384"/>
      </dataBar>
    </cfRule>
    <cfRule type="dataBar" priority="22">
      <dataBar>
        <cfvo type="min"/>
        <cfvo type="max"/>
        <color rgb="FF63C384"/>
      </dataBar>
    </cfRule>
  </conditionalFormatting>
  <conditionalFormatting sqref="Q192">
    <cfRule type="cellIs" priority="21" operator="equal" dxfId="2034">
      <formula>"ja"</formula>
    </cfRule>
  </conditionalFormatting>
  <conditionalFormatting sqref="AA192">
    <cfRule type="expression" priority="20" dxfId="2">
      <formula>AND(AND($W192&lt;TODAY(),$W192&lt;&gt;""),$X192="")</formula>
    </cfRule>
  </conditionalFormatting>
  <conditionalFormatting sqref="AA193">
    <cfRule type="expression" priority="17" dxfId="2">
      <formula>AND(AND($W193&lt;TODAY(),$W193&lt;&gt;""),$X193="")</formula>
    </cfRule>
    <cfRule type="expression" priority="14" dxfId="2">
      <formula>AND(AND($W193&lt;TODAY(),$W193&lt;&gt;""),$X193="")</formula>
    </cfRule>
  </conditionalFormatting>
  <conditionalFormatting sqref="AG193">
    <cfRule type="dataBar" priority="16">
      <dataBar>
        <cfvo type="min"/>
        <cfvo type="max"/>
        <color rgb="FF63C384"/>
      </dataBar>
    </cfRule>
    <cfRule type="dataBar" priority="15">
      <dataBar>
        <cfvo type="min"/>
        <cfvo type="max"/>
        <color rgb="FF63C384"/>
      </dataBar>
    </cfRule>
    <cfRule type="dataBar" priority="13">
      <dataBar>
        <cfvo type="min"/>
        <cfvo type="max"/>
        <color rgb="FF63C384"/>
      </dataBar>
    </cfRule>
    <cfRule type="dataBar" priority="12">
      <dataBar>
        <cfvo type="min"/>
        <cfvo type="max"/>
        <color rgb="FF63C384"/>
      </dataBar>
    </cfRule>
  </conditionalFormatting>
  <conditionalFormatting sqref="AA194">
    <cfRule type="expression" priority="11" dxfId="2">
      <formula>AND(AND($W194&lt;TODAY(),$W194&lt;&gt;""),$X194="")</formula>
    </cfRule>
    <cfRule type="expression" priority="8" dxfId="2">
      <formula>AND(AND($W194&lt;TODAY(),$W194&lt;&gt;""),$X194="")</formula>
    </cfRule>
  </conditionalFormatting>
  <conditionalFormatting sqref="AG194">
    <cfRule type="dataBar" priority="10">
      <dataBar>
        <cfvo type="min"/>
        <cfvo type="max"/>
        <color rgb="FF63C384"/>
      </dataBar>
    </cfRule>
    <cfRule type="dataBar" priority="9">
      <dataBar>
        <cfvo type="min"/>
        <cfvo type="max"/>
        <color rgb="FF63C384"/>
      </dataBar>
    </cfRule>
    <cfRule type="dataBar" priority="7">
      <dataBar>
        <cfvo type="min"/>
        <cfvo type="max"/>
        <color rgb="FF63C384"/>
      </dataBar>
    </cfRule>
    <cfRule type="dataBar" priority="6">
      <dataBar>
        <cfvo type="min"/>
        <cfvo type="max"/>
        <color rgb="FF63C384"/>
      </dataBar>
    </cfRule>
  </conditionalFormatting>
  <conditionalFormatting sqref="Q76">
    <cfRule type="cellIs" priority="5" operator="equal" dxfId="2034">
      <formula>"ja"</formula>
    </cfRule>
  </conditionalFormatting>
  <conditionalFormatting sqref="Q62">
    <cfRule type="cellIs" priority="4" operator="equal" dxfId="2034">
      <formula>"ja"</formula>
    </cfRule>
  </conditionalFormatting>
  <conditionalFormatting sqref="Q45">
    <cfRule type="cellIs" priority="3" operator="equal" dxfId="2034">
      <formula>"ja"</formula>
    </cfRule>
  </conditionalFormatting>
  <conditionalFormatting sqref="Q30">
    <cfRule type="cellIs" priority="2" operator="equal" dxfId="2034">
      <formula>"ja"</formula>
    </cfRule>
  </conditionalFormatting>
  <conditionalFormatting sqref="Q7">
    <cfRule type="cellIs" priority="1" operator="equal" dxfId="2034">
      <formula>"ja"</formula>
    </cfRule>
  </conditionalFormatting>
  <dataValidations count="3">
    <dataValidation sqref="Q11:Q12 Q26 Q43 Q56 Q71 Q81 Q96 Q100 Q115 Q131 Q133 Q141 Q159 Q179" showDropDown="0" showInputMessage="1" showErrorMessage="1" allowBlank="1" type="list">
      <formula1>"Weiterverkauf,"</formula1>
    </dataValidation>
    <dataValidation sqref="K5 K11 K16 K21 K28 K41 K63 K100 K121 K170" showDropDown="0" showInputMessage="1" showErrorMessage="1" allowBlank="1" type="list">
      <formula1>"Einnahmen,Ausgaben"</formula1>
    </dataValidation>
    <dataValidation sqref="L2:L194" showDropDown="0" showInputMessage="1" showErrorMessage="1" allowBlank="1" type="list">
      <formula1>Spesenart</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22.xml><?xml version="1.0" encoding="utf-8"?>
<worksheet xmlns="http://schemas.openxmlformats.org/spreadsheetml/2006/main">
  <sheetPr codeName="Tabelle23">
    <outlinePr summaryBelow="1" summaryRight="1"/>
    <pageSetUpPr/>
  </sheetPr>
  <dimension ref="A1:XEK263"/>
  <sheetViews>
    <sheetView workbookViewId="0">
      <selection activeCell="A1" sqref="A1"/>
    </sheetView>
  </sheetViews>
  <sheetFormatPr baseColWidth="10" defaultRowHeight="15"/>
  <cols>
    <col width="11.42578125" customWidth="1" style="1" min="2" max="2"/>
    <col width="11.42578125" customWidth="1" style="214" min="6" max="6"/>
  </cols>
  <sheetData>
    <row r="1">
      <c r="A1" s="63" t="inlineStr">
        <is>
          <t>lfd. Nr.</t>
        </is>
      </c>
      <c r="B1" s="96" t="inlineStr">
        <is>
          <t>Datum</t>
        </is>
      </c>
      <c r="C1" s="63" t="inlineStr">
        <is>
          <t>Text</t>
        </is>
      </c>
      <c r="D1" s="63" t="inlineStr">
        <is>
          <t>Kategorie</t>
        </is>
      </c>
      <c r="E1" s="63" t="inlineStr">
        <is>
          <t>Spesenart</t>
        </is>
      </c>
      <c r="F1" s="235" t="inlineStr">
        <is>
          <t>Bruttobetrag</t>
        </is>
      </c>
      <c r="G1" s="63" t="inlineStr">
        <is>
          <t>Steuersatz</t>
        </is>
      </c>
      <c r="H1" s="87" t="n"/>
      <c r="I1" s="87" t="n"/>
      <c r="J1" s="87" t="n"/>
      <c r="K1" s="87" t="n"/>
      <c r="L1" s="87" t="n"/>
      <c r="M1" s="87" t="n"/>
      <c r="N1" s="87" t="n"/>
      <c r="O1" s="87" t="n"/>
      <c r="P1" s="87" t="n"/>
      <c r="Q1" s="87" t="n"/>
      <c r="R1" s="87" t="n"/>
      <c r="S1" s="87" t="n"/>
      <c r="T1" s="87" t="n"/>
      <c r="U1" s="87" t="n"/>
      <c r="V1" s="87" t="n"/>
      <c r="W1" s="87" t="n"/>
      <c r="X1" s="87" t="n"/>
      <c r="Y1" s="87" t="n"/>
      <c r="Z1" s="87" t="n"/>
      <c r="AA1" s="87" t="n"/>
      <c r="AB1" s="87" t="n"/>
      <c r="AC1" s="87" t="n"/>
      <c r="AD1" s="87" t="n"/>
      <c r="AE1" s="87" t="n"/>
      <c r="AF1" s="87" t="n"/>
      <c r="AG1" s="87" t="n"/>
      <c r="AH1" s="87" t="n"/>
      <c r="AI1" s="87" t="n"/>
      <c r="AJ1" s="87" t="n"/>
      <c r="AK1" s="87" t="n"/>
      <c r="AL1" s="87" t="n"/>
      <c r="AM1" s="87" t="n"/>
      <c r="AN1" s="87" t="n"/>
      <c r="AO1" s="87" t="n"/>
      <c r="AP1" s="87" t="n"/>
      <c r="AQ1" s="87" t="n"/>
      <c r="AR1" s="87" t="n"/>
      <c r="AS1" s="87" t="n"/>
      <c r="AT1" s="87" t="n"/>
      <c r="AU1" s="87" t="n"/>
      <c r="AV1" s="87" t="n"/>
      <c r="AW1" s="87" t="n"/>
      <c r="AX1" s="87" t="n"/>
      <c r="AY1" s="87" t="n"/>
      <c r="AZ1" s="87" t="n"/>
      <c r="BA1" s="87" t="n"/>
      <c r="BB1" s="87" t="n"/>
      <c r="BC1" s="87" t="n"/>
      <c r="BD1" s="87" t="n"/>
      <c r="BE1" s="87" t="n"/>
      <c r="BF1" s="87" t="n"/>
      <c r="BG1" s="87" t="n"/>
      <c r="BH1" s="87" t="n"/>
      <c r="BI1" s="87" t="n"/>
      <c r="BJ1" s="87" t="n"/>
      <c r="BK1" s="87" t="n"/>
      <c r="BL1" s="87" t="n"/>
      <c r="BM1" s="87" t="n"/>
      <c r="BN1" s="87" t="n"/>
      <c r="BO1" s="87" t="n"/>
      <c r="BP1" s="87" t="n"/>
      <c r="BQ1" s="87" t="n"/>
      <c r="BR1" s="87" t="n"/>
      <c r="BS1" s="87" t="n"/>
      <c r="BT1" s="87" t="n"/>
      <c r="BU1" s="87" t="n"/>
      <c r="BV1" s="87" t="n"/>
      <c r="BW1" s="87" t="n"/>
      <c r="BX1" s="87" t="n"/>
      <c r="BY1" s="87" t="n"/>
      <c r="BZ1" s="87" t="n"/>
      <c r="CA1" s="87" t="n"/>
      <c r="CB1" s="87" t="n"/>
      <c r="CC1" s="87" t="n"/>
      <c r="CD1" s="87" t="n"/>
      <c r="CE1" s="87" t="n"/>
      <c r="CF1" s="87" t="n"/>
      <c r="CG1" s="87" t="n"/>
      <c r="CH1" s="87" t="n"/>
      <c r="CI1" s="87" t="n"/>
      <c r="CJ1" s="87" t="n"/>
      <c r="CK1" s="87" t="n"/>
      <c r="CL1" s="87" t="n"/>
      <c r="CM1" s="87" t="n"/>
      <c r="CN1" s="87" t="n"/>
      <c r="CO1" s="87" t="n"/>
      <c r="CP1" s="87" t="n"/>
      <c r="CQ1" s="87" t="n"/>
      <c r="CR1" s="87" t="n"/>
      <c r="CS1" s="87" t="n"/>
      <c r="CT1" s="87" t="n"/>
      <c r="CU1" s="87" t="n"/>
      <c r="CV1" s="87" t="n"/>
      <c r="CW1" s="87" t="n"/>
      <c r="CX1" s="87" t="n"/>
      <c r="CY1" s="87" t="n"/>
      <c r="CZ1" s="87" t="n"/>
      <c r="DA1" s="87" t="n"/>
      <c r="DB1" s="87" t="n"/>
      <c r="DC1" s="87" t="n"/>
      <c r="DD1" s="87" t="n"/>
      <c r="DE1" s="87" t="n"/>
      <c r="DF1" s="87" t="n"/>
      <c r="DG1" s="87" t="n"/>
      <c r="DH1" s="87" t="n"/>
      <c r="DI1" s="87" t="n"/>
      <c r="DJ1" s="87" t="n"/>
      <c r="DK1" s="87" t="n"/>
      <c r="DL1" s="87" t="n"/>
      <c r="DM1" s="87" t="n"/>
      <c r="DN1" s="87" t="n"/>
      <c r="DO1" s="87" t="n"/>
      <c r="DP1" s="87" t="n"/>
      <c r="DQ1" s="87" t="n"/>
      <c r="DR1" s="87" t="n"/>
      <c r="DS1" s="87" t="n"/>
      <c r="DT1" s="87" t="n"/>
      <c r="DU1" s="87" t="n"/>
      <c r="DV1" s="87" t="n"/>
      <c r="DW1" s="87" t="n"/>
      <c r="DX1" s="87" t="n"/>
      <c r="DY1" s="87" t="n"/>
      <c r="DZ1" s="87" t="n"/>
      <c r="EA1" s="87" t="n"/>
      <c r="EB1" s="87" t="n"/>
      <c r="EC1" s="87" t="n"/>
      <c r="ED1" s="87" t="n"/>
      <c r="EE1" s="87" t="n"/>
      <c r="EF1" s="87" t="n"/>
      <c r="EG1" s="87" t="n"/>
      <c r="EH1" s="87" t="n"/>
      <c r="EI1" s="87" t="n"/>
      <c r="EJ1" s="87" t="n"/>
      <c r="EK1" s="87" t="n"/>
      <c r="EL1" s="87" t="n"/>
      <c r="EM1" s="87" t="n"/>
      <c r="EN1" s="87" t="n"/>
      <c r="EO1" s="87" t="n"/>
      <c r="EP1" s="87" t="n"/>
      <c r="EQ1" s="87" t="n"/>
      <c r="ER1" s="87" t="n"/>
      <c r="ES1" s="87" t="n"/>
      <c r="ET1" s="87" t="n"/>
      <c r="EU1" s="87" t="n"/>
      <c r="EV1" s="87" t="n"/>
      <c r="EW1" s="87" t="n"/>
      <c r="EX1" s="87" t="n"/>
      <c r="EY1" s="87" t="n"/>
      <c r="EZ1" s="87" t="n"/>
      <c r="FA1" s="87" t="n"/>
      <c r="FB1" s="87" t="n"/>
      <c r="FC1" s="87" t="n"/>
      <c r="FD1" s="87" t="n"/>
      <c r="FE1" s="87" t="n"/>
      <c r="FF1" s="87" t="n"/>
      <c r="FG1" s="87" t="n"/>
      <c r="FH1" s="87" t="n"/>
      <c r="FI1" s="87" t="n"/>
      <c r="FJ1" s="87" t="n"/>
      <c r="FK1" s="87" t="n"/>
      <c r="FL1" s="87" t="n"/>
      <c r="FM1" s="87" t="n"/>
      <c r="FN1" s="87" t="n"/>
      <c r="FO1" s="87" t="n"/>
      <c r="FP1" s="87" t="n"/>
      <c r="FQ1" s="87" t="n"/>
      <c r="FR1" s="87" t="n"/>
      <c r="FS1" s="87" t="n"/>
      <c r="FT1" s="87" t="n"/>
      <c r="FU1" s="87" t="n"/>
      <c r="FV1" s="87" t="n"/>
      <c r="FW1" s="87" t="n"/>
      <c r="FX1" s="87" t="n"/>
      <c r="FY1" s="87" t="n"/>
      <c r="FZ1" s="87" t="n"/>
      <c r="GA1" s="87" t="n"/>
      <c r="GB1" s="87" t="n"/>
      <c r="GC1" s="87" t="n"/>
      <c r="GD1" s="87" t="n"/>
      <c r="GE1" s="87" t="n"/>
      <c r="GF1" s="87" t="n"/>
      <c r="GG1" s="87" t="n"/>
      <c r="GH1" s="87" t="n"/>
      <c r="GI1" s="87" t="n"/>
      <c r="GJ1" s="87" t="n"/>
      <c r="GK1" s="87" t="n"/>
      <c r="GL1" s="87" t="n"/>
      <c r="GM1" s="87" t="n"/>
      <c r="GN1" s="87" t="n"/>
      <c r="GO1" s="87" t="n"/>
      <c r="GP1" s="87" t="n"/>
      <c r="GQ1" s="87" t="n"/>
      <c r="GR1" s="87" t="n"/>
      <c r="GS1" s="87" t="n"/>
      <c r="GT1" s="87" t="n"/>
      <c r="GU1" s="87" t="n"/>
      <c r="GV1" s="87" t="n"/>
      <c r="GW1" s="87" t="n"/>
      <c r="GX1" s="87" t="n"/>
      <c r="GY1" s="87" t="n"/>
      <c r="GZ1" s="87" t="n"/>
      <c r="HA1" s="87" t="n"/>
      <c r="HB1" s="87" t="n"/>
      <c r="HC1" s="87" t="n"/>
      <c r="HD1" s="87" t="n"/>
      <c r="HE1" s="87" t="n"/>
      <c r="HF1" s="87" t="n"/>
      <c r="HG1" s="87" t="n"/>
      <c r="HH1" s="87" t="n"/>
      <c r="HI1" s="87" t="n"/>
      <c r="HJ1" s="87" t="n"/>
      <c r="HK1" s="87" t="n"/>
      <c r="HL1" s="87" t="n"/>
      <c r="HM1" s="87" t="n"/>
      <c r="HN1" s="87" t="n"/>
      <c r="HO1" s="87" t="n"/>
      <c r="HP1" s="87" t="n"/>
      <c r="HQ1" s="87" t="n"/>
      <c r="HR1" s="87" t="n"/>
      <c r="HS1" s="87" t="n"/>
      <c r="HT1" s="87" t="n"/>
      <c r="HU1" s="87" t="n"/>
      <c r="HV1" s="87" t="n"/>
      <c r="HW1" s="87" t="n"/>
      <c r="HX1" s="87" t="n"/>
      <c r="HY1" s="87" t="n"/>
      <c r="HZ1" s="87" t="n"/>
      <c r="IA1" s="87" t="n"/>
      <c r="IB1" s="87" t="n"/>
      <c r="IC1" s="87" t="n"/>
      <c r="ID1" s="87" t="n"/>
      <c r="IE1" s="87" t="n"/>
      <c r="IF1" s="87" t="n"/>
      <c r="IG1" s="87" t="n"/>
      <c r="IH1" s="87" t="n"/>
      <c r="II1" s="87" t="n"/>
      <c r="IJ1" s="87" t="n"/>
      <c r="IK1" s="87" t="n"/>
      <c r="IL1" s="87" t="n"/>
      <c r="IM1" s="87" t="n"/>
      <c r="IN1" s="87" t="n"/>
      <c r="IO1" s="87" t="n"/>
      <c r="IP1" s="87" t="n"/>
      <c r="IQ1" s="87" t="n"/>
      <c r="IR1" s="87" t="n"/>
      <c r="IS1" s="87" t="n"/>
      <c r="IT1" s="87" t="n"/>
      <c r="IU1" s="87" t="n"/>
      <c r="IV1" s="87" t="n"/>
      <c r="IW1" s="87" t="n"/>
      <c r="IX1" s="87" t="n"/>
      <c r="IY1" s="87" t="n"/>
      <c r="IZ1" s="87" t="n"/>
      <c r="JA1" s="87" t="n"/>
      <c r="JB1" s="87" t="n"/>
      <c r="JC1" s="87" t="n"/>
      <c r="JD1" s="87" t="n"/>
      <c r="JE1" s="87" t="n"/>
      <c r="JF1" s="87" t="n"/>
      <c r="JG1" s="87" t="n"/>
      <c r="JH1" s="87" t="n"/>
      <c r="JI1" s="87" t="n"/>
      <c r="JJ1" s="87" t="n"/>
      <c r="JK1" s="87" t="n"/>
      <c r="JL1" s="87" t="n"/>
      <c r="JM1" s="87" t="n"/>
      <c r="JN1" s="87" t="n"/>
      <c r="JO1" s="87" t="n"/>
      <c r="JP1" s="87" t="n"/>
      <c r="JQ1" s="87" t="n"/>
      <c r="JR1" s="87" t="n"/>
      <c r="JS1" s="87" t="n"/>
      <c r="JT1" s="87" t="n"/>
      <c r="JU1" s="87" t="n"/>
      <c r="JV1" s="87" t="n"/>
      <c r="JW1" s="87" t="n"/>
      <c r="JX1" s="87" t="n"/>
      <c r="JY1" s="87" t="n"/>
      <c r="JZ1" s="87" t="n"/>
      <c r="KA1" s="87" t="n"/>
      <c r="KB1" s="87" t="n"/>
      <c r="KC1" s="87" t="n"/>
      <c r="KD1" s="87" t="n"/>
      <c r="KE1" s="87" t="n"/>
      <c r="KF1" s="87" t="n"/>
      <c r="KG1" s="87" t="n"/>
      <c r="KH1" s="87" t="n"/>
      <c r="KI1" s="87" t="n"/>
      <c r="KJ1" s="87" t="n"/>
      <c r="KK1" s="87" t="n"/>
      <c r="KL1" s="87" t="n"/>
      <c r="KM1" s="87" t="n"/>
      <c r="KN1" s="87" t="n"/>
      <c r="KO1" s="87" t="n"/>
      <c r="KP1" s="87" t="n"/>
      <c r="KQ1" s="87" t="n"/>
      <c r="KR1" s="87" t="n"/>
      <c r="KS1" s="87" t="n"/>
      <c r="KT1" s="87" t="n"/>
      <c r="KU1" s="87" t="n"/>
      <c r="KV1" s="87" t="n"/>
      <c r="KW1" s="87" t="n"/>
      <c r="KX1" s="87" t="n"/>
      <c r="KY1" s="87" t="n"/>
      <c r="KZ1" s="87" t="n"/>
      <c r="LA1" s="87" t="n"/>
      <c r="LB1" s="87" t="n"/>
      <c r="LC1" s="87" t="n"/>
      <c r="LD1" s="87" t="n"/>
      <c r="LE1" s="87" t="n"/>
      <c r="LF1" s="87" t="n"/>
      <c r="LG1" s="87" t="n"/>
      <c r="LH1" s="87" t="n"/>
      <c r="LI1" s="87" t="n"/>
      <c r="LJ1" s="87" t="n"/>
      <c r="LK1" s="87" t="n"/>
      <c r="LL1" s="87" t="n"/>
      <c r="LM1" s="87" t="n"/>
      <c r="LN1" s="87" t="n"/>
      <c r="LO1" s="87" t="n"/>
      <c r="LP1" s="87" t="n"/>
      <c r="LQ1" s="87" t="n"/>
      <c r="LR1" s="87" t="n"/>
      <c r="LS1" s="87" t="n"/>
      <c r="LT1" s="87" t="n"/>
      <c r="LU1" s="87" t="n"/>
      <c r="LV1" s="87" t="n"/>
      <c r="LW1" s="87" t="n"/>
      <c r="LX1" s="87" t="n"/>
      <c r="LY1" s="87" t="n"/>
      <c r="LZ1" s="87" t="n"/>
      <c r="MA1" s="87" t="n"/>
      <c r="MB1" s="87" t="n"/>
      <c r="MC1" s="87" t="n"/>
      <c r="MD1" s="87" t="n"/>
      <c r="ME1" s="87" t="n"/>
      <c r="MF1" s="87" t="n"/>
      <c r="MG1" s="87" t="n"/>
      <c r="MH1" s="87" t="n"/>
      <c r="MI1" s="87" t="n"/>
      <c r="MJ1" s="87" t="n"/>
      <c r="MK1" s="87" t="n"/>
      <c r="ML1" s="87" t="n"/>
      <c r="MM1" s="87" t="n"/>
      <c r="MN1" s="87" t="n"/>
      <c r="MO1" s="87" t="n"/>
      <c r="MP1" s="87" t="n"/>
      <c r="MQ1" s="87" t="n"/>
      <c r="MR1" s="87" t="n"/>
      <c r="MS1" s="87" t="n"/>
      <c r="MT1" s="87" t="n"/>
      <c r="MU1" s="87" t="n"/>
      <c r="MV1" s="87" t="n"/>
      <c r="MW1" s="87" t="n"/>
      <c r="MX1" s="87" t="n"/>
      <c r="MY1" s="87" t="n"/>
      <c r="MZ1" s="87" t="n"/>
      <c r="NA1" s="87" t="n"/>
      <c r="NB1" s="87" t="n"/>
      <c r="NC1" s="87" t="n"/>
      <c r="ND1" s="87" t="n"/>
      <c r="NE1" s="87" t="n"/>
      <c r="NF1" s="87" t="n"/>
      <c r="NG1" s="87" t="n"/>
      <c r="NH1" s="87" t="n"/>
      <c r="NI1" s="87" t="n"/>
      <c r="NJ1" s="87" t="n"/>
      <c r="NK1" s="87" t="n"/>
      <c r="NL1" s="87" t="n"/>
      <c r="NM1" s="87" t="n"/>
      <c r="NN1" s="87" t="n"/>
      <c r="NO1" s="87" t="n"/>
      <c r="NP1" s="87" t="n"/>
      <c r="NQ1" s="87" t="n"/>
      <c r="NR1" s="87" t="n"/>
      <c r="NS1" s="87" t="n"/>
      <c r="NT1" s="87" t="n"/>
      <c r="NU1" s="87" t="n"/>
      <c r="NV1" s="87" t="n"/>
      <c r="NW1" s="87" t="n"/>
      <c r="NX1" s="87" t="n"/>
      <c r="NY1" s="87" t="n"/>
      <c r="NZ1" s="87" t="n"/>
      <c r="OA1" s="87" t="n"/>
      <c r="OB1" s="87" t="n"/>
      <c r="OC1" s="87" t="n"/>
      <c r="OD1" s="87" t="n"/>
      <c r="OE1" s="87" t="n"/>
      <c r="OF1" s="87" t="n"/>
      <c r="OG1" s="87" t="n"/>
      <c r="OH1" s="87" t="n"/>
      <c r="OI1" s="87" t="n"/>
      <c r="OJ1" s="87" t="n"/>
      <c r="OK1" s="87" t="n"/>
      <c r="OL1" s="87" t="n"/>
      <c r="OM1" s="87" t="n"/>
      <c r="ON1" s="87" t="n"/>
      <c r="OO1" s="87" t="n"/>
      <c r="OP1" s="87" t="n"/>
      <c r="OQ1" s="87" t="n"/>
      <c r="OR1" s="87" t="n"/>
      <c r="OS1" s="87" t="n"/>
      <c r="OT1" s="87" t="n"/>
      <c r="OU1" s="87" t="n"/>
      <c r="OV1" s="87" t="n"/>
      <c r="OW1" s="87" t="n"/>
      <c r="OX1" s="87" t="n"/>
      <c r="OY1" s="87" t="n"/>
      <c r="OZ1" s="87" t="n"/>
      <c r="PA1" s="87" t="n"/>
      <c r="PB1" s="87" t="n"/>
      <c r="PC1" s="87" t="n"/>
      <c r="PD1" s="87" t="n"/>
      <c r="PE1" s="87" t="n"/>
      <c r="PF1" s="87" t="n"/>
      <c r="PG1" s="87" t="n"/>
      <c r="PH1" s="87" t="n"/>
      <c r="PI1" s="87" t="n"/>
      <c r="PJ1" s="87" t="n"/>
      <c r="PK1" s="87" t="n"/>
      <c r="PL1" s="87" t="n"/>
      <c r="PM1" s="87" t="n"/>
      <c r="PN1" s="87" t="n"/>
      <c r="PO1" s="87" t="n"/>
      <c r="PP1" s="87" t="n"/>
      <c r="PQ1" s="87" t="n"/>
      <c r="PR1" s="87" t="n"/>
      <c r="PS1" s="87" t="n"/>
      <c r="PT1" s="87" t="n"/>
      <c r="PU1" s="87" t="n"/>
      <c r="PV1" s="87" t="n"/>
      <c r="PW1" s="87" t="n"/>
      <c r="PX1" s="87" t="n"/>
      <c r="PY1" s="87" t="n"/>
      <c r="PZ1" s="87" t="n"/>
      <c r="QA1" s="87" t="n"/>
      <c r="QB1" s="87" t="n"/>
      <c r="QC1" s="87" t="n"/>
      <c r="QD1" s="87" t="n"/>
      <c r="QE1" s="87" t="n"/>
      <c r="QF1" s="87" t="n"/>
      <c r="QG1" s="87" t="n"/>
      <c r="QH1" s="87" t="n"/>
      <c r="QI1" s="87" t="n"/>
      <c r="QJ1" s="87" t="n"/>
      <c r="QK1" s="87" t="n"/>
      <c r="QL1" s="87" t="n"/>
      <c r="QM1" s="87" t="n"/>
      <c r="QN1" s="87" t="n"/>
      <c r="QO1" s="87" t="n"/>
      <c r="QP1" s="87" t="n"/>
      <c r="QQ1" s="87" t="n"/>
      <c r="QR1" s="87" t="n"/>
      <c r="QS1" s="87" t="n"/>
      <c r="QT1" s="87" t="n"/>
      <c r="QU1" s="87" t="n"/>
      <c r="QV1" s="87" t="n"/>
      <c r="QW1" s="87" t="n"/>
      <c r="QX1" s="87" t="n"/>
      <c r="QY1" s="87" t="n"/>
      <c r="QZ1" s="87" t="n"/>
      <c r="RA1" s="87" t="n"/>
      <c r="RB1" s="87" t="n"/>
      <c r="RC1" s="87" t="n"/>
      <c r="RD1" s="87" t="n"/>
      <c r="RE1" s="87" t="n"/>
      <c r="RF1" s="87" t="n"/>
      <c r="RG1" s="87" t="n"/>
      <c r="RH1" s="87" t="n"/>
      <c r="RI1" s="87" t="n"/>
      <c r="RJ1" s="87" t="n"/>
      <c r="RK1" s="87" t="n"/>
      <c r="RL1" s="87" t="n"/>
      <c r="RM1" s="87" t="n"/>
      <c r="RN1" s="87" t="n"/>
      <c r="RO1" s="87" t="n"/>
      <c r="RP1" s="87" t="n"/>
      <c r="RQ1" s="87" t="n"/>
      <c r="RR1" s="87" t="n"/>
      <c r="RS1" s="87" t="n"/>
      <c r="RT1" s="87" t="n"/>
      <c r="RU1" s="87" t="n"/>
      <c r="RV1" s="87" t="n"/>
      <c r="RW1" s="87" t="n"/>
      <c r="RX1" s="87" t="n"/>
      <c r="RY1" s="87" t="n"/>
      <c r="RZ1" s="87" t="n"/>
      <c r="SA1" s="87" t="n"/>
      <c r="SB1" s="87" t="n"/>
      <c r="SC1" s="87" t="n"/>
      <c r="SD1" s="87" t="n"/>
      <c r="SE1" s="87" t="n"/>
      <c r="SF1" s="87" t="n"/>
      <c r="SG1" s="87" t="n"/>
      <c r="SH1" s="87" t="n"/>
      <c r="SI1" s="87" t="n"/>
      <c r="SJ1" s="87" t="n"/>
      <c r="SK1" s="87" t="n"/>
      <c r="SL1" s="87" t="n"/>
      <c r="SM1" s="87" t="n"/>
      <c r="SN1" s="87" t="n"/>
      <c r="SO1" s="87" t="n"/>
      <c r="SP1" s="87" t="n"/>
      <c r="SQ1" s="87" t="n"/>
      <c r="SR1" s="87" t="n"/>
      <c r="SS1" s="87" t="n"/>
      <c r="ST1" s="87" t="n"/>
      <c r="SU1" s="87" t="n"/>
      <c r="SV1" s="87" t="n"/>
      <c r="SW1" s="87" t="n"/>
      <c r="SX1" s="87" t="n"/>
      <c r="SY1" s="87" t="n"/>
      <c r="SZ1" s="87" t="n"/>
      <c r="TA1" s="87" t="n"/>
      <c r="TB1" s="87" t="n"/>
      <c r="TC1" s="87" t="n"/>
      <c r="TD1" s="87" t="n"/>
      <c r="TE1" s="87" t="n"/>
      <c r="TF1" s="87" t="n"/>
      <c r="TG1" s="87" t="n"/>
      <c r="TH1" s="87" t="n"/>
      <c r="TI1" s="87" t="n"/>
      <c r="TJ1" s="87" t="n"/>
      <c r="TK1" s="87" t="n"/>
      <c r="TL1" s="87" t="n"/>
      <c r="TM1" s="87" t="n"/>
      <c r="TN1" s="87" t="n"/>
      <c r="TO1" s="87" t="n"/>
      <c r="TP1" s="87" t="n"/>
      <c r="TQ1" s="87" t="n"/>
      <c r="TR1" s="87" t="n"/>
      <c r="TS1" s="87" t="n"/>
      <c r="TT1" s="87" t="n"/>
      <c r="TU1" s="87" t="n"/>
      <c r="TV1" s="87" t="n"/>
      <c r="TW1" s="87" t="n"/>
      <c r="TX1" s="87" t="n"/>
      <c r="TY1" s="87" t="n"/>
      <c r="TZ1" s="87" t="n"/>
      <c r="UA1" s="87" t="n"/>
      <c r="UB1" s="87" t="n"/>
      <c r="UC1" s="87" t="n"/>
      <c r="UD1" s="87" t="n"/>
      <c r="UE1" s="87" t="n"/>
      <c r="UF1" s="87" t="n"/>
      <c r="UG1" s="87" t="n"/>
      <c r="UH1" s="87" t="n"/>
      <c r="UI1" s="87" t="n"/>
      <c r="UJ1" s="87" t="n"/>
      <c r="UK1" s="87" t="n"/>
      <c r="UL1" s="87" t="n"/>
      <c r="UM1" s="87" t="n"/>
      <c r="UN1" s="87" t="n"/>
      <c r="UO1" s="87" t="n"/>
      <c r="UP1" s="87" t="n"/>
      <c r="UQ1" s="87" t="n"/>
      <c r="UR1" s="87" t="n"/>
      <c r="US1" s="87" t="n"/>
      <c r="UT1" s="87" t="n"/>
      <c r="UU1" s="87" t="n"/>
      <c r="UV1" s="87" t="n"/>
      <c r="UW1" s="87" t="n"/>
      <c r="UX1" s="87" t="n"/>
      <c r="UY1" s="87" t="n"/>
      <c r="UZ1" s="87" t="n"/>
      <c r="VA1" s="87" t="n"/>
      <c r="VB1" s="87" t="n"/>
      <c r="VC1" s="87" t="n"/>
      <c r="VD1" s="87" t="n"/>
      <c r="VE1" s="87" t="n"/>
      <c r="VF1" s="87" t="n"/>
      <c r="VG1" s="87" t="n"/>
      <c r="VH1" s="87" t="n"/>
      <c r="VI1" s="87" t="n"/>
      <c r="VJ1" s="87" t="n"/>
      <c r="VK1" s="87" t="n"/>
      <c r="VL1" s="87" t="n"/>
      <c r="VM1" s="87" t="n"/>
      <c r="VN1" s="87" t="n"/>
      <c r="VO1" s="87" t="n"/>
      <c r="VP1" s="87" t="n"/>
      <c r="VQ1" s="87" t="n"/>
      <c r="VR1" s="87" t="n"/>
      <c r="VS1" s="87" t="n"/>
      <c r="VT1" s="87" t="n"/>
      <c r="VU1" s="87" t="n"/>
      <c r="VV1" s="87" t="n"/>
      <c r="VW1" s="87" t="n"/>
      <c r="VX1" s="87" t="n"/>
      <c r="VY1" s="87" t="n"/>
      <c r="VZ1" s="87" t="n"/>
      <c r="WA1" s="87" t="n"/>
      <c r="WB1" s="87" t="n"/>
      <c r="WC1" s="87" t="n"/>
      <c r="WD1" s="87" t="n"/>
      <c r="WE1" s="87" t="n"/>
      <c r="WF1" s="87" t="n"/>
      <c r="WG1" s="87" t="n"/>
      <c r="WH1" s="87" t="n"/>
      <c r="WI1" s="87" t="n"/>
      <c r="WJ1" s="87" t="n"/>
      <c r="WK1" s="87" t="n"/>
      <c r="WL1" s="87" t="n"/>
      <c r="WM1" s="87" t="n"/>
      <c r="WN1" s="87" t="n"/>
      <c r="WO1" s="87" t="n"/>
      <c r="WP1" s="87" t="n"/>
      <c r="WQ1" s="87" t="n"/>
      <c r="WR1" s="87" t="n"/>
      <c r="WS1" s="87" t="n"/>
      <c r="WT1" s="87" t="n"/>
      <c r="WU1" s="87" t="n"/>
      <c r="WV1" s="87" t="n"/>
      <c r="WW1" s="87" t="n"/>
      <c r="WX1" s="87" t="n"/>
      <c r="WY1" s="87" t="n"/>
      <c r="WZ1" s="87" t="n"/>
      <c r="XA1" s="87" t="n"/>
      <c r="XB1" s="87" t="n"/>
      <c r="XC1" s="87" t="n"/>
      <c r="XD1" s="87" t="n"/>
      <c r="XE1" s="87" t="n"/>
      <c r="XF1" s="87" t="n"/>
      <c r="XG1" s="87" t="n"/>
      <c r="XH1" s="87" t="n"/>
      <c r="XI1" s="87" t="n"/>
      <c r="XJ1" s="87" t="n"/>
      <c r="XK1" s="87" t="n"/>
      <c r="XL1" s="87" t="n"/>
      <c r="XM1" s="87" t="n"/>
      <c r="XN1" s="87" t="n"/>
      <c r="XO1" s="87" t="n"/>
      <c r="XP1" s="87" t="n"/>
      <c r="XQ1" s="87" t="n"/>
      <c r="XR1" s="87" t="n"/>
      <c r="XS1" s="87" t="n"/>
      <c r="XT1" s="87" t="n"/>
      <c r="XU1" s="87" t="n"/>
      <c r="XV1" s="87" t="n"/>
      <c r="XW1" s="87" t="n"/>
      <c r="XX1" s="87" t="n"/>
      <c r="XY1" s="87" t="n"/>
      <c r="XZ1" s="87" t="n"/>
      <c r="YA1" s="87" t="n"/>
      <c r="YB1" s="87" t="n"/>
      <c r="YC1" s="87" t="n"/>
      <c r="YD1" s="87" t="n"/>
      <c r="YE1" s="87" t="n"/>
      <c r="YF1" s="87" t="n"/>
      <c r="YG1" s="87" t="n"/>
      <c r="YH1" s="87" t="n"/>
      <c r="YI1" s="87" t="n"/>
      <c r="YJ1" s="87" t="n"/>
      <c r="YK1" s="87" t="n"/>
      <c r="YL1" s="87" t="n"/>
      <c r="YM1" s="87" t="n"/>
      <c r="YN1" s="87" t="n"/>
      <c r="YO1" s="87" t="n"/>
      <c r="YP1" s="87" t="n"/>
      <c r="YQ1" s="87" t="n"/>
      <c r="YR1" s="87" t="n"/>
      <c r="YS1" s="87" t="n"/>
      <c r="YT1" s="87" t="n"/>
      <c r="YU1" s="87" t="n"/>
      <c r="YV1" s="87" t="n"/>
      <c r="YW1" s="87" t="n"/>
      <c r="YX1" s="87" t="n"/>
      <c r="YY1" s="87" t="n"/>
      <c r="YZ1" s="87" t="n"/>
      <c r="ZA1" s="87" t="n"/>
      <c r="ZB1" s="87" t="n"/>
      <c r="ZC1" s="87" t="n"/>
      <c r="ZD1" s="87" t="n"/>
      <c r="ZE1" s="87" t="n"/>
      <c r="ZF1" s="87" t="n"/>
      <c r="ZG1" s="87" t="n"/>
      <c r="ZH1" s="87" t="n"/>
      <c r="ZI1" s="87" t="n"/>
      <c r="ZJ1" s="87" t="n"/>
      <c r="ZK1" s="87" t="n"/>
      <c r="ZL1" s="87" t="n"/>
      <c r="ZM1" s="87" t="n"/>
      <c r="ZN1" s="87" t="n"/>
      <c r="ZO1" s="87" t="n"/>
      <c r="ZP1" s="87" t="n"/>
      <c r="ZQ1" s="87" t="n"/>
      <c r="ZR1" s="87" t="n"/>
      <c r="ZS1" s="87" t="n"/>
      <c r="ZT1" s="87" t="n"/>
      <c r="ZU1" s="87" t="n"/>
      <c r="ZV1" s="87" t="n"/>
      <c r="ZW1" s="87" t="n"/>
      <c r="ZX1" s="87" t="n"/>
      <c r="ZY1" s="87" t="n"/>
      <c r="ZZ1" s="87" t="n"/>
      <c r="AAA1" s="87" t="n"/>
      <c r="AAB1" s="87" t="n"/>
      <c r="AAC1" s="87" t="n"/>
      <c r="AAD1" s="87" t="n"/>
      <c r="AAE1" s="87" t="n"/>
      <c r="AAF1" s="87" t="n"/>
      <c r="AAG1" s="87" t="n"/>
      <c r="AAH1" s="87" t="n"/>
      <c r="AAI1" s="87" t="n"/>
      <c r="AAJ1" s="87" t="n"/>
      <c r="AAK1" s="87" t="n"/>
      <c r="AAL1" s="87" t="n"/>
      <c r="AAM1" s="87" t="n"/>
      <c r="AAN1" s="87" t="n"/>
      <c r="AAO1" s="87" t="n"/>
      <c r="AAP1" s="87" t="n"/>
      <c r="AAQ1" s="87" t="n"/>
      <c r="AAR1" s="87" t="n"/>
      <c r="AAS1" s="87" t="n"/>
      <c r="AAT1" s="87" t="n"/>
      <c r="AAU1" s="87" t="n"/>
      <c r="AAV1" s="87" t="n"/>
      <c r="AAW1" s="87" t="n"/>
      <c r="AAX1" s="87" t="n"/>
      <c r="AAY1" s="87" t="n"/>
      <c r="AAZ1" s="87" t="n"/>
      <c r="ABA1" s="87" t="n"/>
      <c r="ABB1" s="87" t="n"/>
      <c r="ABC1" s="87" t="n"/>
      <c r="ABD1" s="87" t="n"/>
      <c r="ABE1" s="87" t="n"/>
      <c r="ABF1" s="87" t="n"/>
      <c r="ABG1" s="87" t="n"/>
      <c r="ABH1" s="87" t="n"/>
      <c r="ABI1" s="87" t="n"/>
      <c r="ABJ1" s="87" t="n"/>
      <c r="ABK1" s="87" t="n"/>
      <c r="ABL1" s="87" t="n"/>
      <c r="ABM1" s="87" t="n"/>
      <c r="ABN1" s="87" t="n"/>
      <c r="ABO1" s="87" t="n"/>
      <c r="ABP1" s="87" t="n"/>
      <c r="ABQ1" s="87" t="n"/>
      <c r="ABR1" s="87" t="n"/>
      <c r="ABS1" s="87" t="n"/>
      <c r="ABT1" s="87" t="n"/>
      <c r="ABU1" s="87" t="n"/>
      <c r="ABV1" s="87" t="n"/>
      <c r="ABW1" s="87" t="n"/>
      <c r="ABX1" s="87" t="n"/>
      <c r="ABY1" s="87" t="n"/>
      <c r="ABZ1" s="87" t="n"/>
      <c r="ACA1" s="87" t="n"/>
      <c r="ACB1" s="87" t="n"/>
      <c r="ACC1" s="87" t="n"/>
      <c r="ACD1" s="87" t="n"/>
      <c r="ACE1" s="87" t="n"/>
      <c r="ACF1" s="87" t="n"/>
      <c r="ACG1" s="87" t="n"/>
      <c r="ACH1" s="87" t="n"/>
      <c r="ACI1" s="87" t="n"/>
      <c r="ACJ1" s="87" t="n"/>
      <c r="ACK1" s="87" t="n"/>
      <c r="ACL1" s="87" t="n"/>
      <c r="ACM1" s="87" t="n"/>
      <c r="ACN1" s="87" t="n"/>
      <c r="ACO1" s="87" t="n"/>
      <c r="ACP1" s="87" t="n"/>
      <c r="ACQ1" s="87" t="n"/>
      <c r="ACR1" s="87" t="n"/>
      <c r="ACS1" s="87" t="n"/>
      <c r="ACT1" s="87" t="n"/>
      <c r="ACU1" s="87" t="n"/>
      <c r="ACV1" s="87" t="n"/>
      <c r="ACW1" s="87" t="n"/>
      <c r="ACX1" s="87" t="n"/>
      <c r="ACY1" s="87" t="n"/>
      <c r="ACZ1" s="87" t="n"/>
      <c r="ADA1" s="87" t="n"/>
      <c r="ADB1" s="87" t="n"/>
      <c r="ADC1" s="87" t="n"/>
      <c r="ADD1" s="87" t="n"/>
      <c r="ADE1" s="87" t="n"/>
      <c r="ADF1" s="87" t="n"/>
      <c r="ADG1" s="87" t="n"/>
      <c r="ADH1" s="87" t="n"/>
      <c r="ADI1" s="87" t="n"/>
      <c r="ADJ1" s="87" t="n"/>
      <c r="ADK1" s="87" t="n"/>
      <c r="ADL1" s="87" t="n"/>
      <c r="ADM1" s="87" t="n"/>
      <c r="ADN1" s="87" t="n"/>
      <c r="ADO1" s="87" t="n"/>
      <c r="ADP1" s="87" t="n"/>
      <c r="ADQ1" s="87" t="n"/>
      <c r="ADR1" s="87" t="n"/>
      <c r="ADS1" s="87" t="n"/>
      <c r="ADT1" s="87" t="n"/>
      <c r="ADU1" s="87" t="n"/>
      <c r="ADV1" s="87" t="n"/>
      <c r="ADW1" s="87" t="n"/>
      <c r="ADX1" s="87" t="n"/>
      <c r="ADY1" s="87" t="n"/>
      <c r="ADZ1" s="87" t="n"/>
      <c r="AEA1" s="87" t="n"/>
      <c r="AEB1" s="87" t="n"/>
      <c r="AEC1" s="87" t="n"/>
      <c r="AED1" s="87" t="n"/>
      <c r="AEE1" s="87" t="n"/>
      <c r="AEF1" s="87" t="n"/>
      <c r="AEG1" s="87" t="n"/>
      <c r="AEH1" s="87" t="n"/>
      <c r="AEI1" s="87" t="n"/>
      <c r="AEJ1" s="87" t="n"/>
      <c r="AEK1" s="87" t="n"/>
      <c r="AEL1" s="87" t="n"/>
      <c r="AEM1" s="87" t="n"/>
      <c r="AEN1" s="87" t="n"/>
      <c r="AEO1" s="87" t="n"/>
      <c r="AEP1" s="87" t="n"/>
      <c r="AEQ1" s="87" t="n"/>
      <c r="AER1" s="87" t="n"/>
      <c r="AES1" s="87" t="n"/>
      <c r="AET1" s="87" t="n"/>
      <c r="AEU1" s="87" t="n"/>
      <c r="AEV1" s="87" t="n"/>
      <c r="AEW1" s="87" t="n"/>
      <c r="AEX1" s="87" t="n"/>
      <c r="AEY1" s="87" t="n"/>
      <c r="AEZ1" s="87" t="n"/>
      <c r="AFA1" s="87" t="n"/>
      <c r="AFB1" s="87" t="n"/>
      <c r="AFC1" s="87" t="n"/>
      <c r="AFD1" s="87" t="n"/>
      <c r="AFE1" s="87" t="n"/>
      <c r="AFF1" s="87" t="n"/>
      <c r="AFG1" s="87" t="n"/>
      <c r="AFH1" s="87" t="n"/>
      <c r="AFI1" s="87" t="n"/>
      <c r="AFJ1" s="87" t="n"/>
      <c r="AFK1" s="87" t="n"/>
      <c r="AFL1" s="87" t="n"/>
      <c r="AFM1" s="87" t="n"/>
      <c r="AFN1" s="87" t="n"/>
      <c r="AFO1" s="87" t="n"/>
      <c r="AFP1" s="87" t="n"/>
      <c r="AFQ1" s="87" t="n"/>
      <c r="AFR1" s="87" t="n"/>
      <c r="AFS1" s="87" t="n"/>
      <c r="AFT1" s="87" t="n"/>
      <c r="AFU1" s="87" t="n"/>
      <c r="AFV1" s="87" t="n"/>
      <c r="AFW1" s="87" t="n"/>
      <c r="AFX1" s="87" t="n"/>
      <c r="AFY1" s="87" t="n"/>
      <c r="AFZ1" s="87" t="n"/>
      <c r="AGA1" s="87" t="n"/>
      <c r="AGB1" s="87" t="n"/>
      <c r="AGC1" s="87" t="n"/>
      <c r="AGD1" s="87" t="n"/>
      <c r="AGE1" s="87" t="n"/>
      <c r="AGF1" s="87" t="n"/>
      <c r="AGG1" s="87" t="n"/>
      <c r="AGH1" s="87" t="n"/>
      <c r="AGI1" s="87" t="n"/>
      <c r="AGJ1" s="87" t="n"/>
      <c r="AGK1" s="87" t="n"/>
      <c r="AGL1" s="87" t="n"/>
      <c r="AGM1" s="87" t="n"/>
      <c r="AGN1" s="87" t="n"/>
      <c r="AGO1" s="87" t="n"/>
      <c r="AGP1" s="87" t="n"/>
      <c r="AGQ1" s="87" t="n"/>
      <c r="AGR1" s="87" t="n"/>
      <c r="AGS1" s="87" t="n"/>
      <c r="AGT1" s="87" t="n"/>
      <c r="AGU1" s="87" t="n"/>
      <c r="AGV1" s="87" t="n"/>
      <c r="AGW1" s="87" t="n"/>
      <c r="AGX1" s="87" t="n"/>
      <c r="AGY1" s="87" t="n"/>
      <c r="AGZ1" s="87" t="n"/>
      <c r="AHA1" s="87" t="n"/>
      <c r="AHB1" s="87" t="n"/>
      <c r="AHC1" s="87" t="n"/>
      <c r="AHD1" s="87" t="n"/>
      <c r="AHE1" s="87" t="n"/>
      <c r="AHF1" s="87" t="n"/>
      <c r="AHG1" s="87" t="n"/>
      <c r="AHH1" s="87" t="n"/>
      <c r="AHI1" s="87" t="n"/>
      <c r="AHJ1" s="87" t="n"/>
      <c r="AHK1" s="87" t="n"/>
      <c r="AHL1" s="87" t="n"/>
      <c r="AHM1" s="87" t="n"/>
      <c r="AHN1" s="87" t="n"/>
      <c r="AHO1" s="87" t="n"/>
      <c r="AHP1" s="87" t="n"/>
      <c r="AHQ1" s="87" t="n"/>
      <c r="AHR1" s="87" t="n"/>
      <c r="AHS1" s="87" t="n"/>
      <c r="AHT1" s="87" t="n"/>
      <c r="AHU1" s="87" t="n"/>
      <c r="AHV1" s="87" t="n"/>
      <c r="AHW1" s="87" t="n"/>
      <c r="AHX1" s="87" t="n"/>
      <c r="AHY1" s="87" t="n"/>
      <c r="AHZ1" s="87" t="n"/>
      <c r="AIA1" s="87" t="n"/>
      <c r="AIB1" s="87" t="n"/>
      <c r="AIC1" s="87" t="n"/>
      <c r="AID1" s="87" t="n"/>
      <c r="AIE1" s="87" t="n"/>
      <c r="AIF1" s="87" t="n"/>
      <c r="AIG1" s="87" t="n"/>
      <c r="AIH1" s="87" t="n"/>
      <c r="AII1" s="87" t="n"/>
      <c r="AIJ1" s="87" t="n"/>
      <c r="AIK1" s="87" t="n"/>
      <c r="AIL1" s="87" t="n"/>
      <c r="AIM1" s="87" t="n"/>
      <c r="AIN1" s="87" t="n"/>
      <c r="AIO1" s="87" t="n"/>
      <c r="AIP1" s="87" t="n"/>
      <c r="AIQ1" s="87" t="n"/>
      <c r="AIR1" s="87" t="n"/>
      <c r="AIS1" s="87" t="n"/>
      <c r="AIT1" s="87" t="n"/>
      <c r="AIU1" s="87" t="n"/>
      <c r="AIV1" s="87" t="n"/>
      <c r="AIW1" s="87" t="n"/>
      <c r="AIX1" s="87" t="n"/>
      <c r="AIY1" s="87" t="n"/>
      <c r="AIZ1" s="87" t="n"/>
      <c r="AJA1" s="87" t="n"/>
      <c r="AJB1" s="87" t="n"/>
      <c r="AJC1" s="87" t="n"/>
      <c r="AJD1" s="87" t="n"/>
      <c r="AJE1" s="87" t="n"/>
      <c r="AJF1" s="87" t="n"/>
      <c r="AJG1" s="87" t="n"/>
      <c r="AJH1" s="87" t="n"/>
      <c r="AJI1" s="87" t="n"/>
      <c r="AJJ1" s="87" t="n"/>
      <c r="AJK1" s="87" t="n"/>
      <c r="AJL1" s="87" t="n"/>
      <c r="AJM1" s="87" t="n"/>
      <c r="AJN1" s="87" t="n"/>
      <c r="AJO1" s="87" t="n"/>
      <c r="AJP1" s="87" t="n"/>
      <c r="AJQ1" s="87" t="n"/>
      <c r="AJR1" s="87" t="n"/>
      <c r="AJS1" s="87" t="n"/>
      <c r="AJT1" s="87" t="n"/>
      <c r="AJU1" s="87" t="n"/>
      <c r="AJV1" s="87" t="n"/>
      <c r="AJW1" s="87" t="n"/>
      <c r="AJX1" s="87" t="n"/>
      <c r="AJY1" s="87" t="n"/>
      <c r="AJZ1" s="87" t="n"/>
      <c r="AKA1" s="87" t="n"/>
      <c r="AKB1" s="87" t="n"/>
      <c r="AKC1" s="87" t="n"/>
      <c r="AKD1" s="87" t="n"/>
      <c r="AKE1" s="87" t="n"/>
      <c r="AKF1" s="87" t="n"/>
      <c r="AKG1" s="87" t="n"/>
      <c r="AKH1" s="87" t="n"/>
      <c r="AKI1" s="87" t="n"/>
      <c r="AKJ1" s="87" t="n"/>
      <c r="AKK1" s="87" t="n"/>
      <c r="AKL1" s="87" t="n"/>
      <c r="AKM1" s="87" t="n"/>
      <c r="AKN1" s="87" t="n"/>
      <c r="AKO1" s="87" t="n"/>
      <c r="AKP1" s="87" t="n"/>
      <c r="AKQ1" s="87" t="n"/>
      <c r="AKR1" s="87" t="n"/>
      <c r="AKS1" s="87" t="n"/>
      <c r="AKT1" s="87" t="n"/>
      <c r="AKU1" s="87" t="n"/>
      <c r="AKV1" s="87" t="n"/>
      <c r="AKW1" s="87" t="n"/>
      <c r="AKX1" s="87" t="n"/>
      <c r="AKY1" s="87" t="n"/>
      <c r="AKZ1" s="87" t="n"/>
      <c r="ALA1" s="87" t="n"/>
      <c r="ALB1" s="87" t="n"/>
      <c r="ALC1" s="87" t="n"/>
      <c r="ALD1" s="87" t="n"/>
      <c r="ALE1" s="87" t="n"/>
      <c r="ALF1" s="87" t="n"/>
      <c r="ALG1" s="87" t="n"/>
      <c r="ALH1" s="87" t="n"/>
      <c r="ALI1" s="87" t="n"/>
      <c r="ALJ1" s="87" t="n"/>
      <c r="ALK1" s="87" t="n"/>
      <c r="ALL1" s="87" t="n"/>
      <c r="ALM1" s="87" t="n"/>
      <c r="ALN1" s="87" t="n"/>
      <c r="ALO1" s="87" t="n"/>
      <c r="ALP1" s="87" t="n"/>
      <c r="ALQ1" s="87" t="n"/>
      <c r="ALR1" s="87" t="n"/>
      <c r="ALS1" s="87" t="n"/>
      <c r="ALT1" s="87" t="n"/>
      <c r="ALU1" s="87" t="n"/>
      <c r="ALV1" s="87" t="n"/>
      <c r="ALW1" s="87" t="n"/>
      <c r="ALX1" s="87" t="n"/>
      <c r="ALY1" s="87" t="n"/>
      <c r="ALZ1" s="87" t="n"/>
      <c r="AMA1" s="87" t="n"/>
      <c r="AMB1" s="87" t="n"/>
      <c r="AMC1" s="87" t="n"/>
      <c r="AMD1" s="87" t="n"/>
      <c r="AME1" s="87" t="n"/>
      <c r="AMF1" s="87" t="n"/>
      <c r="AMG1" s="87" t="n"/>
      <c r="AMH1" s="87" t="n"/>
      <c r="AMI1" s="87" t="n"/>
      <c r="AMJ1" s="87" t="n"/>
      <c r="AMK1" s="87" t="n"/>
      <c r="AML1" s="87" t="n"/>
      <c r="AMM1" s="87" t="n"/>
      <c r="AMN1" s="87" t="n"/>
      <c r="AMO1" s="87" t="n"/>
      <c r="AMP1" s="87" t="n"/>
      <c r="AMQ1" s="87" t="n"/>
      <c r="AMR1" s="87" t="n"/>
      <c r="AMS1" s="87" t="n"/>
      <c r="AMT1" s="87" t="n"/>
      <c r="AMU1" s="87" t="n"/>
      <c r="AMV1" s="87" t="n"/>
      <c r="AMW1" s="87" t="n"/>
      <c r="AMX1" s="87" t="n"/>
      <c r="AMY1" s="87" t="n"/>
      <c r="AMZ1" s="87" t="n"/>
      <c r="ANA1" s="87" t="n"/>
      <c r="ANB1" s="87" t="n"/>
      <c r="ANC1" s="87" t="n"/>
      <c r="AND1" s="87" t="n"/>
      <c r="ANE1" s="87" t="n"/>
      <c r="ANF1" s="87" t="n"/>
      <c r="ANG1" s="87" t="n"/>
      <c r="ANH1" s="87" t="n"/>
      <c r="ANI1" s="87" t="n"/>
      <c r="ANJ1" s="87" t="n"/>
      <c r="ANK1" s="87" t="n"/>
      <c r="ANL1" s="87" t="n"/>
      <c r="ANM1" s="87" t="n"/>
      <c r="ANN1" s="87" t="n"/>
      <c r="ANO1" s="87" t="n"/>
      <c r="ANP1" s="87" t="n"/>
      <c r="ANQ1" s="87" t="n"/>
      <c r="ANR1" s="87" t="n"/>
      <c r="ANS1" s="87" t="n"/>
      <c r="ANT1" s="87" t="n"/>
      <c r="ANU1" s="87" t="n"/>
      <c r="ANV1" s="87" t="n"/>
      <c r="ANW1" s="87" t="n"/>
      <c r="ANX1" s="87" t="n"/>
      <c r="ANY1" s="87" t="n"/>
      <c r="ANZ1" s="87" t="n"/>
      <c r="AOA1" s="87" t="n"/>
      <c r="AOB1" s="87" t="n"/>
      <c r="AOC1" s="87" t="n"/>
      <c r="AOD1" s="87" t="n"/>
      <c r="AOE1" s="87" t="n"/>
      <c r="AOF1" s="87" t="n"/>
      <c r="AOG1" s="87" t="n"/>
      <c r="AOH1" s="87" t="n"/>
      <c r="AOI1" s="87" t="n"/>
      <c r="AOJ1" s="87" t="n"/>
      <c r="AOK1" s="87" t="n"/>
      <c r="AOL1" s="87" t="n"/>
      <c r="AOM1" s="87" t="n"/>
      <c r="AON1" s="87" t="n"/>
      <c r="AOO1" s="87" t="n"/>
      <c r="AOP1" s="87" t="n"/>
      <c r="AOQ1" s="87" t="n"/>
      <c r="AOR1" s="87" t="n"/>
      <c r="AOS1" s="87" t="n"/>
      <c r="AOT1" s="87" t="n"/>
      <c r="AOU1" s="87" t="n"/>
      <c r="AOV1" s="87" t="n"/>
      <c r="AOW1" s="87" t="n"/>
      <c r="AOX1" s="87" t="n"/>
      <c r="AOY1" s="87" t="n"/>
      <c r="AOZ1" s="87" t="n"/>
      <c r="APA1" s="87" t="n"/>
      <c r="APB1" s="87" t="n"/>
      <c r="APC1" s="87" t="n"/>
      <c r="APD1" s="87" t="n"/>
      <c r="APE1" s="87" t="n"/>
      <c r="APF1" s="87" t="n"/>
      <c r="APG1" s="87" t="n"/>
      <c r="APH1" s="87" t="n"/>
      <c r="API1" s="87" t="n"/>
      <c r="APJ1" s="87" t="n"/>
      <c r="APK1" s="87" t="n"/>
      <c r="APL1" s="87" t="n"/>
      <c r="APM1" s="87" t="n"/>
      <c r="APN1" s="87" t="n"/>
      <c r="APO1" s="87" t="n"/>
      <c r="APP1" s="87" t="n"/>
      <c r="APQ1" s="87" t="n"/>
      <c r="APR1" s="87" t="n"/>
      <c r="APS1" s="87" t="n"/>
      <c r="APT1" s="87" t="n"/>
      <c r="APU1" s="87" t="n"/>
      <c r="APV1" s="87" t="n"/>
      <c r="APW1" s="87" t="n"/>
      <c r="APX1" s="87" t="n"/>
      <c r="APY1" s="87" t="n"/>
      <c r="APZ1" s="87" t="n"/>
      <c r="AQA1" s="87" t="n"/>
      <c r="AQB1" s="87" t="n"/>
      <c r="AQC1" s="87" t="n"/>
      <c r="AQD1" s="87" t="n"/>
      <c r="AQE1" s="87" t="n"/>
      <c r="AQF1" s="87" t="n"/>
      <c r="AQG1" s="87" t="n"/>
      <c r="AQH1" s="87" t="n"/>
      <c r="AQI1" s="87" t="n"/>
      <c r="AQJ1" s="87" t="n"/>
      <c r="AQK1" s="87" t="n"/>
      <c r="AQL1" s="87" t="n"/>
      <c r="AQM1" s="87" t="n"/>
      <c r="AQN1" s="87" t="n"/>
      <c r="AQO1" s="87" t="n"/>
      <c r="AQP1" s="87" t="n"/>
      <c r="AQQ1" s="87" t="n"/>
      <c r="AQR1" s="87" t="n"/>
      <c r="AQS1" s="87" t="n"/>
      <c r="AQT1" s="87" t="n"/>
      <c r="AQU1" s="87" t="n"/>
      <c r="AQV1" s="87" t="n"/>
      <c r="AQW1" s="87" t="n"/>
      <c r="AQX1" s="87" t="n"/>
      <c r="AQY1" s="87" t="n"/>
      <c r="AQZ1" s="87" t="n"/>
      <c r="ARA1" s="87" t="n"/>
      <c r="ARB1" s="87" t="n"/>
      <c r="ARC1" s="87" t="n"/>
      <c r="ARD1" s="87" t="n"/>
      <c r="ARE1" s="87" t="n"/>
      <c r="ARF1" s="87" t="n"/>
      <c r="ARG1" s="87" t="n"/>
      <c r="ARH1" s="87" t="n"/>
      <c r="ARI1" s="87" t="n"/>
      <c r="ARJ1" s="87" t="n"/>
      <c r="ARK1" s="87" t="n"/>
      <c r="ARL1" s="87" t="n"/>
      <c r="ARM1" s="87" t="n"/>
      <c r="ARN1" s="87" t="n"/>
      <c r="ARO1" s="87" t="n"/>
      <c r="ARP1" s="87" t="n"/>
      <c r="ARQ1" s="87" t="n"/>
      <c r="ARR1" s="87" t="n"/>
      <c r="ARS1" s="87" t="n"/>
      <c r="ART1" s="87" t="n"/>
      <c r="ARU1" s="87" t="n"/>
      <c r="ARV1" s="87" t="n"/>
      <c r="ARW1" s="87" t="n"/>
      <c r="ARX1" s="87" t="n"/>
      <c r="ARY1" s="87" t="n"/>
      <c r="ARZ1" s="87" t="n"/>
      <c r="ASA1" s="87" t="n"/>
      <c r="ASB1" s="87" t="n"/>
      <c r="ASC1" s="87" t="n"/>
      <c r="ASD1" s="87" t="n"/>
      <c r="ASE1" s="87" t="n"/>
      <c r="ASF1" s="87" t="n"/>
      <c r="ASG1" s="87" t="n"/>
      <c r="ASH1" s="87" t="n"/>
      <c r="ASI1" s="87" t="n"/>
      <c r="ASJ1" s="87" t="n"/>
      <c r="ASK1" s="87" t="n"/>
      <c r="ASL1" s="87" t="n"/>
      <c r="ASM1" s="87" t="n"/>
      <c r="ASN1" s="87" t="n"/>
      <c r="ASO1" s="87" t="n"/>
      <c r="ASP1" s="87" t="n"/>
      <c r="ASQ1" s="87" t="n"/>
      <c r="ASR1" s="87" t="n"/>
      <c r="ASS1" s="87" t="n"/>
      <c r="AST1" s="87" t="n"/>
      <c r="ASU1" s="87" t="n"/>
      <c r="ASV1" s="87" t="n"/>
      <c r="ASW1" s="87" t="n"/>
      <c r="ASX1" s="87" t="n"/>
      <c r="ASY1" s="87" t="n"/>
      <c r="ASZ1" s="87" t="n"/>
      <c r="ATA1" s="87" t="n"/>
      <c r="ATB1" s="87" t="n"/>
      <c r="ATC1" s="87" t="n"/>
      <c r="ATD1" s="87" t="n"/>
      <c r="ATE1" s="87" t="n"/>
      <c r="ATF1" s="87" t="n"/>
      <c r="ATG1" s="87" t="n"/>
      <c r="ATH1" s="87" t="n"/>
      <c r="ATI1" s="87" t="n"/>
      <c r="ATJ1" s="87" t="n"/>
      <c r="ATK1" s="87" t="n"/>
      <c r="ATL1" s="87" t="n"/>
      <c r="ATM1" s="87" t="n"/>
      <c r="ATN1" s="87" t="n"/>
      <c r="ATO1" s="87" t="n"/>
      <c r="ATP1" s="87" t="n"/>
      <c r="ATQ1" s="87" t="n"/>
      <c r="ATR1" s="87" t="n"/>
      <c r="ATS1" s="87" t="n"/>
      <c r="ATT1" s="87" t="n"/>
      <c r="ATU1" s="87" t="n"/>
      <c r="ATV1" s="87" t="n"/>
      <c r="ATW1" s="87" t="n"/>
      <c r="ATX1" s="87" t="n"/>
      <c r="ATY1" s="87" t="n"/>
      <c r="ATZ1" s="87" t="n"/>
      <c r="AUA1" s="87" t="n"/>
      <c r="AUB1" s="87" t="n"/>
      <c r="AUC1" s="87" t="n"/>
      <c r="AUD1" s="87" t="n"/>
      <c r="AUE1" s="87" t="n"/>
      <c r="AUF1" s="87" t="n"/>
      <c r="AUG1" s="87" t="n"/>
      <c r="AUH1" s="87" t="n"/>
      <c r="AUI1" s="87" t="n"/>
      <c r="AUJ1" s="87" t="n"/>
      <c r="AUK1" s="87" t="n"/>
      <c r="AUL1" s="87" t="n"/>
      <c r="AUM1" s="87" t="n"/>
      <c r="AUN1" s="87" t="n"/>
      <c r="AUO1" s="87" t="n"/>
      <c r="AUP1" s="87" t="n"/>
      <c r="AUQ1" s="87" t="n"/>
      <c r="AUR1" s="87" t="n"/>
      <c r="AUS1" s="87" t="n"/>
      <c r="AUT1" s="87" t="n"/>
      <c r="AUU1" s="87" t="n"/>
      <c r="AUV1" s="87" t="n"/>
      <c r="AUW1" s="87" t="n"/>
      <c r="AUX1" s="87" t="n"/>
      <c r="AUY1" s="87" t="n"/>
      <c r="AUZ1" s="87" t="n"/>
      <c r="AVA1" s="87" t="n"/>
      <c r="AVB1" s="87" t="n"/>
      <c r="AVC1" s="87" t="n"/>
      <c r="AVD1" s="87" t="n"/>
      <c r="AVE1" s="87" t="n"/>
      <c r="AVF1" s="87" t="n"/>
      <c r="AVG1" s="87" t="n"/>
      <c r="AVH1" s="87" t="n"/>
      <c r="AVI1" s="87" t="n"/>
      <c r="AVJ1" s="87" t="n"/>
      <c r="AVK1" s="87" t="n"/>
      <c r="AVL1" s="87" t="n"/>
      <c r="AVM1" s="87" t="n"/>
      <c r="AVN1" s="87" t="n"/>
      <c r="AVO1" s="87" t="n"/>
      <c r="AVP1" s="87" t="n"/>
      <c r="AVQ1" s="87" t="n"/>
      <c r="AVR1" s="87" t="n"/>
      <c r="AVS1" s="87" t="n"/>
      <c r="AVT1" s="87" t="n"/>
      <c r="AVU1" s="87" t="n"/>
      <c r="AVV1" s="87" t="n"/>
      <c r="AVW1" s="87" t="n"/>
      <c r="AVX1" s="87" t="n"/>
      <c r="AVY1" s="87" t="n"/>
      <c r="AVZ1" s="87" t="n"/>
      <c r="AWA1" s="87" t="n"/>
      <c r="AWB1" s="87" t="n"/>
      <c r="AWC1" s="87" t="n"/>
      <c r="AWD1" s="87" t="n"/>
      <c r="AWE1" s="87" t="n"/>
      <c r="AWF1" s="87" t="n"/>
      <c r="AWG1" s="87" t="n"/>
      <c r="AWH1" s="87" t="n"/>
      <c r="AWI1" s="87" t="n"/>
      <c r="AWJ1" s="87" t="n"/>
      <c r="AWK1" s="87" t="n"/>
      <c r="AWL1" s="87" t="n"/>
      <c r="AWM1" s="87" t="n"/>
      <c r="AWN1" s="87" t="n"/>
      <c r="AWO1" s="87" t="n"/>
      <c r="AWP1" s="87" t="n"/>
      <c r="AWQ1" s="87" t="n"/>
      <c r="AWR1" s="87" t="n"/>
      <c r="AWS1" s="87" t="n"/>
      <c r="AWT1" s="87" t="n"/>
      <c r="AWU1" s="87" t="n"/>
      <c r="AWV1" s="87" t="n"/>
      <c r="AWW1" s="87" t="n"/>
      <c r="AWX1" s="87" t="n"/>
      <c r="AWY1" s="87" t="n"/>
      <c r="AWZ1" s="87" t="n"/>
      <c r="AXA1" s="87" t="n"/>
      <c r="AXB1" s="87" t="n"/>
      <c r="AXC1" s="87" t="n"/>
      <c r="AXD1" s="87" t="n"/>
      <c r="AXE1" s="87" t="n"/>
      <c r="AXF1" s="87" t="n"/>
      <c r="AXG1" s="87" t="n"/>
      <c r="AXH1" s="87" t="n"/>
      <c r="AXI1" s="87" t="n"/>
      <c r="AXJ1" s="87" t="n"/>
      <c r="AXK1" s="87" t="n"/>
      <c r="AXL1" s="87" t="n"/>
      <c r="AXM1" s="87" t="n"/>
      <c r="AXN1" s="87" t="n"/>
      <c r="AXO1" s="87" t="n"/>
      <c r="AXP1" s="87" t="n"/>
      <c r="AXQ1" s="87" t="n"/>
      <c r="AXR1" s="87" t="n"/>
      <c r="AXS1" s="87" t="n"/>
      <c r="AXT1" s="87" t="n"/>
      <c r="AXU1" s="87" t="n"/>
      <c r="AXV1" s="87" t="n"/>
      <c r="AXW1" s="87" t="n"/>
      <c r="AXX1" s="87" t="n"/>
      <c r="AXY1" s="87" t="n"/>
      <c r="AXZ1" s="87" t="n"/>
      <c r="AYA1" s="87" t="n"/>
      <c r="AYB1" s="87" t="n"/>
      <c r="AYC1" s="87" t="n"/>
      <c r="AYD1" s="87" t="n"/>
      <c r="AYE1" s="87" t="n"/>
      <c r="AYF1" s="87" t="n"/>
      <c r="AYG1" s="87" t="n"/>
      <c r="AYH1" s="87" t="n"/>
      <c r="AYI1" s="87" t="n"/>
      <c r="AYJ1" s="87" t="n"/>
      <c r="AYK1" s="87" t="n"/>
      <c r="AYL1" s="87" t="n"/>
      <c r="AYM1" s="87" t="n"/>
      <c r="AYN1" s="87" t="n"/>
      <c r="AYO1" s="87" t="n"/>
      <c r="AYP1" s="87" t="n"/>
      <c r="AYQ1" s="87" t="n"/>
      <c r="AYR1" s="87" t="n"/>
      <c r="AYS1" s="87" t="n"/>
      <c r="AYT1" s="87" t="n"/>
      <c r="AYU1" s="87" t="n"/>
      <c r="AYV1" s="87" t="n"/>
      <c r="AYW1" s="87" t="n"/>
      <c r="AYX1" s="87" t="n"/>
      <c r="AYY1" s="87" t="n"/>
      <c r="AYZ1" s="87" t="n"/>
      <c r="AZA1" s="87" t="n"/>
      <c r="AZB1" s="87" t="n"/>
      <c r="AZC1" s="87" t="n"/>
      <c r="AZD1" s="87" t="n"/>
      <c r="AZE1" s="87" t="n"/>
      <c r="AZF1" s="87" t="n"/>
      <c r="AZG1" s="87" t="n"/>
      <c r="AZH1" s="87" t="n"/>
      <c r="AZI1" s="87" t="n"/>
      <c r="AZJ1" s="87" t="n"/>
      <c r="AZK1" s="87" t="n"/>
      <c r="AZL1" s="87" t="n"/>
      <c r="AZM1" s="87" t="n"/>
      <c r="AZN1" s="87" t="n"/>
      <c r="AZO1" s="87" t="n"/>
      <c r="AZP1" s="87" t="n"/>
      <c r="AZQ1" s="87" t="n"/>
      <c r="AZR1" s="87" t="n"/>
      <c r="AZS1" s="87" t="n"/>
      <c r="AZT1" s="87" t="n"/>
      <c r="AZU1" s="87" t="n"/>
      <c r="AZV1" s="87" t="n"/>
      <c r="AZW1" s="87" t="n"/>
      <c r="AZX1" s="87" t="n"/>
      <c r="AZY1" s="87" t="n"/>
      <c r="AZZ1" s="87" t="n"/>
      <c r="BAA1" s="87" t="n"/>
      <c r="BAB1" s="87" t="n"/>
      <c r="BAC1" s="87" t="n"/>
      <c r="BAD1" s="87" t="n"/>
      <c r="BAE1" s="87" t="n"/>
      <c r="BAF1" s="87" t="n"/>
      <c r="BAG1" s="87" t="n"/>
      <c r="BAH1" s="87" t="n"/>
      <c r="BAI1" s="87" t="n"/>
      <c r="BAJ1" s="87" t="n"/>
      <c r="BAK1" s="87" t="n"/>
      <c r="BAL1" s="87" t="n"/>
      <c r="BAM1" s="87" t="n"/>
      <c r="BAN1" s="87" t="n"/>
      <c r="BAO1" s="87" t="n"/>
      <c r="BAP1" s="87" t="n"/>
      <c r="BAQ1" s="87" t="n"/>
      <c r="BAR1" s="87" t="n"/>
      <c r="BAS1" s="87" t="n"/>
      <c r="BAT1" s="87" t="n"/>
      <c r="BAU1" s="87" t="n"/>
      <c r="BAV1" s="87" t="n"/>
      <c r="BAW1" s="87" t="n"/>
      <c r="BAX1" s="87" t="n"/>
      <c r="BAY1" s="87" t="n"/>
      <c r="BAZ1" s="87" t="n"/>
      <c r="BBA1" s="87" t="n"/>
      <c r="BBB1" s="87" t="n"/>
      <c r="BBC1" s="87" t="n"/>
      <c r="BBD1" s="87" t="n"/>
      <c r="BBE1" s="87" t="n"/>
      <c r="BBF1" s="87" t="n"/>
      <c r="BBG1" s="87" t="n"/>
      <c r="BBH1" s="87" t="n"/>
      <c r="BBI1" s="87" t="n"/>
      <c r="BBJ1" s="87" t="n"/>
      <c r="BBK1" s="87" t="n"/>
      <c r="BBL1" s="87" t="n"/>
      <c r="BBM1" s="87" t="n"/>
      <c r="BBN1" s="87" t="n"/>
      <c r="BBO1" s="87" t="n"/>
      <c r="BBP1" s="87" t="n"/>
      <c r="BBQ1" s="87" t="n"/>
      <c r="BBR1" s="87" t="n"/>
      <c r="BBS1" s="87" t="n"/>
      <c r="BBT1" s="87" t="n"/>
      <c r="BBU1" s="87" t="n"/>
      <c r="BBV1" s="87" t="n"/>
      <c r="BBW1" s="87" t="n"/>
      <c r="BBX1" s="87" t="n"/>
      <c r="BBY1" s="87" t="n"/>
      <c r="BBZ1" s="87" t="n"/>
      <c r="BCA1" s="87" t="n"/>
      <c r="BCB1" s="87" t="n"/>
      <c r="BCC1" s="87" t="n"/>
      <c r="BCD1" s="87" t="n"/>
      <c r="BCE1" s="87" t="n"/>
      <c r="BCF1" s="87" t="n"/>
      <c r="BCG1" s="87" t="n"/>
      <c r="BCH1" s="87" t="n"/>
      <c r="BCI1" s="87" t="n"/>
      <c r="BCJ1" s="87" t="n"/>
      <c r="BCK1" s="87" t="n"/>
      <c r="BCL1" s="87" t="n"/>
      <c r="BCM1" s="87" t="n"/>
      <c r="BCN1" s="87" t="n"/>
      <c r="BCO1" s="87" t="n"/>
      <c r="BCP1" s="87" t="n"/>
      <c r="BCQ1" s="87" t="n"/>
      <c r="BCR1" s="87" t="n"/>
      <c r="BCS1" s="87" t="n"/>
      <c r="BCT1" s="87" t="n"/>
      <c r="BCU1" s="87" t="n"/>
      <c r="BCV1" s="87" t="n"/>
      <c r="BCW1" s="87" t="n"/>
      <c r="BCX1" s="87" t="n"/>
      <c r="BCY1" s="87" t="n"/>
      <c r="BCZ1" s="87" t="n"/>
      <c r="BDA1" s="87" t="n"/>
      <c r="BDB1" s="87" t="n"/>
      <c r="BDC1" s="87" t="n"/>
      <c r="BDD1" s="87" t="n"/>
      <c r="BDE1" s="87" t="n"/>
      <c r="BDF1" s="87" t="n"/>
      <c r="BDG1" s="87" t="n"/>
      <c r="BDH1" s="87" t="n"/>
      <c r="BDI1" s="87" t="n"/>
      <c r="BDJ1" s="87" t="n"/>
      <c r="BDK1" s="87" t="n"/>
      <c r="BDL1" s="87" t="n"/>
      <c r="BDM1" s="87" t="n"/>
      <c r="BDN1" s="87" t="n"/>
      <c r="BDO1" s="87" t="n"/>
      <c r="BDP1" s="87" t="n"/>
      <c r="BDQ1" s="87" t="n"/>
      <c r="BDR1" s="87" t="n"/>
      <c r="BDS1" s="87" t="n"/>
      <c r="BDT1" s="87" t="n"/>
      <c r="BDU1" s="87" t="n"/>
      <c r="BDV1" s="87" t="n"/>
      <c r="BDW1" s="87" t="n"/>
      <c r="BDX1" s="87" t="n"/>
      <c r="BDY1" s="87" t="n"/>
      <c r="BDZ1" s="87" t="n"/>
      <c r="BEA1" s="87" t="n"/>
      <c r="BEB1" s="87" t="n"/>
      <c r="BEC1" s="87" t="n"/>
      <c r="BED1" s="87" t="n"/>
      <c r="BEE1" s="87" t="n"/>
      <c r="BEF1" s="87" t="n"/>
      <c r="BEG1" s="87" t="n"/>
      <c r="BEH1" s="87" t="n"/>
      <c r="BEI1" s="87" t="n"/>
      <c r="BEJ1" s="87" t="n"/>
      <c r="BEK1" s="87" t="n"/>
      <c r="BEL1" s="87" t="n"/>
      <c r="BEM1" s="87" t="n"/>
      <c r="BEN1" s="87" t="n"/>
      <c r="BEO1" s="87" t="n"/>
      <c r="BEP1" s="87" t="n"/>
      <c r="BEQ1" s="87" t="n"/>
      <c r="BER1" s="87" t="n"/>
      <c r="BES1" s="87" t="n"/>
      <c r="BET1" s="87" t="n"/>
      <c r="BEU1" s="87" t="n"/>
      <c r="BEV1" s="87" t="n"/>
      <c r="BEW1" s="87" t="n"/>
      <c r="BEX1" s="87" t="n"/>
      <c r="BEY1" s="87" t="n"/>
      <c r="BEZ1" s="87" t="n"/>
      <c r="BFA1" s="87" t="n"/>
      <c r="BFB1" s="87" t="n"/>
      <c r="BFC1" s="87" t="n"/>
      <c r="BFD1" s="87" t="n"/>
      <c r="BFE1" s="87" t="n"/>
      <c r="BFF1" s="87" t="n"/>
      <c r="BFG1" s="87" t="n"/>
      <c r="BFH1" s="87" t="n"/>
      <c r="BFI1" s="87" t="n"/>
      <c r="BFJ1" s="87" t="n"/>
      <c r="BFK1" s="87" t="n"/>
      <c r="BFL1" s="87" t="n"/>
      <c r="BFM1" s="87" t="n"/>
      <c r="BFN1" s="87" t="n"/>
      <c r="BFO1" s="87" t="n"/>
      <c r="BFP1" s="87" t="n"/>
      <c r="BFQ1" s="87" t="n"/>
      <c r="BFR1" s="87" t="n"/>
      <c r="BFS1" s="87" t="n"/>
      <c r="BFT1" s="87" t="n"/>
      <c r="BFU1" s="87" t="n"/>
      <c r="BFV1" s="87" t="n"/>
      <c r="BFW1" s="87" t="n"/>
      <c r="BFX1" s="87" t="n"/>
      <c r="BFY1" s="87" t="n"/>
      <c r="BFZ1" s="87" t="n"/>
      <c r="BGA1" s="87" t="n"/>
      <c r="BGB1" s="87" t="n"/>
      <c r="BGC1" s="87" t="n"/>
      <c r="BGD1" s="87" t="n"/>
      <c r="BGE1" s="87" t="n"/>
      <c r="BGF1" s="87" t="n"/>
      <c r="BGG1" s="87" t="n"/>
      <c r="BGH1" s="87" t="n"/>
      <c r="BGI1" s="87" t="n"/>
      <c r="BGJ1" s="87" t="n"/>
      <c r="BGK1" s="87" t="n"/>
      <c r="BGL1" s="87" t="n"/>
      <c r="BGM1" s="87" t="n"/>
      <c r="BGN1" s="87" t="n"/>
      <c r="BGO1" s="87" t="n"/>
      <c r="BGP1" s="87" t="n"/>
      <c r="BGQ1" s="87" t="n"/>
      <c r="BGR1" s="87" t="n"/>
      <c r="BGS1" s="87" t="n"/>
      <c r="BGT1" s="87" t="n"/>
      <c r="BGU1" s="87" t="n"/>
      <c r="BGV1" s="87" t="n"/>
      <c r="BGW1" s="87" t="n"/>
      <c r="BGX1" s="87" t="n"/>
      <c r="BGY1" s="87" t="n"/>
      <c r="BGZ1" s="87" t="n"/>
      <c r="BHA1" s="87" t="n"/>
      <c r="BHB1" s="87" t="n"/>
      <c r="BHC1" s="87" t="n"/>
      <c r="BHD1" s="87" t="n"/>
      <c r="BHE1" s="87" t="n"/>
      <c r="BHF1" s="87" t="n"/>
      <c r="BHG1" s="87" t="n"/>
      <c r="BHH1" s="87" t="n"/>
      <c r="BHI1" s="87" t="n"/>
      <c r="BHJ1" s="87" t="n"/>
      <c r="BHK1" s="87" t="n"/>
      <c r="BHL1" s="87" t="n"/>
      <c r="BHM1" s="87" t="n"/>
      <c r="BHN1" s="87" t="n"/>
      <c r="BHO1" s="87" t="n"/>
      <c r="BHP1" s="87" t="n"/>
      <c r="BHQ1" s="87" t="n"/>
      <c r="BHR1" s="87" t="n"/>
      <c r="BHS1" s="87" t="n"/>
      <c r="BHT1" s="87" t="n"/>
      <c r="BHU1" s="87" t="n"/>
      <c r="BHV1" s="87" t="n"/>
      <c r="BHW1" s="87" t="n"/>
      <c r="BHX1" s="87" t="n"/>
      <c r="BHY1" s="87" t="n"/>
      <c r="BHZ1" s="87" t="n"/>
      <c r="BIA1" s="87" t="n"/>
      <c r="BIB1" s="87" t="n"/>
      <c r="BIC1" s="87" t="n"/>
      <c r="BID1" s="87" t="n"/>
      <c r="BIE1" s="87" t="n"/>
      <c r="BIF1" s="87" t="n"/>
      <c r="BIG1" s="87" t="n"/>
      <c r="BIH1" s="87" t="n"/>
      <c r="BII1" s="87" t="n"/>
      <c r="BIJ1" s="87" t="n"/>
      <c r="BIK1" s="87" t="n"/>
      <c r="BIL1" s="87" t="n"/>
      <c r="BIM1" s="87" t="n"/>
      <c r="BIN1" s="87" t="n"/>
      <c r="BIO1" s="87" t="n"/>
      <c r="BIP1" s="87" t="n"/>
      <c r="BIQ1" s="87" t="n"/>
      <c r="BIR1" s="87" t="n"/>
      <c r="BIS1" s="87" t="n"/>
      <c r="BIT1" s="87" t="n"/>
      <c r="BIU1" s="87" t="n"/>
      <c r="BIV1" s="87" t="n"/>
      <c r="BIW1" s="87" t="n"/>
      <c r="BIX1" s="87" t="n"/>
      <c r="BIY1" s="87" t="n"/>
      <c r="BIZ1" s="87" t="n"/>
      <c r="BJA1" s="87" t="n"/>
      <c r="BJB1" s="87" t="n"/>
      <c r="BJC1" s="87" t="n"/>
      <c r="BJD1" s="87" t="n"/>
      <c r="BJE1" s="87" t="n"/>
      <c r="BJF1" s="87" t="n"/>
      <c r="BJG1" s="87" t="n"/>
      <c r="BJH1" s="87" t="n"/>
      <c r="BJI1" s="87" t="n"/>
      <c r="BJJ1" s="87" t="n"/>
      <c r="BJK1" s="87" t="n"/>
      <c r="BJL1" s="87" t="n"/>
      <c r="BJM1" s="87" t="n"/>
      <c r="BJN1" s="87" t="n"/>
      <c r="BJO1" s="87" t="n"/>
      <c r="BJP1" s="87" t="n"/>
      <c r="BJQ1" s="87" t="n"/>
      <c r="BJR1" s="87" t="n"/>
      <c r="BJS1" s="87" t="n"/>
      <c r="BJT1" s="87" t="n"/>
      <c r="BJU1" s="87" t="n"/>
      <c r="BJV1" s="87" t="n"/>
      <c r="BJW1" s="87" t="n"/>
      <c r="BJX1" s="87" t="n"/>
      <c r="BJY1" s="87" t="n"/>
      <c r="BJZ1" s="87" t="n"/>
      <c r="BKA1" s="87" t="n"/>
      <c r="BKB1" s="87" t="n"/>
      <c r="BKC1" s="87" t="n"/>
      <c r="BKD1" s="87" t="n"/>
      <c r="BKE1" s="87" t="n"/>
      <c r="BKF1" s="87" t="n"/>
      <c r="BKG1" s="87" t="n"/>
      <c r="BKH1" s="87" t="n"/>
      <c r="BKI1" s="87" t="n"/>
      <c r="BKJ1" s="87" t="n"/>
      <c r="BKK1" s="87" t="n"/>
      <c r="BKL1" s="87" t="n"/>
      <c r="BKM1" s="87" t="n"/>
      <c r="BKN1" s="87" t="n"/>
      <c r="BKO1" s="87" t="n"/>
      <c r="BKP1" s="87" t="n"/>
      <c r="BKQ1" s="87" t="n"/>
      <c r="BKR1" s="87" t="n"/>
      <c r="BKS1" s="87" t="n"/>
      <c r="BKT1" s="87" t="n"/>
      <c r="BKU1" s="87" t="n"/>
      <c r="BKV1" s="87" t="n"/>
      <c r="BKW1" s="87" t="n"/>
      <c r="BKX1" s="87" t="n"/>
      <c r="BKY1" s="87" t="n"/>
      <c r="BKZ1" s="87" t="n"/>
      <c r="BLA1" s="87" t="n"/>
      <c r="BLB1" s="87" t="n"/>
      <c r="BLC1" s="87" t="n"/>
      <c r="BLD1" s="87" t="n"/>
      <c r="BLE1" s="87" t="n"/>
      <c r="BLF1" s="87" t="n"/>
      <c r="BLG1" s="87" t="n"/>
      <c r="BLH1" s="87" t="n"/>
      <c r="BLI1" s="87" t="n"/>
      <c r="BLJ1" s="87" t="n"/>
      <c r="BLK1" s="87" t="n"/>
      <c r="BLL1" s="87" t="n"/>
      <c r="BLM1" s="87" t="n"/>
      <c r="BLN1" s="87" t="n"/>
      <c r="BLO1" s="87" t="n"/>
      <c r="BLP1" s="87" t="n"/>
      <c r="BLQ1" s="87" t="n"/>
      <c r="BLR1" s="87" t="n"/>
      <c r="BLS1" s="87" t="n"/>
      <c r="BLT1" s="87" t="n"/>
      <c r="BLU1" s="87" t="n"/>
      <c r="BLV1" s="87" t="n"/>
      <c r="BLW1" s="87" t="n"/>
      <c r="BLX1" s="87" t="n"/>
      <c r="BLY1" s="87" t="n"/>
      <c r="BLZ1" s="87" t="n"/>
      <c r="BMA1" s="87" t="n"/>
      <c r="BMB1" s="87" t="n"/>
      <c r="BMC1" s="87" t="n"/>
      <c r="BMD1" s="87" t="n"/>
      <c r="BME1" s="87" t="n"/>
      <c r="BMF1" s="87" t="n"/>
      <c r="BMG1" s="87" t="n"/>
      <c r="BMH1" s="87" t="n"/>
      <c r="BMI1" s="87" t="n"/>
      <c r="BMJ1" s="87" t="n"/>
      <c r="BMK1" s="87" t="n"/>
      <c r="BML1" s="87" t="n"/>
      <c r="BMM1" s="87" t="n"/>
      <c r="BMN1" s="87" t="n"/>
      <c r="BMO1" s="87" t="n"/>
      <c r="BMP1" s="87" t="n"/>
      <c r="BMQ1" s="87" t="n"/>
      <c r="BMR1" s="87" t="n"/>
      <c r="BMS1" s="87" t="n"/>
      <c r="BMT1" s="87" t="n"/>
      <c r="BMU1" s="87" t="n"/>
      <c r="BMV1" s="87" t="n"/>
      <c r="BMW1" s="87" t="n"/>
      <c r="BMX1" s="87" t="n"/>
      <c r="BMY1" s="87" t="n"/>
      <c r="BMZ1" s="87" t="n"/>
      <c r="BNA1" s="87" t="n"/>
      <c r="BNB1" s="87" t="n"/>
      <c r="BNC1" s="87" t="n"/>
      <c r="BND1" s="87" t="n"/>
      <c r="BNE1" s="87" t="n"/>
      <c r="BNF1" s="87" t="n"/>
      <c r="BNG1" s="87" t="n"/>
      <c r="BNH1" s="87" t="n"/>
      <c r="BNI1" s="87" t="n"/>
      <c r="BNJ1" s="87" t="n"/>
      <c r="BNK1" s="87" t="n"/>
      <c r="BNL1" s="87" t="n"/>
      <c r="BNM1" s="87" t="n"/>
      <c r="BNN1" s="87" t="n"/>
      <c r="BNO1" s="87" t="n"/>
      <c r="BNP1" s="87" t="n"/>
      <c r="BNQ1" s="87" t="n"/>
      <c r="BNR1" s="87" t="n"/>
      <c r="BNS1" s="87" t="n"/>
      <c r="BNT1" s="87" t="n"/>
      <c r="BNU1" s="87" t="n"/>
      <c r="BNV1" s="87" t="n"/>
      <c r="BNW1" s="87" t="n"/>
      <c r="BNX1" s="87" t="n"/>
      <c r="BNY1" s="87" t="n"/>
      <c r="BNZ1" s="87" t="n"/>
      <c r="BOA1" s="87" t="n"/>
      <c r="BOB1" s="87" t="n"/>
      <c r="BOC1" s="87" t="n"/>
      <c r="BOD1" s="87" t="n"/>
      <c r="BOE1" s="87" t="n"/>
      <c r="BOF1" s="87" t="n"/>
      <c r="BOG1" s="87" t="n"/>
      <c r="BOH1" s="87" t="n"/>
      <c r="BOI1" s="87" t="n"/>
      <c r="BOJ1" s="87" t="n"/>
      <c r="BOK1" s="87" t="n"/>
      <c r="BOL1" s="87" t="n"/>
      <c r="BOM1" s="87" t="n"/>
      <c r="BON1" s="87" t="n"/>
      <c r="BOO1" s="87" t="n"/>
      <c r="BOP1" s="87" t="n"/>
      <c r="BOQ1" s="87" t="n"/>
      <c r="BOR1" s="87" t="n"/>
      <c r="BOS1" s="87" t="n"/>
      <c r="BOT1" s="87" t="n"/>
      <c r="BOU1" s="87" t="n"/>
      <c r="BOV1" s="87" t="n"/>
      <c r="BOW1" s="87" t="n"/>
      <c r="BOX1" s="87" t="n"/>
      <c r="BOY1" s="87" t="n"/>
      <c r="BOZ1" s="87" t="n"/>
      <c r="BPA1" s="87" t="n"/>
      <c r="BPB1" s="87" t="n"/>
      <c r="BPC1" s="87" t="n"/>
      <c r="BPD1" s="87" t="n"/>
      <c r="BPE1" s="87" t="n"/>
      <c r="BPF1" s="87" t="n"/>
      <c r="BPG1" s="87" t="n"/>
      <c r="BPH1" s="87" t="n"/>
      <c r="BPI1" s="87" t="n"/>
      <c r="BPJ1" s="87" t="n"/>
      <c r="BPK1" s="87" t="n"/>
      <c r="BPL1" s="87" t="n"/>
      <c r="BPM1" s="87" t="n"/>
      <c r="BPN1" s="87" t="n"/>
      <c r="BPO1" s="87" t="n"/>
      <c r="BPP1" s="87" t="n"/>
      <c r="BPQ1" s="87" t="n"/>
      <c r="BPR1" s="87" t="n"/>
      <c r="BPS1" s="87" t="n"/>
      <c r="BPT1" s="87" t="n"/>
      <c r="BPU1" s="87" t="n"/>
      <c r="BPV1" s="87" t="n"/>
      <c r="BPW1" s="87" t="n"/>
      <c r="BPX1" s="87" t="n"/>
      <c r="BPY1" s="87" t="n"/>
      <c r="BPZ1" s="87" t="n"/>
      <c r="BQA1" s="87" t="n"/>
      <c r="BQB1" s="87" t="n"/>
      <c r="BQC1" s="87" t="n"/>
      <c r="BQD1" s="87" t="n"/>
      <c r="BQE1" s="87" t="n"/>
      <c r="BQF1" s="87" t="n"/>
      <c r="BQG1" s="87" t="n"/>
      <c r="BQH1" s="87" t="n"/>
      <c r="BQI1" s="87" t="n"/>
      <c r="BQJ1" s="87" t="n"/>
      <c r="BQK1" s="87" t="n"/>
      <c r="BQL1" s="87" t="n"/>
      <c r="BQM1" s="87" t="n"/>
      <c r="BQN1" s="87" t="n"/>
      <c r="BQO1" s="87" t="n"/>
      <c r="BQP1" s="87" t="n"/>
      <c r="BQQ1" s="87" t="n"/>
      <c r="BQR1" s="87" t="n"/>
      <c r="BQS1" s="87" t="n"/>
      <c r="BQT1" s="87" t="n"/>
      <c r="BQU1" s="87" t="n"/>
      <c r="BQV1" s="87" t="n"/>
      <c r="BQW1" s="87" t="n"/>
      <c r="BQX1" s="87" t="n"/>
      <c r="BQY1" s="87" t="n"/>
      <c r="BQZ1" s="87" t="n"/>
      <c r="BRA1" s="87" t="n"/>
      <c r="BRB1" s="87" t="n"/>
      <c r="BRC1" s="87" t="n"/>
      <c r="BRD1" s="87" t="n"/>
      <c r="BRE1" s="87" t="n"/>
      <c r="BRF1" s="87" t="n"/>
      <c r="BRG1" s="87" t="n"/>
      <c r="BRH1" s="87" t="n"/>
      <c r="BRI1" s="87" t="n"/>
      <c r="BRJ1" s="87" t="n"/>
      <c r="BRK1" s="87" t="n"/>
      <c r="BRL1" s="87" t="n"/>
      <c r="BRM1" s="87" t="n"/>
      <c r="BRN1" s="87" t="n"/>
      <c r="BRO1" s="87" t="n"/>
      <c r="BRP1" s="87" t="n"/>
      <c r="BRQ1" s="87" t="n"/>
      <c r="BRR1" s="87" t="n"/>
      <c r="BRS1" s="87" t="n"/>
      <c r="BRT1" s="87" t="n"/>
      <c r="BRU1" s="87" t="n"/>
      <c r="BRV1" s="87" t="n"/>
      <c r="BRW1" s="87" t="n"/>
      <c r="BRX1" s="87" t="n"/>
      <c r="BRY1" s="87" t="n"/>
      <c r="BRZ1" s="87" t="n"/>
      <c r="BSA1" s="87" t="n"/>
      <c r="BSB1" s="87" t="n"/>
      <c r="BSC1" s="87" t="n"/>
      <c r="BSD1" s="87" t="n"/>
      <c r="BSE1" s="87" t="n"/>
      <c r="BSF1" s="87" t="n"/>
      <c r="BSG1" s="87" t="n"/>
      <c r="BSH1" s="87" t="n"/>
      <c r="BSI1" s="87" t="n"/>
      <c r="BSJ1" s="87" t="n"/>
      <c r="BSK1" s="87" t="n"/>
      <c r="BSL1" s="87" t="n"/>
      <c r="BSM1" s="87" t="n"/>
      <c r="BSN1" s="87" t="n"/>
      <c r="BSO1" s="87" t="n"/>
      <c r="BSP1" s="87" t="n"/>
      <c r="BSQ1" s="87" t="n"/>
      <c r="BSR1" s="87" t="n"/>
      <c r="BSS1" s="87" t="n"/>
      <c r="BST1" s="87" t="n"/>
      <c r="BSU1" s="87" t="n"/>
      <c r="BSV1" s="87" t="n"/>
      <c r="BSW1" s="87" t="n"/>
      <c r="BSX1" s="87" t="n"/>
      <c r="BSY1" s="87" t="n"/>
      <c r="BSZ1" s="87" t="n"/>
      <c r="BTA1" s="87" t="n"/>
      <c r="BTB1" s="87" t="n"/>
      <c r="BTC1" s="87" t="n"/>
      <c r="BTD1" s="87" t="n"/>
      <c r="BTE1" s="87" t="n"/>
      <c r="BTF1" s="87" t="n"/>
      <c r="BTG1" s="87" t="n"/>
      <c r="BTH1" s="87" t="n"/>
      <c r="BTI1" s="87" t="n"/>
      <c r="BTJ1" s="87" t="n"/>
      <c r="BTK1" s="87" t="n"/>
      <c r="BTL1" s="87" t="n"/>
      <c r="BTM1" s="87" t="n"/>
      <c r="BTN1" s="87" t="n"/>
      <c r="BTO1" s="87" t="n"/>
      <c r="BTP1" s="87" t="n"/>
      <c r="BTQ1" s="87" t="n"/>
      <c r="BTR1" s="87" t="n"/>
      <c r="BTS1" s="87" t="n"/>
      <c r="BTT1" s="87" t="n"/>
      <c r="BTU1" s="87" t="n"/>
      <c r="BTV1" s="87" t="n"/>
      <c r="BTW1" s="87" t="n"/>
      <c r="BTX1" s="87" t="n"/>
      <c r="BTY1" s="87" t="n"/>
      <c r="BTZ1" s="87" t="n"/>
      <c r="BUA1" s="87" t="n"/>
      <c r="BUB1" s="87" t="n"/>
      <c r="BUC1" s="87" t="n"/>
      <c r="BUD1" s="87" t="n"/>
      <c r="BUE1" s="87" t="n"/>
      <c r="BUF1" s="87" t="n"/>
      <c r="BUG1" s="87" t="n"/>
      <c r="BUH1" s="87" t="n"/>
      <c r="BUI1" s="87" t="n"/>
      <c r="BUJ1" s="87" t="n"/>
      <c r="BUK1" s="87" t="n"/>
      <c r="BUL1" s="87" t="n"/>
      <c r="BUM1" s="87" t="n"/>
      <c r="BUN1" s="87" t="n"/>
      <c r="BUO1" s="87" t="n"/>
      <c r="BUP1" s="87" t="n"/>
      <c r="BUQ1" s="87" t="n"/>
      <c r="BUR1" s="87" t="n"/>
      <c r="BUS1" s="87" t="n"/>
      <c r="BUT1" s="87" t="n"/>
      <c r="BUU1" s="87" t="n"/>
      <c r="BUV1" s="87" t="n"/>
      <c r="BUW1" s="87" t="n"/>
      <c r="BUX1" s="87" t="n"/>
      <c r="BUY1" s="87" t="n"/>
      <c r="BUZ1" s="87" t="n"/>
      <c r="BVA1" s="87" t="n"/>
      <c r="BVB1" s="87" t="n"/>
      <c r="BVC1" s="87" t="n"/>
      <c r="BVD1" s="87" t="n"/>
      <c r="BVE1" s="87" t="n"/>
      <c r="BVF1" s="87" t="n"/>
      <c r="BVG1" s="87" t="n"/>
      <c r="BVH1" s="87" t="n"/>
      <c r="BVI1" s="87" t="n"/>
      <c r="BVJ1" s="87" t="n"/>
      <c r="BVK1" s="87" t="n"/>
      <c r="BVL1" s="87" t="n"/>
      <c r="BVM1" s="87" t="n"/>
      <c r="BVN1" s="87" t="n"/>
      <c r="BVO1" s="87" t="n"/>
      <c r="BVP1" s="87" t="n"/>
      <c r="BVQ1" s="87" t="n"/>
      <c r="BVR1" s="87" t="n"/>
      <c r="BVS1" s="87" t="n"/>
      <c r="BVT1" s="87" t="n"/>
      <c r="BVU1" s="87" t="n"/>
      <c r="BVV1" s="87" t="n"/>
      <c r="BVW1" s="87" t="n"/>
      <c r="BVX1" s="87" t="n"/>
      <c r="BVY1" s="87" t="n"/>
      <c r="BVZ1" s="87" t="n"/>
      <c r="BWA1" s="87" t="n"/>
      <c r="BWB1" s="87" t="n"/>
      <c r="BWC1" s="87" t="n"/>
      <c r="BWD1" s="87" t="n"/>
      <c r="BWE1" s="87" t="n"/>
      <c r="BWF1" s="87" t="n"/>
      <c r="BWG1" s="87" t="n"/>
      <c r="BWH1" s="87" t="n"/>
      <c r="BWI1" s="87" t="n"/>
      <c r="BWJ1" s="87" t="n"/>
      <c r="BWK1" s="87" t="n"/>
      <c r="BWL1" s="87" t="n"/>
      <c r="BWM1" s="87" t="n"/>
      <c r="BWN1" s="87" t="n"/>
      <c r="BWO1" s="87" t="n"/>
      <c r="BWP1" s="87" t="n"/>
      <c r="BWQ1" s="87" t="n"/>
      <c r="BWR1" s="87" t="n"/>
      <c r="BWS1" s="87" t="n"/>
      <c r="BWT1" s="87" t="n"/>
      <c r="BWU1" s="87" t="n"/>
      <c r="BWV1" s="87" t="n"/>
      <c r="BWW1" s="87" t="n"/>
      <c r="BWX1" s="87" t="n"/>
      <c r="BWY1" s="87" t="n"/>
      <c r="BWZ1" s="87" t="n"/>
      <c r="BXA1" s="87" t="n"/>
      <c r="BXB1" s="87" t="n"/>
      <c r="BXC1" s="87" t="n"/>
      <c r="BXD1" s="87" t="n"/>
      <c r="BXE1" s="87" t="n"/>
      <c r="BXF1" s="87" t="n"/>
      <c r="BXG1" s="87" t="n"/>
      <c r="BXH1" s="87" t="n"/>
      <c r="BXI1" s="87" t="n"/>
      <c r="BXJ1" s="87" t="n"/>
      <c r="BXK1" s="87" t="n"/>
      <c r="BXL1" s="87" t="n"/>
      <c r="BXM1" s="87" t="n"/>
      <c r="BXN1" s="87" t="n"/>
      <c r="BXO1" s="87" t="n"/>
      <c r="BXP1" s="87" t="n"/>
      <c r="BXQ1" s="87" t="n"/>
      <c r="BXR1" s="87" t="n"/>
      <c r="BXS1" s="87" t="n"/>
      <c r="BXT1" s="87" t="n"/>
      <c r="BXU1" s="87" t="n"/>
      <c r="BXV1" s="87" t="n"/>
      <c r="BXW1" s="87" t="n"/>
      <c r="BXX1" s="87" t="n"/>
      <c r="BXY1" s="87" t="n"/>
      <c r="BXZ1" s="87" t="n"/>
      <c r="BYA1" s="87" t="n"/>
      <c r="BYB1" s="87" t="n"/>
      <c r="BYC1" s="87" t="n"/>
      <c r="BYD1" s="87" t="n"/>
      <c r="BYE1" s="87" t="n"/>
      <c r="BYF1" s="87" t="n"/>
      <c r="BYG1" s="87" t="n"/>
      <c r="BYH1" s="87" t="n"/>
      <c r="BYI1" s="87" t="n"/>
      <c r="BYJ1" s="87" t="n"/>
      <c r="BYK1" s="87" t="n"/>
      <c r="BYL1" s="87" t="n"/>
      <c r="BYM1" s="87" t="n"/>
      <c r="BYN1" s="87" t="n"/>
      <c r="BYO1" s="87" t="n"/>
      <c r="BYP1" s="87" t="n"/>
      <c r="BYQ1" s="87" t="n"/>
      <c r="BYR1" s="87" t="n"/>
      <c r="BYS1" s="87" t="n"/>
      <c r="BYT1" s="87" t="n"/>
      <c r="BYU1" s="87" t="n"/>
      <c r="BYV1" s="87" t="n"/>
      <c r="BYW1" s="87" t="n"/>
      <c r="BYX1" s="87" t="n"/>
      <c r="BYY1" s="87" t="n"/>
      <c r="BYZ1" s="87" t="n"/>
      <c r="BZA1" s="87" t="n"/>
      <c r="BZB1" s="87" t="n"/>
      <c r="BZC1" s="87" t="n"/>
      <c r="BZD1" s="87" t="n"/>
      <c r="BZE1" s="87" t="n"/>
      <c r="BZF1" s="87" t="n"/>
      <c r="BZG1" s="87" t="n"/>
      <c r="BZH1" s="87" t="n"/>
      <c r="BZI1" s="87" t="n"/>
      <c r="BZJ1" s="87" t="n"/>
      <c r="BZK1" s="87" t="n"/>
      <c r="BZL1" s="87" t="n"/>
      <c r="BZM1" s="87" t="n"/>
      <c r="BZN1" s="87" t="n"/>
      <c r="BZO1" s="87" t="n"/>
      <c r="BZP1" s="87" t="n"/>
      <c r="BZQ1" s="87" t="n"/>
      <c r="BZR1" s="87" t="n"/>
      <c r="BZS1" s="87" t="n"/>
      <c r="BZT1" s="87" t="n"/>
      <c r="BZU1" s="87" t="n"/>
      <c r="BZV1" s="87" t="n"/>
      <c r="BZW1" s="87" t="n"/>
      <c r="BZX1" s="87" t="n"/>
      <c r="BZY1" s="87" t="n"/>
      <c r="BZZ1" s="87" t="n"/>
      <c r="CAA1" s="87" t="n"/>
      <c r="CAB1" s="87" t="n"/>
      <c r="CAC1" s="87" t="n"/>
      <c r="CAD1" s="87" t="n"/>
      <c r="CAE1" s="87" t="n"/>
      <c r="CAF1" s="87" t="n"/>
      <c r="CAG1" s="87" t="n"/>
      <c r="CAH1" s="87" t="n"/>
      <c r="CAI1" s="87" t="n"/>
      <c r="CAJ1" s="87" t="n"/>
      <c r="CAK1" s="87" t="n"/>
      <c r="CAL1" s="87" t="n"/>
      <c r="CAM1" s="87" t="n"/>
      <c r="CAN1" s="87" t="n"/>
      <c r="CAO1" s="87" t="n"/>
      <c r="CAP1" s="87" t="n"/>
      <c r="CAQ1" s="87" t="n"/>
      <c r="CAR1" s="87" t="n"/>
      <c r="CAS1" s="87" t="n"/>
      <c r="CAT1" s="87" t="n"/>
      <c r="CAU1" s="87" t="n"/>
      <c r="CAV1" s="87" t="n"/>
      <c r="CAW1" s="87" t="n"/>
      <c r="CAX1" s="87" t="n"/>
      <c r="CAY1" s="87" t="n"/>
      <c r="CAZ1" s="87" t="n"/>
      <c r="CBA1" s="87" t="n"/>
      <c r="CBB1" s="87" t="n"/>
      <c r="CBC1" s="87" t="n"/>
      <c r="CBD1" s="87" t="n"/>
      <c r="CBE1" s="87" t="n"/>
      <c r="CBF1" s="87" t="n"/>
      <c r="CBG1" s="87" t="n"/>
      <c r="CBH1" s="87" t="n"/>
      <c r="CBI1" s="87" t="n"/>
      <c r="CBJ1" s="87" t="n"/>
      <c r="CBK1" s="87" t="n"/>
      <c r="CBL1" s="87" t="n"/>
      <c r="CBM1" s="87" t="n"/>
      <c r="CBN1" s="87" t="n"/>
      <c r="CBO1" s="87" t="n"/>
      <c r="CBP1" s="87" t="n"/>
      <c r="CBQ1" s="87" t="n"/>
      <c r="CBR1" s="87" t="n"/>
      <c r="CBS1" s="87" t="n"/>
      <c r="CBT1" s="87" t="n"/>
      <c r="CBU1" s="87" t="n"/>
      <c r="CBV1" s="87" t="n"/>
      <c r="CBW1" s="87" t="n"/>
      <c r="CBX1" s="87" t="n"/>
      <c r="CBY1" s="87" t="n"/>
      <c r="CBZ1" s="87" t="n"/>
      <c r="CCA1" s="87" t="n"/>
      <c r="CCB1" s="87" t="n"/>
      <c r="CCC1" s="87" t="n"/>
      <c r="CCD1" s="87" t="n"/>
      <c r="CCE1" s="87" t="n"/>
      <c r="CCF1" s="87" t="n"/>
      <c r="CCG1" s="87" t="n"/>
      <c r="CCH1" s="87" t="n"/>
      <c r="CCI1" s="87" t="n"/>
      <c r="CCJ1" s="87" t="n"/>
      <c r="CCK1" s="87" t="n"/>
      <c r="CCL1" s="87" t="n"/>
      <c r="CCM1" s="87" t="n"/>
      <c r="CCN1" s="87" t="n"/>
      <c r="CCO1" s="87" t="n"/>
      <c r="CCP1" s="87" t="n"/>
      <c r="CCQ1" s="87" t="n"/>
      <c r="CCR1" s="87" t="n"/>
      <c r="CCS1" s="87" t="n"/>
      <c r="CCT1" s="87" t="n"/>
      <c r="CCU1" s="87" t="n"/>
      <c r="CCV1" s="87" t="n"/>
      <c r="CCW1" s="87" t="n"/>
      <c r="CCX1" s="87" t="n"/>
      <c r="CCY1" s="87" t="n"/>
      <c r="CCZ1" s="87" t="n"/>
      <c r="CDA1" s="87" t="n"/>
      <c r="CDB1" s="87" t="n"/>
      <c r="CDC1" s="87" t="n"/>
      <c r="CDD1" s="87" t="n"/>
      <c r="CDE1" s="87" t="n"/>
      <c r="CDF1" s="87" t="n"/>
      <c r="CDG1" s="87" t="n"/>
      <c r="CDH1" s="87" t="n"/>
      <c r="CDI1" s="87" t="n"/>
      <c r="CDJ1" s="87" t="n"/>
      <c r="CDK1" s="87" t="n"/>
      <c r="CDL1" s="87" t="n"/>
      <c r="CDM1" s="87" t="n"/>
      <c r="CDN1" s="87" t="n"/>
      <c r="CDO1" s="87" t="n"/>
      <c r="CDP1" s="87" t="n"/>
      <c r="CDQ1" s="87" t="n"/>
      <c r="CDR1" s="87" t="n"/>
      <c r="CDS1" s="87" t="n"/>
      <c r="CDT1" s="87" t="n"/>
      <c r="CDU1" s="87" t="n"/>
      <c r="CDV1" s="87" t="n"/>
      <c r="CDW1" s="87" t="n"/>
      <c r="CDX1" s="87" t="n"/>
      <c r="CDY1" s="87" t="n"/>
      <c r="CDZ1" s="87" t="n"/>
      <c r="CEA1" s="87" t="n"/>
      <c r="CEB1" s="87" t="n"/>
      <c r="CEC1" s="87" t="n"/>
      <c r="CED1" s="87" t="n"/>
      <c r="CEE1" s="87" t="n"/>
      <c r="CEF1" s="87" t="n"/>
      <c r="CEG1" s="87" t="n"/>
      <c r="CEH1" s="87" t="n"/>
      <c r="CEI1" s="87" t="n"/>
      <c r="CEJ1" s="87" t="n"/>
      <c r="CEK1" s="87" t="n"/>
      <c r="CEL1" s="87" t="n"/>
      <c r="CEM1" s="87" t="n"/>
      <c r="CEN1" s="87" t="n"/>
      <c r="CEO1" s="87" t="n"/>
      <c r="CEP1" s="87" t="n"/>
      <c r="CEQ1" s="87" t="n"/>
      <c r="CER1" s="87" t="n"/>
      <c r="CES1" s="87" t="n"/>
      <c r="CET1" s="87" t="n"/>
      <c r="CEU1" s="87" t="n"/>
      <c r="CEV1" s="87" t="n"/>
      <c r="CEW1" s="87" t="n"/>
      <c r="CEX1" s="87" t="n"/>
      <c r="CEY1" s="87" t="n"/>
      <c r="CEZ1" s="87" t="n"/>
      <c r="CFA1" s="87" t="n"/>
      <c r="CFB1" s="87" t="n"/>
      <c r="CFC1" s="87" t="n"/>
      <c r="CFD1" s="87" t="n"/>
      <c r="CFE1" s="87" t="n"/>
      <c r="CFF1" s="87" t="n"/>
      <c r="CFG1" s="87" t="n"/>
      <c r="CFH1" s="87" t="n"/>
      <c r="CFI1" s="87" t="n"/>
      <c r="CFJ1" s="87" t="n"/>
      <c r="CFK1" s="87" t="n"/>
      <c r="CFL1" s="87" t="n"/>
      <c r="CFM1" s="87" t="n"/>
      <c r="CFN1" s="87" t="n"/>
      <c r="CFO1" s="87" t="n"/>
      <c r="CFP1" s="87" t="n"/>
      <c r="CFQ1" s="87" t="n"/>
      <c r="CFR1" s="87" t="n"/>
      <c r="CFS1" s="87" t="n"/>
      <c r="CFT1" s="87" t="n"/>
      <c r="CFU1" s="87" t="n"/>
      <c r="CFV1" s="87" t="n"/>
      <c r="CFW1" s="87" t="n"/>
      <c r="CFX1" s="87" t="n"/>
      <c r="CFY1" s="87" t="n"/>
      <c r="CFZ1" s="87" t="n"/>
      <c r="CGA1" s="87" t="n"/>
      <c r="CGB1" s="87" t="n"/>
      <c r="CGC1" s="87" t="n"/>
      <c r="CGD1" s="87" t="n"/>
      <c r="CGE1" s="87" t="n"/>
      <c r="CGF1" s="87" t="n"/>
      <c r="CGG1" s="87" t="n"/>
      <c r="CGH1" s="87" t="n"/>
      <c r="CGI1" s="87" t="n"/>
      <c r="CGJ1" s="87" t="n"/>
      <c r="CGK1" s="87" t="n"/>
      <c r="CGL1" s="87" t="n"/>
      <c r="CGM1" s="87" t="n"/>
      <c r="CGN1" s="87" t="n"/>
      <c r="CGO1" s="87" t="n"/>
      <c r="CGP1" s="87" t="n"/>
      <c r="CGQ1" s="87" t="n"/>
      <c r="CGR1" s="87" t="n"/>
      <c r="CGS1" s="87" t="n"/>
      <c r="CGT1" s="87" t="n"/>
      <c r="CGU1" s="87" t="n"/>
      <c r="CGV1" s="87" t="n"/>
      <c r="CGW1" s="87" t="n"/>
      <c r="CGX1" s="87" t="n"/>
      <c r="CGY1" s="87" t="n"/>
      <c r="CGZ1" s="87" t="n"/>
      <c r="CHA1" s="87" t="n"/>
      <c r="CHB1" s="87" t="n"/>
      <c r="CHC1" s="87" t="n"/>
      <c r="CHD1" s="87" t="n"/>
      <c r="CHE1" s="87" t="n"/>
      <c r="CHF1" s="87" t="n"/>
      <c r="CHG1" s="87" t="n"/>
      <c r="CHH1" s="87" t="n"/>
      <c r="CHI1" s="87" t="n"/>
      <c r="CHJ1" s="87" t="n"/>
      <c r="CHK1" s="87" t="n"/>
      <c r="CHL1" s="87" t="n"/>
      <c r="CHM1" s="87" t="n"/>
      <c r="CHN1" s="87" t="n"/>
      <c r="CHO1" s="87" t="n"/>
      <c r="CHP1" s="87" t="n"/>
      <c r="CHQ1" s="87" t="n"/>
      <c r="CHR1" s="87" t="n"/>
      <c r="CHS1" s="87" t="n"/>
      <c r="CHT1" s="87" t="n"/>
      <c r="CHU1" s="87" t="n"/>
      <c r="CHV1" s="87" t="n"/>
      <c r="CHW1" s="87" t="n"/>
      <c r="CHX1" s="87" t="n"/>
      <c r="CHY1" s="87" t="n"/>
      <c r="CHZ1" s="87" t="n"/>
      <c r="CIA1" s="87" t="n"/>
      <c r="CIB1" s="87" t="n"/>
      <c r="CIC1" s="87" t="n"/>
      <c r="CID1" s="87" t="n"/>
      <c r="CIE1" s="87" t="n"/>
      <c r="CIF1" s="87" t="n"/>
      <c r="CIG1" s="87" t="n"/>
      <c r="CIH1" s="87" t="n"/>
      <c r="CII1" s="87" t="n"/>
      <c r="CIJ1" s="87" t="n"/>
      <c r="CIK1" s="87" t="n"/>
      <c r="CIL1" s="87" t="n"/>
      <c r="CIM1" s="87" t="n"/>
      <c r="CIN1" s="87" t="n"/>
      <c r="CIO1" s="87" t="n"/>
      <c r="CIP1" s="87" t="n"/>
      <c r="CIQ1" s="87" t="n"/>
      <c r="CIR1" s="87" t="n"/>
      <c r="CIS1" s="87" t="n"/>
      <c r="CIT1" s="87" t="n"/>
      <c r="CIU1" s="87" t="n"/>
      <c r="CIV1" s="87" t="n"/>
      <c r="CIW1" s="87" t="n"/>
      <c r="CIX1" s="87" t="n"/>
      <c r="CIY1" s="87" t="n"/>
      <c r="CIZ1" s="87" t="n"/>
      <c r="CJA1" s="87" t="n"/>
      <c r="CJB1" s="87" t="n"/>
      <c r="CJC1" s="87" t="n"/>
      <c r="CJD1" s="87" t="n"/>
      <c r="CJE1" s="87" t="n"/>
      <c r="CJF1" s="87" t="n"/>
      <c r="CJG1" s="87" t="n"/>
      <c r="CJH1" s="87" t="n"/>
      <c r="CJI1" s="87" t="n"/>
      <c r="CJJ1" s="87" t="n"/>
      <c r="CJK1" s="87" t="n"/>
      <c r="CJL1" s="87" t="n"/>
      <c r="CJM1" s="87" t="n"/>
      <c r="CJN1" s="87" t="n"/>
      <c r="CJO1" s="87" t="n"/>
      <c r="CJP1" s="87" t="n"/>
      <c r="CJQ1" s="87" t="n"/>
      <c r="CJR1" s="87" t="n"/>
      <c r="CJS1" s="87" t="n"/>
      <c r="CJT1" s="87" t="n"/>
      <c r="CJU1" s="87" t="n"/>
      <c r="CJV1" s="87" t="n"/>
      <c r="CJW1" s="87" t="n"/>
      <c r="CJX1" s="87" t="n"/>
      <c r="CJY1" s="87" t="n"/>
      <c r="CJZ1" s="87" t="n"/>
      <c r="CKA1" s="87" t="n"/>
      <c r="CKB1" s="87" t="n"/>
      <c r="CKC1" s="87" t="n"/>
      <c r="CKD1" s="87" t="n"/>
      <c r="CKE1" s="87" t="n"/>
      <c r="CKF1" s="87" t="n"/>
      <c r="CKG1" s="87" t="n"/>
      <c r="CKH1" s="87" t="n"/>
      <c r="CKI1" s="87" t="n"/>
      <c r="CKJ1" s="87" t="n"/>
      <c r="CKK1" s="87" t="n"/>
      <c r="CKL1" s="87" t="n"/>
      <c r="CKM1" s="87" t="n"/>
      <c r="CKN1" s="87" t="n"/>
      <c r="CKO1" s="87" t="n"/>
      <c r="CKP1" s="87" t="n"/>
      <c r="CKQ1" s="87" t="n"/>
      <c r="CKR1" s="87" t="n"/>
      <c r="CKS1" s="87" t="n"/>
      <c r="CKT1" s="87" t="n"/>
      <c r="CKU1" s="87" t="n"/>
      <c r="CKV1" s="87" t="n"/>
      <c r="CKW1" s="87" t="n"/>
      <c r="CKX1" s="87" t="n"/>
      <c r="CKY1" s="87" t="n"/>
      <c r="CKZ1" s="87" t="n"/>
      <c r="CLA1" s="87" t="n"/>
      <c r="CLB1" s="87" t="n"/>
      <c r="CLC1" s="87" t="n"/>
      <c r="CLD1" s="87" t="n"/>
      <c r="CLE1" s="87" t="n"/>
      <c r="CLF1" s="87" t="n"/>
      <c r="CLG1" s="87" t="n"/>
      <c r="CLH1" s="87" t="n"/>
      <c r="CLI1" s="87" t="n"/>
      <c r="CLJ1" s="87" t="n"/>
      <c r="CLK1" s="87" t="n"/>
      <c r="CLL1" s="87" t="n"/>
      <c r="CLM1" s="87" t="n"/>
      <c r="CLN1" s="87" t="n"/>
      <c r="CLO1" s="87" t="n"/>
      <c r="CLP1" s="87" t="n"/>
      <c r="CLQ1" s="87" t="n"/>
      <c r="CLR1" s="87" t="n"/>
      <c r="CLS1" s="87" t="n"/>
      <c r="CLT1" s="87" t="n"/>
      <c r="CLU1" s="87" t="n"/>
      <c r="CLV1" s="87" t="n"/>
      <c r="CLW1" s="87" t="n"/>
      <c r="CLX1" s="87" t="n"/>
      <c r="CLY1" s="87" t="n"/>
      <c r="CLZ1" s="87" t="n"/>
      <c r="CMA1" s="87" t="n"/>
      <c r="CMB1" s="87" t="n"/>
      <c r="CMC1" s="87" t="n"/>
      <c r="CMD1" s="87" t="n"/>
      <c r="CME1" s="87" t="n"/>
      <c r="CMF1" s="87" t="n"/>
      <c r="CMG1" s="87" t="n"/>
      <c r="CMH1" s="87" t="n"/>
      <c r="CMI1" s="87" t="n"/>
      <c r="CMJ1" s="87" t="n"/>
      <c r="CMK1" s="87" t="n"/>
      <c r="CML1" s="87" t="n"/>
      <c r="CMM1" s="87" t="n"/>
      <c r="CMN1" s="87" t="n"/>
      <c r="CMO1" s="87" t="n"/>
      <c r="CMP1" s="87" t="n"/>
      <c r="CMQ1" s="87" t="n"/>
      <c r="CMR1" s="87" t="n"/>
      <c r="CMS1" s="87" t="n"/>
      <c r="CMT1" s="87" t="n"/>
      <c r="CMU1" s="87" t="n"/>
      <c r="CMV1" s="87" t="n"/>
      <c r="CMW1" s="87" t="n"/>
      <c r="CMX1" s="87" t="n"/>
      <c r="CMY1" s="87" t="n"/>
      <c r="CMZ1" s="87" t="n"/>
      <c r="CNA1" s="87" t="n"/>
      <c r="CNB1" s="87" t="n"/>
      <c r="CNC1" s="87" t="n"/>
      <c r="CND1" s="87" t="n"/>
      <c r="CNE1" s="87" t="n"/>
      <c r="CNF1" s="87" t="n"/>
      <c r="CNG1" s="87" t="n"/>
      <c r="CNH1" s="87" t="n"/>
      <c r="CNI1" s="87" t="n"/>
      <c r="CNJ1" s="87" t="n"/>
      <c r="CNK1" s="87" t="n"/>
      <c r="CNL1" s="87" t="n"/>
      <c r="CNM1" s="87" t="n"/>
      <c r="CNN1" s="87" t="n"/>
      <c r="CNO1" s="87" t="n"/>
      <c r="CNP1" s="87" t="n"/>
      <c r="CNQ1" s="87" t="n"/>
      <c r="CNR1" s="87" t="n"/>
      <c r="CNS1" s="87" t="n"/>
      <c r="CNT1" s="87" t="n"/>
      <c r="CNU1" s="87" t="n"/>
      <c r="CNV1" s="87" t="n"/>
      <c r="CNW1" s="87" t="n"/>
      <c r="CNX1" s="87" t="n"/>
      <c r="CNY1" s="87" t="n"/>
      <c r="CNZ1" s="87" t="n"/>
      <c r="COA1" s="87" t="n"/>
      <c r="COB1" s="87" t="n"/>
      <c r="COC1" s="87" t="n"/>
      <c r="COD1" s="87" t="n"/>
      <c r="COE1" s="87" t="n"/>
      <c r="COF1" s="87" t="n"/>
      <c r="COG1" s="87" t="n"/>
      <c r="COH1" s="87" t="n"/>
      <c r="COI1" s="87" t="n"/>
      <c r="COJ1" s="87" t="n"/>
      <c r="COK1" s="87" t="n"/>
      <c r="COL1" s="87" t="n"/>
      <c r="COM1" s="87" t="n"/>
      <c r="CON1" s="87" t="n"/>
      <c r="COO1" s="87" t="n"/>
      <c r="COP1" s="87" t="n"/>
      <c r="COQ1" s="87" t="n"/>
      <c r="COR1" s="87" t="n"/>
      <c r="COS1" s="87" t="n"/>
      <c r="COT1" s="87" t="n"/>
      <c r="COU1" s="87" t="n"/>
      <c r="COV1" s="87" t="n"/>
      <c r="COW1" s="87" t="n"/>
      <c r="COX1" s="87" t="n"/>
      <c r="COY1" s="87" t="n"/>
      <c r="COZ1" s="87" t="n"/>
      <c r="CPA1" s="87" t="n"/>
      <c r="CPB1" s="87" t="n"/>
      <c r="CPC1" s="87" t="n"/>
      <c r="CPD1" s="87" t="n"/>
      <c r="CPE1" s="87" t="n"/>
      <c r="CPF1" s="87" t="n"/>
      <c r="CPG1" s="87" t="n"/>
      <c r="CPH1" s="87" t="n"/>
      <c r="CPI1" s="87" t="n"/>
      <c r="CPJ1" s="87" t="n"/>
      <c r="CPK1" s="87" t="n"/>
      <c r="CPL1" s="87" t="n"/>
      <c r="CPM1" s="87" t="n"/>
      <c r="CPN1" s="87" t="n"/>
      <c r="CPO1" s="87" t="n"/>
      <c r="CPP1" s="87" t="n"/>
      <c r="CPQ1" s="87" t="n"/>
      <c r="CPR1" s="87" t="n"/>
      <c r="CPS1" s="87" t="n"/>
      <c r="CPT1" s="87" t="n"/>
      <c r="CPU1" s="87" t="n"/>
      <c r="CPV1" s="87" t="n"/>
      <c r="CPW1" s="87" t="n"/>
      <c r="CPX1" s="87" t="n"/>
      <c r="CPY1" s="87" t="n"/>
      <c r="CPZ1" s="87" t="n"/>
      <c r="CQA1" s="87" t="n"/>
      <c r="CQB1" s="87" t="n"/>
      <c r="CQC1" s="87" t="n"/>
      <c r="CQD1" s="87" t="n"/>
      <c r="CQE1" s="87" t="n"/>
      <c r="CQF1" s="87" t="n"/>
      <c r="CQG1" s="87" t="n"/>
      <c r="CQH1" s="87" t="n"/>
      <c r="CQI1" s="87" t="n"/>
      <c r="CQJ1" s="87" t="n"/>
      <c r="CQK1" s="87" t="n"/>
      <c r="CQL1" s="87" t="n"/>
      <c r="CQM1" s="87" t="n"/>
      <c r="CQN1" s="87" t="n"/>
      <c r="CQO1" s="87" t="n"/>
      <c r="CQP1" s="87" t="n"/>
      <c r="CQQ1" s="87" t="n"/>
      <c r="CQR1" s="87" t="n"/>
      <c r="CQS1" s="87" t="n"/>
      <c r="CQT1" s="87" t="n"/>
      <c r="CQU1" s="87" t="n"/>
      <c r="CQV1" s="87" t="n"/>
      <c r="CQW1" s="87" t="n"/>
      <c r="CQX1" s="87" t="n"/>
      <c r="CQY1" s="87" t="n"/>
      <c r="CQZ1" s="87" t="n"/>
      <c r="CRA1" s="87" t="n"/>
      <c r="CRB1" s="87" t="n"/>
      <c r="CRC1" s="87" t="n"/>
      <c r="CRD1" s="87" t="n"/>
      <c r="CRE1" s="87" t="n"/>
      <c r="CRF1" s="87" t="n"/>
      <c r="CRG1" s="87" t="n"/>
      <c r="CRH1" s="87" t="n"/>
      <c r="CRI1" s="87" t="n"/>
      <c r="CRJ1" s="87" t="n"/>
      <c r="CRK1" s="87" t="n"/>
      <c r="CRL1" s="87" t="n"/>
      <c r="CRM1" s="87" t="n"/>
      <c r="CRN1" s="87" t="n"/>
      <c r="CRO1" s="87" t="n"/>
      <c r="CRP1" s="87" t="n"/>
      <c r="CRQ1" s="87" t="n"/>
      <c r="CRR1" s="87" t="n"/>
      <c r="CRS1" s="87" t="n"/>
      <c r="CRT1" s="87" t="n"/>
      <c r="CRU1" s="87" t="n"/>
      <c r="CRV1" s="87" t="n"/>
      <c r="CRW1" s="87" t="n"/>
      <c r="CRX1" s="87" t="n"/>
      <c r="CRY1" s="87" t="n"/>
      <c r="CRZ1" s="87" t="n"/>
      <c r="CSA1" s="87" t="n"/>
      <c r="CSB1" s="87" t="n"/>
      <c r="CSC1" s="87" t="n"/>
      <c r="CSD1" s="87" t="n"/>
      <c r="CSE1" s="87" t="n"/>
      <c r="CSF1" s="87" t="n"/>
      <c r="CSG1" s="87" t="n"/>
      <c r="CSH1" s="87" t="n"/>
      <c r="CSI1" s="87" t="n"/>
      <c r="CSJ1" s="87" t="n"/>
      <c r="CSK1" s="87" t="n"/>
      <c r="CSL1" s="87" t="n"/>
      <c r="CSM1" s="87" t="n"/>
      <c r="CSN1" s="87" t="n"/>
      <c r="CSO1" s="87" t="n"/>
      <c r="CSP1" s="87" t="n"/>
      <c r="CSQ1" s="87" t="n"/>
      <c r="CSR1" s="87" t="n"/>
      <c r="CSS1" s="87" t="n"/>
      <c r="CST1" s="87" t="n"/>
      <c r="CSU1" s="87" t="n"/>
      <c r="CSV1" s="87" t="n"/>
      <c r="CSW1" s="87" t="n"/>
      <c r="CSX1" s="87" t="n"/>
      <c r="CSY1" s="87" t="n"/>
      <c r="CSZ1" s="87" t="n"/>
      <c r="CTA1" s="87" t="n"/>
      <c r="CTB1" s="87" t="n"/>
      <c r="CTC1" s="87" t="n"/>
      <c r="CTD1" s="87" t="n"/>
      <c r="CTE1" s="87" t="n"/>
      <c r="CTF1" s="87" t="n"/>
      <c r="CTG1" s="87" t="n"/>
      <c r="CTH1" s="87" t="n"/>
      <c r="CTI1" s="87" t="n"/>
      <c r="CTJ1" s="87" t="n"/>
      <c r="CTK1" s="87" t="n"/>
      <c r="CTL1" s="87" t="n"/>
      <c r="CTM1" s="87" t="n"/>
      <c r="CTN1" s="87" t="n"/>
      <c r="CTO1" s="87" t="n"/>
      <c r="CTP1" s="87" t="n"/>
      <c r="CTQ1" s="87" t="n"/>
      <c r="CTR1" s="87" t="n"/>
      <c r="CTS1" s="87" t="n"/>
      <c r="CTT1" s="87" t="n"/>
      <c r="CTU1" s="87" t="n"/>
      <c r="CTV1" s="87" t="n"/>
      <c r="CTW1" s="87" t="n"/>
      <c r="CTX1" s="87" t="n"/>
      <c r="CTY1" s="87" t="n"/>
      <c r="CTZ1" s="87" t="n"/>
      <c r="CUA1" s="87" t="n"/>
      <c r="CUB1" s="87" t="n"/>
      <c r="CUC1" s="87" t="n"/>
      <c r="CUD1" s="87" t="n"/>
      <c r="CUE1" s="87" t="n"/>
      <c r="CUF1" s="87" t="n"/>
      <c r="CUG1" s="87" t="n"/>
      <c r="CUH1" s="87" t="n"/>
      <c r="CUI1" s="87" t="n"/>
      <c r="CUJ1" s="87" t="n"/>
      <c r="CUK1" s="87" t="n"/>
      <c r="CUL1" s="87" t="n"/>
      <c r="CUM1" s="87" t="n"/>
      <c r="CUN1" s="87" t="n"/>
      <c r="CUO1" s="87" t="n"/>
      <c r="CUP1" s="87" t="n"/>
      <c r="CUQ1" s="87" t="n"/>
      <c r="CUR1" s="87" t="n"/>
      <c r="CUS1" s="87" t="n"/>
      <c r="CUT1" s="87" t="n"/>
      <c r="CUU1" s="87" t="n"/>
      <c r="CUV1" s="87" t="n"/>
      <c r="CUW1" s="87" t="n"/>
      <c r="CUX1" s="87" t="n"/>
      <c r="CUY1" s="87" t="n"/>
      <c r="CUZ1" s="87" t="n"/>
      <c r="CVA1" s="87" t="n"/>
      <c r="CVB1" s="87" t="n"/>
      <c r="CVC1" s="87" t="n"/>
      <c r="CVD1" s="87" t="n"/>
      <c r="CVE1" s="87" t="n"/>
      <c r="CVF1" s="87" t="n"/>
      <c r="CVG1" s="87" t="n"/>
      <c r="CVH1" s="87" t="n"/>
      <c r="CVI1" s="87" t="n"/>
      <c r="CVJ1" s="87" t="n"/>
      <c r="CVK1" s="87" t="n"/>
      <c r="CVL1" s="87" t="n"/>
      <c r="CVM1" s="87" t="n"/>
      <c r="CVN1" s="87" t="n"/>
      <c r="CVO1" s="87" t="n"/>
      <c r="CVP1" s="87" t="n"/>
      <c r="CVQ1" s="87" t="n"/>
      <c r="CVR1" s="87" t="n"/>
      <c r="CVS1" s="87" t="n"/>
      <c r="CVT1" s="87" t="n"/>
      <c r="CVU1" s="87" t="n"/>
      <c r="CVV1" s="87" t="n"/>
      <c r="CVW1" s="87" t="n"/>
      <c r="CVX1" s="87" t="n"/>
      <c r="CVY1" s="87" t="n"/>
      <c r="CVZ1" s="87" t="n"/>
      <c r="CWA1" s="87" t="n"/>
      <c r="CWB1" s="87" t="n"/>
      <c r="CWC1" s="87" t="n"/>
      <c r="CWD1" s="87" t="n"/>
      <c r="CWE1" s="87" t="n"/>
      <c r="CWF1" s="87" t="n"/>
      <c r="CWG1" s="87" t="n"/>
      <c r="CWH1" s="87" t="n"/>
      <c r="CWI1" s="87" t="n"/>
      <c r="CWJ1" s="87" t="n"/>
      <c r="CWK1" s="87" t="n"/>
      <c r="CWL1" s="87" t="n"/>
      <c r="CWM1" s="87" t="n"/>
      <c r="CWN1" s="87" t="n"/>
      <c r="CWO1" s="87" t="n"/>
      <c r="CWP1" s="87" t="n"/>
      <c r="CWQ1" s="87" t="n"/>
      <c r="CWR1" s="87" t="n"/>
      <c r="CWS1" s="87" t="n"/>
      <c r="CWT1" s="87" t="n"/>
      <c r="CWU1" s="87" t="n"/>
      <c r="CWV1" s="87" t="n"/>
      <c r="CWW1" s="87" t="n"/>
      <c r="CWX1" s="87" t="n"/>
      <c r="CWY1" s="87" t="n"/>
      <c r="CWZ1" s="87" t="n"/>
      <c r="CXA1" s="87" t="n"/>
      <c r="CXB1" s="87" t="n"/>
      <c r="CXC1" s="87" t="n"/>
      <c r="CXD1" s="87" t="n"/>
      <c r="CXE1" s="87" t="n"/>
      <c r="CXF1" s="87" t="n"/>
      <c r="CXG1" s="87" t="n"/>
      <c r="CXH1" s="87" t="n"/>
      <c r="CXI1" s="87" t="n"/>
      <c r="CXJ1" s="87" t="n"/>
      <c r="CXK1" s="87" t="n"/>
      <c r="CXL1" s="87" t="n"/>
      <c r="CXM1" s="87" t="n"/>
      <c r="CXN1" s="87" t="n"/>
      <c r="CXO1" s="87" t="n"/>
      <c r="CXP1" s="87" t="n"/>
      <c r="CXQ1" s="87" t="n"/>
      <c r="CXR1" s="87" t="n"/>
      <c r="CXS1" s="87" t="n"/>
      <c r="CXT1" s="87" t="n"/>
      <c r="CXU1" s="87" t="n"/>
      <c r="CXV1" s="87" t="n"/>
      <c r="CXW1" s="87" t="n"/>
      <c r="CXX1" s="87" t="n"/>
      <c r="CXY1" s="87" t="n"/>
      <c r="CXZ1" s="87" t="n"/>
      <c r="CYA1" s="87" t="n"/>
      <c r="CYB1" s="87" t="n"/>
      <c r="CYC1" s="87" t="n"/>
      <c r="CYD1" s="87" t="n"/>
      <c r="CYE1" s="87" t="n"/>
      <c r="CYF1" s="87" t="n"/>
      <c r="CYG1" s="87" t="n"/>
      <c r="CYH1" s="87" t="n"/>
      <c r="CYI1" s="87" t="n"/>
      <c r="CYJ1" s="87" t="n"/>
      <c r="CYK1" s="87" t="n"/>
      <c r="CYL1" s="87" t="n"/>
      <c r="CYM1" s="87" t="n"/>
      <c r="CYN1" s="87" t="n"/>
      <c r="CYO1" s="87" t="n"/>
      <c r="CYP1" s="87" t="n"/>
      <c r="CYQ1" s="87" t="n"/>
      <c r="CYR1" s="87" t="n"/>
      <c r="CYS1" s="87" t="n"/>
      <c r="CYT1" s="87" t="n"/>
      <c r="CYU1" s="87" t="n"/>
      <c r="CYV1" s="87" t="n"/>
      <c r="CYW1" s="87" t="n"/>
      <c r="CYX1" s="87" t="n"/>
      <c r="CYY1" s="87" t="n"/>
      <c r="CYZ1" s="87" t="n"/>
      <c r="CZA1" s="87" t="n"/>
      <c r="CZB1" s="87" t="n"/>
      <c r="CZC1" s="87" t="n"/>
      <c r="CZD1" s="87" t="n"/>
      <c r="CZE1" s="87" t="n"/>
      <c r="CZF1" s="87" t="n"/>
      <c r="CZG1" s="87" t="n"/>
      <c r="CZH1" s="87" t="n"/>
      <c r="CZI1" s="87" t="n"/>
      <c r="CZJ1" s="87" t="n"/>
      <c r="CZK1" s="87" t="n"/>
      <c r="CZL1" s="87" t="n"/>
      <c r="CZM1" s="87" t="n"/>
      <c r="CZN1" s="87" t="n"/>
      <c r="CZO1" s="87" t="n"/>
      <c r="CZP1" s="87" t="n"/>
      <c r="CZQ1" s="87" t="n"/>
      <c r="CZR1" s="87" t="n"/>
      <c r="CZS1" s="87" t="n"/>
      <c r="CZT1" s="87" t="n"/>
      <c r="CZU1" s="87" t="n"/>
      <c r="CZV1" s="87" t="n"/>
      <c r="CZW1" s="87" t="n"/>
      <c r="CZX1" s="87" t="n"/>
      <c r="CZY1" s="87" t="n"/>
      <c r="CZZ1" s="87" t="n"/>
      <c r="DAA1" s="87" t="n"/>
      <c r="DAB1" s="87" t="n"/>
      <c r="DAC1" s="87" t="n"/>
      <c r="DAD1" s="87" t="n"/>
      <c r="DAE1" s="87" t="n"/>
      <c r="DAF1" s="87" t="n"/>
      <c r="DAG1" s="87" t="n"/>
      <c r="DAH1" s="87" t="n"/>
      <c r="DAI1" s="87" t="n"/>
      <c r="DAJ1" s="87" t="n"/>
      <c r="DAK1" s="87" t="n"/>
      <c r="DAL1" s="87" t="n"/>
      <c r="DAM1" s="87" t="n"/>
      <c r="DAN1" s="87" t="n"/>
      <c r="DAO1" s="87" t="n"/>
      <c r="DAP1" s="87" t="n"/>
      <c r="DAQ1" s="87" t="n"/>
      <c r="DAR1" s="87" t="n"/>
      <c r="DAS1" s="87" t="n"/>
      <c r="DAT1" s="87" t="n"/>
      <c r="DAU1" s="87" t="n"/>
      <c r="DAV1" s="87" t="n"/>
      <c r="DAW1" s="87" t="n"/>
      <c r="DAX1" s="87" t="n"/>
      <c r="DAY1" s="87" t="n"/>
      <c r="DAZ1" s="87" t="n"/>
      <c r="DBA1" s="87" t="n"/>
      <c r="DBB1" s="87" t="n"/>
      <c r="DBC1" s="87" t="n"/>
      <c r="DBD1" s="87" t="n"/>
      <c r="DBE1" s="87" t="n"/>
      <c r="DBF1" s="87" t="n"/>
      <c r="DBG1" s="87" t="n"/>
      <c r="DBH1" s="87" t="n"/>
      <c r="DBI1" s="87" t="n"/>
      <c r="DBJ1" s="87" t="n"/>
      <c r="DBK1" s="87" t="n"/>
      <c r="DBL1" s="87" t="n"/>
      <c r="DBM1" s="87" t="n"/>
      <c r="DBN1" s="87" t="n"/>
      <c r="DBO1" s="87" t="n"/>
      <c r="DBP1" s="87" t="n"/>
      <c r="DBQ1" s="87" t="n"/>
      <c r="DBR1" s="87" t="n"/>
      <c r="DBS1" s="87" t="n"/>
      <c r="DBT1" s="87" t="n"/>
      <c r="DBU1" s="87" t="n"/>
      <c r="DBV1" s="87" t="n"/>
      <c r="DBW1" s="87" t="n"/>
      <c r="DBX1" s="87" t="n"/>
      <c r="DBY1" s="87" t="n"/>
      <c r="DBZ1" s="87" t="n"/>
      <c r="DCA1" s="87" t="n"/>
      <c r="DCB1" s="87" t="n"/>
      <c r="DCC1" s="87" t="n"/>
      <c r="DCD1" s="87" t="n"/>
      <c r="DCE1" s="87" t="n"/>
      <c r="DCF1" s="87" t="n"/>
      <c r="DCG1" s="87" t="n"/>
      <c r="DCH1" s="87" t="n"/>
      <c r="DCI1" s="87" t="n"/>
      <c r="DCJ1" s="87" t="n"/>
      <c r="DCK1" s="87" t="n"/>
      <c r="DCL1" s="87" t="n"/>
      <c r="DCM1" s="87" t="n"/>
      <c r="DCN1" s="87" t="n"/>
      <c r="DCO1" s="87" t="n"/>
      <c r="DCP1" s="87" t="n"/>
      <c r="DCQ1" s="87" t="n"/>
      <c r="DCR1" s="87" t="n"/>
      <c r="DCS1" s="87" t="n"/>
      <c r="DCT1" s="87" t="n"/>
      <c r="DCU1" s="87" t="n"/>
      <c r="DCV1" s="87" t="n"/>
      <c r="DCW1" s="87" t="n"/>
      <c r="DCX1" s="87" t="n"/>
      <c r="DCY1" s="87" t="n"/>
      <c r="DCZ1" s="87" t="n"/>
      <c r="DDA1" s="87" t="n"/>
      <c r="DDB1" s="87" t="n"/>
      <c r="DDC1" s="87" t="n"/>
      <c r="DDD1" s="87" t="n"/>
      <c r="DDE1" s="87" t="n"/>
      <c r="DDF1" s="87" t="n"/>
      <c r="DDG1" s="87" t="n"/>
      <c r="DDH1" s="87" t="n"/>
      <c r="DDI1" s="87" t="n"/>
      <c r="DDJ1" s="87" t="n"/>
      <c r="DDK1" s="87" t="n"/>
      <c r="DDL1" s="87" t="n"/>
      <c r="DDM1" s="87" t="n"/>
      <c r="DDN1" s="87" t="n"/>
      <c r="DDO1" s="87" t="n"/>
      <c r="DDP1" s="87" t="n"/>
      <c r="DDQ1" s="87" t="n"/>
      <c r="DDR1" s="87" t="n"/>
      <c r="DDS1" s="87" t="n"/>
      <c r="DDT1" s="87" t="n"/>
      <c r="DDU1" s="87" t="n"/>
      <c r="DDV1" s="87" t="n"/>
      <c r="DDW1" s="87" t="n"/>
      <c r="DDX1" s="87" t="n"/>
      <c r="DDY1" s="87" t="n"/>
      <c r="DDZ1" s="87" t="n"/>
      <c r="DEA1" s="87" t="n"/>
      <c r="DEB1" s="87" t="n"/>
      <c r="DEC1" s="87" t="n"/>
      <c r="DED1" s="87" t="n"/>
      <c r="DEE1" s="87" t="n"/>
      <c r="DEF1" s="87" t="n"/>
      <c r="DEG1" s="87" t="n"/>
      <c r="DEH1" s="87" t="n"/>
      <c r="DEI1" s="87" t="n"/>
      <c r="DEJ1" s="87" t="n"/>
      <c r="DEK1" s="87" t="n"/>
      <c r="DEL1" s="87" t="n"/>
      <c r="DEM1" s="87" t="n"/>
      <c r="DEN1" s="87" t="n"/>
      <c r="DEO1" s="87" t="n"/>
      <c r="DEP1" s="87" t="n"/>
      <c r="DEQ1" s="87" t="n"/>
      <c r="DER1" s="87" t="n"/>
      <c r="DES1" s="87" t="n"/>
      <c r="DET1" s="87" t="n"/>
      <c r="DEU1" s="87" t="n"/>
      <c r="DEV1" s="87" t="n"/>
      <c r="DEW1" s="87" t="n"/>
      <c r="DEX1" s="87" t="n"/>
      <c r="DEY1" s="87" t="n"/>
      <c r="DEZ1" s="87" t="n"/>
      <c r="DFA1" s="87" t="n"/>
      <c r="DFB1" s="87" t="n"/>
      <c r="DFC1" s="87" t="n"/>
      <c r="DFD1" s="87" t="n"/>
      <c r="DFE1" s="87" t="n"/>
      <c r="DFF1" s="87" t="n"/>
      <c r="DFG1" s="87" t="n"/>
      <c r="DFH1" s="87" t="n"/>
      <c r="DFI1" s="87" t="n"/>
      <c r="DFJ1" s="87" t="n"/>
      <c r="DFK1" s="87" t="n"/>
      <c r="DFL1" s="87" t="n"/>
      <c r="DFM1" s="87" t="n"/>
      <c r="DFN1" s="87" t="n"/>
      <c r="DFO1" s="87" t="n"/>
      <c r="DFP1" s="87" t="n"/>
      <c r="DFQ1" s="87" t="n"/>
      <c r="DFR1" s="87" t="n"/>
      <c r="DFS1" s="87" t="n"/>
      <c r="DFT1" s="87" t="n"/>
      <c r="DFU1" s="87" t="n"/>
      <c r="DFV1" s="87" t="n"/>
      <c r="DFW1" s="87" t="n"/>
      <c r="DFX1" s="87" t="n"/>
      <c r="DFY1" s="87" t="n"/>
      <c r="DFZ1" s="87" t="n"/>
      <c r="DGA1" s="87" t="n"/>
      <c r="DGB1" s="87" t="n"/>
      <c r="DGC1" s="87" t="n"/>
      <c r="DGD1" s="87" t="n"/>
      <c r="DGE1" s="87" t="n"/>
      <c r="DGF1" s="87" t="n"/>
      <c r="DGG1" s="87" t="n"/>
      <c r="DGH1" s="87" t="n"/>
      <c r="DGI1" s="87" t="n"/>
      <c r="DGJ1" s="87" t="n"/>
      <c r="DGK1" s="87" t="n"/>
      <c r="DGL1" s="87" t="n"/>
      <c r="DGM1" s="87" t="n"/>
      <c r="DGN1" s="87" t="n"/>
      <c r="DGO1" s="87" t="n"/>
      <c r="DGP1" s="87" t="n"/>
      <c r="DGQ1" s="87" t="n"/>
      <c r="DGR1" s="87" t="n"/>
      <c r="DGS1" s="87" t="n"/>
      <c r="DGT1" s="87" t="n"/>
      <c r="DGU1" s="87" t="n"/>
      <c r="DGV1" s="87" t="n"/>
      <c r="DGW1" s="87" t="n"/>
      <c r="DGX1" s="87" t="n"/>
      <c r="DGY1" s="87" t="n"/>
      <c r="DGZ1" s="87" t="n"/>
      <c r="DHA1" s="87" t="n"/>
      <c r="DHB1" s="87" t="n"/>
      <c r="DHC1" s="87" t="n"/>
      <c r="DHD1" s="87" t="n"/>
      <c r="DHE1" s="87" t="n"/>
      <c r="DHF1" s="87" t="n"/>
      <c r="DHG1" s="87" t="n"/>
      <c r="DHH1" s="87" t="n"/>
      <c r="DHI1" s="87" t="n"/>
      <c r="DHJ1" s="87" t="n"/>
      <c r="DHK1" s="87" t="n"/>
      <c r="DHL1" s="87" t="n"/>
      <c r="DHM1" s="87" t="n"/>
      <c r="DHN1" s="87" t="n"/>
      <c r="DHO1" s="87" t="n"/>
      <c r="DHP1" s="87" t="n"/>
      <c r="DHQ1" s="87" t="n"/>
      <c r="DHR1" s="87" t="n"/>
      <c r="DHS1" s="87" t="n"/>
      <c r="DHT1" s="87" t="n"/>
      <c r="DHU1" s="87" t="n"/>
      <c r="DHV1" s="87" t="n"/>
      <c r="DHW1" s="87" t="n"/>
      <c r="DHX1" s="87" t="n"/>
      <c r="DHY1" s="87" t="n"/>
      <c r="DHZ1" s="87" t="n"/>
      <c r="DIA1" s="87" t="n"/>
      <c r="DIB1" s="87" t="n"/>
      <c r="DIC1" s="87" t="n"/>
      <c r="DID1" s="87" t="n"/>
      <c r="DIE1" s="87" t="n"/>
      <c r="DIF1" s="87" t="n"/>
      <c r="DIG1" s="87" t="n"/>
      <c r="DIH1" s="87" t="n"/>
      <c r="DII1" s="87" t="n"/>
      <c r="DIJ1" s="87" t="n"/>
      <c r="DIK1" s="87" t="n"/>
      <c r="DIL1" s="87" t="n"/>
      <c r="DIM1" s="87" t="n"/>
      <c r="DIN1" s="87" t="n"/>
      <c r="DIO1" s="87" t="n"/>
      <c r="DIP1" s="87" t="n"/>
      <c r="DIQ1" s="87" t="n"/>
      <c r="DIR1" s="87" t="n"/>
      <c r="DIS1" s="87" t="n"/>
      <c r="DIT1" s="87" t="n"/>
      <c r="DIU1" s="87" t="n"/>
      <c r="DIV1" s="87" t="n"/>
      <c r="DIW1" s="87" t="n"/>
      <c r="DIX1" s="87" t="n"/>
      <c r="DIY1" s="87" t="n"/>
      <c r="DIZ1" s="87" t="n"/>
      <c r="DJA1" s="87" t="n"/>
      <c r="DJB1" s="87" t="n"/>
      <c r="DJC1" s="87" t="n"/>
      <c r="DJD1" s="87" t="n"/>
      <c r="DJE1" s="87" t="n"/>
      <c r="DJF1" s="87" t="n"/>
      <c r="DJG1" s="87" t="n"/>
      <c r="DJH1" s="87" t="n"/>
      <c r="DJI1" s="87" t="n"/>
      <c r="DJJ1" s="87" t="n"/>
      <c r="DJK1" s="87" t="n"/>
      <c r="DJL1" s="87" t="n"/>
      <c r="DJM1" s="87" t="n"/>
      <c r="DJN1" s="87" t="n"/>
      <c r="DJO1" s="87" t="n"/>
      <c r="DJP1" s="87" t="n"/>
      <c r="DJQ1" s="87" t="n"/>
      <c r="DJR1" s="87" t="n"/>
      <c r="DJS1" s="87" t="n"/>
      <c r="DJT1" s="87" t="n"/>
      <c r="DJU1" s="87" t="n"/>
      <c r="DJV1" s="87" t="n"/>
      <c r="DJW1" s="87" t="n"/>
      <c r="DJX1" s="87" t="n"/>
      <c r="DJY1" s="87" t="n"/>
      <c r="DJZ1" s="87" t="n"/>
      <c r="DKA1" s="87" t="n"/>
      <c r="DKB1" s="87" t="n"/>
      <c r="DKC1" s="87" t="n"/>
      <c r="DKD1" s="87" t="n"/>
      <c r="DKE1" s="87" t="n"/>
      <c r="DKF1" s="87" t="n"/>
      <c r="DKG1" s="87" t="n"/>
      <c r="DKH1" s="87" t="n"/>
      <c r="DKI1" s="87" t="n"/>
      <c r="DKJ1" s="87" t="n"/>
      <c r="DKK1" s="87" t="n"/>
      <c r="DKL1" s="87" t="n"/>
      <c r="DKM1" s="87" t="n"/>
      <c r="DKN1" s="87" t="n"/>
      <c r="DKO1" s="87" t="n"/>
      <c r="DKP1" s="87" t="n"/>
      <c r="DKQ1" s="87" t="n"/>
      <c r="DKR1" s="87" t="n"/>
      <c r="DKS1" s="87" t="n"/>
      <c r="DKT1" s="87" t="n"/>
      <c r="DKU1" s="87" t="n"/>
      <c r="DKV1" s="87" t="n"/>
      <c r="DKW1" s="87" t="n"/>
      <c r="DKX1" s="87" t="n"/>
      <c r="DKY1" s="87" t="n"/>
      <c r="DKZ1" s="87" t="n"/>
      <c r="DLA1" s="87" t="n"/>
      <c r="DLB1" s="87" t="n"/>
      <c r="DLC1" s="87" t="n"/>
      <c r="DLD1" s="87" t="n"/>
      <c r="DLE1" s="87" t="n"/>
      <c r="DLF1" s="87" t="n"/>
      <c r="DLG1" s="87" t="n"/>
      <c r="DLH1" s="87" t="n"/>
      <c r="DLI1" s="87" t="n"/>
      <c r="DLJ1" s="87" t="n"/>
      <c r="DLK1" s="87" t="n"/>
      <c r="DLL1" s="87" t="n"/>
      <c r="DLM1" s="87" t="n"/>
      <c r="DLN1" s="87" t="n"/>
      <c r="DLO1" s="87" t="n"/>
      <c r="DLP1" s="87" t="n"/>
      <c r="DLQ1" s="87" t="n"/>
      <c r="DLR1" s="87" t="n"/>
      <c r="DLS1" s="87" t="n"/>
      <c r="DLT1" s="87" t="n"/>
      <c r="DLU1" s="87" t="n"/>
      <c r="DLV1" s="87" t="n"/>
      <c r="DLW1" s="87" t="n"/>
      <c r="DLX1" s="87" t="n"/>
      <c r="DLY1" s="87" t="n"/>
      <c r="DLZ1" s="87" t="n"/>
      <c r="DMA1" s="87" t="n"/>
      <c r="DMB1" s="87" t="n"/>
      <c r="DMC1" s="87" t="n"/>
      <c r="DMD1" s="87" t="n"/>
      <c r="DME1" s="87" t="n"/>
      <c r="DMF1" s="87" t="n"/>
      <c r="DMG1" s="87" t="n"/>
      <c r="DMH1" s="87" t="n"/>
      <c r="DMI1" s="87" t="n"/>
      <c r="DMJ1" s="87" t="n"/>
      <c r="DMK1" s="87" t="n"/>
      <c r="DML1" s="87" t="n"/>
      <c r="DMM1" s="87" t="n"/>
      <c r="DMN1" s="87" t="n"/>
      <c r="DMO1" s="87" t="n"/>
      <c r="DMP1" s="87" t="n"/>
      <c r="DMQ1" s="87" t="n"/>
      <c r="DMR1" s="87" t="n"/>
      <c r="DMS1" s="87" t="n"/>
      <c r="DMT1" s="87" t="n"/>
      <c r="DMU1" s="87" t="n"/>
      <c r="DMV1" s="87" t="n"/>
      <c r="DMW1" s="87" t="n"/>
      <c r="DMX1" s="87" t="n"/>
      <c r="DMY1" s="87" t="n"/>
      <c r="DMZ1" s="87" t="n"/>
      <c r="DNA1" s="87" t="n"/>
      <c r="DNB1" s="87" t="n"/>
      <c r="DNC1" s="87" t="n"/>
      <c r="DND1" s="87" t="n"/>
      <c r="DNE1" s="87" t="n"/>
      <c r="DNF1" s="87" t="n"/>
      <c r="DNG1" s="87" t="n"/>
      <c r="DNH1" s="87" t="n"/>
      <c r="DNI1" s="87" t="n"/>
      <c r="DNJ1" s="87" t="n"/>
      <c r="DNK1" s="87" t="n"/>
      <c r="DNL1" s="87" t="n"/>
      <c r="DNM1" s="87" t="n"/>
      <c r="DNN1" s="87" t="n"/>
      <c r="DNO1" s="87" t="n"/>
      <c r="DNP1" s="87" t="n"/>
      <c r="DNQ1" s="87" t="n"/>
      <c r="DNR1" s="87" t="n"/>
      <c r="DNS1" s="87" t="n"/>
      <c r="DNT1" s="87" t="n"/>
      <c r="DNU1" s="87" t="n"/>
      <c r="DNV1" s="87" t="n"/>
      <c r="DNW1" s="87" t="n"/>
      <c r="DNX1" s="87" t="n"/>
      <c r="DNY1" s="87" t="n"/>
      <c r="DNZ1" s="87" t="n"/>
      <c r="DOA1" s="87" t="n"/>
      <c r="DOB1" s="87" t="n"/>
      <c r="DOC1" s="87" t="n"/>
      <c r="DOD1" s="87" t="n"/>
      <c r="DOE1" s="87" t="n"/>
      <c r="DOF1" s="87" t="n"/>
      <c r="DOG1" s="87" t="n"/>
      <c r="DOH1" s="87" t="n"/>
      <c r="DOI1" s="87" t="n"/>
      <c r="DOJ1" s="87" t="n"/>
      <c r="DOK1" s="87" t="n"/>
      <c r="DOL1" s="87" t="n"/>
      <c r="DOM1" s="87" t="n"/>
      <c r="DON1" s="87" t="n"/>
      <c r="DOO1" s="87" t="n"/>
      <c r="DOP1" s="87" t="n"/>
      <c r="DOQ1" s="87" t="n"/>
      <c r="DOR1" s="87" t="n"/>
      <c r="DOS1" s="87" t="n"/>
      <c r="DOT1" s="87" t="n"/>
      <c r="DOU1" s="87" t="n"/>
      <c r="DOV1" s="87" t="n"/>
      <c r="DOW1" s="87" t="n"/>
      <c r="DOX1" s="87" t="n"/>
      <c r="DOY1" s="87" t="n"/>
      <c r="DOZ1" s="87" t="n"/>
      <c r="DPA1" s="87" t="n"/>
      <c r="DPB1" s="87" t="n"/>
      <c r="DPC1" s="87" t="n"/>
      <c r="DPD1" s="87" t="n"/>
      <c r="DPE1" s="87" t="n"/>
      <c r="DPF1" s="87" t="n"/>
      <c r="DPG1" s="87" t="n"/>
      <c r="DPH1" s="87" t="n"/>
      <c r="DPI1" s="87" t="n"/>
      <c r="DPJ1" s="87" t="n"/>
      <c r="DPK1" s="87" t="n"/>
      <c r="DPL1" s="87" t="n"/>
      <c r="DPM1" s="87" t="n"/>
      <c r="DPN1" s="87" t="n"/>
      <c r="DPO1" s="87" t="n"/>
      <c r="DPP1" s="87" t="n"/>
      <c r="DPQ1" s="87" t="n"/>
      <c r="DPR1" s="87" t="n"/>
      <c r="DPS1" s="87" t="n"/>
      <c r="DPT1" s="87" t="n"/>
      <c r="DPU1" s="87" t="n"/>
      <c r="DPV1" s="87" t="n"/>
      <c r="DPW1" s="87" t="n"/>
      <c r="DPX1" s="87" t="n"/>
      <c r="DPY1" s="87" t="n"/>
      <c r="DPZ1" s="87" t="n"/>
      <c r="DQA1" s="87" t="n"/>
      <c r="DQB1" s="87" t="n"/>
      <c r="DQC1" s="87" t="n"/>
      <c r="DQD1" s="87" t="n"/>
      <c r="DQE1" s="87" t="n"/>
      <c r="DQF1" s="87" t="n"/>
      <c r="DQG1" s="87" t="n"/>
      <c r="DQH1" s="87" t="n"/>
      <c r="DQI1" s="87" t="n"/>
      <c r="DQJ1" s="87" t="n"/>
      <c r="DQK1" s="87" t="n"/>
      <c r="DQL1" s="87" t="n"/>
      <c r="DQM1" s="87" t="n"/>
      <c r="DQN1" s="87" t="n"/>
      <c r="DQO1" s="87" t="n"/>
      <c r="DQP1" s="87" t="n"/>
      <c r="DQQ1" s="87" t="n"/>
      <c r="DQR1" s="87" t="n"/>
      <c r="DQS1" s="87" t="n"/>
      <c r="DQT1" s="87" t="n"/>
      <c r="DQU1" s="87" t="n"/>
      <c r="DQV1" s="87" t="n"/>
      <c r="DQW1" s="87" t="n"/>
      <c r="DQX1" s="87" t="n"/>
      <c r="DQY1" s="87" t="n"/>
      <c r="DQZ1" s="87" t="n"/>
      <c r="DRA1" s="87" t="n"/>
      <c r="DRB1" s="87" t="n"/>
      <c r="DRC1" s="87" t="n"/>
      <c r="DRD1" s="87" t="n"/>
      <c r="DRE1" s="87" t="n"/>
      <c r="DRF1" s="87" t="n"/>
      <c r="DRG1" s="87" t="n"/>
      <c r="DRH1" s="87" t="n"/>
      <c r="DRI1" s="87" t="n"/>
      <c r="DRJ1" s="87" t="n"/>
      <c r="DRK1" s="87" t="n"/>
      <c r="DRL1" s="87" t="n"/>
      <c r="DRM1" s="87" t="n"/>
      <c r="DRN1" s="87" t="n"/>
      <c r="DRO1" s="87" t="n"/>
      <c r="DRP1" s="87" t="n"/>
      <c r="DRQ1" s="87" t="n"/>
      <c r="DRR1" s="87" t="n"/>
      <c r="DRS1" s="87" t="n"/>
      <c r="DRT1" s="87" t="n"/>
      <c r="DRU1" s="87" t="n"/>
      <c r="DRV1" s="87" t="n"/>
      <c r="DRW1" s="87" t="n"/>
      <c r="DRX1" s="87" t="n"/>
      <c r="DRY1" s="87" t="n"/>
      <c r="DRZ1" s="87" t="n"/>
      <c r="DSA1" s="87" t="n"/>
      <c r="DSB1" s="87" t="n"/>
      <c r="DSC1" s="87" t="n"/>
      <c r="DSD1" s="87" t="n"/>
      <c r="DSE1" s="87" t="n"/>
      <c r="DSF1" s="87" t="n"/>
      <c r="DSG1" s="87" t="n"/>
      <c r="DSH1" s="87" t="n"/>
      <c r="DSI1" s="87" t="n"/>
      <c r="DSJ1" s="87" t="n"/>
      <c r="DSK1" s="87" t="n"/>
      <c r="DSL1" s="87" t="n"/>
      <c r="DSM1" s="87" t="n"/>
      <c r="DSN1" s="87" t="n"/>
      <c r="DSO1" s="87" t="n"/>
      <c r="DSP1" s="87" t="n"/>
      <c r="DSQ1" s="87" t="n"/>
      <c r="DSR1" s="87" t="n"/>
      <c r="DSS1" s="87" t="n"/>
      <c r="DST1" s="87" t="n"/>
      <c r="DSU1" s="87" t="n"/>
      <c r="DSV1" s="87" t="n"/>
      <c r="DSW1" s="87" t="n"/>
      <c r="DSX1" s="87" t="n"/>
      <c r="DSY1" s="87" t="n"/>
      <c r="DSZ1" s="87" t="n"/>
      <c r="DTA1" s="87" t="n"/>
      <c r="DTB1" s="87" t="n"/>
      <c r="DTC1" s="87" t="n"/>
      <c r="DTD1" s="87" t="n"/>
      <c r="DTE1" s="87" t="n"/>
      <c r="DTF1" s="87" t="n"/>
      <c r="DTG1" s="87" t="n"/>
      <c r="DTH1" s="87" t="n"/>
      <c r="DTI1" s="87" t="n"/>
      <c r="DTJ1" s="87" t="n"/>
      <c r="DTK1" s="87" t="n"/>
      <c r="DTL1" s="87" t="n"/>
      <c r="DTM1" s="87" t="n"/>
      <c r="DTN1" s="87" t="n"/>
      <c r="DTO1" s="87" t="n"/>
      <c r="DTP1" s="87" t="n"/>
      <c r="DTQ1" s="87" t="n"/>
      <c r="DTR1" s="87" t="n"/>
      <c r="DTS1" s="87" t="n"/>
      <c r="DTT1" s="87" t="n"/>
      <c r="DTU1" s="87" t="n"/>
      <c r="DTV1" s="87" t="n"/>
      <c r="DTW1" s="87" t="n"/>
      <c r="DTX1" s="87" t="n"/>
      <c r="DTY1" s="87" t="n"/>
      <c r="DTZ1" s="87" t="n"/>
      <c r="DUA1" s="87" t="n"/>
      <c r="DUB1" s="87" t="n"/>
      <c r="DUC1" s="87" t="n"/>
      <c r="DUD1" s="87" t="n"/>
      <c r="DUE1" s="87" t="n"/>
      <c r="DUF1" s="87" t="n"/>
      <c r="DUG1" s="87" t="n"/>
      <c r="DUH1" s="87" t="n"/>
      <c r="DUI1" s="87" t="n"/>
      <c r="DUJ1" s="87" t="n"/>
      <c r="DUK1" s="87" t="n"/>
      <c r="DUL1" s="87" t="n"/>
      <c r="DUM1" s="87" t="n"/>
      <c r="DUN1" s="87" t="n"/>
      <c r="DUO1" s="87" t="n"/>
      <c r="DUP1" s="87" t="n"/>
      <c r="DUQ1" s="87" t="n"/>
      <c r="DUR1" s="87" t="n"/>
      <c r="DUS1" s="87" t="n"/>
      <c r="DUT1" s="87" t="n"/>
      <c r="DUU1" s="87" t="n"/>
      <c r="DUV1" s="87" t="n"/>
      <c r="DUW1" s="87" t="n"/>
      <c r="DUX1" s="87" t="n"/>
      <c r="DUY1" s="87" t="n"/>
      <c r="DUZ1" s="87" t="n"/>
      <c r="DVA1" s="87" t="n"/>
      <c r="DVB1" s="87" t="n"/>
      <c r="DVC1" s="87" t="n"/>
      <c r="DVD1" s="87" t="n"/>
      <c r="DVE1" s="87" t="n"/>
      <c r="DVF1" s="87" t="n"/>
      <c r="DVG1" s="87" t="n"/>
      <c r="DVH1" s="87" t="n"/>
      <c r="DVI1" s="87" t="n"/>
      <c r="DVJ1" s="87" t="n"/>
      <c r="DVK1" s="87" t="n"/>
      <c r="DVL1" s="87" t="n"/>
      <c r="DVM1" s="87" t="n"/>
      <c r="DVN1" s="87" t="n"/>
      <c r="DVO1" s="87" t="n"/>
      <c r="DVP1" s="87" t="n"/>
      <c r="DVQ1" s="87" t="n"/>
      <c r="DVR1" s="87" t="n"/>
      <c r="DVS1" s="87" t="n"/>
      <c r="DVT1" s="87" t="n"/>
      <c r="DVU1" s="87" t="n"/>
      <c r="DVV1" s="87" t="n"/>
      <c r="DVW1" s="87" t="n"/>
      <c r="DVX1" s="87" t="n"/>
      <c r="DVY1" s="87" t="n"/>
      <c r="DVZ1" s="87" t="n"/>
      <c r="DWA1" s="87" t="n"/>
      <c r="DWB1" s="87" t="n"/>
      <c r="DWC1" s="87" t="n"/>
      <c r="DWD1" s="87" t="n"/>
      <c r="DWE1" s="87" t="n"/>
      <c r="DWF1" s="87" t="n"/>
      <c r="DWG1" s="87" t="n"/>
      <c r="DWH1" s="87" t="n"/>
      <c r="DWI1" s="87" t="n"/>
      <c r="DWJ1" s="87" t="n"/>
      <c r="DWK1" s="87" t="n"/>
      <c r="DWL1" s="87" t="n"/>
      <c r="DWM1" s="87" t="n"/>
      <c r="DWN1" s="87" t="n"/>
      <c r="DWO1" s="87" t="n"/>
      <c r="DWP1" s="87" t="n"/>
      <c r="DWQ1" s="87" t="n"/>
      <c r="DWR1" s="87" t="n"/>
      <c r="DWS1" s="87" t="n"/>
      <c r="DWT1" s="87" t="n"/>
      <c r="DWU1" s="87" t="n"/>
      <c r="DWV1" s="87" t="n"/>
      <c r="DWW1" s="87" t="n"/>
      <c r="DWX1" s="87" t="n"/>
      <c r="DWY1" s="87" t="n"/>
      <c r="DWZ1" s="87" t="n"/>
      <c r="DXA1" s="87" t="n"/>
      <c r="DXB1" s="87" t="n"/>
      <c r="DXC1" s="87" t="n"/>
      <c r="DXD1" s="87" t="n"/>
      <c r="DXE1" s="87" t="n"/>
      <c r="DXF1" s="87" t="n"/>
      <c r="DXG1" s="87" t="n"/>
      <c r="DXH1" s="87" t="n"/>
      <c r="DXI1" s="87" t="n"/>
      <c r="DXJ1" s="87" t="n"/>
      <c r="DXK1" s="87" t="n"/>
      <c r="DXL1" s="87" t="n"/>
      <c r="DXM1" s="87" t="n"/>
      <c r="DXN1" s="87" t="n"/>
      <c r="DXO1" s="87" t="n"/>
      <c r="DXP1" s="87" t="n"/>
      <c r="DXQ1" s="87" t="n"/>
      <c r="DXR1" s="87" t="n"/>
      <c r="DXS1" s="87" t="n"/>
      <c r="DXT1" s="87" t="n"/>
      <c r="DXU1" s="87" t="n"/>
      <c r="DXV1" s="87" t="n"/>
      <c r="DXW1" s="87" t="n"/>
      <c r="DXX1" s="87" t="n"/>
      <c r="DXY1" s="87" t="n"/>
      <c r="DXZ1" s="87" t="n"/>
      <c r="DYA1" s="87" t="n"/>
      <c r="DYB1" s="87" t="n"/>
      <c r="DYC1" s="87" t="n"/>
      <c r="DYD1" s="87" t="n"/>
      <c r="DYE1" s="87" t="n"/>
      <c r="DYF1" s="87" t="n"/>
      <c r="DYG1" s="87" t="n"/>
      <c r="DYH1" s="87" t="n"/>
      <c r="DYI1" s="87" t="n"/>
      <c r="DYJ1" s="87" t="n"/>
      <c r="DYK1" s="87" t="n"/>
      <c r="DYL1" s="87" t="n"/>
      <c r="DYM1" s="87" t="n"/>
      <c r="DYN1" s="87" t="n"/>
      <c r="DYO1" s="87" t="n"/>
      <c r="DYP1" s="87" t="n"/>
      <c r="DYQ1" s="87" t="n"/>
      <c r="DYR1" s="87" t="n"/>
      <c r="DYS1" s="87" t="n"/>
      <c r="DYT1" s="87" t="n"/>
      <c r="DYU1" s="87" t="n"/>
      <c r="DYV1" s="87" t="n"/>
      <c r="DYW1" s="87" t="n"/>
      <c r="DYX1" s="87" t="n"/>
      <c r="DYY1" s="87" t="n"/>
      <c r="DYZ1" s="87" t="n"/>
      <c r="DZA1" s="87" t="n"/>
      <c r="DZB1" s="87" t="n"/>
      <c r="DZC1" s="87" t="n"/>
      <c r="DZD1" s="87" t="n"/>
      <c r="DZE1" s="87" t="n"/>
      <c r="DZF1" s="87" t="n"/>
      <c r="DZG1" s="87" t="n"/>
      <c r="DZH1" s="87" t="n"/>
      <c r="DZI1" s="87" t="n"/>
      <c r="DZJ1" s="87" t="n"/>
      <c r="DZK1" s="87" t="n"/>
      <c r="DZL1" s="87" t="n"/>
      <c r="DZM1" s="87" t="n"/>
      <c r="DZN1" s="87" t="n"/>
      <c r="DZO1" s="87" t="n"/>
      <c r="DZP1" s="87" t="n"/>
      <c r="DZQ1" s="87" t="n"/>
      <c r="DZR1" s="87" t="n"/>
      <c r="DZS1" s="87" t="n"/>
      <c r="DZT1" s="87" t="n"/>
      <c r="DZU1" s="87" t="n"/>
      <c r="DZV1" s="87" t="n"/>
      <c r="DZW1" s="87" t="n"/>
      <c r="DZX1" s="87" t="n"/>
      <c r="DZY1" s="87" t="n"/>
      <c r="DZZ1" s="87" t="n"/>
      <c r="EAA1" s="87" t="n"/>
      <c r="EAB1" s="87" t="n"/>
      <c r="EAC1" s="87" t="n"/>
      <c r="EAD1" s="87" t="n"/>
      <c r="EAE1" s="87" t="n"/>
      <c r="EAF1" s="87" t="n"/>
      <c r="EAG1" s="87" t="n"/>
      <c r="EAH1" s="87" t="n"/>
      <c r="EAI1" s="87" t="n"/>
      <c r="EAJ1" s="87" t="n"/>
      <c r="EAK1" s="87" t="n"/>
      <c r="EAL1" s="87" t="n"/>
      <c r="EAM1" s="87" t="n"/>
      <c r="EAN1" s="87" t="n"/>
      <c r="EAO1" s="87" t="n"/>
      <c r="EAP1" s="87" t="n"/>
      <c r="EAQ1" s="87" t="n"/>
      <c r="EAR1" s="87" t="n"/>
      <c r="EAS1" s="87" t="n"/>
      <c r="EAT1" s="87" t="n"/>
      <c r="EAU1" s="87" t="n"/>
      <c r="EAV1" s="87" t="n"/>
      <c r="EAW1" s="87" t="n"/>
      <c r="EAX1" s="87" t="n"/>
      <c r="EAY1" s="87" t="n"/>
      <c r="EAZ1" s="87" t="n"/>
      <c r="EBA1" s="87" t="n"/>
      <c r="EBB1" s="87" t="n"/>
      <c r="EBC1" s="87" t="n"/>
      <c r="EBD1" s="87" t="n"/>
      <c r="EBE1" s="87" t="n"/>
      <c r="EBF1" s="87" t="n"/>
      <c r="EBG1" s="87" t="n"/>
      <c r="EBH1" s="87" t="n"/>
      <c r="EBI1" s="87" t="n"/>
      <c r="EBJ1" s="87" t="n"/>
      <c r="EBK1" s="87" t="n"/>
      <c r="EBL1" s="87" t="n"/>
      <c r="EBM1" s="87" t="n"/>
      <c r="EBN1" s="87" t="n"/>
      <c r="EBO1" s="87" t="n"/>
      <c r="EBP1" s="87" t="n"/>
      <c r="EBQ1" s="87" t="n"/>
      <c r="EBR1" s="87" t="n"/>
      <c r="EBS1" s="87" t="n"/>
      <c r="EBT1" s="87" t="n"/>
      <c r="EBU1" s="87" t="n"/>
      <c r="EBV1" s="87" t="n"/>
      <c r="EBW1" s="87" t="n"/>
      <c r="EBX1" s="87" t="n"/>
      <c r="EBY1" s="87" t="n"/>
      <c r="EBZ1" s="87" t="n"/>
      <c r="ECA1" s="87" t="n"/>
      <c r="ECB1" s="87" t="n"/>
      <c r="ECC1" s="87" t="n"/>
      <c r="ECD1" s="87" t="n"/>
      <c r="ECE1" s="87" t="n"/>
      <c r="ECF1" s="87" t="n"/>
      <c r="ECG1" s="87" t="n"/>
      <c r="ECH1" s="87" t="n"/>
      <c r="ECI1" s="87" t="n"/>
      <c r="ECJ1" s="87" t="n"/>
      <c r="ECK1" s="87" t="n"/>
      <c r="ECL1" s="87" t="n"/>
      <c r="ECM1" s="87" t="n"/>
      <c r="ECN1" s="87" t="n"/>
      <c r="ECO1" s="87" t="n"/>
      <c r="ECP1" s="87" t="n"/>
      <c r="ECQ1" s="87" t="n"/>
      <c r="ECR1" s="87" t="n"/>
      <c r="ECS1" s="87" t="n"/>
      <c r="ECT1" s="87" t="n"/>
      <c r="ECU1" s="87" t="n"/>
      <c r="ECV1" s="87" t="n"/>
      <c r="ECW1" s="87" t="n"/>
      <c r="ECX1" s="87" t="n"/>
      <c r="ECY1" s="87" t="n"/>
      <c r="ECZ1" s="87" t="n"/>
      <c r="EDA1" s="87" t="n"/>
      <c r="EDB1" s="87" t="n"/>
      <c r="EDC1" s="87" t="n"/>
      <c r="EDD1" s="87" t="n"/>
      <c r="EDE1" s="87" t="n"/>
      <c r="EDF1" s="87" t="n"/>
      <c r="EDG1" s="87" t="n"/>
      <c r="EDH1" s="87" t="n"/>
      <c r="EDI1" s="87" t="n"/>
      <c r="EDJ1" s="87" t="n"/>
      <c r="EDK1" s="87" t="n"/>
      <c r="EDL1" s="87" t="n"/>
      <c r="EDM1" s="87" t="n"/>
      <c r="EDN1" s="87" t="n"/>
      <c r="EDO1" s="87" t="n"/>
      <c r="EDP1" s="87" t="n"/>
      <c r="EDQ1" s="87" t="n"/>
      <c r="EDR1" s="87" t="n"/>
      <c r="EDS1" s="87" t="n"/>
      <c r="EDT1" s="87" t="n"/>
      <c r="EDU1" s="87" t="n"/>
      <c r="EDV1" s="87" t="n"/>
      <c r="EDW1" s="87" t="n"/>
      <c r="EDX1" s="87" t="n"/>
      <c r="EDY1" s="87" t="n"/>
      <c r="EDZ1" s="87" t="n"/>
      <c r="EEA1" s="87" t="n"/>
      <c r="EEB1" s="87" t="n"/>
      <c r="EEC1" s="87" t="n"/>
      <c r="EED1" s="87" t="n"/>
      <c r="EEE1" s="87" t="n"/>
      <c r="EEF1" s="87" t="n"/>
      <c r="EEG1" s="87" t="n"/>
      <c r="EEH1" s="87" t="n"/>
      <c r="EEI1" s="87" t="n"/>
      <c r="EEJ1" s="87" t="n"/>
      <c r="EEK1" s="87" t="n"/>
      <c r="EEL1" s="87" t="n"/>
      <c r="EEM1" s="87" t="n"/>
      <c r="EEN1" s="87" t="n"/>
      <c r="EEO1" s="87" t="n"/>
      <c r="EEP1" s="87" t="n"/>
      <c r="EEQ1" s="87" t="n"/>
      <c r="EER1" s="87" t="n"/>
      <c r="EES1" s="87" t="n"/>
      <c r="EET1" s="87" t="n"/>
      <c r="EEU1" s="87" t="n"/>
      <c r="EEV1" s="87" t="n"/>
      <c r="EEW1" s="87" t="n"/>
      <c r="EEX1" s="87" t="n"/>
      <c r="EEY1" s="87" t="n"/>
      <c r="EEZ1" s="87" t="n"/>
      <c r="EFA1" s="87" t="n"/>
      <c r="EFB1" s="87" t="n"/>
      <c r="EFC1" s="87" t="n"/>
      <c r="EFD1" s="87" t="n"/>
      <c r="EFE1" s="87" t="n"/>
      <c r="EFF1" s="87" t="n"/>
      <c r="EFG1" s="87" t="n"/>
      <c r="EFH1" s="87" t="n"/>
      <c r="EFI1" s="87" t="n"/>
      <c r="EFJ1" s="87" t="n"/>
      <c r="EFK1" s="87" t="n"/>
      <c r="EFL1" s="87" t="n"/>
      <c r="EFM1" s="87" t="n"/>
      <c r="EFN1" s="87" t="n"/>
      <c r="EFO1" s="87" t="n"/>
      <c r="EFP1" s="87" t="n"/>
      <c r="EFQ1" s="87" t="n"/>
      <c r="EFR1" s="87" t="n"/>
      <c r="EFS1" s="87" t="n"/>
      <c r="EFT1" s="87" t="n"/>
      <c r="EFU1" s="87" t="n"/>
      <c r="EFV1" s="87" t="n"/>
      <c r="EFW1" s="87" t="n"/>
      <c r="EFX1" s="87" t="n"/>
      <c r="EFY1" s="87" t="n"/>
      <c r="EFZ1" s="87" t="n"/>
      <c r="EGA1" s="87" t="n"/>
      <c r="EGB1" s="87" t="n"/>
      <c r="EGC1" s="87" t="n"/>
      <c r="EGD1" s="87" t="n"/>
      <c r="EGE1" s="87" t="n"/>
      <c r="EGF1" s="87" t="n"/>
      <c r="EGG1" s="87" t="n"/>
      <c r="EGH1" s="87" t="n"/>
      <c r="EGI1" s="87" t="n"/>
      <c r="EGJ1" s="87" t="n"/>
      <c r="EGK1" s="87" t="n"/>
      <c r="EGL1" s="87" t="n"/>
      <c r="EGM1" s="87" t="n"/>
      <c r="EGN1" s="87" t="n"/>
      <c r="EGO1" s="87" t="n"/>
      <c r="EGP1" s="87" t="n"/>
      <c r="EGQ1" s="87" t="n"/>
      <c r="EGR1" s="87" t="n"/>
      <c r="EGS1" s="87" t="n"/>
      <c r="EGT1" s="87" t="n"/>
      <c r="EGU1" s="87" t="n"/>
      <c r="EGV1" s="87" t="n"/>
      <c r="EGW1" s="87" t="n"/>
      <c r="EGX1" s="87" t="n"/>
      <c r="EGY1" s="87" t="n"/>
      <c r="EGZ1" s="87" t="n"/>
      <c r="EHA1" s="87" t="n"/>
      <c r="EHB1" s="87" t="n"/>
      <c r="EHC1" s="87" t="n"/>
      <c r="EHD1" s="87" t="n"/>
      <c r="EHE1" s="87" t="n"/>
      <c r="EHF1" s="87" t="n"/>
      <c r="EHG1" s="87" t="n"/>
      <c r="EHH1" s="87" t="n"/>
      <c r="EHI1" s="87" t="n"/>
      <c r="EHJ1" s="87" t="n"/>
      <c r="EHK1" s="87" t="n"/>
      <c r="EHL1" s="87" t="n"/>
      <c r="EHM1" s="87" t="n"/>
      <c r="EHN1" s="87" t="n"/>
      <c r="EHO1" s="87" t="n"/>
      <c r="EHP1" s="87" t="n"/>
      <c r="EHQ1" s="87" t="n"/>
      <c r="EHR1" s="87" t="n"/>
      <c r="EHS1" s="87" t="n"/>
      <c r="EHT1" s="87" t="n"/>
      <c r="EHU1" s="87" t="n"/>
      <c r="EHV1" s="87" t="n"/>
      <c r="EHW1" s="87" t="n"/>
      <c r="EHX1" s="87" t="n"/>
      <c r="EHY1" s="87" t="n"/>
      <c r="EHZ1" s="87" t="n"/>
      <c r="EIA1" s="87" t="n"/>
      <c r="EIB1" s="87" t="n"/>
      <c r="EIC1" s="87" t="n"/>
      <c r="EID1" s="87" t="n"/>
      <c r="EIE1" s="87" t="n"/>
      <c r="EIF1" s="87" t="n"/>
      <c r="EIG1" s="87" t="n"/>
      <c r="EIH1" s="87" t="n"/>
      <c r="EII1" s="87" t="n"/>
      <c r="EIJ1" s="87" t="n"/>
      <c r="EIK1" s="87" t="n"/>
      <c r="EIL1" s="87" t="n"/>
      <c r="EIM1" s="87" t="n"/>
      <c r="EIN1" s="87" t="n"/>
      <c r="EIO1" s="87" t="n"/>
      <c r="EIP1" s="87" t="n"/>
      <c r="EIQ1" s="87" t="n"/>
      <c r="EIR1" s="87" t="n"/>
      <c r="EIS1" s="87" t="n"/>
      <c r="EIT1" s="87" t="n"/>
      <c r="EIU1" s="87" t="n"/>
      <c r="EIV1" s="87" t="n"/>
      <c r="EIW1" s="87" t="n"/>
      <c r="EIX1" s="87" t="n"/>
      <c r="EIY1" s="87" t="n"/>
      <c r="EIZ1" s="87" t="n"/>
      <c r="EJA1" s="87" t="n"/>
      <c r="EJB1" s="87" t="n"/>
      <c r="EJC1" s="87" t="n"/>
      <c r="EJD1" s="87" t="n"/>
      <c r="EJE1" s="87" t="n"/>
      <c r="EJF1" s="87" t="n"/>
      <c r="EJG1" s="87" t="n"/>
      <c r="EJH1" s="87" t="n"/>
      <c r="EJI1" s="87" t="n"/>
      <c r="EJJ1" s="87" t="n"/>
      <c r="EJK1" s="87" t="n"/>
      <c r="EJL1" s="87" t="n"/>
      <c r="EJM1" s="87" t="n"/>
      <c r="EJN1" s="87" t="n"/>
      <c r="EJO1" s="87" t="n"/>
      <c r="EJP1" s="87" t="n"/>
      <c r="EJQ1" s="87" t="n"/>
      <c r="EJR1" s="87" t="n"/>
      <c r="EJS1" s="87" t="n"/>
      <c r="EJT1" s="87" t="n"/>
      <c r="EJU1" s="87" t="n"/>
      <c r="EJV1" s="87" t="n"/>
      <c r="EJW1" s="87" t="n"/>
      <c r="EJX1" s="87" t="n"/>
      <c r="EJY1" s="87" t="n"/>
      <c r="EJZ1" s="87" t="n"/>
      <c r="EKA1" s="87" t="n"/>
      <c r="EKB1" s="87" t="n"/>
      <c r="EKC1" s="87" t="n"/>
      <c r="EKD1" s="87" t="n"/>
      <c r="EKE1" s="87" t="n"/>
      <c r="EKF1" s="87" t="n"/>
      <c r="EKG1" s="87" t="n"/>
      <c r="EKH1" s="87" t="n"/>
      <c r="EKI1" s="87" t="n"/>
      <c r="EKJ1" s="87" t="n"/>
      <c r="EKK1" s="87" t="n"/>
      <c r="EKL1" s="87" t="n"/>
      <c r="EKM1" s="87" t="n"/>
      <c r="EKN1" s="87" t="n"/>
      <c r="EKO1" s="87" t="n"/>
      <c r="EKP1" s="87" t="n"/>
      <c r="EKQ1" s="87" t="n"/>
      <c r="EKR1" s="87" t="n"/>
      <c r="EKS1" s="87" t="n"/>
      <c r="EKT1" s="87" t="n"/>
      <c r="EKU1" s="87" t="n"/>
      <c r="EKV1" s="87" t="n"/>
      <c r="EKW1" s="87" t="n"/>
      <c r="EKX1" s="87" t="n"/>
      <c r="EKY1" s="87" t="n"/>
      <c r="EKZ1" s="87" t="n"/>
      <c r="ELA1" s="87" t="n"/>
      <c r="ELB1" s="87" t="n"/>
      <c r="ELC1" s="87" t="n"/>
      <c r="ELD1" s="87" t="n"/>
      <c r="ELE1" s="87" t="n"/>
      <c r="ELF1" s="87" t="n"/>
      <c r="ELG1" s="87" t="n"/>
      <c r="ELH1" s="87" t="n"/>
      <c r="ELI1" s="87" t="n"/>
      <c r="ELJ1" s="87" t="n"/>
      <c r="ELK1" s="87" t="n"/>
      <c r="ELL1" s="87" t="n"/>
      <c r="ELM1" s="87" t="n"/>
      <c r="ELN1" s="87" t="n"/>
      <c r="ELO1" s="87" t="n"/>
      <c r="ELP1" s="87" t="n"/>
      <c r="ELQ1" s="87" t="n"/>
      <c r="ELR1" s="87" t="n"/>
      <c r="ELS1" s="87" t="n"/>
      <c r="ELT1" s="87" t="n"/>
      <c r="ELU1" s="87" t="n"/>
      <c r="ELV1" s="87" t="n"/>
      <c r="ELW1" s="87" t="n"/>
      <c r="ELX1" s="87" t="n"/>
      <c r="ELY1" s="87" t="n"/>
      <c r="ELZ1" s="87" t="n"/>
      <c r="EMA1" s="87" t="n"/>
      <c r="EMB1" s="87" t="n"/>
      <c r="EMC1" s="87" t="n"/>
      <c r="EMD1" s="87" t="n"/>
      <c r="EME1" s="87" t="n"/>
      <c r="EMF1" s="87" t="n"/>
      <c r="EMG1" s="87" t="n"/>
      <c r="EMH1" s="87" t="n"/>
      <c r="EMI1" s="87" t="n"/>
      <c r="EMJ1" s="87" t="n"/>
      <c r="EMK1" s="87" t="n"/>
      <c r="EML1" s="87" t="n"/>
      <c r="EMM1" s="87" t="n"/>
      <c r="EMN1" s="87" t="n"/>
      <c r="EMO1" s="87" t="n"/>
      <c r="EMP1" s="87" t="n"/>
      <c r="EMQ1" s="87" t="n"/>
      <c r="EMR1" s="87" t="n"/>
      <c r="EMS1" s="87" t="n"/>
      <c r="EMT1" s="87" t="n"/>
      <c r="EMU1" s="87" t="n"/>
      <c r="EMV1" s="87" t="n"/>
      <c r="EMW1" s="87" t="n"/>
      <c r="EMX1" s="87" t="n"/>
      <c r="EMY1" s="87" t="n"/>
      <c r="EMZ1" s="87" t="n"/>
      <c r="ENA1" s="87" t="n"/>
      <c r="ENB1" s="87" t="n"/>
      <c r="ENC1" s="87" t="n"/>
      <c r="END1" s="87" t="n"/>
      <c r="ENE1" s="87" t="n"/>
      <c r="ENF1" s="87" t="n"/>
      <c r="ENG1" s="87" t="n"/>
      <c r="ENH1" s="87" t="n"/>
      <c r="ENI1" s="87" t="n"/>
      <c r="ENJ1" s="87" t="n"/>
      <c r="ENK1" s="87" t="n"/>
      <c r="ENL1" s="87" t="n"/>
      <c r="ENM1" s="87" t="n"/>
      <c r="ENN1" s="87" t="n"/>
      <c r="ENO1" s="87" t="n"/>
      <c r="ENP1" s="87" t="n"/>
      <c r="ENQ1" s="87" t="n"/>
      <c r="ENR1" s="87" t="n"/>
      <c r="ENS1" s="87" t="n"/>
      <c r="ENT1" s="87" t="n"/>
      <c r="ENU1" s="87" t="n"/>
      <c r="ENV1" s="87" t="n"/>
      <c r="ENW1" s="87" t="n"/>
      <c r="ENX1" s="87" t="n"/>
      <c r="ENY1" s="87" t="n"/>
      <c r="ENZ1" s="87" t="n"/>
      <c r="EOA1" s="87" t="n"/>
      <c r="EOB1" s="87" t="n"/>
      <c r="EOC1" s="87" t="n"/>
      <c r="EOD1" s="87" t="n"/>
      <c r="EOE1" s="87" t="n"/>
      <c r="EOF1" s="87" t="n"/>
      <c r="EOG1" s="87" t="n"/>
      <c r="EOH1" s="87" t="n"/>
      <c r="EOI1" s="87" t="n"/>
      <c r="EOJ1" s="87" t="n"/>
      <c r="EOK1" s="87" t="n"/>
      <c r="EOL1" s="87" t="n"/>
      <c r="EOM1" s="87" t="n"/>
      <c r="EON1" s="87" t="n"/>
      <c r="EOO1" s="87" t="n"/>
      <c r="EOP1" s="87" t="n"/>
      <c r="EOQ1" s="87" t="n"/>
      <c r="EOR1" s="87" t="n"/>
      <c r="EOS1" s="87" t="n"/>
      <c r="EOT1" s="87" t="n"/>
      <c r="EOU1" s="87" t="n"/>
      <c r="EOV1" s="87" t="n"/>
      <c r="EOW1" s="87" t="n"/>
      <c r="EOX1" s="87" t="n"/>
      <c r="EOY1" s="87" t="n"/>
      <c r="EOZ1" s="87" t="n"/>
      <c r="EPA1" s="87" t="n"/>
      <c r="EPB1" s="87" t="n"/>
      <c r="EPC1" s="87" t="n"/>
      <c r="EPD1" s="87" t="n"/>
      <c r="EPE1" s="87" t="n"/>
      <c r="EPF1" s="87" t="n"/>
      <c r="EPG1" s="87" t="n"/>
      <c r="EPH1" s="87" t="n"/>
      <c r="EPI1" s="87" t="n"/>
      <c r="EPJ1" s="87" t="n"/>
      <c r="EPK1" s="87" t="n"/>
      <c r="EPL1" s="87" t="n"/>
      <c r="EPM1" s="87" t="n"/>
      <c r="EPN1" s="87" t="n"/>
      <c r="EPO1" s="87" t="n"/>
      <c r="EPP1" s="87" t="n"/>
      <c r="EPQ1" s="87" t="n"/>
      <c r="EPR1" s="87" t="n"/>
      <c r="EPS1" s="87" t="n"/>
      <c r="EPT1" s="87" t="n"/>
      <c r="EPU1" s="87" t="n"/>
      <c r="EPV1" s="87" t="n"/>
      <c r="EPW1" s="87" t="n"/>
      <c r="EPX1" s="87" t="n"/>
      <c r="EPY1" s="87" t="n"/>
      <c r="EPZ1" s="87" t="n"/>
      <c r="EQA1" s="87" t="n"/>
      <c r="EQB1" s="87" t="n"/>
      <c r="EQC1" s="87" t="n"/>
      <c r="EQD1" s="87" t="n"/>
      <c r="EQE1" s="87" t="n"/>
      <c r="EQF1" s="87" t="n"/>
      <c r="EQG1" s="87" t="n"/>
      <c r="EQH1" s="87" t="n"/>
      <c r="EQI1" s="87" t="n"/>
      <c r="EQJ1" s="87" t="n"/>
      <c r="EQK1" s="87" t="n"/>
      <c r="EQL1" s="87" t="n"/>
      <c r="EQM1" s="87" t="n"/>
      <c r="EQN1" s="87" t="n"/>
      <c r="EQO1" s="87" t="n"/>
      <c r="EQP1" s="87" t="n"/>
      <c r="EQQ1" s="87" t="n"/>
      <c r="EQR1" s="87" t="n"/>
      <c r="EQS1" s="87" t="n"/>
      <c r="EQT1" s="87" t="n"/>
      <c r="EQU1" s="87" t="n"/>
      <c r="EQV1" s="87" t="n"/>
      <c r="EQW1" s="87" t="n"/>
      <c r="EQX1" s="87" t="n"/>
      <c r="EQY1" s="87" t="n"/>
      <c r="EQZ1" s="87" t="n"/>
      <c r="ERA1" s="87" t="n"/>
      <c r="ERB1" s="87" t="n"/>
      <c r="ERC1" s="87" t="n"/>
      <c r="ERD1" s="87" t="n"/>
      <c r="ERE1" s="87" t="n"/>
      <c r="ERF1" s="87" t="n"/>
      <c r="ERG1" s="87" t="n"/>
      <c r="ERH1" s="87" t="n"/>
      <c r="ERI1" s="87" t="n"/>
      <c r="ERJ1" s="87" t="n"/>
      <c r="ERK1" s="87" t="n"/>
      <c r="ERL1" s="87" t="n"/>
      <c r="ERM1" s="87" t="n"/>
      <c r="ERN1" s="87" t="n"/>
      <c r="ERO1" s="87" t="n"/>
      <c r="ERP1" s="87" t="n"/>
      <c r="ERQ1" s="87" t="n"/>
      <c r="ERR1" s="87" t="n"/>
      <c r="ERS1" s="87" t="n"/>
      <c r="ERT1" s="87" t="n"/>
      <c r="ERU1" s="87" t="n"/>
      <c r="ERV1" s="87" t="n"/>
      <c r="ERW1" s="87" t="n"/>
      <c r="ERX1" s="87" t="n"/>
      <c r="ERY1" s="87" t="n"/>
      <c r="ERZ1" s="87" t="n"/>
      <c r="ESA1" s="87" t="n"/>
      <c r="ESB1" s="87" t="n"/>
      <c r="ESC1" s="87" t="n"/>
      <c r="ESD1" s="87" t="n"/>
      <c r="ESE1" s="87" t="n"/>
      <c r="ESF1" s="87" t="n"/>
      <c r="ESG1" s="87" t="n"/>
      <c r="ESH1" s="87" t="n"/>
      <c r="ESI1" s="87" t="n"/>
      <c r="ESJ1" s="87" t="n"/>
      <c r="ESK1" s="87" t="n"/>
      <c r="ESL1" s="87" t="n"/>
      <c r="ESM1" s="87" t="n"/>
      <c r="ESN1" s="87" t="n"/>
      <c r="ESO1" s="87" t="n"/>
      <c r="ESP1" s="87" t="n"/>
      <c r="ESQ1" s="87" t="n"/>
      <c r="ESR1" s="87" t="n"/>
      <c r="ESS1" s="87" t="n"/>
      <c r="EST1" s="87" t="n"/>
      <c r="ESU1" s="87" t="n"/>
      <c r="ESV1" s="87" t="n"/>
      <c r="ESW1" s="87" t="n"/>
      <c r="ESX1" s="87" t="n"/>
      <c r="ESY1" s="87" t="n"/>
      <c r="ESZ1" s="87" t="n"/>
      <c r="ETA1" s="87" t="n"/>
      <c r="ETB1" s="87" t="n"/>
      <c r="ETC1" s="87" t="n"/>
      <c r="ETD1" s="87" t="n"/>
      <c r="ETE1" s="87" t="n"/>
      <c r="ETF1" s="87" t="n"/>
      <c r="ETG1" s="87" t="n"/>
      <c r="ETH1" s="87" t="n"/>
      <c r="ETI1" s="87" t="n"/>
      <c r="ETJ1" s="87" t="n"/>
      <c r="ETK1" s="87" t="n"/>
      <c r="ETL1" s="87" t="n"/>
      <c r="ETM1" s="87" t="n"/>
      <c r="ETN1" s="87" t="n"/>
      <c r="ETO1" s="87" t="n"/>
      <c r="ETP1" s="87" t="n"/>
      <c r="ETQ1" s="87" t="n"/>
      <c r="ETR1" s="87" t="n"/>
      <c r="ETS1" s="87" t="n"/>
      <c r="ETT1" s="87" t="n"/>
      <c r="ETU1" s="87" t="n"/>
      <c r="ETV1" s="87" t="n"/>
      <c r="ETW1" s="87" t="n"/>
      <c r="ETX1" s="87" t="n"/>
      <c r="ETY1" s="87" t="n"/>
      <c r="ETZ1" s="87" t="n"/>
      <c r="EUA1" s="87" t="n"/>
      <c r="EUB1" s="87" t="n"/>
      <c r="EUC1" s="87" t="n"/>
      <c r="EUD1" s="87" t="n"/>
      <c r="EUE1" s="87" t="n"/>
      <c r="EUF1" s="87" t="n"/>
      <c r="EUG1" s="87" t="n"/>
      <c r="EUH1" s="87" t="n"/>
      <c r="EUI1" s="87" t="n"/>
      <c r="EUJ1" s="87" t="n"/>
      <c r="EUK1" s="87" t="n"/>
      <c r="EUL1" s="87" t="n"/>
      <c r="EUM1" s="87" t="n"/>
      <c r="EUN1" s="87" t="n"/>
      <c r="EUO1" s="87" t="n"/>
      <c r="EUP1" s="87" t="n"/>
      <c r="EUQ1" s="87" t="n"/>
      <c r="EUR1" s="87" t="n"/>
      <c r="EUS1" s="87" t="n"/>
      <c r="EUT1" s="87" t="n"/>
      <c r="EUU1" s="87" t="n"/>
      <c r="EUV1" s="87" t="n"/>
      <c r="EUW1" s="87" t="n"/>
      <c r="EUX1" s="87" t="n"/>
      <c r="EUY1" s="87" t="n"/>
      <c r="EUZ1" s="87" t="n"/>
      <c r="EVA1" s="87" t="n"/>
      <c r="EVB1" s="87" t="n"/>
      <c r="EVC1" s="87" t="n"/>
      <c r="EVD1" s="87" t="n"/>
      <c r="EVE1" s="87" t="n"/>
      <c r="EVF1" s="87" t="n"/>
      <c r="EVG1" s="87" t="n"/>
      <c r="EVH1" s="87" t="n"/>
      <c r="EVI1" s="87" t="n"/>
      <c r="EVJ1" s="87" t="n"/>
      <c r="EVK1" s="87" t="n"/>
      <c r="EVL1" s="87" t="n"/>
      <c r="EVM1" s="87" t="n"/>
      <c r="EVN1" s="87" t="n"/>
      <c r="EVO1" s="87" t="n"/>
      <c r="EVP1" s="87" t="n"/>
      <c r="EVQ1" s="87" t="n"/>
      <c r="EVR1" s="87" t="n"/>
      <c r="EVS1" s="87" t="n"/>
      <c r="EVT1" s="87" t="n"/>
      <c r="EVU1" s="87" t="n"/>
      <c r="EVV1" s="87" t="n"/>
      <c r="EVW1" s="87" t="n"/>
      <c r="EVX1" s="87" t="n"/>
      <c r="EVY1" s="87" t="n"/>
      <c r="EVZ1" s="87" t="n"/>
      <c r="EWA1" s="87" t="n"/>
      <c r="EWB1" s="87" t="n"/>
      <c r="EWC1" s="87" t="n"/>
      <c r="EWD1" s="87" t="n"/>
      <c r="EWE1" s="87" t="n"/>
      <c r="EWF1" s="87" t="n"/>
      <c r="EWG1" s="87" t="n"/>
      <c r="EWH1" s="87" t="n"/>
      <c r="EWI1" s="87" t="n"/>
      <c r="EWJ1" s="87" t="n"/>
      <c r="EWK1" s="87" t="n"/>
      <c r="EWL1" s="87" t="n"/>
      <c r="EWM1" s="87" t="n"/>
      <c r="EWN1" s="87" t="n"/>
      <c r="EWO1" s="87" t="n"/>
      <c r="EWP1" s="87" t="n"/>
      <c r="EWQ1" s="87" t="n"/>
      <c r="EWR1" s="87" t="n"/>
      <c r="EWS1" s="87" t="n"/>
      <c r="EWT1" s="87" t="n"/>
      <c r="EWU1" s="87" t="n"/>
      <c r="EWV1" s="87" t="n"/>
      <c r="EWW1" s="87" t="n"/>
      <c r="EWX1" s="87" t="n"/>
      <c r="EWY1" s="87" t="n"/>
      <c r="EWZ1" s="87" t="n"/>
      <c r="EXA1" s="87" t="n"/>
      <c r="EXB1" s="87" t="n"/>
      <c r="EXC1" s="87" t="n"/>
      <c r="EXD1" s="87" t="n"/>
      <c r="EXE1" s="87" t="n"/>
      <c r="EXF1" s="87" t="n"/>
      <c r="EXG1" s="87" t="n"/>
      <c r="EXH1" s="87" t="n"/>
      <c r="EXI1" s="87" t="n"/>
      <c r="EXJ1" s="87" t="n"/>
      <c r="EXK1" s="87" t="n"/>
      <c r="EXL1" s="87" t="n"/>
      <c r="EXM1" s="87" t="n"/>
      <c r="EXN1" s="87" t="n"/>
      <c r="EXO1" s="87" t="n"/>
      <c r="EXP1" s="87" t="n"/>
      <c r="EXQ1" s="87" t="n"/>
      <c r="EXR1" s="87" t="n"/>
      <c r="EXS1" s="87" t="n"/>
      <c r="EXT1" s="87" t="n"/>
      <c r="EXU1" s="87" t="n"/>
      <c r="EXV1" s="87" t="n"/>
      <c r="EXW1" s="87" t="n"/>
      <c r="EXX1" s="87" t="n"/>
      <c r="EXY1" s="87" t="n"/>
      <c r="EXZ1" s="87" t="n"/>
      <c r="EYA1" s="87" t="n"/>
      <c r="EYB1" s="87" t="n"/>
      <c r="EYC1" s="87" t="n"/>
      <c r="EYD1" s="87" t="n"/>
      <c r="EYE1" s="87" t="n"/>
      <c r="EYF1" s="87" t="n"/>
      <c r="EYG1" s="87" t="n"/>
      <c r="EYH1" s="87" t="n"/>
      <c r="EYI1" s="87" t="n"/>
      <c r="EYJ1" s="87" t="n"/>
      <c r="EYK1" s="87" t="n"/>
      <c r="EYL1" s="87" t="n"/>
      <c r="EYM1" s="87" t="n"/>
      <c r="EYN1" s="87" t="n"/>
      <c r="EYO1" s="87" t="n"/>
      <c r="EYP1" s="87" t="n"/>
      <c r="EYQ1" s="87" t="n"/>
      <c r="EYR1" s="87" t="n"/>
      <c r="EYS1" s="87" t="n"/>
      <c r="EYT1" s="87" t="n"/>
      <c r="EYU1" s="87" t="n"/>
      <c r="EYV1" s="87" t="n"/>
      <c r="EYW1" s="87" t="n"/>
      <c r="EYX1" s="87" t="n"/>
      <c r="EYY1" s="87" t="n"/>
      <c r="EYZ1" s="87" t="n"/>
      <c r="EZA1" s="87" t="n"/>
      <c r="EZB1" s="87" t="n"/>
      <c r="EZC1" s="87" t="n"/>
      <c r="EZD1" s="87" t="n"/>
      <c r="EZE1" s="87" t="n"/>
      <c r="EZF1" s="87" t="n"/>
      <c r="EZG1" s="87" t="n"/>
      <c r="EZH1" s="87" t="n"/>
      <c r="EZI1" s="87" t="n"/>
      <c r="EZJ1" s="87" t="n"/>
      <c r="EZK1" s="87" t="n"/>
      <c r="EZL1" s="87" t="n"/>
      <c r="EZM1" s="87" t="n"/>
      <c r="EZN1" s="87" t="n"/>
      <c r="EZO1" s="87" t="n"/>
      <c r="EZP1" s="87" t="n"/>
      <c r="EZQ1" s="87" t="n"/>
      <c r="EZR1" s="87" t="n"/>
      <c r="EZS1" s="87" t="n"/>
      <c r="EZT1" s="87" t="n"/>
      <c r="EZU1" s="87" t="n"/>
      <c r="EZV1" s="87" t="n"/>
      <c r="EZW1" s="87" t="n"/>
      <c r="EZX1" s="87" t="n"/>
      <c r="EZY1" s="87" t="n"/>
      <c r="EZZ1" s="87" t="n"/>
      <c r="FAA1" s="87" t="n"/>
      <c r="FAB1" s="87" t="n"/>
      <c r="FAC1" s="87" t="n"/>
      <c r="FAD1" s="87" t="n"/>
      <c r="FAE1" s="87" t="n"/>
      <c r="FAF1" s="87" t="n"/>
      <c r="FAG1" s="87" t="n"/>
      <c r="FAH1" s="87" t="n"/>
      <c r="FAI1" s="87" t="n"/>
      <c r="FAJ1" s="87" t="n"/>
      <c r="FAK1" s="87" t="n"/>
      <c r="FAL1" s="87" t="n"/>
      <c r="FAM1" s="87" t="n"/>
      <c r="FAN1" s="87" t="n"/>
      <c r="FAO1" s="87" t="n"/>
      <c r="FAP1" s="87" t="n"/>
      <c r="FAQ1" s="87" t="n"/>
      <c r="FAR1" s="87" t="n"/>
      <c r="FAS1" s="87" t="n"/>
      <c r="FAT1" s="87" t="n"/>
      <c r="FAU1" s="87" t="n"/>
      <c r="FAV1" s="87" t="n"/>
      <c r="FAW1" s="87" t="n"/>
      <c r="FAX1" s="87" t="n"/>
      <c r="FAY1" s="87" t="n"/>
      <c r="FAZ1" s="87" t="n"/>
      <c r="FBA1" s="87" t="n"/>
      <c r="FBB1" s="87" t="n"/>
      <c r="FBC1" s="87" t="n"/>
      <c r="FBD1" s="87" t="n"/>
      <c r="FBE1" s="87" t="n"/>
      <c r="FBF1" s="87" t="n"/>
      <c r="FBG1" s="87" t="n"/>
      <c r="FBH1" s="87" t="n"/>
      <c r="FBI1" s="87" t="n"/>
      <c r="FBJ1" s="87" t="n"/>
      <c r="FBK1" s="87" t="n"/>
      <c r="FBL1" s="87" t="n"/>
      <c r="FBM1" s="87" t="n"/>
      <c r="FBN1" s="87" t="n"/>
      <c r="FBO1" s="87" t="n"/>
      <c r="FBP1" s="87" t="n"/>
      <c r="FBQ1" s="87" t="n"/>
      <c r="FBR1" s="87" t="n"/>
      <c r="FBS1" s="87" t="n"/>
      <c r="FBT1" s="87" t="n"/>
      <c r="FBU1" s="87" t="n"/>
      <c r="FBV1" s="87" t="n"/>
      <c r="FBW1" s="87" t="n"/>
      <c r="FBX1" s="87" t="n"/>
      <c r="FBY1" s="87" t="n"/>
      <c r="FBZ1" s="87" t="n"/>
      <c r="FCA1" s="87" t="n"/>
      <c r="FCB1" s="87" t="n"/>
      <c r="FCC1" s="87" t="n"/>
      <c r="FCD1" s="87" t="n"/>
      <c r="FCE1" s="87" t="n"/>
      <c r="FCF1" s="87" t="n"/>
      <c r="FCG1" s="87" t="n"/>
      <c r="FCH1" s="87" t="n"/>
      <c r="FCI1" s="87" t="n"/>
      <c r="FCJ1" s="87" t="n"/>
      <c r="FCK1" s="87" t="n"/>
      <c r="FCL1" s="87" t="n"/>
      <c r="FCM1" s="87" t="n"/>
      <c r="FCN1" s="87" t="n"/>
      <c r="FCO1" s="87" t="n"/>
      <c r="FCP1" s="87" t="n"/>
      <c r="FCQ1" s="87" t="n"/>
      <c r="FCR1" s="87" t="n"/>
      <c r="FCS1" s="87" t="n"/>
      <c r="FCT1" s="87" t="n"/>
      <c r="FCU1" s="87" t="n"/>
      <c r="FCV1" s="87" t="n"/>
      <c r="FCW1" s="87" t="n"/>
      <c r="FCX1" s="87" t="n"/>
      <c r="FCY1" s="87" t="n"/>
      <c r="FCZ1" s="87" t="n"/>
      <c r="FDA1" s="87" t="n"/>
      <c r="FDB1" s="87" t="n"/>
      <c r="FDC1" s="87" t="n"/>
      <c r="FDD1" s="87" t="n"/>
      <c r="FDE1" s="87" t="n"/>
      <c r="FDF1" s="87" t="n"/>
      <c r="FDG1" s="87" t="n"/>
      <c r="FDH1" s="87" t="n"/>
      <c r="FDI1" s="87" t="n"/>
      <c r="FDJ1" s="87" t="n"/>
      <c r="FDK1" s="87" t="n"/>
      <c r="FDL1" s="87" t="n"/>
      <c r="FDM1" s="87" t="n"/>
      <c r="FDN1" s="87" t="n"/>
      <c r="FDO1" s="87" t="n"/>
      <c r="FDP1" s="87" t="n"/>
      <c r="FDQ1" s="87" t="n"/>
      <c r="FDR1" s="87" t="n"/>
      <c r="FDS1" s="87" t="n"/>
      <c r="FDT1" s="87" t="n"/>
      <c r="FDU1" s="87" t="n"/>
      <c r="FDV1" s="87" t="n"/>
      <c r="FDW1" s="87" t="n"/>
      <c r="FDX1" s="87" t="n"/>
      <c r="FDY1" s="87" t="n"/>
      <c r="FDZ1" s="87" t="n"/>
      <c r="FEA1" s="87" t="n"/>
      <c r="FEB1" s="87" t="n"/>
      <c r="FEC1" s="87" t="n"/>
      <c r="FED1" s="87" t="n"/>
      <c r="FEE1" s="87" t="n"/>
      <c r="FEF1" s="87" t="n"/>
      <c r="FEG1" s="87" t="n"/>
      <c r="FEH1" s="87" t="n"/>
      <c r="FEI1" s="87" t="n"/>
      <c r="FEJ1" s="87" t="n"/>
      <c r="FEK1" s="87" t="n"/>
      <c r="FEL1" s="87" t="n"/>
      <c r="FEM1" s="87" t="n"/>
      <c r="FEN1" s="87" t="n"/>
      <c r="FEO1" s="87" t="n"/>
      <c r="FEP1" s="87" t="n"/>
      <c r="FEQ1" s="87" t="n"/>
      <c r="FER1" s="87" t="n"/>
      <c r="FES1" s="87" t="n"/>
      <c r="FET1" s="87" t="n"/>
      <c r="FEU1" s="87" t="n"/>
      <c r="FEV1" s="87" t="n"/>
      <c r="FEW1" s="87" t="n"/>
      <c r="FEX1" s="87" t="n"/>
      <c r="FEY1" s="87" t="n"/>
      <c r="FEZ1" s="87" t="n"/>
      <c r="FFA1" s="87" t="n"/>
      <c r="FFB1" s="87" t="n"/>
      <c r="FFC1" s="87" t="n"/>
      <c r="FFD1" s="87" t="n"/>
      <c r="FFE1" s="87" t="n"/>
      <c r="FFF1" s="87" t="n"/>
      <c r="FFG1" s="87" t="n"/>
      <c r="FFH1" s="87" t="n"/>
      <c r="FFI1" s="87" t="n"/>
      <c r="FFJ1" s="87" t="n"/>
      <c r="FFK1" s="87" t="n"/>
      <c r="FFL1" s="87" t="n"/>
      <c r="FFM1" s="87" t="n"/>
      <c r="FFN1" s="87" t="n"/>
      <c r="FFO1" s="87" t="n"/>
      <c r="FFP1" s="87" t="n"/>
      <c r="FFQ1" s="87" t="n"/>
      <c r="FFR1" s="87" t="n"/>
      <c r="FFS1" s="87" t="n"/>
      <c r="FFT1" s="87" t="n"/>
      <c r="FFU1" s="87" t="n"/>
      <c r="FFV1" s="87" t="n"/>
      <c r="FFW1" s="87" t="n"/>
      <c r="FFX1" s="87" t="n"/>
      <c r="FFY1" s="87" t="n"/>
      <c r="FFZ1" s="87" t="n"/>
      <c r="FGA1" s="87" t="n"/>
      <c r="FGB1" s="87" t="n"/>
      <c r="FGC1" s="87" t="n"/>
      <c r="FGD1" s="87" t="n"/>
      <c r="FGE1" s="87" t="n"/>
      <c r="FGF1" s="87" t="n"/>
      <c r="FGG1" s="87" t="n"/>
      <c r="FGH1" s="87" t="n"/>
      <c r="FGI1" s="87" t="n"/>
      <c r="FGJ1" s="87" t="n"/>
      <c r="FGK1" s="87" t="n"/>
      <c r="FGL1" s="87" t="n"/>
      <c r="FGM1" s="87" t="n"/>
      <c r="FGN1" s="87" t="n"/>
      <c r="FGO1" s="87" t="n"/>
      <c r="FGP1" s="87" t="n"/>
      <c r="FGQ1" s="87" t="n"/>
      <c r="FGR1" s="87" t="n"/>
      <c r="FGS1" s="87" t="n"/>
      <c r="FGT1" s="87" t="n"/>
      <c r="FGU1" s="87" t="n"/>
      <c r="FGV1" s="87" t="n"/>
      <c r="FGW1" s="87" t="n"/>
      <c r="FGX1" s="87" t="n"/>
      <c r="FGY1" s="87" t="n"/>
      <c r="FGZ1" s="87" t="n"/>
      <c r="FHA1" s="87" t="n"/>
      <c r="FHB1" s="87" t="n"/>
      <c r="FHC1" s="87" t="n"/>
      <c r="FHD1" s="87" t="n"/>
      <c r="FHE1" s="87" t="n"/>
      <c r="FHF1" s="87" t="n"/>
      <c r="FHG1" s="87" t="n"/>
      <c r="FHH1" s="87" t="n"/>
      <c r="FHI1" s="87" t="n"/>
      <c r="FHJ1" s="87" t="n"/>
      <c r="FHK1" s="87" t="n"/>
      <c r="FHL1" s="87" t="n"/>
      <c r="FHM1" s="87" t="n"/>
      <c r="FHN1" s="87" t="n"/>
      <c r="FHO1" s="87" t="n"/>
      <c r="FHP1" s="87" t="n"/>
      <c r="FHQ1" s="87" t="n"/>
      <c r="FHR1" s="87" t="n"/>
      <c r="FHS1" s="87" t="n"/>
      <c r="FHT1" s="87" t="n"/>
      <c r="FHU1" s="87" t="n"/>
      <c r="FHV1" s="87" t="n"/>
      <c r="FHW1" s="87" t="n"/>
      <c r="FHX1" s="87" t="n"/>
      <c r="FHY1" s="87" t="n"/>
      <c r="FHZ1" s="87" t="n"/>
      <c r="FIA1" s="87" t="n"/>
      <c r="FIB1" s="87" t="n"/>
      <c r="FIC1" s="87" t="n"/>
      <c r="FID1" s="87" t="n"/>
      <c r="FIE1" s="87" t="n"/>
      <c r="FIF1" s="87" t="n"/>
      <c r="FIG1" s="87" t="n"/>
      <c r="FIH1" s="87" t="n"/>
      <c r="FII1" s="87" t="n"/>
      <c r="FIJ1" s="87" t="n"/>
      <c r="FIK1" s="87" t="n"/>
      <c r="FIL1" s="87" t="n"/>
      <c r="FIM1" s="87" t="n"/>
      <c r="FIN1" s="87" t="n"/>
      <c r="FIO1" s="87" t="n"/>
      <c r="FIP1" s="87" t="n"/>
      <c r="FIQ1" s="87" t="n"/>
      <c r="FIR1" s="87" t="n"/>
      <c r="FIS1" s="87" t="n"/>
      <c r="FIT1" s="87" t="n"/>
      <c r="FIU1" s="87" t="n"/>
      <c r="FIV1" s="87" t="n"/>
      <c r="FIW1" s="87" t="n"/>
      <c r="FIX1" s="87" t="n"/>
      <c r="FIY1" s="87" t="n"/>
      <c r="FIZ1" s="87" t="n"/>
      <c r="FJA1" s="87" t="n"/>
      <c r="FJB1" s="87" t="n"/>
      <c r="FJC1" s="87" t="n"/>
      <c r="FJD1" s="87" t="n"/>
      <c r="FJE1" s="87" t="n"/>
      <c r="FJF1" s="87" t="n"/>
      <c r="FJG1" s="87" t="n"/>
      <c r="FJH1" s="87" t="n"/>
      <c r="FJI1" s="87" t="n"/>
      <c r="FJJ1" s="87" t="n"/>
      <c r="FJK1" s="87" t="n"/>
      <c r="FJL1" s="87" t="n"/>
      <c r="FJM1" s="87" t="n"/>
      <c r="FJN1" s="87" t="n"/>
      <c r="FJO1" s="87" t="n"/>
      <c r="FJP1" s="87" t="n"/>
      <c r="FJQ1" s="87" t="n"/>
      <c r="FJR1" s="87" t="n"/>
      <c r="FJS1" s="87" t="n"/>
      <c r="FJT1" s="87" t="n"/>
      <c r="FJU1" s="87" t="n"/>
      <c r="FJV1" s="87" t="n"/>
      <c r="FJW1" s="87" t="n"/>
      <c r="FJX1" s="87" t="n"/>
      <c r="FJY1" s="87" t="n"/>
      <c r="FJZ1" s="87" t="n"/>
      <c r="FKA1" s="87" t="n"/>
      <c r="FKB1" s="87" t="n"/>
      <c r="FKC1" s="87" t="n"/>
      <c r="FKD1" s="87" t="n"/>
      <c r="FKE1" s="87" t="n"/>
      <c r="FKF1" s="87" t="n"/>
      <c r="FKG1" s="87" t="n"/>
      <c r="FKH1" s="87" t="n"/>
      <c r="FKI1" s="87" t="n"/>
      <c r="FKJ1" s="87" t="n"/>
      <c r="FKK1" s="87" t="n"/>
      <c r="FKL1" s="87" t="n"/>
      <c r="FKM1" s="87" t="n"/>
      <c r="FKN1" s="87" t="n"/>
      <c r="FKO1" s="87" t="n"/>
      <c r="FKP1" s="87" t="n"/>
      <c r="FKQ1" s="87" t="n"/>
      <c r="FKR1" s="87" t="n"/>
      <c r="FKS1" s="87" t="n"/>
      <c r="FKT1" s="87" t="n"/>
      <c r="FKU1" s="87" t="n"/>
      <c r="FKV1" s="87" t="n"/>
      <c r="FKW1" s="87" t="n"/>
      <c r="FKX1" s="87" t="n"/>
      <c r="FKY1" s="87" t="n"/>
      <c r="FKZ1" s="87" t="n"/>
      <c r="FLA1" s="87" t="n"/>
      <c r="FLB1" s="87" t="n"/>
      <c r="FLC1" s="87" t="n"/>
      <c r="FLD1" s="87" t="n"/>
      <c r="FLE1" s="87" t="n"/>
      <c r="FLF1" s="87" t="n"/>
      <c r="FLG1" s="87" t="n"/>
      <c r="FLH1" s="87" t="n"/>
      <c r="FLI1" s="87" t="n"/>
      <c r="FLJ1" s="87" t="n"/>
      <c r="FLK1" s="87" t="n"/>
      <c r="FLL1" s="87" t="n"/>
      <c r="FLM1" s="87" t="n"/>
      <c r="FLN1" s="87" t="n"/>
      <c r="FLO1" s="87" t="n"/>
      <c r="FLP1" s="87" t="n"/>
      <c r="FLQ1" s="87" t="n"/>
      <c r="FLR1" s="87" t="n"/>
      <c r="FLS1" s="87" t="n"/>
      <c r="FLT1" s="87" t="n"/>
      <c r="FLU1" s="87" t="n"/>
      <c r="FLV1" s="87" t="n"/>
      <c r="FLW1" s="87" t="n"/>
      <c r="FLX1" s="87" t="n"/>
      <c r="FLY1" s="87" t="n"/>
      <c r="FLZ1" s="87" t="n"/>
      <c r="FMA1" s="87" t="n"/>
      <c r="FMB1" s="87" t="n"/>
      <c r="FMC1" s="87" t="n"/>
      <c r="FMD1" s="87" t="n"/>
      <c r="FME1" s="87" t="n"/>
      <c r="FMF1" s="87" t="n"/>
      <c r="FMG1" s="87" t="n"/>
      <c r="FMH1" s="87" t="n"/>
      <c r="FMI1" s="87" t="n"/>
      <c r="FMJ1" s="87" t="n"/>
      <c r="FMK1" s="87" t="n"/>
      <c r="FML1" s="87" t="n"/>
      <c r="FMM1" s="87" t="n"/>
      <c r="FMN1" s="87" t="n"/>
      <c r="FMO1" s="87" t="n"/>
      <c r="FMP1" s="87" t="n"/>
      <c r="FMQ1" s="87" t="n"/>
      <c r="FMR1" s="87" t="n"/>
      <c r="FMS1" s="87" t="n"/>
      <c r="FMT1" s="87" t="n"/>
      <c r="FMU1" s="87" t="n"/>
      <c r="FMV1" s="87" t="n"/>
      <c r="FMW1" s="87" t="n"/>
      <c r="FMX1" s="87" t="n"/>
      <c r="FMY1" s="87" t="n"/>
      <c r="FMZ1" s="87" t="n"/>
      <c r="FNA1" s="87" t="n"/>
      <c r="FNB1" s="87" t="n"/>
      <c r="FNC1" s="87" t="n"/>
      <c r="FND1" s="87" t="n"/>
      <c r="FNE1" s="87" t="n"/>
      <c r="FNF1" s="87" t="n"/>
      <c r="FNG1" s="87" t="n"/>
      <c r="FNH1" s="87" t="n"/>
      <c r="FNI1" s="87" t="n"/>
      <c r="FNJ1" s="87" t="n"/>
      <c r="FNK1" s="87" t="n"/>
      <c r="FNL1" s="87" t="n"/>
      <c r="FNM1" s="87" t="n"/>
      <c r="FNN1" s="87" t="n"/>
      <c r="FNO1" s="87" t="n"/>
      <c r="FNP1" s="87" t="n"/>
      <c r="FNQ1" s="87" t="n"/>
      <c r="FNR1" s="87" t="n"/>
      <c r="FNS1" s="87" t="n"/>
      <c r="FNT1" s="87" t="n"/>
      <c r="FNU1" s="87" t="n"/>
      <c r="FNV1" s="87" t="n"/>
      <c r="FNW1" s="87" t="n"/>
      <c r="FNX1" s="87" t="n"/>
      <c r="FNY1" s="87" t="n"/>
      <c r="FNZ1" s="87" t="n"/>
      <c r="FOA1" s="87" t="n"/>
      <c r="FOB1" s="87" t="n"/>
      <c r="FOC1" s="87" t="n"/>
      <c r="FOD1" s="87" t="n"/>
      <c r="FOE1" s="87" t="n"/>
      <c r="FOF1" s="87" t="n"/>
      <c r="FOG1" s="87" t="n"/>
      <c r="FOH1" s="87" t="n"/>
      <c r="FOI1" s="87" t="n"/>
      <c r="FOJ1" s="87" t="n"/>
      <c r="FOK1" s="87" t="n"/>
      <c r="FOL1" s="87" t="n"/>
      <c r="FOM1" s="87" t="n"/>
      <c r="FON1" s="87" t="n"/>
      <c r="FOO1" s="87" t="n"/>
      <c r="FOP1" s="87" t="n"/>
      <c r="FOQ1" s="87" t="n"/>
      <c r="FOR1" s="87" t="n"/>
      <c r="FOS1" s="87" t="n"/>
      <c r="FOT1" s="87" t="n"/>
      <c r="FOU1" s="87" t="n"/>
      <c r="FOV1" s="87" t="n"/>
      <c r="FOW1" s="87" t="n"/>
      <c r="FOX1" s="87" t="n"/>
      <c r="FOY1" s="87" t="n"/>
      <c r="FOZ1" s="87" t="n"/>
      <c r="FPA1" s="87" t="n"/>
      <c r="FPB1" s="87" t="n"/>
      <c r="FPC1" s="87" t="n"/>
      <c r="FPD1" s="87" t="n"/>
      <c r="FPE1" s="87" t="n"/>
      <c r="FPF1" s="87" t="n"/>
      <c r="FPG1" s="87" t="n"/>
      <c r="FPH1" s="87" t="n"/>
      <c r="FPI1" s="87" t="n"/>
      <c r="FPJ1" s="87" t="n"/>
      <c r="FPK1" s="87" t="n"/>
      <c r="FPL1" s="87" t="n"/>
      <c r="FPM1" s="87" t="n"/>
      <c r="FPN1" s="87" t="n"/>
      <c r="FPO1" s="87" t="n"/>
      <c r="FPP1" s="87" t="n"/>
      <c r="FPQ1" s="87" t="n"/>
      <c r="FPR1" s="87" t="n"/>
      <c r="FPS1" s="87" t="n"/>
      <c r="FPT1" s="87" t="n"/>
      <c r="FPU1" s="87" t="n"/>
      <c r="FPV1" s="87" t="n"/>
      <c r="FPW1" s="87" t="n"/>
      <c r="FPX1" s="87" t="n"/>
      <c r="FPY1" s="87" t="n"/>
      <c r="FPZ1" s="87" t="n"/>
      <c r="FQA1" s="87" t="n"/>
      <c r="FQB1" s="87" t="n"/>
      <c r="FQC1" s="87" t="n"/>
      <c r="FQD1" s="87" t="n"/>
      <c r="FQE1" s="87" t="n"/>
      <c r="FQF1" s="87" t="n"/>
      <c r="FQG1" s="87" t="n"/>
      <c r="FQH1" s="87" t="n"/>
      <c r="FQI1" s="87" t="n"/>
      <c r="FQJ1" s="87" t="n"/>
      <c r="FQK1" s="87" t="n"/>
      <c r="FQL1" s="87" t="n"/>
      <c r="FQM1" s="87" t="n"/>
      <c r="FQN1" s="87" t="n"/>
      <c r="FQO1" s="87" t="n"/>
      <c r="FQP1" s="87" t="n"/>
      <c r="FQQ1" s="87" t="n"/>
      <c r="FQR1" s="87" t="n"/>
      <c r="FQS1" s="87" t="n"/>
      <c r="FQT1" s="87" t="n"/>
      <c r="FQU1" s="87" t="n"/>
      <c r="FQV1" s="87" t="n"/>
      <c r="FQW1" s="87" t="n"/>
      <c r="FQX1" s="87" t="n"/>
      <c r="FQY1" s="87" t="n"/>
      <c r="FQZ1" s="87" t="n"/>
      <c r="FRA1" s="87" t="n"/>
      <c r="FRB1" s="87" t="n"/>
      <c r="FRC1" s="87" t="n"/>
      <c r="FRD1" s="87" t="n"/>
      <c r="FRE1" s="87" t="n"/>
      <c r="FRF1" s="87" t="n"/>
      <c r="FRG1" s="87" t="n"/>
      <c r="FRH1" s="87" t="n"/>
      <c r="FRI1" s="87" t="n"/>
      <c r="FRJ1" s="87" t="n"/>
      <c r="FRK1" s="87" t="n"/>
      <c r="FRL1" s="87" t="n"/>
      <c r="FRM1" s="87" t="n"/>
      <c r="FRN1" s="87" t="n"/>
      <c r="FRO1" s="87" t="n"/>
      <c r="FRP1" s="87" t="n"/>
      <c r="FRQ1" s="87" t="n"/>
      <c r="FRR1" s="87" t="n"/>
      <c r="FRS1" s="87" t="n"/>
      <c r="FRT1" s="87" t="n"/>
      <c r="FRU1" s="87" t="n"/>
      <c r="FRV1" s="87" t="n"/>
      <c r="FRW1" s="87" t="n"/>
      <c r="FRX1" s="87" t="n"/>
      <c r="FRY1" s="87" t="n"/>
      <c r="FRZ1" s="87" t="n"/>
      <c r="FSA1" s="87" t="n"/>
      <c r="FSB1" s="87" t="n"/>
      <c r="FSC1" s="87" t="n"/>
      <c r="FSD1" s="87" t="n"/>
      <c r="FSE1" s="87" t="n"/>
      <c r="FSF1" s="87" t="n"/>
      <c r="FSG1" s="87" t="n"/>
      <c r="FSH1" s="87" t="n"/>
      <c r="FSI1" s="87" t="n"/>
      <c r="FSJ1" s="87" t="n"/>
      <c r="FSK1" s="87" t="n"/>
      <c r="FSL1" s="87" t="n"/>
      <c r="FSM1" s="87" t="n"/>
      <c r="FSN1" s="87" t="n"/>
      <c r="FSO1" s="87" t="n"/>
      <c r="FSP1" s="87" t="n"/>
      <c r="FSQ1" s="87" t="n"/>
      <c r="FSR1" s="87" t="n"/>
      <c r="FSS1" s="87" t="n"/>
      <c r="FST1" s="87" t="n"/>
      <c r="FSU1" s="87" t="n"/>
      <c r="FSV1" s="87" t="n"/>
      <c r="FSW1" s="87" t="n"/>
      <c r="FSX1" s="87" t="n"/>
      <c r="FSY1" s="87" t="n"/>
      <c r="FSZ1" s="87" t="n"/>
      <c r="FTA1" s="87" t="n"/>
      <c r="FTB1" s="87" t="n"/>
      <c r="FTC1" s="87" t="n"/>
      <c r="FTD1" s="87" t="n"/>
      <c r="FTE1" s="87" t="n"/>
      <c r="FTF1" s="87" t="n"/>
      <c r="FTG1" s="87" t="n"/>
      <c r="FTH1" s="87" t="n"/>
      <c r="FTI1" s="87" t="n"/>
      <c r="FTJ1" s="87" t="n"/>
      <c r="FTK1" s="87" t="n"/>
      <c r="FTL1" s="87" t="n"/>
      <c r="FTM1" s="87" t="n"/>
      <c r="FTN1" s="87" t="n"/>
      <c r="FTO1" s="87" t="n"/>
      <c r="FTP1" s="87" t="n"/>
      <c r="FTQ1" s="87" t="n"/>
      <c r="FTR1" s="87" t="n"/>
      <c r="FTS1" s="87" t="n"/>
      <c r="FTT1" s="87" t="n"/>
      <c r="FTU1" s="87" t="n"/>
      <c r="FTV1" s="87" t="n"/>
      <c r="FTW1" s="87" t="n"/>
      <c r="FTX1" s="87" t="n"/>
      <c r="FTY1" s="87" t="n"/>
      <c r="FTZ1" s="87" t="n"/>
      <c r="FUA1" s="87" t="n"/>
      <c r="FUB1" s="87" t="n"/>
      <c r="FUC1" s="87" t="n"/>
      <c r="FUD1" s="87" t="n"/>
      <c r="FUE1" s="87" t="n"/>
      <c r="FUF1" s="87" t="n"/>
      <c r="FUG1" s="87" t="n"/>
      <c r="FUH1" s="87" t="n"/>
      <c r="FUI1" s="87" t="n"/>
      <c r="FUJ1" s="87" t="n"/>
      <c r="FUK1" s="87" t="n"/>
      <c r="FUL1" s="87" t="n"/>
      <c r="FUM1" s="87" t="n"/>
      <c r="FUN1" s="87" t="n"/>
      <c r="FUO1" s="87" t="n"/>
      <c r="FUP1" s="87" t="n"/>
      <c r="FUQ1" s="87" t="n"/>
      <c r="FUR1" s="87" t="n"/>
      <c r="FUS1" s="87" t="n"/>
      <c r="FUT1" s="87" t="n"/>
      <c r="FUU1" s="87" t="n"/>
      <c r="FUV1" s="87" t="n"/>
      <c r="FUW1" s="87" t="n"/>
      <c r="FUX1" s="87" t="n"/>
      <c r="FUY1" s="87" t="n"/>
      <c r="FUZ1" s="87" t="n"/>
      <c r="FVA1" s="87" t="n"/>
      <c r="FVB1" s="87" t="n"/>
      <c r="FVC1" s="87" t="n"/>
      <c r="FVD1" s="87" t="n"/>
      <c r="FVE1" s="87" t="n"/>
      <c r="FVF1" s="87" t="n"/>
      <c r="FVG1" s="87" t="n"/>
      <c r="FVH1" s="87" t="n"/>
      <c r="FVI1" s="87" t="n"/>
      <c r="FVJ1" s="87" t="n"/>
      <c r="FVK1" s="87" t="n"/>
      <c r="FVL1" s="87" t="n"/>
      <c r="FVM1" s="87" t="n"/>
      <c r="FVN1" s="87" t="n"/>
      <c r="FVO1" s="87" t="n"/>
      <c r="FVP1" s="87" t="n"/>
      <c r="FVQ1" s="87" t="n"/>
      <c r="FVR1" s="87" t="n"/>
      <c r="FVS1" s="87" t="n"/>
      <c r="FVT1" s="87" t="n"/>
      <c r="FVU1" s="87" t="n"/>
      <c r="FVV1" s="87" t="n"/>
      <c r="FVW1" s="87" t="n"/>
      <c r="FVX1" s="87" t="n"/>
      <c r="FVY1" s="87" t="n"/>
      <c r="FVZ1" s="87" t="n"/>
      <c r="FWA1" s="87" t="n"/>
      <c r="FWB1" s="87" t="n"/>
      <c r="FWC1" s="87" t="n"/>
      <c r="FWD1" s="87" t="n"/>
      <c r="FWE1" s="87" t="n"/>
      <c r="FWF1" s="87" t="n"/>
      <c r="FWG1" s="87" t="n"/>
      <c r="FWH1" s="87" t="n"/>
      <c r="FWI1" s="87" t="n"/>
      <c r="FWJ1" s="87" t="n"/>
      <c r="FWK1" s="87" t="n"/>
      <c r="FWL1" s="87" t="n"/>
      <c r="FWM1" s="87" t="n"/>
      <c r="FWN1" s="87" t="n"/>
      <c r="FWO1" s="87" t="n"/>
      <c r="FWP1" s="87" t="n"/>
      <c r="FWQ1" s="87" t="n"/>
      <c r="FWR1" s="87" t="n"/>
      <c r="FWS1" s="87" t="n"/>
      <c r="FWT1" s="87" t="n"/>
      <c r="FWU1" s="87" t="n"/>
      <c r="FWV1" s="87" t="n"/>
      <c r="FWW1" s="87" t="n"/>
      <c r="FWX1" s="87" t="n"/>
      <c r="FWY1" s="87" t="n"/>
      <c r="FWZ1" s="87" t="n"/>
      <c r="FXA1" s="87" t="n"/>
      <c r="FXB1" s="87" t="n"/>
      <c r="FXC1" s="87" t="n"/>
      <c r="FXD1" s="87" t="n"/>
      <c r="FXE1" s="87" t="n"/>
      <c r="FXF1" s="87" t="n"/>
      <c r="FXG1" s="87" t="n"/>
      <c r="FXH1" s="87" t="n"/>
      <c r="FXI1" s="87" t="n"/>
      <c r="FXJ1" s="87" t="n"/>
      <c r="FXK1" s="87" t="n"/>
      <c r="FXL1" s="87" t="n"/>
      <c r="FXM1" s="87" t="n"/>
      <c r="FXN1" s="87" t="n"/>
      <c r="FXO1" s="87" t="n"/>
      <c r="FXP1" s="87" t="n"/>
      <c r="FXQ1" s="87" t="n"/>
      <c r="FXR1" s="87" t="n"/>
      <c r="FXS1" s="87" t="n"/>
      <c r="FXT1" s="87" t="n"/>
      <c r="FXU1" s="87" t="n"/>
      <c r="FXV1" s="87" t="n"/>
      <c r="FXW1" s="87" t="n"/>
      <c r="FXX1" s="87" t="n"/>
      <c r="FXY1" s="87" t="n"/>
      <c r="FXZ1" s="87" t="n"/>
      <c r="FYA1" s="87" t="n"/>
      <c r="FYB1" s="87" t="n"/>
      <c r="FYC1" s="87" t="n"/>
      <c r="FYD1" s="87" t="n"/>
      <c r="FYE1" s="87" t="n"/>
      <c r="FYF1" s="87" t="n"/>
      <c r="FYG1" s="87" t="n"/>
      <c r="FYH1" s="87" t="n"/>
      <c r="FYI1" s="87" t="n"/>
      <c r="FYJ1" s="87" t="n"/>
      <c r="FYK1" s="87" t="n"/>
      <c r="FYL1" s="87" t="n"/>
      <c r="FYM1" s="87" t="n"/>
      <c r="FYN1" s="87" t="n"/>
      <c r="FYO1" s="87" t="n"/>
      <c r="FYP1" s="87" t="n"/>
      <c r="FYQ1" s="87" t="n"/>
      <c r="FYR1" s="87" t="n"/>
      <c r="FYS1" s="87" t="n"/>
      <c r="FYT1" s="87" t="n"/>
      <c r="FYU1" s="87" t="n"/>
      <c r="FYV1" s="87" t="n"/>
      <c r="FYW1" s="87" t="n"/>
      <c r="FYX1" s="87" t="n"/>
      <c r="FYY1" s="87" t="n"/>
      <c r="FYZ1" s="87" t="n"/>
      <c r="FZA1" s="87" t="n"/>
      <c r="FZB1" s="87" t="n"/>
      <c r="FZC1" s="87" t="n"/>
      <c r="FZD1" s="87" t="n"/>
      <c r="FZE1" s="87" t="n"/>
      <c r="FZF1" s="87" t="n"/>
      <c r="FZG1" s="87" t="n"/>
      <c r="FZH1" s="87" t="n"/>
      <c r="FZI1" s="87" t="n"/>
      <c r="FZJ1" s="87" t="n"/>
      <c r="FZK1" s="87" t="n"/>
      <c r="FZL1" s="87" t="n"/>
      <c r="FZM1" s="87" t="n"/>
      <c r="FZN1" s="87" t="n"/>
      <c r="FZO1" s="87" t="n"/>
      <c r="FZP1" s="87" t="n"/>
      <c r="FZQ1" s="87" t="n"/>
      <c r="FZR1" s="87" t="n"/>
      <c r="FZS1" s="87" t="n"/>
      <c r="FZT1" s="87" t="n"/>
      <c r="FZU1" s="87" t="n"/>
      <c r="FZV1" s="87" t="n"/>
      <c r="FZW1" s="87" t="n"/>
      <c r="FZX1" s="87" t="n"/>
      <c r="FZY1" s="87" t="n"/>
      <c r="FZZ1" s="87" t="n"/>
      <c r="GAA1" s="87" t="n"/>
      <c r="GAB1" s="87" t="n"/>
      <c r="GAC1" s="87" t="n"/>
      <c r="GAD1" s="87" t="n"/>
      <c r="GAE1" s="87" t="n"/>
      <c r="GAF1" s="87" t="n"/>
      <c r="GAG1" s="87" t="n"/>
      <c r="GAH1" s="87" t="n"/>
      <c r="GAI1" s="87" t="n"/>
      <c r="GAJ1" s="87" t="n"/>
      <c r="GAK1" s="87" t="n"/>
      <c r="GAL1" s="87" t="n"/>
      <c r="GAM1" s="87" t="n"/>
      <c r="GAN1" s="87" t="n"/>
      <c r="GAO1" s="87" t="n"/>
      <c r="GAP1" s="87" t="n"/>
      <c r="GAQ1" s="87" t="n"/>
      <c r="GAR1" s="87" t="n"/>
      <c r="GAS1" s="87" t="n"/>
      <c r="GAT1" s="87" t="n"/>
      <c r="GAU1" s="87" t="n"/>
      <c r="GAV1" s="87" t="n"/>
      <c r="GAW1" s="87" t="n"/>
      <c r="GAX1" s="87" t="n"/>
      <c r="GAY1" s="87" t="n"/>
      <c r="GAZ1" s="87" t="n"/>
      <c r="GBA1" s="87" t="n"/>
      <c r="GBB1" s="87" t="n"/>
      <c r="GBC1" s="87" t="n"/>
      <c r="GBD1" s="87" t="n"/>
      <c r="GBE1" s="87" t="n"/>
      <c r="GBF1" s="87" t="n"/>
      <c r="GBG1" s="87" t="n"/>
      <c r="GBH1" s="87" t="n"/>
      <c r="GBI1" s="87" t="n"/>
      <c r="GBJ1" s="87" t="n"/>
      <c r="GBK1" s="87" t="n"/>
      <c r="GBL1" s="87" t="n"/>
      <c r="GBM1" s="87" t="n"/>
      <c r="GBN1" s="87" t="n"/>
      <c r="GBO1" s="87" t="n"/>
      <c r="GBP1" s="87" t="n"/>
      <c r="GBQ1" s="87" t="n"/>
      <c r="GBR1" s="87" t="n"/>
      <c r="GBS1" s="87" t="n"/>
      <c r="GBT1" s="87" t="n"/>
      <c r="GBU1" s="87" t="n"/>
      <c r="GBV1" s="87" t="n"/>
      <c r="GBW1" s="87" t="n"/>
      <c r="GBX1" s="87" t="n"/>
      <c r="GBY1" s="87" t="n"/>
      <c r="GBZ1" s="87" t="n"/>
      <c r="GCA1" s="87" t="n"/>
      <c r="GCB1" s="87" t="n"/>
      <c r="GCC1" s="87" t="n"/>
      <c r="GCD1" s="87" t="n"/>
      <c r="GCE1" s="87" t="n"/>
      <c r="GCF1" s="87" t="n"/>
      <c r="GCG1" s="87" t="n"/>
      <c r="GCH1" s="87" t="n"/>
      <c r="GCI1" s="87" t="n"/>
      <c r="GCJ1" s="87" t="n"/>
      <c r="GCK1" s="87" t="n"/>
      <c r="GCL1" s="87" t="n"/>
      <c r="GCM1" s="87" t="n"/>
      <c r="GCN1" s="87" t="n"/>
      <c r="GCO1" s="87" t="n"/>
      <c r="GCP1" s="87" t="n"/>
      <c r="GCQ1" s="87" t="n"/>
      <c r="GCR1" s="87" t="n"/>
      <c r="GCS1" s="87" t="n"/>
      <c r="GCT1" s="87" t="n"/>
      <c r="GCU1" s="87" t="n"/>
      <c r="GCV1" s="87" t="n"/>
      <c r="GCW1" s="87" t="n"/>
      <c r="GCX1" s="87" t="n"/>
      <c r="GCY1" s="87" t="n"/>
      <c r="GCZ1" s="87" t="n"/>
      <c r="GDA1" s="87" t="n"/>
      <c r="GDB1" s="87" t="n"/>
      <c r="GDC1" s="87" t="n"/>
      <c r="GDD1" s="87" t="n"/>
      <c r="GDE1" s="87" t="n"/>
      <c r="GDF1" s="87" t="n"/>
      <c r="GDG1" s="87" t="n"/>
      <c r="GDH1" s="87" t="n"/>
      <c r="GDI1" s="87" t="n"/>
      <c r="GDJ1" s="87" t="n"/>
      <c r="GDK1" s="87" t="n"/>
      <c r="GDL1" s="87" t="n"/>
      <c r="GDM1" s="87" t="n"/>
      <c r="GDN1" s="87" t="n"/>
      <c r="GDO1" s="87" t="n"/>
      <c r="GDP1" s="87" t="n"/>
      <c r="GDQ1" s="87" t="n"/>
      <c r="GDR1" s="87" t="n"/>
      <c r="GDS1" s="87" t="n"/>
      <c r="GDT1" s="87" t="n"/>
      <c r="GDU1" s="87" t="n"/>
      <c r="GDV1" s="87" t="n"/>
      <c r="GDW1" s="87" t="n"/>
      <c r="GDX1" s="87" t="n"/>
      <c r="GDY1" s="87" t="n"/>
      <c r="GDZ1" s="87" t="n"/>
      <c r="GEA1" s="87" t="n"/>
      <c r="GEB1" s="87" t="n"/>
      <c r="GEC1" s="87" t="n"/>
      <c r="GED1" s="87" t="n"/>
      <c r="GEE1" s="87" t="n"/>
      <c r="GEF1" s="87" t="n"/>
      <c r="GEG1" s="87" t="n"/>
      <c r="GEH1" s="87" t="n"/>
      <c r="GEI1" s="87" t="n"/>
      <c r="GEJ1" s="87" t="n"/>
      <c r="GEK1" s="87" t="n"/>
      <c r="GEL1" s="87" t="n"/>
      <c r="GEM1" s="87" t="n"/>
      <c r="GEN1" s="87" t="n"/>
      <c r="GEO1" s="87" t="n"/>
      <c r="GEP1" s="87" t="n"/>
      <c r="GEQ1" s="87" t="n"/>
      <c r="GER1" s="87" t="n"/>
      <c r="GES1" s="87" t="n"/>
      <c r="GET1" s="87" t="n"/>
      <c r="GEU1" s="87" t="n"/>
      <c r="GEV1" s="87" t="n"/>
      <c r="GEW1" s="87" t="n"/>
      <c r="GEX1" s="87" t="n"/>
      <c r="GEY1" s="87" t="n"/>
      <c r="GEZ1" s="87" t="n"/>
      <c r="GFA1" s="87" t="n"/>
      <c r="GFB1" s="87" t="n"/>
      <c r="GFC1" s="87" t="n"/>
      <c r="GFD1" s="87" t="n"/>
      <c r="GFE1" s="87" t="n"/>
      <c r="GFF1" s="87" t="n"/>
      <c r="GFG1" s="87" t="n"/>
      <c r="GFH1" s="87" t="n"/>
      <c r="GFI1" s="87" t="n"/>
      <c r="GFJ1" s="87" t="n"/>
      <c r="GFK1" s="87" t="n"/>
      <c r="GFL1" s="87" t="n"/>
      <c r="GFM1" s="87" t="n"/>
      <c r="GFN1" s="87" t="n"/>
      <c r="GFO1" s="87" t="n"/>
      <c r="GFP1" s="87" t="n"/>
      <c r="GFQ1" s="87" t="n"/>
      <c r="GFR1" s="87" t="n"/>
      <c r="GFS1" s="87" t="n"/>
      <c r="GFT1" s="87" t="n"/>
      <c r="GFU1" s="87" t="n"/>
      <c r="GFV1" s="87" t="n"/>
      <c r="GFW1" s="87" t="n"/>
      <c r="GFX1" s="87" t="n"/>
      <c r="GFY1" s="87" t="n"/>
      <c r="GFZ1" s="87" t="n"/>
      <c r="GGA1" s="87" t="n"/>
      <c r="GGB1" s="87" t="n"/>
      <c r="GGC1" s="87" t="n"/>
      <c r="GGD1" s="87" t="n"/>
      <c r="GGE1" s="87" t="n"/>
      <c r="GGF1" s="87" t="n"/>
      <c r="GGG1" s="87" t="n"/>
      <c r="GGH1" s="87" t="n"/>
      <c r="GGI1" s="87" t="n"/>
      <c r="GGJ1" s="87" t="n"/>
      <c r="GGK1" s="87" t="n"/>
      <c r="GGL1" s="87" t="n"/>
      <c r="GGM1" s="87" t="n"/>
      <c r="GGN1" s="87" t="n"/>
      <c r="GGO1" s="87" t="n"/>
      <c r="GGP1" s="87" t="n"/>
      <c r="GGQ1" s="87" t="n"/>
      <c r="GGR1" s="87" t="n"/>
      <c r="GGS1" s="87" t="n"/>
      <c r="GGT1" s="87" t="n"/>
      <c r="GGU1" s="87" t="n"/>
      <c r="GGV1" s="87" t="n"/>
      <c r="GGW1" s="87" t="n"/>
      <c r="GGX1" s="87" t="n"/>
      <c r="GGY1" s="87" t="n"/>
      <c r="GGZ1" s="87" t="n"/>
      <c r="GHA1" s="87" t="n"/>
      <c r="GHB1" s="87" t="n"/>
      <c r="GHC1" s="87" t="n"/>
      <c r="GHD1" s="87" t="n"/>
      <c r="GHE1" s="87" t="n"/>
      <c r="GHF1" s="87" t="n"/>
      <c r="GHG1" s="87" t="n"/>
      <c r="GHH1" s="87" t="n"/>
      <c r="GHI1" s="87" t="n"/>
      <c r="GHJ1" s="87" t="n"/>
      <c r="GHK1" s="87" t="n"/>
      <c r="GHL1" s="87" t="n"/>
      <c r="GHM1" s="87" t="n"/>
      <c r="GHN1" s="87" t="n"/>
      <c r="GHO1" s="87" t="n"/>
      <c r="GHP1" s="87" t="n"/>
      <c r="GHQ1" s="87" t="n"/>
      <c r="GHR1" s="87" t="n"/>
      <c r="GHS1" s="87" t="n"/>
      <c r="GHT1" s="87" t="n"/>
      <c r="GHU1" s="87" t="n"/>
      <c r="GHV1" s="87" t="n"/>
      <c r="GHW1" s="87" t="n"/>
      <c r="GHX1" s="87" t="n"/>
      <c r="GHY1" s="87" t="n"/>
      <c r="GHZ1" s="87" t="n"/>
      <c r="GIA1" s="87" t="n"/>
      <c r="GIB1" s="87" t="n"/>
      <c r="GIC1" s="87" t="n"/>
      <c r="GID1" s="87" t="n"/>
      <c r="GIE1" s="87" t="n"/>
      <c r="GIF1" s="87" t="n"/>
      <c r="GIG1" s="87" t="n"/>
      <c r="GIH1" s="87" t="n"/>
      <c r="GII1" s="87" t="n"/>
      <c r="GIJ1" s="87" t="n"/>
      <c r="GIK1" s="87" t="n"/>
      <c r="GIL1" s="87" t="n"/>
      <c r="GIM1" s="87" t="n"/>
      <c r="GIN1" s="87" t="n"/>
      <c r="GIO1" s="87" t="n"/>
      <c r="GIP1" s="87" t="n"/>
      <c r="GIQ1" s="87" t="n"/>
      <c r="GIR1" s="87" t="n"/>
      <c r="GIS1" s="87" t="n"/>
      <c r="GIT1" s="87" t="n"/>
      <c r="GIU1" s="87" t="n"/>
      <c r="GIV1" s="87" t="n"/>
      <c r="GIW1" s="87" t="n"/>
      <c r="GIX1" s="87" t="n"/>
      <c r="GIY1" s="87" t="n"/>
      <c r="GIZ1" s="87" t="n"/>
      <c r="GJA1" s="87" t="n"/>
      <c r="GJB1" s="87" t="n"/>
      <c r="GJC1" s="87" t="n"/>
      <c r="GJD1" s="87" t="n"/>
      <c r="GJE1" s="87" t="n"/>
      <c r="GJF1" s="87" t="n"/>
      <c r="GJG1" s="87" t="n"/>
      <c r="GJH1" s="87" t="n"/>
      <c r="GJI1" s="87" t="n"/>
      <c r="GJJ1" s="87" t="n"/>
      <c r="GJK1" s="87" t="n"/>
      <c r="GJL1" s="87" t="n"/>
      <c r="GJM1" s="87" t="n"/>
      <c r="GJN1" s="87" t="n"/>
      <c r="GJO1" s="87" t="n"/>
      <c r="GJP1" s="87" t="n"/>
      <c r="GJQ1" s="87" t="n"/>
      <c r="GJR1" s="87" t="n"/>
      <c r="GJS1" s="87" t="n"/>
      <c r="GJT1" s="87" t="n"/>
      <c r="GJU1" s="87" t="n"/>
      <c r="GJV1" s="87" t="n"/>
      <c r="GJW1" s="87" t="n"/>
      <c r="GJX1" s="87" t="n"/>
      <c r="GJY1" s="87" t="n"/>
      <c r="GJZ1" s="87" t="n"/>
      <c r="GKA1" s="87" t="n"/>
      <c r="GKB1" s="87" t="n"/>
      <c r="GKC1" s="87" t="n"/>
      <c r="GKD1" s="87" t="n"/>
      <c r="GKE1" s="87" t="n"/>
      <c r="GKF1" s="87" t="n"/>
      <c r="GKG1" s="87" t="n"/>
      <c r="GKH1" s="87" t="n"/>
      <c r="GKI1" s="87" t="n"/>
      <c r="GKJ1" s="87" t="n"/>
      <c r="GKK1" s="87" t="n"/>
      <c r="GKL1" s="87" t="n"/>
      <c r="GKM1" s="87" t="n"/>
      <c r="GKN1" s="87" t="n"/>
      <c r="GKO1" s="87" t="n"/>
      <c r="GKP1" s="87" t="n"/>
      <c r="GKQ1" s="87" t="n"/>
      <c r="GKR1" s="87" t="n"/>
      <c r="GKS1" s="87" t="n"/>
      <c r="GKT1" s="87" t="n"/>
      <c r="GKU1" s="87" t="n"/>
      <c r="GKV1" s="87" t="n"/>
      <c r="GKW1" s="87" t="n"/>
      <c r="GKX1" s="87" t="n"/>
      <c r="GKY1" s="87" t="n"/>
      <c r="GKZ1" s="87" t="n"/>
      <c r="GLA1" s="87" t="n"/>
      <c r="GLB1" s="87" t="n"/>
      <c r="GLC1" s="87" t="n"/>
      <c r="GLD1" s="87" t="n"/>
      <c r="GLE1" s="87" t="n"/>
      <c r="GLF1" s="87" t="n"/>
      <c r="GLG1" s="87" t="n"/>
      <c r="GLH1" s="87" t="n"/>
      <c r="GLI1" s="87" t="n"/>
      <c r="GLJ1" s="87" t="n"/>
      <c r="GLK1" s="87" t="n"/>
      <c r="GLL1" s="87" t="n"/>
      <c r="GLM1" s="87" t="n"/>
      <c r="GLN1" s="87" t="n"/>
      <c r="GLO1" s="87" t="n"/>
      <c r="GLP1" s="87" t="n"/>
      <c r="GLQ1" s="87" t="n"/>
      <c r="GLR1" s="87" t="n"/>
      <c r="GLS1" s="87" t="n"/>
      <c r="GLT1" s="87" t="n"/>
      <c r="GLU1" s="87" t="n"/>
      <c r="GLV1" s="87" t="n"/>
      <c r="GLW1" s="87" t="n"/>
      <c r="GLX1" s="87" t="n"/>
      <c r="GLY1" s="87" t="n"/>
      <c r="GLZ1" s="87" t="n"/>
      <c r="GMA1" s="87" t="n"/>
      <c r="GMB1" s="87" t="n"/>
      <c r="GMC1" s="87" t="n"/>
      <c r="GMD1" s="87" t="n"/>
      <c r="GME1" s="87" t="n"/>
      <c r="GMF1" s="87" t="n"/>
      <c r="GMG1" s="87" t="n"/>
      <c r="GMH1" s="87" t="n"/>
      <c r="GMI1" s="87" t="n"/>
      <c r="GMJ1" s="87" t="n"/>
      <c r="GMK1" s="87" t="n"/>
      <c r="GML1" s="87" t="n"/>
      <c r="GMM1" s="87" t="n"/>
      <c r="GMN1" s="87" t="n"/>
      <c r="GMO1" s="87" t="n"/>
      <c r="GMP1" s="87" t="n"/>
      <c r="GMQ1" s="87" t="n"/>
      <c r="GMR1" s="87" t="n"/>
      <c r="GMS1" s="87" t="n"/>
      <c r="GMT1" s="87" t="n"/>
      <c r="GMU1" s="87" t="n"/>
      <c r="GMV1" s="87" t="n"/>
      <c r="GMW1" s="87" t="n"/>
      <c r="GMX1" s="87" t="n"/>
      <c r="GMY1" s="87" t="n"/>
      <c r="GMZ1" s="87" t="n"/>
      <c r="GNA1" s="87" t="n"/>
      <c r="GNB1" s="87" t="n"/>
      <c r="GNC1" s="87" t="n"/>
      <c r="GND1" s="87" t="n"/>
      <c r="GNE1" s="87" t="n"/>
      <c r="GNF1" s="87" t="n"/>
      <c r="GNG1" s="87" t="n"/>
      <c r="GNH1" s="87" t="n"/>
      <c r="GNI1" s="87" t="n"/>
      <c r="GNJ1" s="87" t="n"/>
      <c r="GNK1" s="87" t="n"/>
      <c r="GNL1" s="87" t="n"/>
      <c r="GNM1" s="87" t="n"/>
      <c r="GNN1" s="87" t="n"/>
      <c r="GNO1" s="87" t="n"/>
      <c r="GNP1" s="87" t="n"/>
      <c r="GNQ1" s="87" t="n"/>
      <c r="GNR1" s="87" t="n"/>
      <c r="GNS1" s="87" t="n"/>
      <c r="GNT1" s="87" t="n"/>
      <c r="GNU1" s="87" t="n"/>
      <c r="GNV1" s="87" t="n"/>
      <c r="GNW1" s="87" t="n"/>
      <c r="GNX1" s="87" t="n"/>
      <c r="GNY1" s="87" t="n"/>
      <c r="GNZ1" s="87" t="n"/>
      <c r="GOA1" s="87" t="n"/>
      <c r="GOB1" s="87" t="n"/>
      <c r="GOC1" s="87" t="n"/>
      <c r="GOD1" s="87" t="n"/>
      <c r="GOE1" s="87" t="n"/>
      <c r="GOF1" s="87" t="n"/>
      <c r="GOG1" s="87" t="n"/>
      <c r="GOH1" s="87" t="n"/>
      <c r="GOI1" s="87" t="n"/>
      <c r="GOJ1" s="87" t="n"/>
      <c r="GOK1" s="87" t="n"/>
      <c r="GOL1" s="87" t="n"/>
      <c r="GOM1" s="87" t="n"/>
      <c r="GON1" s="87" t="n"/>
      <c r="GOO1" s="87" t="n"/>
      <c r="GOP1" s="87" t="n"/>
      <c r="GOQ1" s="87" t="n"/>
      <c r="GOR1" s="87" t="n"/>
      <c r="GOS1" s="87" t="n"/>
      <c r="GOT1" s="87" t="n"/>
      <c r="GOU1" s="87" t="n"/>
      <c r="GOV1" s="87" t="n"/>
      <c r="GOW1" s="87" t="n"/>
      <c r="GOX1" s="87" t="n"/>
      <c r="GOY1" s="87" t="n"/>
      <c r="GOZ1" s="87" t="n"/>
      <c r="GPA1" s="87" t="n"/>
      <c r="GPB1" s="87" t="n"/>
      <c r="GPC1" s="87" t="n"/>
      <c r="GPD1" s="87" t="n"/>
      <c r="GPE1" s="87" t="n"/>
      <c r="GPF1" s="87" t="n"/>
      <c r="GPG1" s="87" t="n"/>
      <c r="GPH1" s="87" t="n"/>
      <c r="GPI1" s="87" t="n"/>
      <c r="GPJ1" s="87" t="n"/>
      <c r="GPK1" s="87" t="n"/>
      <c r="GPL1" s="87" t="n"/>
      <c r="GPM1" s="87" t="n"/>
      <c r="GPN1" s="87" t="n"/>
      <c r="GPO1" s="87" t="n"/>
      <c r="GPP1" s="87" t="n"/>
      <c r="GPQ1" s="87" t="n"/>
      <c r="GPR1" s="87" t="n"/>
      <c r="GPS1" s="87" t="n"/>
      <c r="GPT1" s="87" t="n"/>
      <c r="GPU1" s="87" t="n"/>
      <c r="GPV1" s="87" t="n"/>
      <c r="GPW1" s="87" t="n"/>
      <c r="GPX1" s="87" t="n"/>
      <c r="GPY1" s="87" t="n"/>
      <c r="GPZ1" s="87" t="n"/>
      <c r="GQA1" s="87" t="n"/>
      <c r="GQB1" s="87" t="n"/>
      <c r="GQC1" s="87" t="n"/>
      <c r="GQD1" s="87" t="n"/>
      <c r="GQE1" s="87" t="n"/>
      <c r="GQF1" s="87" t="n"/>
      <c r="GQG1" s="87" t="n"/>
      <c r="GQH1" s="87" t="n"/>
      <c r="GQI1" s="87" t="n"/>
      <c r="GQJ1" s="87" t="n"/>
      <c r="GQK1" s="87" t="n"/>
      <c r="GQL1" s="87" t="n"/>
      <c r="GQM1" s="87" t="n"/>
      <c r="GQN1" s="87" t="n"/>
      <c r="GQO1" s="87" t="n"/>
      <c r="GQP1" s="87" t="n"/>
      <c r="GQQ1" s="87" t="n"/>
      <c r="GQR1" s="87" t="n"/>
      <c r="GQS1" s="87" t="n"/>
      <c r="GQT1" s="87" t="n"/>
      <c r="GQU1" s="87" t="n"/>
      <c r="GQV1" s="87" t="n"/>
      <c r="GQW1" s="87" t="n"/>
      <c r="GQX1" s="87" t="n"/>
      <c r="GQY1" s="87" t="n"/>
      <c r="GQZ1" s="87" t="n"/>
      <c r="GRA1" s="87" t="n"/>
      <c r="GRB1" s="87" t="n"/>
      <c r="GRC1" s="87" t="n"/>
      <c r="GRD1" s="87" t="n"/>
      <c r="GRE1" s="87" t="n"/>
      <c r="GRF1" s="87" t="n"/>
      <c r="GRG1" s="87" t="n"/>
      <c r="GRH1" s="87" t="n"/>
      <c r="GRI1" s="87" t="n"/>
      <c r="GRJ1" s="87" t="n"/>
      <c r="GRK1" s="87" t="n"/>
      <c r="GRL1" s="87" t="n"/>
      <c r="GRM1" s="87" t="n"/>
      <c r="GRN1" s="87" t="n"/>
      <c r="GRO1" s="87" t="n"/>
      <c r="GRP1" s="87" t="n"/>
      <c r="GRQ1" s="87" t="n"/>
      <c r="GRR1" s="87" t="n"/>
      <c r="GRS1" s="87" t="n"/>
      <c r="GRT1" s="87" t="n"/>
      <c r="GRU1" s="87" t="n"/>
      <c r="GRV1" s="87" t="n"/>
      <c r="GRW1" s="87" t="n"/>
      <c r="GRX1" s="87" t="n"/>
      <c r="GRY1" s="87" t="n"/>
      <c r="GRZ1" s="87" t="n"/>
      <c r="GSA1" s="87" t="n"/>
      <c r="GSB1" s="87" t="n"/>
      <c r="GSC1" s="87" t="n"/>
      <c r="GSD1" s="87" t="n"/>
      <c r="GSE1" s="87" t="n"/>
      <c r="GSF1" s="87" t="n"/>
      <c r="GSG1" s="87" t="n"/>
      <c r="GSH1" s="87" t="n"/>
      <c r="GSI1" s="87" t="n"/>
      <c r="GSJ1" s="87" t="n"/>
      <c r="GSK1" s="87" t="n"/>
      <c r="GSL1" s="87" t="n"/>
      <c r="GSM1" s="87" t="n"/>
      <c r="GSN1" s="87" t="n"/>
      <c r="GSO1" s="87" t="n"/>
      <c r="GSP1" s="87" t="n"/>
      <c r="GSQ1" s="87" t="n"/>
      <c r="GSR1" s="87" t="n"/>
      <c r="GSS1" s="87" t="n"/>
      <c r="GST1" s="87" t="n"/>
      <c r="GSU1" s="87" t="n"/>
      <c r="GSV1" s="87" t="n"/>
      <c r="GSW1" s="87" t="n"/>
      <c r="GSX1" s="87" t="n"/>
      <c r="GSY1" s="87" t="n"/>
      <c r="GSZ1" s="87" t="n"/>
      <c r="GTA1" s="87" t="n"/>
      <c r="GTB1" s="87" t="n"/>
      <c r="GTC1" s="87" t="n"/>
      <c r="GTD1" s="87" t="n"/>
      <c r="GTE1" s="87" t="n"/>
      <c r="GTF1" s="87" t="n"/>
      <c r="GTG1" s="87" t="n"/>
      <c r="GTH1" s="87" t="n"/>
      <c r="GTI1" s="87" t="n"/>
      <c r="GTJ1" s="87" t="n"/>
      <c r="GTK1" s="87" t="n"/>
      <c r="GTL1" s="87" t="n"/>
      <c r="GTM1" s="87" t="n"/>
      <c r="GTN1" s="87" t="n"/>
      <c r="GTO1" s="87" t="n"/>
      <c r="GTP1" s="87" t="n"/>
      <c r="GTQ1" s="87" t="n"/>
      <c r="GTR1" s="87" t="n"/>
      <c r="GTS1" s="87" t="n"/>
      <c r="GTT1" s="87" t="n"/>
      <c r="GTU1" s="87" t="n"/>
      <c r="GTV1" s="87" t="n"/>
      <c r="GTW1" s="87" t="n"/>
      <c r="GTX1" s="87" t="n"/>
      <c r="GTY1" s="87" t="n"/>
      <c r="GTZ1" s="87" t="n"/>
      <c r="GUA1" s="87" t="n"/>
      <c r="GUB1" s="87" t="n"/>
      <c r="GUC1" s="87" t="n"/>
      <c r="GUD1" s="87" t="n"/>
      <c r="GUE1" s="87" t="n"/>
      <c r="GUF1" s="87" t="n"/>
      <c r="GUG1" s="87" t="n"/>
      <c r="GUH1" s="87" t="n"/>
      <c r="GUI1" s="87" t="n"/>
      <c r="GUJ1" s="87" t="n"/>
      <c r="GUK1" s="87" t="n"/>
      <c r="GUL1" s="87" t="n"/>
      <c r="GUM1" s="87" t="n"/>
      <c r="GUN1" s="87" t="n"/>
      <c r="GUO1" s="87" t="n"/>
      <c r="GUP1" s="87" t="n"/>
      <c r="GUQ1" s="87" t="n"/>
      <c r="GUR1" s="87" t="n"/>
      <c r="GUS1" s="87" t="n"/>
      <c r="GUT1" s="87" t="n"/>
      <c r="GUU1" s="87" t="n"/>
      <c r="GUV1" s="87" t="n"/>
      <c r="GUW1" s="87" t="n"/>
      <c r="GUX1" s="87" t="n"/>
      <c r="GUY1" s="87" t="n"/>
      <c r="GUZ1" s="87" t="n"/>
      <c r="GVA1" s="87" t="n"/>
      <c r="GVB1" s="87" t="n"/>
      <c r="GVC1" s="87" t="n"/>
      <c r="GVD1" s="87" t="n"/>
      <c r="GVE1" s="87" t="n"/>
      <c r="GVF1" s="87" t="n"/>
      <c r="GVG1" s="87" t="n"/>
      <c r="GVH1" s="87" t="n"/>
      <c r="GVI1" s="87" t="n"/>
      <c r="GVJ1" s="87" t="n"/>
      <c r="GVK1" s="87" t="n"/>
      <c r="GVL1" s="87" t="n"/>
      <c r="GVM1" s="87" t="n"/>
      <c r="GVN1" s="87" t="n"/>
      <c r="GVO1" s="87" t="n"/>
      <c r="GVP1" s="87" t="n"/>
      <c r="GVQ1" s="87" t="n"/>
      <c r="GVR1" s="87" t="n"/>
      <c r="GVS1" s="87" t="n"/>
      <c r="GVT1" s="87" t="n"/>
      <c r="GVU1" s="87" t="n"/>
      <c r="GVV1" s="87" t="n"/>
      <c r="GVW1" s="87" t="n"/>
      <c r="GVX1" s="87" t="n"/>
      <c r="GVY1" s="87" t="n"/>
      <c r="GVZ1" s="87" t="n"/>
      <c r="GWA1" s="87" t="n"/>
      <c r="GWB1" s="87" t="n"/>
      <c r="GWC1" s="87" t="n"/>
      <c r="GWD1" s="87" t="n"/>
      <c r="GWE1" s="87" t="n"/>
      <c r="GWF1" s="87" t="n"/>
      <c r="GWG1" s="87" t="n"/>
      <c r="GWH1" s="87" t="n"/>
      <c r="GWI1" s="87" t="n"/>
      <c r="GWJ1" s="87" t="n"/>
      <c r="GWK1" s="87" t="n"/>
      <c r="GWL1" s="87" t="n"/>
      <c r="GWM1" s="87" t="n"/>
      <c r="GWN1" s="87" t="n"/>
      <c r="GWO1" s="87" t="n"/>
      <c r="GWP1" s="87" t="n"/>
      <c r="GWQ1" s="87" t="n"/>
      <c r="GWR1" s="87" t="n"/>
      <c r="GWS1" s="87" t="n"/>
      <c r="GWT1" s="87" t="n"/>
      <c r="GWU1" s="87" t="n"/>
      <c r="GWV1" s="87" t="n"/>
      <c r="GWW1" s="87" t="n"/>
      <c r="GWX1" s="87" t="n"/>
      <c r="GWY1" s="87" t="n"/>
      <c r="GWZ1" s="87" t="n"/>
      <c r="GXA1" s="87" t="n"/>
      <c r="GXB1" s="87" t="n"/>
      <c r="GXC1" s="87" t="n"/>
      <c r="GXD1" s="87" t="n"/>
      <c r="GXE1" s="87" t="n"/>
      <c r="GXF1" s="87" t="n"/>
      <c r="GXG1" s="87" t="n"/>
      <c r="GXH1" s="87" t="n"/>
      <c r="GXI1" s="87" t="n"/>
      <c r="GXJ1" s="87" t="n"/>
      <c r="GXK1" s="87" t="n"/>
      <c r="GXL1" s="87" t="n"/>
      <c r="GXM1" s="87" t="n"/>
      <c r="GXN1" s="87" t="n"/>
      <c r="GXO1" s="87" t="n"/>
      <c r="GXP1" s="87" t="n"/>
      <c r="GXQ1" s="87" t="n"/>
      <c r="GXR1" s="87" t="n"/>
      <c r="GXS1" s="87" t="n"/>
      <c r="GXT1" s="87" t="n"/>
      <c r="GXU1" s="87" t="n"/>
      <c r="GXV1" s="87" t="n"/>
      <c r="GXW1" s="87" t="n"/>
      <c r="GXX1" s="87" t="n"/>
      <c r="GXY1" s="87" t="n"/>
      <c r="GXZ1" s="87" t="n"/>
      <c r="GYA1" s="87" t="n"/>
      <c r="GYB1" s="87" t="n"/>
      <c r="GYC1" s="87" t="n"/>
      <c r="GYD1" s="87" t="n"/>
      <c r="GYE1" s="87" t="n"/>
      <c r="GYF1" s="87" t="n"/>
      <c r="GYG1" s="87" t="n"/>
      <c r="GYH1" s="87" t="n"/>
      <c r="GYI1" s="87" t="n"/>
      <c r="GYJ1" s="87" t="n"/>
      <c r="GYK1" s="87" t="n"/>
      <c r="GYL1" s="87" t="n"/>
      <c r="GYM1" s="87" t="n"/>
      <c r="GYN1" s="87" t="n"/>
      <c r="GYO1" s="87" t="n"/>
      <c r="GYP1" s="87" t="n"/>
      <c r="GYQ1" s="87" t="n"/>
      <c r="GYR1" s="87" t="n"/>
      <c r="GYS1" s="87" t="n"/>
      <c r="GYT1" s="87" t="n"/>
      <c r="GYU1" s="87" t="n"/>
      <c r="GYV1" s="87" t="n"/>
      <c r="GYW1" s="87" t="n"/>
      <c r="GYX1" s="87" t="n"/>
      <c r="GYY1" s="87" t="n"/>
      <c r="GYZ1" s="87" t="n"/>
      <c r="GZA1" s="87" t="n"/>
      <c r="GZB1" s="87" t="n"/>
      <c r="GZC1" s="87" t="n"/>
      <c r="GZD1" s="87" t="n"/>
      <c r="GZE1" s="87" t="n"/>
      <c r="GZF1" s="87" t="n"/>
      <c r="GZG1" s="87" t="n"/>
      <c r="GZH1" s="87" t="n"/>
      <c r="GZI1" s="87" t="n"/>
      <c r="GZJ1" s="87" t="n"/>
      <c r="GZK1" s="87" t="n"/>
      <c r="GZL1" s="87" t="n"/>
      <c r="GZM1" s="87" t="n"/>
      <c r="GZN1" s="87" t="n"/>
      <c r="GZO1" s="87" t="n"/>
      <c r="GZP1" s="87" t="n"/>
      <c r="GZQ1" s="87" t="n"/>
      <c r="GZR1" s="87" t="n"/>
      <c r="GZS1" s="87" t="n"/>
      <c r="GZT1" s="87" t="n"/>
      <c r="GZU1" s="87" t="n"/>
      <c r="GZV1" s="87" t="n"/>
      <c r="GZW1" s="87" t="n"/>
      <c r="GZX1" s="87" t="n"/>
      <c r="GZY1" s="87" t="n"/>
      <c r="GZZ1" s="87" t="n"/>
      <c r="HAA1" s="87" t="n"/>
      <c r="HAB1" s="87" t="n"/>
      <c r="HAC1" s="87" t="n"/>
      <c r="HAD1" s="87" t="n"/>
      <c r="HAE1" s="87" t="n"/>
      <c r="HAF1" s="87" t="n"/>
      <c r="HAG1" s="87" t="n"/>
      <c r="HAH1" s="87" t="n"/>
      <c r="HAI1" s="87" t="n"/>
      <c r="HAJ1" s="87" t="n"/>
      <c r="HAK1" s="87" t="n"/>
      <c r="HAL1" s="87" t="n"/>
      <c r="HAM1" s="87" t="n"/>
      <c r="HAN1" s="87" t="n"/>
      <c r="HAO1" s="87" t="n"/>
      <c r="HAP1" s="87" t="n"/>
      <c r="HAQ1" s="87" t="n"/>
      <c r="HAR1" s="87" t="n"/>
      <c r="HAS1" s="87" t="n"/>
      <c r="HAT1" s="87" t="n"/>
      <c r="HAU1" s="87" t="n"/>
      <c r="HAV1" s="87" t="n"/>
      <c r="HAW1" s="87" t="n"/>
      <c r="HAX1" s="87" t="n"/>
      <c r="HAY1" s="87" t="n"/>
      <c r="HAZ1" s="87" t="n"/>
      <c r="HBA1" s="87" t="n"/>
      <c r="HBB1" s="87" t="n"/>
      <c r="HBC1" s="87" t="n"/>
      <c r="HBD1" s="87" t="n"/>
      <c r="HBE1" s="87" t="n"/>
      <c r="HBF1" s="87" t="n"/>
      <c r="HBG1" s="87" t="n"/>
      <c r="HBH1" s="87" t="n"/>
      <c r="HBI1" s="87" t="n"/>
      <c r="HBJ1" s="87" t="n"/>
      <c r="HBK1" s="87" t="n"/>
      <c r="HBL1" s="87" t="n"/>
      <c r="HBM1" s="87" t="n"/>
      <c r="HBN1" s="87" t="n"/>
      <c r="HBO1" s="87" t="n"/>
      <c r="HBP1" s="87" t="n"/>
      <c r="HBQ1" s="87" t="n"/>
      <c r="HBR1" s="87" t="n"/>
      <c r="HBS1" s="87" t="n"/>
      <c r="HBT1" s="87" t="n"/>
      <c r="HBU1" s="87" t="n"/>
      <c r="HBV1" s="87" t="n"/>
      <c r="HBW1" s="87" t="n"/>
      <c r="HBX1" s="87" t="n"/>
      <c r="HBY1" s="87" t="n"/>
      <c r="HBZ1" s="87" t="n"/>
      <c r="HCA1" s="87" t="n"/>
      <c r="HCB1" s="87" t="n"/>
      <c r="HCC1" s="87" t="n"/>
      <c r="HCD1" s="87" t="n"/>
      <c r="HCE1" s="87" t="n"/>
      <c r="HCF1" s="87" t="n"/>
      <c r="HCG1" s="87" t="n"/>
      <c r="HCH1" s="87" t="n"/>
      <c r="HCI1" s="87" t="n"/>
      <c r="HCJ1" s="87" t="n"/>
      <c r="HCK1" s="87" t="n"/>
      <c r="HCL1" s="87" t="n"/>
      <c r="HCM1" s="87" t="n"/>
      <c r="HCN1" s="87" t="n"/>
      <c r="HCO1" s="87" t="n"/>
      <c r="HCP1" s="87" t="n"/>
      <c r="HCQ1" s="87" t="n"/>
      <c r="HCR1" s="87" t="n"/>
      <c r="HCS1" s="87" t="n"/>
      <c r="HCT1" s="87" t="n"/>
      <c r="HCU1" s="87" t="n"/>
      <c r="HCV1" s="87" t="n"/>
      <c r="HCW1" s="87" t="n"/>
      <c r="HCX1" s="87" t="n"/>
      <c r="HCY1" s="87" t="n"/>
      <c r="HCZ1" s="87" t="n"/>
      <c r="HDA1" s="87" t="n"/>
      <c r="HDB1" s="87" t="n"/>
      <c r="HDC1" s="87" t="n"/>
      <c r="HDD1" s="87" t="n"/>
      <c r="HDE1" s="87" t="n"/>
      <c r="HDF1" s="87" t="n"/>
      <c r="HDG1" s="87" t="n"/>
      <c r="HDH1" s="87" t="n"/>
      <c r="HDI1" s="87" t="n"/>
      <c r="HDJ1" s="87" t="n"/>
      <c r="HDK1" s="87" t="n"/>
      <c r="HDL1" s="87" t="n"/>
      <c r="HDM1" s="87" t="n"/>
      <c r="HDN1" s="87" t="n"/>
      <c r="HDO1" s="87" t="n"/>
      <c r="HDP1" s="87" t="n"/>
      <c r="HDQ1" s="87" t="n"/>
      <c r="HDR1" s="87" t="n"/>
      <c r="HDS1" s="87" t="n"/>
      <c r="HDT1" s="87" t="n"/>
      <c r="HDU1" s="87" t="n"/>
      <c r="HDV1" s="87" t="n"/>
      <c r="HDW1" s="87" t="n"/>
      <c r="HDX1" s="87" t="n"/>
      <c r="HDY1" s="87" t="n"/>
      <c r="HDZ1" s="87" t="n"/>
      <c r="HEA1" s="87" t="n"/>
      <c r="HEB1" s="87" t="n"/>
      <c r="HEC1" s="87" t="n"/>
      <c r="HED1" s="87" t="n"/>
      <c r="HEE1" s="87" t="n"/>
      <c r="HEF1" s="87" t="n"/>
      <c r="HEG1" s="87" t="n"/>
      <c r="HEH1" s="87" t="n"/>
      <c r="HEI1" s="87" t="n"/>
      <c r="HEJ1" s="87" t="n"/>
      <c r="HEK1" s="87" t="n"/>
      <c r="HEL1" s="87" t="n"/>
      <c r="HEM1" s="87" t="n"/>
      <c r="HEN1" s="87" t="n"/>
      <c r="HEO1" s="87" t="n"/>
      <c r="HEP1" s="87" t="n"/>
      <c r="HEQ1" s="87" t="n"/>
      <c r="HER1" s="87" t="n"/>
      <c r="HES1" s="87" t="n"/>
      <c r="HET1" s="87" t="n"/>
      <c r="HEU1" s="87" t="n"/>
      <c r="HEV1" s="87" t="n"/>
      <c r="HEW1" s="87" t="n"/>
      <c r="HEX1" s="87" t="n"/>
      <c r="HEY1" s="87" t="n"/>
      <c r="HEZ1" s="87" t="n"/>
      <c r="HFA1" s="87" t="n"/>
      <c r="HFB1" s="87" t="n"/>
      <c r="HFC1" s="87" t="n"/>
      <c r="HFD1" s="87" t="n"/>
      <c r="HFE1" s="87" t="n"/>
      <c r="HFF1" s="87" t="n"/>
      <c r="HFG1" s="87" t="n"/>
      <c r="HFH1" s="87" t="n"/>
      <c r="HFI1" s="87" t="n"/>
      <c r="HFJ1" s="87" t="n"/>
      <c r="HFK1" s="87" t="n"/>
      <c r="HFL1" s="87" t="n"/>
      <c r="HFM1" s="87" t="n"/>
      <c r="HFN1" s="87" t="n"/>
      <c r="HFO1" s="87" t="n"/>
      <c r="HFP1" s="87" t="n"/>
      <c r="HFQ1" s="87" t="n"/>
      <c r="HFR1" s="87" t="n"/>
      <c r="HFS1" s="87" t="n"/>
      <c r="HFT1" s="87" t="n"/>
      <c r="HFU1" s="87" t="n"/>
      <c r="HFV1" s="87" t="n"/>
      <c r="HFW1" s="87" t="n"/>
      <c r="HFX1" s="87" t="n"/>
      <c r="HFY1" s="87" t="n"/>
      <c r="HFZ1" s="87" t="n"/>
      <c r="HGA1" s="87" t="n"/>
      <c r="HGB1" s="87" t="n"/>
      <c r="HGC1" s="87" t="n"/>
      <c r="HGD1" s="87" t="n"/>
      <c r="HGE1" s="87" t="n"/>
      <c r="HGF1" s="87" t="n"/>
      <c r="HGG1" s="87" t="n"/>
      <c r="HGH1" s="87" t="n"/>
      <c r="HGI1" s="87" t="n"/>
      <c r="HGJ1" s="87" t="n"/>
      <c r="HGK1" s="87" t="n"/>
      <c r="HGL1" s="87" t="n"/>
      <c r="HGM1" s="87" t="n"/>
      <c r="HGN1" s="87" t="n"/>
      <c r="HGO1" s="87" t="n"/>
      <c r="HGP1" s="87" t="n"/>
      <c r="HGQ1" s="87" t="n"/>
      <c r="HGR1" s="87" t="n"/>
      <c r="HGS1" s="87" t="n"/>
      <c r="HGT1" s="87" t="n"/>
      <c r="HGU1" s="87" t="n"/>
      <c r="HGV1" s="87" t="n"/>
      <c r="HGW1" s="87" t="n"/>
      <c r="HGX1" s="87" t="n"/>
      <c r="HGY1" s="87" t="n"/>
      <c r="HGZ1" s="87" t="n"/>
      <c r="HHA1" s="87" t="n"/>
      <c r="HHB1" s="87" t="n"/>
      <c r="HHC1" s="87" t="n"/>
      <c r="HHD1" s="87" t="n"/>
      <c r="HHE1" s="87" t="n"/>
      <c r="HHF1" s="87" t="n"/>
      <c r="HHG1" s="87" t="n"/>
      <c r="HHH1" s="87" t="n"/>
      <c r="HHI1" s="87" t="n"/>
      <c r="HHJ1" s="87" t="n"/>
      <c r="HHK1" s="87" t="n"/>
      <c r="HHL1" s="87" t="n"/>
      <c r="HHM1" s="87" t="n"/>
      <c r="HHN1" s="87" t="n"/>
      <c r="HHO1" s="87" t="n"/>
      <c r="HHP1" s="87" t="n"/>
      <c r="HHQ1" s="87" t="n"/>
      <c r="HHR1" s="87" t="n"/>
      <c r="HHS1" s="87" t="n"/>
      <c r="HHT1" s="87" t="n"/>
      <c r="HHU1" s="87" t="n"/>
      <c r="HHV1" s="87" t="n"/>
      <c r="HHW1" s="87" t="n"/>
      <c r="HHX1" s="87" t="n"/>
      <c r="HHY1" s="87" t="n"/>
      <c r="HHZ1" s="87" t="n"/>
      <c r="HIA1" s="87" t="n"/>
      <c r="HIB1" s="87" t="n"/>
      <c r="HIC1" s="87" t="n"/>
      <c r="HID1" s="87" t="n"/>
      <c r="HIE1" s="87" t="n"/>
      <c r="HIF1" s="87" t="n"/>
      <c r="HIG1" s="87" t="n"/>
      <c r="HIH1" s="87" t="n"/>
      <c r="HII1" s="87" t="n"/>
      <c r="HIJ1" s="87" t="n"/>
      <c r="HIK1" s="87" t="n"/>
      <c r="HIL1" s="87" t="n"/>
      <c r="HIM1" s="87" t="n"/>
      <c r="HIN1" s="87" t="n"/>
      <c r="HIO1" s="87" t="n"/>
      <c r="HIP1" s="87" t="n"/>
      <c r="HIQ1" s="87" t="n"/>
      <c r="HIR1" s="87" t="n"/>
      <c r="HIS1" s="87" t="n"/>
      <c r="HIT1" s="87" t="n"/>
      <c r="HIU1" s="87" t="n"/>
      <c r="HIV1" s="87" t="n"/>
      <c r="HIW1" s="87" t="n"/>
      <c r="HIX1" s="87" t="n"/>
      <c r="HIY1" s="87" t="n"/>
      <c r="HIZ1" s="87" t="n"/>
      <c r="HJA1" s="87" t="n"/>
      <c r="HJB1" s="87" t="n"/>
      <c r="HJC1" s="87" t="n"/>
      <c r="HJD1" s="87" t="n"/>
      <c r="HJE1" s="87" t="n"/>
      <c r="HJF1" s="87" t="n"/>
      <c r="HJG1" s="87" t="n"/>
      <c r="HJH1" s="87" t="n"/>
      <c r="HJI1" s="87" t="n"/>
      <c r="HJJ1" s="87" t="n"/>
      <c r="HJK1" s="87" t="n"/>
      <c r="HJL1" s="87" t="n"/>
      <c r="HJM1" s="87" t="n"/>
      <c r="HJN1" s="87" t="n"/>
      <c r="HJO1" s="87" t="n"/>
      <c r="HJP1" s="87" t="n"/>
      <c r="HJQ1" s="87" t="n"/>
      <c r="HJR1" s="87" t="n"/>
      <c r="HJS1" s="87" t="n"/>
      <c r="HJT1" s="87" t="n"/>
      <c r="HJU1" s="87" t="n"/>
      <c r="HJV1" s="87" t="n"/>
      <c r="HJW1" s="87" t="n"/>
      <c r="HJX1" s="87" t="n"/>
      <c r="HJY1" s="87" t="n"/>
      <c r="HJZ1" s="87" t="n"/>
      <c r="HKA1" s="87" t="n"/>
      <c r="HKB1" s="87" t="n"/>
      <c r="HKC1" s="87" t="n"/>
      <c r="HKD1" s="87" t="n"/>
      <c r="HKE1" s="87" t="n"/>
      <c r="HKF1" s="87" t="n"/>
      <c r="HKG1" s="87" t="n"/>
      <c r="HKH1" s="87" t="n"/>
      <c r="HKI1" s="87" t="n"/>
      <c r="HKJ1" s="87" t="n"/>
      <c r="HKK1" s="87" t="n"/>
      <c r="HKL1" s="87" t="n"/>
      <c r="HKM1" s="87" t="n"/>
      <c r="HKN1" s="87" t="n"/>
      <c r="HKO1" s="87" t="n"/>
      <c r="HKP1" s="87" t="n"/>
      <c r="HKQ1" s="87" t="n"/>
      <c r="HKR1" s="87" t="n"/>
      <c r="HKS1" s="87" t="n"/>
      <c r="HKT1" s="87" t="n"/>
      <c r="HKU1" s="87" t="n"/>
      <c r="HKV1" s="87" t="n"/>
      <c r="HKW1" s="87" t="n"/>
      <c r="HKX1" s="87" t="n"/>
      <c r="HKY1" s="87" t="n"/>
      <c r="HKZ1" s="87" t="n"/>
      <c r="HLA1" s="87" t="n"/>
      <c r="HLB1" s="87" t="n"/>
      <c r="HLC1" s="87" t="n"/>
      <c r="HLD1" s="87" t="n"/>
      <c r="HLE1" s="87" t="n"/>
      <c r="HLF1" s="87" t="n"/>
      <c r="HLG1" s="87" t="n"/>
      <c r="HLH1" s="87" t="n"/>
      <c r="HLI1" s="87" t="n"/>
      <c r="HLJ1" s="87" t="n"/>
      <c r="HLK1" s="87" t="n"/>
      <c r="HLL1" s="87" t="n"/>
      <c r="HLM1" s="87" t="n"/>
      <c r="HLN1" s="87" t="n"/>
      <c r="HLO1" s="87" t="n"/>
      <c r="HLP1" s="87" t="n"/>
      <c r="HLQ1" s="87" t="n"/>
      <c r="HLR1" s="87" t="n"/>
      <c r="HLS1" s="87" t="n"/>
      <c r="HLT1" s="87" t="n"/>
      <c r="HLU1" s="87" t="n"/>
      <c r="HLV1" s="87" t="n"/>
      <c r="HLW1" s="87" t="n"/>
      <c r="HLX1" s="87" t="n"/>
      <c r="HLY1" s="87" t="n"/>
      <c r="HLZ1" s="87" t="n"/>
      <c r="HMA1" s="87" t="n"/>
      <c r="HMB1" s="87" t="n"/>
      <c r="HMC1" s="87" t="n"/>
      <c r="HMD1" s="87" t="n"/>
      <c r="HME1" s="87" t="n"/>
      <c r="HMF1" s="87" t="n"/>
      <c r="HMG1" s="87" t="n"/>
      <c r="HMH1" s="87" t="n"/>
      <c r="HMI1" s="87" t="n"/>
      <c r="HMJ1" s="87" t="n"/>
      <c r="HMK1" s="87" t="n"/>
      <c r="HML1" s="87" t="n"/>
      <c r="HMM1" s="87" t="n"/>
      <c r="HMN1" s="87" t="n"/>
      <c r="HMO1" s="87" t="n"/>
      <c r="HMP1" s="87" t="n"/>
      <c r="HMQ1" s="87" t="n"/>
      <c r="HMR1" s="87" t="n"/>
      <c r="HMS1" s="87" t="n"/>
      <c r="HMT1" s="87" t="n"/>
      <c r="HMU1" s="87" t="n"/>
      <c r="HMV1" s="87" t="n"/>
      <c r="HMW1" s="87" t="n"/>
      <c r="HMX1" s="87" t="n"/>
      <c r="HMY1" s="87" t="n"/>
      <c r="HMZ1" s="87" t="n"/>
      <c r="HNA1" s="87" t="n"/>
      <c r="HNB1" s="87" t="n"/>
      <c r="HNC1" s="87" t="n"/>
      <c r="HND1" s="87" t="n"/>
      <c r="HNE1" s="87" t="n"/>
      <c r="HNF1" s="87" t="n"/>
      <c r="HNG1" s="87" t="n"/>
      <c r="HNH1" s="87" t="n"/>
      <c r="HNI1" s="87" t="n"/>
      <c r="HNJ1" s="87" t="n"/>
      <c r="HNK1" s="87" t="n"/>
      <c r="HNL1" s="87" t="n"/>
      <c r="HNM1" s="87" t="n"/>
      <c r="HNN1" s="87" t="n"/>
      <c r="HNO1" s="87" t="n"/>
      <c r="HNP1" s="87" t="n"/>
      <c r="HNQ1" s="87" t="n"/>
      <c r="HNR1" s="87" t="n"/>
      <c r="HNS1" s="87" t="n"/>
      <c r="HNT1" s="87" t="n"/>
      <c r="HNU1" s="87" t="n"/>
      <c r="HNV1" s="87" t="n"/>
      <c r="HNW1" s="87" t="n"/>
      <c r="HNX1" s="87" t="n"/>
      <c r="HNY1" s="87" t="n"/>
      <c r="HNZ1" s="87" t="n"/>
      <c r="HOA1" s="87" t="n"/>
      <c r="HOB1" s="87" t="n"/>
      <c r="HOC1" s="87" t="n"/>
      <c r="HOD1" s="87" t="n"/>
      <c r="HOE1" s="87" t="n"/>
      <c r="HOF1" s="87" t="n"/>
      <c r="HOG1" s="87" t="n"/>
      <c r="HOH1" s="87" t="n"/>
      <c r="HOI1" s="87" t="n"/>
      <c r="HOJ1" s="87" t="n"/>
      <c r="HOK1" s="87" t="n"/>
      <c r="HOL1" s="87" t="n"/>
      <c r="HOM1" s="87" t="n"/>
      <c r="HON1" s="87" t="n"/>
      <c r="HOO1" s="87" t="n"/>
      <c r="HOP1" s="87" t="n"/>
      <c r="HOQ1" s="87" t="n"/>
      <c r="HOR1" s="87" t="n"/>
      <c r="HOS1" s="87" t="n"/>
      <c r="HOT1" s="87" t="n"/>
      <c r="HOU1" s="87" t="n"/>
      <c r="HOV1" s="87" t="n"/>
      <c r="HOW1" s="87" t="n"/>
      <c r="HOX1" s="87" t="n"/>
      <c r="HOY1" s="87" t="n"/>
      <c r="HOZ1" s="87" t="n"/>
      <c r="HPA1" s="87" t="n"/>
      <c r="HPB1" s="87" t="n"/>
      <c r="HPC1" s="87" t="n"/>
      <c r="HPD1" s="87" t="n"/>
      <c r="HPE1" s="87" t="n"/>
      <c r="HPF1" s="87" t="n"/>
      <c r="HPG1" s="87" t="n"/>
      <c r="HPH1" s="87" t="n"/>
      <c r="HPI1" s="87" t="n"/>
      <c r="HPJ1" s="87" t="n"/>
      <c r="HPK1" s="87" t="n"/>
      <c r="HPL1" s="87" t="n"/>
      <c r="HPM1" s="87" t="n"/>
      <c r="HPN1" s="87" t="n"/>
      <c r="HPO1" s="87" t="n"/>
      <c r="HPP1" s="87" t="n"/>
      <c r="HPQ1" s="87" t="n"/>
      <c r="HPR1" s="87" t="n"/>
      <c r="HPS1" s="87" t="n"/>
      <c r="HPT1" s="87" t="n"/>
      <c r="HPU1" s="87" t="n"/>
      <c r="HPV1" s="87" t="n"/>
      <c r="HPW1" s="87" t="n"/>
      <c r="HPX1" s="87" t="n"/>
      <c r="HPY1" s="87" t="n"/>
      <c r="HPZ1" s="87" t="n"/>
      <c r="HQA1" s="87" t="n"/>
      <c r="HQB1" s="87" t="n"/>
      <c r="HQC1" s="87" t="n"/>
      <c r="HQD1" s="87" t="n"/>
      <c r="HQE1" s="87" t="n"/>
      <c r="HQF1" s="87" t="n"/>
      <c r="HQG1" s="87" t="n"/>
      <c r="HQH1" s="87" t="n"/>
      <c r="HQI1" s="87" t="n"/>
      <c r="HQJ1" s="87" t="n"/>
      <c r="HQK1" s="87" t="n"/>
      <c r="HQL1" s="87" t="n"/>
      <c r="HQM1" s="87" t="n"/>
      <c r="HQN1" s="87" t="n"/>
      <c r="HQO1" s="87" t="n"/>
      <c r="HQP1" s="87" t="n"/>
      <c r="HQQ1" s="87" t="n"/>
      <c r="HQR1" s="87" t="n"/>
      <c r="HQS1" s="87" t="n"/>
      <c r="HQT1" s="87" t="n"/>
      <c r="HQU1" s="87" t="n"/>
      <c r="HQV1" s="87" t="n"/>
      <c r="HQW1" s="87" t="n"/>
      <c r="HQX1" s="87" t="n"/>
      <c r="HQY1" s="87" t="n"/>
      <c r="HQZ1" s="87" t="n"/>
      <c r="HRA1" s="87" t="n"/>
      <c r="HRB1" s="87" t="n"/>
      <c r="HRC1" s="87" t="n"/>
      <c r="HRD1" s="87" t="n"/>
      <c r="HRE1" s="87" t="n"/>
      <c r="HRF1" s="87" t="n"/>
      <c r="HRG1" s="87" t="n"/>
      <c r="HRH1" s="87" t="n"/>
      <c r="HRI1" s="87" t="n"/>
      <c r="HRJ1" s="87" t="n"/>
      <c r="HRK1" s="87" t="n"/>
      <c r="HRL1" s="87" t="n"/>
      <c r="HRM1" s="87" t="n"/>
      <c r="HRN1" s="87" t="n"/>
      <c r="HRO1" s="87" t="n"/>
      <c r="HRP1" s="87" t="n"/>
      <c r="HRQ1" s="87" t="n"/>
      <c r="HRR1" s="87" t="n"/>
      <c r="HRS1" s="87" t="n"/>
      <c r="HRT1" s="87" t="n"/>
      <c r="HRU1" s="87" t="n"/>
      <c r="HRV1" s="87" t="n"/>
      <c r="HRW1" s="87" t="n"/>
      <c r="HRX1" s="87" t="n"/>
      <c r="HRY1" s="87" t="n"/>
      <c r="HRZ1" s="87" t="n"/>
      <c r="HSA1" s="87" t="n"/>
      <c r="HSB1" s="87" t="n"/>
      <c r="HSC1" s="87" t="n"/>
      <c r="HSD1" s="87" t="n"/>
      <c r="HSE1" s="87" t="n"/>
      <c r="HSF1" s="87" t="n"/>
      <c r="HSG1" s="87" t="n"/>
      <c r="HSH1" s="87" t="n"/>
      <c r="HSI1" s="87" t="n"/>
      <c r="HSJ1" s="87" t="n"/>
      <c r="HSK1" s="87" t="n"/>
      <c r="HSL1" s="87" t="n"/>
      <c r="HSM1" s="87" t="n"/>
      <c r="HSN1" s="87" t="n"/>
      <c r="HSO1" s="87" t="n"/>
      <c r="HSP1" s="87" t="n"/>
      <c r="HSQ1" s="87" t="n"/>
      <c r="HSR1" s="87" t="n"/>
      <c r="HSS1" s="87" t="n"/>
      <c r="HST1" s="87" t="n"/>
      <c r="HSU1" s="87" t="n"/>
      <c r="HSV1" s="87" t="n"/>
      <c r="HSW1" s="87" t="n"/>
      <c r="HSX1" s="87" t="n"/>
      <c r="HSY1" s="87" t="n"/>
      <c r="HSZ1" s="87" t="n"/>
      <c r="HTA1" s="87" t="n"/>
      <c r="HTB1" s="87" t="n"/>
      <c r="HTC1" s="87" t="n"/>
      <c r="HTD1" s="87" t="n"/>
      <c r="HTE1" s="87" t="n"/>
      <c r="HTF1" s="87" t="n"/>
      <c r="HTG1" s="87" t="n"/>
      <c r="HTH1" s="87" t="n"/>
      <c r="HTI1" s="87" t="n"/>
      <c r="HTJ1" s="87" t="n"/>
      <c r="HTK1" s="87" t="n"/>
      <c r="HTL1" s="87" t="n"/>
      <c r="HTM1" s="87" t="n"/>
      <c r="HTN1" s="87" t="n"/>
      <c r="HTO1" s="87" t="n"/>
      <c r="HTP1" s="87" t="n"/>
      <c r="HTQ1" s="87" t="n"/>
      <c r="HTR1" s="87" t="n"/>
      <c r="HTS1" s="87" t="n"/>
      <c r="HTT1" s="87" t="n"/>
      <c r="HTU1" s="87" t="n"/>
      <c r="HTV1" s="87" t="n"/>
      <c r="HTW1" s="87" t="n"/>
      <c r="HTX1" s="87" t="n"/>
      <c r="HTY1" s="87" t="n"/>
      <c r="HTZ1" s="87" t="n"/>
      <c r="HUA1" s="87" t="n"/>
      <c r="HUB1" s="87" t="n"/>
      <c r="HUC1" s="87" t="n"/>
      <c r="HUD1" s="87" t="n"/>
      <c r="HUE1" s="87" t="n"/>
      <c r="HUF1" s="87" t="n"/>
      <c r="HUG1" s="87" t="n"/>
      <c r="HUH1" s="87" t="n"/>
      <c r="HUI1" s="87" t="n"/>
      <c r="HUJ1" s="87" t="n"/>
      <c r="HUK1" s="87" t="n"/>
      <c r="HUL1" s="87" t="n"/>
      <c r="HUM1" s="87" t="n"/>
      <c r="HUN1" s="87" t="n"/>
      <c r="HUO1" s="87" t="n"/>
      <c r="HUP1" s="87" t="n"/>
      <c r="HUQ1" s="87" t="n"/>
      <c r="HUR1" s="87" t="n"/>
      <c r="HUS1" s="87" t="n"/>
      <c r="HUT1" s="87" t="n"/>
      <c r="HUU1" s="87" t="n"/>
      <c r="HUV1" s="87" t="n"/>
      <c r="HUW1" s="87" t="n"/>
      <c r="HUX1" s="87" t="n"/>
      <c r="HUY1" s="87" t="n"/>
      <c r="HUZ1" s="87" t="n"/>
      <c r="HVA1" s="87" t="n"/>
      <c r="HVB1" s="87" t="n"/>
      <c r="HVC1" s="87" t="n"/>
      <c r="HVD1" s="87" t="n"/>
      <c r="HVE1" s="87" t="n"/>
      <c r="HVF1" s="87" t="n"/>
      <c r="HVG1" s="87" t="n"/>
      <c r="HVH1" s="87" t="n"/>
      <c r="HVI1" s="87" t="n"/>
      <c r="HVJ1" s="87" t="n"/>
      <c r="HVK1" s="87" t="n"/>
      <c r="HVL1" s="87" t="n"/>
      <c r="HVM1" s="87" t="n"/>
      <c r="HVN1" s="87" t="n"/>
      <c r="HVO1" s="87" t="n"/>
      <c r="HVP1" s="87" t="n"/>
      <c r="HVQ1" s="87" t="n"/>
      <c r="HVR1" s="87" t="n"/>
      <c r="HVS1" s="87" t="n"/>
      <c r="HVT1" s="87" t="n"/>
      <c r="HVU1" s="87" t="n"/>
      <c r="HVV1" s="87" t="n"/>
      <c r="HVW1" s="87" t="n"/>
      <c r="HVX1" s="87" t="n"/>
      <c r="HVY1" s="87" t="n"/>
      <c r="HVZ1" s="87" t="n"/>
      <c r="HWA1" s="87" t="n"/>
      <c r="HWB1" s="87" t="n"/>
      <c r="HWC1" s="87" t="n"/>
      <c r="HWD1" s="87" t="n"/>
      <c r="HWE1" s="87" t="n"/>
      <c r="HWF1" s="87" t="n"/>
      <c r="HWG1" s="87" t="n"/>
      <c r="HWH1" s="87" t="n"/>
      <c r="HWI1" s="87" t="n"/>
      <c r="HWJ1" s="87" t="n"/>
      <c r="HWK1" s="87" t="n"/>
      <c r="HWL1" s="87" t="n"/>
      <c r="HWM1" s="87" t="n"/>
      <c r="HWN1" s="87" t="n"/>
      <c r="HWO1" s="87" t="n"/>
      <c r="HWP1" s="87" t="n"/>
      <c r="HWQ1" s="87" t="n"/>
      <c r="HWR1" s="87" t="n"/>
      <c r="HWS1" s="87" t="n"/>
      <c r="HWT1" s="87" t="n"/>
      <c r="HWU1" s="87" t="n"/>
      <c r="HWV1" s="87" t="n"/>
      <c r="HWW1" s="87" t="n"/>
      <c r="HWX1" s="87" t="n"/>
      <c r="HWY1" s="87" t="n"/>
      <c r="HWZ1" s="87" t="n"/>
      <c r="HXA1" s="87" t="n"/>
      <c r="HXB1" s="87" t="n"/>
      <c r="HXC1" s="87" t="n"/>
      <c r="HXD1" s="87" t="n"/>
      <c r="HXE1" s="87" t="n"/>
      <c r="HXF1" s="87" t="n"/>
      <c r="HXG1" s="87" t="n"/>
      <c r="HXH1" s="87" t="n"/>
      <c r="HXI1" s="87" t="n"/>
      <c r="HXJ1" s="87" t="n"/>
      <c r="HXK1" s="87" t="n"/>
      <c r="HXL1" s="87" t="n"/>
      <c r="HXM1" s="87" t="n"/>
      <c r="HXN1" s="87" t="n"/>
      <c r="HXO1" s="87" t="n"/>
      <c r="HXP1" s="87" t="n"/>
      <c r="HXQ1" s="87" t="n"/>
      <c r="HXR1" s="87" t="n"/>
      <c r="HXS1" s="87" t="n"/>
      <c r="HXT1" s="87" t="n"/>
      <c r="HXU1" s="87" t="n"/>
      <c r="HXV1" s="87" t="n"/>
      <c r="HXW1" s="87" t="n"/>
      <c r="HXX1" s="87" t="n"/>
      <c r="HXY1" s="87" t="n"/>
      <c r="HXZ1" s="87" t="n"/>
      <c r="HYA1" s="87" t="n"/>
      <c r="HYB1" s="87" t="n"/>
      <c r="HYC1" s="87" t="n"/>
      <c r="HYD1" s="87" t="n"/>
      <c r="HYE1" s="87" t="n"/>
      <c r="HYF1" s="87" t="n"/>
      <c r="HYG1" s="87" t="n"/>
      <c r="HYH1" s="87" t="n"/>
      <c r="HYI1" s="87" t="n"/>
      <c r="HYJ1" s="87" t="n"/>
      <c r="HYK1" s="87" t="n"/>
      <c r="HYL1" s="87" t="n"/>
      <c r="HYM1" s="87" t="n"/>
      <c r="HYN1" s="87" t="n"/>
      <c r="HYO1" s="87" t="n"/>
      <c r="HYP1" s="87" t="n"/>
      <c r="HYQ1" s="87" t="n"/>
      <c r="HYR1" s="87" t="n"/>
      <c r="HYS1" s="87" t="n"/>
      <c r="HYT1" s="87" t="n"/>
      <c r="HYU1" s="87" t="n"/>
      <c r="HYV1" s="87" t="n"/>
      <c r="HYW1" s="87" t="n"/>
      <c r="HYX1" s="87" t="n"/>
      <c r="HYY1" s="87" t="n"/>
      <c r="HYZ1" s="87" t="n"/>
      <c r="HZA1" s="87" t="n"/>
      <c r="HZB1" s="87" t="n"/>
      <c r="HZC1" s="87" t="n"/>
      <c r="HZD1" s="87" t="n"/>
      <c r="HZE1" s="87" t="n"/>
      <c r="HZF1" s="87" t="n"/>
      <c r="HZG1" s="87" t="n"/>
      <c r="HZH1" s="87" t="n"/>
      <c r="HZI1" s="87" t="n"/>
      <c r="HZJ1" s="87" t="n"/>
      <c r="HZK1" s="87" t="n"/>
      <c r="HZL1" s="87" t="n"/>
      <c r="HZM1" s="87" t="n"/>
      <c r="HZN1" s="87" t="n"/>
      <c r="HZO1" s="87" t="n"/>
      <c r="HZP1" s="87" t="n"/>
      <c r="HZQ1" s="87" t="n"/>
      <c r="HZR1" s="87" t="n"/>
      <c r="HZS1" s="87" t="n"/>
      <c r="HZT1" s="87" t="n"/>
      <c r="HZU1" s="87" t="n"/>
      <c r="HZV1" s="87" t="n"/>
      <c r="HZW1" s="87" t="n"/>
      <c r="HZX1" s="87" t="n"/>
      <c r="HZY1" s="87" t="n"/>
      <c r="HZZ1" s="87" t="n"/>
      <c r="IAA1" s="87" t="n"/>
      <c r="IAB1" s="87" t="n"/>
      <c r="IAC1" s="87" t="n"/>
      <c r="IAD1" s="87" t="n"/>
      <c r="IAE1" s="87" t="n"/>
      <c r="IAF1" s="87" t="n"/>
      <c r="IAG1" s="87" t="n"/>
      <c r="IAH1" s="87" t="n"/>
      <c r="IAI1" s="87" t="n"/>
      <c r="IAJ1" s="87" t="n"/>
      <c r="IAK1" s="87" t="n"/>
      <c r="IAL1" s="87" t="n"/>
      <c r="IAM1" s="87" t="n"/>
      <c r="IAN1" s="87" t="n"/>
      <c r="IAO1" s="87" t="n"/>
      <c r="IAP1" s="87" t="n"/>
      <c r="IAQ1" s="87" t="n"/>
      <c r="IAR1" s="87" t="n"/>
      <c r="IAS1" s="87" t="n"/>
      <c r="IAT1" s="87" t="n"/>
      <c r="IAU1" s="87" t="n"/>
      <c r="IAV1" s="87" t="n"/>
      <c r="IAW1" s="87" t="n"/>
      <c r="IAX1" s="87" t="n"/>
      <c r="IAY1" s="87" t="n"/>
      <c r="IAZ1" s="87" t="n"/>
      <c r="IBA1" s="87" t="n"/>
      <c r="IBB1" s="87" t="n"/>
      <c r="IBC1" s="87" t="n"/>
      <c r="IBD1" s="87" t="n"/>
      <c r="IBE1" s="87" t="n"/>
      <c r="IBF1" s="87" t="n"/>
      <c r="IBG1" s="87" t="n"/>
      <c r="IBH1" s="87" t="n"/>
      <c r="IBI1" s="87" t="n"/>
      <c r="IBJ1" s="87" t="n"/>
      <c r="IBK1" s="87" t="n"/>
      <c r="IBL1" s="87" t="n"/>
      <c r="IBM1" s="87" t="n"/>
      <c r="IBN1" s="87" t="n"/>
      <c r="IBO1" s="87" t="n"/>
      <c r="IBP1" s="87" t="n"/>
      <c r="IBQ1" s="87" t="n"/>
      <c r="IBR1" s="87" t="n"/>
      <c r="IBS1" s="87" t="n"/>
      <c r="IBT1" s="87" t="n"/>
      <c r="IBU1" s="87" t="n"/>
      <c r="IBV1" s="87" t="n"/>
      <c r="IBW1" s="87" t="n"/>
      <c r="IBX1" s="87" t="n"/>
      <c r="IBY1" s="87" t="n"/>
      <c r="IBZ1" s="87" t="n"/>
      <c r="ICA1" s="87" t="n"/>
      <c r="ICB1" s="87" t="n"/>
      <c r="ICC1" s="87" t="n"/>
      <c r="ICD1" s="87" t="n"/>
      <c r="ICE1" s="87" t="n"/>
      <c r="ICF1" s="87" t="n"/>
      <c r="ICG1" s="87" t="n"/>
      <c r="ICH1" s="87" t="n"/>
      <c r="ICI1" s="87" t="n"/>
      <c r="ICJ1" s="87" t="n"/>
      <c r="ICK1" s="87" t="n"/>
      <c r="ICL1" s="87" t="n"/>
      <c r="ICM1" s="87" t="n"/>
      <c r="ICN1" s="87" t="n"/>
      <c r="ICO1" s="87" t="n"/>
      <c r="ICP1" s="87" t="n"/>
      <c r="ICQ1" s="87" t="n"/>
      <c r="ICR1" s="87" t="n"/>
      <c r="ICS1" s="87" t="n"/>
      <c r="ICT1" s="87" t="n"/>
      <c r="ICU1" s="87" t="n"/>
      <c r="ICV1" s="87" t="n"/>
      <c r="ICW1" s="87" t="n"/>
      <c r="ICX1" s="87" t="n"/>
      <c r="ICY1" s="87" t="n"/>
      <c r="ICZ1" s="87" t="n"/>
      <c r="IDA1" s="87" t="n"/>
      <c r="IDB1" s="87" t="n"/>
      <c r="IDC1" s="87" t="n"/>
      <c r="IDD1" s="87" t="n"/>
      <c r="IDE1" s="87" t="n"/>
      <c r="IDF1" s="87" t="n"/>
      <c r="IDG1" s="87" t="n"/>
      <c r="IDH1" s="87" t="n"/>
      <c r="IDI1" s="87" t="n"/>
      <c r="IDJ1" s="87" t="n"/>
      <c r="IDK1" s="87" t="n"/>
      <c r="IDL1" s="87" t="n"/>
      <c r="IDM1" s="87" t="n"/>
      <c r="IDN1" s="87" t="n"/>
      <c r="IDO1" s="87" t="n"/>
      <c r="IDP1" s="87" t="n"/>
      <c r="IDQ1" s="87" t="n"/>
      <c r="IDR1" s="87" t="n"/>
      <c r="IDS1" s="87" t="n"/>
      <c r="IDT1" s="87" t="n"/>
      <c r="IDU1" s="87" t="n"/>
      <c r="IDV1" s="87" t="n"/>
      <c r="IDW1" s="87" t="n"/>
      <c r="IDX1" s="87" t="n"/>
      <c r="IDY1" s="87" t="n"/>
      <c r="IDZ1" s="87" t="n"/>
      <c r="IEA1" s="87" t="n"/>
      <c r="IEB1" s="87" t="n"/>
      <c r="IEC1" s="87" t="n"/>
      <c r="IED1" s="87" t="n"/>
      <c r="IEE1" s="87" t="n"/>
      <c r="IEF1" s="87" t="n"/>
      <c r="IEG1" s="87" t="n"/>
      <c r="IEH1" s="87" t="n"/>
      <c r="IEI1" s="87" t="n"/>
      <c r="IEJ1" s="87" t="n"/>
      <c r="IEK1" s="87" t="n"/>
      <c r="IEL1" s="87" t="n"/>
      <c r="IEM1" s="87" t="n"/>
      <c r="IEN1" s="87" t="n"/>
      <c r="IEO1" s="87" t="n"/>
      <c r="IEP1" s="87" t="n"/>
      <c r="IEQ1" s="87" t="n"/>
      <c r="IER1" s="87" t="n"/>
      <c r="IES1" s="87" t="n"/>
      <c r="IET1" s="87" t="n"/>
      <c r="IEU1" s="87" t="n"/>
      <c r="IEV1" s="87" t="n"/>
      <c r="IEW1" s="87" t="n"/>
      <c r="IEX1" s="87" t="n"/>
      <c r="IEY1" s="87" t="n"/>
      <c r="IEZ1" s="87" t="n"/>
      <c r="IFA1" s="87" t="n"/>
      <c r="IFB1" s="87" t="n"/>
      <c r="IFC1" s="87" t="n"/>
      <c r="IFD1" s="87" t="n"/>
      <c r="IFE1" s="87" t="n"/>
      <c r="IFF1" s="87" t="n"/>
      <c r="IFG1" s="87" t="n"/>
      <c r="IFH1" s="87" t="n"/>
      <c r="IFI1" s="87" t="n"/>
      <c r="IFJ1" s="87" t="n"/>
      <c r="IFK1" s="87" t="n"/>
      <c r="IFL1" s="87" t="n"/>
      <c r="IFM1" s="87" t="n"/>
      <c r="IFN1" s="87" t="n"/>
      <c r="IFO1" s="87" t="n"/>
      <c r="IFP1" s="87" t="n"/>
      <c r="IFQ1" s="87" t="n"/>
      <c r="IFR1" s="87" t="n"/>
      <c r="IFS1" s="87" t="n"/>
      <c r="IFT1" s="87" t="n"/>
      <c r="IFU1" s="87" t="n"/>
      <c r="IFV1" s="87" t="n"/>
      <c r="IFW1" s="87" t="n"/>
      <c r="IFX1" s="87" t="n"/>
      <c r="IFY1" s="87" t="n"/>
      <c r="IFZ1" s="87" t="n"/>
      <c r="IGA1" s="87" t="n"/>
      <c r="IGB1" s="87" t="n"/>
      <c r="IGC1" s="87" t="n"/>
      <c r="IGD1" s="87" t="n"/>
      <c r="IGE1" s="87" t="n"/>
      <c r="IGF1" s="87" t="n"/>
      <c r="IGG1" s="87" t="n"/>
      <c r="IGH1" s="87" t="n"/>
      <c r="IGI1" s="87" t="n"/>
      <c r="IGJ1" s="87" t="n"/>
      <c r="IGK1" s="87" t="n"/>
      <c r="IGL1" s="87" t="n"/>
      <c r="IGM1" s="87" t="n"/>
      <c r="IGN1" s="87" t="n"/>
      <c r="IGO1" s="87" t="n"/>
      <c r="IGP1" s="87" t="n"/>
      <c r="IGQ1" s="87" t="n"/>
      <c r="IGR1" s="87" t="n"/>
      <c r="IGS1" s="87" t="n"/>
      <c r="IGT1" s="87" t="n"/>
      <c r="IGU1" s="87" t="n"/>
      <c r="IGV1" s="87" t="n"/>
      <c r="IGW1" s="87" t="n"/>
      <c r="IGX1" s="87" t="n"/>
      <c r="IGY1" s="87" t="n"/>
      <c r="IGZ1" s="87" t="n"/>
      <c r="IHA1" s="87" t="n"/>
      <c r="IHB1" s="87" t="n"/>
      <c r="IHC1" s="87" t="n"/>
      <c r="IHD1" s="87" t="n"/>
      <c r="IHE1" s="87" t="n"/>
      <c r="IHF1" s="87" t="n"/>
      <c r="IHG1" s="87" t="n"/>
      <c r="IHH1" s="87" t="n"/>
      <c r="IHI1" s="87" t="n"/>
      <c r="IHJ1" s="87" t="n"/>
      <c r="IHK1" s="87" t="n"/>
      <c r="IHL1" s="87" t="n"/>
      <c r="IHM1" s="87" t="n"/>
      <c r="IHN1" s="87" t="n"/>
      <c r="IHO1" s="87" t="n"/>
      <c r="IHP1" s="87" t="n"/>
      <c r="IHQ1" s="87" t="n"/>
      <c r="IHR1" s="87" t="n"/>
      <c r="IHS1" s="87" t="n"/>
      <c r="IHT1" s="87" t="n"/>
      <c r="IHU1" s="87" t="n"/>
      <c r="IHV1" s="87" t="n"/>
      <c r="IHW1" s="87" t="n"/>
      <c r="IHX1" s="87" t="n"/>
      <c r="IHY1" s="87" t="n"/>
      <c r="IHZ1" s="87" t="n"/>
      <c r="IIA1" s="87" t="n"/>
      <c r="IIB1" s="87" t="n"/>
      <c r="IIC1" s="87" t="n"/>
      <c r="IID1" s="87" t="n"/>
      <c r="IIE1" s="87" t="n"/>
      <c r="IIF1" s="87" t="n"/>
      <c r="IIG1" s="87" t="n"/>
      <c r="IIH1" s="87" t="n"/>
      <c r="III1" s="87" t="n"/>
      <c r="IIJ1" s="87" t="n"/>
      <c r="IIK1" s="87" t="n"/>
      <c r="IIL1" s="87" t="n"/>
      <c r="IIM1" s="87" t="n"/>
      <c r="IIN1" s="87" t="n"/>
      <c r="IIO1" s="87" t="n"/>
      <c r="IIP1" s="87" t="n"/>
      <c r="IIQ1" s="87" t="n"/>
      <c r="IIR1" s="87" t="n"/>
      <c r="IIS1" s="87" t="n"/>
      <c r="IIT1" s="87" t="n"/>
      <c r="IIU1" s="87" t="n"/>
      <c r="IIV1" s="87" t="n"/>
      <c r="IIW1" s="87" t="n"/>
      <c r="IIX1" s="87" t="n"/>
      <c r="IIY1" s="87" t="n"/>
      <c r="IIZ1" s="87" t="n"/>
      <c r="IJA1" s="87" t="n"/>
      <c r="IJB1" s="87" t="n"/>
      <c r="IJC1" s="87" t="n"/>
      <c r="IJD1" s="87" t="n"/>
      <c r="IJE1" s="87" t="n"/>
      <c r="IJF1" s="87" t="n"/>
      <c r="IJG1" s="87" t="n"/>
      <c r="IJH1" s="87" t="n"/>
      <c r="IJI1" s="87" t="n"/>
      <c r="IJJ1" s="87" t="n"/>
      <c r="IJK1" s="87" t="n"/>
      <c r="IJL1" s="87" t="n"/>
      <c r="IJM1" s="87" t="n"/>
      <c r="IJN1" s="87" t="n"/>
      <c r="IJO1" s="87" t="n"/>
      <c r="IJP1" s="87" t="n"/>
      <c r="IJQ1" s="87" t="n"/>
      <c r="IJR1" s="87" t="n"/>
      <c r="IJS1" s="87" t="n"/>
      <c r="IJT1" s="87" t="n"/>
      <c r="IJU1" s="87" t="n"/>
      <c r="IJV1" s="87" t="n"/>
      <c r="IJW1" s="87" t="n"/>
      <c r="IJX1" s="87" t="n"/>
      <c r="IJY1" s="87" t="n"/>
      <c r="IJZ1" s="87" t="n"/>
      <c r="IKA1" s="87" t="n"/>
      <c r="IKB1" s="87" t="n"/>
      <c r="IKC1" s="87" t="n"/>
      <c r="IKD1" s="87" t="n"/>
      <c r="IKE1" s="87" t="n"/>
      <c r="IKF1" s="87" t="n"/>
      <c r="IKG1" s="87" t="n"/>
      <c r="IKH1" s="87" t="n"/>
      <c r="IKI1" s="87" t="n"/>
      <c r="IKJ1" s="87" t="n"/>
      <c r="IKK1" s="87" t="n"/>
      <c r="IKL1" s="87" t="n"/>
      <c r="IKM1" s="87" t="n"/>
      <c r="IKN1" s="87" t="n"/>
      <c r="IKO1" s="87" t="n"/>
      <c r="IKP1" s="87" t="n"/>
      <c r="IKQ1" s="87" t="n"/>
      <c r="IKR1" s="87" t="n"/>
      <c r="IKS1" s="87" t="n"/>
      <c r="IKT1" s="87" t="n"/>
      <c r="IKU1" s="87" t="n"/>
      <c r="IKV1" s="87" t="n"/>
      <c r="IKW1" s="87" t="n"/>
      <c r="IKX1" s="87" t="n"/>
      <c r="IKY1" s="87" t="n"/>
      <c r="IKZ1" s="87" t="n"/>
      <c r="ILA1" s="87" t="n"/>
      <c r="ILB1" s="87" t="n"/>
      <c r="ILC1" s="87" t="n"/>
      <c r="ILD1" s="87" t="n"/>
      <c r="ILE1" s="87" t="n"/>
      <c r="ILF1" s="87" t="n"/>
      <c r="ILG1" s="87" t="n"/>
      <c r="ILH1" s="87" t="n"/>
      <c r="ILI1" s="87" t="n"/>
      <c r="ILJ1" s="87" t="n"/>
      <c r="ILK1" s="87" t="n"/>
      <c r="ILL1" s="87" t="n"/>
      <c r="ILM1" s="87" t="n"/>
      <c r="ILN1" s="87" t="n"/>
      <c r="ILO1" s="87" t="n"/>
      <c r="ILP1" s="87" t="n"/>
      <c r="ILQ1" s="87" t="n"/>
      <c r="ILR1" s="87" t="n"/>
      <c r="ILS1" s="87" t="n"/>
      <c r="ILT1" s="87" t="n"/>
      <c r="ILU1" s="87" t="n"/>
      <c r="ILV1" s="87" t="n"/>
      <c r="ILW1" s="87" t="n"/>
      <c r="ILX1" s="87" t="n"/>
      <c r="ILY1" s="87" t="n"/>
      <c r="ILZ1" s="87" t="n"/>
      <c r="IMA1" s="87" t="n"/>
      <c r="IMB1" s="87" t="n"/>
      <c r="IMC1" s="87" t="n"/>
      <c r="IMD1" s="87" t="n"/>
      <c r="IME1" s="87" t="n"/>
      <c r="IMF1" s="87" t="n"/>
      <c r="IMG1" s="87" t="n"/>
      <c r="IMH1" s="87" t="n"/>
      <c r="IMI1" s="87" t="n"/>
      <c r="IMJ1" s="87" t="n"/>
      <c r="IMK1" s="87" t="n"/>
      <c r="IML1" s="87" t="n"/>
      <c r="IMM1" s="87" t="n"/>
      <c r="IMN1" s="87" t="n"/>
      <c r="IMO1" s="87" t="n"/>
      <c r="IMP1" s="87" t="n"/>
      <c r="IMQ1" s="87" t="n"/>
      <c r="IMR1" s="87" t="n"/>
      <c r="IMS1" s="87" t="n"/>
      <c r="IMT1" s="87" t="n"/>
      <c r="IMU1" s="87" t="n"/>
      <c r="IMV1" s="87" t="n"/>
      <c r="IMW1" s="87" t="n"/>
      <c r="IMX1" s="87" t="n"/>
      <c r="IMY1" s="87" t="n"/>
      <c r="IMZ1" s="87" t="n"/>
      <c r="INA1" s="87" t="n"/>
      <c r="INB1" s="87" t="n"/>
      <c r="INC1" s="87" t="n"/>
      <c r="IND1" s="87" t="n"/>
      <c r="INE1" s="87" t="n"/>
      <c r="INF1" s="87" t="n"/>
      <c r="ING1" s="87" t="n"/>
      <c r="INH1" s="87" t="n"/>
      <c r="INI1" s="87" t="n"/>
      <c r="INJ1" s="87" t="n"/>
      <c r="INK1" s="87" t="n"/>
      <c r="INL1" s="87" t="n"/>
      <c r="INM1" s="87" t="n"/>
      <c r="INN1" s="87" t="n"/>
      <c r="INO1" s="87" t="n"/>
      <c r="INP1" s="87" t="n"/>
      <c r="INQ1" s="87" t="n"/>
      <c r="INR1" s="87" t="n"/>
      <c r="INS1" s="87" t="n"/>
      <c r="INT1" s="87" t="n"/>
      <c r="INU1" s="87" t="n"/>
      <c r="INV1" s="87" t="n"/>
      <c r="INW1" s="87" t="n"/>
      <c r="INX1" s="87" t="n"/>
      <c r="INY1" s="87" t="n"/>
      <c r="INZ1" s="87" t="n"/>
      <c r="IOA1" s="87" t="n"/>
      <c r="IOB1" s="87" t="n"/>
      <c r="IOC1" s="87" t="n"/>
      <c r="IOD1" s="87" t="n"/>
      <c r="IOE1" s="87" t="n"/>
      <c r="IOF1" s="87" t="n"/>
      <c r="IOG1" s="87" t="n"/>
      <c r="IOH1" s="87" t="n"/>
      <c r="IOI1" s="87" t="n"/>
      <c r="IOJ1" s="87" t="n"/>
      <c r="IOK1" s="87" t="n"/>
      <c r="IOL1" s="87" t="n"/>
      <c r="IOM1" s="87" t="n"/>
      <c r="ION1" s="87" t="n"/>
      <c r="IOO1" s="87" t="n"/>
      <c r="IOP1" s="87" t="n"/>
      <c r="IOQ1" s="87" t="n"/>
      <c r="IOR1" s="87" t="n"/>
      <c r="IOS1" s="87" t="n"/>
      <c r="IOT1" s="87" t="n"/>
      <c r="IOU1" s="87" t="n"/>
      <c r="IOV1" s="87" t="n"/>
      <c r="IOW1" s="87" t="n"/>
      <c r="IOX1" s="87" t="n"/>
      <c r="IOY1" s="87" t="n"/>
      <c r="IOZ1" s="87" t="n"/>
      <c r="IPA1" s="87" t="n"/>
      <c r="IPB1" s="87" t="n"/>
      <c r="IPC1" s="87" t="n"/>
      <c r="IPD1" s="87" t="n"/>
      <c r="IPE1" s="87" t="n"/>
      <c r="IPF1" s="87" t="n"/>
      <c r="IPG1" s="87" t="n"/>
      <c r="IPH1" s="87" t="n"/>
      <c r="IPI1" s="87" t="n"/>
      <c r="IPJ1" s="87" t="n"/>
      <c r="IPK1" s="87" t="n"/>
      <c r="IPL1" s="87" t="n"/>
      <c r="IPM1" s="87" t="n"/>
      <c r="IPN1" s="87" t="n"/>
      <c r="IPO1" s="87" t="n"/>
      <c r="IPP1" s="87" t="n"/>
      <c r="IPQ1" s="87" t="n"/>
      <c r="IPR1" s="87" t="n"/>
      <c r="IPS1" s="87" t="n"/>
      <c r="IPT1" s="87" t="n"/>
      <c r="IPU1" s="87" t="n"/>
      <c r="IPV1" s="87" t="n"/>
      <c r="IPW1" s="87" t="n"/>
      <c r="IPX1" s="87" t="n"/>
      <c r="IPY1" s="87" t="n"/>
      <c r="IPZ1" s="87" t="n"/>
      <c r="IQA1" s="87" t="n"/>
      <c r="IQB1" s="87" t="n"/>
      <c r="IQC1" s="87" t="n"/>
      <c r="IQD1" s="87" t="n"/>
      <c r="IQE1" s="87" t="n"/>
      <c r="IQF1" s="87" t="n"/>
      <c r="IQG1" s="87" t="n"/>
      <c r="IQH1" s="87" t="n"/>
      <c r="IQI1" s="87" t="n"/>
      <c r="IQJ1" s="87" t="n"/>
      <c r="IQK1" s="87" t="n"/>
      <c r="IQL1" s="87" t="n"/>
      <c r="IQM1" s="87" t="n"/>
      <c r="IQN1" s="87" t="n"/>
      <c r="IQO1" s="87" t="n"/>
      <c r="IQP1" s="87" t="n"/>
      <c r="IQQ1" s="87" t="n"/>
      <c r="IQR1" s="87" t="n"/>
      <c r="IQS1" s="87" t="n"/>
      <c r="IQT1" s="87" t="n"/>
      <c r="IQU1" s="87" t="n"/>
      <c r="IQV1" s="87" t="n"/>
      <c r="IQW1" s="87" t="n"/>
      <c r="IQX1" s="87" t="n"/>
      <c r="IQY1" s="87" t="n"/>
      <c r="IQZ1" s="87" t="n"/>
      <c r="IRA1" s="87" t="n"/>
      <c r="IRB1" s="87" t="n"/>
      <c r="IRC1" s="87" t="n"/>
      <c r="IRD1" s="87" t="n"/>
      <c r="IRE1" s="87" t="n"/>
      <c r="IRF1" s="87" t="n"/>
      <c r="IRG1" s="87" t="n"/>
      <c r="IRH1" s="87" t="n"/>
      <c r="IRI1" s="87" t="n"/>
      <c r="IRJ1" s="87" t="n"/>
      <c r="IRK1" s="87" t="n"/>
      <c r="IRL1" s="87" t="n"/>
      <c r="IRM1" s="87" t="n"/>
      <c r="IRN1" s="87" t="n"/>
      <c r="IRO1" s="87" t="n"/>
      <c r="IRP1" s="87" t="n"/>
      <c r="IRQ1" s="87" t="n"/>
      <c r="IRR1" s="87" t="n"/>
      <c r="IRS1" s="87" t="n"/>
      <c r="IRT1" s="87" t="n"/>
      <c r="IRU1" s="87" t="n"/>
      <c r="IRV1" s="87" t="n"/>
      <c r="IRW1" s="87" t="n"/>
      <c r="IRX1" s="87" t="n"/>
      <c r="IRY1" s="87" t="n"/>
      <c r="IRZ1" s="87" t="n"/>
      <c r="ISA1" s="87" t="n"/>
      <c r="ISB1" s="87" t="n"/>
      <c r="ISC1" s="87" t="n"/>
      <c r="ISD1" s="87" t="n"/>
      <c r="ISE1" s="87" t="n"/>
      <c r="ISF1" s="87" t="n"/>
      <c r="ISG1" s="87" t="n"/>
      <c r="ISH1" s="87" t="n"/>
      <c r="ISI1" s="87" t="n"/>
      <c r="ISJ1" s="87" t="n"/>
      <c r="ISK1" s="87" t="n"/>
      <c r="ISL1" s="87" t="n"/>
      <c r="ISM1" s="87" t="n"/>
      <c r="ISN1" s="87" t="n"/>
      <c r="ISO1" s="87" t="n"/>
      <c r="ISP1" s="87" t="n"/>
      <c r="ISQ1" s="87" t="n"/>
      <c r="ISR1" s="87" t="n"/>
      <c r="ISS1" s="87" t="n"/>
      <c r="IST1" s="87" t="n"/>
      <c r="ISU1" s="87" t="n"/>
      <c r="ISV1" s="87" t="n"/>
      <c r="ISW1" s="87" t="n"/>
      <c r="ISX1" s="87" t="n"/>
      <c r="ISY1" s="87" t="n"/>
      <c r="ISZ1" s="87" t="n"/>
      <c r="ITA1" s="87" t="n"/>
      <c r="ITB1" s="87" t="n"/>
      <c r="ITC1" s="87" t="n"/>
      <c r="ITD1" s="87" t="n"/>
      <c r="ITE1" s="87" t="n"/>
      <c r="ITF1" s="87" t="n"/>
      <c r="ITG1" s="87" t="n"/>
      <c r="ITH1" s="87" t="n"/>
      <c r="ITI1" s="87" t="n"/>
      <c r="ITJ1" s="87" t="n"/>
      <c r="ITK1" s="87" t="n"/>
      <c r="ITL1" s="87" t="n"/>
      <c r="ITM1" s="87" t="n"/>
      <c r="ITN1" s="87" t="n"/>
      <c r="ITO1" s="87" t="n"/>
      <c r="ITP1" s="87" t="n"/>
      <c r="ITQ1" s="87" t="n"/>
      <c r="ITR1" s="87" t="n"/>
      <c r="ITS1" s="87" t="n"/>
      <c r="ITT1" s="87" t="n"/>
      <c r="ITU1" s="87" t="n"/>
      <c r="ITV1" s="87" t="n"/>
      <c r="ITW1" s="87" t="n"/>
      <c r="ITX1" s="87" t="n"/>
      <c r="ITY1" s="87" t="n"/>
      <c r="ITZ1" s="87" t="n"/>
      <c r="IUA1" s="87" t="n"/>
      <c r="IUB1" s="87" t="n"/>
      <c r="IUC1" s="87" t="n"/>
      <c r="IUD1" s="87" t="n"/>
      <c r="IUE1" s="87" t="n"/>
      <c r="IUF1" s="87" t="n"/>
      <c r="IUG1" s="87" t="n"/>
      <c r="IUH1" s="87" t="n"/>
      <c r="IUI1" s="87" t="n"/>
      <c r="IUJ1" s="87" t="n"/>
      <c r="IUK1" s="87" t="n"/>
      <c r="IUL1" s="87" t="n"/>
      <c r="IUM1" s="87" t="n"/>
      <c r="IUN1" s="87" t="n"/>
      <c r="IUO1" s="87" t="n"/>
      <c r="IUP1" s="87" t="n"/>
      <c r="IUQ1" s="87" t="n"/>
      <c r="IUR1" s="87" t="n"/>
      <c r="IUS1" s="87" t="n"/>
      <c r="IUT1" s="87" t="n"/>
      <c r="IUU1" s="87" t="n"/>
      <c r="IUV1" s="87" t="n"/>
      <c r="IUW1" s="87" t="n"/>
      <c r="IUX1" s="87" t="n"/>
      <c r="IUY1" s="87" t="n"/>
      <c r="IUZ1" s="87" t="n"/>
      <c r="IVA1" s="87" t="n"/>
      <c r="IVB1" s="87" t="n"/>
      <c r="IVC1" s="87" t="n"/>
      <c r="IVD1" s="87" t="n"/>
      <c r="IVE1" s="87" t="n"/>
      <c r="IVF1" s="87" t="n"/>
      <c r="IVG1" s="87" t="n"/>
      <c r="IVH1" s="87" t="n"/>
      <c r="IVI1" s="87" t="n"/>
      <c r="IVJ1" s="87" t="n"/>
      <c r="IVK1" s="87" t="n"/>
      <c r="IVL1" s="87" t="n"/>
      <c r="IVM1" s="87" t="n"/>
      <c r="IVN1" s="87" t="n"/>
      <c r="IVO1" s="87" t="n"/>
      <c r="IVP1" s="87" t="n"/>
      <c r="IVQ1" s="87" t="n"/>
      <c r="IVR1" s="87" t="n"/>
      <c r="IVS1" s="87" t="n"/>
      <c r="IVT1" s="87" t="n"/>
      <c r="IVU1" s="87" t="n"/>
      <c r="IVV1" s="87" t="n"/>
      <c r="IVW1" s="87" t="n"/>
      <c r="IVX1" s="87" t="n"/>
      <c r="IVY1" s="87" t="n"/>
      <c r="IVZ1" s="87" t="n"/>
      <c r="IWA1" s="87" t="n"/>
      <c r="IWB1" s="87" t="n"/>
      <c r="IWC1" s="87" t="n"/>
      <c r="IWD1" s="87" t="n"/>
      <c r="IWE1" s="87" t="n"/>
      <c r="IWF1" s="87" t="n"/>
      <c r="IWG1" s="87" t="n"/>
      <c r="IWH1" s="87" t="n"/>
      <c r="IWI1" s="87" t="n"/>
      <c r="IWJ1" s="87" t="n"/>
      <c r="IWK1" s="87" t="n"/>
      <c r="IWL1" s="87" t="n"/>
      <c r="IWM1" s="87" t="n"/>
      <c r="IWN1" s="87" t="n"/>
      <c r="IWO1" s="87" t="n"/>
      <c r="IWP1" s="87" t="n"/>
      <c r="IWQ1" s="87" t="n"/>
      <c r="IWR1" s="87" t="n"/>
      <c r="IWS1" s="87" t="n"/>
      <c r="IWT1" s="87" t="n"/>
      <c r="IWU1" s="87" t="n"/>
      <c r="IWV1" s="87" t="n"/>
      <c r="IWW1" s="87" t="n"/>
      <c r="IWX1" s="87" t="n"/>
      <c r="IWY1" s="87" t="n"/>
      <c r="IWZ1" s="87" t="n"/>
      <c r="IXA1" s="87" t="n"/>
      <c r="IXB1" s="87" t="n"/>
      <c r="IXC1" s="87" t="n"/>
      <c r="IXD1" s="87" t="n"/>
      <c r="IXE1" s="87" t="n"/>
      <c r="IXF1" s="87" t="n"/>
      <c r="IXG1" s="87" t="n"/>
      <c r="IXH1" s="87" t="n"/>
      <c r="IXI1" s="87" t="n"/>
      <c r="IXJ1" s="87" t="n"/>
      <c r="IXK1" s="87" t="n"/>
      <c r="IXL1" s="87" t="n"/>
      <c r="IXM1" s="87" t="n"/>
      <c r="IXN1" s="87" t="n"/>
      <c r="IXO1" s="87" t="n"/>
      <c r="IXP1" s="87" t="n"/>
      <c r="IXQ1" s="87" t="n"/>
      <c r="IXR1" s="87" t="n"/>
      <c r="IXS1" s="87" t="n"/>
      <c r="IXT1" s="87" t="n"/>
      <c r="IXU1" s="87" t="n"/>
      <c r="IXV1" s="87" t="n"/>
      <c r="IXW1" s="87" t="n"/>
      <c r="IXX1" s="87" t="n"/>
      <c r="IXY1" s="87" t="n"/>
      <c r="IXZ1" s="87" t="n"/>
      <c r="IYA1" s="87" t="n"/>
      <c r="IYB1" s="87" t="n"/>
      <c r="IYC1" s="87" t="n"/>
      <c r="IYD1" s="87" t="n"/>
      <c r="IYE1" s="87" t="n"/>
      <c r="IYF1" s="87" t="n"/>
      <c r="IYG1" s="87" t="n"/>
      <c r="IYH1" s="87" t="n"/>
      <c r="IYI1" s="87" t="n"/>
      <c r="IYJ1" s="87" t="n"/>
      <c r="IYK1" s="87" t="n"/>
      <c r="IYL1" s="87" t="n"/>
      <c r="IYM1" s="87" t="n"/>
      <c r="IYN1" s="87" t="n"/>
      <c r="IYO1" s="87" t="n"/>
      <c r="IYP1" s="87" t="n"/>
      <c r="IYQ1" s="87" t="n"/>
      <c r="IYR1" s="87" t="n"/>
      <c r="IYS1" s="87" t="n"/>
      <c r="IYT1" s="87" t="n"/>
      <c r="IYU1" s="87" t="n"/>
      <c r="IYV1" s="87" t="n"/>
      <c r="IYW1" s="87" t="n"/>
      <c r="IYX1" s="87" t="n"/>
      <c r="IYY1" s="87" t="n"/>
      <c r="IYZ1" s="87" t="n"/>
      <c r="IZA1" s="87" t="n"/>
      <c r="IZB1" s="87" t="n"/>
      <c r="IZC1" s="87" t="n"/>
      <c r="IZD1" s="87" t="n"/>
      <c r="IZE1" s="87" t="n"/>
      <c r="IZF1" s="87" t="n"/>
      <c r="IZG1" s="87" t="n"/>
      <c r="IZH1" s="87" t="n"/>
      <c r="IZI1" s="87" t="n"/>
      <c r="IZJ1" s="87" t="n"/>
      <c r="IZK1" s="87" t="n"/>
      <c r="IZL1" s="87" t="n"/>
      <c r="IZM1" s="87" t="n"/>
      <c r="IZN1" s="87" t="n"/>
      <c r="IZO1" s="87" t="n"/>
      <c r="IZP1" s="87" t="n"/>
      <c r="IZQ1" s="87" t="n"/>
      <c r="IZR1" s="87" t="n"/>
      <c r="IZS1" s="87" t="n"/>
      <c r="IZT1" s="87" t="n"/>
      <c r="IZU1" s="87" t="n"/>
      <c r="IZV1" s="87" t="n"/>
      <c r="IZW1" s="87" t="n"/>
      <c r="IZX1" s="87" t="n"/>
      <c r="IZY1" s="87" t="n"/>
      <c r="IZZ1" s="87" t="n"/>
      <c r="JAA1" s="87" t="n"/>
      <c r="JAB1" s="87" t="n"/>
      <c r="JAC1" s="87" t="n"/>
      <c r="JAD1" s="87" t="n"/>
      <c r="JAE1" s="87" t="n"/>
      <c r="JAF1" s="87" t="n"/>
      <c r="JAG1" s="87" t="n"/>
      <c r="JAH1" s="87" t="n"/>
      <c r="JAI1" s="87" t="n"/>
      <c r="JAJ1" s="87" t="n"/>
      <c r="JAK1" s="87" t="n"/>
      <c r="JAL1" s="87" t="n"/>
      <c r="JAM1" s="87" t="n"/>
      <c r="JAN1" s="87" t="n"/>
      <c r="JAO1" s="87" t="n"/>
      <c r="JAP1" s="87" t="n"/>
      <c r="JAQ1" s="87" t="n"/>
      <c r="JAR1" s="87" t="n"/>
      <c r="JAS1" s="87" t="n"/>
      <c r="JAT1" s="87" t="n"/>
      <c r="JAU1" s="87" t="n"/>
      <c r="JAV1" s="87" t="n"/>
      <c r="JAW1" s="87" t="n"/>
      <c r="JAX1" s="87" t="n"/>
      <c r="JAY1" s="87" t="n"/>
      <c r="JAZ1" s="87" t="n"/>
      <c r="JBA1" s="87" t="n"/>
      <c r="JBB1" s="87" t="n"/>
      <c r="JBC1" s="87" t="n"/>
      <c r="JBD1" s="87" t="n"/>
      <c r="JBE1" s="87" t="n"/>
      <c r="JBF1" s="87" t="n"/>
      <c r="JBG1" s="87" t="n"/>
      <c r="JBH1" s="87" t="n"/>
      <c r="JBI1" s="87" t="n"/>
      <c r="JBJ1" s="87" t="n"/>
      <c r="JBK1" s="87" t="n"/>
      <c r="JBL1" s="87" t="n"/>
      <c r="JBM1" s="87" t="n"/>
      <c r="JBN1" s="87" t="n"/>
      <c r="JBO1" s="87" t="n"/>
      <c r="JBP1" s="87" t="n"/>
      <c r="JBQ1" s="87" t="n"/>
      <c r="JBR1" s="87" t="n"/>
      <c r="JBS1" s="87" t="n"/>
      <c r="JBT1" s="87" t="n"/>
      <c r="JBU1" s="87" t="n"/>
      <c r="JBV1" s="87" t="n"/>
      <c r="JBW1" s="87" t="n"/>
      <c r="JBX1" s="87" t="n"/>
      <c r="JBY1" s="87" t="n"/>
      <c r="JBZ1" s="87" t="n"/>
      <c r="JCA1" s="87" t="n"/>
      <c r="JCB1" s="87" t="n"/>
      <c r="JCC1" s="87" t="n"/>
      <c r="JCD1" s="87" t="n"/>
      <c r="JCE1" s="87" t="n"/>
      <c r="JCF1" s="87" t="n"/>
      <c r="JCG1" s="87" t="n"/>
      <c r="JCH1" s="87" t="n"/>
      <c r="JCI1" s="87" t="n"/>
      <c r="JCJ1" s="87" t="n"/>
      <c r="JCK1" s="87" t="n"/>
      <c r="JCL1" s="87" t="n"/>
      <c r="JCM1" s="87" t="n"/>
      <c r="JCN1" s="87" t="n"/>
      <c r="JCO1" s="87" t="n"/>
      <c r="JCP1" s="87" t="n"/>
      <c r="JCQ1" s="87" t="n"/>
      <c r="JCR1" s="87" t="n"/>
      <c r="JCS1" s="87" t="n"/>
      <c r="JCT1" s="87" t="n"/>
      <c r="JCU1" s="87" t="n"/>
      <c r="JCV1" s="87" t="n"/>
      <c r="JCW1" s="87" t="n"/>
      <c r="JCX1" s="87" t="n"/>
      <c r="JCY1" s="87" t="n"/>
      <c r="JCZ1" s="87" t="n"/>
      <c r="JDA1" s="87" t="n"/>
      <c r="JDB1" s="87" t="n"/>
      <c r="JDC1" s="87" t="n"/>
      <c r="JDD1" s="87" t="n"/>
      <c r="JDE1" s="87" t="n"/>
      <c r="JDF1" s="87" t="n"/>
      <c r="JDG1" s="87" t="n"/>
      <c r="JDH1" s="87" t="n"/>
      <c r="JDI1" s="87" t="n"/>
      <c r="JDJ1" s="87" t="n"/>
      <c r="JDK1" s="87" t="n"/>
      <c r="JDL1" s="87" t="n"/>
      <c r="JDM1" s="87" t="n"/>
      <c r="JDN1" s="87" t="n"/>
      <c r="JDO1" s="87" t="n"/>
      <c r="JDP1" s="87" t="n"/>
      <c r="JDQ1" s="87" t="n"/>
      <c r="JDR1" s="87" t="n"/>
      <c r="JDS1" s="87" t="n"/>
      <c r="JDT1" s="87" t="n"/>
      <c r="JDU1" s="87" t="n"/>
      <c r="JDV1" s="87" t="n"/>
      <c r="JDW1" s="87" t="n"/>
      <c r="JDX1" s="87" t="n"/>
      <c r="JDY1" s="87" t="n"/>
      <c r="JDZ1" s="87" t="n"/>
      <c r="JEA1" s="87" t="n"/>
      <c r="JEB1" s="87" t="n"/>
      <c r="JEC1" s="87" t="n"/>
      <c r="JED1" s="87" t="n"/>
      <c r="JEE1" s="87" t="n"/>
      <c r="JEF1" s="87" t="n"/>
      <c r="JEG1" s="87" t="n"/>
      <c r="JEH1" s="87" t="n"/>
      <c r="JEI1" s="87" t="n"/>
      <c r="JEJ1" s="87" t="n"/>
      <c r="JEK1" s="87" t="n"/>
      <c r="JEL1" s="87" t="n"/>
      <c r="JEM1" s="87" t="n"/>
      <c r="JEN1" s="87" t="n"/>
      <c r="JEO1" s="87" t="n"/>
      <c r="JEP1" s="87" t="n"/>
      <c r="JEQ1" s="87" t="n"/>
      <c r="JER1" s="87" t="n"/>
      <c r="JES1" s="87" t="n"/>
      <c r="JET1" s="87" t="n"/>
      <c r="JEU1" s="87" t="n"/>
      <c r="JEV1" s="87" t="n"/>
      <c r="JEW1" s="87" t="n"/>
      <c r="JEX1" s="87" t="n"/>
      <c r="JEY1" s="87" t="n"/>
      <c r="JEZ1" s="87" t="n"/>
      <c r="JFA1" s="87" t="n"/>
      <c r="JFB1" s="87" t="n"/>
      <c r="JFC1" s="87" t="n"/>
      <c r="JFD1" s="87" t="n"/>
      <c r="JFE1" s="87" t="n"/>
      <c r="JFF1" s="87" t="n"/>
      <c r="JFG1" s="87" t="n"/>
      <c r="JFH1" s="87" t="n"/>
      <c r="JFI1" s="87" t="n"/>
      <c r="JFJ1" s="87" t="n"/>
      <c r="JFK1" s="87" t="n"/>
      <c r="JFL1" s="87" t="n"/>
      <c r="JFM1" s="87" t="n"/>
      <c r="JFN1" s="87" t="n"/>
      <c r="JFO1" s="87" t="n"/>
      <c r="JFP1" s="87" t="n"/>
      <c r="JFQ1" s="87" t="n"/>
      <c r="JFR1" s="87" t="n"/>
      <c r="JFS1" s="87" t="n"/>
      <c r="JFT1" s="87" t="n"/>
      <c r="JFU1" s="87" t="n"/>
      <c r="JFV1" s="87" t="n"/>
      <c r="JFW1" s="87" t="n"/>
      <c r="JFX1" s="87" t="n"/>
      <c r="JFY1" s="87" t="n"/>
      <c r="JFZ1" s="87" t="n"/>
      <c r="JGA1" s="87" t="n"/>
      <c r="JGB1" s="87" t="n"/>
      <c r="JGC1" s="87" t="n"/>
      <c r="JGD1" s="87" t="n"/>
      <c r="JGE1" s="87" t="n"/>
      <c r="JGF1" s="87" t="n"/>
      <c r="JGG1" s="87" t="n"/>
      <c r="JGH1" s="87" t="n"/>
      <c r="JGI1" s="87" t="n"/>
      <c r="JGJ1" s="87" t="n"/>
      <c r="JGK1" s="87" t="n"/>
      <c r="JGL1" s="87" t="n"/>
      <c r="JGM1" s="87" t="n"/>
      <c r="JGN1" s="87" t="n"/>
      <c r="JGO1" s="87" t="n"/>
      <c r="JGP1" s="87" t="n"/>
      <c r="JGQ1" s="87" t="n"/>
      <c r="JGR1" s="87" t="n"/>
      <c r="JGS1" s="87" t="n"/>
      <c r="JGT1" s="87" t="n"/>
      <c r="JGU1" s="87" t="n"/>
      <c r="JGV1" s="87" t="n"/>
      <c r="JGW1" s="87" t="n"/>
      <c r="JGX1" s="87" t="n"/>
      <c r="JGY1" s="87" t="n"/>
      <c r="JGZ1" s="87" t="n"/>
      <c r="JHA1" s="87" t="n"/>
      <c r="JHB1" s="87" t="n"/>
      <c r="JHC1" s="87" t="n"/>
      <c r="JHD1" s="87" t="n"/>
      <c r="JHE1" s="87" t="n"/>
      <c r="JHF1" s="87" t="n"/>
      <c r="JHG1" s="87" t="n"/>
      <c r="JHH1" s="87" t="n"/>
      <c r="JHI1" s="87" t="n"/>
      <c r="JHJ1" s="87" t="n"/>
      <c r="JHK1" s="87" t="n"/>
      <c r="JHL1" s="87" t="n"/>
      <c r="JHM1" s="87" t="n"/>
      <c r="JHN1" s="87" t="n"/>
      <c r="JHO1" s="87" t="n"/>
      <c r="JHP1" s="87" t="n"/>
      <c r="JHQ1" s="87" t="n"/>
      <c r="JHR1" s="87" t="n"/>
      <c r="JHS1" s="87" t="n"/>
      <c r="JHT1" s="87" t="n"/>
      <c r="JHU1" s="87" t="n"/>
      <c r="JHV1" s="87" t="n"/>
      <c r="JHW1" s="87" t="n"/>
      <c r="JHX1" s="87" t="n"/>
      <c r="JHY1" s="87" t="n"/>
      <c r="JHZ1" s="87" t="n"/>
      <c r="JIA1" s="87" t="n"/>
      <c r="JIB1" s="87" t="n"/>
      <c r="JIC1" s="87" t="n"/>
      <c r="JID1" s="87" t="n"/>
      <c r="JIE1" s="87" t="n"/>
      <c r="JIF1" s="87" t="n"/>
      <c r="JIG1" s="87" t="n"/>
      <c r="JIH1" s="87" t="n"/>
      <c r="JII1" s="87" t="n"/>
      <c r="JIJ1" s="87" t="n"/>
      <c r="JIK1" s="87" t="n"/>
      <c r="JIL1" s="87" t="n"/>
      <c r="JIM1" s="87" t="n"/>
      <c r="JIN1" s="87" t="n"/>
      <c r="JIO1" s="87" t="n"/>
      <c r="JIP1" s="87" t="n"/>
      <c r="JIQ1" s="87" t="n"/>
      <c r="JIR1" s="87" t="n"/>
      <c r="JIS1" s="87" t="n"/>
      <c r="JIT1" s="87" t="n"/>
      <c r="JIU1" s="87" t="n"/>
      <c r="JIV1" s="87" t="n"/>
      <c r="JIW1" s="87" t="n"/>
      <c r="JIX1" s="87" t="n"/>
      <c r="JIY1" s="87" t="n"/>
      <c r="JIZ1" s="87" t="n"/>
      <c r="JJA1" s="87" t="n"/>
      <c r="JJB1" s="87" t="n"/>
      <c r="JJC1" s="87" t="n"/>
      <c r="JJD1" s="87" t="n"/>
      <c r="JJE1" s="87" t="n"/>
      <c r="JJF1" s="87" t="n"/>
      <c r="JJG1" s="87" t="n"/>
      <c r="JJH1" s="87" t="n"/>
      <c r="JJI1" s="87" t="n"/>
      <c r="JJJ1" s="87" t="n"/>
      <c r="JJK1" s="87" t="n"/>
      <c r="JJL1" s="87" t="n"/>
      <c r="JJM1" s="87" t="n"/>
      <c r="JJN1" s="87" t="n"/>
      <c r="JJO1" s="87" t="n"/>
      <c r="JJP1" s="87" t="n"/>
      <c r="JJQ1" s="87" t="n"/>
      <c r="JJR1" s="87" t="n"/>
      <c r="JJS1" s="87" t="n"/>
      <c r="JJT1" s="87" t="n"/>
      <c r="JJU1" s="87" t="n"/>
      <c r="JJV1" s="87" t="n"/>
      <c r="JJW1" s="87" t="n"/>
      <c r="JJX1" s="87" t="n"/>
      <c r="JJY1" s="87" t="n"/>
      <c r="JJZ1" s="87" t="n"/>
      <c r="JKA1" s="87" t="n"/>
      <c r="JKB1" s="87" t="n"/>
      <c r="JKC1" s="87" t="n"/>
      <c r="JKD1" s="87" t="n"/>
      <c r="JKE1" s="87" t="n"/>
      <c r="JKF1" s="87" t="n"/>
      <c r="JKG1" s="87" t="n"/>
      <c r="JKH1" s="87" t="n"/>
      <c r="JKI1" s="87" t="n"/>
      <c r="JKJ1" s="87" t="n"/>
      <c r="JKK1" s="87" t="n"/>
      <c r="JKL1" s="87" t="n"/>
      <c r="JKM1" s="87" t="n"/>
      <c r="JKN1" s="87" t="n"/>
      <c r="JKO1" s="87" t="n"/>
      <c r="JKP1" s="87" t="n"/>
      <c r="JKQ1" s="87" t="n"/>
      <c r="JKR1" s="87" t="n"/>
      <c r="JKS1" s="87" t="n"/>
      <c r="JKT1" s="87" t="n"/>
      <c r="JKU1" s="87" t="n"/>
      <c r="JKV1" s="87" t="n"/>
      <c r="JKW1" s="87" t="n"/>
      <c r="JKX1" s="87" t="n"/>
      <c r="JKY1" s="87" t="n"/>
      <c r="JKZ1" s="87" t="n"/>
      <c r="JLA1" s="87" t="n"/>
      <c r="JLB1" s="87" t="n"/>
      <c r="JLC1" s="87" t="n"/>
      <c r="JLD1" s="87" t="n"/>
      <c r="JLE1" s="87" t="n"/>
      <c r="JLF1" s="87" t="n"/>
      <c r="JLG1" s="87" t="n"/>
      <c r="JLH1" s="87" t="n"/>
      <c r="JLI1" s="87" t="n"/>
      <c r="JLJ1" s="87" t="n"/>
      <c r="JLK1" s="87" t="n"/>
      <c r="JLL1" s="87" t="n"/>
      <c r="JLM1" s="87" t="n"/>
      <c r="JLN1" s="87" t="n"/>
      <c r="JLO1" s="87" t="n"/>
      <c r="JLP1" s="87" t="n"/>
      <c r="JLQ1" s="87" t="n"/>
      <c r="JLR1" s="87" t="n"/>
      <c r="JLS1" s="87" t="n"/>
      <c r="JLT1" s="87" t="n"/>
      <c r="JLU1" s="87" t="n"/>
      <c r="JLV1" s="87" t="n"/>
      <c r="JLW1" s="87" t="n"/>
      <c r="JLX1" s="87" t="n"/>
      <c r="JLY1" s="87" t="n"/>
      <c r="JLZ1" s="87" t="n"/>
      <c r="JMA1" s="87" t="n"/>
      <c r="JMB1" s="87" t="n"/>
      <c r="JMC1" s="87" t="n"/>
      <c r="JMD1" s="87" t="n"/>
      <c r="JME1" s="87" t="n"/>
      <c r="JMF1" s="87" t="n"/>
      <c r="JMG1" s="87" t="n"/>
      <c r="JMH1" s="87" t="n"/>
      <c r="JMI1" s="87" t="n"/>
      <c r="JMJ1" s="87" t="n"/>
      <c r="JMK1" s="87" t="n"/>
      <c r="JML1" s="87" t="n"/>
      <c r="JMM1" s="87" t="n"/>
      <c r="JMN1" s="87" t="n"/>
      <c r="JMO1" s="87" t="n"/>
      <c r="JMP1" s="87" t="n"/>
      <c r="JMQ1" s="87" t="n"/>
      <c r="JMR1" s="87" t="n"/>
      <c r="JMS1" s="87" t="n"/>
      <c r="JMT1" s="87" t="n"/>
      <c r="JMU1" s="87" t="n"/>
      <c r="JMV1" s="87" t="n"/>
      <c r="JMW1" s="87" t="n"/>
      <c r="JMX1" s="87" t="n"/>
      <c r="JMY1" s="87" t="n"/>
      <c r="JMZ1" s="87" t="n"/>
      <c r="JNA1" s="87" t="n"/>
      <c r="JNB1" s="87" t="n"/>
      <c r="JNC1" s="87" t="n"/>
      <c r="JND1" s="87" t="n"/>
      <c r="JNE1" s="87" t="n"/>
      <c r="JNF1" s="87" t="n"/>
      <c r="JNG1" s="87" t="n"/>
      <c r="JNH1" s="87" t="n"/>
      <c r="JNI1" s="87" t="n"/>
      <c r="JNJ1" s="87" t="n"/>
      <c r="JNK1" s="87" t="n"/>
      <c r="JNL1" s="87" t="n"/>
      <c r="JNM1" s="87" t="n"/>
      <c r="JNN1" s="87" t="n"/>
      <c r="JNO1" s="87" t="n"/>
      <c r="JNP1" s="87" t="n"/>
      <c r="JNQ1" s="87" t="n"/>
      <c r="JNR1" s="87" t="n"/>
      <c r="JNS1" s="87" t="n"/>
      <c r="JNT1" s="87" t="n"/>
      <c r="JNU1" s="87" t="n"/>
      <c r="JNV1" s="87" t="n"/>
      <c r="JNW1" s="87" t="n"/>
      <c r="JNX1" s="87" t="n"/>
      <c r="JNY1" s="87" t="n"/>
      <c r="JNZ1" s="87" t="n"/>
      <c r="JOA1" s="87" t="n"/>
      <c r="JOB1" s="87" t="n"/>
      <c r="JOC1" s="87" t="n"/>
      <c r="JOD1" s="87" t="n"/>
      <c r="JOE1" s="87" t="n"/>
      <c r="JOF1" s="87" t="n"/>
      <c r="JOG1" s="87" t="n"/>
      <c r="JOH1" s="87" t="n"/>
      <c r="JOI1" s="87" t="n"/>
      <c r="JOJ1" s="87" t="n"/>
      <c r="JOK1" s="87" t="n"/>
      <c r="JOL1" s="87" t="n"/>
      <c r="JOM1" s="87" t="n"/>
      <c r="JON1" s="87" t="n"/>
      <c r="JOO1" s="87" t="n"/>
      <c r="JOP1" s="87" t="n"/>
      <c r="JOQ1" s="87" t="n"/>
      <c r="JOR1" s="87" t="n"/>
      <c r="JOS1" s="87" t="n"/>
      <c r="JOT1" s="87" t="n"/>
      <c r="JOU1" s="87" t="n"/>
      <c r="JOV1" s="87" t="n"/>
      <c r="JOW1" s="87" t="n"/>
      <c r="JOX1" s="87" t="n"/>
      <c r="JOY1" s="87" t="n"/>
      <c r="JOZ1" s="87" t="n"/>
      <c r="JPA1" s="87" t="n"/>
      <c r="JPB1" s="87" t="n"/>
      <c r="JPC1" s="87" t="n"/>
      <c r="JPD1" s="87" t="n"/>
      <c r="JPE1" s="87" t="n"/>
      <c r="JPF1" s="87" t="n"/>
      <c r="JPG1" s="87" t="n"/>
      <c r="JPH1" s="87" t="n"/>
      <c r="JPI1" s="87" t="n"/>
      <c r="JPJ1" s="87" t="n"/>
      <c r="JPK1" s="87" t="n"/>
      <c r="JPL1" s="87" t="n"/>
      <c r="JPM1" s="87" t="n"/>
      <c r="JPN1" s="87" t="n"/>
      <c r="JPO1" s="87" t="n"/>
      <c r="JPP1" s="87" t="n"/>
      <c r="JPQ1" s="87" t="n"/>
      <c r="JPR1" s="87" t="n"/>
      <c r="JPS1" s="87" t="n"/>
      <c r="JPT1" s="87" t="n"/>
      <c r="JPU1" s="87" t="n"/>
      <c r="JPV1" s="87" t="n"/>
      <c r="JPW1" s="87" t="n"/>
      <c r="JPX1" s="87" t="n"/>
      <c r="JPY1" s="87" t="n"/>
      <c r="JPZ1" s="87" t="n"/>
      <c r="JQA1" s="87" t="n"/>
      <c r="JQB1" s="87" t="n"/>
      <c r="JQC1" s="87" t="n"/>
      <c r="JQD1" s="87" t="n"/>
      <c r="JQE1" s="87" t="n"/>
      <c r="JQF1" s="87" t="n"/>
      <c r="JQG1" s="87" t="n"/>
      <c r="JQH1" s="87" t="n"/>
      <c r="JQI1" s="87" t="n"/>
      <c r="JQJ1" s="87" t="n"/>
      <c r="JQK1" s="87" t="n"/>
      <c r="JQL1" s="87" t="n"/>
      <c r="JQM1" s="87" t="n"/>
      <c r="JQN1" s="87" t="n"/>
      <c r="JQO1" s="87" t="n"/>
      <c r="JQP1" s="87" t="n"/>
      <c r="JQQ1" s="87" t="n"/>
      <c r="JQR1" s="87" t="n"/>
      <c r="JQS1" s="87" t="n"/>
      <c r="JQT1" s="87" t="n"/>
      <c r="JQU1" s="87" t="n"/>
      <c r="JQV1" s="87" t="n"/>
      <c r="JQW1" s="87" t="n"/>
      <c r="JQX1" s="87" t="n"/>
      <c r="JQY1" s="87" t="n"/>
      <c r="JQZ1" s="87" t="n"/>
      <c r="JRA1" s="87" t="n"/>
      <c r="JRB1" s="87" t="n"/>
      <c r="JRC1" s="87" t="n"/>
      <c r="JRD1" s="87" t="n"/>
      <c r="JRE1" s="87" t="n"/>
      <c r="JRF1" s="87" t="n"/>
      <c r="JRG1" s="87" t="n"/>
      <c r="JRH1" s="87" t="n"/>
      <c r="JRI1" s="87" t="n"/>
      <c r="JRJ1" s="87" t="n"/>
      <c r="JRK1" s="87" t="n"/>
      <c r="JRL1" s="87" t="n"/>
      <c r="JRM1" s="87" t="n"/>
      <c r="JRN1" s="87" t="n"/>
      <c r="JRO1" s="87" t="n"/>
      <c r="JRP1" s="87" t="n"/>
      <c r="JRQ1" s="87" t="n"/>
      <c r="JRR1" s="87" t="n"/>
      <c r="JRS1" s="87" t="n"/>
      <c r="JRT1" s="87" t="n"/>
      <c r="JRU1" s="87" t="n"/>
      <c r="JRV1" s="87" t="n"/>
      <c r="JRW1" s="87" t="n"/>
      <c r="JRX1" s="87" t="n"/>
      <c r="JRY1" s="87" t="n"/>
      <c r="JRZ1" s="87" t="n"/>
      <c r="JSA1" s="87" t="n"/>
      <c r="JSB1" s="87" t="n"/>
      <c r="JSC1" s="87" t="n"/>
      <c r="JSD1" s="87" t="n"/>
      <c r="JSE1" s="87" t="n"/>
      <c r="JSF1" s="87" t="n"/>
      <c r="JSG1" s="87" t="n"/>
      <c r="JSH1" s="87" t="n"/>
      <c r="JSI1" s="87" t="n"/>
      <c r="JSJ1" s="87" t="n"/>
      <c r="JSK1" s="87" t="n"/>
      <c r="JSL1" s="87" t="n"/>
      <c r="JSM1" s="87" t="n"/>
      <c r="JSN1" s="87" t="n"/>
      <c r="JSO1" s="87" t="n"/>
      <c r="JSP1" s="87" t="n"/>
      <c r="JSQ1" s="87" t="n"/>
      <c r="JSR1" s="87" t="n"/>
      <c r="JSS1" s="87" t="n"/>
      <c r="JST1" s="87" t="n"/>
      <c r="JSU1" s="87" t="n"/>
      <c r="JSV1" s="87" t="n"/>
      <c r="JSW1" s="87" t="n"/>
      <c r="JSX1" s="87" t="n"/>
      <c r="JSY1" s="87" t="n"/>
      <c r="JSZ1" s="87" t="n"/>
      <c r="JTA1" s="87" t="n"/>
      <c r="JTB1" s="87" t="n"/>
      <c r="JTC1" s="87" t="n"/>
      <c r="JTD1" s="87" t="n"/>
      <c r="JTE1" s="87" t="n"/>
      <c r="JTF1" s="87" t="n"/>
      <c r="JTG1" s="87" t="n"/>
      <c r="JTH1" s="87" t="n"/>
      <c r="JTI1" s="87" t="n"/>
      <c r="JTJ1" s="87" t="n"/>
      <c r="JTK1" s="87" t="n"/>
      <c r="JTL1" s="87" t="n"/>
      <c r="JTM1" s="87" t="n"/>
      <c r="JTN1" s="87" t="n"/>
      <c r="JTO1" s="87" t="n"/>
      <c r="JTP1" s="87" t="n"/>
      <c r="JTQ1" s="87" t="n"/>
      <c r="JTR1" s="87" t="n"/>
      <c r="JTS1" s="87" t="n"/>
      <c r="JTT1" s="87" t="n"/>
      <c r="JTU1" s="87" t="n"/>
      <c r="JTV1" s="87" t="n"/>
      <c r="JTW1" s="87" t="n"/>
      <c r="JTX1" s="87" t="n"/>
      <c r="JTY1" s="87" t="n"/>
      <c r="JTZ1" s="87" t="n"/>
      <c r="JUA1" s="87" t="n"/>
      <c r="JUB1" s="87" t="n"/>
      <c r="JUC1" s="87" t="n"/>
      <c r="JUD1" s="87" t="n"/>
      <c r="JUE1" s="87" t="n"/>
      <c r="JUF1" s="87" t="n"/>
      <c r="JUG1" s="87" t="n"/>
      <c r="JUH1" s="87" t="n"/>
      <c r="JUI1" s="87" t="n"/>
      <c r="JUJ1" s="87" t="n"/>
      <c r="JUK1" s="87" t="n"/>
      <c r="JUL1" s="87" t="n"/>
      <c r="JUM1" s="87" t="n"/>
      <c r="JUN1" s="87" t="n"/>
      <c r="JUO1" s="87" t="n"/>
      <c r="JUP1" s="87" t="n"/>
      <c r="JUQ1" s="87" t="n"/>
      <c r="JUR1" s="87" t="n"/>
      <c r="JUS1" s="87" t="n"/>
      <c r="JUT1" s="87" t="n"/>
      <c r="JUU1" s="87" t="n"/>
      <c r="JUV1" s="87" t="n"/>
      <c r="JUW1" s="87" t="n"/>
      <c r="JUX1" s="87" t="n"/>
      <c r="JUY1" s="87" t="n"/>
      <c r="JUZ1" s="87" t="n"/>
      <c r="JVA1" s="87" t="n"/>
      <c r="JVB1" s="87" t="n"/>
      <c r="JVC1" s="87" t="n"/>
      <c r="JVD1" s="87" t="n"/>
      <c r="JVE1" s="87" t="n"/>
      <c r="JVF1" s="87" t="n"/>
      <c r="JVG1" s="87" t="n"/>
      <c r="JVH1" s="87" t="n"/>
      <c r="JVI1" s="87" t="n"/>
      <c r="JVJ1" s="87" t="n"/>
      <c r="JVK1" s="87" t="n"/>
      <c r="JVL1" s="87" t="n"/>
      <c r="JVM1" s="87" t="n"/>
      <c r="JVN1" s="87" t="n"/>
      <c r="JVO1" s="87" t="n"/>
      <c r="JVP1" s="87" t="n"/>
      <c r="JVQ1" s="87" t="n"/>
      <c r="JVR1" s="87" t="n"/>
      <c r="JVS1" s="87" t="n"/>
      <c r="JVT1" s="87" t="n"/>
      <c r="JVU1" s="87" t="n"/>
      <c r="JVV1" s="87" t="n"/>
      <c r="JVW1" s="87" t="n"/>
      <c r="JVX1" s="87" t="n"/>
      <c r="JVY1" s="87" t="n"/>
      <c r="JVZ1" s="87" t="n"/>
      <c r="JWA1" s="87" t="n"/>
      <c r="JWB1" s="87" t="n"/>
      <c r="JWC1" s="87" t="n"/>
      <c r="JWD1" s="87" t="n"/>
      <c r="JWE1" s="87" t="n"/>
      <c r="JWF1" s="87" t="n"/>
      <c r="JWG1" s="87" t="n"/>
      <c r="JWH1" s="87" t="n"/>
      <c r="JWI1" s="87" t="n"/>
      <c r="JWJ1" s="87" t="n"/>
      <c r="JWK1" s="87" t="n"/>
      <c r="JWL1" s="87" t="n"/>
      <c r="JWM1" s="87" t="n"/>
      <c r="JWN1" s="87" t="n"/>
      <c r="JWO1" s="87" t="n"/>
      <c r="JWP1" s="87" t="n"/>
      <c r="JWQ1" s="87" t="n"/>
      <c r="JWR1" s="87" t="n"/>
      <c r="JWS1" s="87" t="n"/>
      <c r="JWT1" s="87" t="n"/>
      <c r="JWU1" s="87" t="n"/>
      <c r="JWV1" s="87" t="n"/>
      <c r="JWW1" s="87" t="n"/>
      <c r="JWX1" s="87" t="n"/>
      <c r="JWY1" s="87" t="n"/>
      <c r="JWZ1" s="87" t="n"/>
      <c r="JXA1" s="87" t="n"/>
      <c r="JXB1" s="87" t="n"/>
      <c r="JXC1" s="87" t="n"/>
      <c r="JXD1" s="87" t="n"/>
      <c r="JXE1" s="87" t="n"/>
      <c r="JXF1" s="87" t="n"/>
      <c r="JXG1" s="87" t="n"/>
      <c r="JXH1" s="87" t="n"/>
      <c r="JXI1" s="87" t="n"/>
      <c r="JXJ1" s="87" t="n"/>
      <c r="JXK1" s="87" t="n"/>
      <c r="JXL1" s="87" t="n"/>
      <c r="JXM1" s="87" t="n"/>
      <c r="JXN1" s="87" t="n"/>
      <c r="JXO1" s="87" t="n"/>
      <c r="JXP1" s="87" t="n"/>
      <c r="JXQ1" s="87" t="n"/>
      <c r="JXR1" s="87" t="n"/>
      <c r="JXS1" s="87" t="n"/>
      <c r="JXT1" s="87" t="n"/>
      <c r="JXU1" s="87" t="n"/>
      <c r="JXV1" s="87" t="n"/>
      <c r="JXW1" s="87" t="n"/>
      <c r="JXX1" s="87" t="n"/>
      <c r="JXY1" s="87" t="n"/>
      <c r="JXZ1" s="87" t="n"/>
      <c r="JYA1" s="87" t="n"/>
      <c r="JYB1" s="87" t="n"/>
      <c r="JYC1" s="87" t="n"/>
      <c r="JYD1" s="87" t="n"/>
      <c r="JYE1" s="87" t="n"/>
      <c r="JYF1" s="87" t="n"/>
      <c r="JYG1" s="87" t="n"/>
      <c r="JYH1" s="87" t="n"/>
      <c r="JYI1" s="87" t="n"/>
      <c r="JYJ1" s="87" t="n"/>
      <c r="JYK1" s="87" t="n"/>
      <c r="JYL1" s="87" t="n"/>
      <c r="JYM1" s="87" t="n"/>
      <c r="JYN1" s="87" t="n"/>
      <c r="JYO1" s="87" t="n"/>
      <c r="JYP1" s="87" t="n"/>
      <c r="JYQ1" s="87" t="n"/>
      <c r="JYR1" s="87" t="n"/>
      <c r="JYS1" s="87" t="n"/>
      <c r="JYT1" s="87" t="n"/>
      <c r="JYU1" s="87" t="n"/>
      <c r="JYV1" s="87" t="n"/>
      <c r="JYW1" s="87" t="n"/>
      <c r="JYX1" s="87" t="n"/>
      <c r="JYY1" s="87" t="n"/>
      <c r="JYZ1" s="87" t="n"/>
      <c r="JZA1" s="87" t="n"/>
      <c r="JZB1" s="87" t="n"/>
      <c r="JZC1" s="87" t="n"/>
      <c r="JZD1" s="87" t="n"/>
      <c r="JZE1" s="87" t="n"/>
      <c r="JZF1" s="87" t="n"/>
      <c r="JZG1" s="87" t="n"/>
      <c r="JZH1" s="87" t="n"/>
      <c r="JZI1" s="87" t="n"/>
      <c r="JZJ1" s="87" t="n"/>
      <c r="JZK1" s="87" t="n"/>
      <c r="JZL1" s="87" t="n"/>
      <c r="JZM1" s="87" t="n"/>
      <c r="JZN1" s="87" t="n"/>
      <c r="JZO1" s="87" t="n"/>
      <c r="JZP1" s="87" t="n"/>
      <c r="JZQ1" s="87" t="n"/>
      <c r="JZR1" s="87" t="n"/>
      <c r="JZS1" s="87" t="n"/>
      <c r="JZT1" s="87" t="n"/>
      <c r="JZU1" s="87" t="n"/>
      <c r="JZV1" s="87" t="n"/>
      <c r="JZW1" s="87" t="n"/>
      <c r="JZX1" s="87" t="n"/>
      <c r="JZY1" s="87" t="n"/>
      <c r="JZZ1" s="87" t="n"/>
      <c r="KAA1" s="87" t="n"/>
      <c r="KAB1" s="87" t="n"/>
      <c r="KAC1" s="87" t="n"/>
      <c r="KAD1" s="87" t="n"/>
      <c r="KAE1" s="87" t="n"/>
      <c r="KAF1" s="87" t="n"/>
      <c r="KAG1" s="87" t="n"/>
      <c r="KAH1" s="87" t="n"/>
      <c r="KAI1" s="87" t="n"/>
      <c r="KAJ1" s="87" t="n"/>
      <c r="KAK1" s="87" t="n"/>
      <c r="KAL1" s="87" t="n"/>
      <c r="KAM1" s="87" t="n"/>
      <c r="KAN1" s="87" t="n"/>
      <c r="KAO1" s="87" t="n"/>
      <c r="KAP1" s="87" t="n"/>
      <c r="KAQ1" s="87" t="n"/>
      <c r="KAR1" s="87" t="n"/>
      <c r="KAS1" s="87" t="n"/>
      <c r="KAT1" s="87" t="n"/>
      <c r="KAU1" s="87" t="n"/>
      <c r="KAV1" s="87" t="n"/>
      <c r="KAW1" s="87" t="n"/>
      <c r="KAX1" s="87" t="n"/>
      <c r="KAY1" s="87" t="n"/>
      <c r="KAZ1" s="87" t="n"/>
      <c r="KBA1" s="87" t="n"/>
      <c r="KBB1" s="87" t="n"/>
      <c r="KBC1" s="87" t="n"/>
      <c r="KBD1" s="87" t="n"/>
      <c r="KBE1" s="87" t="n"/>
      <c r="KBF1" s="87" t="n"/>
      <c r="KBG1" s="87" t="n"/>
      <c r="KBH1" s="87" t="n"/>
      <c r="KBI1" s="87" t="n"/>
      <c r="KBJ1" s="87" t="n"/>
      <c r="KBK1" s="87" t="n"/>
      <c r="KBL1" s="87" t="n"/>
      <c r="KBM1" s="87" t="n"/>
      <c r="KBN1" s="87" t="n"/>
      <c r="KBO1" s="87" t="n"/>
      <c r="KBP1" s="87" t="n"/>
      <c r="KBQ1" s="87" t="n"/>
      <c r="KBR1" s="87" t="n"/>
      <c r="KBS1" s="87" t="n"/>
      <c r="KBT1" s="87" t="n"/>
      <c r="KBU1" s="87" t="n"/>
      <c r="KBV1" s="87" t="n"/>
      <c r="KBW1" s="87" t="n"/>
      <c r="KBX1" s="87" t="n"/>
      <c r="KBY1" s="87" t="n"/>
      <c r="KBZ1" s="87" t="n"/>
      <c r="KCA1" s="87" t="n"/>
      <c r="KCB1" s="87" t="n"/>
      <c r="KCC1" s="87" t="n"/>
      <c r="KCD1" s="87" t="n"/>
      <c r="KCE1" s="87" t="n"/>
      <c r="KCF1" s="87" t="n"/>
      <c r="KCG1" s="87" t="n"/>
      <c r="KCH1" s="87" t="n"/>
      <c r="KCI1" s="87" t="n"/>
      <c r="KCJ1" s="87" t="n"/>
      <c r="KCK1" s="87" t="n"/>
      <c r="KCL1" s="87" t="n"/>
      <c r="KCM1" s="87" t="n"/>
      <c r="KCN1" s="87" t="n"/>
      <c r="KCO1" s="87" t="n"/>
      <c r="KCP1" s="87" t="n"/>
      <c r="KCQ1" s="87" t="n"/>
      <c r="KCR1" s="87" t="n"/>
      <c r="KCS1" s="87" t="n"/>
      <c r="KCT1" s="87" t="n"/>
      <c r="KCU1" s="87" t="n"/>
      <c r="KCV1" s="87" t="n"/>
      <c r="KCW1" s="87" t="n"/>
      <c r="KCX1" s="87" t="n"/>
      <c r="KCY1" s="87" t="n"/>
      <c r="KCZ1" s="87" t="n"/>
      <c r="KDA1" s="87" t="n"/>
      <c r="KDB1" s="87" t="n"/>
      <c r="KDC1" s="87" t="n"/>
      <c r="KDD1" s="87" t="n"/>
      <c r="KDE1" s="87" t="n"/>
      <c r="KDF1" s="87" t="n"/>
      <c r="KDG1" s="87" t="n"/>
      <c r="KDH1" s="87" t="n"/>
      <c r="KDI1" s="87" t="n"/>
      <c r="KDJ1" s="87" t="n"/>
      <c r="KDK1" s="87" t="n"/>
      <c r="KDL1" s="87" t="n"/>
      <c r="KDM1" s="87" t="n"/>
      <c r="KDN1" s="87" t="n"/>
      <c r="KDO1" s="87" t="n"/>
      <c r="KDP1" s="87" t="n"/>
      <c r="KDQ1" s="87" t="n"/>
      <c r="KDR1" s="87" t="n"/>
      <c r="KDS1" s="87" t="n"/>
      <c r="KDT1" s="87" t="n"/>
      <c r="KDU1" s="87" t="n"/>
      <c r="KDV1" s="87" t="n"/>
      <c r="KDW1" s="87" t="n"/>
      <c r="KDX1" s="87" t="n"/>
      <c r="KDY1" s="87" t="n"/>
      <c r="KDZ1" s="87" t="n"/>
      <c r="KEA1" s="87" t="n"/>
      <c r="KEB1" s="87" t="n"/>
      <c r="KEC1" s="87" t="n"/>
      <c r="KED1" s="87" t="n"/>
      <c r="KEE1" s="87" t="n"/>
      <c r="KEF1" s="87" t="n"/>
      <c r="KEG1" s="87" t="n"/>
      <c r="KEH1" s="87" t="n"/>
      <c r="KEI1" s="87" t="n"/>
      <c r="KEJ1" s="87" t="n"/>
      <c r="KEK1" s="87" t="n"/>
      <c r="KEL1" s="87" t="n"/>
      <c r="KEM1" s="87" t="n"/>
      <c r="KEN1" s="87" t="n"/>
      <c r="KEO1" s="87" t="n"/>
      <c r="KEP1" s="87" t="n"/>
      <c r="KEQ1" s="87" t="n"/>
      <c r="KER1" s="87" t="n"/>
      <c r="KES1" s="87" t="n"/>
      <c r="KET1" s="87" t="n"/>
      <c r="KEU1" s="87" t="n"/>
      <c r="KEV1" s="87" t="n"/>
      <c r="KEW1" s="87" t="n"/>
      <c r="KEX1" s="87" t="n"/>
      <c r="KEY1" s="87" t="n"/>
      <c r="KEZ1" s="87" t="n"/>
      <c r="KFA1" s="87" t="n"/>
      <c r="KFB1" s="87" t="n"/>
      <c r="KFC1" s="87" t="n"/>
      <c r="KFD1" s="87" t="n"/>
      <c r="KFE1" s="87" t="n"/>
      <c r="KFF1" s="87" t="n"/>
      <c r="KFG1" s="87" t="n"/>
      <c r="KFH1" s="87" t="n"/>
      <c r="KFI1" s="87" t="n"/>
      <c r="KFJ1" s="87" t="n"/>
      <c r="KFK1" s="87" t="n"/>
      <c r="KFL1" s="87" t="n"/>
      <c r="KFM1" s="87" t="n"/>
      <c r="KFN1" s="87" t="n"/>
      <c r="KFO1" s="87" t="n"/>
      <c r="KFP1" s="87" t="n"/>
      <c r="KFQ1" s="87" t="n"/>
      <c r="KFR1" s="87" t="n"/>
      <c r="KFS1" s="87" t="n"/>
      <c r="KFT1" s="87" t="n"/>
      <c r="KFU1" s="87" t="n"/>
      <c r="KFV1" s="87" t="n"/>
      <c r="KFW1" s="87" t="n"/>
      <c r="KFX1" s="87" t="n"/>
      <c r="KFY1" s="87" t="n"/>
      <c r="KFZ1" s="87" t="n"/>
      <c r="KGA1" s="87" t="n"/>
      <c r="KGB1" s="87" t="n"/>
      <c r="KGC1" s="87" t="n"/>
      <c r="KGD1" s="87" t="n"/>
      <c r="KGE1" s="87" t="n"/>
      <c r="KGF1" s="87" t="n"/>
      <c r="KGG1" s="87" t="n"/>
      <c r="KGH1" s="87" t="n"/>
      <c r="KGI1" s="87" t="n"/>
      <c r="KGJ1" s="87" t="n"/>
      <c r="KGK1" s="87" t="n"/>
      <c r="KGL1" s="87" t="n"/>
      <c r="KGM1" s="87" t="n"/>
      <c r="KGN1" s="87" t="n"/>
      <c r="KGO1" s="87" t="n"/>
      <c r="KGP1" s="87" t="n"/>
      <c r="KGQ1" s="87" t="n"/>
      <c r="KGR1" s="87" t="n"/>
      <c r="KGS1" s="87" t="n"/>
      <c r="KGT1" s="87" t="n"/>
      <c r="KGU1" s="87" t="n"/>
      <c r="KGV1" s="87" t="n"/>
      <c r="KGW1" s="87" t="n"/>
      <c r="KGX1" s="87" t="n"/>
      <c r="KGY1" s="87" t="n"/>
      <c r="KGZ1" s="87" t="n"/>
      <c r="KHA1" s="87" t="n"/>
      <c r="KHB1" s="87" t="n"/>
      <c r="KHC1" s="87" t="n"/>
      <c r="KHD1" s="87" t="n"/>
      <c r="KHE1" s="87" t="n"/>
      <c r="KHF1" s="87" t="n"/>
      <c r="KHG1" s="87" t="n"/>
      <c r="KHH1" s="87" t="n"/>
      <c r="KHI1" s="87" t="n"/>
      <c r="KHJ1" s="87" t="n"/>
      <c r="KHK1" s="87" t="n"/>
      <c r="KHL1" s="87" t="n"/>
      <c r="KHM1" s="87" t="n"/>
      <c r="KHN1" s="87" t="n"/>
      <c r="KHO1" s="87" t="n"/>
      <c r="KHP1" s="87" t="n"/>
      <c r="KHQ1" s="87" t="n"/>
      <c r="KHR1" s="87" t="n"/>
      <c r="KHS1" s="87" t="n"/>
      <c r="KHT1" s="87" t="n"/>
      <c r="KHU1" s="87" t="n"/>
      <c r="KHV1" s="87" t="n"/>
      <c r="KHW1" s="87" t="n"/>
      <c r="KHX1" s="87" t="n"/>
      <c r="KHY1" s="87" t="n"/>
      <c r="KHZ1" s="87" t="n"/>
      <c r="KIA1" s="87" t="n"/>
      <c r="KIB1" s="87" t="n"/>
      <c r="KIC1" s="87" t="n"/>
      <c r="KID1" s="87" t="n"/>
      <c r="KIE1" s="87" t="n"/>
      <c r="KIF1" s="87" t="n"/>
      <c r="KIG1" s="87" t="n"/>
      <c r="KIH1" s="87" t="n"/>
      <c r="KII1" s="87" t="n"/>
      <c r="KIJ1" s="87" t="n"/>
      <c r="KIK1" s="87" t="n"/>
      <c r="KIL1" s="87" t="n"/>
      <c r="KIM1" s="87" t="n"/>
      <c r="KIN1" s="87" t="n"/>
      <c r="KIO1" s="87" t="n"/>
      <c r="KIP1" s="87" t="n"/>
      <c r="KIQ1" s="87" t="n"/>
      <c r="KIR1" s="87" t="n"/>
      <c r="KIS1" s="87" t="n"/>
      <c r="KIT1" s="87" t="n"/>
      <c r="KIU1" s="87" t="n"/>
      <c r="KIV1" s="87" t="n"/>
      <c r="KIW1" s="87" t="n"/>
      <c r="KIX1" s="87" t="n"/>
      <c r="KIY1" s="87" t="n"/>
      <c r="KIZ1" s="87" t="n"/>
      <c r="KJA1" s="87" t="n"/>
      <c r="KJB1" s="87" t="n"/>
      <c r="KJC1" s="87" t="n"/>
      <c r="KJD1" s="87" t="n"/>
      <c r="KJE1" s="87" t="n"/>
      <c r="KJF1" s="87" t="n"/>
      <c r="KJG1" s="87" t="n"/>
      <c r="KJH1" s="87" t="n"/>
      <c r="KJI1" s="87" t="n"/>
      <c r="KJJ1" s="87" t="n"/>
      <c r="KJK1" s="87" t="n"/>
      <c r="KJL1" s="87" t="n"/>
      <c r="KJM1" s="87" t="n"/>
      <c r="KJN1" s="87" t="n"/>
      <c r="KJO1" s="87" t="n"/>
      <c r="KJP1" s="87" t="n"/>
      <c r="KJQ1" s="87" t="n"/>
      <c r="KJR1" s="87" t="n"/>
      <c r="KJS1" s="87" t="n"/>
      <c r="KJT1" s="87" t="n"/>
      <c r="KJU1" s="87" t="n"/>
      <c r="KJV1" s="87" t="n"/>
      <c r="KJW1" s="87" t="n"/>
      <c r="KJX1" s="87" t="n"/>
      <c r="KJY1" s="87" t="n"/>
      <c r="KJZ1" s="87" t="n"/>
      <c r="KKA1" s="87" t="n"/>
      <c r="KKB1" s="87" t="n"/>
      <c r="KKC1" s="87" t="n"/>
      <c r="KKD1" s="87" t="n"/>
      <c r="KKE1" s="87" t="n"/>
      <c r="KKF1" s="87" t="n"/>
      <c r="KKG1" s="87" t="n"/>
      <c r="KKH1" s="87" t="n"/>
      <c r="KKI1" s="87" t="n"/>
      <c r="KKJ1" s="87" t="n"/>
      <c r="KKK1" s="87" t="n"/>
      <c r="KKL1" s="87" t="n"/>
      <c r="KKM1" s="87" t="n"/>
      <c r="KKN1" s="87" t="n"/>
      <c r="KKO1" s="87" t="n"/>
      <c r="KKP1" s="87" t="n"/>
      <c r="KKQ1" s="87" t="n"/>
      <c r="KKR1" s="87" t="n"/>
      <c r="KKS1" s="87" t="n"/>
      <c r="KKT1" s="87" t="n"/>
      <c r="KKU1" s="87" t="n"/>
      <c r="KKV1" s="87" t="n"/>
      <c r="KKW1" s="87" t="n"/>
      <c r="KKX1" s="87" t="n"/>
      <c r="KKY1" s="87" t="n"/>
      <c r="KKZ1" s="87" t="n"/>
      <c r="KLA1" s="87" t="n"/>
      <c r="KLB1" s="87" t="n"/>
      <c r="KLC1" s="87" t="n"/>
      <c r="KLD1" s="87" t="n"/>
      <c r="KLE1" s="87" t="n"/>
      <c r="KLF1" s="87" t="n"/>
      <c r="KLG1" s="87" t="n"/>
      <c r="KLH1" s="87" t="n"/>
      <c r="KLI1" s="87" t="n"/>
      <c r="KLJ1" s="87" t="n"/>
      <c r="KLK1" s="87" t="n"/>
      <c r="KLL1" s="87" t="n"/>
      <c r="KLM1" s="87" t="n"/>
      <c r="KLN1" s="87" t="n"/>
      <c r="KLO1" s="87" t="n"/>
      <c r="KLP1" s="87" t="n"/>
      <c r="KLQ1" s="87" t="n"/>
      <c r="KLR1" s="87" t="n"/>
      <c r="KLS1" s="87" t="n"/>
      <c r="KLT1" s="87" t="n"/>
      <c r="KLU1" s="87" t="n"/>
      <c r="KLV1" s="87" t="n"/>
      <c r="KLW1" s="87" t="n"/>
      <c r="KLX1" s="87" t="n"/>
      <c r="KLY1" s="87" t="n"/>
      <c r="KLZ1" s="87" t="n"/>
      <c r="KMA1" s="87" t="n"/>
      <c r="KMB1" s="87" t="n"/>
      <c r="KMC1" s="87" t="n"/>
      <c r="KMD1" s="87" t="n"/>
      <c r="KME1" s="87" t="n"/>
      <c r="KMF1" s="87" t="n"/>
      <c r="KMG1" s="87" t="n"/>
      <c r="KMH1" s="87" t="n"/>
      <c r="KMI1" s="87" t="n"/>
      <c r="KMJ1" s="87" t="n"/>
      <c r="KMK1" s="87" t="n"/>
      <c r="KML1" s="87" t="n"/>
      <c r="KMM1" s="87" t="n"/>
      <c r="KMN1" s="87" t="n"/>
      <c r="KMO1" s="87" t="n"/>
      <c r="KMP1" s="87" t="n"/>
      <c r="KMQ1" s="87" t="n"/>
      <c r="KMR1" s="87" t="n"/>
      <c r="KMS1" s="87" t="n"/>
      <c r="KMT1" s="87" t="n"/>
      <c r="KMU1" s="87" t="n"/>
      <c r="KMV1" s="87" t="n"/>
      <c r="KMW1" s="87" t="n"/>
      <c r="KMX1" s="87" t="n"/>
      <c r="KMY1" s="87" t="n"/>
      <c r="KMZ1" s="87" t="n"/>
      <c r="KNA1" s="87" t="n"/>
      <c r="KNB1" s="87" t="n"/>
      <c r="KNC1" s="87" t="n"/>
      <c r="KND1" s="87" t="n"/>
      <c r="KNE1" s="87" t="n"/>
      <c r="KNF1" s="87" t="n"/>
      <c r="KNG1" s="87" t="n"/>
      <c r="KNH1" s="87" t="n"/>
      <c r="KNI1" s="87" t="n"/>
      <c r="KNJ1" s="87" t="n"/>
      <c r="KNK1" s="87" t="n"/>
      <c r="KNL1" s="87" t="n"/>
      <c r="KNM1" s="87" t="n"/>
      <c r="KNN1" s="87" t="n"/>
      <c r="KNO1" s="87" t="n"/>
      <c r="KNP1" s="87" t="n"/>
      <c r="KNQ1" s="87" t="n"/>
      <c r="KNR1" s="87" t="n"/>
      <c r="KNS1" s="87" t="n"/>
      <c r="KNT1" s="87" t="n"/>
      <c r="KNU1" s="87" t="n"/>
      <c r="KNV1" s="87" t="n"/>
      <c r="KNW1" s="87" t="n"/>
      <c r="KNX1" s="87" t="n"/>
      <c r="KNY1" s="87" t="n"/>
      <c r="KNZ1" s="87" t="n"/>
      <c r="KOA1" s="87" t="n"/>
      <c r="KOB1" s="87" t="n"/>
      <c r="KOC1" s="87" t="n"/>
      <c r="KOD1" s="87" t="n"/>
      <c r="KOE1" s="87" t="n"/>
      <c r="KOF1" s="87" t="n"/>
      <c r="KOG1" s="87" t="n"/>
      <c r="KOH1" s="87" t="n"/>
      <c r="KOI1" s="87" t="n"/>
      <c r="KOJ1" s="87" t="n"/>
      <c r="KOK1" s="87" t="n"/>
      <c r="KOL1" s="87" t="n"/>
      <c r="KOM1" s="87" t="n"/>
      <c r="KON1" s="87" t="n"/>
      <c r="KOO1" s="87" t="n"/>
      <c r="KOP1" s="87" t="n"/>
      <c r="KOQ1" s="87" t="n"/>
      <c r="KOR1" s="87" t="n"/>
      <c r="KOS1" s="87" t="n"/>
      <c r="KOT1" s="87" t="n"/>
      <c r="KOU1" s="87" t="n"/>
      <c r="KOV1" s="87" t="n"/>
      <c r="KOW1" s="87" t="n"/>
      <c r="KOX1" s="87" t="n"/>
      <c r="KOY1" s="87" t="n"/>
      <c r="KOZ1" s="87" t="n"/>
      <c r="KPA1" s="87" t="n"/>
      <c r="KPB1" s="87" t="n"/>
      <c r="KPC1" s="87" t="n"/>
      <c r="KPD1" s="87" t="n"/>
      <c r="KPE1" s="87" t="n"/>
      <c r="KPF1" s="87" t="n"/>
      <c r="KPG1" s="87" t="n"/>
      <c r="KPH1" s="87" t="n"/>
      <c r="KPI1" s="87" t="n"/>
      <c r="KPJ1" s="87" t="n"/>
      <c r="KPK1" s="87" t="n"/>
      <c r="KPL1" s="87" t="n"/>
      <c r="KPM1" s="87" t="n"/>
      <c r="KPN1" s="87" t="n"/>
      <c r="KPO1" s="87" t="n"/>
      <c r="KPP1" s="87" t="n"/>
      <c r="KPQ1" s="87" t="n"/>
      <c r="KPR1" s="87" t="n"/>
      <c r="KPS1" s="87" t="n"/>
      <c r="KPT1" s="87" t="n"/>
      <c r="KPU1" s="87" t="n"/>
      <c r="KPV1" s="87" t="n"/>
      <c r="KPW1" s="87" t="n"/>
      <c r="KPX1" s="87" t="n"/>
      <c r="KPY1" s="87" t="n"/>
      <c r="KPZ1" s="87" t="n"/>
      <c r="KQA1" s="87" t="n"/>
      <c r="KQB1" s="87" t="n"/>
      <c r="KQC1" s="87" t="n"/>
      <c r="KQD1" s="87" t="n"/>
      <c r="KQE1" s="87" t="n"/>
      <c r="KQF1" s="87" t="n"/>
      <c r="KQG1" s="87" t="n"/>
      <c r="KQH1" s="87" t="n"/>
      <c r="KQI1" s="87" t="n"/>
      <c r="KQJ1" s="87" t="n"/>
      <c r="KQK1" s="87" t="n"/>
      <c r="KQL1" s="87" t="n"/>
      <c r="KQM1" s="87" t="n"/>
      <c r="KQN1" s="87" t="n"/>
      <c r="KQO1" s="87" t="n"/>
      <c r="KQP1" s="87" t="n"/>
      <c r="KQQ1" s="87" t="n"/>
      <c r="KQR1" s="87" t="n"/>
      <c r="KQS1" s="87" t="n"/>
      <c r="KQT1" s="87" t="n"/>
      <c r="KQU1" s="87" t="n"/>
      <c r="KQV1" s="87" t="n"/>
      <c r="KQW1" s="87" t="n"/>
      <c r="KQX1" s="87" t="n"/>
      <c r="KQY1" s="87" t="n"/>
      <c r="KQZ1" s="87" t="n"/>
      <c r="KRA1" s="87" t="n"/>
      <c r="KRB1" s="87" t="n"/>
      <c r="KRC1" s="87" t="n"/>
      <c r="KRD1" s="87" t="n"/>
      <c r="KRE1" s="87" t="n"/>
      <c r="KRF1" s="87" t="n"/>
      <c r="KRG1" s="87" t="n"/>
      <c r="KRH1" s="87" t="n"/>
      <c r="KRI1" s="87" t="n"/>
      <c r="KRJ1" s="87" t="n"/>
      <c r="KRK1" s="87" t="n"/>
      <c r="KRL1" s="87" t="n"/>
      <c r="KRM1" s="87" t="n"/>
      <c r="KRN1" s="87" t="n"/>
      <c r="KRO1" s="87" t="n"/>
      <c r="KRP1" s="87" t="n"/>
      <c r="KRQ1" s="87" t="n"/>
      <c r="KRR1" s="87" t="n"/>
      <c r="KRS1" s="87" t="n"/>
      <c r="KRT1" s="87" t="n"/>
      <c r="KRU1" s="87" t="n"/>
      <c r="KRV1" s="87" t="n"/>
      <c r="KRW1" s="87" t="n"/>
      <c r="KRX1" s="87" t="n"/>
      <c r="KRY1" s="87" t="n"/>
      <c r="KRZ1" s="87" t="n"/>
      <c r="KSA1" s="87" t="n"/>
      <c r="KSB1" s="87" t="n"/>
      <c r="KSC1" s="87" t="n"/>
      <c r="KSD1" s="87" t="n"/>
      <c r="KSE1" s="87" t="n"/>
      <c r="KSF1" s="87" t="n"/>
      <c r="KSG1" s="87" t="n"/>
      <c r="KSH1" s="87" t="n"/>
      <c r="KSI1" s="87" t="n"/>
      <c r="KSJ1" s="87" t="n"/>
      <c r="KSK1" s="87" t="n"/>
      <c r="KSL1" s="87" t="n"/>
      <c r="KSM1" s="87" t="n"/>
      <c r="KSN1" s="87" t="n"/>
      <c r="KSO1" s="87" t="n"/>
      <c r="KSP1" s="87" t="n"/>
      <c r="KSQ1" s="87" t="n"/>
      <c r="KSR1" s="87" t="n"/>
      <c r="KSS1" s="87" t="n"/>
      <c r="KST1" s="87" t="n"/>
      <c r="KSU1" s="87" t="n"/>
      <c r="KSV1" s="87" t="n"/>
      <c r="KSW1" s="87" t="n"/>
      <c r="KSX1" s="87" t="n"/>
      <c r="KSY1" s="87" t="n"/>
      <c r="KSZ1" s="87" t="n"/>
      <c r="KTA1" s="87" t="n"/>
      <c r="KTB1" s="87" t="n"/>
      <c r="KTC1" s="87" t="n"/>
      <c r="KTD1" s="87" t="n"/>
      <c r="KTE1" s="87" t="n"/>
      <c r="KTF1" s="87" t="n"/>
      <c r="KTG1" s="87" t="n"/>
      <c r="KTH1" s="87" t="n"/>
      <c r="KTI1" s="87" t="n"/>
      <c r="KTJ1" s="87" t="n"/>
      <c r="KTK1" s="87" t="n"/>
      <c r="KTL1" s="87" t="n"/>
      <c r="KTM1" s="87" t="n"/>
      <c r="KTN1" s="87" t="n"/>
      <c r="KTO1" s="87" t="n"/>
      <c r="KTP1" s="87" t="n"/>
      <c r="KTQ1" s="87" t="n"/>
      <c r="KTR1" s="87" t="n"/>
      <c r="KTS1" s="87" t="n"/>
      <c r="KTT1" s="87" t="n"/>
      <c r="KTU1" s="87" t="n"/>
      <c r="KTV1" s="87" t="n"/>
      <c r="KTW1" s="87" t="n"/>
      <c r="KTX1" s="87" t="n"/>
      <c r="KTY1" s="87" t="n"/>
      <c r="KTZ1" s="87" t="n"/>
      <c r="KUA1" s="87" t="n"/>
      <c r="KUB1" s="87" t="n"/>
      <c r="KUC1" s="87" t="n"/>
      <c r="KUD1" s="87" t="n"/>
      <c r="KUE1" s="87" t="n"/>
      <c r="KUF1" s="87" t="n"/>
      <c r="KUG1" s="87" t="n"/>
      <c r="KUH1" s="87" t="n"/>
      <c r="KUI1" s="87" t="n"/>
      <c r="KUJ1" s="87" t="n"/>
      <c r="KUK1" s="87" t="n"/>
      <c r="KUL1" s="87" t="n"/>
      <c r="KUM1" s="87" t="n"/>
      <c r="KUN1" s="87" t="n"/>
      <c r="KUO1" s="87" t="n"/>
      <c r="KUP1" s="87" t="n"/>
      <c r="KUQ1" s="87" t="n"/>
      <c r="KUR1" s="87" t="n"/>
      <c r="KUS1" s="87" t="n"/>
      <c r="KUT1" s="87" t="n"/>
      <c r="KUU1" s="87" t="n"/>
      <c r="KUV1" s="87" t="n"/>
      <c r="KUW1" s="87" t="n"/>
      <c r="KUX1" s="87" t="n"/>
      <c r="KUY1" s="87" t="n"/>
      <c r="KUZ1" s="87" t="n"/>
      <c r="KVA1" s="87" t="n"/>
      <c r="KVB1" s="87" t="n"/>
      <c r="KVC1" s="87" t="n"/>
      <c r="KVD1" s="87" t="n"/>
      <c r="KVE1" s="87" t="n"/>
      <c r="KVF1" s="87" t="n"/>
      <c r="KVG1" s="87" t="n"/>
      <c r="KVH1" s="87" t="n"/>
      <c r="KVI1" s="87" t="n"/>
      <c r="KVJ1" s="87" t="n"/>
      <c r="KVK1" s="87" t="n"/>
      <c r="KVL1" s="87" t="n"/>
      <c r="KVM1" s="87" t="n"/>
      <c r="KVN1" s="87" t="n"/>
      <c r="KVO1" s="87" t="n"/>
      <c r="KVP1" s="87" t="n"/>
      <c r="KVQ1" s="87" t="n"/>
      <c r="KVR1" s="87" t="n"/>
      <c r="KVS1" s="87" t="n"/>
      <c r="KVT1" s="87" t="n"/>
      <c r="KVU1" s="87" t="n"/>
      <c r="KVV1" s="87" t="n"/>
      <c r="KVW1" s="87" t="n"/>
      <c r="KVX1" s="87" t="n"/>
      <c r="KVY1" s="87" t="n"/>
      <c r="KVZ1" s="87" t="n"/>
      <c r="KWA1" s="87" t="n"/>
      <c r="KWB1" s="87" t="n"/>
      <c r="KWC1" s="87" t="n"/>
      <c r="KWD1" s="87" t="n"/>
      <c r="KWE1" s="87" t="n"/>
      <c r="KWF1" s="87" t="n"/>
      <c r="KWG1" s="87" t="n"/>
      <c r="KWH1" s="87" t="n"/>
      <c r="KWI1" s="87" t="n"/>
      <c r="KWJ1" s="87" t="n"/>
      <c r="KWK1" s="87" t="n"/>
      <c r="KWL1" s="87" t="n"/>
      <c r="KWM1" s="87" t="n"/>
      <c r="KWN1" s="87" t="n"/>
      <c r="KWO1" s="87" t="n"/>
      <c r="KWP1" s="87" t="n"/>
      <c r="KWQ1" s="87" t="n"/>
      <c r="KWR1" s="87" t="n"/>
      <c r="KWS1" s="87" t="n"/>
      <c r="KWT1" s="87" t="n"/>
      <c r="KWU1" s="87" t="n"/>
      <c r="KWV1" s="87" t="n"/>
      <c r="KWW1" s="87" t="n"/>
      <c r="KWX1" s="87" t="n"/>
      <c r="KWY1" s="87" t="n"/>
      <c r="KWZ1" s="87" t="n"/>
      <c r="KXA1" s="87" t="n"/>
      <c r="KXB1" s="87" t="n"/>
      <c r="KXC1" s="87" t="n"/>
      <c r="KXD1" s="87" t="n"/>
      <c r="KXE1" s="87" t="n"/>
      <c r="KXF1" s="87" t="n"/>
      <c r="KXG1" s="87" t="n"/>
      <c r="KXH1" s="87" t="n"/>
      <c r="KXI1" s="87" t="n"/>
      <c r="KXJ1" s="87" t="n"/>
      <c r="KXK1" s="87" t="n"/>
      <c r="KXL1" s="87" t="n"/>
      <c r="KXM1" s="87" t="n"/>
      <c r="KXN1" s="87" t="n"/>
      <c r="KXO1" s="87" t="n"/>
      <c r="KXP1" s="87" t="n"/>
      <c r="KXQ1" s="87" t="n"/>
      <c r="KXR1" s="87" t="n"/>
      <c r="KXS1" s="87" t="n"/>
      <c r="KXT1" s="87" t="n"/>
      <c r="KXU1" s="87" t="n"/>
      <c r="KXV1" s="87" t="n"/>
      <c r="KXW1" s="87" t="n"/>
      <c r="KXX1" s="87" t="n"/>
      <c r="KXY1" s="87" t="n"/>
      <c r="KXZ1" s="87" t="n"/>
      <c r="KYA1" s="87" t="n"/>
      <c r="KYB1" s="87" t="n"/>
      <c r="KYC1" s="87" t="n"/>
      <c r="KYD1" s="87" t="n"/>
      <c r="KYE1" s="87" t="n"/>
      <c r="KYF1" s="87" t="n"/>
      <c r="KYG1" s="87" t="n"/>
      <c r="KYH1" s="87" t="n"/>
      <c r="KYI1" s="87" t="n"/>
      <c r="KYJ1" s="87" t="n"/>
      <c r="KYK1" s="87" t="n"/>
      <c r="KYL1" s="87" t="n"/>
      <c r="KYM1" s="87" t="n"/>
      <c r="KYN1" s="87" t="n"/>
      <c r="KYO1" s="87" t="n"/>
      <c r="KYP1" s="87" t="n"/>
      <c r="KYQ1" s="87" t="n"/>
      <c r="KYR1" s="87" t="n"/>
      <c r="KYS1" s="87" t="n"/>
      <c r="KYT1" s="87" t="n"/>
      <c r="KYU1" s="87" t="n"/>
      <c r="KYV1" s="87" t="n"/>
      <c r="KYW1" s="87" t="n"/>
      <c r="KYX1" s="87" t="n"/>
      <c r="KYY1" s="87" t="n"/>
      <c r="KYZ1" s="87" t="n"/>
      <c r="KZA1" s="87" t="n"/>
      <c r="KZB1" s="87" t="n"/>
      <c r="KZC1" s="87" t="n"/>
      <c r="KZD1" s="87" t="n"/>
      <c r="KZE1" s="87" t="n"/>
      <c r="KZF1" s="87" t="n"/>
      <c r="KZG1" s="87" t="n"/>
      <c r="KZH1" s="87" t="n"/>
      <c r="KZI1" s="87" t="n"/>
      <c r="KZJ1" s="87" t="n"/>
      <c r="KZK1" s="87" t="n"/>
      <c r="KZL1" s="87" t="n"/>
      <c r="KZM1" s="87" t="n"/>
      <c r="KZN1" s="87" t="n"/>
      <c r="KZO1" s="87" t="n"/>
      <c r="KZP1" s="87" t="n"/>
      <c r="KZQ1" s="87" t="n"/>
      <c r="KZR1" s="87" t="n"/>
      <c r="KZS1" s="87" t="n"/>
      <c r="KZT1" s="87" t="n"/>
      <c r="KZU1" s="87" t="n"/>
      <c r="KZV1" s="87" t="n"/>
      <c r="KZW1" s="87" t="n"/>
      <c r="KZX1" s="87" t="n"/>
      <c r="KZY1" s="87" t="n"/>
      <c r="KZZ1" s="87" t="n"/>
      <c r="LAA1" s="87" t="n"/>
      <c r="LAB1" s="87" t="n"/>
      <c r="LAC1" s="87" t="n"/>
      <c r="LAD1" s="87" t="n"/>
      <c r="LAE1" s="87" t="n"/>
      <c r="LAF1" s="87" t="n"/>
      <c r="LAG1" s="87" t="n"/>
      <c r="LAH1" s="87" t="n"/>
      <c r="LAI1" s="87" t="n"/>
      <c r="LAJ1" s="87" t="n"/>
      <c r="LAK1" s="87" t="n"/>
      <c r="LAL1" s="87" t="n"/>
      <c r="LAM1" s="87" t="n"/>
      <c r="LAN1" s="87" t="n"/>
      <c r="LAO1" s="87" t="n"/>
      <c r="LAP1" s="87" t="n"/>
      <c r="LAQ1" s="87" t="n"/>
      <c r="LAR1" s="87" t="n"/>
      <c r="LAS1" s="87" t="n"/>
      <c r="LAT1" s="87" t="n"/>
      <c r="LAU1" s="87" t="n"/>
      <c r="LAV1" s="87" t="n"/>
      <c r="LAW1" s="87" t="n"/>
      <c r="LAX1" s="87" t="n"/>
      <c r="LAY1" s="87" t="n"/>
      <c r="LAZ1" s="87" t="n"/>
      <c r="LBA1" s="87" t="n"/>
      <c r="LBB1" s="87" t="n"/>
      <c r="LBC1" s="87" t="n"/>
      <c r="LBD1" s="87" t="n"/>
      <c r="LBE1" s="87" t="n"/>
      <c r="LBF1" s="87" t="n"/>
      <c r="LBG1" s="87" t="n"/>
      <c r="LBH1" s="87" t="n"/>
      <c r="LBI1" s="87" t="n"/>
      <c r="LBJ1" s="87" t="n"/>
      <c r="LBK1" s="87" t="n"/>
      <c r="LBL1" s="87" t="n"/>
      <c r="LBM1" s="87" t="n"/>
      <c r="LBN1" s="87" t="n"/>
      <c r="LBO1" s="87" t="n"/>
      <c r="LBP1" s="87" t="n"/>
      <c r="LBQ1" s="87" t="n"/>
      <c r="LBR1" s="87" t="n"/>
      <c r="LBS1" s="87" t="n"/>
      <c r="LBT1" s="87" t="n"/>
      <c r="LBU1" s="87" t="n"/>
      <c r="LBV1" s="87" t="n"/>
      <c r="LBW1" s="87" t="n"/>
      <c r="LBX1" s="87" t="n"/>
      <c r="LBY1" s="87" t="n"/>
      <c r="LBZ1" s="87" t="n"/>
      <c r="LCA1" s="87" t="n"/>
      <c r="LCB1" s="87" t="n"/>
      <c r="LCC1" s="87" t="n"/>
      <c r="LCD1" s="87" t="n"/>
      <c r="LCE1" s="87" t="n"/>
      <c r="LCF1" s="87" t="n"/>
      <c r="LCG1" s="87" t="n"/>
      <c r="LCH1" s="87" t="n"/>
      <c r="LCI1" s="87" t="n"/>
      <c r="LCJ1" s="87" t="n"/>
      <c r="LCK1" s="87" t="n"/>
      <c r="LCL1" s="87" t="n"/>
      <c r="LCM1" s="87" t="n"/>
      <c r="LCN1" s="87" t="n"/>
      <c r="LCO1" s="87" t="n"/>
      <c r="LCP1" s="87" t="n"/>
      <c r="LCQ1" s="87" t="n"/>
      <c r="LCR1" s="87" t="n"/>
      <c r="LCS1" s="87" t="n"/>
      <c r="LCT1" s="87" t="n"/>
      <c r="LCU1" s="87" t="n"/>
      <c r="LCV1" s="87" t="n"/>
      <c r="LCW1" s="87" t="n"/>
      <c r="LCX1" s="87" t="n"/>
      <c r="LCY1" s="87" t="n"/>
      <c r="LCZ1" s="87" t="n"/>
      <c r="LDA1" s="87" t="n"/>
      <c r="LDB1" s="87" t="n"/>
      <c r="LDC1" s="87" t="n"/>
      <c r="LDD1" s="87" t="n"/>
      <c r="LDE1" s="87" t="n"/>
      <c r="LDF1" s="87" t="n"/>
      <c r="LDG1" s="87" t="n"/>
      <c r="LDH1" s="87" t="n"/>
      <c r="LDI1" s="87" t="n"/>
      <c r="LDJ1" s="87" t="n"/>
      <c r="LDK1" s="87" t="n"/>
      <c r="LDL1" s="87" t="n"/>
      <c r="LDM1" s="87" t="n"/>
      <c r="LDN1" s="87" t="n"/>
      <c r="LDO1" s="87" t="n"/>
      <c r="LDP1" s="87" t="n"/>
      <c r="LDQ1" s="87" t="n"/>
      <c r="LDR1" s="87" t="n"/>
      <c r="LDS1" s="87" t="n"/>
      <c r="LDT1" s="87" t="n"/>
      <c r="LDU1" s="87" t="n"/>
      <c r="LDV1" s="87" t="n"/>
      <c r="LDW1" s="87" t="n"/>
      <c r="LDX1" s="87" t="n"/>
      <c r="LDY1" s="87" t="n"/>
      <c r="LDZ1" s="87" t="n"/>
      <c r="LEA1" s="87" t="n"/>
      <c r="LEB1" s="87" t="n"/>
      <c r="LEC1" s="87" t="n"/>
      <c r="LED1" s="87" t="n"/>
      <c r="LEE1" s="87" t="n"/>
      <c r="LEF1" s="87" t="n"/>
      <c r="LEG1" s="87" t="n"/>
      <c r="LEH1" s="87" t="n"/>
      <c r="LEI1" s="87" t="n"/>
      <c r="LEJ1" s="87" t="n"/>
      <c r="LEK1" s="87" t="n"/>
      <c r="LEL1" s="87" t="n"/>
      <c r="LEM1" s="87" t="n"/>
      <c r="LEN1" s="87" t="n"/>
      <c r="LEO1" s="87" t="n"/>
      <c r="LEP1" s="87" t="n"/>
      <c r="LEQ1" s="87" t="n"/>
      <c r="LER1" s="87" t="n"/>
      <c r="LES1" s="87" t="n"/>
      <c r="LET1" s="87" t="n"/>
      <c r="LEU1" s="87" t="n"/>
      <c r="LEV1" s="87" t="n"/>
      <c r="LEW1" s="87" t="n"/>
      <c r="LEX1" s="87" t="n"/>
      <c r="LEY1" s="87" t="n"/>
      <c r="LEZ1" s="87" t="n"/>
      <c r="LFA1" s="87" t="n"/>
      <c r="LFB1" s="87" t="n"/>
      <c r="LFC1" s="87" t="n"/>
      <c r="LFD1" s="87" t="n"/>
      <c r="LFE1" s="87" t="n"/>
      <c r="LFF1" s="87" t="n"/>
      <c r="LFG1" s="87" t="n"/>
      <c r="LFH1" s="87" t="n"/>
      <c r="LFI1" s="87" t="n"/>
      <c r="LFJ1" s="87" t="n"/>
      <c r="LFK1" s="87" t="n"/>
      <c r="LFL1" s="87" t="n"/>
      <c r="LFM1" s="87" t="n"/>
      <c r="LFN1" s="87" t="n"/>
      <c r="LFO1" s="87" t="n"/>
      <c r="LFP1" s="87" t="n"/>
      <c r="LFQ1" s="87" t="n"/>
      <c r="LFR1" s="87" t="n"/>
      <c r="LFS1" s="87" t="n"/>
      <c r="LFT1" s="87" t="n"/>
      <c r="LFU1" s="87" t="n"/>
      <c r="LFV1" s="87" t="n"/>
      <c r="LFW1" s="87" t="n"/>
      <c r="LFX1" s="87" t="n"/>
      <c r="LFY1" s="87" t="n"/>
      <c r="LFZ1" s="87" t="n"/>
      <c r="LGA1" s="87" t="n"/>
      <c r="LGB1" s="87" t="n"/>
      <c r="LGC1" s="87" t="n"/>
      <c r="LGD1" s="87" t="n"/>
      <c r="LGE1" s="87" t="n"/>
      <c r="LGF1" s="87" t="n"/>
      <c r="LGG1" s="87" t="n"/>
      <c r="LGH1" s="87" t="n"/>
      <c r="LGI1" s="87" t="n"/>
      <c r="LGJ1" s="87" t="n"/>
      <c r="LGK1" s="87" t="n"/>
      <c r="LGL1" s="87" t="n"/>
      <c r="LGM1" s="87" t="n"/>
      <c r="LGN1" s="87" t="n"/>
      <c r="LGO1" s="87" t="n"/>
      <c r="LGP1" s="87" t="n"/>
      <c r="LGQ1" s="87" t="n"/>
      <c r="LGR1" s="87" t="n"/>
      <c r="LGS1" s="87" t="n"/>
      <c r="LGT1" s="87" t="n"/>
      <c r="LGU1" s="87" t="n"/>
      <c r="LGV1" s="87" t="n"/>
      <c r="LGW1" s="87" t="n"/>
      <c r="LGX1" s="87" t="n"/>
      <c r="LGY1" s="87" t="n"/>
      <c r="LGZ1" s="87" t="n"/>
      <c r="LHA1" s="87" t="n"/>
      <c r="LHB1" s="87" t="n"/>
      <c r="LHC1" s="87" t="n"/>
      <c r="LHD1" s="87" t="n"/>
      <c r="LHE1" s="87" t="n"/>
      <c r="LHF1" s="87" t="n"/>
      <c r="LHG1" s="87" t="n"/>
      <c r="LHH1" s="87" t="n"/>
      <c r="LHI1" s="87" t="n"/>
      <c r="LHJ1" s="87" t="n"/>
      <c r="LHK1" s="87" t="n"/>
      <c r="LHL1" s="87" t="n"/>
      <c r="LHM1" s="87" t="n"/>
      <c r="LHN1" s="87" t="n"/>
      <c r="LHO1" s="87" t="n"/>
      <c r="LHP1" s="87" t="n"/>
      <c r="LHQ1" s="87" t="n"/>
      <c r="LHR1" s="87" t="n"/>
      <c r="LHS1" s="87" t="n"/>
      <c r="LHT1" s="87" t="n"/>
      <c r="LHU1" s="87" t="n"/>
      <c r="LHV1" s="87" t="n"/>
      <c r="LHW1" s="87" t="n"/>
      <c r="LHX1" s="87" t="n"/>
      <c r="LHY1" s="87" t="n"/>
      <c r="LHZ1" s="87" t="n"/>
      <c r="LIA1" s="87" t="n"/>
      <c r="LIB1" s="87" t="n"/>
      <c r="LIC1" s="87" t="n"/>
      <c r="LID1" s="87" t="n"/>
      <c r="LIE1" s="87" t="n"/>
      <c r="LIF1" s="87" t="n"/>
      <c r="LIG1" s="87" t="n"/>
      <c r="LIH1" s="87" t="n"/>
      <c r="LII1" s="87" t="n"/>
      <c r="LIJ1" s="87" t="n"/>
      <c r="LIK1" s="87" t="n"/>
      <c r="LIL1" s="87" t="n"/>
      <c r="LIM1" s="87" t="n"/>
      <c r="LIN1" s="87" t="n"/>
      <c r="LIO1" s="87" t="n"/>
      <c r="LIP1" s="87" t="n"/>
      <c r="LIQ1" s="87" t="n"/>
      <c r="LIR1" s="87" t="n"/>
      <c r="LIS1" s="87" t="n"/>
      <c r="LIT1" s="87" t="n"/>
      <c r="LIU1" s="87" t="n"/>
      <c r="LIV1" s="87" t="n"/>
      <c r="LIW1" s="87" t="n"/>
      <c r="LIX1" s="87" t="n"/>
      <c r="LIY1" s="87" t="n"/>
      <c r="LIZ1" s="87" t="n"/>
      <c r="LJA1" s="87" t="n"/>
      <c r="LJB1" s="87" t="n"/>
      <c r="LJC1" s="87" t="n"/>
      <c r="LJD1" s="87" t="n"/>
      <c r="LJE1" s="87" t="n"/>
      <c r="LJF1" s="87" t="n"/>
      <c r="LJG1" s="87" t="n"/>
      <c r="LJH1" s="87" t="n"/>
      <c r="LJI1" s="87" t="n"/>
      <c r="LJJ1" s="87" t="n"/>
      <c r="LJK1" s="87" t="n"/>
      <c r="LJL1" s="87" t="n"/>
      <c r="LJM1" s="87" t="n"/>
      <c r="LJN1" s="87" t="n"/>
      <c r="LJO1" s="87" t="n"/>
      <c r="LJP1" s="87" t="n"/>
      <c r="LJQ1" s="87" t="n"/>
      <c r="LJR1" s="87" t="n"/>
      <c r="LJS1" s="87" t="n"/>
      <c r="LJT1" s="87" t="n"/>
      <c r="LJU1" s="87" t="n"/>
      <c r="LJV1" s="87" t="n"/>
      <c r="LJW1" s="87" t="n"/>
      <c r="LJX1" s="87" t="n"/>
      <c r="LJY1" s="87" t="n"/>
      <c r="LJZ1" s="87" t="n"/>
      <c r="LKA1" s="87" t="n"/>
      <c r="LKB1" s="87" t="n"/>
      <c r="LKC1" s="87" t="n"/>
      <c r="LKD1" s="87" t="n"/>
      <c r="LKE1" s="87" t="n"/>
      <c r="LKF1" s="87" t="n"/>
      <c r="LKG1" s="87" t="n"/>
      <c r="LKH1" s="87" t="n"/>
      <c r="LKI1" s="87" t="n"/>
      <c r="LKJ1" s="87" t="n"/>
      <c r="LKK1" s="87" t="n"/>
      <c r="LKL1" s="87" t="n"/>
      <c r="LKM1" s="87" t="n"/>
      <c r="LKN1" s="87" t="n"/>
      <c r="LKO1" s="87" t="n"/>
      <c r="LKP1" s="87" t="n"/>
      <c r="LKQ1" s="87" t="n"/>
      <c r="LKR1" s="87" t="n"/>
      <c r="LKS1" s="87" t="n"/>
      <c r="LKT1" s="87" t="n"/>
      <c r="LKU1" s="87" t="n"/>
      <c r="LKV1" s="87" t="n"/>
      <c r="LKW1" s="87" t="n"/>
      <c r="LKX1" s="87" t="n"/>
      <c r="LKY1" s="87" t="n"/>
      <c r="LKZ1" s="87" t="n"/>
      <c r="LLA1" s="87" t="n"/>
      <c r="LLB1" s="87" t="n"/>
      <c r="LLC1" s="87" t="n"/>
      <c r="LLD1" s="87" t="n"/>
      <c r="LLE1" s="87" t="n"/>
      <c r="LLF1" s="87" t="n"/>
      <c r="LLG1" s="87" t="n"/>
      <c r="LLH1" s="87" t="n"/>
      <c r="LLI1" s="87" t="n"/>
      <c r="LLJ1" s="87" t="n"/>
      <c r="LLK1" s="87" t="n"/>
      <c r="LLL1" s="87" t="n"/>
      <c r="LLM1" s="87" t="n"/>
      <c r="LLN1" s="87" t="n"/>
      <c r="LLO1" s="87" t="n"/>
      <c r="LLP1" s="87" t="n"/>
      <c r="LLQ1" s="87" t="n"/>
      <c r="LLR1" s="87" t="n"/>
      <c r="LLS1" s="87" t="n"/>
      <c r="LLT1" s="87" t="n"/>
      <c r="LLU1" s="87" t="n"/>
      <c r="LLV1" s="87" t="n"/>
      <c r="LLW1" s="87" t="n"/>
      <c r="LLX1" s="87" t="n"/>
      <c r="LLY1" s="87" t="n"/>
      <c r="LLZ1" s="87" t="n"/>
      <c r="LMA1" s="87" t="n"/>
      <c r="LMB1" s="87" t="n"/>
      <c r="LMC1" s="87" t="n"/>
      <c r="LMD1" s="87" t="n"/>
      <c r="LME1" s="87" t="n"/>
      <c r="LMF1" s="87" t="n"/>
      <c r="LMG1" s="87" t="n"/>
      <c r="LMH1" s="87" t="n"/>
      <c r="LMI1" s="87" t="n"/>
      <c r="LMJ1" s="87" t="n"/>
      <c r="LMK1" s="87" t="n"/>
      <c r="LML1" s="87" t="n"/>
      <c r="LMM1" s="87" t="n"/>
      <c r="LMN1" s="87" t="n"/>
      <c r="LMO1" s="87" t="n"/>
      <c r="LMP1" s="87" t="n"/>
      <c r="LMQ1" s="87" t="n"/>
      <c r="LMR1" s="87" t="n"/>
      <c r="LMS1" s="87" t="n"/>
      <c r="LMT1" s="87" t="n"/>
      <c r="LMU1" s="87" t="n"/>
      <c r="LMV1" s="87" t="n"/>
      <c r="LMW1" s="87" t="n"/>
      <c r="LMX1" s="87" t="n"/>
      <c r="LMY1" s="87" t="n"/>
      <c r="LMZ1" s="87" t="n"/>
      <c r="LNA1" s="87" t="n"/>
      <c r="LNB1" s="87" t="n"/>
      <c r="LNC1" s="87" t="n"/>
      <c r="LND1" s="87" t="n"/>
      <c r="LNE1" s="87" t="n"/>
      <c r="LNF1" s="87" t="n"/>
      <c r="LNG1" s="87" t="n"/>
      <c r="LNH1" s="87" t="n"/>
      <c r="LNI1" s="87" t="n"/>
      <c r="LNJ1" s="87" t="n"/>
      <c r="LNK1" s="87" t="n"/>
      <c r="LNL1" s="87" t="n"/>
      <c r="LNM1" s="87" t="n"/>
      <c r="LNN1" s="87" t="n"/>
      <c r="LNO1" s="87" t="n"/>
      <c r="LNP1" s="87" t="n"/>
      <c r="LNQ1" s="87" t="n"/>
      <c r="LNR1" s="87" t="n"/>
      <c r="LNS1" s="87" t="n"/>
      <c r="LNT1" s="87" t="n"/>
      <c r="LNU1" s="87" t="n"/>
      <c r="LNV1" s="87" t="n"/>
      <c r="LNW1" s="87" t="n"/>
      <c r="LNX1" s="87" t="n"/>
      <c r="LNY1" s="87" t="n"/>
      <c r="LNZ1" s="87" t="n"/>
      <c r="LOA1" s="87" t="n"/>
      <c r="LOB1" s="87" t="n"/>
      <c r="LOC1" s="87" t="n"/>
      <c r="LOD1" s="87" t="n"/>
      <c r="LOE1" s="87" t="n"/>
      <c r="LOF1" s="87" t="n"/>
      <c r="LOG1" s="87" t="n"/>
      <c r="LOH1" s="87" t="n"/>
      <c r="LOI1" s="87" t="n"/>
      <c r="LOJ1" s="87" t="n"/>
      <c r="LOK1" s="87" t="n"/>
      <c r="LOL1" s="87" t="n"/>
      <c r="LOM1" s="87" t="n"/>
      <c r="LON1" s="87" t="n"/>
      <c r="LOO1" s="87" t="n"/>
      <c r="LOP1" s="87" t="n"/>
      <c r="LOQ1" s="87" t="n"/>
      <c r="LOR1" s="87" t="n"/>
      <c r="LOS1" s="87" t="n"/>
      <c r="LOT1" s="87" t="n"/>
      <c r="LOU1" s="87" t="n"/>
      <c r="LOV1" s="87" t="n"/>
      <c r="LOW1" s="87" t="n"/>
      <c r="LOX1" s="87" t="n"/>
      <c r="LOY1" s="87" t="n"/>
      <c r="LOZ1" s="87" t="n"/>
      <c r="LPA1" s="87" t="n"/>
      <c r="LPB1" s="87" t="n"/>
      <c r="LPC1" s="87" t="n"/>
      <c r="LPD1" s="87" t="n"/>
      <c r="LPE1" s="87" t="n"/>
      <c r="LPF1" s="87" t="n"/>
      <c r="LPG1" s="87" t="n"/>
      <c r="LPH1" s="87" t="n"/>
      <c r="LPI1" s="87" t="n"/>
      <c r="LPJ1" s="87" t="n"/>
      <c r="LPK1" s="87" t="n"/>
      <c r="LPL1" s="87" t="n"/>
      <c r="LPM1" s="87" t="n"/>
      <c r="LPN1" s="87" t="n"/>
      <c r="LPO1" s="87" t="n"/>
      <c r="LPP1" s="87" t="n"/>
      <c r="LPQ1" s="87" t="n"/>
      <c r="LPR1" s="87" t="n"/>
      <c r="LPS1" s="87" t="n"/>
      <c r="LPT1" s="87" t="n"/>
      <c r="LPU1" s="87" t="n"/>
      <c r="LPV1" s="87" t="n"/>
      <c r="LPW1" s="87" t="n"/>
      <c r="LPX1" s="87" t="n"/>
      <c r="LPY1" s="87" t="n"/>
      <c r="LPZ1" s="87" t="n"/>
      <c r="LQA1" s="87" t="n"/>
      <c r="LQB1" s="87" t="n"/>
      <c r="LQC1" s="87" t="n"/>
      <c r="LQD1" s="87" t="n"/>
      <c r="LQE1" s="87" t="n"/>
      <c r="LQF1" s="87" t="n"/>
      <c r="LQG1" s="87" t="n"/>
      <c r="LQH1" s="87" t="n"/>
      <c r="LQI1" s="87" t="n"/>
      <c r="LQJ1" s="87" t="n"/>
      <c r="LQK1" s="87" t="n"/>
      <c r="LQL1" s="87" t="n"/>
      <c r="LQM1" s="87" t="n"/>
      <c r="LQN1" s="87" t="n"/>
      <c r="LQO1" s="87" t="n"/>
      <c r="LQP1" s="87" t="n"/>
      <c r="LQQ1" s="87" t="n"/>
      <c r="LQR1" s="87" t="n"/>
      <c r="LQS1" s="87" t="n"/>
      <c r="LQT1" s="87" t="n"/>
      <c r="LQU1" s="87" t="n"/>
      <c r="LQV1" s="87" t="n"/>
      <c r="LQW1" s="87" t="n"/>
      <c r="LQX1" s="87" t="n"/>
      <c r="LQY1" s="87" t="n"/>
      <c r="LQZ1" s="87" t="n"/>
      <c r="LRA1" s="87" t="n"/>
      <c r="LRB1" s="87" t="n"/>
      <c r="LRC1" s="87" t="n"/>
      <c r="LRD1" s="87" t="n"/>
      <c r="LRE1" s="87" t="n"/>
      <c r="LRF1" s="87" t="n"/>
      <c r="LRG1" s="87" t="n"/>
      <c r="LRH1" s="87" t="n"/>
      <c r="LRI1" s="87" t="n"/>
      <c r="LRJ1" s="87" t="n"/>
      <c r="LRK1" s="87" t="n"/>
      <c r="LRL1" s="87" t="n"/>
      <c r="LRM1" s="87" t="n"/>
      <c r="LRN1" s="87" t="n"/>
      <c r="LRO1" s="87" t="n"/>
      <c r="LRP1" s="87" t="n"/>
      <c r="LRQ1" s="87" t="n"/>
      <c r="LRR1" s="87" t="n"/>
      <c r="LRS1" s="87" t="n"/>
      <c r="LRT1" s="87" t="n"/>
      <c r="LRU1" s="87" t="n"/>
      <c r="LRV1" s="87" t="n"/>
      <c r="LRW1" s="87" t="n"/>
      <c r="LRX1" s="87" t="n"/>
      <c r="LRY1" s="87" t="n"/>
      <c r="LRZ1" s="87" t="n"/>
      <c r="LSA1" s="87" t="n"/>
      <c r="LSB1" s="87" t="n"/>
      <c r="LSC1" s="87" t="n"/>
      <c r="LSD1" s="87" t="n"/>
      <c r="LSE1" s="87" t="n"/>
      <c r="LSF1" s="87" t="n"/>
      <c r="LSG1" s="87" t="n"/>
      <c r="LSH1" s="87" t="n"/>
      <c r="LSI1" s="87" t="n"/>
      <c r="LSJ1" s="87" t="n"/>
      <c r="LSK1" s="87" t="n"/>
      <c r="LSL1" s="87" t="n"/>
      <c r="LSM1" s="87" t="n"/>
      <c r="LSN1" s="87" t="n"/>
      <c r="LSO1" s="87" t="n"/>
      <c r="LSP1" s="87" t="n"/>
      <c r="LSQ1" s="87" t="n"/>
      <c r="LSR1" s="87" t="n"/>
      <c r="LSS1" s="87" t="n"/>
      <c r="LST1" s="87" t="n"/>
      <c r="LSU1" s="87" t="n"/>
      <c r="LSV1" s="87" t="n"/>
      <c r="LSW1" s="87" t="n"/>
      <c r="LSX1" s="87" t="n"/>
      <c r="LSY1" s="87" t="n"/>
      <c r="LSZ1" s="87" t="n"/>
      <c r="LTA1" s="87" t="n"/>
      <c r="LTB1" s="87" t="n"/>
      <c r="LTC1" s="87" t="n"/>
      <c r="LTD1" s="87" t="n"/>
      <c r="LTE1" s="87" t="n"/>
      <c r="LTF1" s="87" t="n"/>
      <c r="LTG1" s="87" t="n"/>
      <c r="LTH1" s="87" t="n"/>
      <c r="LTI1" s="87" t="n"/>
      <c r="LTJ1" s="87" t="n"/>
      <c r="LTK1" s="87" t="n"/>
      <c r="LTL1" s="87" t="n"/>
      <c r="LTM1" s="87" t="n"/>
      <c r="LTN1" s="87" t="n"/>
      <c r="LTO1" s="87" t="n"/>
      <c r="LTP1" s="87" t="n"/>
      <c r="LTQ1" s="87" t="n"/>
      <c r="LTR1" s="87" t="n"/>
      <c r="LTS1" s="87" t="n"/>
      <c r="LTT1" s="87" t="n"/>
      <c r="LTU1" s="87" t="n"/>
      <c r="LTV1" s="87" t="n"/>
      <c r="LTW1" s="87" t="n"/>
      <c r="LTX1" s="87" t="n"/>
      <c r="LTY1" s="87" t="n"/>
      <c r="LTZ1" s="87" t="n"/>
      <c r="LUA1" s="87" t="n"/>
      <c r="LUB1" s="87" t="n"/>
      <c r="LUC1" s="87" t="n"/>
      <c r="LUD1" s="87" t="n"/>
      <c r="LUE1" s="87" t="n"/>
      <c r="LUF1" s="87" t="n"/>
      <c r="LUG1" s="87" t="n"/>
      <c r="LUH1" s="87" t="n"/>
      <c r="LUI1" s="87" t="n"/>
      <c r="LUJ1" s="87" t="n"/>
      <c r="LUK1" s="87" t="n"/>
      <c r="LUL1" s="87" t="n"/>
      <c r="LUM1" s="87" t="n"/>
      <c r="LUN1" s="87" t="n"/>
      <c r="LUO1" s="87" t="n"/>
      <c r="LUP1" s="87" t="n"/>
      <c r="LUQ1" s="87" t="n"/>
      <c r="LUR1" s="87" t="n"/>
      <c r="LUS1" s="87" t="n"/>
      <c r="LUT1" s="87" t="n"/>
      <c r="LUU1" s="87" t="n"/>
      <c r="LUV1" s="87" t="n"/>
      <c r="LUW1" s="87" t="n"/>
      <c r="LUX1" s="87" t="n"/>
      <c r="LUY1" s="87" t="n"/>
      <c r="LUZ1" s="87" t="n"/>
      <c r="LVA1" s="87" t="n"/>
      <c r="LVB1" s="87" t="n"/>
      <c r="LVC1" s="87" t="n"/>
      <c r="LVD1" s="87" t="n"/>
      <c r="LVE1" s="87" t="n"/>
      <c r="LVF1" s="87" t="n"/>
      <c r="LVG1" s="87" t="n"/>
      <c r="LVH1" s="87" t="n"/>
      <c r="LVI1" s="87" t="n"/>
      <c r="LVJ1" s="87" t="n"/>
      <c r="LVK1" s="87" t="n"/>
      <c r="LVL1" s="87" t="n"/>
      <c r="LVM1" s="87" t="n"/>
      <c r="LVN1" s="87" t="n"/>
      <c r="LVO1" s="87" t="n"/>
      <c r="LVP1" s="87" t="n"/>
      <c r="LVQ1" s="87" t="n"/>
      <c r="LVR1" s="87" t="n"/>
      <c r="LVS1" s="87" t="n"/>
      <c r="LVT1" s="87" t="n"/>
      <c r="LVU1" s="87" t="n"/>
      <c r="LVV1" s="87" t="n"/>
      <c r="LVW1" s="87" t="n"/>
      <c r="LVX1" s="87" t="n"/>
      <c r="LVY1" s="87" t="n"/>
      <c r="LVZ1" s="87" t="n"/>
      <c r="LWA1" s="87" t="n"/>
      <c r="LWB1" s="87" t="n"/>
      <c r="LWC1" s="87" t="n"/>
      <c r="LWD1" s="87" t="n"/>
      <c r="LWE1" s="87" t="n"/>
      <c r="LWF1" s="87" t="n"/>
      <c r="LWG1" s="87" t="n"/>
      <c r="LWH1" s="87" t="n"/>
      <c r="LWI1" s="87" t="n"/>
      <c r="LWJ1" s="87" t="n"/>
      <c r="LWK1" s="87" t="n"/>
      <c r="LWL1" s="87" t="n"/>
      <c r="LWM1" s="87" t="n"/>
      <c r="LWN1" s="87" t="n"/>
      <c r="LWO1" s="87" t="n"/>
      <c r="LWP1" s="87" t="n"/>
      <c r="LWQ1" s="87" t="n"/>
      <c r="LWR1" s="87" t="n"/>
      <c r="LWS1" s="87" t="n"/>
      <c r="LWT1" s="87" t="n"/>
      <c r="LWU1" s="87" t="n"/>
      <c r="LWV1" s="87" t="n"/>
      <c r="LWW1" s="87" t="n"/>
      <c r="LWX1" s="87" t="n"/>
      <c r="LWY1" s="87" t="n"/>
      <c r="LWZ1" s="87" t="n"/>
      <c r="LXA1" s="87" t="n"/>
      <c r="LXB1" s="87" t="n"/>
      <c r="LXC1" s="87" t="n"/>
      <c r="LXD1" s="87" t="n"/>
      <c r="LXE1" s="87" t="n"/>
      <c r="LXF1" s="87" t="n"/>
      <c r="LXG1" s="87" t="n"/>
      <c r="LXH1" s="87" t="n"/>
      <c r="LXI1" s="87" t="n"/>
      <c r="LXJ1" s="87" t="n"/>
      <c r="LXK1" s="87" t="n"/>
      <c r="LXL1" s="87" t="n"/>
      <c r="LXM1" s="87" t="n"/>
      <c r="LXN1" s="87" t="n"/>
      <c r="LXO1" s="87" t="n"/>
      <c r="LXP1" s="87" t="n"/>
      <c r="LXQ1" s="87" t="n"/>
      <c r="LXR1" s="87" t="n"/>
      <c r="LXS1" s="87" t="n"/>
      <c r="LXT1" s="87" t="n"/>
      <c r="LXU1" s="87" t="n"/>
      <c r="LXV1" s="87" t="n"/>
      <c r="LXW1" s="87" t="n"/>
      <c r="LXX1" s="87" t="n"/>
      <c r="LXY1" s="87" t="n"/>
      <c r="LXZ1" s="87" t="n"/>
      <c r="LYA1" s="87" t="n"/>
      <c r="LYB1" s="87" t="n"/>
      <c r="LYC1" s="87" t="n"/>
      <c r="LYD1" s="87" t="n"/>
      <c r="LYE1" s="87" t="n"/>
      <c r="LYF1" s="87" t="n"/>
      <c r="LYG1" s="87" t="n"/>
      <c r="LYH1" s="87" t="n"/>
      <c r="LYI1" s="87" t="n"/>
      <c r="LYJ1" s="87" t="n"/>
      <c r="LYK1" s="87" t="n"/>
      <c r="LYL1" s="87" t="n"/>
      <c r="LYM1" s="87" t="n"/>
      <c r="LYN1" s="87" t="n"/>
      <c r="LYO1" s="87" t="n"/>
      <c r="LYP1" s="87" t="n"/>
      <c r="LYQ1" s="87" t="n"/>
      <c r="LYR1" s="87" t="n"/>
      <c r="LYS1" s="87" t="n"/>
      <c r="LYT1" s="87" t="n"/>
      <c r="LYU1" s="87" t="n"/>
      <c r="LYV1" s="87" t="n"/>
      <c r="LYW1" s="87" t="n"/>
      <c r="LYX1" s="87" t="n"/>
      <c r="LYY1" s="87" t="n"/>
      <c r="LYZ1" s="87" t="n"/>
      <c r="LZA1" s="87" t="n"/>
      <c r="LZB1" s="87" t="n"/>
      <c r="LZC1" s="87" t="n"/>
      <c r="LZD1" s="87" t="n"/>
      <c r="LZE1" s="87" t="n"/>
      <c r="LZF1" s="87" t="n"/>
      <c r="LZG1" s="87" t="n"/>
      <c r="LZH1" s="87" t="n"/>
      <c r="LZI1" s="87" t="n"/>
      <c r="LZJ1" s="87" t="n"/>
      <c r="LZK1" s="87" t="n"/>
      <c r="LZL1" s="87" t="n"/>
      <c r="LZM1" s="87" t="n"/>
      <c r="LZN1" s="87" t="n"/>
      <c r="LZO1" s="87" t="n"/>
      <c r="LZP1" s="87" t="n"/>
      <c r="LZQ1" s="87" t="n"/>
      <c r="LZR1" s="87" t="n"/>
      <c r="LZS1" s="87" t="n"/>
      <c r="LZT1" s="87" t="n"/>
      <c r="LZU1" s="87" t="n"/>
      <c r="LZV1" s="87" t="n"/>
      <c r="LZW1" s="87" t="n"/>
      <c r="LZX1" s="87" t="n"/>
      <c r="LZY1" s="87" t="n"/>
      <c r="LZZ1" s="87" t="n"/>
      <c r="MAA1" s="87" t="n"/>
      <c r="MAB1" s="87" t="n"/>
      <c r="MAC1" s="87" t="n"/>
      <c r="MAD1" s="87" t="n"/>
      <c r="MAE1" s="87" t="n"/>
      <c r="MAF1" s="87" t="n"/>
      <c r="MAG1" s="87" t="n"/>
      <c r="MAH1" s="87" t="n"/>
      <c r="MAI1" s="87" t="n"/>
      <c r="MAJ1" s="87" t="n"/>
      <c r="MAK1" s="87" t="n"/>
      <c r="MAL1" s="87" t="n"/>
      <c r="MAM1" s="87" t="n"/>
      <c r="MAN1" s="87" t="n"/>
      <c r="MAO1" s="87" t="n"/>
      <c r="MAP1" s="87" t="n"/>
      <c r="MAQ1" s="87" t="n"/>
      <c r="MAR1" s="87" t="n"/>
      <c r="MAS1" s="87" t="n"/>
      <c r="MAT1" s="87" t="n"/>
      <c r="MAU1" s="87" t="n"/>
      <c r="MAV1" s="87" t="n"/>
      <c r="MAW1" s="87" t="n"/>
      <c r="MAX1" s="87" t="n"/>
      <c r="MAY1" s="87" t="n"/>
      <c r="MAZ1" s="87" t="n"/>
      <c r="MBA1" s="87" t="n"/>
      <c r="MBB1" s="87" t="n"/>
      <c r="MBC1" s="87" t="n"/>
      <c r="MBD1" s="87" t="n"/>
      <c r="MBE1" s="87" t="n"/>
      <c r="MBF1" s="87" t="n"/>
      <c r="MBG1" s="87" t="n"/>
      <c r="MBH1" s="87" t="n"/>
      <c r="MBI1" s="87" t="n"/>
      <c r="MBJ1" s="87" t="n"/>
      <c r="MBK1" s="87" t="n"/>
      <c r="MBL1" s="87" t="n"/>
      <c r="MBM1" s="87" t="n"/>
      <c r="MBN1" s="87" t="n"/>
      <c r="MBO1" s="87" t="n"/>
      <c r="MBP1" s="87" t="n"/>
      <c r="MBQ1" s="87" t="n"/>
      <c r="MBR1" s="87" t="n"/>
      <c r="MBS1" s="87" t="n"/>
      <c r="MBT1" s="87" t="n"/>
      <c r="MBU1" s="87" t="n"/>
      <c r="MBV1" s="87" t="n"/>
      <c r="MBW1" s="87" t="n"/>
      <c r="MBX1" s="87" t="n"/>
      <c r="MBY1" s="87" t="n"/>
      <c r="MBZ1" s="87" t="n"/>
      <c r="MCA1" s="87" t="n"/>
      <c r="MCB1" s="87" t="n"/>
      <c r="MCC1" s="87" t="n"/>
      <c r="MCD1" s="87" t="n"/>
      <c r="MCE1" s="87" t="n"/>
      <c r="MCF1" s="87" t="n"/>
      <c r="MCG1" s="87" t="n"/>
      <c r="MCH1" s="87" t="n"/>
      <c r="MCI1" s="87" t="n"/>
      <c r="MCJ1" s="87" t="n"/>
      <c r="MCK1" s="87" t="n"/>
      <c r="MCL1" s="87" t="n"/>
      <c r="MCM1" s="87" t="n"/>
      <c r="MCN1" s="87" t="n"/>
      <c r="MCO1" s="87" t="n"/>
      <c r="MCP1" s="87" t="n"/>
      <c r="MCQ1" s="87" t="n"/>
      <c r="MCR1" s="87" t="n"/>
      <c r="MCS1" s="87" t="n"/>
      <c r="MCT1" s="87" t="n"/>
      <c r="MCU1" s="87" t="n"/>
      <c r="MCV1" s="87" t="n"/>
      <c r="MCW1" s="87" t="n"/>
      <c r="MCX1" s="87" t="n"/>
      <c r="MCY1" s="87" t="n"/>
      <c r="MCZ1" s="87" t="n"/>
      <c r="MDA1" s="87" t="n"/>
      <c r="MDB1" s="87" t="n"/>
      <c r="MDC1" s="87" t="n"/>
      <c r="MDD1" s="87" t="n"/>
      <c r="MDE1" s="87" t="n"/>
      <c r="MDF1" s="87" t="n"/>
      <c r="MDG1" s="87" t="n"/>
      <c r="MDH1" s="87" t="n"/>
      <c r="MDI1" s="87" t="n"/>
      <c r="MDJ1" s="87" t="n"/>
      <c r="MDK1" s="87" t="n"/>
      <c r="MDL1" s="87" t="n"/>
      <c r="MDM1" s="87" t="n"/>
      <c r="MDN1" s="87" t="n"/>
      <c r="MDO1" s="87" t="n"/>
      <c r="MDP1" s="87" t="n"/>
      <c r="MDQ1" s="87" t="n"/>
      <c r="MDR1" s="87" t="n"/>
      <c r="MDS1" s="87" t="n"/>
      <c r="MDT1" s="87" t="n"/>
      <c r="MDU1" s="87" t="n"/>
      <c r="MDV1" s="87" t="n"/>
      <c r="MDW1" s="87" t="n"/>
      <c r="MDX1" s="87" t="n"/>
      <c r="MDY1" s="87" t="n"/>
      <c r="MDZ1" s="87" t="n"/>
      <c r="MEA1" s="87" t="n"/>
      <c r="MEB1" s="87" t="n"/>
      <c r="MEC1" s="87" t="n"/>
      <c r="MED1" s="87" t="n"/>
      <c r="MEE1" s="87" t="n"/>
      <c r="MEF1" s="87" t="n"/>
      <c r="MEG1" s="87" t="n"/>
      <c r="MEH1" s="87" t="n"/>
      <c r="MEI1" s="87" t="n"/>
      <c r="MEJ1" s="87" t="n"/>
      <c r="MEK1" s="87" t="n"/>
      <c r="MEL1" s="87" t="n"/>
      <c r="MEM1" s="87" t="n"/>
      <c r="MEN1" s="87" t="n"/>
      <c r="MEO1" s="87" t="n"/>
      <c r="MEP1" s="87" t="n"/>
      <c r="MEQ1" s="87" t="n"/>
      <c r="MER1" s="87" t="n"/>
      <c r="MES1" s="87" t="n"/>
      <c r="MET1" s="87" t="n"/>
      <c r="MEU1" s="87" t="n"/>
      <c r="MEV1" s="87" t="n"/>
      <c r="MEW1" s="87" t="n"/>
      <c r="MEX1" s="87" t="n"/>
      <c r="MEY1" s="87" t="n"/>
      <c r="MEZ1" s="87" t="n"/>
      <c r="MFA1" s="87" t="n"/>
      <c r="MFB1" s="87" t="n"/>
      <c r="MFC1" s="87" t="n"/>
      <c r="MFD1" s="87" t="n"/>
      <c r="MFE1" s="87" t="n"/>
      <c r="MFF1" s="87" t="n"/>
      <c r="MFG1" s="87" t="n"/>
      <c r="MFH1" s="87" t="n"/>
      <c r="MFI1" s="87" t="n"/>
      <c r="MFJ1" s="87" t="n"/>
      <c r="MFK1" s="87" t="n"/>
      <c r="MFL1" s="87" t="n"/>
      <c r="MFM1" s="87" t="n"/>
      <c r="MFN1" s="87" t="n"/>
      <c r="MFO1" s="87" t="n"/>
      <c r="MFP1" s="87" t="n"/>
      <c r="MFQ1" s="87" t="n"/>
      <c r="MFR1" s="87" t="n"/>
      <c r="MFS1" s="87" t="n"/>
      <c r="MFT1" s="87" t="n"/>
      <c r="MFU1" s="87" t="n"/>
      <c r="MFV1" s="87" t="n"/>
      <c r="MFW1" s="87" t="n"/>
      <c r="MFX1" s="87" t="n"/>
      <c r="MFY1" s="87" t="n"/>
      <c r="MFZ1" s="87" t="n"/>
      <c r="MGA1" s="87" t="n"/>
      <c r="MGB1" s="87" t="n"/>
      <c r="MGC1" s="87" t="n"/>
      <c r="MGD1" s="87" t="n"/>
      <c r="MGE1" s="87" t="n"/>
      <c r="MGF1" s="87" t="n"/>
      <c r="MGG1" s="87" t="n"/>
      <c r="MGH1" s="87" t="n"/>
      <c r="MGI1" s="87" t="n"/>
      <c r="MGJ1" s="87" t="n"/>
      <c r="MGK1" s="87" t="n"/>
      <c r="MGL1" s="87" t="n"/>
      <c r="MGM1" s="87" t="n"/>
      <c r="MGN1" s="87" t="n"/>
      <c r="MGO1" s="87" t="n"/>
      <c r="MGP1" s="87" t="n"/>
      <c r="MGQ1" s="87" t="n"/>
      <c r="MGR1" s="87" t="n"/>
      <c r="MGS1" s="87" t="n"/>
      <c r="MGT1" s="87" t="n"/>
      <c r="MGU1" s="87" t="n"/>
      <c r="MGV1" s="87" t="n"/>
      <c r="MGW1" s="87" t="n"/>
      <c r="MGX1" s="87" t="n"/>
      <c r="MGY1" s="87" t="n"/>
      <c r="MGZ1" s="87" t="n"/>
      <c r="MHA1" s="87" t="n"/>
      <c r="MHB1" s="87" t="n"/>
      <c r="MHC1" s="87" t="n"/>
      <c r="MHD1" s="87" t="n"/>
      <c r="MHE1" s="87" t="n"/>
      <c r="MHF1" s="87" t="n"/>
      <c r="MHG1" s="87" t="n"/>
      <c r="MHH1" s="87" t="n"/>
      <c r="MHI1" s="87" t="n"/>
      <c r="MHJ1" s="87" t="n"/>
      <c r="MHK1" s="87" t="n"/>
      <c r="MHL1" s="87" t="n"/>
      <c r="MHM1" s="87" t="n"/>
      <c r="MHN1" s="87" t="n"/>
      <c r="MHO1" s="87" t="n"/>
      <c r="MHP1" s="87" t="n"/>
      <c r="MHQ1" s="87" t="n"/>
      <c r="MHR1" s="87" t="n"/>
      <c r="MHS1" s="87" t="n"/>
      <c r="MHT1" s="87" t="n"/>
      <c r="MHU1" s="87" t="n"/>
      <c r="MHV1" s="87" t="n"/>
      <c r="MHW1" s="87" t="n"/>
      <c r="MHX1" s="87" t="n"/>
      <c r="MHY1" s="87" t="n"/>
      <c r="MHZ1" s="87" t="n"/>
      <c r="MIA1" s="87" t="n"/>
      <c r="MIB1" s="87" t="n"/>
      <c r="MIC1" s="87" t="n"/>
      <c r="MID1" s="87" t="n"/>
      <c r="MIE1" s="87" t="n"/>
      <c r="MIF1" s="87" t="n"/>
      <c r="MIG1" s="87" t="n"/>
      <c r="MIH1" s="87" t="n"/>
      <c r="MII1" s="87" t="n"/>
      <c r="MIJ1" s="87" t="n"/>
      <c r="MIK1" s="87" t="n"/>
      <c r="MIL1" s="87" t="n"/>
      <c r="MIM1" s="87" t="n"/>
      <c r="MIN1" s="87" t="n"/>
      <c r="MIO1" s="87" t="n"/>
      <c r="MIP1" s="87" t="n"/>
      <c r="MIQ1" s="87" t="n"/>
      <c r="MIR1" s="87" t="n"/>
      <c r="MIS1" s="87" t="n"/>
      <c r="MIT1" s="87" t="n"/>
      <c r="MIU1" s="87" t="n"/>
      <c r="MIV1" s="87" t="n"/>
      <c r="MIW1" s="87" t="n"/>
      <c r="MIX1" s="87" t="n"/>
      <c r="MIY1" s="87" t="n"/>
      <c r="MIZ1" s="87" t="n"/>
      <c r="MJA1" s="87" t="n"/>
      <c r="MJB1" s="87" t="n"/>
      <c r="MJC1" s="87" t="n"/>
      <c r="MJD1" s="87" t="n"/>
      <c r="MJE1" s="87" t="n"/>
      <c r="MJF1" s="87" t="n"/>
      <c r="MJG1" s="87" t="n"/>
      <c r="MJH1" s="87" t="n"/>
      <c r="MJI1" s="87" t="n"/>
      <c r="MJJ1" s="87" t="n"/>
      <c r="MJK1" s="87" t="n"/>
      <c r="MJL1" s="87" t="n"/>
      <c r="MJM1" s="87" t="n"/>
      <c r="MJN1" s="87" t="n"/>
      <c r="MJO1" s="87" t="n"/>
      <c r="MJP1" s="87" t="n"/>
      <c r="MJQ1" s="87" t="n"/>
      <c r="MJR1" s="87" t="n"/>
      <c r="MJS1" s="87" t="n"/>
      <c r="MJT1" s="87" t="n"/>
      <c r="MJU1" s="87" t="n"/>
      <c r="MJV1" s="87" t="n"/>
      <c r="MJW1" s="87" t="n"/>
      <c r="MJX1" s="87" t="n"/>
      <c r="MJY1" s="87" t="n"/>
      <c r="MJZ1" s="87" t="n"/>
      <c r="MKA1" s="87" t="n"/>
      <c r="MKB1" s="87" t="n"/>
      <c r="MKC1" s="87" t="n"/>
      <c r="MKD1" s="87" t="n"/>
      <c r="MKE1" s="87" t="n"/>
      <c r="MKF1" s="87" t="n"/>
      <c r="MKG1" s="87" t="n"/>
      <c r="MKH1" s="87" t="n"/>
      <c r="MKI1" s="87" t="n"/>
      <c r="MKJ1" s="87" t="n"/>
      <c r="MKK1" s="87" t="n"/>
      <c r="MKL1" s="87" t="n"/>
      <c r="MKM1" s="87" t="n"/>
      <c r="MKN1" s="87" t="n"/>
      <c r="MKO1" s="87" t="n"/>
      <c r="MKP1" s="87" t="n"/>
      <c r="MKQ1" s="87" t="n"/>
      <c r="MKR1" s="87" t="n"/>
      <c r="MKS1" s="87" t="n"/>
      <c r="MKT1" s="87" t="n"/>
      <c r="MKU1" s="87" t="n"/>
      <c r="MKV1" s="87" t="n"/>
      <c r="MKW1" s="87" t="n"/>
      <c r="MKX1" s="87" t="n"/>
      <c r="MKY1" s="87" t="n"/>
      <c r="MKZ1" s="87" t="n"/>
      <c r="MLA1" s="87" t="n"/>
      <c r="MLB1" s="87" t="n"/>
      <c r="MLC1" s="87" t="n"/>
      <c r="MLD1" s="87" t="n"/>
      <c r="MLE1" s="87" t="n"/>
      <c r="MLF1" s="87" t="n"/>
      <c r="MLG1" s="87" t="n"/>
      <c r="MLH1" s="87" t="n"/>
      <c r="MLI1" s="87" t="n"/>
      <c r="MLJ1" s="87" t="n"/>
      <c r="MLK1" s="87" t="n"/>
      <c r="MLL1" s="87" t="n"/>
      <c r="MLM1" s="87" t="n"/>
      <c r="MLN1" s="87" t="n"/>
      <c r="MLO1" s="87" t="n"/>
      <c r="MLP1" s="87" t="n"/>
      <c r="MLQ1" s="87" t="n"/>
      <c r="MLR1" s="87" t="n"/>
      <c r="MLS1" s="87" t="n"/>
      <c r="MLT1" s="87" t="n"/>
      <c r="MLU1" s="87" t="n"/>
      <c r="MLV1" s="87" t="n"/>
      <c r="MLW1" s="87" t="n"/>
      <c r="MLX1" s="87" t="n"/>
      <c r="MLY1" s="87" t="n"/>
      <c r="MLZ1" s="87" t="n"/>
      <c r="MMA1" s="87" t="n"/>
      <c r="MMB1" s="87" t="n"/>
      <c r="MMC1" s="87" t="n"/>
      <c r="MMD1" s="87" t="n"/>
      <c r="MME1" s="87" t="n"/>
      <c r="MMF1" s="87" t="n"/>
      <c r="MMG1" s="87" t="n"/>
      <c r="MMH1" s="87" t="n"/>
      <c r="MMI1" s="87" t="n"/>
      <c r="MMJ1" s="87" t="n"/>
      <c r="MMK1" s="87" t="n"/>
      <c r="MML1" s="87" t="n"/>
      <c r="MMM1" s="87" t="n"/>
      <c r="MMN1" s="87" t="n"/>
      <c r="MMO1" s="87" t="n"/>
      <c r="MMP1" s="87" t="n"/>
      <c r="MMQ1" s="87" t="n"/>
      <c r="MMR1" s="87" t="n"/>
      <c r="MMS1" s="87" t="n"/>
      <c r="MMT1" s="87" t="n"/>
      <c r="MMU1" s="87" t="n"/>
      <c r="MMV1" s="87" t="n"/>
      <c r="MMW1" s="87" t="n"/>
      <c r="MMX1" s="87" t="n"/>
      <c r="MMY1" s="87" t="n"/>
      <c r="MMZ1" s="87" t="n"/>
      <c r="MNA1" s="87" t="n"/>
      <c r="MNB1" s="87" t="n"/>
      <c r="MNC1" s="87" t="n"/>
      <c r="MND1" s="87" t="n"/>
      <c r="MNE1" s="87" t="n"/>
      <c r="MNF1" s="87" t="n"/>
      <c r="MNG1" s="87" t="n"/>
      <c r="MNH1" s="87" t="n"/>
      <c r="MNI1" s="87" t="n"/>
      <c r="MNJ1" s="87" t="n"/>
      <c r="MNK1" s="87" t="n"/>
      <c r="MNL1" s="87" t="n"/>
      <c r="MNM1" s="87" t="n"/>
      <c r="MNN1" s="87" t="n"/>
      <c r="MNO1" s="87" t="n"/>
      <c r="MNP1" s="87" t="n"/>
      <c r="MNQ1" s="87" t="n"/>
      <c r="MNR1" s="87" t="n"/>
      <c r="MNS1" s="87" t="n"/>
      <c r="MNT1" s="87" t="n"/>
      <c r="MNU1" s="87" t="n"/>
      <c r="MNV1" s="87" t="n"/>
      <c r="MNW1" s="87" t="n"/>
      <c r="MNX1" s="87" t="n"/>
      <c r="MNY1" s="87" t="n"/>
      <c r="MNZ1" s="87" t="n"/>
      <c r="MOA1" s="87" t="n"/>
      <c r="MOB1" s="87" t="n"/>
      <c r="MOC1" s="87" t="n"/>
      <c r="MOD1" s="87" t="n"/>
      <c r="MOE1" s="87" t="n"/>
      <c r="MOF1" s="87" t="n"/>
      <c r="MOG1" s="87" t="n"/>
      <c r="MOH1" s="87" t="n"/>
      <c r="MOI1" s="87" t="n"/>
      <c r="MOJ1" s="87" t="n"/>
      <c r="MOK1" s="87" t="n"/>
      <c r="MOL1" s="87" t="n"/>
      <c r="MOM1" s="87" t="n"/>
      <c r="MON1" s="87" t="n"/>
      <c r="MOO1" s="87" t="n"/>
      <c r="MOP1" s="87" t="n"/>
      <c r="MOQ1" s="87" t="n"/>
      <c r="MOR1" s="87" t="n"/>
      <c r="MOS1" s="87" t="n"/>
      <c r="MOT1" s="87" t="n"/>
      <c r="MOU1" s="87" t="n"/>
      <c r="MOV1" s="87" t="n"/>
      <c r="MOW1" s="87" t="n"/>
      <c r="MOX1" s="87" t="n"/>
      <c r="MOY1" s="87" t="n"/>
      <c r="MOZ1" s="87" t="n"/>
      <c r="MPA1" s="87" t="n"/>
      <c r="MPB1" s="87" t="n"/>
      <c r="MPC1" s="87" t="n"/>
      <c r="MPD1" s="87" t="n"/>
      <c r="MPE1" s="87" t="n"/>
      <c r="MPF1" s="87" t="n"/>
      <c r="MPG1" s="87" t="n"/>
      <c r="MPH1" s="87" t="n"/>
      <c r="MPI1" s="87" t="n"/>
      <c r="MPJ1" s="87" t="n"/>
      <c r="MPK1" s="87" t="n"/>
      <c r="MPL1" s="87" t="n"/>
      <c r="MPM1" s="87" t="n"/>
      <c r="MPN1" s="87" t="n"/>
      <c r="MPO1" s="87" t="n"/>
      <c r="MPP1" s="87" t="n"/>
      <c r="MPQ1" s="87" t="n"/>
      <c r="MPR1" s="87" t="n"/>
      <c r="MPS1" s="87" t="n"/>
      <c r="MPT1" s="87" t="n"/>
      <c r="MPU1" s="87" t="n"/>
      <c r="MPV1" s="87" t="n"/>
      <c r="MPW1" s="87" t="n"/>
      <c r="MPX1" s="87" t="n"/>
      <c r="MPY1" s="87" t="n"/>
      <c r="MPZ1" s="87" t="n"/>
      <c r="MQA1" s="87" t="n"/>
      <c r="MQB1" s="87" t="n"/>
      <c r="MQC1" s="87" t="n"/>
      <c r="MQD1" s="87" t="n"/>
      <c r="MQE1" s="87" t="n"/>
      <c r="MQF1" s="87" t="n"/>
      <c r="MQG1" s="87" t="n"/>
      <c r="MQH1" s="87" t="n"/>
      <c r="MQI1" s="87" t="n"/>
      <c r="MQJ1" s="87" t="n"/>
      <c r="MQK1" s="87" t="n"/>
      <c r="MQL1" s="87" t="n"/>
      <c r="MQM1" s="87" t="n"/>
      <c r="MQN1" s="87" t="n"/>
      <c r="MQO1" s="87" t="n"/>
      <c r="MQP1" s="87" t="n"/>
      <c r="MQQ1" s="87" t="n"/>
      <c r="MQR1" s="87" t="n"/>
      <c r="MQS1" s="87" t="n"/>
      <c r="MQT1" s="87" t="n"/>
      <c r="MQU1" s="87" t="n"/>
      <c r="MQV1" s="87" t="n"/>
      <c r="MQW1" s="87" t="n"/>
      <c r="MQX1" s="87" t="n"/>
      <c r="MQY1" s="87" t="n"/>
      <c r="MQZ1" s="87" t="n"/>
      <c r="MRA1" s="87" t="n"/>
      <c r="MRB1" s="87" t="n"/>
      <c r="MRC1" s="87" t="n"/>
      <c r="MRD1" s="87" t="n"/>
      <c r="MRE1" s="87" t="n"/>
      <c r="MRF1" s="87" t="n"/>
      <c r="MRG1" s="87" t="n"/>
      <c r="MRH1" s="87" t="n"/>
      <c r="MRI1" s="87" t="n"/>
      <c r="MRJ1" s="87" t="n"/>
      <c r="MRK1" s="87" t="n"/>
      <c r="MRL1" s="87" t="n"/>
      <c r="MRM1" s="87" t="n"/>
      <c r="MRN1" s="87" t="n"/>
      <c r="MRO1" s="87" t="n"/>
      <c r="MRP1" s="87" t="n"/>
      <c r="MRQ1" s="87" t="n"/>
      <c r="MRR1" s="87" t="n"/>
      <c r="MRS1" s="87" t="n"/>
      <c r="MRT1" s="87" t="n"/>
      <c r="MRU1" s="87" t="n"/>
      <c r="MRV1" s="87" t="n"/>
      <c r="MRW1" s="87" t="n"/>
      <c r="MRX1" s="87" t="n"/>
      <c r="MRY1" s="87" t="n"/>
      <c r="MRZ1" s="87" t="n"/>
      <c r="MSA1" s="87" t="n"/>
      <c r="MSB1" s="87" t="n"/>
      <c r="MSC1" s="87" t="n"/>
      <c r="MSD1" s="87" t="n"/>
      <c r="MSE1" s="87" t="n"/>
      <c r="MSF1" s="87" t="n"/>
      <c r="MSG1" s="87" t="n"/>
      <c r="MSH1" s="87" t="n"/>
      <c r="MSI1" s="87" t="n"/>
      <c r="MSJ1" s="87" t="n"/>
      <c r="MSK1" s="87" t="n"/>
      <c r="MSL1" s="87" t="n"/>
      <c r="MSM1" s="87" t="n"/>
      <c r="MSN1" s="87" t="n"/>
      <c r="MSO1" s="87" t="n"/>
      <c r="MSP1" s="87" t="n"/>
      <c r="MSQ1" s="87" t="n"/>
      <c r="MSR1" s="87" t="n"/>
      <c r="MSS1" s="87" t="n"/>
      <c r="MST1" s="87" t="n"/>
      <c r="MSU1" s="87" t="n"/>
      <c r="MSV1" s="87" t="n"/>
      <c r="MSW1" s="87" t="n"/>
      <c r="MSX1" s="87" t="n"/>
      <c r="MSY1" s="87" t="n"/>
      <c r="MSZ1" s="87" t="n"/>
      <c r="MTA1" s="87" t="n"/>
      <c r="MTB1" s="87" t="n"/>
      <c r="MTC1" s="87" t="n"/>
      <c r="MTD1" s="87" t="n"/>
      <c r="MTE1" s="87" t="n"/>
      <c r="MTF1" s="87" t="n"/>
      <c r="MTG1" s="87" t="n"/>
      <c r="MTH1" s="87" t="n"/>
      <c r="MTI1" s="87" t="n"/>
      <c r="MTJ1" s="87" t="n"/>
      <c r="MTK1" s="87" t="n"/>
      <c r="MTL1" s="87" t="n"/>
      <c r="MTM1" s="87" t="n"/>
      <c r="MTN1" s="87" t="n"/>
      <c r="MTO1" s="87" t="n"/>
      <c r="MTP1" s="87" t="n"/>
      <c r="MTQ1" s="87" t="n"/>
      <c r="MTR1" s="87" t="n"/>
      <c r="MTS1" s="87" t="n"/>
      <c r="MTT1" s="87" t="n"/>
      <c r="MTU1" s="87" t="n"/>
      <c r="MTV1" s="87" t="n"/>
      <c r="MTW1" s="87" t="n"/>
      <c r="MTX1" s="87" t="n"/>
      <c r="MTY1" s="87" t="n"/>
      <c r="MTZ1" s="87" t="n"/>
      <c r="MUA1" s="87" t="n"/>
      <c r="MUB1" s="87" t="n"/>
      <c r="MUC1" s="87" t="n"/>
      <c r="MUD1" s="87" t="n"/>
      <c r="MUE1" s="87" t="n"/>
      <c r="MUF1" s="87" t="n"/>
      <c r="MUG1" s="87" t="n"/>
      <c r="MUH1" s="87" t="n"/>
      <c r="MUI1" s="87" t="n"/>
      <c r="MUJ1" s="87" t="n"/>
      <c r="MUK1" s="87" t="n"/>
      <c r="MUL1" s="87" t="n"/>
      <c r="MUM1" s="87" t="n"/>
      <c r="MUN1" s="87" t="n"/>
      <c r="MUO1" s="87" t="n"/>
      <c r="MUP1" s="87" t="n"/>
      <c r="MUQ1" s="87" t="n"/>
      <c r="MUR1" s="87" t="n"/>
      <c r="MUS1" s="87" t="n"/>
      <c r="MUT1" s="87" t="n"/>
      <c r="MUU1" s="87" t="n"/>
      <c r="MUV1" s="87" t="n"/>
      <c r="MUW1" s="87" t="n"/>
      <c r="MUX1" s="87" t="n"/>
      <c r="MUY1" s="87" t="n"/>
      <c r="MUZ1" s="87" t="n"/>
      <c r="MVA1" s="87" t="n"/>
      <c r="MVB1" s="87" t="n"/>
      <c r="MVC1" s="87" t="n"/>
      <c r="MVD1" s="87" t="n"/>
      <c r="MVE1" s="87" t="n"/>
      <c r="MVF1" s="87" t="n"/>
      <c r="MVG1" s="87" t="n"/>
      <c r="MVH1" s="87" t="n"/>
      <c r="MVI1" s="87" t="n"/>
      <c r="MVJ1" s="87" t="n"/>
      <c r="MVK1" s="87" t="n"/>
      <c r="MVL1" s="87" t="n"/>
      <c r="MVM1" s="87" t="n"/>
      <c r="MVN1" s="87" t="n"/>
      <c r="MVO1" s="87" t="n"/>
      <c r="MVP1" s="87" t="n"/>
      <c r="MVQ1" s="87" t="n"/>
      <c r="MVR1" s="87" t="n"/>
      <c r="MVS1" s="87" t="n"/>
      <c r="MVT1" s="87" t="n"/>
      <c r="MVU1" s="87" t="n"/>
      <c r="MVV1" s="87" t="n"/>
      <c r="MVW1" s="87" t="n"/>
      <c r="MVX1" s="87" t="n"/>
      <c r="MVY1" s="87" t="n"/>
      <c r="MVZ1" s="87" t="n"/>
      <c r="MWA1" s="87" t="n"/>
      <c r="MWB1" s="87" t="n"/>
      <c r="MWC1" s="87" t="n"/>
      <c r="MWD1" s="87" t="n"/>
      <c r="MWE1" s="87" t="n"/>
      <c r="MWF1" s="87" t="n"/>
      <c r="MWG1" s="87" t="n"/>
      <c r="MWH1" s="87" t="n"/>
      <c r="MWI1" s="87" t="n"/>
      <c r="MWJ1" s="87" t="n"/>
      <c r="MWK1" s="87" t="n"/>
      <c r="MWL1" s="87" t="n"/>
      <c r="MWM1" s="87" t="n"/>
      <c r="MWN1" s="87" t="n"/>
      <c r="MWO1" s="87" t="n"/>
      <c r="MWP1" s="87" t="n"/>
      <c r="MWQ1" s="87" t="n"/>
      <c r="MWR1" s="87" t="n"/>
      <c r="MWS1" s="87" t="n"/>
      <c r="MWT1" s="87" t="n"/>
      <c r="MWU1" s="87" t="n"/>
      <c r="MWV1" s="87" t="n"/>
      <c r="MWW1" s="87" t="n"/>
      <c r="MWX1" s="87" t="n"/>
      <c r="MWY1" s="87" t="n"/>
      <c r="MWZ1" s="87" t="n"/>
      <c r="MXA1" s="87" t="n"/>
      <c r="MXB1" s="87" t="n"/>
      <c r="MXC1" s="87" t="n"/>
      <c r="MXD1" s="87" t="n"/>
      <c r="MXE1" s="87" t="n"/>
      <c r="MXF1" s="87" t="n"/>
      <c r="MXG1" s="87" t="n"/>
      <c r="MXH1" s="87" t="n"/>
      <c r="MXI1" s="87" t="n"/>
      <c r="MXJ1" s="87" t="n"/>
      <c r="MXK1" s="87" t="n"/>
      <c r="MXL1" s="87" t="n"/>
      <c r="MXM1" s="87" t="n"/>
      <c r="MXN1" s="87" t="n"/>
      <c r="MXO1" s="87" t="n"/>
      <c r="MXP1" s="87" t="n"/>
      <c r="MXQ1" s="87" t="n"/>
      <c r="MXR1" s="87" t="n"/>
      <c r="MXS1" s="87" t="n"/>
      <c r="MXT1" s="87" t="n"/>
      <c r="MXU1" s="87" t="n"/>
      <c r="MXV1" s="87" t="n"/>
      <c r="MXW1" s="87" t="n"/>
      <c r="MXX1" s="87" t="n"/>
      <c r="MXY1" s="87" t="n"/>
      <c r="MXZ1" s="87" t="n"/>
      <c r="MYA1" s="87" t="n"/>
      <c r="MYB1" s="87" t="n"/>
      <c r="MYC1" s="87" t="n"/>
      <c r="MYD1" s="87" t="n"/>
      <c r="MYE1" s="87" t="n"/>
      <c r="MYF1" s="87" t="n"/>
      <c r="MYG1" s="87" t="n"/>
      <c r="MYH1" s="87" t="n"/>
      <c r="MYI1" s="87" t="n"/>
      <c r="MYJ1" s="87" t="n"/>
      <c r="MYK1" s="87" t="n"/>
      <c r="MYL1" s="87" t="n"/>
      <c r="MYM1" s="87" t="n"/>
      <c r="MYN1" s="87" t="n"/>
      <c r="MYO1" s="87" t="n"/>
      <c r="MYP1" s="87" t="n"/>
      <c r="MYQ1" s="87" t="n"/>
      <c r="MYR1" s="87" t="n"/>
      <c r="MYS1" s="87" t="n"/>
      <c r="MYT1" s="87" t="n"/>
      <c r="MYU1" s="87" t="n"/>
      <c r="MYV1" s="87" t="n"/>
      <c r="MYW1" s="87" t="n"/>
      <c r="MYX1" s="87" t="n"/>
      <c r="MYY1" s="87" t="n"/>
      <c r="MYZ1" s="87" t="n"/>
      <c r="MZA1" s="87" t="n"/>
      <c r="MZB1" s="87" t="n"/>
      <c r="MZC1" s="87" t="n"/>
      <c r="MZD1" s="87" t="n"/>
      <c r="MZE1" s="87" t="n"/>
      <c r="MZF1" s="87" t="n"/>
      <c r="MZG1" s="87" t="n"/>
      <c r="MZH1" s="87" t="n"/>
      <c r="MZI1" s="87" t="n"/>
      <c r="MZJ1" s="87" t="n"/>
      <c r="MZK1" s="87" t="n"/>
      <c r="MZL1" s="87" t="n"/>
      <c r="MZM1" s="87" t="n"/>
      <c r="MZN1" s="87" t="n"/>
      <c r="MZO1" s="87" t="n"/>
      <c r="MZP1" s="87" t="n"/>
      <c r="MZQ1" s="87" t="n"/>
      <c r="MZR1" s="87" t="n"/>
      <c r="MZS1" s="87" t="n"/>
      <c r="MZT1" s="87" t="n"/>
      <c r="MZU1" s="87" t="n"/>
      <c r="MZV1" s="87" t="n"/>
      <c r="MZW1" s="87" t="n"/>
      <c r="MZX1" s="87" t="n"/>
      <c r="MZY1" s="87" t="n"/>
      <c r="MZZ1" s="87" t="n"/>
      <c r="NAA1" s="87" t="n"/>
      <c r="NAB1" s="87" t="n"/>
      <c r="NAC1" s="87" t="n"/>
      <c r="NAD1" s="87" t="n"/>
      <c r="NAE1" s="87" t="n"/>
      <c r="NAF1" s="87" t="n"/>
      <c r="NAG1" s="87" t="n"/>
      <c r="NAH1" s="87" t="n"/>
      <c r="NAI1" s="87" t="n"/>
      <c r="NAJ1" s="87" t="n"/>
      <c r="NAK1" s="87" t="n"/>
      <c r="NAL1" s="87" t="n"/>
      <c r="NAM1" s="87" t="n"/>
      <c r="NAN1" s="87" t="n"/>
      <c r="NAO1" s="87" t="n"/>
      <c r="NAP1" s="87" t="n"/>
      <c r="NAQ1" s="87" t="n"/>
      <c r="NAR1" s="87" t="n"/>
      <c r="NAS1" s="87" t="n"/>
      <c r="NAT1" s="87" t="n"/>
      <c r="NAU1" s="87" t="n"/>
      <c r="NAV1" s="87" t="n"/>
      <c r="NAW1" s="87" t="n"/>
      <c r="NAX1" s="87" t="n"/>
      <c r="NAY1" s="87" t="n"/>
      <c r="NAZ1" s="87" t="n"/>
      <c r="NBA1" s="87" t="n"/>
      <c r="NBB1" s="87" t="n"/>
      <c r="NBC1" s="87" t="n"/>
      <c r="NBD1" s="87" t="n"/>
      <c r="NBE1" s="87" t="n"/>
      <c r="NBF1" s="87" t="n"/>
      <c r="NBG1" s="87" t="n"/>
      <c r="NBH1" s="87" t="n"/>
      <c r="NBI1" s="87" t="n"/>
      <c r="NBJ1" s="87" t="n"/>
      <c r="NBK1" s="87" t="n"/>
      <c r="NBL1" s="87" t="n"/>
      <c r="NBM1" s="87" t="n"/>
      <c r="NBN1" s="87" t="n"/>
      <c r="NBO1" s="87" t="n"/>
      <c r="NBP1" s="87" t="n"/>
      <c r="NBQ1" s="87" t="n"/>
      <c r="NBR1" s="87" t="n"/>
      <c r="NBS1" s="87" t="n"/>
      <c r="NBT1" s="87" t="n"/>
      <c r="NBU1" s="87" t="n"/>
      <c r="NBV1" s="87" t="n"/>
      <c r="NBW1" s="87" t="n"/>
      <c r="NBX1" s="87" t="n"/>
      <c r="NBY1" s="87" t="n"/>
      <c r="NBZ1" s="87" t="n"/>
      <c r="NCA1" s="87" t="n"/>
      <c r="NCB1" s="87" t="n"/>
      <c r="NCC1" s="87" t="n"/>
      <c r="NCD1" s="87" t="n"/>
      <c r="NCE1" s="87" t="n"/>
      <c r="NCF1" s="87" t="n"/>
      <c r="NCG1" s="87" t="n"/>
      <c r="NCH1" s="87" t="n"/>
      <c r="NCI1" s="87" t="n"/>
      <c r="NCJ1" s="87" t="n"/>
      <c r="NCK1" s="87" t="n"/>
      <c r="NCL1" s="87" t="n"/>
      <c r="NCM1" s="87" t="n"/>
      <c r="NCN1" s="87" t="n"/>
      <c r="NCO1" s="87" t="n"/>
      <c r="NCP1" s="87" t="n"/>
      <c r="NCQ1" s="87" t="n"/>
      <c r="NCR1" s="87" t="n"/>
      <c r="NCS1" s="87" t="n"/>
      <c r="NCT1" s="87" t="n"/>
      <c r="NCU1" s="87" t="n"/>
      <c r="NCV1" s="87" t="n"/>
      <c r="NCW1" s="87" t="n"/>
      <c r="NCX1" s="87" t="n"/>
      <c r="NCY1" s="87" t="n"/>
      <c r="NCZ1" s="87" t="n"/>
      <c r="NDA1" s="87" t="n"/>
      <c r="NDB1" s="87" t="n"/>
      <c r="NDC1" s="87" t="n"/>
      <c r="NDD1" s="87" t="n"/>
      <c r="NDE1" s="87" t="n"/>
      <c r="NDF1" s="87" t="n"/>
      <c r="NDG1" s="87" t="n"/>
      <c r="NDH1" s="87" t="n"/>
      <c r="NDI1" s="87" t="n"/>
      <c r="NDJ1" s="87" t="n"/>
      <c r="NDK1" s="87" t="n"/>
      <c r="NDL1" s="87" t="n"/>
      <c r="NDM1" s="87" t="n"/>
      <c r="NDN1" s="87" t="n"/>
      <c r="NDO1" s="87" t="n"/>
      <c r="NDP1" s="87" t="n"/>
      <c r="NDQ1" s="87" t="n"/>
      <c r="NDR1" s="87" t="n"/>
      <c r="NDS1" s="87" t="n"/>
      <c r="NDT1" s="87" t="n"/>
      <c r="NDU1" s="87" t="n"/>
      <c r="NDV1" s="87" t="n"/>
      <c r="NDW1" s="87" t="n"/>
      <c r="NDX1" s="87" t="n"/>
      <c r="NDY1" s="87" t="n"/>
      <c r="NDZ1" s="87" t="n"/>
      <c r="NEA1" s="87" t="n"/>
      <c r="NEB1" s="87" t="n"/>
      <c r="NEC1" s="87" t="n"/>
      <c r="NED1" s="87" t="n"/>
      <c r="NEE1" s="87" t="n"/>
      <c r="NEF1" s="87" t="n"/>
      <c r="NEG1" s="87" t="n"/>
      <c r="NEH1" s="87" t="n"/>
      <c r="NEI1" s="87" t="n"/>
      <c r="NEJ1" s="87" t="n"/>
      <c r="NEK1" s="87" t="n"/>
      <c r="NEL1" s="87" t="n"/>
      <c r="NEM1" s="87" t="n"/>
      <c r="NEN1" s="87" t="n"/>
      <c r="NEO1" s="87" t="n"/>
      <c r="NEP1" s="87" t="n"/>
      <c r="NEQ1" s="87" t="n"/>
      <c r="NER1" s="87" t="n"/>
      <c r="NES1" s="87" t="n"/>
      <c r="NET1" s="87" t="n"/>
      <c r="NEU1" s="87" t="n"/>
      <c r="NEV1" s="87" t="n"/>
      <c r="NEW1" s="87" t="n"/>
      <c r="NEX1" s="87" t="n"/>
      <c r="NEY1" s="87" t="n"/>
      <c r="NEZ1" s="87" t="n"/>
      <c r="NFA1" s="87" t="n"/>
      <c r="NFB1" s="87" t="n"/>
      <c r="NFC1" s="87" t="n"/>
      <c r="NFD1" s="87" t="n"/>
      <c r="NFE1" s="87" t="n"/>
      <c r="NFF1" s="87" t="n"/>
      <c r="NFG1" s="87" t="n"/>
      <c r="NFH1" s="87" t="n"/>
      <c r="NFI1" s="87" t="n"/>
      <c r="NFJ1" s="87" t="n"/>
      <c r="NFK1" s="87" t="n"/>
      <c r="NFL1" s="87" t="n"/>
      <c r="NFM1" s="87" t="n"/>
      <c r="NFN1" s="87" t="n"/>
      <c r="NFO1" s="87" t="n"/>
      <c r="NFP1" s="87" t="n"/>
      <c r="NFQ1" s="87" t="n"/>
      <c r="NFR1" s="87" t="n"/>
      <c r="NFS1" s="87" t="n"/>
      <c r="NFT1" s="87" t="n"/>
      <c r="NFU1" s="87" t="n"/>
      <c r="NFV1" s="87" t="n"/>
      <c r="NFW1" s="87" t="n"/>
      <c r="NFX1" s="87" t="n"/>
      <c r="NFY1" s="87" t="n"/>
      <c r="NFZ1" s="87" t="n"/>
      <c r="NGA1" s="87" t="n"/>
      <c r="NGB1" s="87" t="n"/>
      <c r="NGC1" s="87" t="n"/>
      <c r="NGD1" s="87" t="n"/>
      <c r="NGE1" s="87" t="n"/>
      <c r="NGF1" s="87" t="n"/>
      <c r="NGG1" s="87" t="n"/>
      <c r="NGH1" s="87" t="n"/>
      <c r="NGI1" s="87" t="n"/>
      <c r="NGJ1" s="87" t="n"/>
      <c r="NGK1" s="87" t="n"/>
      <c r="NGL1" s="87" t="n"/>
      <c r="NGM1" s="87" t="n"/>
      <c r="NGN1" s="87" t="n"/>
      <c r="NGO1" s="87" t="n"/>
      <c r="NGP1" s="87" t="n"/>
      <c r="NGQ1" s="87" t="n"/>
      <c r="NGR1" s="87" t="n"/>
      <c r="NGS1" s="87" t="n"/>
      <c r="NGT1" s="87" t="n"/>
      <c r="NGU1" s="87" t="n"/>
      <c r="NGV1" s="87" t="n"/>
      <c r="NGW1" s="87" t="n"/>
      <c r="NGX1" s="87" t="n"/>
      <c r="NGY1" s="87" t="n"/>
      <c r="NGZ1" s="87" t="n"/>
      <c r="NHA1" s="87" t="n"/>
      <c r="NHB1" s="87" t="n"/>
      <c r="NHC1" s="87" t="n"/>
      <c r="NHD1" s="87" t="n"/>
      <c r="NHE1" s="87" t="n"/>
      <c r="NHF1" s="87" t="n"/>
      <c r="NHG1" s="87" t="n"/>
      <c r="NHH1" s="87" t="n"/>
      <c r="NHI1" s="87" t="n"/>
      <c r="NHJ1" s="87" t="n"/>
      <c r="NHK1" s="87" t="n"/>
      <c r="NHL1" s="87" t="n"/>
      <c r="NHM1" s="87" t="n"/>
      <c r="NHN1" s="87" t="n"/>
      <c r="NHO1" s="87" t="n"/>
      <c r="NHP1" s="87" t="n"/>
      <c r="NHQ1" s="87" t="n"/>
      <c r="NHR1" s="87" t="n"/>
      <c r="NHS1" s="87" t="n"/>
      <c r="NHT1" s="87" t="n"/>
      <c r="NHU1" s="87" t="n"/>
      <c r="NHV1" s="87" t="n"/>
      <c r="NHW1" s="87" t="n"/>
      <c r="NHX1" s="87" t="n"/>
      <c r="NHY1" s="87" t="n"/>
      <c r="NHZ1" s="87" t="n"/>
      <c r="NIA1" s="87" t="n"/>
      <c r="NIB1" s="87" t="n"/>
      <c r="NIC1" s="87" t="n"/>
      <c r="NID1" s="87" t="n"/>
      <c r="NIE1" s="87" t="n"/>
      <c r="NIF1" s="87" t="n"/>
      <c r="NIG1" s="87" t="n"/>
      <c r="NIH1" s="87" t="n"/>
      <c r="NII1" s="87" t="n"/>
      <c r="NIJ1" s="87" t="n"/>
      <c r="NIK1" s="87" t="n"/>
      <c r="NIL1" s="87" t="n"/>
      <c r="NIM1" s="87" t="n"/>
      <c r="NIN1" s="87" t="n"/>
      <c r="NIO1" s="87" t="n"/>
      <c r="NIP1" s="87" t="n"/>
      <c r="NIQ1" s="87" t="n"/>
      <c r="NIR1" s="87" t="n"/>
      <c r="NIS1" s="87" t="n"/>
      <c r="NIT1" s="87" t="n"/>
      <c r="NIU1" s="87" t="n"/>
      <c r="NIV1" s="87" t="n"/>
      <c r="NIW1" s="87" t="n"/>
      <c r="NIX1" s="87" t="n"/>
      <c r="NIY1" s="87" t="n"/>
      <c r="NIZ1" s="87" t="n"/>
      <c r="NJA1" s="87" t="n"/>
      <c r="NJB1" s="87" t="n"/>
      <c r="NJC1" s="87" t="n"/>
      <c r="NJD1" s="87" t="n"/>
      <c r="NJE1" s="87" t="n"/>
      <c r="NJF1" s="87" t="n"/>
      <c r="NJG1" s="87" t="n"/>
      <c r="NJH1" s="87" t="n"/>
      <c r="NJI1" s="87" t="n"/>
      <c r="NJJ1" s="87" t="n"/>
      <c r="NJK1" s="87" t="n"/>
      <c r="NJL1" s="87" t="n"/>
      <c r="NJM1" s="87" t="n"/>
      <c r="NJN1" s="87" t="n"/>
      <c r="NJO1" s="87" t="n"/>
      <c r="NJP1" s="87" t="n"/>
      <c r="NJQ1" s="87" t="n"/>
      <c r="NJR1" s="87" t="n"/>
      <c r="NJS1" s="87" t="n"/>
      <c r="NJT1" s="87" t="n"/>
      <c r="NJU1" s="87" t="n"/>
      <c r="NJV1" s="87" t="n"/>
      <c r="NJW1" s="87" t="n"/>
      <c r="NJX1" s="87" t="n"/>
      <c r="NJY1" s="87" t="n"/>
      <c r="NJZ1" s="87" t="n"/>
      <c r="NKA1" s="87" t="n"/>
      <c r="NKB1" s="87" t="n"/>
      <c r="NKC1" s="87" t="n"/>
      <c r="NKD1" s="87" t="n"/>
      <c r="NKE1" s="87" t="n"/>
      <c r="NKF1" s="87" t="n"/>
      <c r="NKG1" s="87" t="n"/>
      <c r="NKH1" s="87" t="n"/>
      <c r="NKI1" s="87" t="n"/>
      <c r="NKJ1" s="87" t="n"/>
      <c r="NKK1" s="87" t="n"/>
      <c r="NKL1" s="87" t="n"/>
      <c r="NKM1" s="87" t="n"/>
      <c r="NKN1" s="87" t="n"/>
      <c r="NKO1" s="87" t="n"/>
      <c r="NKP1" s="87" t="n"/>
      <c r="NKQ1" s="87" t="n"/>
      <c r="NKR1" s="87" t="n"/>
      <c r="NKS1" s="87" t="n"/>
      <c r="NKT1" s="87" t="n"/>
      <c r="NKU1" s="87" t="n"/>
      <c r="NKV1" s="87" t="n"/>
      <c r="NKW1" s="87" t="n"/>
      <c r="NKX1" s="87" t="n"/>
      <c r="NKY1" s="87" t="n"/>
      <c r="NKZ1" s="87" t="n"/>
      <c r="NLA1" s="87" t="n"/>
      <c r="NLB1" s="87" t="n"/>
      <c r="NLC1" s="87" t="n"/>
      <c r="NLD1" s="87" t="n"/>
      <c r="NLE1" s="87" t="n"/>
      <c r="NLF1" s="87" t="n"/>
      <c r="NLG1" s="87" t="n"/>
      <c r="NLH1" s="87" t="n"/>
      <c r="NLI1" s="87" t="n"/>
      <c r="NLJ1" s="87" t="n"/>
      <c r="NLK1" s="87" t="n"/>
      <c r="NLL1" s="87" t="n"/>
      <c r="NLM1" s="87" t="n"/>
      <c r="NLN1" s="87" t="n"/>
      <c r="NLO1" s="87" t="n"/>
      <c r="NLP1" s="87" t="n"/>
      <c r="NLQ1" s="87" t="n"/>
      <c r="NLR1" s="87" t="n"/>
      <c r="NLS1" s="87" t="n"/>
      <c r="NLT1" s="87" t="n"/>
      <c r="NLU1" s="87" t="n"/>
      <c r="NLV1" s="87" t="n"/>
      <c r="NLW1" s="87" t="n"/>
      <c r="NLX1" s="87" t="n"/>
      <c r="NLY1" s="87" t="n"/>
      <c r="NLZ1" s="87" t="n"/>
      <c r="NMA1" s="87" t="n"/>
      <c r="NMB1" s="87" t="n"/>
      <c r="NMC1" s="87" t="n"/>
      <c r="NMD1" s="87" t="n"/>
      <c r="NME1" s="87" t="n"/>
      <c r="NMF1" s="87" t="n"/>
      <c r="NMG1" s="87" t="n"/>
      <c r="NMH1" s="87" t="n"/>
      <c r="NMI1" s="87" t="n"/>
      <c r="NMJ1" s="87" t="n"/>
      <c r="NMK1" s="87" t="n"/>
      <c r="NML1" s="87" t="n"/>
      <c r="NMM1" s="87" t="n"/>
      <c r="NMN1" s="87" t="n"/>
      <c r="NMO1" s="87" t="n"/>
      <c r="NMP1" s="87" t="n"/>
      <c r="NMQ1" s="87" t="n"/>
      <c r="NMR1" s="87" t="n"/>
      <c r="NMS1" s="87" t="n"/>
      <c r="NMT1" s="87" t="n"/>
      <c r="NMU1" s="87" t="n"/>
      <c r="NMV1" s="87" t="n"/>
      <c r="NMW1" s="87" t="n"/>
      <c r="NMX1" s="87" t="n"/>
      <c r="NMY1" s="87" t="n"/>
      <c r="NMZ1" s="87" t="n"/>
      <c r="NNA1" s="87" t="n"/>
      <c r="NNB1" s="87" t="n"/>
      <c r="NNC1" s="87" t="n"/>
      <c r="NND1" s="87" t="n"/>
      <c r="NNE1" s="87" t="n"/>
      <c r="NNF1" s="87" t="n"/>
      <c r="NNG1" s="87" t="n"/>
      <c r="NNH1" s="87" t="n"/>
      <c r="NNI1" s="87" t="n"/>
      <c r="NNJ1" s="87" t="n"/>
      <c r="NNK1" s="87" t="n"/>
      <c r="NNL1" s="87" t="n"/>
      <c r="NNM1" s="87" t="n"/>
      <c r="NNN1" s="87" t="n"/>
      <c r="NNO1" s="87" t="n"/>
      <c r="NNP1" s="87" t="n"/>
      <c r="NNQ1" s="87" t="n"/>
      <c r="NNR1" s="87" t="n"/>
      <c r="NNS1" s="87" t="n"/>
      <c r="NNT1" s="87" t="n"/>
      <c r="NNU1" s="87" t="n"/>
      <c r="NNV1" s="87" t="n"/>
      <c r="NNW1" s="87" t="n"/>
      <c r="NNX1" s="87" t="n"/>
      <c r="NNY1" s="87" t="n"/>
      <c r="NNZ1" s="87" t="n"/>
      <c r="NOA1" s="87" t="n"/>
      <c r="NOB1" s="87" t="n"/>
      <c r="NOC1" s="87" t="n"/>
      <c r="NOD1" s="87" t="n"/>
      <c r="NOE1" s="87" t="n"/>
      <c r="NOF1" s="87" t="n"/>
      <c r="NOG1" s="87" t="n"/>
      <c r="NOH1" s="87" t="n"/>
      <c r="NOI1" s="87" t="n"/>
      <c r="NOJ1" s="87" t="n"/>
      <c r="NOK1" s="87" t="n"/>
      <c r="NOL1" s="87" t="n"/>
      <c r="NOM1" s="87" t="n"/>
      <c r="NON1" s="87" t="n"/>
      <c r="NOO1" s="87" t="n"/>
      <c r="NOP1" s="87" t="n"/>
      <c r="NOQ1" s="87" t="n"/>
      <c r="NOR1" s="87" t="n"/>
      <c r="NOS1" s="87" t="n"/>
      <c r="NOT1" s="87" t="n"/>
      <c r="NOU1" s="87" t="n"/>
      <c r="NOV1" s="87" t="n"/>
      <c r="NOW1" s="87" t="n"/>
      <c r="NOX1" s="87" t="n"/>
      <c r="NOY1" s="87" t="n"/>
      <c r="NOZ1" s="87" t="n"/>
      <c r="NPA1" s="87" t="n"/>
      <c r="NPB1" s="87" t="n"/>
      <c r="NPC1" s="87" t="n"/>
      <c r="NPD1" s="87" t="n"/>
      <c r="NPE1" s="87" t="n"/>
      <c r="NPF1" s="87" t="n"/>
      <c r="NPG1" s="87" t="n"/>
      <c r="NPH1" s="87" t="n"/>
      <c r="NPI1" s="87" t="n"/>
      <c r="NPJ1" s="87" t="n"/>
      <c r="NPK1" s="87" t="n"/>
      <c r="NPL1" s="87" t="n"/>
      <c r="NPM1" s="87" t="n"/>
      <c r="NPN1" s="87" t="n"/>
      <c r="NPO1" s="87" t="n"/>
      <c r="NPP1" s="87" t="n"/>
      <c r="NPQ1" s="87" t="n"/>
      <c r="NPR1" s="87" t="n"/>
      <c r="NPS1" s="87" t="n"/>
      <c r="NPT1" s="87" t="n"/>
      <c r="NPU1" s="87" t="n"/>
      <c r="NPV1" s="87" t="n"/>
      <c r="NPW1" s="87" t="n"/>
      <c r="NPX1" s="87" t="n"/>
      <c r="NPY1" s="87" t="n"/>
      <c r="NPZ1" s="87" t="n"/>
      <c r="NQA1" s="87" t="n"/>
      <c r="NQB1" s="87" t="n"/>
      <c r="NQC1" s="87" t="n"/>
      <c r="NQD1" s="87" t="n"/>
      <c r="NQE1" s="87" t="n"/>
      <c r="NQF1" s="87" t="n"/>
      <c r="NQG1" s="87" t="n"/>
      <c r="NQH1" s="87" t="n"/>
      <c r="NQI1" s="87" t="n"/>
      <c r="NQJ1" s="87" t="n"/>
      <c r="NQK1" s="87" t="n"/>
      <c r="NQL1" s="87" t="n"/>
      <c r="NQM1" s="87" t="n"/>
      <c r="NQN1" s="87" t="n"/>
      <c r="NQO1" s="87" t="n"/>
      <c r="NQP1" s="87" t="n"/>
      <c r="NQQ1" s="87" t="n"/>
      <c r="NQR1" s="87" t="n"/>
      <c r="NQS1" s="87" t="n"/>
      <c r="NQT1" s="87" t="n"/>
      <c r="NQU1" s="87" t="n"/>
      <c r="NQV1" s="87" t="n"/>
      <c r="NQW1" s="87" t="n"/>
      <c r="NQX1" s="87" t="n"/>
      <c r="NQY1" s="87" t="n"/>
      <c r="NQZ1" s="87" t="n"/>
      <c r="NRA1" s="87" t="n"/>
      <c r="NRB1" s="87" t="n"/>
      <c r="NRC1" s="87" t="n"/>
      <c r="NRD1" s="87" t="n"/>
      <c r="NRE1" s="87" t="n"/>
      <c r="NRF1" s="87" t="n"/>
      <c r="NRG1" s="87" t="n"/>
      <c r="NRH1" s="87" t="n"/>
      <c r="NRI1" s="87" t="n"/>
      <c r="NRJ1" s="87" t="n"/>
      <c r="NRK1" s="87" t="n"/>
      <c r="NRL1" s="87" t="n"/>
      <c r="NRM1" s="87" t="n"/>
      <c r="NRN1" s="87" t="n"/>
      <c r="NRO1" s="87" t="n"/>
      <c r="NRP1" s="87" t="n"/>
      <c r="NRQ1" s="87" t="n"/>
      <c r="NRR1" s="87" t="n"/>
      <c r="NRS1" s="87" t="n"/>
      <c r="NRT1" s="87" t="n"/>
      <c r="NRU1" s="87" t="n"/>
      <c r="NRV1" s="87" t="n"/>
      <c r="NRW1" s="87" t="n"/>
      <c r="NRX1" s="87" t="n"/>
      <c r="NRY1" s="87" t="n"/>
      <c r="NRZ1" s="87" t="n"/>
      <c r="NSA1" s="87" t="n"/>
      <c r="NSB1" s="87" t="n"/>
      <c r="NSC1" s="87" t="n"/>
      <c r="NSD1" s="87" t="n"/>
      <c r="NSE1" s="87" t="n"/>
      <c r="NSF1" s="87" t="n"/>
      <c r="NSG1" s="87" t="n"/>
      <c r="NSH1" s="87" t="n"/>
      <c r="NSI1" s="87" t="n"/>
      <c r="NSJ1" s="87" t="n"/>
      <c r="NSK1" s="87" t="n"/>
      <c r="NSL1" s="87" t="n"/>
      <c r="NSM1" s="87" t="n"/>
      <c r="NSN1" s="87" t="n"/>
      <c r="NSO1" s="87" t="n"/>
      <c r="NSP1" s="87" t="n"/>
      <c r="NSQ1" s="87" t="n"/>
      <c r="NSR1" s="87" t="n"/>
      <c r="NSS1" s="87" t="n"/>
      <c r="NST1" s="87" t="n"/>
      <c r="NSU1" s="87" t="n"/>
      <c r="NSV1" s="87" t="n"/>
      <c r="NSW1" s="87" t="n"/>
      <c r="NSX1" s="87" t="n"/>
      <c r="NSY1" s="87" t="n"/>
      <c r="NSZ1" s="87" t="n"/>
      <c r="NTA1" s="87" t="n"/>
      <c r="NTB1" s="87" t="n"/>
      <c r="NTC1" s="87" t="n"/>
      <c r="NTD1" s="87" t="n"/>
      <c r="NTE1" s="87" t="n"/>
      <c r="NTF1" s="87" t="n"/>
      <c r="NTG1" s="87" t="n"/>
      <c r="NTH1" s="87" t="n"/>
      <c r="NTI1" s="87" t="n"/>
      <c r="NTJ1" s="87" t="n"/>
      <c r="NTK1" s="87" t="n"/>
      <c r="NTL1" s="87" t="n"/>
      <c r="NTM1" s="87" t="n"/>
      <c r="NTN1" s="87" t="n"/>
      <c r="NTO1" s="87" t="n"/>
      <c r="NTP1" s="87" t="n"/>
      <c r="NTQ1" s="87" t="n"/>
      <c r="NTR1" s="87" t="n"/>
      <c r="NTS1" s="87" t="n"/>
      <c r="NTT1" s="87" t="n"/>
      <c r="NTU1" s="87" t="n"/>
      <c r="NTV1" s="87" t="n"/>
      <c r="NTW1" s="87" t="n"/>
      <c r="NTX1" s="87" t="n"/>
      <c r="NTY1" s="87" t="n"/>
      <c r="NTZ1" s="87" t="n"/>
      <c r="NUA1" s="87" t="n"/>
      <c r="NUB1" s="87" t="n"/>
      <c r="NUC1" s="87" t="n"/>
      <c r="NUD1" s="87" t="n"/>
      <c r="NUE1" s="87" t="n"/>
      <c r="NUF1" s="87" t="n"/>
      <c r="NUG1" s="87" t="n"/>
      <c r="NUH1" s="87" t="n"/>
      <c r="NUI1" s="87" t="n"/>
      <c r="NUJ1" s="87" t="n"/>
      <c r="NUK1" s="87" t="n"/>
      <c r="NUL1" s="87" t="n"/>
      <c r="NUM1" s="87" t="n"/>
      <c r="NUN1" s="87" t="n"/>
      <c r="NUO1" s="87" t="n"/>
      <c r="NUP1" s="87" t="n"/>
      <c r="NUQ1" s="87" t="n"/>
      <c r="NUR1" s="87" t="n"/>
      <c r="NUS1" s="87" t="n"/>
      <c r="NUT1" s="87" t="n"/>
      <c r="NUU1" s="87" t="n"/>
      <c r="NUV1" s="87" t="n"/>
      <c r="NUW1" s="87" t="n"/>
      <c r="NUX1" s="87" t="n"/>
      <c r="NUY1" s="87" t="n"/>
      <c r="NUZ1" s="87" t="n"/>
      <c r="NVA1" s="87" t="n"/>
      <c r="NVB1" s="87" t="n"/>
      <c r="NVC1" s="87" t="n"/>
      <c r="NVD1" s="87" t="n"/>
      <c r="NVE1" s="87" t="n"/>
      <c r="NVF1" s="87" t="n"/>
      <c r="NVG1" s="87" t="n"/>
      <c r="NVH1" s="87" t="n"/>
      <c r="NVI1" s="87" t="n"/>
      <c r="NVJ1" s="87" t="n"/>
      <c r="NVK1" s="87" t="n"/>
      <c r="NVL1" s="87" t="n"/>
      <c r="NVM1" s="87" t="n"/>
      <c r="NVN1" s="87" t="n"/>
      <c r="NVO1" s="87" t="n"/>
      <c r="NVP1" s="87" t="n"/>
      <c r="NVQ1" s="87" t="n"/>
      <c r="NVR1" s="87" t="n"/>
      <c r="NVS1" s="87" t="n"/>
      <c r="NVT1" s="87" t="n"/>
      <c r="NVU1" s="87" t="n"/>
      <c r="NVV1" s="87" t="n"/>
      <c r="NVW1" s="87" t="n"/>
      <c r="NVX1" s="87" t="n"/>
      <c r="NVY1" s="87" t="n"/>
      <c r="NVZ1" s="87" t="n"/>
      <c r="NWA1" s="87" t="n"/>
      <c r="NWB1" s="87" t="n"/>
      <c r="NWC1" s="87" t="n"/>
      <c r="NWD1" s="87" t="n"/>
      <c r="NWE1" s="87" t="n"/>
      <c r="NWF1" s="87" t="n"/>
      <c r="NWG1" s="87" t="n"/>
      <c r="NWH1" s="87" t="n"/>
      <c r="NWI1" s="87" t="n"/>
      <c r="NWJ1" s="87" t="n"/>
      <c r="NWK1" s="87" t="n"/>
      <c r="NWL1" s="87" t="n"/>
      <c r="NWM1" s="87" t="n"/>
      <c r="NWN1" s="87" t="n"/>
      <c r="NWO1" s="87" t="n"/>
      <c r="NWP1" s="87" t="n"/>
      <c r="NWQ1" s="87" t="n"/>
      <c r="NWR1" s="87" t="n"/>
      <c r="NWS1" s="87" t="n"/>
      <c r="NWT1" s="87" t="n"/>
      <c r="NWU1" s="87" t="n"/>
      <c r="NWV1" s="87" t="n"/>
      <c r="NWW1" s="87" t="n"/>
      <c r="NWX1" s="87" t="n"/>
      <c r="NWY1" s="87" t="n"/>
      <c r="NWZ1" s="87" t="n"/>
      <c r="NXA1" s="87" t="n"/>
      <c r="NXB1" s="87" t="n"/>
      <c r="NXC1" s="87" t="n"/>
      <c r="NXD1" s="87" t="n"/>
      <c r="NXE1" s="87" t="n"/>
      <c r="NXF1" s="87" t="n"/>
      <c r="NXG1" s="87" t="n"/>
      <c r="NXH1" s="87" t="n"/>
      <c r="NXI1" s="87" t="n"/>
      <c r="NXJ1" s="87" t="n"/>
      <c r="NXK1" s="87" t="n"/>
      <c r="NXL1" s="87" t="n"/>
      <c r="NXM1" s="87" t="n"/>
      <c r="NXN1" s="87" t="n"/>
      <c r="NXO1" s="87" t="n"/>
      <c r="NXP1" s="87" t="n"/>
      <c r="NXQ1" s="87" t="n"/>
      <c r="NXR1" s="87" t="n"/>
      <c r="NXS1" s="87" t="n"/>
      <c r="NXT1" s="87" t="n"/>
      <c r="NXU1" s="87" t="n"/>
      <c r="NXV1" s="87" t="n"/>
      <c r="NXW1" s="87" t="n"/>
      <c r="NXX1" s="87" t="n"/>
      <c r="NXY1" s="87" t="n"/>
      <c r="NXZ1" s="87" t="n"/>
      <c r="NYA1" s="87" t="n"/>
      <c r="NYB1" s="87" t="n"/>
      <c r="NYC1" s="87" t="n"/>
      <c r="NYD1" s="87" t="n"/>
      <c r="NYE1" s="87" t="n"/>
      <c r="NYF1" s="87" t="n"/>
      <c r="NYG1" s="87" t="n"/>
      <c r="NYH1" s="87" t="n"/>
      <c r="NYI1" s="87" t="n"/>
      <c r="NYJ1" s="87" t="n"/>
      <c r="NYK1" s="87" t="n"/>
      <c r="NYL1" s="87" t="n"/>
      <c r="NYM1" s="87" t="n"/>
      <c r="NYN1" s="87" t="n"/>
      <c r="NYO1" s="87" t="n"/>
      <c r="NYP1" s="87" t="n"/>
      <c r="NYQ1" s="87" t="n"/>
      <c r="NYR1" s="87" t="n"/>
      <c r="NYS1" s="87" t="n"/>
      <c r="NYT1" s="87" t="n"/>
      <c r="NYU1" s="87" t="n"/>
      <c r="NYV1" s="87" t="n"/>
      <c r="NYW1" s="87" t="n"/>
      <c r="NYX1" s="87" t="n"/>
      <c r="NYY1" s="87" t="n"/>
      <c r="NYZ1" s="87" t="n"/>
      <c r="NZA1" s="87" t="n"/>
      <c r="NZB1" s="87" t="n"/>
      <c r="NZC1" s="87" t="n"/>
      <c r="NZD1" s="87" t="n"/>
      <c r="NZE1" s="87" t="n"/>
      <c r="NZF1" s="87" t="n"/>
      <c r="NZG1" s="87" t="n"/>
      <c r="NZH1" s="87" t="n"/>
      <c r="NZI1" s="87" t="n"/>
      <c r="NZJ1" s="87" t="n"/>
      <c r="NZK1" s="87" t="n"/>
      <c r="NZL1" s="87" t="n"/>
      <c r="NZM1" s="87" t="n"/>
      <c r="NZN1" s="87" t="n"/>
      <c r="NZO1" s="87" t="n"/>
      <c r="NZP1" s="87" t="n"/>
      <c r="NZQ1" s="87" t="n"/>
      <c r="NZR1" s="87" t="n"/>
      <c r="NZS1" s="87" t="n"/>
      <c r="NZT1" s="87" t="n"/>
      <c r="NZU1" s="87" t="n"/>
      <c r="NZV1" s="87" t="n"/>
      <c r="NZW1" s="87" t="n"/>
      <c r="NZX1" s="87" t="n"/>
      <c r="NZY1" s="87" t="n"/>
      <c r="NZZ1" s="87" t="n"/>
      <c r="OAA1" s="87" t="n"/>
      <c r="OAB1" s="87" t="n"/>
      <c r="OAC1" s="87" t="n"/>
      <c r="OAD1" s="87" t="n"/>
      <c r="OAE1" s="87" t="n"/>
      <c r="OAF1" s="87" t="n"/>
      <c r="OAG1" s="87" t="n"/>
      <c r="OAH1" s="87" t="n"/>
      <c r="OAI1" s="87" t="n"/>
      <c r="OAJ1" s="87" t="n"/>
      <c r="OAK1" s="87" t="n"/>
      <c r="OAL1" s="87" t="n"/>
      <c r="OAM1" s="87" t="n"/>
      <c r="OAN1" s="87" t="n"/>
      <c r="OAO1" s="87" t="n"/>
      <c r="OAP1" s="87" t="n"/>
      <c r="OAQ1" s="87" t="n"/>
      <c r="OAR1" s="87" t="n"/>
      <c r="OAS1" s="87" t="n"/>
      <c r="OAT1" s="87" t="n"/>
      <c r="OAU1" s="87" t="n"/>
      <c r="OAV1" s="87" t="n"/>
      <c r="OAW1" s="87" t="n"/>
      <c r="OAX1" s="87" t="n"/>
      <c r="OAY1" s="87" t="n"/>
      <c r="OAZ1" s="87" t="n"/>
      <c r="OBA1" s="87" t="n"/>
      <c r="OBB1" s="87" t="n"/>
      <c r="OBC1" s="87" t="n"/>
      <c r="OBD1" s="87" t="n"/>
      <c r="OBE1" s="87" t="n"/>
      <c r="OBF1" s="87" t="n"/>
      <c r="OBG1" s="87" t="n"/>
      <c r="OBH1" s="87" t="n"/>
      <c r="OBI1" s="87" t="n"/>
      <c r="OBJ1" s="87" t="n"/>
      <c r="OBK1" s="87" t="n"/>
      <c r="OBL1" s="87" t="n"/>
      <c r="OBM1" s="87" t="n"/>
      <c r="OBN1" s="87" t="n"/>
      <c r="OBO1" s="87" t="n"/>
      <c r="OBP1" s="87" t="n"/>
      <c r="OBQ1" s="87" t="n"/>
      <c r="OBR1" s="87" t="n"/>
      <c r="OBS1" s="87" t="n"/>
      <c r="OBT1" s="87" t="n"/>
      <c r="OBU1" s="87" t="n"/>
      <c r="OBV1" s="87" t="n"/>
      <c r="OBW1" s="87" t="n"/>
      <c r="OBX1" s="87" t="n"/>
      <c r="OBY1" s="87" t="n"/>
      <c r="OBZ1" s="87" t="n"/>
      <c r="OCA1" s="87" t="n"/>
      <c r="OCB1" s="87" t="n"/>
      <c r="OCC1" s="87" t="n"/>
      <c r="OCD1" s="87" t="n"/>
      <c r="OCE1" s="87" t="n"/>
      <c r="OCF1" s="87" t="n"/>
      <c r="OCG1" s="87" t="n"/>
      <c r="OCH1" s="87" t="n"/>
      <c r="OCI1" s="87" t="n"/>
      <c r="OCJ1" s="87" t="n"/>
      <c r="OCK1" s="87" t="n"/>
      <c r="OCL1" s="87" t="n"/>
      <c r="OCM1" s="87" t="n"/>
      <c r="OCN1" s="87" t="n"/>
      <c r="OCO1" s="87" t="n"/>
      <c r="OCP1" s="87" t="n"/>
      <c r="OCQ1" s="87" t="n"/>
      <c r="OCR1" s="87" t="n"/>
      <c r="OCS1" s="87" t="n"/>
      <c r="OCT1" s="87" t="n"/>
      <c r="OCU1" s="87" t="n"/>
      <c r="OCV1" s="87" t="n"/>
      <c r="OCW1" s="87" t="n"/>
      <c r="OCX1" s="87" t="n"/>
      <c r="OCY1" s="87" t="n"/>
      <c r="OCZ1" s="87" t="n"/>
      <c r="ODA1" s="87" t="n"/>
      <c r="ODB1" s="87" t="n"/>
      <c r="ODC1" s="87" t="n"/>
      <c r="ODD1" s="87" t="n"/>
      <c r="ODE1" s="87" t="n"/>
      <c r="ODF1" s="87" t="n"/>
      <c r="ODG1" s="87" t="n"/>
      <c r="ODH1" s="87" t="n"/>
      <c r="ODI1" s="87" t="n"/>
      <c r="ODJ1" s="87" t="n"/>
      <c r="ODK1" s="87" t="n"/>
      <c r="ODL1" s="87" t="n"/>
      <c r="ODM1" s="87" t="n"/>
      <c r="ODN1" s="87" t="n"/>
      <c r="ODO1" s="87" t="n"/>
      <c r="ODP1" s="87" t="n"/>
      <c r="ODQ1" s="87" t="n"/>
      <c r="ODR1" s="87" t="n"/>
      <c r="ODS1" s="87" t="n"/>
      <c r="ODT1" s="87" t="n"/>
      <c r="ODU1" s="87" t="n"/>
      <c r="ODV1" s="87" t="n"/>
      <c r="ODW1" s="87" t="n"/>
      <c r="ODX1" s="87" t="n"/>
      <c r="ODY1" s="87" t="n"/>
      <c r="ODZ1" s="87" t="n"/>
      <c r="OEA1" s="87" t="n"/>
      <c r="OEB1" s="87" t="n"/>
      <c r="OEC1" s="87" t="n"/>
      <c r="OED1" s="87" t="n"/>
      <c r="OEE1" s="87" t="n"/>
      <c r="OEF1" s="87" t="n"/>
      <c r="OEG1" s="87" t="n"/>
      <c r="OEH1" s="87" t="n"/>
      <c r="OEI1" s="87" t="n"/>
      <c r="OEJ1" s="87" t="n"/>
      <c r="OEK1" s="87" t="n"/>
      <c r="OEL1" s="87" t="n"/>
      <c r="OEM1" s="87" t="n"/>
      <c r="OEN1" s="87" t="n"/>
      <c r="OEO1" s="87" t="n"/>
      <c r="OEP1" s="87" t="n"/>
      <c r="OEQ1" s="87" t="n"/>
      <c r="OER1" s="87" t="n"/>
      <c r="OES1" s="87" t="n"/>
      <c r="OET1" s="87" t="n"/>
      <c r="OEU1" s="87" t="n"/>
      <c r="OEV1" s="87" t="n"/>
      <c r="OEW1" s="87" t="n"/>
      <c r="OEX1" s="87" t="n"/>
      <c r="OEY1" s="87" t="n"/>
      <c r="OEZ1" s="87" t="n"/>
      <c r="OFA1" s="87" t="n"/>
      <c r="OFB1" s="87" t="n"/>
      <c r="OFC1" s="87" t="n"/>
      <c r="OFD1" s="87" t="n"/>
      <c r="OFE1" s="87" t="n"/>
      <c r="OFF1" s="87" t="n"/>
      <c r="OFG1" s="87" t="n"/>
      <c r="OFH1" s="87" t="n"/>
      <c r="OFI1" s="87" t="n"/>
      <c r="OFJ1" s="87" t="n"/>
      <c r="OFK1" s="87" t="n"/>
      <c r="OFL1" s="87" t="n"/>
      <c r="OFM1" s="87" t="n"/>
      <c r="OFN1" s="87" t="n"/>
      <c r="OFO1" s="87" t="n"/>
      <c r="OFP1" s="87" t="n"/>
      <c r="OFQ1" s="87" t="n"/>
      <c r="OFR1" s="87" t="n"/>
      <c r="OFS1" s="87" t="n"/>
      <c r="OFT1" s="87" t="n"/>
      <c r="OFU1" s="87" t="n"/>
      <c r="OFV1" s="87" t="n"/>
      <c r="OFW1" s="87" t="n"/>
      <c r="OFX1" s="87" t="n"/>
      <c r="OFY1" s="87" t="n"/>
      <c r="OFZ1" s="87" t="n"/>
      <c r="OGA1" s="87" t="n"/>
      <c r="OGB1" s="87" t="n"/>
      <c r="OGC1" s="87" t="n"/>
      <c r="OGD1" s="87" t="n"/>
      <c r="OGE1" s="87" t="n"/>
      <c r="OGF1" s="87" t="n"/>
      <c r="OGG1" s="87" t="n"/>
      <c r="OGH1" s="87" t="n"/>
      <c r="OGI1" s="87" t="n"/>
      <c r="OGJ1" s="87" t="n"/>
      <c r="OGK1" s="87" t="n"/>
      <c r="OGL1" s="87" t="n"/>
      <c r="OGM1" s="87" t="n"/>
      <c r="OGN1" s="87" t="n"/>
      <c r="OGO1" s="87" t="n"/>
      <c r="OGP1" s="87" t="n"/>
      <c r="OGQ1" s="87" t="n"/>
      <c r="OGR1" s="87" t="n"/>
      <c r="OGS1" s="87" t="n"/>
      <c r="OGT1" s="87" t="n"/>
      <c r="OGU1" s="87" t="n"/>
      <c r="OGV1" s="87" t="n"/>
      <c r="OGW1" s="87" t="n"/>
      <c r="OGX1" s="87" t="n"/>
      <c r="OGY1" s="87" t="n"/>
      <c r="OGZ1" s="87" t="n"/>
      <c r="OHA1" s="87" t="n"/>
      <c r="OHB1" s="87" t="n"/>
      <c r="OHC1" s="87" t="n"/>
      <c r="OHD1" s="87" t="n"/>
      <c r="OHE1" s="87" t="n"/>
      <c r="OHF1" s="87" t="n"/>
      <c r="OHG1" s="87" t="n"/>
      <c r="OHH1" s="87" t="n"/>
      <c r="OHI1" s="87" t="n"/>
      <c r="OHJ1" s="87" t="n"/>
      <c r="OHK1" s="87" t="n"/>
      <c r="OHL1" s="87" t="n"/>
      <c r="OHM1" s="87" t="n"/>
      <c r="OHN1" s="87" t="n"/>
      <c r="OHO1" s="87" t="n"/>
      <c r="OHP1" s="87" t="n"/>
      <c r="OHQ1" s="87" t="n"/>
      <c r="OHR1" s="87" t="n"/>
      <c r="OHS1" s="87" t="n"/>
      <c r="OHT1" s="87" t="n"/>
      <c r="OHU1" s="87" t="n"/>
      <c r="OHV1" s="87" t="n"/>
      <c r="OHW1" s="87" t="n"/>
      <c r="OHX1" s="87" t="n"/>
      <c r="OHY1" s="87" t="n"/>
      <c r="OHZ1" s="87" t="n"/>
      <c r="OIA1" s="87" t="n"/>
      <c r="OIB1" s="87" t="n"/>
      <c r="OIC1" s="87" t="n"/>
      <c r="OID1" s="87" t="n"/>
      <c r="OIE1" s="87" t="n"/>
      <c r="OIF1" s="87" t="n"/>
      <c r="OIG1" s="87" t="n"/>
      <c r="OIH1" s="87" t="n"/>
      <c r="OII1" s="87" t="n"/>
      <c r="OIJ1" s="87" t="n"/>
      <c r="OIK1" s="87" t="n"/>
      <c r="OIL1" s="87" t="n"/>
      <c r="OIM1" s="87" t="n"/>
      <c r="OIN1" s="87" t="n"/>
      <c r="OIO1" s="87" t="n"/>
      <c r="OIP1" s="87" t="n"/>
      <c r="OIQ1" s="87" t="n"/>
      <c r="OIR1" s="87" t="n"/>
      <c r="OIS1" s="87" t="n"/>
      <c r="OIT1" s="87" t="n"/>
      <c r="OIU1" s="87" t="n"/>
      <c r="OIV1" s="87" t="n"/>
      <c r="OIW1" s="87" t="n"/>
      <c r="OIX1" s="87" t="n"/>
      <c r="OIY1" s="87" t="n"/>
      <c r="OIZ1" s="87" t="n"/>
      <c r="OJA1" s="87" t="n"/>
      <c r="OJB1" s="87" t="n"/>
      <c r="OJC1" s="87" t="n"/>
      <c r="OJD1" s="87" t="n"/>
      <c r="OJE1" s="87" t="n"/>
      <c r="OJF1" s="87" t="n"/>
      <c r="OJG1" s="87" t="n"/>
      <c r="OJH1" s="87" t="n"/>
      <c r="OJI1" s="87" t="n"/>
      <c r="OJJ1" s="87" t="n"/>
      <c r="OJK1" s="87" t="n"/>
      <c r="OJL1" s="87" t="n"/>
      <c r="OJM1" s="87" t="n"/>
      <c r="OJN1" s="87" t="n"/>
      <c r="OJO1" s="87" t="n"/>
      <c r="OJP1" s="87" t="n"/>
      <c r="OJQ1" s="87" t="n"/>
      <c r="OJR1" s="87" t="n"/>
      <c r="OJS1" s="87" t="n"/>
      <c r="OJT1" s="87" t="n"/>
      <c r="OJU1" s="87" t="n"/>
      <c r="OJV1" s="87" t="n"/>
      <c r="OJW1" s="87" t="n"/>
      <c r="OJX1" s="87" t="n"/>
      <c r="OJY1" s="87" t="n"/>
      <c r="OJZ1" s="87" t="n"/>
      <c r="OKA1" s="87" t="n"/>
      <c r="OKB1" s="87" t="n"/>
      <c r="OKC1" s="87" t="n"/>
      <c r="OKD1" s="87" t="n"/>
      <c r="OKE1" s="87" t="n"/>
      <c r="OKF1" s="87" t="n"/>
      <c r="OKG1" s="87" t="n"/>
      <c r="OKH1" s="87" t="n"/>
      <c r="OKI1" s="87" t="n"/>
      <c r="OKJ1" s="87" t="n"/>
      <c r="OKK1" s="87" t="n"/>
      <c r="OKL1" s="87" t="n"/>
      <c r="OKM1" s="87" t="n"/>
      <c r="OKN1" s="87" t="n"/>
      <c r="OKO1" s="87" t="n"/>
      <c r="OKP1" s="87" t="n"/>
      <c r="OKQ1" s="87" t="n"/>
      <c r="OKR1" s="87" t="n"/>
      <c r="OKS1" s="87" t="n"/>
      <c r="OKT1" s="87" t="n"/>
      <c r="OKU1" s="87" t="n"/>
      <c r="OKV1" s="87" t="n"/>
      <c r="OKW1" s="87" t="n"/>
      <c r="OKX1" s="87" t="n"/>
      <c r="OKY1" s="87" t="n"/>
      <c r="OKZ1" s="87" t="n"/>
      <c r="OLA1" s="87" t="n"/>
      <c r="OLB1" s="87" t="n"/>
      <c r="OLC1" s="87" t="n"/>
      <c r="OLD1" s="87" t="n"/>
      <c r="OLE1" s="87" t="n"/>
      <c r="OLF1" s="87" t="n"/>
      <c r="OLG1" s="87" t="n"/>
      <c r="OLH1" s="87" t="n"/>
      <c r="OLI1" s="87" t="n"/>
      <c r="OLJ1" s="87" t="n"/>
      <c r="OLK1" s="87" t="n"/>
      <c r="OLL1" s="87" t="n"/>
      <c r="OLM1" s="87" t="n"/>
      <c r="OLN1" s="87" t="n"/>
      <c r="OLO1" s="87" t="n"/>
      <c r="OLP1" s="87" t="n"/>
      <c r="OLQ1" s="87" t="n"/>
      <c r="OLR1" s="87" t="n"/>
      <c r="OLS1" s="87" t="n"/>
      <c r="OLT1" s="87" t="n"/>
      <c r="OLU1" s="87" t="n"/>
      <c r="OLV1" s="87" t="n"/>
      <c r="OLW1" s="87" t="n"/>
      <c r="OLX1" s="87" t="n"/>
      <c r="OLY1" s="87" t="n"/>
      <c r="OLZ1" s="87" t="n"/>
      <c r="OMA1" s="87" t="n"/>
      <c r="OMB1" s="87" t="n"/>
      <c r="OMC1" s="87" t="n"/>
      <c r="OMD1" s="87" t="n"/>
      <c r="OME1" s="87" t="n"/>
      <c r="OMF1" s="87" t="n"/>
      <c r="OMG1" s="87" t="n"/>
      <c r="OMH1" s="87" t="n"/>
      <c r="OMI1" s="87" t="n"/>
      <c r="OMJ1" s="87" t="n"/>
      <c r="OMK1" s="87" t="n"/>
      <c r="OML1" s="87" t="n"/>
      <c r="OMM1" s="87" t="n"/>
      <c r="OMN1" s="87" t="n"/>
      <c r="OMO1" s="87" t="n"/>
      <c r="OMP1" s="87" t="n"/>
      <c r="OMQ1" s="87" t="n"/>
      <c r="OMR1" s="87" t="n"/>
      <c r="OMS1" s="87" t="n"/>
      <c r="OMT1" s="87" t="n"/>
      <c r="OMU1" s="87" t="n"/>
      <c r="OMV1" s="87" t="n"/>
      <c r="OMW1" s="87" t="n"/>
      <c r="OMX1" s="87" t="n"/>
      <c r="OMY1" s="87" t="n"/>
      <c r="OMZ1" s="87" t="n"/>
      <c r="ONA1" s="87" t="n"/>
      <c r="ONB1" s="87" t="n"/>
      <c r="ONC1" s="87" t="n"/>
      <c r="OND1" s="87" t="n"/>
      <c r="ONE1" s="87" t="n"/>
      <c r="ONF1" s="87" t="n"/>
      <c r="ONG1" s="87" t="n"/>
      <c r="ONH1" s="87" t="n"/>
      <c r="ONI1" s="87" t="n"/>
      <c r="ONJ1" s="87" t="n"/>
      <c r="ONK1" s="87" t="n"/>
      <c r="ONL1" s="87" t="n"/>
      <c r="ONM1" s="87" t="n"/>
      <c r="ONN1" s="87" t="n"/>
      <c r="ONO1" s="87" t="n"/>
      <c r="ONP1" s="87" t="n"/>
      <c r="ONQ1" s="87" t="n"/>
      <c r="ONR1" s="87" t="n"/>
      <c r="ONS1" s="87" t="n"/>
      <c r="ONT1" s="87" t="n"/>
      <c r="ONU1" s="87" t="n"/>
      <c r="ONV1" s="87" t="n"/>
      <c r="ONW1" s="87" t="n"/>
      <c r="ONX1" s="87" t="n"/>
      <c r="ONY1" s="87" t="n"/>
      <c r="ONZ1" s="87" t="n"/>
      <c r="OOA1" s="87" t="n"/>
      <c r="OOB1" s="87" t="n"/>
      <c r="OOC1" s="87" t="n"/>
      <c r="OOD1" s="87" t="n"/>
      <c r="OOE1" s="87" t="n"/>
      <c r="OOF1" s="87" t="n"/>
      <c r="OOG1" s="87" t="n"/>
      <c r="OOH1" s="87" t="n"/>
      <c r="OOI1" s="87" t="n"/>
      <c r="OOJ1" s="87" t="n"/>
      <c r="OOK1" s="87" t="n"/>
      <c r="OOL1" s="87" t="n"/>
      <c r="OOM1" s="87" t="n"/>
      <c r="OON1" s="87" t="n"/>
      <c r="OOO1" s="87" t="n"/>
      <c r="OOP1" s="87" t="n"/>
      <c r="OOQ1" s="87" t="n"/>
      <c r="OOR1" s="87" t="n"/>
      <c r="OOS1" s="87" t="n"/>
      <c r="OOT1" s="87" t="n"/>
      <c r="OOU1" s="87" t="n"/>
      <c r="OOV1" s="87" t="n"/>
      <c r="OOW1" s="87" t="n"/>
      <c r="OOX1" s="87" t="n"/>
      <c r="OOY1" s="87" t="n"/>
      <c r="OOZ1" s="87" t="n"/>
      <c r="OPA1" s="87" t="n"/>
      <c r="OPB1" s="87" t="n"/>
      <c r="OPC1" s="87" t="n"/>
      <c r="OPD1" s="87" t="n"/>
      <c r="OPE1" s="87" t="n"/>
      <c r="OPF1" s="87" t="n"/>
      <c r="OPG1" s="87" t="n"/>
      <c r="OPH1" s="87" t="n"/>
      <c r="OPI1" s="87" t="n"/>
      <c r="OPJ1" s="87" t="n"/>
      <c r="OPK1" s="87" t="n"/>
      <c r="OPL1" s="87" t="n"/>
      <c r="OPM1" s="87" t="n"/>
      <c r="OPN1" s="87" t="n"/>
      <c r="OPO1" s="87" t="n"/>
      <c r="OPP1" s="87" t="n"/>
      <c r="OPQ1" s="87" t="n"/>
      <c r="OPR1" s="87" t="n"/>
      <c r="OPS1" s="87" t="n"/>
      <c r="OPT1" s="87" t="n"/>
      <c r="OPU1" s="87" t="n"/>
      <c r="OPV1" s="87" t="n"/>
      <c r="OPW1" s="87" t="n"/>
      <c r="OPX1" s="87" t="n"/>
      <c r="OPY1" s="87" t="n"/>
      <c r="OPZ1" s="87" t="n"/>
      <c r="OQA1" s="87" t="n"/>
      <c r="OQB1" s="87" t="n"/>
      <c r="OQC1" s="87" t="n"/>
      <c r="OQD1" s="87" t="n"/>
      <c r="OQE1" s="87" t="n"/>
      <c r="OQF1" s="87" t="n"/>
      <c r="OQG1" s="87" t="n"/>
      <c r="OQH1" s="87" t="n"/>
      <c r="OQI1" s="87" t="n"/>
      <c r="OQJ1" s="87" t="n"/>
      <c r="OQK1" s="87" t="n"/>
      <c r="OQL1" s="87" t="n"/>
      <c r="OQM1" s="87" t="n"/>
      <c r="OQN1" s="87" t="n"/>
      <c r="OQO1" s="87" t="n"/>
      <c r="OQP1" s="87" t="n"/>
      <c r="OQQ1" s="87" t="n"/>
      <c r="OQR1" s="87" t="n"/>
      <c r="OQS1" s="87" t="n"/>
      <c r="OQT1" s="87" t="n"/>
      <c r="OQU1" s="87" t="n"/>
      <c r="OQV1" s="87" t="n"/>
      <c r="OQW1" s="87" t="n"/>
      <c r="OQX1" s="87" t="n"/>
      <c r="OQY1" s="87" t="n"/>
      <c r="OQZ1" s="87" t="n"/>
      <c r="ORA1" s="87" t="n"/>
      <c r="ORB1" s="87" t="n"/>
      <c r="ORC1" s="87" t="n"/>
      <c r="ORD1" s="87" t="n"/>
      <c r="ORE1" s="87" t="n"/>
      <c r="ORF1" s="87" t="n"/>
      <c r="ORG1" s="87" t="n"/>
      <c r="ORH1" s="87" t="n"/>
      <c r="ORI1" s="87" t="n"/>
      <c r="ORJ1" s="87" t="n"/>
      <c r="ORK1" s="87" t="n"/>
      <c r="ORL1" s="87" t="n"/>
      <c r="ORM1" s="87" t="n"/>
      <c r="ORN1" s="87" t="n"/>
      <c r="ORO1" s="87" t="n"/>
      <c r="ORP1" s="87" t="n"/>
      <c r="ORQ1" s="87" t="n"/>
      <c r="ORR1" s="87" t="n"/>
      <c r="ORS1" s="87" t="n"/>
      <c r="ORT1" s="87" t="n"/>
      <c r="ORU1" s="87" t="n"/>
      <c r="ORV1" s="87" t="n"/>
      <c r="ORW1" s="87" t="n"/>
      <c r="ORX1" s="87" t="n"/>
      <c r="ORY1" s="87" t="n"/>
      <c r="ORZ1" s="87" t="n"/>
      <c r="OSA1" s="87" t="n"/>
      <c r="OSB1" s="87" t="n"/>
      <c r="OSC1" s="87" t="n"/>
      <c r="OSD1" s="87" t="n"/>
      <c r="OSE1" s="87" t="n"/>
      <c r="OSF1" s="87" t="n"/>
      <c r="OSG1" s="87" t="n"/>
      <c r="OSH1" s="87" t="n"/>
      <c r="OSI1" s="87" t="n"/>
      <c r="OSJ1" s="87" t="n"/>
      <c r="OSK1" s="87" t="n"/>
      <c r="OSL1" s="87" t="n"/>
      <c r="OSM1" s="87" t="n"/>
      <c r="OSN1" s="87" t="n"/>
      <c r="OSO1" s="87" t="n"/>
      <c r="OSP1" s="87" t="n"/>
      <c r="OSQ1" s="87" t="n"/>
      <c r="OSR1" s="87" t="n"/>
      <c r="OSS1" s="87" t="n"/>
      <c r="OST1" s="87" t="n"/>
      <c r="OSU1" s="87" t="n"/>
      <c r="OSV1" s="87" t="n"/>
      <c r="OSW1" s="87" t="n"/>
      <c r="OSX1" s="87" t="n"/>
      <c r="OSY1" s="87" t="n"/>
      <c r="OSZ1" s="87" t="n"/>
      <c r="OTA1" s="87" t="n"/>
      <c r="OTB1" s="87" t="n"/>
      <c r="OTC1" s="87" t="n"/>
      <c r="OTD1" s="87" t="n"/>
      <c r="OTE1" s="87" t="n"/>
      <c r="OTF1" s="87" t="n"/>
      <c r="OTG1" s="87" t="n"/>
      <c r="OTH1" s="87" t="n"/>
      <c r="OTI1" s="87" t="n"/>
      <c r="OTJ1" s="87" t="n"/>
      <c r="OTK1" s="87" t="n"/>
      <c r="OTL1" s="87" t="n"/>
      <c r="OTM1" s="87" t="n"/>
      <c r="OTN1" s="87" t="n"/>
      <c r="OTO1" s="87" t="n"/>
      <c r="OTP1" s="87" t="n"/>
      <c r="OTQ1" s="87" t="n"/>
      <c r="OTR1" s="87" t="n"/>
      <c r="OTS1" s="87" t="n"/>
      <c r="OTT1" s="87" t="n"/>
      <c r="OTU1" s="87" t="n"/>
      <c r="OTV1" s="87" t="n"/>
      <c r="OTW1" s="87" t="n"/>
      <c r="OTX1" s="87" t="n"/>
      <c r="OTY1" s="87" t="n"/>
      <c r="OTZ1" s="87" t="n"/>
      <c r="OUA1" s="87" t="n"/>
      <c r="OUB1" s="87" t="n"/>
      <c r="OUC1" s="87" t="n"/>
      <c r="OUD1" s="87" t="n"/>
      <c r="OUE1" s="87" t="n"/>
      <c r="OUF1" s="87" t="n"/>
      <c r="OUG1" s="87" t="n"/>
      <c r="OUH1" s="87" t="n"/>
      <c r="OUI1" s="87" t="n"/>
      <c r="OUJ1" s="87" t="n"/>
      <c r="OUK1" s="87" t="n"/>
      <c r="OUL1" s="87" t="n"/>
      <c r="OUM1" s="87" t="n"/>
      <c r="OUN1" s="87" t="n"/>
      <c r="OUO1" s="87" t="n"/>
      <c r="OUP1" s="87" t="n"/>
      <c r="OUQ1" s="87" t="n"/>
      <c r="OUR1" s="87" t="n"/>
      <c r="OUS1" s="87" t="n"/>
      <c r="OUT1" s="87" t="n"/>
      <c r="OUU1" s="87" t="n"/>
      <c r="OUV1" s="87" t="n"/>
      <c r="OUW1" s="87" t="n"/>
      <c r="OUX1" s="87" t="n"/>
      <c r="OUY1" s="87" t="n"/>
      <c r="OUZ1" s="87" t="n"/>
      <c r="OVA1" s="87" t="n"/>
      <c r="OVB1" s="87" t="n"/>
      <c r="OVC1" s="87" t="n"/>
      <c r="OVD1" s="87" t="n"/>
      <c r="OVE1" s="87" t="n"/>
      <c r="OVF1" s="87" t="n"/>
      <c r="OVG1" s="87" t="n"/>
      <c r="OVH1" s="87" t="n"/>
      <c r="OVI1" s="87" t="n"/>
      <c r="OVJ1" s="87" t="n"/>
      <c r="OVK1" s="87" t="n"/>
      <c r="OVL1" s="87" t="n"/>
      <c r="OVM1" s="87" t="n"/>
      <c r="OVN1" s="87" t="n"/>
      <c r="OVO1" s="87" t="n"/>
      <c r="OVP1" s="87" t="n"/>
      <c r="OVQ1" s="87" t="n"/>
      <c r="OVR1" s="87" t="n"/>
      <c r="OVS1" s="87" t="n"/>
      <c r="OVT1" s="87" t="n"/>
      <c r="OVU1" s="87" t="n"/>
      <c r="OVV1" s="87" t="n"/>
      <c r="OVW1" s="87" t="n"/>
      <c r="OVX1" s="87" t="n"/>
      <c r="OVY1" s="87" t="n"/>
      <c r="OVZ1" s="87" t="n"/>
      <c r="OWA1" s="87" t="n"/>
      <c r="OWB1" s="87" t="n"/>
      <c r="OWC1" s="87" t="n"/>
      <c r="OWD1" s="87" t="n"/>
      <c r="OWE1" s="87" t="n"/>
      <c r="OWF1" s="87" t="n"/>
      <c r="OWG1" s="87" t="n"/>
      <c r="OWH1" s="87" t="n"/>
      <c r="OWI1" s="87" t="n"/>
      <c r="OWJ1" s="87" t="n"/>
      <c r="OWK1" s="87" t="n"/>
      <c r="OWL1" s="87" t="n"/>
      <c r="OWM1" s="87" t="n"/>
      <c r="OWN1" s="87" t="n"/>
      <c r="OWO1" s="87" t="n"/>
      <c r="OWP1" s="87" t="n"/>
      <c r="OWQ1" s="87" t="n"/>
      <c r="OWR1" s="87" t="n"/>
      <c r="OWS1" s="87" t="n"/>
      <c r="OWT1" s="87" t="n"/>
      <c r="OWU1" s="87" t="n"/>
      <c r="OWV1" s="87" t="n"/>
      <c r="OWW1" s="87" t="n"/>
      <c r="OWX1" s="87" t="n"/>
      <c r="OWY1" s="87" t="n"/>
      <c r="OWZ1" s="87" t="n"/>
      <c r="OXA1" s="87" t="n"/>
      <c r="OXB1" s="87" t="n"/>
      <c r="OXC1" s="87" t="n"/>
      <c r="OXD1" s="87" t="n"/>
      <c r="OXE1" s="87" t="n"/>
      <c r="OXF1" s="87" t="n"/>
      <c r="OXG1" s="87" t="n"/>
      <c r="OXH1" s="87" t="n"/>
      <c r="OXI1" s="87" t="n"/>
      <c r="OXJ1" s="87" t="n"/>
      <c r="OXK1" s="87" t="n"/>
      <c r="OXL1" s="87" t="n"/>
      <c r="OXM1" s="87" t="n"/>
      <c r="OXN1" s="87" t="n"/>
      <c r="OXO1" s="87" t="n"/>
      <c r="OXP1" s="87" t="n"/>
      <c r="OXQ1" s="87" t="n"/>
      <c r="OXR1" s="87" t="n"/>
      <c r="OXS1" s="87" t="n"/>
      <c r="OXT1" s="87" t="n"/>
      <c r="OXU1" s="87" t="n"/>
      <c r="OXV1" s="87" t="n"/>
      <c r="OXW1" s="87" t="n"/>
      <c r="OXX1" s="87" t="n"/>
      <c r="OXY1" s="87" t="n"/>
      <c r="OXZ1" s="87" t="n"/>
      <c r="OYA1" s="87" t="n"/>
      <c r="OYB1" s="87" t="n"/>
      <c r="OYC1" s="87" t="n"/>
      <c r="OYD1" s="87" t="n"/>
      <c r="OYE1" s="87" t="n"/>
      <c r="OYF1" s="87" t="n"/>
      <c r="OYG1" s="87" t="n"/>
      <c r="OYH1" s="87" t="n"/>
      <c r="OYI1" s="87" t="n"/>
      <c r="OYJ1" s="87" t="n"/>
      <c r="OYK1" s="87" t="n"/>
      <c r="OYL1" s="87" t="n"/>
      <c r="OYM1" s="87" t="n"/>
      <c r="OYN1" s="87" t="n"/>
      <c r="OYO1" s="87" t="n"/>
      <c r="OYP1" s="87" t="n"/>
      <c r="OYQ1" s="87" t="n"/>
      <c r="OYR1" s="87" t="n"/>
      <c r="OYS1" s="87" t="n"/>
      <c r="OYT1" s="87" t="n"/>
      <c r="OYU1" s="87" t="n"/>
      <c r="OYV1" s="87" t="n"/>
      <c r="OYW1" s="87" t="n"/>
      <c r="OYX1" s="87" t="n"/>
      <c r="OYY1" s="87" t="n"/>
      <c r="OYZ1" s="87" t="n"/>
      <c r="OZA1" s="87" t="n"/>
      <c r="OZB1" s="87" t="n"/>
      <c r="OZC1" s="87" t="n"/>
      <c r="OZD1" s="87" t="n"/>
      <c r="OZE1" s="87" t="n"/>
      <c r="OZF1" s="87" t="n"/>
      <c r="OZG1" s="87" t="n"/>
      <c r="OZH1" s="87" t="n"/>
      <c r="OZI1" s="87" t="n"/>
      <c r="OZJ1" s="87" t="n"/>
      <c r="OZK1" s="87" t="n"/>
      <c r="OZL1" s="87" t="n"/>
      <c r="OZM1" s="87" t="n"/>
      <c r="OZN1" s="87" t="n"/>
      <c r="OZO1" s="87" t="n"/>
      <c r="OZP1" s="87" t="n"/>
      <c r="OZQ1" s="87" t="n"/>
      <c r="OZR1" s="87" t="n"/>
      <c r="OZS1" s="87" t="n"/>
      <c r="OZT1" s="87" t="n"/>
      <c r="OZU1" s="87" t="n"/>
      <c r="OZV1" s="87" t="n"/>
      <c r="OZW1" s="87" t="n"/>
      <c r="OZX1" s="87" t="n"/>
      <c r="OZY1" s="87" t="n"/>
      <c r="OZZ1" s="87" t="n"/>
      <c r="PAA1" s="87" t="n"/>
      <c r="PAB1" s="87" t="n"/>
      <c r="PAC1" s="87" t="n"/>
      <c r="PAD1" s="87" t="n"/>
      <c r="PAE1" s="87" t="n"/>
      <c r="PAF1" s="87" t="n"/>
      <c r="PAG1" s="87" t="n"/>
      <c r="PAH1" s="87" t="n"/>
      <c r="PAI1" s="87" t="n"/>
      <c r="PAJ1" s="87" t="n"/>
      <c r="PAK1" s="87" t="n"/>
      <c r="PAL1" s="87" t="n"/>
      <c r="PAM1" s="87" t="n"/>
      <c r="PAN1" s="87" t="n"/>
      <c r="PAO1" s="87" t="n"/>
      <c r="PAP1" s="87" t="n"/>
      <c r="PAQ1" s="87" t="n"/>
      <c r="PAR1" s="87" t="n"/>
      <c r="PAS1" s="87" t="n"/>
      <c r="PAT1" s="87" t="n"/>
      <c r="PAU1" s="87" t="n"/>
      <c r="PAV1" s="87" t="n"/>
      <c r="PAW1" s="87" t="n"/>
      <c r="PAX1" s="87" t="n"/>
      <c r="PAY1" s="87" t="n"/>
      <c r="PAZ1" s="87" t="n"/>
      <c r="PBA1" s="87" t="n"/>
      <c r="PBB1" s="87" t="n"/>
      <c r="PBC1" s="87" t="n"/>
      <c r="PBD1" s="87" t="n"/>
      <c r="PBE1" s="87" t="n"/>
      <c r="PBF1" s="87" t="n"/>
      <c r="PBG1" s="87" t="n"/>
      <c r="PBH1" s="87" t="n"/>
      <c r="PBI1" s="87" t="n"/>
      <c r="PBJ1" s="87" t="n"/>
      <c r="PBK1" s="87" t="n"/>
      <c r="PBL1" s="87" t="n"/>
      <c r="PBM1" s="87" t="n"/>
      <c r="PBN1" s="87" t="n"/>
      <c r="PBO1" s="87" t="n"/>
      <c r="PBP1" s="87" t="n"/>
      <c r="PBQ1" s="87" t="n"/>
      <c r="PBR1" s="87" t="n"/>
      <c r="PBS1" s="87" t="n"/>
      <c r="PBT1" s="87" t="n"/>
      <c r="PBU1" s="87" t="n"/>
      <c r="PBV1" s="87" t="n"/>
      <c r="PBW1" s="87" t="n"/>
      <c r="PBX1" s="87" t="n"/>
      <c r="PBY1" s="87" t="n"/>
      <c r="PBZ1" s="87" t="n"/>
      <c r="PCA1" s="87" t="n"/>
      <c r="PCB1" s="87" t="n"/>
      <c r="PCC1" s="87" t="n"/>
      <c r="PCD1" s="87" t="n"/>
      <c r="PCE1" s="87" t="n"/>
      <c r="PCF1" s="87" t="n"/>
      <c r="PCG1" s="87" t="n"/>
      <c r="PCH1" s="87" t="n"/>
      <c r="PCI1" s="87" t="n"/>
      <c r="PCJ1" s="87" t="n"/>
      <c r="PCK1" s="87" t="n"/>
      <c r="PCL1" s="87" t="n"/>
      <c r="PCM1" s="87" t="n"/>
      <c r="PCN1" s="87" t="n"/>
      <c r="PCO1" s="87" t="n"/>
      <c r="PCP1" s="87" t="n"/>
      <c r="PCQ1" s="87" t="n"/>
      <c r="PCR1" s="87" t="n"/>
      <c r="PCS1" s="87" t="n"/>
      <c r="PCT1" s="87" t="n"/>
      <c r="PCU1" s="87" t="n"/>
      <c r="PCV1" s="87" t="n"/>
      <c r="PCW1" s="87" t="n"/>
      <c r="PCX1" s="87" t="n"/>
      <c r="PCY1" s="87" t="n"/>
      <c r="PCZ1" s="87" t="n"/>
      <c r="PDA1" s="87" t="n"/>
      <c r="PDB1" s="87" t="n"/>
      <c r="PDC1" s="87" t="n"/>
      <c r="PDD1" s="87" t="n"/>
      <c r="PDE1" s="87" t="n"/>
      <c r="PDF1" s="87" t="n"/>
      <c r="PDG1" s="87" t="n"/>
      <c r="PDH1" s="87" t="n"/>
      <c r="PDI1" s="87" t="n"/>
      <c r="PDJ1" s="87" t="n"/>
      <c r="PDK1" s="87" t="n"/>
      <c r="PDL1" s="87" t="n"/>
      <c r="PDM1" s="87" t="n"/>
      <c r="PDN1" s="87" t="n"/>
      <c r="PDO1" s="87" t="n"/>
      <c r="PDP1" s="87" t="n"/>
      <c r="PDQ1" s="87" t="n"/>
      <c r="PDR1" s="87" t="n"/>
      <c r="PDS1" s="87" t="n"/>
      <c r="PDT1" s="87" t="n"/>
      <c r="PDU1" s="87" t="n"/>
      <c r="PDV1" s="87" t="n"/>
      <c r="PDW1" s="87" t="n"/>
      <c r="PDX1" s="87" t="n"/>
      <c r="PDY1" s="87" t="n"/>
      <c r="PDZ1" s="87" t="n"/>
      <c r="PEA1" s="87" t="n"/>
      <c r="PEB1" s="87" t="n"/>
      <c r="PEC1" s="87" t="n"/>
      <c r="PED1" s="87" t="n"/>
      <c r="PEE1" s="87" t="n"/>
      <c r="PEF1" s="87" t="n"/>
      <c r="PEG1" s="87" t="n"/>
      <c r="PEH1" s="87" t="n"/>
      <c r="PEI1" s="87" t="n"/>
      <c r="PEJ1" s="87" t="n"/>
      <c r="PEK1" s="87" t="n"/>
      <c r="PEL1" s="87" t="n"/>
      <c r="PEM1" s="87" t="n"/>
      <c r="PEN1" s="87" t="n"/>
      <c r="PEO1" s="87" t="n"/>
      <c r="PEP1" s="87" t="n"/>
      <c r="PEQ1" s="87" t="n"/>
      <c r="PER1" s="87" t="n"/>
      <c r="PES1" s="87" t="n"/>
      <c r="PET1" s="87" t="n"/>
      <c r="PEU1" s="87" t="n"/>
      <c r="PEV1" s="87" t="n"/>
      <c r="PEW1" s="87" t="n"/>
      <c r="PEX1" s="87" t="n"/>
      <c r="PEY1" s="87" t="n"/>
      <c r="PEZ1" s="87" t="n"/>
      <c r="PFA1" s="87" t="n"/>
      <c r="PFB1" s="87" t="n"/>
      <c r="PFC1" s="87" t="n"/>
      <c r="PFD1" s="87" t="n"/>
      <c r="PFE1" s="87" t="n"/>
      <c r="PFF1" s="87" t="n"/>
      <c r="PFG1" s="87" t="n"/>
      <c r="PFH1" s="87" t="n"/>
      <c r="PFI1" s="87" t="n"/>
      <c r="PFJ1" s="87" t="n"/>
      <c r="PFK1" s="87" t="n"/>
      <c r="PFL1" s="87" t="n"/>
      <c r="PFM1" s="87" t="n"/>
      <c r="PFN1" s="87" t="n"/>
      <c r="PFO1" s="87" t="n"/>
      <c r="PFP1" s="87" t="n"/>
      <c r="PFQ1" s="87" t="n"/>
      <c r="PFR1" s="87" t="n"/>
      <c r="PFS1" s="87" t="n"/>
      <c r="PFT1" s="87" t="n"/>
      <c r="PFU1" s="87" t="n"/>
      <c r="PFV1" s="87" t="n"/>
      <c r="PFW1" s="87" t="n"/>
      <c r="PFX1" s="87" t="n"/>
      <c r="PFY1" s="87" t="n"/>
      <c r="PFZ1" s="87" t="n"/>
      <c r="PGA1" s="87" t="n"/>
      <c r="PGB1" s="87" t="n"/>
      <c r="PGC1" s="87" t="n"/>
      <c r="PGD1" s="87" t="n"/>
      <c r="PGE1" s="87" t="n"/>
      <c r="PGF1" s="87" t="n"/>
      <c r="PGG1" s="87" t="n"/>
      <c r="PGH1" s="87" t="n"/>
      <c r="PGI1" s="87" t="n"/>
      <c r="PGJ1" s="87" t="n"/>
      <c r="PGK1" s="87" t="n"/>
      <c r="PGL1" s="87" t="n"/>
      <c r="PGM1" s="87" t="n"/>
      <c r="PGN1" s="87" t="n"/>
      <c r="PGO1" s="87" t="n"/>
      <c r="PGP1" s="87" t="n"/>
      <c r="PGQ1" s="87" t="n"/>
      <c r="PGR1" s="87" t="n"/>
      <c r="PGS1" s="87" t="n"/>
      <c r="PGT1" s="87" t="n"/>
      <c r="PGU1" s="87" t="n"/>
      <c r="PGV1" s="87" t="n"/>
      <c r="PGW1" s="87" t="n"/>
      <c r="PGX1" s="87" t="n"/>
      <c r="PGY1" s="87" t="n"/>
      <c r="PGZ1" s="87" t="n"/>
      <c r="PHA1" s="87" t="n"/>
      <c r="PHB1" s="87" t="n"/>
      <c r="PHC1" s="87" t="n"/>
      <c r="PHD1" s="87" t="n"/>
      <c r="PHE1" s="87" t="n"/>
      <c r="PHF1" s="87" t="n"/>
      <c r="PHG1" s="87" t="n"/>
      <c r="PHH1" s="87" t="n"/>
      <c r="PHI1" s="87" t="n"/>
      <c r="PHJ1" s="87" t="n"/>
      <c r="PHK1" s="87" t="n"/>
      <c r="PHL1" s="87" t="n"/>
      <c r="PHM1" s="87" t="n"/>
      <c r="PHN1" s="87" t="n"/>
      <c r="PHO1" s="87" t="n"/>
      <c r="PHP1" s="87" t="n"/>
      <c r="PHQ1" s="87" t="n"/>
      <c r="PHR1" s="87" t="n"/>
      <c r="PHS1" s="87" t="n"/>
      <c r="PHT1" s="87" t="n"/>
      <c r="PHU1" s="87" t="n"/>
      <c r="PHV1" s="87" t="n"/>
      <c r="PHW1" s="87" t="n"/>
      <c r="PHX1" s="87" t="n"/>
      <c r="PHY1" s="87" t="n"/>
      <c r="PHZ1" s="87" t="n"/>
      <c r="PIA1" s="87" t="n"/>
      <c r="PIB1" s="87" t="n"/>
      <c r="PIC1" s="87" t="n"/>
      <c r="PID1" s="87" t="n"/>
      <c r="PIE1" s="87" t="n"/>
      <c r="PIF1" s="87" t="n"/>
      <c r="PIG1" s="87" t="n"/>
      <c r="PIH1" s="87" t="n"/>
      <c r="PII1" s="87" t="n"/>
      <c r="PIJ1" s="87" t="n"/>
      <c r="PIK1" s="87" t="n"/>
      <c r="PIL1" s="87" t="n"/>
      <c r="PIM1" s="87" t="n"/>
      <c r="PIN1" s="87" t="n"/>
      <c r="PIO1" s="87" t="n"/>
      <c r="PIP1" s="87" t="n"/>
      <c r="PIQ1" s="87" t="n"/>
      <c r="PIR1" s="87" t="n"/>
      <c r="PIS1" s="87" t="n"/>
      <c r="PIT1" s="87" t="n"/>
      <c r="PIU1" s="87" t="n"/>
      <c r="PIV1" s="87" t="n"/>
      <c r="PIW1" s="87" t="n"/>
      <c r="PIX1" s="87" t="n"/>
      <c r="PIY1" s="87" t="n"/>
      <c r="PIZ1" s="87" t="n"/>
      <c r="PJA1" s="87" t="n"/>
      <c r="PJB1" s="87" t="n"/>
      <c r="PJC1" s="87" t="n"/>
      <c r="PJD1" s="87" t="n"/>
      <c r="PJE1" s="87" t="n"/>
      <c r="PJF1" s="87" t="n"/>
      <c r="PJG1" s="87" t="n"/>
      <c r="PJH1" s="87" t="n"/>
      <c r="PJI1" s="87" t="n"/>
      <c r="PJJ1" s="87" t="n"/>
      <c r="PJK1" s="87" t="n"/>
      <c r="PJL1" s="87" t="n"/>
      <c r="PJM1" s="87" t="n"/>
      <c r="PJN1" s="87" t="n"/>
      <c r="PJO1" s="87" t="n"/>
      <c r="PJP1" s="87" t="n"/>
      <c r="PJQ1" s="87" t="n"/>
      <c r="PJR1" s="87" t="n"/>
      <c r="PJS1" s="87" t="n"/>
      <c r="PJT1" s="87" t="n"/>
      <c r="PJU1" s="87" t="n"/>
      <c r="PJV1" s="87" t="n"/>
      <c r="PJW1" s="87" t="n"/>
      <c r="PJX1" s="87" t="n"/>
      <c r="PJY1" s="87" t="n"/>
      <c r="PJZ1" s="87" t="n"/>
      <c r="PKA1" s="87" t="n"/>
      <c r="PKB1" s="87" t="n"/>
      <c r="PKC1" s="87" t="n"/>
      <c r="PKD1" s="87" t="n"/>
      <c r="PKE1" s="87" t="n"/>
      <c r="PKF1" s="87" t="n"/>
      <c r="PKG1" s="87" t="n"/>
      <c r="PKH1" s="87" t="n"/>
      <c r="PKI1" s="87" t="n"/>
      <c r="PKJ1" s="87" t="n"/>
      <c r="PKK1" s="87" t="n"/>
      <c r="PKL1" s="87" t="n"/>
      <c r="PKM1" s="87" t="n"/>
      <c r="PKN1" s="87" t="n"/>
      <c r="PKO1" s="87" t="n"/>
      <c r="PKP1" s="87" t="n"/>
      <c r="PKQ1" s="87" t="n"/>
      <c r="PKR1" s="87" t="n"/>
      <c r="PKS1" s="87" t="n"/>
      <c r="PKT1" s="87" t="n"/>
      <c r="PKU1" s="87" t="n"/>
      <c r="PKV1" s="87" t="n"/>
      <c r="PKW1" s="87" t="n"/>
      <c r="PKX1" s="87" t="n"/>
      <c r="PKY1" s="87" t="n"/>
      <c r="PKZ1" s="87" t="n"/>
      <c r="PLA1" s="87" t="n"/>
      <c r="PLB1" s="87" t="n"/>
      <c r="PLC1" s="87" t="n"/>
      <c r="PLD1" s="87" t="n"/>
      <c r="PLE1" s="87" t="n"/>
      <c r="PLF1" s="87" t="n"/>
      <c r="PLG1" s="87" t="n"/>
      <c r="PLH1" s="87" t="n"/>
      <c r="PLI1" s="87" t="n"/>
      <c r="PLJ1" s="87" t="n"/>
      <c r="PLK1" s="87" t="n"/>
      <c r="PLL1" s="87" t="n"/>
      <c r="PLM1" s="87" t="n"/>
      <c r="PLN1" s="87" t="n"/>
      <c r="PLO1" s="87" t="n"/>
      <c r="PLP1" s="87" t="n"/>
      <c r="PLQ1" s="87" t="n"/>
      <c r="PLR1" s="87" t="n"/>
      <c r="PLS1" s="87" t="n"/>
      <c r="PLT1" s="87" t="n"/>
      <c r="PLU1" s="87" t="n"/>
      <c r="PLV1" s="87" t="n"/>
      <c r="PLW1" s="87" t="n"/>
      <c r="PLX1" s="87" t="n"/>
      <c r="PLY1" s="87" t="n"/>
      <c r="PLZ1" s="87" t="n"/>
      <c r="PMA1" s="87" t="n"/>
      <c r="PMB1" s="87" t="n"/>
      <c r="PMC1" s="87" t="n"/>
      <c r="PMD1" s="87" t="n"/>
      <c r="PME1" s="87" t="n"/>
      <c r="PMF1" s="87" t="n"/>
      <c r="PMG1" s="87" t="n"/>
      <c r="PMH1" s="87" t="n"/>
      <c r="PMI1" s="87" t="n"/>
      <c r="PMJ1" s="87" t="n"/>
      <c r="PMK1" s="87" t="n"/>
      <c r="PML1" s="87" t="n"/>
      <c r="PMM1" s="87" t="n"/>
      <c r="PMN1" s="87" t="n"/>
      <c r="PMO1" s="87" t="n"/>
      <c r="PMP1" s="87" t="n"/>
      <c r="PMQ1" s="87" t="n"/>
      <c r="PMR1" s="87" t="n"/>
      <c r="PMS1" s="87" t="n"/>
      <c r="PMT1" s="87" t="n"/>
      <c r="PMU1" s="87" t="n"/>
      <c r="PMV1" s="87" t="n"/>
      <c r="PMW1" s="87" t="n"/>
      <c r="PMX1" s="87" t="n"/>
      <c r="PMY1" s="87" t="n"/>
      <c r="PMZ1" s="87" t="n"/>
      <c r="PNA1" s="87" t="n"/>
      <c r="PNB1" s="87" t="n"/>
      <c r="PNC1" s="87" t="n"/>
      <c r="PND1" s="87" t="n"/>
      <c r="PNE1" s="87" t="n"/>
      <c r="PNF1" s="87" t="n"/>
      <c r="PNG1" s="87" t="n"/>
      <c r="PNH1" s="87" t="n"/>
      <c r="PNI1" s="87" t="n"/>
      <c r="PNJ1" s="87" t="n"/>
      <c r="PNK1" s="87" t="n"/>
      <c r="PNL1" s="87" t="n"/>
      <c r="PNM1" s="87" t="n"/>
      <c r="PNN1" s="87" t="n"/>
      <c r="PNO1" s="87" t="n"/>
      <c r="PNP1" s="87" t="n"/>
      <c r="PNQ1" s="87" t="n"/>
      <c r="PNR1" s="87" t="n"/>
      <c r="PNS1" s="87" t="n"/>
      <c r="PNT1" s="87" t="n"/>
      <c r="PNU1" s="87" t="n"/>
      <c r="PNV1" s="87" t="n"/>
      <c r="PNW1" s="87" t="n"/>
      <c r="PNX1" s="87" t="n"/>
      <c r="PNY1" s="87" t="n"/>
      <c r="PNZ1" s="87" t="n"/>
      <c r="POA1" s="87" t="n"/>
      <c r="POB1" s="87" t="n"/>
      <c r="POC1" s="87" t="n"/>
      <c r="POD1" s="87" t="n"/>
      <c r="POE1" s="87" t="n"/>
      <c r="POF1" s="87" t="n"/>
      <c r="POG1" s="87" t="n"/>
      <c r="POH1" s="87" t="n"/>
      <c r="POI1" s="87" t="n"/>
      <c r="POJ1" s="87" t="n"/>
      <c r="POK1" s="87" t="n"/>
      <c r="POL1" s="87" t="n"/>
      <c r="POM1" s="87" t="n"/>
      <c r="PON1" s="87" t="n"/>
      <c r="POO1" s="87" t="n"/>
      <c r="POP1" s="87" t="n"/>
      <c r="POQ1" s="87" t="n"/>
      <c r="POR1" s="87" t="n"/>
      <c r="POS1" s="87" t="n"/>
      <c r="POT1" s="87" t="n"/>
      <c r="POU1" s="87" t="n"/>
      <c r="POV1" s="87" t="n"/>
      <c r="POW1" s="87" t="n"/>
      <c r="POX1" s="87" t="n"/>
      <c r="POY1" s="87" t="n"/>
      <c r="POZ1" s="87" t="n"/>
      <c r="PPA1" s="87" t="n"/>
      <c r="PPB1" s="87" t="n"/>
      <c r="PPC1" s="87" t="n"/>
      <c r="PPD1" s="87" t="n"/>
      <c r="PPE1" s="87" t="n"/>
      <c r="PPF1" s="87" t="n"/>
      <c r="PPG1" s="87" t="n"/>
      <c r="PPH1" s="87" t="n"/>
      <c r="PPI1" s="87" t="n"/>
      <c r="PPJ1" s="87" t="n"/>
      <c r="PPK1" s="87" t="n"/>
      <c r="PPL1" s="87" t="n"/>
      <c r="PPM1" s="87" t="n"/>
      <c r="PPN1" s="87" t="n"/>
      <c r="PPO1" s="87" t="n"/>
      <c r="PPP1" s="87" t="n"/>
      <c r="PPQ1" s="87" t="n"/>
      <c r="PPR1" s="87" t="n"/>
      <c r="PPS1" s="87" t="n"/>
      <c r="PPT1" s="87" t="n"/>
      <c r="PPU1" s="87" t="n"/>
      <c r="PPV1" s="87" t="n"/>
      <c r="PPW1" s="87" t="n"/>
      <c r="PPX1" s="87" t="n"/>
      <c r="PPY1" s="87" t="n"/>
      <c r="PPZ1" s="87" t="n"/>
      <c r="PQA1" s="87" t="n"/>
      <c r="PQB1" s="87" t="n"/>
      <c r="PQC1" s="87" t="n"/>
      <c r="PQD1" s="87" t="n"/>
      <c r="PQE1" s="87" t="n"/>
      <c r="PQF1" s="87" t="n"/>
      <c r="PQG1" s="87" t="n"/>
      <c r="PQH1" s="87" t="n"/>
      <c r="PQI1" s="87" t="n"/>
      <c r="PQJ1" s="87" t="n"/>
      <c r="PQK1" s="87" t="n"/>
      <c r="PQL1" s="87" t="n"/>
      <c r="PQM1" s="87" t="n"/>
      <c r="PQN1" s="87" t="n"/>
      <c r="PQO1" s="87" t="n"/>
      <c r="PQP1" s="87" t="n"/>
      <c r="PQQ1" s="87" t="n"/>
      <c r="PQR1" s="87" t="n"/>
      <c r="PQS1" s="87" t="n"/>
      <c r="PQT1" s="87" t="n"/>
      <c r="PQU1" s="87" t="n"/>
      <c r="PQV1" s="87" t="n"/>
      <c r="PQW1" s="87" t="n"/>
      <c r="PQX1" s="87" t="n"/>
      <c r="PQY1" s="87" t="n"/>
      <c r="PQZ1" s="87" t="n"/>
      <c r="PRA1" s="87" t="n"/>
      <c r="PRB1" s="87" t="n"/>
      <c r="PRC1" s="87" t="n"/>
      <c r="PRD1" s="87" t="n"/>
      <c r="PRE1" s="87" t="n"/>
      <c r="PRF1" s="87" t="n"/>
      <c r="PRG1" s="87" t="n"/>
      <c r="PRH1" s="87" t="n"/>
      <c r="PRI1" s="87" t="n"/>
      <c r="PRJ1" s="87" t="n"/>
      <c r="PRK1" s="87" t="n"/>
      <c r="PRL1" s="87" t="n"/>
      <c r="PRM1" s="87" t="n"/>
      <c r="PRN1" s="87" t="n"/>
      <c r="PRO1" s="87" t="n"/>
      <c r="PRP1" s="87" t="n"/>
      <c r="PRQ1" s="87" t="n"/>
      <c r="PRR1" s="87" t="n"/>
      <c r="PRS1" s="87" t="n"/>
      <c r="PRT1" s="87" t="n"/>
      <c r="PRU1" s="87" t="n"/>
      <c r="PRV1" s="87" t="n"/>
      <c r="PRW1" s="87" t="n"/>
      <c r="PRX1" s="87" t="n"/>
      <c r="PRY1" s="87" t="n"/>
      <c r="PRZ1" s="87" t="n"/>
      <c r="PSA1" s="87" t="n"/>
      <c r="PSB1" s="87" t="n"/>
      <c r="PSC1" s="87" t="n"/>
      <c r="PSD1" s="87" t="n"/>
      <c r="PSE1" s="87" t="n"/>
      <c r="PSF1" s="87" t="n"/>
      <c r="PSG1" s="87" t="n"/>
      <c r="PSH1" s="87" t="n"/>
      <c r="PSI1" s="87" t="n"/>
      <c r="PSJ1" s="87" t="n"/>
      <c r="PSK1" s="87" t="n"/>
      <c r="PSL1" s="87" t="n"/>
      <c r="PSM1" s="87" t="n"/>
      <c r="PSN1" s="87" t="n"/>
      <c r="PSO1" s="87" t="n"/>
      <c r="PSP1" s="87" t="n"/>
      <c r="PSQ1" s="87" t="n"/>
      <c r="PSR1" s="87" t="n"/>
      <c r="PSS1" s="87" t="n"/>
      <c r="PST1" s="87" t="n"/>
      <c r="PSU1" s="87" t="n"/>
      <c r="PSV1" s="87" t="n"/>
      <c r="PSW1" s="87" t="n"/>
      <c r="PSX1" s="87" t="n"/>
      <c r="PSY1" s="87" t="n"/>
      <c r="PSZ1" s="87" t="n"/>
      <c r="PTA1" s="87" t="n"/>
      <c r="PTB1" s="87" t="n"/>
      <c r="PTC1" s="87" t="n"/>
      <c r="PTD1" s="87" t="n"/>
      <c r="PTE1" s="87" t="n"/>
      <c r="PTF1" s="87" t="n"/>
      <c r="PTG1" s="87" t="n"/>
      <c r="PTH1" s="87" t="n"/>
      <c r="PTI1" s="87" t="n"/>
      <c r="PTJ1" s="87" t="n"/>
      <c r="PTK1" s="87" t="n"/>
      <c r="PTL1" s="87" t="n"/>
      <c r="PTM1" s="87" t="n"/>
      <c r="PTN1" s="87" t="n"/>
      <c r="PTO1" s="87" t="n"/>
      <c r="PTP1" s="87" t="n"/>
      <c r="PTQ1" s="87" t="n"/>
      <c r="PTR1" s="87" t="n"/>
      <c r="PTS1" s="87" t="n"/>
      <c r="PTT1" s="87" t="n"/>
      <c r="PTU1" s="87" t="n"/>
      <c r="PTV1" s="87" t="n"/>
      <c r="PTW1" s="87" t="n"/>
      <c r="PTX1" s="87" t="n"/>
      <c r="PTY1" s="87" t="n"/>
      <c r="PTZ1" s="87" t="n"/>
      <c r="PUA1" s="87" t="n"/>
      <c r="PUB1" s="87" t="n"/>
      <c r="PUC1" s="87" t="n"/>
      <c r="PUD1" s="87" t="n"/>
      <c r="PUE1" s="87" t="n"/>
      <c r="PUF1" s="87" t="n"/>
      <c r="PUG1" s="87" t="n"/>
      <c r="PUH1" s="87" t="n"/>
      <c r="PUI1" s="87" t="n"/>
      <c r="PUJ1" s="87" t="n"/>
      <c r="PUK1" s="87" t="n"/>
      <c r="PUL1" s="87" t="n"/>
      <c r="PUM1" s="87" t="n"/>
      <c r="PUN1" s="87" t="n"/>
      <c r="PUO1" s="87" t="n"/>
      <c r="PUP1" s="87" t="n"/>
      <c r="PUQ1" s="87" t="n"/>
      <c r="PUR1" s="87" t="n"/>
      <c r="PUS1" s="87" t="n"/>
      <c r="PUT1" s="87" t="n"/>
      <c r="PUU1" s="87" t="n"/>
      <c r="PUV1" s="87" t="n"/>
      <c r="PUW1" s="87" t="n"/>
      <c r="PUX1" s="87" t="n"/>
      <c r="PUY1" s="87" t="n"/>
      <c r="PUZ1" s="87" t="n"/>
      <c r="PVA1" s="87" t="n"/>
      <c r="PVB1" s="87" t="n"/>
      <c r="PVC1" s="87" t="n"/>
      <c r="PVD1" s="87" t="n"/>
      <c r="PVE1" s="87" t="n"/>
      <c r="PVF1" s="87" t="n"/>
      <c r="PVG1" s="87" t="n"/>
      <c r="PVH1" s="87" t="n"/>
      <c r="PVI1" s="87" t="n"/>
      <c r="PVJ1" s="87" t="n"/>
      <c r="PVK1" s="87" t="n"/>
      <c r="PVL1" s="87" t="n"/>
      <c r="PVM1" s="87" t="n"/>
      <c r="PVN1" s="87" t="n"/>
      <c r="PVO1" s="87" t="n"/>
      <c r="PVP1" s="87" t="n"/>
      <c r="PVQ1" s="87" t="n"/>
      <c r="PVR1" s="87" t="n"/>
      <c r="PVS1" s="87" t="n"/>
      <c r="PVT1" s="87" t="n"/>
      <c r="PVU1" s="87" t="n"/>
      <c r="PVV1" s="87" t="n"/>
      <c r="PVW1" s="87" t="n"/>
      <c r="PVX1" s="87" t="n"/>
      <c r="PVY1" s="87" t="n"/>
      <c r="PVZ1" s="87" t="n"/>
      <c r="PWA1" s="87" t="n"/>
      <c r="PWB1" s="87" t="n"/>
      <c r="PWC1" s="87" t="n"/>
      <c r="PWD1" s="87" t="n"/>
      <c r="PWE1" s="87" t="n"/>
      <c r="PWF1" s="87" t="n"/>
      <c r="PWG1" s="87" t="n"/>
      <c r="PWH1" s="87" t="n"/>
      <c r="PWI1" s="87" t="n"/>
      <c r="PWJ1" s="87" t="n"/>
      <c r="PWK1" s="87" t="n"/>
      <c r="PWL1" s="87" t="n"/>
      <c r="PWM1" s="87" t="n"/>
      <c r="PWN1" s="87" t="n"/>
      <c r="PWO1" s="87" t="n"/>
      <c r="PWP1" s="87" t="n"/>
      <c r="PWQ1" s="87" t="n"/>
      <c r="PWR1" s="87" t="n"/>
      <c r="PWS1" s="87" t="n"/>
      <c r="PWT1" s="87" t="n"/>
      <c r="PWU1" s="87" t="n"/>
      <c r="PWV1" s="87" t="n"/>
      <c r="PWW1" s="87" t="n"/>
      <c r="PWX1" s="87" t="n"/>
      <c r="PWY1" s="87" t="n"/>
      <c r="PWZ1" s="87" t="n"/>
      <c r="PXA1" s="87" t="n"/>
      <c r="PXB1" s="87" t="n"/>
      <c r="PXC1" s="87" t="n"/>
      <c r="PXD1" s="87" t="n"/>
      <c r="PXE1" s="87" t="n"/>
      <c r="PXF1" s="87" t="n"/>
      <c r="PXG1" s="87" t="n"/>
      <c r="PXH1" s="87" t="n"/>
      <c r="PXI1" s="87" t="n"/>
      <c r="PXJ1" s="87" t="n"/>
      <c r="PXK1" s="87" t="n"/>
      <c r="PXL1" s="87" t="n"/>
      <c r="PXM1" s="87" t="n"/>
      <c r="PXN1" s="87" t="n"/>
      <c r="PXO1" s="87" t="n"/>
      <c r="PXP1" s="87" t="n"/>
      <c r="PXQ1" s="87" t="n"/>
      <c r="PXR1" s="87" t="n"/>
      <c r="PXS1" s="87" t="n"/>
      <c r="PXT1" s="87" t="n"/>
      <c r="PXU1" s="87" t="n"/>
      <c r="PXV1" s="87" t="n"/>
      <c r="PXW1" s="87" t="n"/>
      <c r="PXX1" s="87" t="n"/>
      <c r="PXY1" s="87" t="n"/>
      <c r="PXZ1" s="87" t="n"/>
      <c r="PYA1" s="87" t="n"/>
      <c r="PYB1" s="87" t="n"/>
      <c r="PYC1" s="87" t="n"/>
      <c r="PYD1" s="87" t="n"/>
      <c r="PYE1" s="87" t="n"/>
      <c r="PYF1" s="87" t="n"/>
      <c r="PYG1" s="87" t="n"/>
      <c r="PYH1" s="87" t="n"/>
      <c r="PYI1" s="87" t="n"/>
      <c r="PYJ1" s="87" t="n"/>
      <c r="PYK1" s="87" t="n"/>
      <c r="PYL1" s="87" t="n"/>
      <c r="PYM1" s="87" t="n"/>
      <c r="PYN1" s="87" t="n"/>
      <c r="PYO1" s="87" t="n"/>
      <c r="PYP1" s="87" t="n"/>
      <c r="PYQ1" s="87" t="n"/>
      <c r="PYR1" s="87" t="n"/>
      <c r="PYS1" s="87" t="n"/>
      <c r="PYT1" s="87" t="n"/>
      <c r="PYU1" s="87" t="n"/>
      <c r="PYV1" s="87" t="n"/>
      <c r="PYW1" s="87" t="n"/>
      <c r="PYX1" s="87" t="n"/>
      <c r="PYY1" s="87" t="n"/>
      <c r="PYZ1" s="87" t="n"/>
      <c r="PZA1" s="87" t="n"/>
      <c r="PZB1" s="87" t="n"/>
      <c r="PZC1" s="87" t="n"/>
      <c r="PZD1" s="87" t="n"/>
      <c r="PZE1" s="87" t="n"/>
      <c r="PZF1" s="87" t="n"/>
      <c r="PZG1" s="87" t="n"/>
      <c r="PZH1" s="87" t="n"/>
      <c r="PZI1" s="87" t="n"/>
      <c r="PZJ1" s="87" t="n"/>
      <c r="PZK1" s="87" t="n"/>
      <c r="PZL1" s="87" t="n"/>
      <c r="PZM1" s="87" t="n"/>
      <c r="PZN1" s="87" t="n"/>
      <c r="PZO1" s="87" t="n"/>
      <c r="PZP1" s="87" t="n"/>
      <c r="PZQ1" s="87" t="n"/>
      <c r="PZR1" s="87" t="n"/>
      <c r="PZS1" s="87" t="n"/>
      <c r="PZT1" s="87" t="n"/>
      <c r="PZU1" s="87" t="n"/>
      <c r="PZV1" s="87" t="n"/>
      <c r="PZW1" s="87" t="n"/>
      <c r="PZX1" s="87" t="n"/>
      <c r="PZY1" s="87" t="n"/>
      <c r="PZZ1" s="87" t="n"/>
      <c r="QAA1" s="87" t="n"/>
      <c r="QAB1" s="87" t="n"/>
      <c r="QAC1" s="87" t="n"/>
      <c r="QAD1" s="87" t="n"/>
      <c r="QAE1" s="87" t="n"/>
      <c r="QAF1" s="87" t="n"/>
      <c r="QAG1" s="87" t="n"/>
      <c r="QAH1" s="87" t="n"/>
      <c r="QAI1" s="87" t="n"/>
      <c r="QAJ1" s="87" t="n"/>
      <c r="QAK1" s="87" t="n"/>
      <c r="QAL1" s="87" t="n"/>
      <c r="QAM1" s="87" t="n"/>
      <c r="QAN1" s="87" t="n"/>
      <c r="QAO1" s="87" t="n"/>
      <c r="QAP1" s="87" t="n"/>
      <c r="QAQ1" s="87" t="n"/>
      <c r="QAR1" s="87" t="n"/>
      <c r="QAS1" s="87" t="n"/>
      <c r="QAT1" s="87" t="n"/>
      <c r="QAU1" s="87" t="n"/>
      <c r="QAV1" s="87" t="n"/>
      <c r="QAW1" s="87" t="n"/>
      <c r="QAX1" s="87" t="n"/>
      <c r="QAY1" s="87" t="n"/>
      <c r="QAZ1" s="87" t="n"/>
      <c r="QBA1" s="87" t="n"/>
      <c r="QBB1" s="87" t="n"/>
      <c r="QBC1" s="87" t="n"/>
      <c r="QBD1" s="87" t="n"/>
      <c r="QBE1" s="87" t="n"/>
      <c r="QBF1" s="87" t="n"/>
      <c r="QBG1" s="87" t="n"/>
      <c r="QBH1" s="87" t="n"/>
      <c r="QBI1" s="87" t="n"/>
      <c r="QBJ1" s="87" t="n"/>
      <c r="QBK1" s="87" t="n"/>
      <c r="QBL1" s="87" t="n"/>
      <c r="QBM1" s="87" t="n"/>
      <c r="QBN1" s="87" t="n"/>
      <c r="QBO1" s="87" t="n"/>
      <c r="QBP1" s="87" t="n"/>
      <c r="QBQ1" s="87" t="n"/>
      <c r="QBR1" s="87" t="n"/>
      <c r="QBS1" s="87" t="n"/>
      <c r="QBT1" s="87" t="n"/>
      <c r="QBU1" s="87" t="n"/>
      <c r="QBV1" s="87" t="n"/>
      <c r="QBW1" s="87" t="n"/>
      <c r="QBX1" s="87" t="n"/>
      <c r="QBY1" s="87" t="n"/>
      <c r="QBZ1" s="87" t="n"/>
      <c r="QCA1" s="87" t="n"/>
      <c r="QCB1" s="87" t="n"/>
      <c r="QCC1" s="87" t="n"/>
      <c r="QCD1" s="87" t="n"/>
      <c r="QCE1" s="87" t="n"/>
      <c r="QCF1" s="87" t="n"/>
      <c r="QCG1" s="87" t="n"/>
      <c r="QCH1" s="87" t="n"/>
      <c r="QCI1" s="87" t="n"/>
      <c r="QCJ1" s="87" t="n"/>
      <c r="QCK1" s="87" t="n"/>
      <c r="QCL1" s="87" t="n"/>
      <c r="QCM1" s="87" t="n"/>
      <c r="QCN1" s="87" t="n"/>
      <c r="QCO1" s="87" t="n"/>
      <c r="QCP1" s="87" t="n"/>
      <c r="QCQ1" s="87" t="n"/>
      <c r="QCR1" s="87" t="n"/>
      <c r="QCS1" s="87" t="n"/>
      <c r="QCT1" s="87" t="n"/>
      <c r="QCU1" s="87" t="n"/>
      <c r="QCV1" s="87" t="n"/>
      <c r="QCW1" s="87" t="n"/>
      <c r="QCX1" s="87" t="n"/>
      <c r="QCY1" s="87" t="n"/>
      <c r="QCZ1" s="87" t="n"/>
      <c r="QDA1" s="87" t="n"/>
      <c r="QDB1" s="87" t="n"/>
      <c r="QDC1" s="87" t="n"/>
      <c r="QDD1" s="87" t="n"/>
      <c r="QDE1" s="87" t="n"/>
      <c r="QDF1" s="87" t="n"/>
      <c r="QDG1" s="87" t="n"/>
      <c r="QDH1" s="87" t="n"/>
      <c r="QDI1" s="87" t="n"/>
      <c r="QDJ1" s="87" t="n"/>
      <c r="QDK1" s="87" t="n"/>
      <c r="QDL1" s="87" t="n"/>
      <c r="QDM1" s="87" t="n"/>
      <c r="QDN1" s="87" t="n"/>
      <c r="QDO1" s="87" t="n"/>
      <c r="QDP1" s="87" t="n"/>
      <c r="QDQ1" s="87" t="n"/>
      <c r="QDR1" s="87" t="n"/>
      <c r="QDS1" s="87" t="n"/>
      <c r="QDT1" s="87" t="n"/>
      <c r="QDU1" s="87" t="n"/>
      <c r="QDV1" s="87" t="n"/>
      <c r="QDW1" s="87" t="n"/>
      <c r="QDX1" s="87" t="n"/>
      <c r="QDY1" s="87" t="n"/>
      <c r="QDZ1" s="87" t="n"/>
      <c r="QEA1" s="87" t="n"/>
      <c r="QEB1" s="87" t="n"/>
      <c r="QEC1" s="87" t="n"/>
      <c r="QED1" s="87" t="n"/>
      <c r="QEE1" s="87" t="n"/>
      <c r="QEF1" s="87" t="n"/>
      <c r="QEG1" s="87" t="n"/>
      <c r="QEH1" s="87" t="n"/>
      <c r="QEI1" s="87" t="n"/>
      <c r="QEJ1" s="87" t="n"/>
      <c r="QEK1" s="87" t="n"/>
      <c r="QEL1" s="87" t="n"/>
      <c r="QEM1" s="87" t="n"/>
      <c r="QEN1" s="87" t="n"/>
      <c r="QEO1" s="87" t="n"/>
      <c r="QEP1" s="87" t="n"/>
      <c r="QEQ1" s="87" t="n"/>
      <c r="QER1" s="87" t="n"/>
      <c r="QES1" s="87" t="n"/>
      <c r="QET1" s="87" t="n"/>
      <c r="QEU1" s="87" t="n"/>
      <c r="QEV1" s="87" t="n"/>
      <c r="QEW1" s="87" t="n"/>
      <c r="QEX1" s="87" t="n"/>
      <c r="QEY1" s="87" t="n"/>
      <c r="QEZ1" s="87" t="n"/>
      <c r="QFA1" s="87" t="n"/>
      <c r="QFB1" s="87" t="n"/>
      <c r="QFC1" s="87" t="n"/>
      <c r="QFD1" s="87" t="n"/>
      <c r="QFE1" s="87" t="n"/>
      <c r="QFF1" s="87" t="n"/>
      <c r="QFG1" s="87" t="n"/>
      <c r="QFH1" s="87" t="n"/>
      <c r="QFI1" s="87" t="n"/>
      <c r="QFJ1" s="87" t="n"/>
      <c r="QFK1" s="87" t="n"/>
      <c r="QFL1" s="87" t="n"/>
      <c r="QFM1" s="87" t="n"/>
      <c r="QFN1" s="87" t="n"/>
      <c r="QFO1" s="87" t="n"/>
      <c r="QFP1" s="87" t="n"/>
      <c r="QFQ1" s="87" t="n"/>
      <c r="QFR1" s="87" t="n"/>
      <c r="QFS1" s="87" t="n"/>
      <c r="QFT1" s="87" t="n"/>
      <c r="QFU1" s="87" t="n"/>
      <c r="QFV1" s="87" t="n"/>
      <c r="QFW1" s="87" t="n"/>
      <c r="QFX1" s="87" t="n"/>
      <c r="QFY1" s="87" t="n"/>
      <c r="QFZ1" s="87" t="n"/>
      <c r="QGA1" s="87" t="n"/>
      <c r="QGB1" s="87" t="n"/>
      <c r="QGC1" s="87" t="n"/>
      <c r="QGD1" s="87" t="n"/>
      <c r="QGE1" s="87" t="n"/>
      <c r="QGF1" s="87" t="n"/>
      <c r="QGG1" s="87" t="n"/>
      <c r="QGH1" s="87" t="n"/>
      <c r="QGI1" s="87" t="n"/>
      <c r="QGJ1" s="87" t="n"/>
      <c r="QGK1" s="87" t="n"/>
      <c r="QGL1" s="87" t="n"/>
      <c r="QGM1" s="87" t="n"/>
      <c r="QGN1" s="87" t="n"/>
      <c r="QGO1" s="87" t="n"/>
      <c r="QGP1" s="87" t="n"/>
      <c r="QGQ1" s="87" t="n"/>
      <c r="QGR1" s="87" t="n"/>
      <c r="QGS1" s="87" t="n"/>
      <c r="QGT1" s="87" t="n"/>
      <c r="QGU1" s="87" t="n"/>
      <c r="QGV1" s="87" t="n"/>
      <c r="QGW1" s="87" t="n"/>
      <c r="QGX1" s="87" t="n"/>
      <c r="QGY1" s="87" t="n"/>
      <c r="QGZ1" s="87" t="n"/>
      <c r="QHA1" s="87" t="n"/>
      <c r="QHB1" s="87" t="n"/>
      <c r="QHC1" s="87" t="n"/>
      <c r="QHD1" s="87" t="n"/>
      <c r="QHE1" s="87" t="n"/>
      <c r="QHF1" s="87" t="n"/>
      <c r="QHG1" s="87" t="n"/>
      <c r="QHH1" s="87" t="n"/>
      <c r="QHI1" s="87" t="n"/>
      <c r="QHJ1" s="87" t="n"/>
      <c r="QHK1" s="87" t="n"/>
      <c r="QHL1" s="87" t="n"/>
      <c r="QHM1" s="87" t="n"/>
      <c r="QHN1" s="87" t="n"/>
      <c r="QHO1" s="87" t="n"/>
      <c r="QHP1" s="87" t="n"/>
      <c r="QHQ1" s="87" t="n"/>
      <c r="QHR1" s="87" t="n"/>
      <c r="QHS1" s="87" t="n"/>
      <c r="QHT1" s="87" t="n"/>
      <c r="QHU1" s="87" t="n"/>
      <c r="QHV1" s="87" t="n"/>
      <c r="QHW1" s="87" t="n"/>
      <c r="QHX1" s="87" t="n"/>
      <c r="QHY1" s="87" t="n"/>
      <c r="QHZ1" s="87" t="n"/>
      <c r="QIA1" s="87" t="n"/>
      <c r="QIB1" s="87" t="n"/>
      <c r="QIC1" s="87" t="n"/>
      <c r="QID1" s="87" t="n"/>
      <c r="QIE1" s="87" t="n"/>
      <c r="QIF1" s="87" t="n"/>
      <c r="QIG1" s="87" t="n"/>
      <c r="QIH1" s="87" t="n"/>
      <c r="QII1" s="87" t="n"/>
      <c r="QIJ1" s="87" t="n"/>
      <c r="QIK1" s="87" t="n"/>
      <c r="QIL1" s="87" t="n"/>
      <c r="QIM1" s="87" t="n"/>
      <c r="QIN1" s="87" t="n"/>
      <c r="QIO1" s="87" t="n"/>
      <c r="QIP1" s="87" t="n"/>
      <c r="QIQ1" s="87" t="n"/>
      <c r="QIR1" s="87" t="n"/>
      <c r="QIS1" s="87" t="n"/>
      <c r="QIT1" s="87" t="n"/>
      <c r="QIU1" s="87" t="n"/>
      <c r="QIV1" s="87" t="n"/>
      <c r="QIW1" s="87" t="n"/>
      <c r="QIX1" s="87" t="n"/>
      <c r="QIY1" s="87" t="n"/>
      <c r="QIZ1" s="87" t="n"/>
      <c r="QJA1" s="87" t="n"/>
      <c r="QJB1" s="87" t="n"/>
      <c r="QJC1" s="87" t="n"/>
      <c r="QJD1" s="87" t="n"/>
      <c r="QJE1" s="87" t="n"/>
      <c r="QJF1" s="87" t="n"/>
      <c r="QJG1" s="87" t="n"/>
      <c r="QJH1" s="87" t="n"/>
      <c r="QJI1" s="87" t="n"/>
      <c r="QJJ1" s="87" t="n"/>
      <c r="QJK1" s="87" t="n"/>
      <c r="QJL1" s="87" t="n"/>
      <c r="QJM1" s="87" t="n"/>
      <c r="QJN1" s="87" t="n"/>
      <c r="QJO1" s="87" t="n"/>
      <c r="QJP1" s="87" t="n"/>
      <c r="QJQ1" s="87" t="n"/>
      <c r="QJR1" s="87" t="n"/>
      <c r="QJS1" s="87" t="n"/>
      <c r="QJT1" s="87" t="n"/>
      <c r="QJU1" s="87" t="n"/>
      <c r="QJV1" s="87" t="n"/>
      <c r="QJW1" s="87" t="n"/>
      <c r="QJX1" s="87" t="n"/>
      <c r="QJY1" s="87" t="n"/>
      <c r="QJZ1" s="87" t="n"/>
      <c r="QKA1" s="87" t="n"/>
      <c r="QKB1" s="87" t="n"/>
      <c r="QKC1" s="87" t="n"/>
      <c r="QKD1" s="87" t="n"/>
      <c r="QKE1" s="87" t="n"/>
      <c r="QKF1" s="87" t="n"/>
      <c r="QKG1" s="87" t="n"/>
      <c r="QKH1" s="87" t="n"/>
      <c r="QKI1" s="87" t="n"/>
      <c r="QKJ1" s="87" t="n"/>
      <c r="QKK1" s="87" t="n"/>
      <c r="QKL1" s="87" t="n"/>
      <c r="QKM1" s="87" t="n"/>
      <c r="QKN1" s="87" t="n"/>
      <c r="QKO1" s="87" t="n"/>
      <c r="QKP1" s="87" t="n"/>
      <c r="QKQ1" s="87" t="n"/>
      <c r="QKR1" s="87" t="n"/>
      <c r="QKS1" s="87" t="n"/>
      <c r="QKT1" s="87" t="n"/>
      <c r="QKU1" s="87" t="n"/>
      <c r="QKV1" s="87" t="n"/>
      <c r="QKW1" s="87" t="n"/>
      <c r="QKX1" s="87" t="n"/>
      <c r="QKY1" s="87" t="n"/>
      <c r="QKZ1" s="87" t="n"/>
      <c r="QLA1" s="87" t="n"/>
      <c r="QLB1" s="87" t="n"/>
      <c r="QLC1" s="87" t="n"/>
      <c r="QLD1" s="87" t="n"/>
      <c r="QLE1" s="87" t="n"/>
      <c r="QLF1" s="87" t="n"/>
      <c r="QLG1" s="87" t="n"/>
      <c r="QLH1" s="87" t="n"/>
      <c r="QLI1" s="87" t="n"/>
      <c r="QLJ1" s="87" t="n"/>
      <c r="QLK1" s="87" t="n"/>
      <c r="QLL1" s="87" t="n"/>
      <c r="QLM1" s="87" t="n"/>
      <c r="QLN1" s="87" t="n"/>
      <c r="QLO1" s="87" t="n"/>
      <c r="QLP1" s="87" t="n"/>
      <c r="QLQ1" s="87" t="n"/>
      <c r="QLR1" s="87" t="n"/>
      <c r="QLS1" s="87" t="n"/>
      <c r="QLT1" s="87" t="n"/>
      <c r="QLU1" s="87" t="n"/>
      <c r="QLV1" s="87" t="n"/>
      <c r="QLW1" s="87" t="n"/>
      <c r="QLX1" s="87" t="n"/>
      <c r="QLY1" s="87" t="n"/>
      <c r="QLZ1" s="87" t="n"/>
      <c r="QMA1" s="87" t="n"/>
      <c r="QMB1" s="87" t="n"/>
      <c r="QMC1" s="87" t="n"/>
      <c r="QMD1" s="87" t="n"/>
      <c r="QME1" s="87" t="n"/>
      <c r="QMF1" s="87" t="n"/>
      <c r="QMG1" s="87" t="n"/>
      <c r="QMH1" s="87" t="n"/>
      <c r="QMI1" s="87" t="n"/>
      <c r="QMJ1" s="87" t="n"/>
      <c r="QMK1" s="87" t="n"/>
      <c r="QML1" s="87" t="n"/>
      <c r="QMM1" s="87" t="n"/>
      <c r="QMN1" s="87" t="n"/>
      <c r="QMO1" s="87" t="n"/>
      <c r="QMP1" s="87" t="n"/>
      <c r="QMQ1" s="87" t="n"/>
      <c r="QMR1" s="87" t="n"/>
      <c r="QMS1" s="87" t="n"/>
      <c r="QMT1" s="87" t="n"/>
      <c r="QMU1" s="87" t="n"/>
      <c r="QMV1" s="87" t="n"/>
      <c r="QMW1" s="87" t="n"/>
      <c r="QMX1" s="87" t="n"/>
      <c r="QMY1" s="87" t="n"/>
      <c r="QMZ1" s="87" t="n"/>
      <c r="QNA1" s="87" t="n"/>
      <c r="QNB1" s="87" t="n"/>
      <c r="QNC1" s="87" t="n"/>
      <c r="QND1" s="87" t="n"/>
      <c r="QNE1" s="87" t="n"/>
      <c r="QNF1" s="87" t="n"/>
      <c r="QNG1" s="87" t="n"/>
      <c r="QNH1" s="87" t="n"/>
      <c r="QNI1" s="87" t="n"/>
      <c r="QNJ1" s="87" t="n"/>
      <c r="QNK1" s="87" t="n"/>
      <c r="QNL1" s="87" t="n"/>
      <c r="QNM1" s="87" t="n"/>
      <c r="QNN1" s="87" t="n"/>
      <c r="QNO1" s="87" t="n"/>
      <c r="QNP1" s="87" t="n"/>
      <c r="QNQ1" s="87" t="n"/>
      <c r="QNR1" s="87" t="n"/>
      <c r="QNS1" s="87" t="n"/>
      <c r="QNT1" s="87" t="n"/>
      <c r="QNU1" s="87" t="n"/>
      <c r="QNV1" s="87" t="n"/>
      <c r="QNW1" s="87" t="n"/>
      <c r="QNX1" s="87" t="n"/>
      <c r="QNY1" s="87" t="n"/>
      <c r="QNZ1" s="87" t="n"/>
      <c r="QOA1" s="87" t="n"/>
      <c r="QOB1" s="87" t="n"/>
      <c r="QOC1" s="87" t="n"/>
      <c r="QOD1" s="87" t="n"/>
      <c r="QOE1" s="87" t="n"/>
      <c r="QOF1" s="87" t="n"/>
      <c r="QOG1" s="87" t="n"/>
      <c r="QOH1" s="87" t="n"/>
      <c r="QOI1" s="87" t="n"/>
      <c r="QOJ1" s="87" t="n"/>
      <c r="QOK1" s="87" t="n"/>
      <c r="QOL1" s="87" t="n"/>
      <c r="QOM1" s="87" t="n"/>
      <c r="QON1" s="87" t="n"/>
      <c r="QOO1" s="87" t="n"/>
      <c r="QOP1" s="87" t="n"/>
      <c r="QOQ1" s="87" t="n"/>
      <c r="QOR1" s="87" t="n"/>
      <c r="QOS1" s="87" t="n"/>
      <c r="QOT1" s="87" t="n"/>
      <c r="QOU1" s="87" t="n"/>
      <c r="QOV1" s="87" t="n"/>
      <c r="QOW1" s="87" t="n"/>
      <c r="QOX1" s="87" t="n"/>
      <c r="QOY1" s="87" t="n"/>
      <c r="QOZ1" s="87" t="n"/>
      <c r="QPA1" s="87" t="n"/>
      <c r="QPB1" s="87" t="n"/>
      <c r="QPC1" s="87" t="n"/>
      <c r="QPD1" s="87" t="n"/>
      <c r="QPE1" s="87" t="n"/>
      <c r="QPF1" s="87" t="n"/>
      <c r="QPG1" s="87" t="n"/>
      <c r="QPH1" s="87" t="n"/>
      <c r="QPI1" s="87" t="n"/>
      <c r="QPJ1" s="87" t="n"/>
      <c r="QPK1" s="87" t="n"/>
      <c r="QPL1" s="87" t="n"/>
      <c r="QPM1" s="87" t="n"/>
      <c r="QPN1" s="87" t="n"/>
      <c r="QPO1" s="87" t="n"/>
      <c r="QPP1" s="87" t="n"/>
      <c r="QPQ1" s="87" t="n"/>
      <c r="QPR1" s="87" t="n"/>
      <c r="QPS1" s="87" t="n"/>
      <c r="QPT1" s="87" t="n"/>
      <c r="QPU1" s="87" t="n"/>
      <c r="QPV1" s="87" t="n"/>
      <c r="QPW1" s="87" t="n"/>
      <c r="QPX1" s="87" t="n"/>
      <c r="QPY1" s="87" t="n"/>
      <c r="QPZ1" s="87" t="n"/>
      <c r="QQA1" s="87" t="n"/>
      <c r="QQB1" s="87" t="n"/>
      <c r="QQC1" s="87" t="n"/>
      <c r="QQD1" s="87" t="n"/>
      <c r="QQE1" s="87" t="n"/>
      <c r="QQF1" s="87" t="n"/>
      <c r="QQG1" s="87" t="n"/>
      <c r="QQH1" s="87" t="n"/>
      <c r="QQI1" s="87" t="n"/>
      <c r="QQJ1" s="87" t="n"/>
      <c r="QQK1" s="87" t="n"/>
      <c r="QQL1" s="87" t="n"/>
      <c r="QQM1" s="87" t="n"/>
      <c r="QQN1" s="87" t="n"/>
      <c r="QQO1" s="87" t="n"/>
      <c r="QQP1" s="87" t="n"/>
      <c r="QQQ1" s="87" t="n"/>
      <c r="QQR1" s="87" t="n"/>
      <c r="QQS1" s="87" t="n"/>
      <c r="QQT1" s="87" t="n"/>
      <c r="QQU1" s="87" t="n"/>
      <c r="QQV1" s="87" t="n"/>
      <c r="QQW1" s="87" t="n"/>
      <c r="QQX1" s="87" t="n"/>
      <c r="QQY1" s="87" t="n"/>
      <c r="QQZ1" s="87" t="n"/>
      <c r="QRA1" s="87" t="n"/>
      <c r="QRB1" s="87" t="n"/>
      <c r="QRC1" s="87" t="n"/>
      <c r="QRD1" s="87" t="n"/>
      <c r="QRE1" s="87" t="n"/>
      <c r="QRF1" s="87" t="n"/>
      <c r="QRG1" s="87" t="n"/>
      <c r="QRH1" s="87" t="n"/>
      <c r="QRI1" s="87" t="n"/>
      <c r="QRJ1" s="87" t="n"/>
      <c r="QRK1" s="87" t="n"/>
      <c r="QRL1" s="87" t="n"/>
      <c r="QRM1" s="87" t="n"/>
      <c r="QRN1" s="87" t="n"/>
      <c r="QRO1" s="87" t="n"/>
      <c r="QRP1" s="87" t="n"/>
      <c r="QRQ1" s="87" t="n"/>
      <c r="QRR1" s="87" t="n"/>
      <c r="QRS1" s="87" t="n"/>
      <c r="QRT1" s="87" t="n"/>
      <c r="QRU1" s="87" t="n"/>
      <c r="QRV1" s="87" t="n"/>
      <c r="QRW1" s="87" t="n"/>
      <c r="QRX1" s="87" t="n"/>
      <c r="QRY1" s="87" t="n"/>
      <c r="QRZ1" s="87" t="n"/>
      <c r="QSA1" s="87" t="n"/>
      <c r="QSB1" s="87" t="n"/>
      <c r="QSC1" s="87" t="n"/>
      <c r="QSD1" s="87" t="n"/>
      <c r="QSE1" s="87" t="n"/>
      <c r="QSF1" s="87" t="n"/>
      <c r="QSG1" s="87" t="n"/>
      <c r="QSH1" s="87" t="n"/>
      <c r="QSI1" s="87" t="n"/>
      <c r="QSJ1" s="87" t="n"/>
      <c r="QSK1" s="87" t="n"/>
      <c r="QSL1" s="87" t="n"/>
      <c r="QSM1" s="87" t="n"/>
      <c r="QSN1" s="87" t="n"/>
      <c r="QSO1" s="87" t="n"/>
      <c r="QSP1" s="87" t="n"/>
      <c r="QSQ1" s="87" t="n"/>
      <c r="QSR1" s="87" t="n"/>
      <c r="QSS1" s="87" t="n"/>
      <c r="QST1" s="87" t="n"/>
      <c r="QSU1" s="87" t="n"/>
      <c r="QSV1" s="87" t="n"/>
      <c r="QSW1" s="87" t="n"/>
      <c r="QSX1" s="87" t="n"/>
      <c r="QSY1" s="87" t="n"/>
      <c r="QSZ1" s="87" t="n"/>
      <c r="QTA1" s="87" t="n"/>
      <c r="QTB1" s="87" t="n"/>
      <c r="QTC1" s="87" t="n"/>
      <c r="QTD1" s="87" t="n"/>
      <c r="QTE1" s="87" t="n"/>
      <c r="QTF1" s="87" t="n"/>
      <c r="QTG1" s="87" t="n"/>
      <c r="QTH1" s="87" t="n"/>
      <c r="QTI1" s="87" t="n"/>
      <c r="QTJ1" s="87" t="n"/>
      <c r="QTK1" s="87" t="n"/>
      <c r="QTL1" s="87" t="n"/>
      <c r="QTM1" s="87" t="n"/>
      <c r="QTN1" s="87" t="n"/>
      <c r="QTO1" s="87" t="n"/>
      <c r="QTP1" s="87" t="n"/>
      <c r="QTQ1" s="87" t="n"/>
      <c r="QTR1" s="87" t="n"/>
      <c r="QTS1" s="87" t="n"/>
      <c r="QTT1" s="87" t="n"/>
      <c r="QTU1" s="87" t="n"/>
      <c r="QTV1" s="87" t="n"/>
      <c r="QTW1" s="87" t="n"/>
      <c r="QTX1" s="87" t="n"/>
      <c r="QTY1" s="87" t="n"/>
      <c r="QTZ1" s="87" t="n"/>
      <c r="QUA1" s="87" t="n"/>
      <c r="QUB1" s="87" t="n"/>
      <c r="QUC1" s="87" t="n"/>
      <c r="QUD1" s="87" t="n"/>
      <c r="QUE1" s="87" t="n"/>
      <c r="QUF1" s="87" t="n"/>
      <c r="QUG1" s="87" t="n"/>
      <c r="QUH1" s="87" t="n"/>
      <c r="QUI1" s="87" t="n"/>
      <c r="QUJ1" s="87" t="n"/>
      <c r="QUK1" s="87" t="n"/>
      <c r="QUL1" s="87" t="n"/>
      <c r="QUM1" s="87" t="n"/>
      <c r="QUN1" s="87" t="n"/>
      <c r="QUO1" s="87" t="n"/>
      <c r="QUP1" s="87" t="n"/>
      <c r="QUQ1" s="87" t="n"/>
      <c r="QUR1" s="87" t="n"/>
      <c r="QUS1" s="87" t="n"/>
      <c r="QUT1" s="87" t="n"/>
      <c r="QUU1" s="87" t="n"/>
      <c r="QUV1" s="87" t="n"/>
      <c r="QUW1" s="87" t="n"/>
      <c r="QUX1" s="87" t="n"/>
      <c r="QUY1" s="87" t="n"/>
      <c r="QUZ1" s="87" t="n"/>
      <c r="QVA1" s="87" t="n"/>
      <c r="QVB1" s="87" t="n"/>
      <c r="QVC1" s="87" t="n"/>
      <c r="QVD1" s="87" t="n"/>
      <c r="QVE1" s="87" t="n"/>
      <c r="QVF1" s="87" t="n"/>
      <c r="QVG1" s="87" t="n"/>
      <c r="QVH1" s="87" t="n"/>
      <c r="QVI1" s="87" t="n"/>
      <c r="QVJ1" s="87" t="n"/>
      <c r="QVK1" s="87" t="n"/>
      <c r="QVL1" s="87" t="n"/>
      <c r="QVM1" s="87" t="n"/>
      <c r="QVN1" s="87" t="n"/>
      <c r="QVO1" s="87" t="n"/>
      <c r="QVP1" s="87" t="n"/>
      <c r="QVQ1" s="87" t="n"/>
      <c r="QVR1" s="87" t="n"/>
      <c r="QVS1" s="87" t="n"/>
      <c r="QVT1" s="87" t="n"/>
      <c r="QVU1" s="87" t="n"/>
      <c r="QVV1" s="87" t="n"/>
      <c r="QVW1" s="87" t="n"/>
      <c r="QVX1" s="87" t="n"/>
      <c r="QVY1" s="87" t="n"/>
      <c r="QVZ1" s="87" t="n"/>
      <c r="QWA1" s="87" t="n"/>
      <c r="QWB1" s="87" t="n"/>
      <c r="QWC1" s="87" t="n"/>
      <c r="QWD1" s="87" t="n"/>
      <c r="QWE1" s="87" t="n"/>
      <c r="QWF1" s="87" t="n"/>
      <c r="QWG1" s="87" t="n"/>
      <c r="QWH1" s="87" t="n"/>
      <c r="QWI1" s="87" t="n"/>
      <c r="QWJ1" s="87" t="n"/>
      <c r="QWK1" s="87" t="n"/>
      <c r="QWL1" s="87" t="n"/>
      <c r="QWM1" s="87" t="n"/>
      <c r="QWN1" s="87" t="n"/>
      <c r="QWO1" s="87" t="n"/>
      <c r="QWP1" s="87" t="n"/>
      <c r="QWQ1" s="87" t="n"/>
      <c r="QWR1" s="87" t="n"/>
      <c r="QWS1" s="87" t="n"/>
      <c r="QWT1" s="87" t="n"/>
      <c r="QWU1" s="87" t="n"/>
      <c r="QWV1" s="87" t="n"/>
      <c r="QWW1" s="87" t="n"/>
      <c r="QWX1" s="87" t="n"/>
      <c r="QWY1" s="87" t="n"/>
      <c r="QWZ1" s="87" t="n"/>
      <c r="QXA1" s="87" t="n"/>
      <c r="QXB1" s="87" t="n"/>
      <c r="QXC1" s="87" t="n"/>
      <c r="QXD1" s="87" t="n"/>
      <c r="QXE1" s="87" t="n"/>
      <c r="QXF1" s="87" t="n"/>
      <c r="QXG1" s="87" t="n"/>
      <c r="QXH1" s="87" t="n"/>
      <c r="QXI1" s="87" t="n"/>
      <c r="QXJ1" s="87" t="n"/>
      <c r="QXK1" s="87" t="n"/>
      <c r="QXL1" s="87" t="n"/>
      <c r="QXM1" s="87" t="n"/>
      <c r="QXN1" s="87" t="n"/>
      <c r="QXO1" s="87" t="n"/>
      <c r="QXP1" s="87" t="n"/>
      <c r="QXQ1" s="87" t="n"/>
      <c r="QXR1" s="87" t="n"/>
      <c r="QXS1" s="87" t="n"/>
      <c r="QXT1" s="87" t="n"/>
      <c r="QXU1" s="87" t="n"/>
      <c r="QXV1" s="87" t="n"/>
      <c r="QXW1" s="87" t="n"/>
      <c r="QXX1" s="87" t="n"/>
      <c r="QXY1" s="87" t="n"/>
      <c r="QXZ1" s="87" t="n"/>
      <c r="QYA1" s="87" t="n"/>
      <c r="QYB1" s="87" t="n"/>
      <c r="QYC1" s="87" t="n"/>
      <c r="QYD1" s="87" t="n"/>
      <c r="QYE1" s="87" t="n"/>
      <c r="QYF1" s="87" t="n"/>
      <c r="QYG1" s="87" t="n"/>
      <c r="QYH1" s="87" t="n"/>
      <c r="QYI1" s="87" t="n"/>
      <c r="QYJ1" s="87" t="n"/>
      <c r="QYK1" s="87" t="n"/>
      <c r="QYL1" s="87" t="n"/>
      <c r="QYM1" s="87" t="n"/>
      <c r="QYN1" s="87" t="n"/>
      <c r="QYO1" s="87" t="n"/>
      <c r="QYP1" s="87" t="n"/>
      <c r="QYQ1" s="87" t="n"/>
      <c r="QYR1" s="87" t="n"/>
      <c r="QYS1" s="87" t="n"/>
      <c r="QYT1" s="87" t="n"/>
      <c r="QYU1" s="87" t="n"/>
      <c r="QYV1" s="87" t="n"/>
      <c r="QYW1" s="87" t="n"/>
      <c r="QYX1" s="87" t="n"/>
      <c r="QYY1" s="87" t="n"/>
      <c r="QYZ1" s="87" t="n"/>
      <c r="QZA1" s="87" t="n"/>
      <c r="QZB1" s="87" t="n"/>
      <c r="QZC1" s="87" t="n"/>
      <c r="QZD1" s="87" t="n"/>
      <c r="QZE1" s="87" t="n"/>
      <c r="QZF1" s="87" t="n"/>
      <c r="QZG1" s="87" t="n"/>
      <c r="QZH1" s="87" t="n"/>
      <c r="QZI1" s="87" t="n"/>
      <c r="QZJ1" s="87" t="n"/>
      <c r="QZK1" s="87" t="n"/>
      <c r="QZL1" s="87" t="n"/>
      <c r="QZM1" s="87" t="n"/>
      <c r="QZN1" s="87" t="n"/>
      <c r="QZO1" s="87" t="n"/>
      <c r="QZP1" s="87" t="n"/>
      <c r="QZQ1" s="87" t="n"/>
      <c r="QZR1" s="87" t="n"/>
      <c r="QZS1" s="87" t="n"/>
      <c r="QZT1" s="87" t="n"/>
      <c r="QZU1" s="87" t="n"/>
      <c r="QZV1" s="87" t="n"/>
      <c r="QZW1" s="87" t="n"/>
      <c r="QZX1" s="87" t="n"/>
      <c r="QZY1" s="87" t="n"/>
      <c r="QZZ1" s="87" t="n"/>
      <c r="RAA1" s="87" t="n"/>
      <c r="RAB1" s="87" t="n"/>
      <c r="RAC1" s="87" t="n"/>
      <c r="RAD1" s="87" t="n"/>
      <c r="RAE1" s="87" t="n"/>
      <c r="RAF1" s="87" t="n"/>
      <c r="RAG1" s="87" t="n"/>
      <c r="RAH1" s="87" t="n"/>
      <c r="RAI1" s="87" t="n"/>
      <c r="RAJ1" s="87" t="n"/>
      <c r="RAK1" s="87" t="n"/>
      <c r="RAL1" s="87" t="n"/>
      <c r="RAM1" s="87" t="n"/>
      <c r="RAN1" s="87" t="n"/>
      <c r="RAO1" s="87" t="n"/>
      <c r="RAP1" s="87" t="n"/>
      <c r="RAQ1" s="87" t="n"/>
      <c r="RAR1" s="87" t="n"/>
      <c r="RAS1" s="87" t="n"/>
      <c r="RAT1" s="87" t="n"/>
      <c r="RAU1" s="87" t="n"/>
      <c r="RAV1" s="87" t="n"/>
      <c r="RAW1" s="87" t="n"/>
      <c r="RAX1" s="87" t="n"/>
      <c r="RAY1" s="87" t="n"/>
      <c r="RAZ1" s="87" t="n"/>
      <c r="RBA1" s="87" t="n"/>
      <c r="RBB1" s="87" t="n"/>
      <c r="RBC1" s="87" t="n"/>
      <c r="RBD1" s="87" t="n"/>
      <c r="RBE1" s="87" t="n"/>
      <c r="RBF1" s="87" t="n"/>
      <c r="RBG1" s="87" t="n"/>
      <c r="RBH1" s="87" t="n"/>
      <c r="RBI1" s="87" t="n"/>
      <c r="RBJ1" s="87" t="n"/>
      <c r="RBK1" s="87" t="n"/>
      <c r="RBL1" s="87" t="n"/>
      <c r="RBM1" s="87" t="n"/>
      <c r="RBN1" s="87" t="n"/>
      <c r="RBO1" s="87" t="n"/>
      <c r="RBP1" s="87" t="n"/>
      <c r="RBQ1" s="87" t="n"/>
      <c r="RBR1" s="87" t="n"/>
      <c r="RBS1" s="87" t="n"/>
      <c r="RBT1" s="87" t="n"/>
      <c r="RBU1" s="87" t="n"/>
      <c r="RBV1" s="87" t="n"/>
      <c r="RBW1" s="87" t="n"/>
      <c r="RBX1" s="87" t="n"/>
      <c r="RBY1" s="87" t="n"/>
      <c r="RBZ1" s="87" t="n"/>
      <c r="RCA1" s="87" t="n"/>
      <c r="RCB1" s="87" t="n"/>
      <c r="RCC1" s="87" t="n"/>
      <c r="RCD1" s="87" t="n"/>
      <c r="RCE1" s="87" t="n"/>
      <c r="RCF1" s="87" t="n"/>
      <c r="RCG1" s="87" t="n"/>
      <c r="RCH1" s="87" t="n"/>
      <c r="RCI1" s="87" t="n"/>
      <c r="RCJ1" s="87" t="n"/>
      <c r="RCK1" s="87" t="n"/>
      <c r="RCL1" s="87" t="n"/>
      <c r="RCM1" s="87" t="n"/>
      <c r="RCN1" s="87" t="n"/>
      <c r="RCO1" s="87" t="n"/>
      <c r="RCP1" s="87" t="n"/>
      <c r="RCQ1" s="87" t="n"/>
      <c r="RCR1" s="87" t="n"/>
      <c r="RCS1" s="87" t="n"/>
      <c r="RCT1" s="87" t="n"/>
      <c r="RCU1" s="87" t="n"/>
      <c r="RCV1" s="87" t="n"/>
      <c r="RCW1" s="87" t="n"/>
      <c r="RCX1" s="87" t="n"/>
      <c r="RCY1" s="87" t="n"/>
      <c r="RCZ1" s="87" t="n"/>
      <c r="RDA1" s="87" t="n"/>
      <c r="RDB1" s="87" t="n"/>
      <c r="RDC1" s="87" t="n"/>
      <c r="RDD1" s="87" t="n"/>
      <c r="RDE1" s="87" t="n"/>
      <c r="RDF1" s="87" t="n"/>
      <c r="RDG1" s="87" t="n"/>
      <c r="RDH1" s="87" t="n"/>
      <c r="RDI1" s="87" t="n"/>
      <c r="RDJ1" s="87" t="n"/>
      <c r="RDK1" s="87" t="n"/>
      <c r="RDL1" s="87" t="n"/>
      <c r="RDM1" s="87" t="n"/>
      <c r="RDN1" s="87" t="n"/>
      <c r="RDO1" s="87" t="n"/>
      <c r="RDP1" s="87" t="n"/>
      <c r="RDQ1" s="87" t="n"/>
      <c r="RDR1" s="87" t="n"/>
      <c r="RDS1" s="87" t="n"/>
      <c r="RDT1" s="87" t="n"/>
      <c r="RDU1" s="87" t="n"/>
      <c r="RDV1" s="87" t="n"/>
      <c r="RDW1" s="87" t="n"/>
      <c r="RDX1" s="87" t="n"/>
      <c r="RDY1" s="87" t="n"/>
      <c r="RDZ1" s="87" t="n"/>
      <c r="REA1" s="87" t="n"/>
      <c r="REB1" s="87" t="n"/>
      <c r="REC1" s="87" t="n"/>
      <c r="RED1" s="87" t="n"/>
      <c r="REE1" s="87" t="n"/>
      <c r="REF1" s="87" t="n"/>
      <c r="REG1" s="87" t="n"/>
      <c r="REH1" s="87" t="n"/>
      <c r="REI1" s="87" t="n"/>
      <c r="REJ1" s="87" t="n"/>
      <c r="REK1" s="87" t="n"/>
      <c r="REL1" s="87" t="n"/>
      <c r="REM1" s="87" t="n"/>
      <c r="REN1" s="87" t="n"/>
      <c r="REO1" s="87" t="n"/>
      <c r="REP1" s="87" t="n"/>
      <c r="REQ1" s="87" t="n"/>
      <c r="RER1" s="87" t="n"/>
      <c r="RES1" s="87" t="n"/>
      <c r="RET1" s="87" t="n"/>
      <c r="REU1" s="87" t="n"/>
      <c r="REV1" s="87" t="n"/>
      <c r="REW1" s="87" t="n"/>
      <c r="REX1" s="87" t="n"/>
      <c r="REY1" s="87" t="n"/>
      <c r="REZ1" s="87" t="n"/>
      <c r="RFA1" s="87" t="n"/>
      <c r="RFB1" s="87" t="n"/>
      <c r="RFC1" s="87" t="n"/>
      <c r="RFD1" s="87" t="n"/>
      <c r="RFE1" s="87" t="n"/>
      <c r="RFF1" s="87" t="n"/>
      <c r="RFG1" s="87" t="n"/>
      <c r="RFH1" s="87" t="n"/>
      <c r="RFI1" s="87" t="n"/>
      <c r="RFJ1" s="87" t="n"/>
      <c r="RFK1" s="87" t="n"/>
      <c r="RFL1" s="87" t="n"/>
      <c r="RFM1" s="87" t="n"/>
      <c r="RFN1" s="87" t="n"/>
      <c r="RFO1" s="87" t="n"/>
      <c r="RFP1" s="87" t="n"/>
      <c r="RFQ1" s="87" t="n"/>
      <c r="RFR1" s="87" t="n"/>
      <c r="RFS1" s="87" t="n"/>
      <c r="RFT1" s="87" t="n"/>
      <c r="RFU1" s="87" t="n"/>
      <c r="RFV1" s="87" t="n"/>
      <c r="RFW1" s="87" t="n"/>
      <c r="RFX1" s="87" t="n"/>
      <c r="RFY1" s="87" t="n"/>
      <c r="RFZ1" s="87" t="n"/>
      <c r="RGA1" s="87" t="n"/>
      <c r="RGB1" s="87" t="n"/>
      <c r="RGC1" s="87" t="n"/>
      <c r="RGD1" s="87" t="n"/>
      <c r="RGE1" s="87" t="n"/>
      <c r="RGF1" s="87" t="n"/>
      <c r="RGG1" s="87" t="n"/>
      <c r="RGH1" s="87" t="n"/>
      <c r="RGI1" s="87" t="n"/>
      <c r="RGJ1" s="87" t="n"/>
      <c r="RGK1" s="87" t="n"/>
      <c r="RGL1" s="87" t="n"/>
      <c r="RGM1" s="87" t="n"/>
      <c r="RGN1" s="87" t="n"/>
      <c r="RGO1" s="87" t="n"/>
      <c r="RGP1" s="87" t="n"/>
      <c r="RGQ1" s="87" t="n"/>
      <c r="RGR1" s="87" t="n"/>
      <c r="RGS1" s="87" t="n"/>
      <c r="RGT1" s="87" t="n"/>
      <c r="RGU1" s="87" t="n"/>
      <c r="RGV1" s="87" t="n"/>
      <c r="RGW1" s="87" t="n"/>
      <c r="RGX1" s="87" t="n"/>
      <c r="RGY1" s="87" t="n"/>
      <c r="RGZ1" s="87" t="n"/>
      <c r="RHA1" s="87" t="n"/>
      <c r="RHB1" s="87" t="n"/>
      <c r="RHC1" s="87" t="n"/>
      <c r="RHD1" s="87" t="n"/>
      <c r="RHE1" s="87" t="n"/>
      <c r="RHF1" s="87" t="n"/>
      <c r="RHG1" s="87" t="n"/>
      <c r="RHH1" s="87" t="n"/>
      <c r="RHI1" s="87" t="n"/>
      <c r="RHJ1" s="87" t="n"/>
      <c r="RHK1" s="87" t="n"/>
      <c r="RHL1" s="87" t="n"/>
      <c r="RHM1" s="87" t="n"/>
      <c r="RHN1" s="87" t="n"/>
      <c r="RHO1" s="87" t="n"/>
      <c r="RHP1" s="87" t="n"/>
      <c r="RHQ1" s="87" t="n"/>
      <c r="RHR1" s="87" t="n"/>
      <c r="RHS1" s="87" t="n"/>
      <c r="RHT1" s="87" t="n"/>
      <c r="RHU1" s="87" t="n"/>
      <c r="RHV1" s="87" t="n"/>
      <c r="RHW1" s="87" t="n"/>
      <c r="RHX1" s="87" t="n"/>
      <c r="RHY1" s="87" t="n"/>
      <c r="RHZ1" s="87" t="n"/>
      <c r="RIA1" s="87" t="n"/>
      <c r="RIB1" s="87" t="n"/>
      <c r="RIC1" s="87" t="n"/>
      <c r="RID1" s="87" t="n"/>
      <c r="RIE1" s="87" t="n"/>
      <c r="RIF1" s="87" t="n"/>
      <c r="RIG1" s="87" t="n"/>
      <c r="RIH1" s="87" t="n"/>
      <c r="RII1" s="87" t="n"/>
      <c r="RIJ1" s="87" t="n"/>
      <c r="RIK1" s="87" t="n"/>
      <c r="RIL1" s="87" t="n"/>
      <c r="RIM1" s="87" t="n"/>
      <c r="RIN1" s="87" t="n"/>
      <c r="RIO1" s="87" t="n"/>
      <c r="RIP1" s="87" t="n"/>
      <c r="RIQ1" s="87" t="n"/>
      <c r="RIR1" s="87" t="n"/>
      <c r="RIS1" s="87" t="n"/>
      <c r="RIT1" s="87" t="n"/>
      <c r="RIU1" s="87" t="n"/>
      <c r="RIV1" s="87" t="n"/>
      <c r="RIW1" s="87" t="n"/>
      <c r="RIX1" s="87" t="n"/>
      <c r="RIY1" s="87" t="n"/>
      <c r="RIZ1" s="87" t="n"/>
      <c r="RJA1" s="87" t="n"/>
      <c r="RJB1" s="87" t="n"/>
      <c r="RJC1" s="87" t="n"/>
      <c r="RJD1" s="87" t="n"/>
      <c r="RJE1" s="87" t="n"/>
      <c r="RJF1" s="87" t="n"/>
      <c r="RJG1" s="87" t="n"/>
      <c r="RJH1" s="87" t="n"/>
      <c r="RJI1" s="87" t="n"/>
      <c r="RJJ1" s="87" t="n"/>
      <c r="RJK1" s="87" t="n"/>
      <c r="RJL1" s="87" t="n"/>
      <c r="RJM1" s="87" t="n"/>
      <c r="RJN1" s="87" t="n"/>
      <c r="RJO1" s="87" t="n"/>
      <c r="RJP1" s="87" t="n"/>
      <c r="RJQ1" s="87" t="n"/>
      <c r="RJR1" s="87" t="n"/>
      <c r="RJS1" s="87" t="n"/>
      <c r="RJT1" s="87" t="n"/>
      <c r="RJU1" s="87" t="n"/>
      <c r="RJV1" s="87" t="n"/>
      <c r="RJW1" s="87" t="n"/>
      <c r="RJX1" s="87" t="n"/>
      <c r="RJY1" s="87" t="n"/>
      <c r="RJZ1" s="87" t="n"/>
      <c r="RKA1" s="87" t="n"/>
      <c r="RKB1" s="87" t="n"/>
      <c r="RKC1" s="87" t="n"/>
      <c r="RKD1" s="87" t="n"/>
      <c r="RKE1" s="87" t="n"/>
      <c r="RKF1" s="87" t="n"/>
      <c r="RKG1" s="87" t="n"/>
      <c r="RKH1" s="87" t="n"/>
      <c r="RKI1" s="87" t="n"/>
      <c r="RKJ1" s="87" t="n"/>
      <c r="RKK1" s="87" t="n"/>
      <c r="RKL1" s="87" t="n"/>
      <c r="RKM1" s="87" t="n"/>
      <c r="RKN1" s="87" t="n"/>
      <c r="RKO1" s="87" t="n"/>
      <c r="RKP1" s="87" t="n"/>
      <c r="RKQ1" s="87" t="n"/>
      <c r="RKR1" s="87" t="n"/>
      <c r="RKS1" s="87" t="n"/>
      <c r="RKT1" s="87" t="n"/>
      <c r="RKU1" s="87" t="n"/>
      <c r="RKV1" s="87" t="n"/>
      <c r="RKW1" s="87" t="n"/>
      <c r="RKX1" s="87" t="n"/>
      <c r="RKY1" s="87" t="n"/>
      <c r="RKZ1" s="87" t="n"/>
      <c r="RLA1" s="87" t="n"/>
      <c r="RLB1" s="87" t="n"/>
      <c r="RLC1" s="87" t="n"/>
      <c r="RLD1" s="87" t="n"/>
      <c r="RLE1" s="87" t="n"/>
      <c r="RLF1" s="87" t="n"/>
      <c r="RLG1" s="87" t="n"/>
      <c r="RLH1" s="87" t="n"/>
      <c r="RLI1" s="87" t="n"/>
      <c r="RLJ1" s="87" t="n"/>
      <c r="RLK1" s="87" t="n"/>
      <c r="RLL1" s="87" t="n"/>
      <c r="RLM1" s="87" t="n"/>
      <c r="RLN1" s="87" t="n"/>
      <c r="RLO1" s="87" t="n"/>
      <c r="RLP1" s="87" t="n"/>
      <c r="RLQ1" s="87" t="n"/>
      <c r="RLR1" s="87" t="n"/>
      <c r="RLS1" s="87" t="n"/>
      <c r="RLT1" s="87" t="n"/>
      <c r="RLU1" s="87" t="n"/>
      <c r="RLV1" s="87" t="n"/>
      <c r="RLW1" s="87" t="n"/>
      <c r="RLX1" s="87" t="n"/>
      <c r="RLY1" s="87" t="n"/>
      <c r="RLZ1" s="87" t="n"/>
      <c r="RMA1" s="87" t="n"/>
      <c r="RMB1" s="87" t="n"/>
      <c r="RMC1" s="87" t="n"/>
      <c r="RMD1" s="87" t="n"/>
      <c r="RME1" s="87" t="n"/>
      <c r="RMF1" s="87" t="n"/>
      <c r="RMG1" s="87" t="n"/>
      <c r="RMH1" s="87" t="n"/>
      <c r="RMI1" s="87" t="n"/>
      <c r="RMJ1" s="87" t="n"/>
      <c r="RMK1" s="87" t="n"/>
      <c r="RML1" s="87" t="n"/>
      <c r="RMM1" s="87" t="n"/>
      <c r="RMN1" s="87" t="n"/>
      <c r="RMO1" s="87" t="n"/>
      <c r="RMP1" s="87" t="n"/>
      <c r="RMQ1" s="87" t="n"/>
      <c r="RMR1" s="87" t="n"/>
      <c r="RMS1" s="87" t="n"/>
      <c r="RMT1" s="87" t="n"/>
      <c r="RMU1" s="87" t="n"/>
      <c r="RMV1" s="87" t="n"/>
      <c r="RMW1" s="87" t="n"/>
      <c r="RMX1" s="87" t="n"/>
      <c r="RMY1" s="87" t="n"/>
      <c r="RMZ1" s="87" t="n"/>
      <c r="RNA1" s="87" t="n"/>
      <c r="RNB1" s="87" t="n"/>
      <c r="RNC1" s="87" t="n"/>
      <c r="RND1" s="87" t="n"/>
      <c r="RNE1" s="87" t="n"/>
      <c r="RNF1" s="87" t="n"/>
      <c r="RNG1" s="87" t="n"/>
      <c r="RNH1" s="87" t="n"/>
      <c r="RNI1" s="87" t="n"/>
      <c r="RNJ1" s="87" t="n"/>
      <c r="RNK1" s="87" t="n"/>
      <c r="RNL1" s="87" t="n"/>
      <c r="RNM1" s="87" t="n"/>
      <c r="RNN1" s="87" t="n"/>
      <c r="RNO1" s="87" t="n"/>
      <c r="RNP1" s="87" t="n"/>
      <c r="RNQ1" s="87" t="n"/>
      <c r="RNR1" s="87" t="n"/>
      <c r="RNS1" s="87" t="n"/>
      <c r="RNT1" s="87" t="n"/>
      <c r="RNU1" s="87" t="n"/>
      <c r="RNV1" s="87" t="n"/>
      <c r="RNW1" s="87" t="n"/>
      <c r="RNX1" s="87" t="n"/>
      <c r="RNY1" s="87" t="n"/>
      <c r="RNZ1" s="87" t="n"/>
      <c r="ROA1" s="87" t="n"/>
      <c r="ROB1" s="87" t="n"/>
      <c r="ROC1" s="87" t="n"/>
      <c r="ROD1" s="87" t="n"/>
      <c r="ROE1" s="87" t="n"/>
      <c r="ROF1" s="87" t="n"/>
      <c r="ROG1" s="87" t="n"/>
      <c r="ROH1" s="87" t="n"/>
      <c r="ROI1" s="87" t="n"/>
      <c r="ROJ1" s="87" t="n"/>
      <c r="ROK1" s="87" t="n"/>
      <c r="ROL1" s="87" t="n"/>
      <c r="ROM1" s="87" t="n"/>
      <c r="RON1" s="87" t="n"/>
      <c r="ROO1" s="87" t="n"/>
      <c r="ROP1" s="87" t="n"/>
      <c r="ROQ1" s="87" t="n"/>
      <c r="ROR1" s="87" t="n"/>
      <c r="ROS1" s="87" t="n"/>
      <c r="ROT1" s="87" t="n"/>
      <c r="ROU1" s="87" t="n"/>
      <c r="ROV1" s="87" t="n"/>
      <c r="ROW1" s="87" t="n"/>
      <c r="ROX1" s="87" t="n"/>
      <c r="ROY1" s="87" t="n"/>
      <c r="ROZ1" s="87" t="n"/>
      <c r="RPA1" s="87" t="n"/>
      <c r="RPB1" s="87" t="n"/>
      <c r="RPC1" s="87" t="n"/>
      <c r="RPD1" s="87" t="n"/>
      <c r="RPE1" s="87" t="n"/>
      <c r="RPF1" s="87" t="n"/>
      <c r="RPG1" s="87" t="n"/>
      <c r="RPH1" s="87" t="n"/>
      <c r="RPI1" s="87" t="n"/>
      <c r="RPJ1" s="87" t="n"/>
      <c r="RPK1" s="87" t="n"/>
      <c r="RPL1" s="87" t="n"/>
      <c r="RPM1" s="87" t="n"/>
      <c r="RPN1" s="87" t="n"/>
      <c r="RPO1" s="87" t="n"/>
      <c r="RPP1" s="87" t="n"/>
      <c r="RPQ1" s="87" t="n"/>
      <c r="RPR1" s="87" t="n"/>
      <c r="RPS1" s="87" t="n"/>
      <c r="RPT1" s="87" t="n"/>
      <c r="RPU1" s="87" t="n"/>
      <c r="RPV1" s="87" t="n"/>
      <c r="RPW1" s="87" t="n"/>
      <c r="RPX1" s="87" t="n"/>
      <c r="RPY1" s="87" t="n"/>
      <c r="RPZ1" s="87" t="n"/>
      <c r="RQA1" s="87" t="n"/>
      <c r="RQB1" s="87" t="n"/>
      <c r="RQC1" s="87" t="n"/>
      <c r="RQD1" s="87" t="n"/>
      <c r="RQE1" s="87" t="n"/>
      <c r="RQF1" s="87" t="n"/>
      <c r="RQG1" s="87" t="n"/>
      <c r="RQH1" s="87" t="n"/>
      <c r="RQI1" s="87" t="n"/>
      <c r="RQJ1" s="87" t="n"/>
      <c r="RQK1" s="87" t="n"/>
      <c r="RQL1" s="87" t="n"/>
      <c r="RQM1" s="87" t="n"/>
      <c r="RQN1" s="87" t="n"/>
      <c r="RQO1" s="87" t="n"/>
      <c r="RQP1" s="87" t="n"/>
      <c r="RQQ1" s="87" t="n"/>
      <c r="RQR1" s="87" t="n"/>
      <c r="RQS1" s="87" t="n"/>
      <c r="RQT1" s="87" t="n"/>
      <c r="RQU1" s="87" t="n"/>
      <c r="RQV1" s="87" t="n"/>
      <c r="RQW1" s="87" t="n"/>
      <c r="RQX1" s="87" t="n"/>
      <c r="RQY1" s="87" t="n"/>
      <c r="RQZ1" s="87" t="n"/>
      <c r="RRA1" s="87" t="n"/>
      <c r="RRB1" s="87" t="n"/>
      <c r="RRC1" s="87" t="n"/>
      <c r="RRD1" s="87" t="n"/>
      <c r="RRE1" s="87" t="n"/>
      <c r="RRF1" s="87" t="n"/>
      <c r="RRG1" s="87" t="n"/>
      <c r="RRH1" s="87" t="n"/>
      <c r="RRI1" s="87" t="n"/>
      <c r="RRJ1" s="87" t="n"/>
      <c r="RRK1" s="87" t="n"/>
      <c r="RRL1" s="87" t="n"/>
      <c r="RRM1" s="87" t="n"/>
      <c r="RRN1" s="87" t="n"/>
      <c r="RRO1" s="87" t="n"/>
      <c r="RRP1" s="87" t="n"/>
      <c r="RRQ1" s="87" t="n"/>
      <c r="RRR1" s="87" t="n"/>
      <c r="RRS1" s="87" t="n"/>
      <c r="RRT1" s="87" t="n"/>
      <c r="RRU1" s="87" t="n"/>
      <c r="RRV1" s="87" t="n"/>
      <c r="RRW1" s="87" t="n"/>
      <c r="RRX1" s="87" t="n"/>
      <c r="RRY1" s="87" t="n"/>
      <c r="RRZ1" s="87" t="n"/>
      <c r="RSA1" s="87" t="n"/>
      <c r="RSB1" s="87" t="n"/>
      <c r="RSC1" s="87" t="n"/>
      <c r="RSD1" s="87" t="n"/>
      <c r="RSE1" s="87" t="n"/>
      <c r="RSF1" s="87" t="n"/>
      <c r="RSG1" s="87" t="n"/>
      <c r="RSH1" s="87" t="n"/>
      <c r="RSI1" s="87" t="n"/>
      <c r="RSJ1" s="87" t="n"/>
      <c r="RSK1" s="87" t="n"/>
      <c r="RSL1" s="87" t="n"/>
      <c r="RSM1" s="87" t="n"/>
      <c r="RSN1" s="87" t="n"/>
      <c r="RSO1" s="87" t="n"/>
      <c r="RSP1" s="87" t="n"/>
      <c r="RSQ1" s="87" t="n"/>
      <c r="RSR1" s="87" t="n"/>
      <c r="RSS1" s="87" t="n"/>
      <c r="RST1" s="87" t="n"/>
      <c r="RSU1" s="87" t="n"/>
      <c r="RSV1" s="87" t="n"/>
      <c r="RSW1" s="87" t="n"/>
      <c r="RSX1" s="87" t="n"/>
      <c r="RSY1" s="87" t="n"/>
      <c r="RSZ1" s="87" t="n"/>
      <c r="RTA1" s="87" t="n"/>
      <c r="RTB1" s="87" t="n"/>
      <c r="RTC1" s="87" t="n"/>
      <c r="RTD1" s="87" t="n"/>
      <c r="RTE1" s="87" t="n"/>
      <c r="RTF1" s="87" t="n"/>
      <c r="RTG1" s="87" t="n"/>
      <c r="RTH1" s="87" t="n"/>
      <c r="RTI1" s="87" t="n"/>
      <c r="RTJ1" s="87" t="n"/>
      <c r="RTK1" s="87" t="n"/>
      <c r="RTL1" s="87" t="n"/>
      <c r="RTM1" s="87" t="n"/>
      <c r="RTN1" s="87" t="n"/>
      <c r="RTO1" s="87" t="n"/>
      <c r="RTP1" s="87" t="n"/>
      <c r="RTQ1" s="87" t="n"/>
      <c r="RTR1" s="87" t="n"/>
      <c r="RTS1" s="87" t="n"/>
      <c r="RTT1" s="87" t="n"/>
      <c r="RTU1" s="87" t="n"/>
      <c r="RTV1" s="87" t="n"/>
      <c r="RTW1" s="87" t="n"/>
      <c r="RTX1" s="87" t="n"/>
      <c r="RTY1" s="87" t="n"/>
      <c r="RTZ1" s="87" t="n"/>
      <c r="RUA1" s="87" t="n"/>
      <c r="RUB1" s="87" t="n"/>
      <c r="RUC1" s="87" t="n"/>
      <c r="RUD1" s="87" t="n"/>
      <c r="RUE1" s="87" t="n"/>
      <c r="RUF1" s="87" t="n"/>
      <c r="RUG1" s="87" t="n"/>
      <c r="RUH1" s="87" t="n"/>
      <c r="RUI1" s="87" t="n"/>
      <c r="RUJ1" s="87" t="n"/>
      <c r="RUK1" s="87" t="n"/>
      <c r="RUL1" s="87" t="n"/>
      <c r="RUM1" s="87" t="n"/>
      <c r="RUN1" s="87" t="n"/>
      <c r="RUO1" s="87" t="n"/>
      <c r="RUP1" s="87" t="n"/>
      <c r="RUQ1" s="87" t="n"/>
      <c r="RUR1" s="87" t="n"/>
      <c r="RUS1" s="87" t="n"/>
      <c r="RUT1" s="87" t="n"/>
      <c r="RUU1" s="87" t="n"/>
      <c r="RUV1" s="87" t="n"/>
      <c r="RUW1" s="87" t="n"/>
      <c r="RUX1" s="87" t="n"/>
      <c r="RUY1" s="87" t="n"/>
      <c r="RUZ1" s="87" t="n"/>
      <c r="RVA1" s="87" t="n"/>
      <c r="RVB1" s="87" t="n"/>
      <c r="RVC1" s="87" t="n"/>
      <c r="RVD1" s="87" t="n"/>
      <c r="RVE1" s="87" t="n"/>
      <c r="RVF1" s="87" t="n"/>
      <c r="RVG1" s="87" t="n"/>
      <c r="RVH1" s="87" t="n"/>
      <c r="RVI1" s="87" t="n"/>
      <c r="RVJ1" s="87" t="n"/>
      <c r="RVK1" s="87" t="n"/>
      <c r="RVL1" s="87" t="n"/>
      <c r="RVM1" s="87" t="n"/>
      <c r="RVN1" s="87" t="n"/>
      <c r="RVO1" s="87" t="n"/>
      <c r="RVP1" s="87" t="n"/>
      <c r="RVQ1" s="87" t="n"/>
      <c r="RVR1" s="87" t="n"/>
      <c r="RVS1" s="87" t="n"/>
      <c r="RVT1" s="87" t="n"/>
      <c r="RVU1" s="87" t="n"/>
      <c r="RVV1" s="87" t="n"/>
      <c r="RVW1" s="87" t="n"/>
      <c r="RVX1" s="87" t="n"/>
      <c r="RVY1" s="87" t="n"/>
      <c r="RVZ1" s="87" t="n"/>
      <c r="RWA1" s="87" t="n"/>
      <c r="RWB1" s="87" t="n"/>
      <c r="RWC1" s="87" t="n"/>
      <c r="RWD1" s="87" t="n"/>
      <c r="RWE1" s="87" t="n"/>
      <c r="RWF1" s="87" t="n"/>
      <c r="RWG1" s="87" t="n"/>
      <c r="RWH1" s="87" t="n"/>
      <c r="RWI1" s="87" t="n"/>
      <c r="RWJ1" s="87" t="n"/>
      <c r="RWK1" s="87" t="n"/>
      <c r="RWL1" s="87" t="n"/>
      <c r="RWM1" s="87" t="n"/>
      <c r="RWN1" s="87" t="n"/>
      <c r="RWO1" s="87" t="n"/>
      <c r="RWP1" s="87" t="n"/>
      <c r="RWQ1" s="87" t="n"/>
      <c r="RWR1" s="87" t="n"/>
      <c r="RWS1" s="87" t="n"/>
      <c r="RWT1" s="87" t="n"/>
      <c r="RWU1" s="87" t="n"/>
      <c r="RWV1" s="87" t="n"/>
      <c r="RWW1" s="87" t="n"/>
      <c r="RWX1" s="87" t="n"/>
      <c r="RWY1" s="87" t="n"/>
      <c r="RWZ1" s="87" t="n"/>
      <c r="RXA1" s="87" t="n"/>
      <c r="RXB1" s="87" t="n"/>
      <c r="RXC1" s="87" t="n"/>
      <c r="RXD1" s="87" t="n"/>
      <c r="RXE1" s="87" t="n"/>
      <c r="RXF1" s="87" t="n"/>
      <c r="RXG1" s="87" t="n"/>
      <c r="RXH1" s="87" t="n"/>
      <c r="RXI1" s="87" t="n"/>
      <c r="RXJ1" s="87" t="n"/>
      <c r="RXK1" s="87" t="n"/>
      <c r="RXL1" s="87" t="n"/>
      <c r="RXM1" s="87" t="n"/>
      <c r="RXN1" s="87" t="n"/>
      <c r="RXO1" s="87" t="n"/>
      <c r="RXP1" s="87" t="n"/>
      <c r="RXQ1" s="87" t="n"/>
      <c r="RXR1" s="87" t="n"/>
      <c r="RXS1" s="87" t="n"/>
      <c r="RXT1" s="87" t="n"/>
      <c r="RXU1" s="87" t="n"/>
      <c r="RXV1" s="87" t="n"/>
      <c r="RXW1" s="87" t="n"/>
      <c r="RXX1" s="87" t="n"/>
      <c r="RXY1" s="87" t="n"/>
      <c r="RXZ1" s="87" t="n"/>
      <c r="RYA1" s="87" t="n"/>
      <c r="RYB1" s="87" t="n"/>
      <c r="RYC1" s="87" t="n"/>
      <c r="RYD1" s="87" t="n"/>
      <c r="RYE1" s="87" t="n"/>
      <c r="RYF1" s="87" t="n"/>
      <c r="RYG1" s="87" t="n"/>
      <c r="RYH1" s="87" t="n"/>
      <c r="RYI1" s="87" t="n"/>
      <c r="RYJ1" s="87" t="n"/>
      <c r="RYK1" s="87" t="n"/>
      <c r="RYL1" s="87" t="n"/>
      <c r="RYM1" s="87" t="n"/>
      <c r="RYN1" s="87" t="n"/>
      <c r="RYO1" s="87" t="n"/>
      <c r="RYP1" s="87" t="n"/>
      <c r="RYQ1" s="87" t="n"/>
      <c r="RYR1" s="87" t="n"/>
      <c r="RYS1" s="87" t="n"/>
      <c r="RYT1" s="87" t="n"/>
      <c r="RYU1" s="87" t="n"/>
      <c r="RYV1" s="87" t="n"/>
      <c r="RYW1" s="87" t="n"/>
      <c r="RYX1" s="87" t="n"/>
      <c r="RYY1" s="87" t="n"/>
      <c r="RYZ1" s="87" t="n"/>
      <c r="RZA1" s="87" t="n"/>
      <c r="RZB1" s="87" t="n"/>
      <c r="RZC1" s="87" t="n"/>
      <c r="RZD1" s="87" t="n"/>
      <c r="RZE1" s="87" t="n"/>
      <c r="RZF1" s="87" t="n"/>
      <c r="RZG1" s="87" t="n"/>
      <c r="RZH1" s="87" t="n"/>
      <c r="RZI1" s="87" t="n"/>
      <c r="RZJ1" s="87" t="n"/>
      <c r="RZK1" s="87" t="n"/>
      <c r="RZL1" s="87" t="n"/>
      <c r="RZM1" s="87" t="n"/>
      <c r="RZN1" s="87" t="n"/>
      <c r="RZO1" s="87" t="n"/>
      <c r="RZP1" s="87" t="n"/>
      <c r="RZQ1" s="87" t="n"/>
      <c r="RZR1" s="87" t="n"/>
      <c r="RZS1" s="87" t="n"/>
      <c r="RZT1" s="87" t="n"/>
      <c r="RZU1" s="87" t="n"/>
      <c r="RZV1" s="87" t="n"/>
      <c r="RZW1" s="87" t="n"/>
      <c r="RZX1" s="87" t="n"/>
      <c r="RZY1" s="87" t="n"/>
      <c r="RZZ1" s="87" t="n"/>
      <c r="SAA1" s="87" t="n"/>
      <c r="SAB1" s="87" t="n"/>
      <c r="SAC1" s="87" t="n"/>
      <c r="SAD1" s="87" t="n"/>
      <c r="SAE1" s="87" t="n"/>
      <c r="SAF1" s="87" t="n"/>
      <c r="SAG1" s="87" t="n"/>
      <c r="SAH1" s="87" t="n"/>
      <c r="SAI1" s="87" t="n"/>
      <c r="SAJ1" s="87" t="n"/>
      <c r="SAK1" s="87" t="n"/>
      <c r="SAL1" s="87" t="n"/>
      <c r="SAM1" s="87" t="n"/>
      <c r="SAN1" s="87" t="n"/>
      <c r="SAO1" s="87" t="n"/>
      <c r="SAP1" s="87" t="n"/>
      <c r="SAQ1" s="87" t="n"/>
      <c r="SAR1" s="87" t="n"/>
      <c r="SAS1" s="87" t="n"/>
      <c r="SAT1" s="87" t="n"/>
      <c r="SAU1" s="87" t="n"/>
      <c r="SAV1" s="87" t="n"/>
      <c r="SAW1" s="87" t="n"/>
      <c r="SAX1" s="87" t="n"/>
      <c r="SAY1" s="87" t="n"/>
      <c r="SAZ1" s="87" t="n"/>
      <c r="SBA1" s="87" t="n"/>
      <c r="SBB1" s="87" t="n"/>
      <c r="SBC1" s="87" t="n"/>
      <c r="SBD1" s="87" t="n"/>
      <c r="SBE1" s="87" t="n"/>
      <c r="SBF1" s="87" t="n"/>
      <c r="SBG1" s="87" t="n"/>
      <c r="SBH1" s="87" t="n"/>
      <c r="SBI1" s="87" t="n"/>
      <c r="SBJ1" s="87" t="n"/>
      <c r="SBK1" s="87" t="n"/>
      <c r="SBL1" s="87" t="n"/>
      <c r="SBM1" s="87" t="n"/>
      <c r="SBN1" s="87" t="n"/>
      <c r="SBO1" s="87" t="n"/>
      <c r="SBP1" s="87" t="n"/>
      <c r="SBQ1" s="87" t="n"/>
      <c r="SBR1" s="87" t="n"/>
      <c r="SBS1" s="87" t="n"/>
      <c r="SBT1" s="87" t="n"/>
      <c r="SBU1" s="87" t="n"/>
      <c r="SBV1" s="87" t="n"/>
      <c r="SBW1" s="87" t="n"/>
      <c r="SBX1" s="87" t="n"/>
      <c r="SBY1" s="87" t="n"/>
      <c r="SBZ1" s="87" t="n"/>
      <c r="SCA1" s="87" t="n"/>
      <c r="SCB1" s="87" t="n"/>
      <c r="SCC1" s="87" t="n"/>
      <c r="SCD1" s="87" t="n"/>
      <c r="SCE1" s="87" t="n"/>
      <c r="SCF1" s="87" t="n"/>
      <c r="SCG1" s="87" t="n"/>
      <c r="SCH1" s="87" t="n"/>
      <c r="SCI1" s="87" t="n"/>
      <c r="SCJ1" s="87" t="n"/>
      <c r="SCK1" s="87" t="n"/>
      <c r="SCL1" s="87" t="n"/>
      <c r="SCM1" s="87" t="n"/>
      <c r="SCN1" s="87" t="n"/>
      <c r="SCO1" s="87" t="n"/>
      <c r="SCP1" s="87" t="n"/>
      <c r="SCQ1" s="87" t="n"/>
      <c r="SCR1" s="87" t="n"/>
      <c r="SCS1" s="87" t="n"/>
      <c r="SCT1" s="87" t="n"/>
      <c r="SCU1" s="87" t="n"/>
      <c r="SCV1" s="87" t="n"/>
      <c r="SCW1" s="87" t="n"/>
      <c r="SCX1" s="87" t="n"/>
      <c r="SCY1" s="87" t="n"/>
      <c r="SCZ1" s="87" t="n"/>
      <c r="SDA1" s="87" t="n"/>
      <c r="SDB1" s="87" t="n"/>
      <c r="SDC1" s="87" t="n"/>
      <c r="SDD1" s="87" t="n"/>
      <c r="SDE1" s="87" t="n"/>
      <c r="SDF1" s="87" t="n"/>
      <c r="SDG1" s="87" t="n"/>
      <c r="SDH1" s="87" t="n"/>
      <c r="SDI1" s="87" t="n"/>
      <c r="SDJ1" s="87" t="n"/>
      <c r="SDK1" s="87" t="n"/>
      <c r="SDL1" s="87" t="n"/>
      <c r="SDM1" s="87" t="n"/>
      <c r="SDN1" s="87" t="n"/>
      <c r="SDO1" s="87" t="n"/>
      <c r="SDP1" s="87" t="n"/>
      <c r="SDQ1" s="87" t="n"/>
      <c r="SDR1" s="87" t="n"/>
      <c r="SDS1" s="87" t="n"/>
      <c r="SDT1" s="87" t="n"/>
      <c r="SDU1" s="87" t="n"/>
      <c r="SDV1" s="87" t="n"/>
      <c r="SDW1" s="87" t="n"/>
      <c r="SDX1" s="87" t="n"/>
      <c r="SDY1" s="87" t="n"/>
      <c r="SDZ1" s="87" t="n"/>
      <c r="SEA1" s="87" t="n"/>
      <c r="SEB1" s="87" t="n"/>
      <c r="SEC1" s="87" t="n"/>
      <c r="SED1" s="87" t="n"/>
      <c r="SEE1" s="87" t="n"/>
      <c r="SEF1" s="87" t="n"/>
      <c r="SEG1" s="87" t="n"/>
      <c r="SEH1" s="87" t="n"/>
      <c r="SEI1" s="87" t="n"/>
      <c r="SEJ1" s="87" t="n"/>
      <c r="SEK1" s="87" t="n"/>
      <c r="SEL1" s="87" t="n"/>
      <c r="SEM1" s="87" t="n"/>
      <c r="SEN1" s="87" t="n"/>
      <c r="SEO1" s="87" t="n"/>
      <c r="SEP1" s="87" t="n"/>
      <c r="SEQ1" s="87" t="n"/>
      <c r="SER1" s="87" t="n"/>
      <c r="SES1" s="87" t="n"/>
      <c r="SET1" s="87" t="n"/>
      <c r="SEU1" s="87" t="n"/>
      <c r="SEV1" s="87" t="n"/>
      <c r="SEW1" s="87" t="n"/>
      <c r="SEX1" s="87" t="n"/>
      <c r="SEY1" s="87" t="n"/>
      <c r="SEZ1" s="87" t="n"/>
      <c r="SFA1" s="87" t="n"/>
      <c r="SFB1" s="87" t="n"/>
      <c r="SFC1" s="87" t="n"/>
      <c r="SFD1" s="87" t="n"/>
      <c r="SFE1" s="87" t="n"/>
      <c r="SFF1" s="87" t="n"/>
      <c r="SFG1" s="87" t="n"/>
      <c r="SFH1" s="87" t="n"/>
      <c r="SFI1" s="87" t="n"/>
      <c r="SFJ1" s="87" t="n"/>
      <c r="SFK1" s="87" t="n"/>
      <c r="SFL1" s="87" t="n"/>
      <c r="SFM1" s="87" t="n"/>
      <c r="SFN1" s="87" t="n"/>
      <c r="SFO1" s="87" t="n"/>
      <c r="SFP1" s="87" t="n"/>
      <c r="SFQ1" s="87" t="n"/>
      <c r="SFR1" s="87" t="n"/>
      <c r="SFS1" s="87" t="n"/>
      <c r="SFT1" s="87" t="n"/>
      <c r="SFU1" s="87" t="n"/>
      <c r="SFV1" s="87" t="n"/>
      <c r="SFW1" s="87" t="n"/>
      <c r="SFX1" s="87" t="n"/>
      <c r="SFY1" s="87" t="n"/>
      <c r="SFZ1" s="87" t="n"/>
      <c r="SGA1" s="87" t="n"/>
      <c r="SGB1" s="87" t="n"/>
      <c r="SGC1" s="87" t="n"/>
      <c r="SGD1" s="87" t="n"/>
      <c r="SGE1" s="87" t="n"/>
      <c r="SGF1" s="87" t="n"/>
      <c r="SGG1" s="87" t="n"/>
      <c r="SGH1" s="87" t="n"/>
      <c r="SGI1" s="87" t="n"/>
      <c r="SGJ1" s="87" t="n"/>
      <c r="SGK1" s="87" t="n"/>
      <c r="SGL1" s="87" t="n"/>
      <c r="SGM1" s="87" t="n"/>
      <c r="SGN1" s="87" t="n"/>
      <c r="SGO1" s="87" t="n"/>
      <c r="SGP1" s="87" t="n"/>
      <c r="SGQ1" s="87" t="n"/>
      <c r="SGR1" s="87" t="n"/>
      <c r="SGS1" s="87" t="n"/>
      <c r="SGT1" s="87" t="n"/>
      <c r="SGU1" s="87" t="n"/>
      <c r="SGV1" s="87" t="n"/>
      <c r="SGW1" s="87" t="n"/>
      <c r="SGX1" s="87" t="n"/>
      <c r="SGY1" s="87" t="n"/>
      <c r="SGZ1" s="87" t="n"/>
      <c r="SHA1" s="87" t="n"/>
      <c r="SHB1" s="87" t="n"/>
      <c r="SHC1" s="87" t="n"/>
      <c r="SHD1" s="87" t="n"/>
      <c r="SHE1" s="87" t="n"/>
      <c r="SHF1" s="87" t="n"/>
      <c r="SHG1" s="87" t="n"/>
      <c r="SHH1" s="87" t="n"/>
      <c r="SHI1" s="87" t="n"/>
      <c r="SHJ1" s="87" t="n"/>
      <c r="SHK1" s="87" t="n"/>
      <c r="SHL1" s="87" t="n"/>
      <c r="SHM1" s="87" t="n"/>
      <c r="SHN1" s="87" t="n"/>
      <c r="SHO1" s="87" t="n"/>
      <c r="SHP1" s="87" t="n"/>
      <c r="SHQ1" s="87" t="n"/>
      <c r="SHR1" s="87" t="n"/>
      <c r="SHS1" s="87" t="n"/>
      <c r="SHT1" s="87" t="n"/>
      <c r="SHU1" s="87" t="n"/>
      <c r="SHV1" s="87" t="n"/>
      <c r="SHW1" s="87" t="n"/>
      <c r="SHX1" s="87" t="n"/>
      <c r="SHY1" s="87" t="n"/>
      <c r="SHZ1" s="87" t="n"/>
      <c r="SIA1" s="87" t="n"/>
      <c r="SIB1" s="87" t="n"/>
      <c r="SIC1" s="87" t="n"/>
      <c r="SID1" s="87" t="n"/>
      <c r="SIE1" s="87" t="n"/>
      <c r="SIF1" s="87" t="n"/>
      <c r="SIG1" s="87" t="n"/>
      <c r="SIH1" s="87" t="n"/>
      <c r="SII1" s="87" t="n"/>
      <c r="SIJ1" s="87" t="n"/>
      <c r="SIK1" s="87" t="n"/>
      <c r="SIL1" s="87" t="n"/>
      <c r="SIM1" s="87" t="n"/>
      <c r="SIN1" s="87" t="n"/>
      <c r="SIO1" s="87" t="n"/>
      <c r="SIP1" s="87" t="n"/>
      <c r="SIQ1" s="87" t="n"/>
      <c r="SIR1" s="87" t="n"/>
      <c r="SIS1" s="87" t="n"/>
      <c r="SIT1" s="87" t="n"/>
      <c r="SIU1" s="87" t="n"/>
      <c r="SIV1" s="87" t="n"/>
      <c r="SIW1" s="87" t="n"/>
      <c r="SIX1" s="87" t="n"/>
      <c r="SIY1" s="87" t="n"/>
      <c r="SIZ1" s="87" t="n"/>
      <c r="SJA1" s="87" t="n"/>
      <c r="SJB1" s="87" t="n"/>
      <c r="SJC1" s="87" t="n"/>
      <c r="SJD1" s="87" t="n"/>
      <c r="SJE1" s="87" t="n"/>
      <c r="SJF1" s="87" t="n"/>
      <c r="SJG1" s="87" t="n"/>
      <c r="SJH1" s="87" t="n"/>
      <c r="SJI1" s="87" t="n"/>
      <c r="SJJ1" s="87" t="n"/>
      <c r="SJK1" s="87" t="n"/>
      <c r="SJL1" s="87" t="n"/>
      <c r="SJM1" s="87" t="n"/>
      <c r="SJN1" s="87" t="n"/>
      <c r="SJO1" s="87" t="n"/>
      <c r="SJP1" s="87" t="n"/>
      <c r="SJQ1" s="87" t="n"/>
      <c r="SJR1" s="87" t="n"/>
      <c r="SJS1" s="87" t="n"/>
      <c r="SJT1" s="87" t="n"/>
      <c r="SJU1" s="87" t="n"/>
      <c r="SJV1" s="87" t="n"/>
      <c r="SJW1" s="87" t="n"/>
      <c r="SJX1" s="87" t="n"/>
      <c r="SJY1" s="87" t="n"/>
      <c r="SJZ1" s="87" t="n"/>
      <c r="SKA1" s="87" t="n"/>
      <c r="SKB1" s="87" t="n"/>
      <c r="SKC1" s="87" t="n"/>
      <c r="SKD1" s="87" t="n"/>
      <c r="SKE1" s="87" t="n"/>
      <c r="SKF1" s="87" t="n"/>
      <c r="SKG1" s="87" t="n"/>
      <c r="SKH1" s="87" t="n"/>
      <c r="SKI1" s="87" t="n"/>
      <c r="SKJ1" s="87" t="n"/>
      <c r="SKK1" s="87" t="n"/>
      <c r="SKL1" s="87" t="n"/>
      <c r="SKM1" s="87" t="n"/>
      <c r="SKN1" s="87" t="n"/>
      <c r="SKO1" s="87" t="n"/>
      <c r="SKP1" s="87" t="n"/>
      <c r="SKQ1" s="87" t="n"/>
      <c r="SKR1" s="87" t="n"/>
      <c r="SKS1" s="87" t="n"/>
      <c r="SKT1" s="87" t="n"/>
      <c r="SKU1" s="87" t="n"/>
      <c r="SKV1" s="87" t="n"/>
      <c r="SKW1" s="87" t="n"/>
      <c r="SKX1" s="87" t="n"/>
      <c r="SKY1" s="87" t="n"/>
      <c r="SKZ1" s="87" t="n"/>
      <c r="SLA1" s="87" t="n"/>
      <c r="SLB1" s="87" t="n"/>
      <c r="SLC1" s="87" t="n"/>
      <c r="SLD1" s="87" t="n"/>
      <c r="SLE1" s="87" t="n"/>
      <c r="SLF1" s="87" t="n"/>
      <c r="SLG1" s="87" t="n"/>
      <c r="SLH1" s="87" t="n"/>
      <c r="SLI1" s="87" t="n"/>
      <c r="SLJ1" s="87" t="n"/>
      <c r="SLK1" s="87" t="n"/>
      <c r="SLL1" s="87" t="n"/>
      <c r="SLM1" s="87" t="n"/>
      <c r="SLN1" s="87" t="n"/>
      <c r="SLO1" s="87" t="n"/>
      <c r="SLP1" s="87" t="n"/>
      <c r="SLQ1" s="87" t="n"/>
      <c r="SLR1" s="87" t="n"/>
      <c r="SLS1" s="87" t="n"/>
      <c r="SLT1" s="87" t="n"/>
      <c r="SLU1" s="87" t="n"/>
      <c r="SLV1" s="87" t="n"/>
      <c r="SLW1" s="87" t="n"/>
      <c r="SLX1" s="87" t="n"/>
      <c r="SLY1" s="87" t="n"/>
      <c r="SLZ1" s="87" t="n"/>
      <c r="SMA1" s="87" t="n"/>
      <c r="SMB1" s="87" t="n"/>
      <c r="SMC1" s="87" t="n"/>
      <c r="SMD1" s="87" t="n"/>
      <c r="SME1" s="87" t="n"/>
      <c r="SMF1" s="87" t="n"/>
      <c r="SMG1" s="87" t="n"/>
      <c r="SMH1" s="87" t="n"/>
      <c r="SMI1" s="87" t="n"/>
      <c r="SMJ1" s="87" t="n"/>
      <c r="SMK1" s="87" t="n"/>
      <c r="SML1" s="87" t="n"/>
      <c r="SMM1" s="87" t="n"/>
      <c r="SMN1" s="87" t="n"/>
      <c r="SMO1" s="87" t="n"/>
      <c r="SMP1" s="87" t="n"/>
      <c r="SMQ1" s="87" t="n"/>
      <c r="SMR1" s="87" t="n"/>
      <c r="SMS1" s="87" t="n"/>
      <c r="SMT1" s="87" t="n"/>
      <c r="SMU1" s="87" t="n"/>
      <c r="SMV1" s="87" t="n"/>
      <c r="SMW1" s="87" t="n"/>
      <c r="SMX1" s="87" t="n"/>
      <c r="SMY1" s="87" t="n"/>
      <c r="SMZ1" s="87" t="n"/>
      <c r="SNA1" s="87" t="n"/>
      <c r="SNB1" s="87" t="n"/>
      <c r="SNC1" s="87" t="n"/>
      <c r="SND1" s="87" t="n"/>
      <c r="SNE1" s="87" t="n"/>
      <c r="SNF1" s="87" t="n"/>
      <c r="SNG1" s="87" t="n"/>
      <c r="SNH1" s="87" t="n"/>
      <c r="SNI1" s="87" t="n"/>
      <c r="SNJ1" s="87" t="n"/>
      <c r="SNK1" s="87" t="n"/>
      <c r="SNL1" s="87" t="n"/>
      <c r="SNM1" s="87" t="n"/>
      <c r="SNN1" s="87" t="n"/>
      <c r="SNO1" s="87" t="n"/>
      <c r="SNP1" s="87" t="n"/>
      <c r="SNQ1" s="87" t="n"/>
      <c r="SNR1" s="87" t="n"/>
      <c r="SNS1" s="87" t="n"/>
      <c r="SNT1" s="87" t="n"/>
      <c r="SNU1" s="87" t="n"/>
      <c r="SNV1" s="87" t="n"/>
      <c r="SNW1" s="87" t="n"/>
      <c r="SNX1" s="87" t="n"/>
      <c r="SNY1" s="87" t="n"/>
      <c r="SNZ1" s="87" t="n"/>
      <c r="SOA1" s="87" t="n"/>
      <c r="SOB1" s="87" t="n"/>
      <c r="SOC1" s="87" t="n"/>
      <c r="SOD1" s="87" t="n"/>
      <c r="SOE1" s="87" t="n"/>
      <c r="SOF1" s="87" t="n"/>
      <c r="SOG1" s="87" t="n"/>
      <c r="SOH1" s="87" t="n"/>
      <c r="SOI1" s="87" t="n"/>
      <c r="SOJ1" s="87" t="n"/>
      <c r="SOK1" s="87" t="n"/>
      <c r="SOL1" s="87" t="n"/>
      <c r="SOM1" s="87" t="n"/>
      <c r="SON1" s="87" t="n"/>
      <c r="SOO1" s="87" t="n"/>
      <c r="SOP1" s="87" t="n"/>
      <c r="SOQ1" s="87" t="n"/>
      <c r="SOR1" s="87" t="n"/>
      <c r="SOS1" s="87" t="n"/>
      <c r="SOT1" s="87" t="n"/>
      <c r="SOU1" s="87" t="n"/>
      <c r="SOV1" s="87" t="n"/>
      <c r="SOW1" s="87" t="n"/>
      <c r="SOX1" s="87" t="n"/>
      <c r="SOY1" s="87" t="n"/>
      <c r="SOZ1" s="87" t="n"/>
      <c r="SPA1" s="87" t="n"/>
      <c r="SPB1" s="87" t="n"/>
      <c r="SPC1" s="87" t="n"/>
      <c r="SPD1" s="87" t="n"/>
      <c r="SPE1" s="87" t="n"/>
      <c r="SPF1" s="87" t="n"/>
      <c r="SPG1" s="87" t="n"/>
      <c r="SPH1" s="87" t="n"/>
      <c r="SPI1" s="87" t="n"/>
      <c r="SPJ1" s="87" t="n"/>
      <c r="SPK1" s="87" t="n"/>
      <c r="SPL1" s="87" t="n"/>
      <c r="SPM1" s="87" t="n"/>
      <c r="SPN1" s="87" t="n"/>
      <c r="SPO1" s="87" t="n"/>
      <c r="SPP1" s="87" t="n"/>
      <c r="SPQ1" s="87" t="n"/>
      <c r="SPR1" s="87" t="n"/>
      <c r="SPS1" s="87" t="n"/>
      <c r="SPT1" s="87" t="n"/>
      <c r="SPU1" s="87" t="n"/>
      <c r="SPV1" s="87" t="n"/>
      <c r="SPW1" s="87" t="n"/>
      <c r="SPX1" s="87" t="n"/>
      <c r="SPY1" s="87" t="n"/>
      <c r="SPZ1" s="87" t="n"/>
      <c r="SQA1" s="87" t="n"/>
      <c r="SQB1" s="87" t="n"/>
      <c r="SQC1" s="87" t="n"/>
      <c r="SQD1" s="87" t="n"/>
      <c r="SQE1" s="87" t="n"/>
      <c r="SQF1" s="87" t="n"/>
      <c r="SQG1" s="87" t="n"/>
      <c r="SQH1" s="87" t="n"/>
      <c r="SQI1" s="87" t="n"/>
      <c r="SQJ1" s="87" t="n"/>
      <c r="SQK1" s="87" t="n"/>
      <c r="SQL1" s="87" t="n"/>
      <c r="SQM1" s="87" t="n"/>
      <c r="SQN1" s="87" t="n"/>
      <c r="SQO1" s="87" t="n"/>
      <c r="SQP1" s="87" t="n"/>
      <c r="SQQ1" s="87" t="n"/>
      <c r="SQR1" s="87" t="n"/>
      <c r="SQS1" s="87" t="n"/>
      <c r="SQT1" s="87" t="n"/>
      <c r="SQU1" s="87" t="n"/>
      <c r="SQV1" s="87" t="n"/>
      <c r="SQW1" s="87" t="n"/>
      <c r="SQX1" s="87" t="n"/>
      <c r="SQY1" s="87" t="n"/>
      <c r="SQZ1" s="87" t="n"/>
      <c r="SRA1" s="87" t="n"/>
      <c r="SRB1" s="87" t="n"/>
      <c r="SRC1" s="87" t="n"/>
      <c r="SRD1" s="87" t="n"/>
      <c r="SRE1" s="87" t="n"/>
      <c r="SRF1" s="87" t="n"/>
      <c r="SRG1" s="87" t="n"/>
      <c r="SRH1" s="87" t="n"/>
      <c r="SRI1" s="87" t="n"/>
      <c r="SRJ1" s="87" t="n"/>
      <c r="SRK1" s="87" t="n"/>
      <c r="SRL1" s="87" t="n"/>
      <c r="SRM1" s="87" t="n"/>
      <c r="SRN1" s="87" t="n"/>
      <c r="SRO1" s="87" t="n"/>
      <c r="SRP1" s="87" t="n"/>
      <c r="SRQ1" s="87" t="n"/>
      <c r="SRR1" s="87" t="n"/>
      <c r="SRS1" s="87" t="n"/>
      <c r="SRT1" s="87" t="n"/>
      <c r="SRU1" s="87" t="n"/>
      <c r="SRV1" s="87" t="n"/>
      <c r="SRW1" s="87" t="n"/>
      <c r="SRX1" s="87" t="n"/>
      <c r="SRY1" s="87" t="n"/>
      <c r="SRZ1" s="87" t="n"/>
      <c r="SSA1" s="87" t="n"/>
      <c r="SSB1" s="87" t="n"/>
      <c r="SSC1" s="87" t="n"/>
      <c r="SSD1" s="87" t="n"/>
      <c r="SSE1" s="87" t="n"/>
      <c r="SSF1" s="87" t="n"/>
      <c r="SSG1" s="87" t="n"/>
      <c r="SSH1" s="87" t="n"/>
      <c r="SSI1" s="87" t="n"/>
      <c r="SSJ1" s="87" t="n"/>
      <c r="SSK1" s="87" t="n"/>
      <c r="SSL1" s="87" t="n"/>
      <c r="SSM1" s="87" t="n"/>
      <c r="SSN1" s="87" t="n"/>
      <c r="SSO1" s="87" t="n"/>
      <c r="SSP1" s="87" t="n"/>
      <c r="SSQ1" s="87" t="n"/>
      <c r="SSR1" s="87" t="n"/>
      <c r="SSS1" s="87" t="n"/>
      <c r="SST1" s="87" t="n"/>
      <c r="SSU1" s="87" t="n"/>
      <c r="SSV1" s="87" t="n"/>
      <c r="SSW1" s="87" t="n"/>
      <c r="SSX1" s="87" t="n"/>
      <c r="SSY1" s="87" t="n"/>
      <c r="SSZ1" s="87" t="n"/>
      <c r="STA1" s="87" t="n"/>
      <c r="STB1" s="87" t="n"/>
      <c r="STC1" s="87" t="n"/>
      <c r="STD1" s="87" t="n"/>
      <c r="STE1" s="87" t="n"/>
      <c r="STF1" s="87" t="n"/>
      <c r="STG1" s="87" t="n"/>
      <c r="STH1" s="87" t="n"/>
      <c r="STI1" s="87" t="n"/>
      <c r="STJ1" s="87" t="n"/>
      <c r="STK1" s="87" t="n"/>
      <c r="STL1" s="87" t="n"/>
      <c r="STM1" s="87" t="n"/>
      <c r="STN1" s="87" t="n"/>
      <c r="STO1" s="87" t="n"/>
      <c r="STP1" s="87" t="n"/>
      <c r="STQ1" s="87" t="n"/>
      <c r="STR1" s="87" t="n"/>
      <c r="STS1" s="87" t="n"/>
      <c r="STT1" s="87" t="n"/>
      <c r="STU1" s="87" t="n"/>
      <c r="STV1" s="87" t="n"/>
      <c r="STW1" s="87" t="n"/>
      <c r="STX1" s="87" t="n"/>
      <c r="STY1" s="87" t="n"/>
      <c r="STZ1" s="87" t="n"/>
      <c r="SUA1" s="87" t="n"/>
      <c r="SUB1" s="87" t="n"/>
      <c r="SUC1" s="87" t="n"/>
      <c r="SUD1" s="87" t="n"/>
      <c r="SUE1" s="87" t="n"/>
      <c r="SUF1" s="87" t="n"/>
      <c r="SUG1" s="87" t="n"/>
      <c r="SUH1" s="87" t="n"/>
      <c r="SUI1" s="87" t="n"/>
      <c r="SUJ1" s="87" t="n"/>
      <c r="SUK1" s="87" t="n"/>
      <c r="SUL1" s="87" t="n"/>
      <c r="SUM1" s="87" t="n"/>
      <c r="SUN1" s="87" t="n"/>
      <c r="SUO1" s="87" t="n"/>
      <c r="SUP1" s="87" t="n"/>
      <c r="SUQ1" s="87" t="n"/>
      <c r="SUR1" s="87" t="n"/>
      <c r="SUS1" s="87" t="n"/>
      <c r="SUT1" s="87" t="n"/>
      <c r="SUU1" s="87" t="n"/>
      <c r="SUV1" s="87" t="n"/>
      <c r="SUW1" s="87" t="n"/>
      <c r="SUX1" s="87" t="n"/>
      <c r="SUY1" s="87" t="n"/>
      <c r="SUZ1" s="87" t="n"/>
      <c r="SVA1" s="87" t="n"/>
      <c r="SVB1" s="87" t="n"/>
      <c r="SVC1" s="87" t="n"/>
      <c r="SVD1" s="87" t="n"/>
      <c r="SVE1" s="87" t="n"/>
      <c r="SVF1" s="87" t="n"/>
      <c r="SVG1" s="87" t="n"/>
      <c r="SVH1" s="87" t="n"/>
      <c r="SVI1" s="87" t="n"/>
      <c r="SVJ1" s="87" t="n"/>
      <c r="SVK1" s="87" t="n"/>
      <c r="SVL1" s="87" t="n"/>
      <c r="SVM1" s="87" t="n"/>
      <c r="SVN1" s="87" t="n"/>
      <c r="SVO1" s="87" t="n"/>
      <c r="SVP1" s="87" t="n"/>
      <c r="SVQ1" s="87" t="n"/>
      <c r="SVR1" s="87" t="n"/>
      <c r="SVS1" s="87" t="n"/>
      <c r="SVT1" s="87" t="n"/>
      <c r="SVU1" s="87" t="n"/>
      <c r="SVV1" s="87" t="n"/>
      <c r="SVW1" s="87" t="n"/>
      <c r="SVX1" s="87" t="n"/>
      <c r="SVY1" s="87" t="n"/>
      <c r="SVZ1" s="87" t="n"/>
      <c r="SWA1" s="87" t="n"/>
      <c r="SWB1" s="87" t="n"/>
      <c r="SWC1" s="87" t="n"/>
      <c r="SWD1" s="87" t="n"/>
      <c r="SWE1" s="87" t="n"/>
      <c r="SWF1" s="87" t="n"/>
      <c r="SWG1" s="87" t="n"/>
      <c r="SWH1" s="87" t="n"/>
      <c r="SWI1" s="87" t="n"/>
      <c r="SWJ1" s="87" t="n"/>
      <c r="SWK1" s="87" t="n"/>
      <c r="SWL1" s="87" t="n"/>
      <c r="SWM1" s="87" t="n"/>
      <c r="SWN1" s="87" t="n"/>
      <c r="SWO1" s="87" t="n"/>
      <c r="SWP1" s="87" t="n"/>
      <c r="SWQ1" s="87" t="n"/>
      <c r="SWR1" s="87" t="n"/>
      <c r="SWS1" s="87" t="n"/>
      <c r="SWT1" s="87" t="n"/>
      <c r="SWU1" s="87" t="n"/>
      <c r="SWV1" s="87" t="n"/>
      <c r="SWW1" s="87" t="n"/>
      <c r="SWX1" s="87" t="n"/>
      <c r="SWY1" s="87" t="n"/>
      <c r="SWZ1" s="87" t="n"/>
      <c r="SXA1" s="87" t="n"/>
      <c r="SXB1" s="87" t="n"/>
      <c r="SXC1" s="87" t="n"/>
      <c r="SXD1" s="87" t="n"/>
      <c r="SXE1" s="87" t="n"/>
      <c r="SXF1" s="87" t="n"/>
      <c r="SXG1" s="87" t="n"/>
      <c r="SXH1" s="87" t="n"/>
      <c r="SXI1" s="87" t="n"/>
      <c r="SXJ1" s="87" t="n"/>
      <c r="SXK1" s="87" t="n"/>
      <c r="SXL1" s="87" t="n"/>
      <c r="SXM1" s="87" t="n"/>
      <c r="SXN1" s="87" t="n"/>
      <c r="SXO1" s="87" t="n"/>
      <c r="SXP1" s="87" t="n"/>
      <c r="SXQ1" s="87" t="n"/>
      <c r="SXR1" s="87" t="n"/>
      <c r="SXS1" s="87" t="n"/>
      <c r="SXT1" s="87" t="n"/>
      <c r="SXU1" s="87" t="n"/>
      <c r="SXV1" s="87" t="n"/>
      <c r="SXW1" s="87" t="n"/>
      <c r="SXX1" s="87" t="n"/>
      <c r="SXY1" s="87" t="n"/>
      <c r="SXZ1" s="87" t="n"/>
      <c r="SYA1" s="87" t="n"/>
      <c r="SYB1" s="87" t="n"/>
      <c r="SYC1" s="87" t="n"/>
      <c r="SYD1" s="87" t="n"/>
      <c r="SYE1" s="87" t="n"/>
      <c r="SYF1" s="87" t="n"/>
      <c r="SYG1" s="87" t="n"/>
      <c r="SYH1" s="87" t="n"/>
      <c r="SYI1" s="87" t="n"/>
      <c r="SYJ1" s="87" t="n"/>
      <c r="SYK1" s="87" t="n"/>
      <c r="SYL1" s="87" t="n"/>
      <c r="SYM1" s="87" t="n"/>
      <c r="SYN1" s="87" t="n"/>
      <c r="SYO1" s="87" t="n"/>
      <c r="SYP1" s="87" t="n"/>
      <c r="SYQ1" s="87" t="n"/>
      <c r="SYR1" s="87" t="n"/>
      <c r="SYS1" s="87" t="n"/>
      <c r="SYT1" s="87" t="n"/>
      <c r="SYU1" s="87" t="n"/>
      <c r="SYV1" s="87" t="n"/>
      <c r="SYW1" s="87" t="n"/>
      <c r="SYX1" s="87" t="n"/>
      <c r="SYY1" s="87" t="n"/>
      <c r="SYZ1" s="87" t="n"/>
      <c r="SZA1" s="87" t="n"/>
      <c r="SZB1" s="87" t="n"/>
      <c r="SZC1" s="87" t="n"/>
      <c r="SZD1" s="87" t="n"/>
      <c r="SZE1" s="87" t="n"/>
      <c r="SZF1" s="87" t="n"/>
      <c r="SZG1" s="87" t="n"/>
      <c r="SZH1" s="87" t="n"/>
      <c r="SZI1" s="87" t="n"/>
      <c r="SZJ1" s="87" t="n"/>
      <c r="SZK1" s="87" t="n"/>
      <c r="SZL1" s="87" t="n"/>
      <c r="SZM1" s="87" t="n"/>
      <c r="SZN1" s="87" t="n"/>
      <c r="SZO1" s="87" t="n"/>
      <c r="SZP1" s="87" t="n"/>
      <c r="SZQ1" s="87" t="n"/>
      <c r="SZR1" s="87" t="n"/>
      <c r="SZS1" s="87" t="n"/>
      <c r="SZT1" s="87" t="n"/>
      <c r="SZU1" s="87" t="n"/>
      <c r="SZV1" s="87" t="n"/>
      <c r="SZW1" s="87" t="n"/>
      <c r="SZX1" s="87" t="n"/>
      <c r="SZY1" s="87" t="n"/>
      <c r="SZZ1" s="87" t="n"/>
      <c r="TAA1" s="87" t="n"/>
      <c r="TAB1" s="87" t="n"/>
      <c r="TAC1" s="87" t="n"/>
      <c r="TAD1" s="87" t="n"/>
      <c r="TAE1" s="87" t="n"/>
      <c r="TAF1" s="87" t="n"/>
      <c r="TAG1" s="87" t="n"/>
      <c r="TAH1" s="87" t="n"/>
      <c r="TAI1" s="87" t="n"/>
      <c r="TAJ1" s="87" t="n"/>
      <c r="TAK1" s="87" t="n"/>
      <c r="TAL1" s="87" t="n"/>
      <c r="TAM1" s="87" t="n"/>
      <c r="TAN1" s="87" t="n"/>
      <c r="TAO1" s="87" t="n"/>
      <c r="TAP1" s="87" t="n"/>
      <c r="TAQ1" s="87" t="n"/>
      <c r="TAR1" s="87" t="n"/>
      <c r="TAS1" s="87" t="n"/>
      <c r="TAT1" s="87" t="n"/>
      <c r="TAU1" s="87" t="n"/>
      <c r="TAV1" s="87" t="n"/>
      <c r="TAW1" s="87" t="n"/>
      <c r="TAX1" s="87" t="n"/>
      <c r="TAY1" s="87" t="n"/>
      <c r="TAZ1" s="87" t="n"/>
      <c r="TBA1" s="87" t="n"/>
      <c r="TBB1" s="87" t="n"/>
      <c r="TBC1" s="87" t="n"/>
      <c r="TBD1" s="87" t="n"/>
      <c r="TBE1" s="87" t="n"/>
      <c r="TBF1" s="87" t="n"/>
      <c r="TBG1" s="87" t="n"/>
      <c r="TBH1" s="87" t="n"/>
      <c r="TBI1" s="87" t="n"/>
      <c r="TBJ1" s="87" t="n"/>
      <c r="TBK1" s="87" t="n"/>
      <c r="TBL1" s="87" t="n"/>
      <c r="TBM1" s="87" t="n"/>
      <c r="TBN1" s="87" t="n"/>
      <c r="TBO1" s="87" t="n"/>
      <c r="TBP1" s="87" t="n"/>
      <c r="TBQ1" s="87" t="n"/>
      <c r="TBR1" s="87" t="n"/>
      <c r="TBS1" s="87" t="n"/>
      <c r="TBT1" s="87" t="n"/>
      <c r="TBU1" s="87" t="n"/>
      <c r="TBV1" s="87" t="n"/>
      <c r="TBW1" s="87" t="n"/>
      <c r="TBX1" s="87" t="n"/>
      <c r="TBY1" s="87" t="n"/>
      <c r="TBZ1" s="87" t="n"/>
      <c r="TCA1" s="87" t="n"/>
      <c r="TCB1" s="87" t="n"/>
      <c r="TCC1" s="87" t="n"/>
      <c r="TCD1" s="87" t="n"/>
      <c r="TCE1" s="87" t="n"/>
      <c r="TCF1" s="87" t="n"/>
      <c r="TCG1" s="87" t="n"/>
      <c r="TCH1" s="87" t="n"/>
      <c r="TCI1" s="87" t="n"/>
      <c r="TCJ1" s="87" t="n"/>
      <c r="TCK1" s="87" t="n"/>
      <c r="TCL1" s="87" t="n"/>
      <c r="TCM1" s="87" t="n"/>
      <c r="TCN1" s="87" t="n"/>
      <c r="TCO1" s="87" t="n"/>
      <c r="TCP1" s="87" t="n"/>
      <c r="TCQ1" s="87" t="n"/>
      <c r="TCR1" s="87" t="n"/>
      <c r="TCS1" s="87" t="n"/>
      <c r="TCT1" s="87" t="n"/>
      <c r="TCU1" s="87" t="n"/>
      <c r="TCV1" s="87" t="n"/>
      <c r="TCW1" s="87" t="n"/>
      <c r="TCX1" s="87" t="n"/>
      <c r="TCY1" s="87" t="n"/>
      <c r="TCZ1" s="87" t="n"/>
      <c r="TDA1" s="87" t="n"/>
      <c r="TDB1" s="87" t="n"/>
      <c r="TDC1" s="87" t="n"/>
      <c r="TDD1" s="87" t="n"/>
      <c r="TDE1" s="87" t="n"/>
      <c r="TDF1" s="87" t="n"/>
      <c r="TDG1" s="87" t="n"/>
      <c r="TDH1" s="87" t="n"/>
      <c r="TDI1" s="87" t="n"/>
      <c r="TDJ1" s="87" t="n"/>
      <c r="TDK1" s="87" t="n"/>
      <c r="TDL1" s="87" t="n"/>
      <c r="TDM1" s="87" t="n"/>
      <c r="TDN1" s="87" t="n"/>
      <c r="TDO1" s="87" t="n"/>
      <c r="TDP1" s="87" t="n"/>
      <c r="TDQ1" s="87" t="n"/>
      <c r="TDR1" s="87" t="n"/>
      <c r="TDS1" s="87" t="n"/>
      <c r="TDT1" s="87" t="n"/>
      <c r="TDU1" s="87" t="n"/>
      <c r="TDV1" s="87" t="n"/>
      <c r="TDW1" s="87" t="n"/>
      <c r="TDX1" s="87" t="n"/>
      <c r="TDY1" s="87" t="n"/>
      <c r="TDZ1" s="87" t="n"/>
      <c r="TEA1" s="87" t="n"/>
      <c r="TEB1" s="87" t="n"/>
      <c r="TEC1" s="87" t="n"/>
      <c r="TED1" s="87" t="n"/>
      <c r="TEE1" s="87" t="n"/>
      <c r="TEF1" s="87" t="n"/>
      <c r="TEG1" s="87" t="n"/>
      <c r="TEH1" s="87" t="n"/>
      <c r="TEI1" s="87" t="n"/>
      <c r="TEJ1" s="87" t="n"/>
      <c r="TEK1" s="87" t="n"/>
      <c r="TEL1" s="87" t="n"/>
      <c r="TEM1" s="87" t="n"/>
      <c r="TEN1" s="87" t="n"/>
      <c r="TEO1" s="87" t="n"/>
      <c r="TEP1" s="87" t="n"/>
      <c r="TEQ1" s="87" t="n"/>
      <c r="TER1" s="87" t="n"/>
      <c r="TES1" s="87" t="n"/>
      <c r="TET1" s="87" t="n"/>
      <c r="TEU1" s="87" t="n"/>
      <c r="TEV1" s="87" t="n"/>
      <c r="TEW1" s="87" t="n"/>
      <c r="TEX1" s="87" t="n"/>
      <c r="TEY1" s="87" t="n"/>
      <c r="TEZ1" s="87" t="n"/>
      <c r="TFA1" s="87" t="n"/>
      <c r="TFB1" s="87" t="n"/>
      <c r="TFC1" s="87" t="n"/>
      <c r="TFD1" s="87" t="n"/>
      <c r="TFE1" s="87" t="n"/>
      <c r="TFF1" s="87" t="n"/>
      <c r="TFG1" s="87" t="n"/>
      <c r="TFH1" s="87" t="n"/>
      <c r="TFI1" s="87" t="n"/>
      <c r="TFJ1" s="87" t="n"/>
      <c r="TFK1" s="87" t="n"/>
      <c r="TFL1" s="87" t="n"/>
      <c r="TFM1" s="87" t="n"/>
      <c r="TFN1" s="87" t="n"/>
      <c r="TFO1" s="87" t="n"/>
      <c r="TFP1" s="87" t="n"/>
      <c r="TFQ1" s="87" t="n"/>
      <c r="TFR1" s="87" t="n"/>
      <c r="TFS1" s="87" t="n"/>
      <c r="TFT1" s="87" t="n"/>
      <c r="TFU1" s="87" t="n"/>
      <c r="TFV1" s="87" t="n"/>
      <c r="TFW1" s="87" t="n"/>
      <c r="TFX1" s="87" t="n"/>
      <c r="TFY1" s="87" t="n"/>
      <c r="TFZ1" s="87" t="n"/>
      <c r="TGA1" s="87" t="n"/>
      <c r="TGB1" s="87" t="n"/>
      <c r="TGC1" s="87" t="n"/>
      <c r="TGD1" s="87" t="n"/>
      <c r="TGE1" s="87" t="n"/>
      <c r="TGF1" s="87" t="n"/>
      <c r="TGG1" s="87" t="n"/>
      <c r="TGH1" s="87" t="n"/>
      <c r="TGI1" s="87" t="n"/>
      <c r="TGJ1" s="87" t="n"/>
      <c r="TGK1" s="87" t="n"/>
      <c r="TGL1" s="87" t="n"/>
      <c r="TGM1" s="87" t="n"/>
      <c r="TGN1" s="87" t="n"/>
      <c r="TGO1" s="87" t="n"/>
      <c r="TGP1" s="87" t="n"/>
      <c r="TGQ1" s="87" t="n"/>
      <c r="TGR1" s="87" t="n"/>
      <c r="TGS1" s="87" t="n"/>
      <c r="TGT1" s="87" t="n"/>
      <c r="TGU1" s="87" t="n"/>
      <c r="TGV1" s="87" t="n"/>
      <c r="TGW1" s="87" t="n"/>
      <c r="TGX1" s="87" t="n"/>
      <c r="TGY1" s="87" t="n"/>
      <c r="TGZ1" s="87" t="n"/>
      <c r="THA1" s="87" t="n"/>
      <c r="THB1" s="87" t="n"/>
      <c r="THC1" s="87" t="n"/>
      <c r="THD1" s="87" t="n"/>
      <c r="THE1" s="87" t="n"/>
      <c r="THF1" s="87" t="n"/>
      <c r="THG1" s="87" t="n"/>
      <c r="THH1" s="87" t="n"/>
      <c r="THI1" s="87" t="n"/>
      <c r="THJ1" s="87" t="n"/>
      <c r="THK1" s="87" t="n"/>
      <c r="THL1" s="87" t="n"/>
      <c r="THM1" s="87" t="n"/>
      <c r="THN1" s="87" t="n"/>
      <c r="THO1" s="87" t="n"/>
      <c r="THP1" s="87" t="n"/>
      <c r="THQ1" s="87" t="n"/>
      <c r="THR1" s="87" t="n"/>
      <c r="THS1" s="87" t="n"/>
      <c r="THT1" s="87" t="n"/>
      <c r="THU1" s="87" t="n"/>
      <c r="THV1" s="87" t="n"/>
      <c r="THW1" s="87" t="n"/>
      <c r="THX1" s="87" t="n"/>
      <c r="THY1" s="87" t="n"/>
      <c r="THZ1" s="87" t="n"/>
      <c r="TIA1" s="87" t="n"/>
      <c r="TIB1" s="87" t="n"/>
      <c r="TIC1" s="87" t="n"/>
      <c r="TID1" s="87" t="n"/>
      <c r="TIE1" s="87" t="n"/>
      <c r="TIF1" s="87" t="n"/>
      <c r="TIG1" s="87" t="n"/>
      <c r="TIH1" s="87" t="n"/>
      <c r="TII1" s="87" t="n"/>
      <c r="TIJ1" s="87" t="n"/>
      <c r="TIK1" s="87" t="n"/>
      <c r="TIL1" s="87" t="n"/>
      <c r="TIM1" s="87" t="n"/>
      <c r="TIN1" s="87" t="n"/>
      <c r="TIO1" s="87" t="n"/>
      <c r="TIP1" s="87" t="n"/>
      <c r="TIQ1" s="87" t="n"/>
      <c r="TIR1" s="87" t="n"/>
      <c r="TIS1" s="87" t="n"/>
      <c r="TIT1" s="87" t="n"/>
      <c r="TIU1" s="87" t="n"/>
      <c r="TIV1" s="87" t="n"/>
      <c r="TIW1" s="87" t="n"/>
      <c r="TIX1" s="87" t="n"/>
      <c r="TIY1" s="87" t="n"/>
      <c r="TIZ1" s="87" t="n"/>
      <c r="TJA1" s="87" t="n"/>
      <c r="TJB1" s="87" t="n"/>
      <c r="TJC1" s="87" t="n"/>
      <c r="TJD1" s="87" t="n"/>
      <c r="TJE1" s="87" t="n"/>
      <c r="TJF1" s="87" t="n"/>
      <c r="TJG1" s="87" t="n"/>
      <c r="TJH1" s="87" t="n"/>
      <c r="TJI1" s="87" t="n"/>
      <c r="TJJ1" s="87" t="n"/>
      <c r="TJK1" s="87" t="n"/>
      <c r="TJL1" s="87" t="n"/>
      <c r="TJM1" s="87" t="n"/>
      <c r="TJN1" s="87" t="n"/>
      <c r="TJO1" s="87" t="n"/>
      <c r="TJP1" s="87" t="n"/>
      <c r="TJQ1" s="87" t="n"/>
      <c r="TJR1" s="87" t="n"/>
      <c r="TJS1" s="87" t="n"/>
      <c r="TJT1" s="87" t="n"/>
      <c r="TJU1" s="87" t="n"/>
      <c r="TJV1" s="87" t="n"/>
      <c r="TJW1" s="87" t="n"/>
      <c r="TJX1" s="87" t="n"/>
      <c r="TJY1" s="87" t="n"/>
      <c r="TJZ1" s="87" t="n"/>
      <c r="TKA1" s="87" t="n"/>
      <c r="TKB1" s="87" t="n"/>
      <c r="TKC1" s="87" t="n"/>
      <c r="TKD1" s="87" t="n"/>
      <c r="TKE1" s="87" t="n"/>
      <c r="TKF1" s="87" t="n"/>
      <c r="TKG1" s="87" t="n"/>
      <c r="TKH1" s="87" t="n"/>
      <c r="TKI1" s="87" t="n"/>
      <c r="TKJ1" s="87" t="n"/>
      <c r="TKK1" s="87" t="n"/>
      <c r="TKL1" s="87" t="n"/>
      <c r="TKM1" s="87" t="n"/>
      <c r="TKN1" s="87" t="n"/>
      <c r="TKO1" s="87" t="n"/>
      <c r="TKP1" s="87" t="n"/>
      <c r="TKQ1" s="87" t="n"/>
      <c r="TKR1" s="87" t="n"/>
      <c r="TKS1" s="87" t="n"/>
      <c r="TKT1" s="87" t="n"/>
      <c r="TKU1" s="87" t="n"/>
      <c r="TKV1" s="87" t="n"/>
      <c r="TKW1" s="87" t="n"/>
      <c r="TKX1" s="87" t="n"/>
      <c r="TKY1" s="87" t="n"/>
      <c r="TKZ1" s="87" t="n"/>
      <c r="TLA1" s="87" t="n"/>
      <c r="TLB1" s="87" t="n"/>
      <c r="TLC1" s="87" t="n"/>
      <c r="TLD1" s="87" t="n"/>
      <c r="TLE1" s="87" t="n"/>
      <c r="TLF1" s="87" t="n"/>
      <c r="TLG1" s="87" t="n"/>
      <c r="TLH1" s="87" t="n"/>
      <c r="TLI1" s="87" t="n"/>
      <c r="TLJ1" s="87" t="n"/>
      <c r="TLK1" s="87" t="n"/>
      <c r="TLL1" s="87" t="n"/>
      <c r="TLM1" s="87" t="n"/>
      <c r="TLN1" s="87" t="n"/>
      <c r="TLO1" s="87" t="n"/>
      <c r="TLP1" s="87" t="n"/>
      <c r="TLQ1" s="87" t="n"/>
      <c r="TLR1" s="87" t="n"/>
      <c r="TLS1" s="87" t="n"/>
      <c r="TLT1" s="87" t="n"/>
      <c r="TLU1" s="87" t="n"/>
      <c r="TLV1" s="87" t="n"/>
      <c r="TLW1" s="87" t="n"/>
      <c r="TLX1" s="87" t="n"/>
      <c r="TLY1" s="87" t="n"/>
      <c r="TLZ1" s="87" t="n"/>
      <c r="TMA1" s="87" t="n"/>
      <c r="TMB1" s="87" t="n"/>
      <c r="TMC1" s="87" t="n"/>
      <c r="TMD1" s="87" t="n"/>
      <c r="TME1" s="87" t="n"/>
      <c r="TMF1" s="87" t="n"/>
      <c r="TMG1" s="87" t="n"/>
      <c r="TMH1" s="87" t="n"/>
      <c r="TMI1" s="87" t="n"/>
      <c r="TMJ1" s="87" t="n"/>
      <c r="TMK1" s="87" t="n"/>
      <c r="TML1" s="87" t="n"/>
      <c r="TMM1" s="87" t="n"/>
      <c r="TMN1" s="87" t="n"/>
      <c r="TMO1" s="87" t="n"/>
      <c r="TMP1" s="87" t="n"/>
      <c r="TMQ1" s="87" t="n"/>
      <c r="TMR1" s="87" t="n"/>
      <c r="TMS1" s="87" t="n"/>
      <c r="TMT1" s="87" t="n"/>
      <c r="TMU1" s="87" t="n"/>
      <c r="TMV1" s="87" t="n"/>
      <c r="TMW1" s="87" t="n"/>
      <c r="TMX1" s="87" t="n"/>
      <c r="TMY1" s="87" t="n"/>
      <c r="TMZ1" s="87" t="n"/>
      <c r="TNA1" s="87" t="n"/>
      <c r="TNB1" s="87" t="n"/>
      <c r="TNC1" s="87" t="n"/>
      <c r="TND1" s="87" t="n"/>
      <c r="TNE1" s="87" t="n"/>
      <c r="TNF1" s="87" t="n"/>
      <c r="TNG1" s="87" t="n"/>
      <c r="TNH1" s="87" t="n"/>
      <c r="TNI1" s="87" t="n"/>
      <c r="TNJ1" s="87" t="n"/>
      <c r="TNK1" s="87" t="n"/>
      <c r="TNL1" s="87" t="n"/>
      <c r="TNM1" s="87" t="n"/>
      <c r="TNN1" s="87" t="n"/>
      <c r="TNO1" s="87" t="n"/>
      <c r="TNP1" s="87" t="n"/>
      <c r="TNQ1" s="87" t="n"/>
      <c r="TNR1" s="87" t="n"/>
      <c r="TNS1" s="87" t="n"/>
      <c r="TNT1" s="87" t="n"/>
      <c r="TNU1" s="87" t="n"/>
      <c r="TNV1" s="87" t="n"/>
      <c r="TNW1" s="87" t="n"/>
      <c r="TNX1" s="87" t="n"/>
      <c r="TNY1" s="87" t="n"/>
      <c r="TNZ1" s="87" t="n"/>
      <c r="TOA1" s="87" t="n"/>
      <c r="TOB1" s="87" t="n"/>
      <c r="TOC1" s="87" t="n"/>
      <c r="TOD1" s="87" t="n"/>
      <c r="TOE1" s="87" t="n"/>
      <c r="TOF1" s="87" t="n"/>
      <c r="TOG1" s="87" t="n"/>
      <c r="TOH1" s="87" t="n"/>
      <c r="TOI1" s="87" t="n"/>
      <c r="TOJ1" s="87" t="n"/>
      <c r="TOK1" s="87" t="n"/>
      <c r="TOL1" s="87" t="n"/>
      <c r="TOM1" s="87" t="n"/>
      <c r="TON1" s="87" t="n"/>
      <c r="TOO1" s="87" t="n"/>
      <c r="TOP1" s="87" t="n"/>
      <c r="TOQ1" s="87" t="n"/>
      <c r="TOR1" s="87" t="n"/>
      <c r="TOS1" s="87" t="n"/>
      <c r="TOT1" s="87" t="n"/>
      <c r="TOU1" s="87" t="n"/>
      <c r="TOV1" s="87" t="n"/>
      <c r="TOW1" s="87" t="n"/>
      <c r="TOX1" s="87" t="n"/>
      <c r="TOY1" s="87" t="n"/>
      <c r="TOZ1" s="87" t="n"/>
      <c r="TPA1" s="87" t="n"/>
      <c r="TPB1" s="87" t="n"/>
      <c r="TPC1" s="87" t="n"/>
      <c r="TPD1" s="87" t="n"/>
      <c r="TPE1" s="87" t="n"/>
      <c r="TPF1" s="87" t="n"/>
      <c r="TPG1" s="87" t="n"/>
      <c r="TPH1" s="87" t="n"/>
      <c r="TPI1" s="87" t="n"/>
      <c r="TPJ1" s="87" t="n"/>
      <c r="TPK1" s="87" t="n"/>
      <c r="TPL1" s="87" t="n"/>
      <c r="TPM1" s="87" t="n"/>
      <c r="TPN1" s="87" t="n"/>
      <c r="TPO1" s="87" t="n"/>
      <c r="TPP1" s="87" t="n"/>
      <c r="TPQ1" s="87" t="n"/>
      <c r="TPR1" s="87" t="n"/>
      <c r="TPS1" s="87" t="n"/>
      <c r="TPT1" s="87" t="n"/>
      <c r="TPU1" s="87" t="n"/>
      <c r="TPV1" s="87" t="n"/>
      <c r="TPW1" s="87" t="n"/>
      <c r="TPX1" s="87" t="n"/>
      <c r="TPY1" s="87" t="n"/>
      <c r="TPZ1" s="87" t="n"/>
      <c r="TQA1" s="87" t="n"/>
      <c r="TQB1" s="87" t="n"/>
      <c r="TQC1" s="87" t="n"/>
      <c r="TQD1" s="87" t="n"/>
      <c r="TQE1" s="87" t="n"/>
      <c r="TQF1" s="87" t="n"/>
      <c r="TQG1" s="87" t="n"/>
      <c r="TQH1" s="87" t="n"/>
      <c r="TQI1" s="87" t="n"/>
      <c r="TQJ1" s="87" t="n"/>
      <c r="TQK1" s="87" t="n"/>
      <c r="TQL1" s="87" t="n"/>
      <c r="TQM1" s="87" t="n"/>
      <c r="TQN1" s="87" t="n"/>
      <c r="TQO1" s="87" t="n"/>
      <c r="TQP1" s="87" t="n"/>
      <c r="TQQ1" s="87" t="n"/>
      <c r="TQR1" s="87" t="n"/>
      <c r="TQS1" s="87" t="n"/>
      <c r="TQT1" s="87" t="n"/>
      <c r="TQU1" s="87" t="n"/>
      <c r="TQV1" s="87" t="n"/>
      <c r="TQW1" s="87" t="n"/>
      <c r="TQX1" s="87" t="n"/>
      <c r="TQY1" s="87" t="n"/>
      <c r="TQZ1" s="87" t="n"/>
      <c r="TRA1" s="87" t="n"/>
      <c r="TRB1" s="87" t="n"/>
      <c r="TRC1" s="87" t="n"/>
      <c r="TRD1" s="87" t="n"/>
      <c r="TRE1" s="87" t="n"/>
      <c r="TRF1" s="87" t="n"/>
      <c r="TRG1" s="87" t="n"/>
      <c r="TRH1" s="87" t="n"/>
      <c r="TRI1" s="87" t="n"/>
      <c r="TRJ1" s="87" t="n"/>
      <c r="TRK1" s="87" t="n"/>
      <c r="TRL1" s="87" t="n"/>
      <c r="TRM1" s="87" t="n"/>
      <c r="TRN1" s="87" t="n"/>
      <c r="TRO1" s="87" t="n"/>
      <c r="TRP1" s="87" t="n"/>
      <c r="TRQ1" s="87" t="n"/>
      <c r="TRR1" s="87" t="n"/>
      <c r="TRS1" s="87" t="n"/>
      <c r="TRT1" s="87" t="n"/>
      <c r="TRU1" s="87" t="n"/>
      <c r="TRV1" s="87" t="n"/>
      <c r="TRW1" s="87" t="n"/>
      <c r="TRX1" s="87" t="n"/>
      <c r="TRY1" s="87" t="n"/>
      <c r="TRZ1" s="87" t="n"/>
      <c r="TSA1" s="87" t="n"/>
      <c r="TSB1" s="87" t="n"/>
      <c r="TSC1" s="87" t="n"/>
      <c r="TSD1" s="87" t="n"/>
      <c r="TSE1" s="87" t="n"/>
      <c r="TSF1" s="87" t="n"/>
      <c r="TSG1" s="87" t="n"/>
      <c r="TSH1" s="87" t="n"/>
      <c r="TSI1" s="87" t="n"/>
      <c r="TSJ1" s="87" t="n"/>
      <c r="TSK1" s="87" t="n"/>
      <c r="TSL1" s="87" t="n"/>
      <c r="TSM1" s="87" t="n"/>
      <c r="TSN1" s="87" t="n"/>
      <c r="TSO1" s="87" t="n"/>
      <c r="TSP1" s="87" t="n"/>
      <c r="TSQ1" s="87" t="n"/>
      <c r="TSR1" s="87" t="n"/>
      <c r="TSS1" s="87" t="n"/>
      <c r="TST1" s="87" t="n"/>
      <c r="TSU1" s="87" t="n"/>
      <c r="TSV1" s="87" t="n"/>
      <c r="TSW1" s="87" t="n"/>
      <c r="TSX1" s="87" t="n"/>
      <c r="TSY1" s="87" t="n"/>
      <c r="TSZ1" s="87" t="n"/>
      <c r="TTA1" s="87" t="n"/>
      <c r="TTB1" s="87" t="n"/>
      <c r="TTC1" s="87" t="n"/>
      <c r="TTD1" s="87" t="n"/>
      <c r="TTE1" s="87" t="n"/>
      <c r="TTF1" s="87" t="n"/>
      <c r="TTG1" s="87" t="n"/>
      <c r="TTH1" s="87" t="n"/>
      <c r="TTI1" s="87" t="n"/>
      <c r="TTJ1" s="87" t="n"/>
      <c r="TTK1" s="87" t="n"/>
      <c r="TTL1" s="87" t="n"/>
      <c r="TTM1" s="87" t="n"/>
      <c r="TTN1" s="87" t="n"/>
      <c r="TTO1" s="87" t="n"/>
      <c r="TTP1" s="87" t="n"/>
      <c r="TTQ1" s="87" t="n"/>
      <c r="TTR1" s="87" t="n"/>
      <c r="TTS1" s="87" t="n"/>
      <c r="TTT1" s="87" t="n"/>
      <c r="TTU1" s="87" t="n"/>
      <c r="TTV1" s="87" t="n"/>
      <c r="TTW1" s="87" t="n"/>
      <c r="TTX1" s="87" t="n"/>
      <c r="TTY1" s="87" t="n"/>
      <c r="TTZ1" s="87" t="n"/>
      <c r="TUA1" s="87" t="n"/>
      <c r="TUB1" s="87" t="n"/>
      <c r="TUC1" s="87" t="n"/>
      <c r="TUD1" s="87" t="n"/>
      <c r="TUE1" s="87" t="n"/>
      <c r="TUF1" s="87" t="n"/>
      <c r="TUG1" s="87" t="n"/>
      <c r="TUH1" s="87" t="n"/>
      <c r="TUI1" s="87" t="n"/>
      <c r="TUJ1" s="87" t="n"/>
      <c r="TUK1" s="87" t="n"/>
      <c r="TUL1" s="87" t="n"/>
      <c r="TUM1" s="87" t="n"/>
      <c r="TUN1" s="87" t="n"/>
      <c r="TUO1" s="87" t="n"/>
      <c r="TUP1" s="87" t="n"/>
      <c r="TUQ1" s="87" t="n"/>
      <c r="TUR1" s="87" t="n"/>
      <c r="TUS1" s="87" t="n"/>
      <c r="TUT1" s="87" t="n"/>
      <c r="TUU1" s="87" t="n"/>
      <c r="TUV1" s="87" t="n"/>
      <c r="TUW1" s="87" t="n"/>
      <c r="TUX1" s="87" t="n"/>
      <c r="TUY1" s="87" t="n"/>
      <c r="TUZ1" s="87" t="n"/>
      <c r="TVA1" s="87" t="n"/>
      <c r="TVB1" s="87" t="n"/>
      <c r="TVC1" s="87" t="n"/>
      <c r="TVD1" s="87" t="n"/>
      <c r="TVE1" s="87" t="n"/>
      <c r="TVF1" s="87" t="n"/>
      <c r="TVG1" s="87" t="n"/>
      <c r="TVH1" s="87" t="n"/>
      <c r="TVI1" s="87" t="n"/>
      <c r="TVJ1" s="87" t="n"/>
      <c r="TVK1" s="87" t="n"/>
      <c r="TVL1" s="87" t="n"/>
      <c r="TVM1" s="87" t="n"/>
      <c r="TVN1" s="87" t="n"/>
      <c r="TVO1" s="87" t="n"/>
      <c r="TVP1" s="87" t="n"/>
      <c r="TVQ1" s="87" t="n"/>
      <c r="TVR1" s="87" t="n"/>
      <c r="TVS1" s="87" t="n"/>
      <c r="TVT1" s="87" t="n"/>
      <c r="TVU1" s="87" t="n"/>
      <c r="TVV1" s="87" t="n"/>
      <c r="TVW1" s="87" t="n"/>
      <c r="TVX1" s="87" t="n"/>
      <c r="TVY1" s="87" t="n"/>
      <c r="TVZ1" s="87" t="n"/>
      <c r="TWA1" s="87" t="n"/>
      <c r="TWB1" s="87" t="n"/>
      <c r="TWC1" s="87" t="n"/>
      <c r="TWD1" s="87" t="n"/>
      <c r="TWE1" s="87" t="n"/>
      <c r="TWF1" s="87" t="n"/>
      <c r="TWG1" s="87" t="n"/>
      <c r="TWH1" s="87" t="n"/>
      <c r="TWI1" s="87" t="n"/>
      <c r="TWJ1" s="87" t="n"/>
      <c r="TWK1" s="87" t="n"/>
      <c r="TWL1" s="87" t="n"/>
      <c r="TWM1" s="87" t="n"/>
      <c r="TWN1" s="87" t="n"/>
      <c r="TWO1" s="87" t="n"/>
      <c r="TWP1" s="87" t="n"/>
      <c r="TWQ1" s="87" t="n"/>
      <c r="TWR1" s="87" t="n"/>
      <c r="TWS1" s="87" t="n"/>
      <c r="TWT1" s="87" t="n"/>
      <c r="TWU1" s="87" t="n"/>
      <c r="TWV1" s="87" t="n"/>
      <c r="TWW1" s="87" t="n"/>
      <c r="TWX1" s="87" t="n"/>
      <c r="TWY1" s="87" t="n"/>
      <c r="TWZ1" s="87" t="n"/>
      <c r="TXA1" s="87" t="n"/>
      <c r="TXB1" s="87" t="n"/>
      <c r="TXC1" s="87" t="n"/>
      <c r="TXD1" s="87" t="n"/>
      <c r="TXE1" s="87" t="n"/>
      <c r="TXF1" s="87" t="n"/>
      <c r="TXG1" s="87" t="n"/>
      <c r="TXH1" s="87" t="n"/>
      <c r="TXI1" s="87" t="n"/>
      <c r="TXJ1" s="87" t="n"/>
      <c r="TXK1" s="87" t="n"/>
      <c r="TXL1" s="87" t="n"/>
      <c r="TXM1" s="87" t="n"/>
      <c r="TXN1" s="87" t="n"/>
      <c r="TXO1" s="87" t="n"/>
      <c r="TXP1" s="87" t="n"/>
      <c r="TXQ1" s="87" t="n"/>
      <c r="TXR1" s="87" t="n"/>
      <c r="TXS1" s="87" t="n"/>
      <c r="TXT1" s="87" t="n"/>
      <c r="TXU1" s="87" t="n"/>
      <c r="TXV1" s="87" t="n"/>
      <c r="TXW1" s="87" t="n"/>
      <c r="TXX1" s="87" t="n"/>
      <c r="TXY1" s="87" t="n"/>
      <c r="TXZ1" s="87" t="n"/>
      <c r="TYA1" s="87" t="n"/>
      <c r="TYB1" s="87" t="n"/>
      <c r="TYC1" s="87" t="n"/>
      <c r="TYD1" s="87" t="n"/>
      <c r="TYE1" s="87" t="n"/>
      <c r="TYF1" s="87" t="n"/>
      <c r="TYG1" s="87" t="n"/>
      <c r="TYH1" s="87" t="n"/>
      <c r="TYI1" s="87" t="n"/>
      <c r="TYJ1" s="87" t="n"/>
      <c r="TYK1" s="87" t="n"/>
      <c r="TYL1" s="87" t="n"/>
      <c r="TYM1" s="87" t="n"/>
      <c r="TYN1" s="87" t="n"/>
      <c r="TYO1" s="87" t="n"/>
      <c r="TYP1" s="87" t="n"/>
      <c r="TYQ1" s="87" t="n"/>
      <c r="TYR1" s="87" t="n"/>
      <c r="TYS1" s="87" t="n"/>
      <c r="TYT1" s="87" t="n"/>
      <c r="TYU1" s="87" t="n"/>
      <c r="TYV1" s="87" t="n"/>
      <c r="TYW1" s="87" t="n"/>
      <c r="TYX1" s="87" t="n"/>
      <c r="TYY1" s="87" t="n"/>
      <c r="TYZ1" s="87" t="n"/>
      <c r="TZA1" s="87" t="n"/>
      <c r="TZB1" s="87" t="n"/>
      <c r="TZC1" s="87" t="n"/>
      <c r="TZD1" s="87" t="n"/>
      <c r="TZE1" s="87" t="n"/>
      <c r="TZF1" s="87" t="n"/>
      <c r="TZG1" s="87" t="n"/>
      <c r="TZH1" s="87" t="n"/>
      <c r="TZI1" s="87" t="n"/>
      <c r="TZJ1" s="87" t="n"/>
      <c r="TZK1" s="87" t="n"/>
      <c r="TZL1" s="87" t="n"/>
      <c r="TZM1" s="87" t="n"/>
      <c r="TZN1" s="87" t="n"/>
      <c r="TZO1" s="87" t="n"/>
      <c r="TZP1" s="87" t="n"/>
      <c r="TZQ1" s="87" t="n"/>
      <c r="TZR1" s="87" t="n"/>
      <c r="TZS1" s="87" t="n"/>
      <c r="TZT1" s="87" t="n"/>
      <c r="TZU1" s="87" t="n"/>
      <c r="TZV1" s="87" t="n"/>
      <c r="TZW1" s="87" t="n"/>
      <c r="TZX1" s="87" t="n"/>
      <c r="TZY1" s="87" t="n"/>
      <c r="TZZ1" s="87" t="n"/>
      <c r="UAA1" s="87" t="n"/>
      <c r="UAB1" s="87" t="n"/>
      <c r="UAC1" s="87" t="n"/>
      <c r="UAD1" s="87" t="n"/>
      <c r="UAE1" s="87" t="n"/>
      <c r="UAF1" s="87" t="n"/>
      <c r="UAG1" s="87" t="n"/>
      <c r="UAH1" s="87" t="n"/>
      <c r="UAI1" s="87" t="n"/>
      <c r="UAJ1" s="87" t="n"/>
      <c r="UAK1" s="87" t="n"/>
      <c r="UAL1" s="87" t="n"/>
      <c r="UAM1" s="87" t="n"/>
      <c r="UAN1" s="87" t="n"/>
      <c r="UAO1" s="87" t="n"/>
      <c r="UAP1" s="87" t="n"/>
      <c r="UAQ1" s="87" t="n"/>
      <c r="UAR1" s="87" t="n"/>
      <c r="UAS1" s="87" t="n"/>
      <c r="UAT1" s="87" t="n"/>
      <c r="UAU1" s="87" t="n"/>
      <c r="UAV1" s="87" t="n"/>
      <c r="UAW1" s="87" t="n"/>
      <c r="UAX1" s="87" t="n"/>
      <c r="UAY1" s="87" t="n"/>
      <c r="UAZ1" s="87" t="n"/>
      <c r="UBA1" s="87" t="n"/>
      <c r="UBB1" s="87" t="n"/>
      <c r="UBC1" s="87" t="n"/>
      <c r="UBD1" s="87" t="n"/>
      <c r="UBE1" s="87" t="n"/>
      <c r="UBF1" s="87" t="n"/>
      <c r="UBG1" s="87" t="n"/>
      <c r="UBH1" s="87" t="n"/>
      <c r="UBI1" s="87" t="n"/>
      <c r="UBJ1" s="87" t="n"/>
      <c r="UBK1" s="87" t="n"/>
      <c r="UBL1" s="87" t="n"/>
      <c r="UBM1" s="87" t="n"/>
      <c r="UBN1" s="87" t="n"/>
      <c r="UBO1" s="87" t="n"/>
      <c r="UBP1" s="87" t="n"/>
      <c r="UBQ1" s="87" t="n"/>
      <c r="UBR1" s="87" t="n"/>
      <c r="UBS1" s="87" t="n"/>
      <c r="UBT1" s="87" t="n"/>
      <c r="UBU1" s="87" t="n"/>
      <c r="UBV1" s="87" t="n"/>
      <c r="UBW1" s="87" t="n"/>
      <c r="UBX1" s="87" t="n"/>
      <c r="UBY1" s="87" t="n"/>
      <c r="UBZ1" s="87" t="n"/>
      <c r="UCA1" s="87" t="n"/>
      <c r="UCB1" s="87" t="n"/>
      <c r="UCC1" s="87" t="n"/>
      <c r="UCD1" s="87" t="n"/>
      <c r="UCE1" s="87" t="n"/>
      <c r="UCF1" s="87" t="n"/>
      <c r="UCG1" s="87" t="n"/>
      <c r="UCH1" s="87" t="n"/>
      <c r="UCI1" s="87" t="n"/>
      <c r="UCJ1" s="87" t="n"/>
      <c r="UCK1" s="87" t="n"/>
      <c r="UCL1" s="87" t="n"/>
      <c r="UCM1" s="87" t="n"/>
      <c r="UCN1" s="87" t="n"/>
      <c r="UCO1" s="87" t="n"/>
      <c r="UCP1" s="87" t="n"/>
      <c r="UCQ1" s="87" t="n"/>
      <c r="UCR1" s="87" t="n"/>
      <c r="UCS1" s="87" t="n"/>
      <c r="UCT1" s="87" t="n"/>
      <c r="UCU1" s="87" t="n"/>
      <c r="UCV1" s="87" t="n"/>
      <c r="UCW1" s="87" t="n"/>
      <c r="UCX1" s="87" t="n"/>
      <c r="UCY1" s="87" t="n"/>
      <c r="UCZ1" s="87" t="n"/>
      <c r="UDA1" s="87" t="n"/>
      <c r="UDB1" s="87" t="n"/>
      <c r="UDC1" s="87" t="n"/>
      <c r="UDD1" s="87" t="n"/>
      <c r="UDE1" s="87" t="n"/>
      <c r="UDF1" s="87" t="n"/>
      <c r="UDG1" s="87" t="n"/>
      <c r="UDH1" s="87" t="n"/>
      <c r="UDI1" s="87" t="n"/>
      <c r="UDJ1" s="87" t="n"/>
      <c r="UDK1" s="87" t="n"/>
      <c r="UDL1" s="87" t="n"/>
      <c r="UDM1" s="87" t="n"/>
      <c r="UDN1" s="87" t="n"/>
      <c r="UDO1" s="87" t="n"/>
      <c r="UDP1" s="87" t="n"/>
      <c r="UDQ1" s="87" t="n"/>
      <c r="UDR1" s="87" t="n"/>
      <c r="UDS1" s="87" t="n"/>
      <c r="UDT1" s="87" t="n"/>
      <c r="UDU1" s="87" t="n"/>
      <c r="UDV1" s="87" t="n"/>
      <c r="UDW1" s="87" t="n"/>
      <c r="UDX1" s="87" t="n"/>
      <c r="UDY1" s="87" t="n"/>
      <c r="UDZ1" s="87" t="n"/>
      <c r="UEA1" s="87" t="n"/>
      <c r="UEB1" s="87" t="n"/>
      <c r="UEC1" s="87" t="n"/>
      <c r="UED1" s="87" t="n"/>
      <c r="UEE1" s="87" t="n"/>
      <c r="UEF1" s="87" t="n"/>
      <c r="UEG1" s="87" t="n"/>
      <c r="UEH1" s="87" t="n"/>
      <c r="UEI1" s="87" t="n"/>
      <c r="UEJ1" s="87" t="n"/>
      <c r="UEK1" s="87" t="n"/>
      <c r="UEL1" s="87" t="n"/>
      <c r="UEM1" s="87" t="n"/>
      <c r="UEN1" s="87" t="n"/>
      <c r="UEO1" s="87" t="n"/>
      <c r="UEP1" s="87" t="n"/>
      <c r="UEQ1" s="87" t="n"/>
      <c r="UER1" s="87" t="n"/>
      <c r="UES1" s="87" t="n"/>
      <c r="UET1" s="87" t="n"/>
      <c r="UEU1" s="87" t="n"/>
      <c r="UEV1" s="87" t="n"/>
      <c r="UEW1" s="87" t="n"/>
      <c r="UEX1" s="87" t="n"/>
      <c r="UEY1" s="87" t="n"/>
      <c r="UEZ1" s="87" t="n"/>
      <c r="UFA1" s="87" t="n"/>
      <c r="UFB1" s="87" t="n"/>
      <c r="UFC1" s="87" t="n"/>
      <c r="UFD1" s="87" t="n"/>
      <c r="UFE1" s="87" t="n"/>
      <c r="UFF1" s="87" t="n"/>
      <c r="UFG1" s="87" t="n"/>
      <c r="UFH1" s="87" t="n"/>
      <c r="UFI1" s="87" t="n"/>
      <c r="UFJ1" s="87" t="n"/>
      <c r="UFK1" s="87" t="n"/>
      <c r="UFL1" s="87" t="n"/>
      <c r="UFM1" s="87" t="n"/>
      <c r="UFN1" s="87" t="n"/>
      <c r="UFO1" s="87" t="n"/>
      <c r="UFP1" s="87" t="n"/>
      <c r="UFQ1" s="87" t="n"/>
      <c r="UFR1" s="87" t="n"/>
      <c r="UFS1" s="87" t="n"/>
      <c r="UFT1" s="87" t="n"/>
      <c r="UFU1" s="87" t="n"/>
      <c r="UFV1" s="87" t="n"/>
      <c r="UFW1" s="87" t="n"/>
      <c r="UFX1" s="87" t="n"/>
      <c r="UFY1" s="87" t="n"/>
      <c r="UFZ1" s="87" t="n"/>
      <c r="UGA1" s="87" t="n"/>
      <c r="UGB1" s="87" t="n"/>
      <c r="UGC1" s="87" t="n"/>
      <c r="UGD1" s="87" t="n"/>
      <c r="UGE1" s="87" t="n"/>
      <c r="UGF1" s="87" t="n"/>
      <c r="UGG1" s="87" t="n"/>
      <c r="UGH1" s="87" t="n"/>
      <c r="UGI1" s="87" t="n"/>
      <c r="UGJ1" s="87" t="n"/>
      <c r="UGK1" s="87" t="n"/>
      <c r="UGL1" s="87" t="n"/>
      <c r="UGM1" s="87" t="n"/>
      <c r="UGN1" s="87" t="n"/>
      <c r="UGO1" s="87" t="n"/>
      <c r="UGP1" s="87" t="n"/>
      <c r="UGQ1" s="87" t="n"/>
      <c r="UGR1" s="87" t="n"/>
      <c r="UGS1" s="87" t="n"/>
      <c r="UGT1" s="87" t="n"/>
      <c r="UGU1" s="87" t="n"/>
      <c r="UGV1" s="87" t="n"/>
      <c r="UGW1" s="87" t="n"/>
      <c r="UGX1" s="87" t="n"/>
      <c r="UGY1" s="87" t="n"/>
      <c r="UGZ1" s="87" t="n"/>
      <c r="UHA1" s="87" t="n"/>
      <c r="UHB1" s="87" t="n"/>
      <c r="UHC1" s="87" t="n"/>
      <c r="UHD1" s="87" t="n"/>
      <c r="UHE1" s="87" t="n"/>
      <c r="UHF1" s="87" t="n"/>
      <c r="UHG1" s="87" t="n"/>
      <c r="UHH1" s="87" t="n"/>
      <c r="UHI1" s="87" t="n"/>
      <c r="UHJ1" s="87" t="n"/>
      <c r="UHK1" s="87" t="n"/>
      <c r="UHL1" s="87" t="n"/>
      <c r="UHM1" s="87" t="n"/>
      <c r="UHN1" s="87" t="n"/>
      <c r="UHO1" s="87" t="n"/>
      <c r="UHP1" s="87" t="n"/>
      <c r="UHQ1" s="87" t="n"/>
      <c r="UHR1" s="87" t="n"/>
      <c r="UHS1" s="87" t="n"/>
      <c r="UHT1" s="87" t="n"/>
      <c r="UHU1" s="87" t="n"/>
      <c r="UHV1" s="87" t="n"/>
      <c r="UHW1" s="87" t="n"/>
      <c r="UHX1" s="87" t="n"/>
      <c r="UHY1" s="87" t="n"/>
      <c r="UHZ1" s="87" t="n"/>
      <c r="UIA1" s="87" t="n"/>
      <c r="UIB1" s="87" t="n"/>
      <c r="UIC1" s="87" t="n"/>
      <c r="UID1" s="87" t="n"/>
      <c r="UIE1" s="87" t="n"/>
      <c r="UIF1" s="87" t="n"/>
      <c r="UIG1" s="87" t="n"/>
      <c r="UIH1" s="87" t="n"/>
      <c r="UII1" s="87" t="n"/>
      <c r="UIJ1" s="87" t="n"/>
      <c r="UIK1" s="87" t="n"/>
      <c r="UIL1" s="87" t="n"/>
      <c r="UIM1" s="87" t="n"/>
      <c r="UIN1" s="87" t="n"/>
      <c r="UIO1" s="87" t="n"/>
      <c r="UIP1" s="87" t="n"/>
      <c r="UIQ1" s="87" t="n"/>
      <c r="UIR1" s="87" t="n"/>
      <c r="UIS1" s="87" t="n"/>
      <c r="UIT1" s="87" t="n"/>
      <c r="UIU1" s="87" t="n"/>
      <c r="UIV1" s="87" t="n"/>
      <c r="UIW1" s="87" t="n"/>
      <c r="UIX1" s="87" t="n"/>
      <c r="UIY1" s="87" t="n"/>
      <c r="UIZ1" s="87" t="n"/>
      <c r="UJA1" s="87" t="n"/>
      <c r="UJB1" s="87" t="n"/>
      <c r="UJC1" s="87" t="n"/>
      <c r="UJD1" s="87" t="n"/>
      <c r="UJE1" s="87" t="n"/>
      <c r="UJF1" s="87" t="n"/>
      <c r="UJG1" s="87" t="n"/>
      <c r="UJH1" s="87" t="n"/>
      <c r="UJI1" s="87" t="n"/>
      <c r="UJJ1" s="87" t="n"/>
      <c r="UJK1" s="87" t="n"/>
      <c r="UJL1" s="87" t="n"/>
      <c r="UJM1" s="87" t="n"/>
      <c r="UJN1" s="87" t="n"/>
      <c r="UJO1" s="87" t="n"/>
      <c r="UJP1" s="87" t="n"/>
      <c r="UJQ1" s="87" t="n"/>
      <c r="UJR1" s="87" t="n"/>
      <c r="UJS1" s="87" t="n"/>
      <c r="UJT1" s="87" t="n"/>
      <c r="UJU1" s="87" t="n"/>
      <c r="UJV1" s="87" t="n"/>
      <c r="UJW1" s="87" t="n"/>
      <c r="UJX1" s="87" t="n"/>
      <c r="UJY1" s="87" t="n"/>
      <c r="UJZ1" s="87" t="n"/>
      <c r="UKA1" s="87" t="n"/>
      <c r="UKB1" s="87" t="n"/>
      <c r="UKC1" s="87" t="n"/>
      <c r="UKD1" s="87" t="n"/>
      <c r="UKE1" s="87" t="n"/>
      <c r="UKF1" s="87" t="n"/>
      <c r="UKG1" s="87" t="n"/>
      <c r="UKH1" s="87" t="n"/>
      <c r="UKI1" s="87" t="n"/>
      <c r="UKJ1" s="87" t="n"/>
      <c r="UKK1" s="87" t="n"/>
      <c r="UKL1" s="87" t="n"/>
      <c r="UKM1" s="87" t="n"/>
      <c r="UKN1" s="87" t="n"/>
      <c r="UKO1" s="87" t="n"/>
      <c r="UKP1" s="87" t="n"/>
      <c r="UKQ1" s="87" t="n"/>
      <c r="UKR1" s="87" t="n"/>
      <c r="UKS1" s="87" t="n"/>
      <c r="UKT1" s="87" t="n"/>
      <c r="UKU1" s="87" t="n"/>
      <c r="UKV1" s="87" t="n"/>
      <c r="UKW1" s="87" t="n"/>
      <c r="UKX1" s="87" t="n"/>
      <c r="UKY1" s="87" t="n"/>
      <c r="UKZ1" s="87" t="n"/>
      <c r="ULA1" s="87" t="n"/>
      <c r="ULB1" s="87" t="n"/>
      <c r="ULC1" s="87" t="n"/>
      <c r="ULD1" s="87" t="n"/>
      <c r="ULE1" s="87" t="n"/>
      <c r="ULF1" s="87" t="n"/>
      <c r="ULG1" s="87" t="n"/>
      <c r="ULH1" s="87" t="n"/>
      <c r="ULI1" s="87" t="n"/>
      <c r="ULJ1" s="87" t="n"/>
      <c r="ULK1" s="87" t="n"/>
      <c r="ULL1" s="87" t="n"/>
      <c r="ULM1" s="87" t="n"/>
      <c r="ULN1" s="87" t="n"/>
      <c r="ULO1" s="87" t="n"/>
      <c r="ULP1" s="87" t="n"/>
      <c r="ULQ1" s="87" t="n"/>
      <c r="ULR1" s="87" t="n"/>
      <c r="ULS1" s="87" t="n"/>
      <c r="ULT1" s="87" t="n"/>
      <c r="ULU1" s="87" t="n"/>
      <c r="ULV1" s="87" t="n"/>
      <c r="ULW1" s="87" t="n"/>
      <c r="ULX1" s="87" t="n"/>
      <c r="ULY1" s="87" t="n"/>
      <c r="ULZ1" s="87" t="n"/>
      <c r="UMA1" s="87" t="n"/>
      <c r="UMB1" s="87" t="n"/>
      <c r="UMC1" s="87" t="n"/>
      <c r="UMD1" s="87" t="n"/>
      <c r="UME1" s="87" t="n"/>
      <c r="UMF1" s="87" t="n"/>
      <c r="UMG1" s="87" t="n"/>
      <c r="UMH1" s="87" t="n"/>
      <c r="UMI1" s="87" t="n"/>
      <c r="UMJ1" s="87" t="n"/>
      <c r="UMK1" s="87" t="n"/>
      <c r="UML1" s="87" t="n"/>
      <c r="UMM1" s="87" t="n"/>
      <c r="UMN1" s="87" t="n"/>
      <c r="UMO1" s="87" t="n"/>
      <c r="UMP1" s="87" t="n"/>
      <c r="UMQ1" s="87" t="n"/>
      <c r="UMR1" s="87" t="n"/>
      <c r="UMS1" s="87" t="n"/>
      <c r="UMT1" s="87" t="n"/>
      <c r="UMU1" s="87" t="n"/>
      <c r="UMV1" s="87" t="n"/>
      <c r="UMW1" s="87" t="n"/>
      <c r="UMX1" s="87" t="n"/>
      <c r="UMY1" s="87" t="n"/>
      <c r="UMZ1" s="87" t="n"/>
      <c r="UNA1" s="87" t="n"/>
      <c r="UNB1" s="87" t="n"/>
      <c r="UNC1" s="87" t="n"/>
      <c r="UND1" s="87" t="n"/>
      <c r="UNE1" s="87" t="n"/>
      <c r="UNF1" s="87" t="n"/>
      <c r="UNG1" s="87" t="n"/>
      <c r="UNH1" s="87" t="n"/>
      <c r="UNI1" s="87" t="n"/>
      <c r="UNJ1" s="87" t="n"/>
      <c r="UNK1" s="87" t="n"/>
      <c r="UNL1" s="87" t="n"/>
      <c r="UNM1" s="87" t="n"/>
      <c r="UNN1" s="87" t="n"/>
      <c r="UNO1" s="87" t="n"/>
      <c r="UNP1" s="87" t="n"/>
      <c r="UNQ1" s="87" t="n"/>
      <c r="UNR1" s="87" t="n"/>
      <c r="UNS1" s="87" t="n"/>
      <c r="UNT1" s="87" t="n"/>
      <c r="UNU1" s="87" t="n"/>
      <c r="UNV1" s="87" t="n"/>
      <c r="UNW1" s="87" t="n"/>
      <c r="UNX1" s="87" t="n"/>
      <c r="UNY1" s="87" t="n"/>
      <c r="UNZ1" s="87" t="n"/>
      <c r="UOA1" s="87" t="n"/>
      <c r="UOB1" s="87" t="n"/>
      <c r="UOC1" s="87" t="n"/>
      <c r="UOD1" s="87" t="n"/>
      <c r="UOE1" s="87" t="n"/>
      <c r="UOF1" s="87" t="n"/>
      <c r="UOG1" s="87" t="n"/>
      <c r="UOH1" s="87" t="n"/>
      <c r="UOI1" s="87" t="n"/>
      <c r="UOJ1" s="87" t="n"/>
      <c r="UOK1" s="87" t="n"/>
      <c r="UOL1" s="87" t="n"/>
      <c r="UOM1" s="87" t="n"/>
      <c r="UON1" s="87" t="n"/>
      <c r="UOO1" s="87" t="n"/>
      <c r="UOP1" s="87" t="n"/>
      <c r="UOQ1" s="87" t="n"/>
      <c r="UOR1" s="87" t="n"/>
      <c r="UOS1" s="87" t="n"/>
      <c r="UOT1" s="87" t="n"/>
      <c r="UOU1" s="87" t="n"/>
      <c r="UOV1" s="87" t="n"/>
      <c r="UOW1" s="87" t="n"/>
      <c r="UOX1" s="87" t="n"/>
      <c r="UOY1" s="87" t="n"/>
      <c r="UOZ1" s="87" t="n"/>
      <c r="UPA1" s="87" t="n"/>
      <c r="UPB1" s="87" t="n"/>
      <c r="UPC1" s="87" t="n"/>
      <c r="UPD1" s="87" t="n"/>
      <c r="UPE1" s="87" t="n"/>
      <c r="UPF1" s="87" t="n"/>
      <c r="UPG1" s="87" t="n"/>
      <c r="UPH1" s="87" t="n"/>
      <c r="UPI1" s="87" t="n"/>
      <c r="UPJ1" s="87" t="n"/>
      <c r="UPK1" s="87" t="n"/>
      <c r="UPL1" s="87" t="n"/>
      <c r="UPM1" s="87" t="n"/>
      <c r="UPN1" s="87" t="n"/>
      <c r="UPO1" s="87" t="n"/>
      <c r="UPP1" s="87" t="n"/>
      <c r="UPQ1" s="87" t="n"/>
      <c r="UPR1" s="87" t="n"/>
      <c r="UPS1" s="87" t="n"/>
      <c r="UPT1" s="87" t="n"/>
      <c r="UPU1" s="87" t="n"/>
      <c r="UPV1" s="87" t="n"/>
      <c r="UPW1" s="87" t="n"/>
      <c r="UPX1" s="87" t="n"/>
      <c r="UPY1" s="87" t="n"/>
      <c r="UPZ1" s="87" t="n"/>
      <c r="UQA1" s="87" t="n"/>
      <c r="UQB1" s="87" t="n"/>
      <c r="UQC1" s="87" t="n"/>
      <c r="UQD1" s="87" t="n"/>
      <c r="UQE1" s="87" t="n"/>
      <c r="UQF1" s="87" t="n"/>
      <c r="UQG1" s="87" t="n"/>
      <c r="UQH1" s="87" t="n"/>
      <c r="UQI1" s="87" t="n"/>
      <c r="UQJ1" s="87" t="n"/>
      <c r="UQK1" s="87" t="n"/>
      <c r="UQL1" s="87" t="n"/>
      <c r="UQM1" s="87" t="n"/>
      <c r="UQN1" s="87" t="n"/>
      <c r="UQO1" s="87" t="n"/>
      <c r="UQP1" s="87" t="n"/>
      <c r="UQQ1" s="87" t="n"/>
      <c r="UQR1" s="87" t="n"/>
      <c r="UQS1" s="87" t="n"/>
      <c r="UQT1" s="87" t="n"/>
      <c r="UQU1" s="87" t="n"/>
      <c r="UQV1" s="87" t="n"/>
      <c r="UQW1" s="87" t="n"/>
      <c r="UQX1" s="87" t="n"/>
      <c r="UQY1" s="87" t="n"/>
      <c r="UQZ1" s="87" t="n"/>
      <c r="URA1" s="87" t="n"/>
      <c r="URB1" s="87" t="n"/>
      <c r="URC1" s="87" t="n"/>
      <c r="URD1" s="87" t="n"/>
      <c r="URE1" s="87" t="n"/>
      <c r="URF1" s="87" t="n"/>
      <c r="URG1" s="87" t="n"/>
      <c r="URH1" s="87" t="n"/>
      <c r="URI1" s="87" t="n"/>
      <c r="URJ1" s="87" t="n"/>
      <c r="URK1" s="87" t="n"/>
      <c r="URL1" s="87" t="n"/>
      <c r="URM1" s="87" t="n"/>
      <c r="URN1" s="87" t="n"/>
      <c r="URO1" s="87" t="n"/>
      <c r="URP1" s="87" t="n"/>
      <c r="URQ1" s="87" t="n"/>
      <c r="URR1" s="87" t="n"/>
      <c r="URS1" s="87" t="n"/>
      <c r="URT1" s="87" t="n"/>
      <c r="URU1" s="87" t="n"/>
      <c r="URV1" s="87" t="n"/>
      <c r="URW1" s="87" t="n"/>
      <c r="URX1" s="87" t="n"/>
      <c r="URY1" s="87" t="n"/>
      <c r="URZ1" s="87" t="n"/>
      <c r="USA1" s="87" t="n"/>
      <c r="USB1" s="87" t="n"/>
      <c r="USC1" s="87" t="n"/>
      <c r="USD1" s="87" t="n"/>
      <c r="USE1" s="87" t="n"/>
      <c r="USF1" s="87" t="n"/>
      <c r="USG1" s="87" t="n"/>
      <c r="USH1" s="87" t="n"/>
      <c r="USI1" s="87" t="n"/>
      <c r="USJ1" s="87" t="n"/>
      <c r="USK1" s="87" t="n"/>
      <c r="USL1" s="87" t="n"/>
      <c r="USM1" s="87" t="n"/>
      <c r="USN1" s="87" t="n"/>
      <c r="USO1" s="87" t="n"/>
      <c r="USP1" s="87" t="n"/>
      <c r="USQ1" s="87" t="n"/>
      <c r="USR1" s="87" t="n"/>
      <c r="USS1" s="87" t="n"/>
      <c r="UST1" s="87" t="n"/>
      <c r="USU1" s="87" t="n"/>
      <c r="USV1" s="87" t="n"/>
      <c r="USW1" s="87" t="n"/>
      <c r="USX1" s="87" t="n"/>
      <c r="USY1" s="87" t="n"/>
      <c r="USZ1" s="87" t="n"/>
      <c r="UTA1" s="87" t="n"/>
      <c r="UTB1" s="87" t="n"/>
      <c r="UTC1" s="87" t="n"/>
      <c r="UTD1" s="87" t="n"/>
      <c r="UTE1" s="87" t="n"/>
      <c r="UTF1" s="87" t="n"/>
      <c r="UTG1" s="87" t="n"/>
      <c r="UTH1" s="87" t="n"/>
      <c r="UTI1" s="87" t="n"/>
      <c r="UTJ1" s="87" t="n"/>
      <c r="UTK1" s="87" t="n"/>
      <c r="UTL1" s="87" t="n"/>
      <c r="UTM1" s="87" t="n"/>
      <c r="UTN1" s="87" t="n"/>
      <c r="UTO1" s="87" t="n"/>
      <c r="UTP1" s="87" t="n"/>
      <c r="UTQ1" s="87" t="n"/>
      <c r="UTR1" s="87" t="n"/>
      <c r="UTS1" s="87" t="n"/>
      <c r="UTT1" s="87" t="n"/>
      <c r="UTU1" s="87" t="n"/>
      <c r="UTV1" s="87" t="n"/>
      <c r="UTW1" s="87" t="n"/>
      <c r="UTX1" s="87" t="n"/>
      <c r="UTY1" s="87" t="n"/>
      <c r="UTZ1" s="87" t="n"/>
      <c r="UUA1" s="87" t="n"/>
      <c r="UUB1" s="87" t="n"/>
      <c r="UUC1" s="87" t="n"/>
      <c r="UUD1" s="87" t="n"/>
      <c r="UUE1" s="87" t="n"/>
      <c r="UUF1" s="87" t="n"/>
      <c r="UUG1" s="87" t="n"/>
      <c r="UUH1" s="87" t="n"/>
      <c r="UUI1" s="87" t="n"/>
      <c r="UUJ1" s="87" t="n"/>
      <c r="UUK1" s="87" t="n"/>
      <c r="UUL1" s="87" t="n"/>
      <c r="UUM1" s="87" t="n"/>
      <c r="UUN1" s="87" t="n"/>
      <c r="UUO1" s="87" t="n"/>
      <c r="UUP1" s="87" t="n"/>
      <c r="UUQ1" s="87" t="n"/>
      <c r="UUR1" s="87" t="n"/>
      <c r="UUS1" s="87" t="n"/>
      <c r="UUT1" s="87" t="n"/>
      <c r="UUU1" s="87" t="n"/>
      <c r="UUV1" s="87" t="n"/>
      <c r="UUW1" s="87" t="n"/>
      <c r="UUX1" s="87" t="n"/>
      <c r="UUY1" s="87" t="n"/>
      <c r="UUZ1" s="87" t="n"/>
      <c r="UVA1" s="87" t="n"/>
      <c r="UVB1" s="87" t="n"/>
      <c r="UVC1" s="87" t="n"/>
      <c r="UVD1" s="87" t="n"/>
      <c r="UVE1" s="87" t="n"/>
      <c r="UVF1" s="87" t="n"/>
      <c r="UVG1" s="87" t="n"/>
      <c r="UVH1" s="87" t="n"/>
      <c r="UVI1" s="87" t="n"/>
      <c r="UVJ1" s="87" t="n"/>
      <c r="UVK1" s="87" t="n"/>
      <c r="UVL1" s="87" t="n"/>
      <c r="UVM1" s="87" t="n"/>
      <c r="UVN1" s="87" t="n"/>
      <c r="UVO1" s="87" t="n"/>
      <c r="UVP1" s="87" t="n"/>
      <c r="UVQ1" s="87" t="n"/>
      <c r="UVR1" s="87" t="n"/>
      <c r="UVS1" s="87" t="n"/>
      <c r="UVT1" s="87" t="n"/>
      <c r="UVU1" s="87" t="n"/>
      <c r="UVV1" s="87" t="n"/>
      <c r="UVW1" s="87" t="n"/>
      <c r="UVX1" s="87" t="n"/>
      <c r="UVY1" s="87" t="n"/>
      <c r="UVZ1" s="87" t="n"/>
      <c r="UWA1" s="87" t="n"/>
      <c r="UWB1" s="87" t="n"/>
      <c r="UWC1" s="87" t="n"/>
      <c r="UWD1" s="87" t="n"/>
      <c r="UWE1" s="87" t="n"/>
      <c r="UWF1" s="87" t="n"/>
      <c r="UWG1" s="87" t="n"/>
      <c r="UWH1" s="87" t="n"/>
      <c r="UWI1" s="87" t="n"/>
      <c r="UWJ1" s="87" t="n"/>
      <c r="UWK1" s="87" t="n"/>
      <c r="UWL1" s="87" t="n"/>
      <c r="UWM1" s="87" t="n"/>
      <c r="UWN1" s="87" t="n"/>
      <c r="UWO1" s="87" t="n"/>
      <c r="UWP1" s="87" t="n"/>
      <c r="UWQ1" s="87" t="n"/>
      <c r="UWR1" s="87" t="n"/>
      <c r="UWS1" s="87" t="n"/>
      <c r="UWT1" s="87" t="n"/>
      <c r="UWU1" s="87" t="n"/>
      <c r="UWV1" s="87" t="n"/>
      <c r="UWW1" s="87" t="n"/>
      <c r="UWX1" s="87" t="n"/>
      <c r="UWY1" s="87" t="n"/>
      <c r="UWZ1" s="87" t="n"/>
      <c r="UXA1" s="87" t="n"/>
      <c r="UXB1" s="87" t="n"/>
      <c r="UXC1" s="87" t="n"/>
      <c r="UXD1" s="87" t="n"/>
      <c r="UXE1" s="87" t="n"/>
      <c r="UXF1" s="87" t="n"/>
      <c r="UXG1" s="87" t="n"/>
      <c r="UXH1" s="87" t="n"/>
      <c r="UXI1" s="87" t="n"/>
      <c r="UXJ1" s="87" t="n"/>
      <c r="UXK1" s="87" t="n"/>
      <c r="UXL1" s="87" t="n"/>
      <c r="UXM1" s="87" t="n"/>
      <c r="UXN1" s="87" t="n"/>
      <c r="UXO1" s="87" t="n"/>
      <c r="UXP1" s="87" t="n"/>
      <c r="UXQ1" s="87" t="n"/>
      <c r="UXR1" s="87" t="n"/>
      <c r="UXS1" s="87" t="n"/>
      <c r="UXT1" s="87" t="n"/>
      <c r="UXU1" s="87" t="n"/>
      <c r="UXV1" s="87" t="n"/>
      <c r="UXW1" s="87" t="n"/>
      <c r="UXX1" s="87" t="n"/>
      <c r="UXY1" s="87" t="n"/>
      <c r="UXZ1" s="87" t="n"/>
      <c r="UYA1" s="87" t="n"/>
      <c r="UYB1" s="87" t="n"/>
      <c r="UYC1" s="87" t="n"/>
      <c r="UYD1" s="87" t="n"/>
      <c r="UYE1" s="87" t="n"/>
      <c r="UYF1" s="87" t="n"/>
      <c r="UYG1" s="87" t="n"/>
      <c r="UYH1" s="87" t="n"/>
      <c r="UYI1" s="87" t="n"/>
      <c r="UYJ1" s="87" t="n"/>
      <c r="UYK1" s="87" t="n"/>
      <c r="UYL1" s="87" t="n"/>
      <c r="UYM1" s="87" t="n"/>
      <c r="UYN1" s="87" t="n"/>
      <c r="UYO1" s="87" t="n"/>
      <c r="UYP1" s="87" t="n"/>
      <c r="UYQ1" s="87" t="n"/>
      <c r="UYR1" s="87" t="n"/>
      <c r="UYS1" s="87" t="n"/>
      <c r="UYT1" s="87" t="n"/>
      <c r="UYU1" s="87" t="n"/>
      <c r="UYV1" s="87" t="n"/>
      <c r="UYW1" s="87" t="n"/>
      <c r="UYX1" s="87" t="n"/>
      <c r="UYY1" s="87" t="n"/>
      <c r="UYZ1" s="87" t="n"/>
      <c r="UZA1" s="87" t="n"/>
      <c r="UZB1" s="87" t="n"/>
      <c r="UZC1" s="87" t="n"/>
      <c r="UZD1" s="87" t="n"/>
      <c r="UZE1" s="87" t="n"/>
      <c r="UZF1" s="87" t="n"/>
      <c r="UZG1" s="87" t="n"/>
      <c r="UZH1" s="87" t="n"/>
      <c r="UZI1" s="87" t="n"/>
      <c r="UZJ1" s="87" t="n"/>
      <c r="UZK1" s="87" t="n"/>
      <c r="UZL1" s="87" t="n"/>
      <c r="UZM1" s="87" t="n"/>
      <c r="UZN1" s="87" t="n"/>
      <c r="UZO1" s="87" t="n"/>
      <c r="UZP1" s="87" t="n"/>
      <c r="UZQ1" s="87" t="n"/>
      <c r="UZR1" s="87" t="n"/>
      <c r="UZS1" s="87" t="n"/>
      <c r="UZT1" s="87" t="n"/>
      <c r="UZU1" s="87" t="n"/>
      <c r="UZV1" s="87" t="n"/>
      <c r="UZW1" s="87" t="n"/>
      <c r="UZX1" s="87" t="n"/>
      <c r="UZY1" s="87" t="n"/>
      <c r="UZZ1" s="87" t="n"/>
      <c r="VAA1" s="87" t="n"/>
      <c r="VAB1" s="87" t="n"/>
      <c r="VAC1" s="87" t="n"/>
      <c r="VAD1" s="87" t="n"/>
      <c r="VAE1" s="87" t="n"/>
      <c r="VAF1" s="87" t="n"/>
      <c r="VAG1" s="87" t="n"/>
      <c r="VAH1" s="87" t="n"/>
      <c r="VAI1" s="87" t="n"/>
      <c r="VAJ1" s="87" t="n"/>
      <c r="VAK1" s="87" t="n"/>
      <c r="VAL1" s="87" t="n"/>
      <c r="VAM1" s="87" t="n"/>
      <c r="VAN1" s="87" t="n"/>
      <c r="VAO1" s="87" t="n"/>
      <c r="VAP1" s="87" t="n"/>
      <c r="VAQ1" s="87" t="n"/>
      <c r="VAR1" s="87" t="n"/>
      <c r="VAS1" s="87" t="n"/>
      <c r="VAT1" s="87" t="n"/>
      <c r="VAU1" s="87" t="n"/>
      <c r="VAV1" s="87" t="n"/>
      <c r="VAW1" s="87" t="n"/>
      <c r="VAX1" s="87" t="n"/>
      <c r="VAY1" s="87" t="n"/>
      <c r="VAZ1" s="87" t="n"/>
      <c r="VBA1" s="87" t="n"/>
      <c r="VBB1" s="87" t="n"/>
      <c r="VBC1" s="87" t="n"/>
      <c r="VBD1" s="87" t="n"/>
      <c r="VBE1" s="87" t="n"/>
      <c r="VBF1" s="87" t="n"/>
      <c r="VBG1" s="87" t="n"/>
      <c r="VBH1" s="87" t="n"/>
      <c r="VBI1" s="87" t="n"/>
      <c r="VBJ1" s="87" t="n"/>
      <c r="VBK1" s="87" t="n"/>
      <c r="VBL1" s="87" t="n"/>
      <c r="VBM1" s="87" t="n"/>
      <c r="VBN1" s="87" t="n"/>
      <c r="VBO1" s="87" t="n"/>
      <c r="VBP1" s="87" t="n"/>
      <c r="VBQ1" s="87" t="n"/>
      <c r="VBR1" s="87" t="n"/>
      <c r="VBS1" s="87" t="n"/>
      <c r="VBT1" s="87" t="n"/>
      <c r="VBU1" s="87" t="n"/>
      <c r="VBV1" s="87" t="n"/>
      <c r="VBW1" s="87" t="n"/>
      <c r="VBX1" s="87" t="n"/>
      <c r="VBY1" s="87" t="n"/>
      <c r="VBZ1" s="87" t="n"/>
      <c r="VCA1" s="87" t="n"/>
      <c r="VCB1" s="87" t="n"/>
      <c r="VCC1" s="87" t="n"/>
      <c r="VCD1" s="87" t="n"/>
      <c r="VCE1" s="87" t="n"/>
      <c r="VCF1" s="87" t="n"/>
      <c r="VCG1" s="87" t="n"/>
      <c r="VCH1" s="87" t="n"/>
      <c r="VCI1" s="87" t="n"/>
      <c r="VCJ1" s="87" t="n"/>
      <c r="VCK1" s="87" t="n"/>
      <c r="VCL1" s="87" t="n"/>
      <c r="VCM1" s="87" t="n"/>
      <c r="VCN1" s="87" t="n"/>
      <c r="VCO1" s="87" t="n"/>
      <c r="VCP1" s="87" t="n"/>
      <c r="VCQ1" s="87" t="n"/>
      <c r="VCR1" s="87" t="n"/>
      <c r="VCS1" s="87" t="n"/>
      <c r="VCT1" s="87" t="n"/>
      <c r="VCU1" s="87" t="n"/>
      <c r="VCV1" s="87" t="n"/>
      <c r="VCW1" s="87" t="n"/>
      <c r="VCX1" s="87" t="n"/>
      <c r="VCY1" s="87" t="n"/>
      <c r="VCZ1" s="87" t="n"/>
      <c r="VDA1" s="87" t="n"/>
      <c r="VDB1" s="87" t="n"/>
      <c r="VDC1" s="87" t="n"/>
      <c r="VDD1" s="87" t="n"/>
      <c r="VDE1" s="87" t="n"/>
      <c r="VDF1" s="87" t="n"/>
      <c r="VDG1" s="87" t="n"/>
      <c r="VDH1" s="87" t="n"/>
      <c r="VDI1" s="87" t="n"/>
      <c r="VDJ1" s="87" t="n"/>
      <c r="VDK1" s="87" t="n"/>
      <c r="VDL1" s="87" t="n"/>
      <c r="VDM1" s="87" t="n"/>
      <c r="VDN1" s="87" t="n"/>
      <c r="VDO1" s="87" t="n"/>
      <c r="VDP1" s="87" t="n"/>
      <c r="VDQ1" s="87" t="n"/>
      <c r="VDR1" s="87" t="n"/>
      <c r="VDS1" s="87" t="n"/>
      <c r="VDT1" s="87" t="n"/>
      <c r="VDU1" s="87" t="n"/>
      <c r="VDV1" s="87" t="n"/>
      <c r="VDW1" s="87" t="n"/>
      <c r="VDX1" s="87" t="n"/>
      <c r="VDY1" s="87" t="n"/>
      <c r="VDZ1" s="87" t="n"/>
      <c r="VEA1" s="87" t="n"/>
      <c r="VEB1" s="87" t="n"/>
      <c r="VEC1" s="87" t="n"/>
      <c r="VED1" s="87" t="n"/>
      <c r="VEE1" s="87" t="n"/>
      <c r="VEF1" s="87" t="n"/>
      <c r="VEG1" s="87" t="n"/>
      <c r="VEH1" s="87" t="n"/>
      <c r="VEI1" s="87" t="n"/>
      <c r="VEJ1" s="87" t="n"/>
      <c r="VEK1" s="87" t="n"/>
      <c r="VEL1" s="87" t="n"/>
      <c r="VEM1" s="87" t="n"/>
      <c r="VEN1" s="87" t="n"/>
      <c r="VEO1" s="87" t="n"/>
      <c r="VEP1" s="87" t="n"/>
      <c r="VEQ1" s="87" t="n"/>
      <c r="VER1" s="87" t="n"/>
      <c r="VES1" s="87" t="n"/>
      <c r="VET1" s="87" t="n"/>
      <c r="VEU1" s="87" t="n"/>
      <c r="VEV1" s="87" t="n"/>
      <c r="VEW1" s="87" t="n"/>
      <c r="VEX1" s="87" t="n"/>
      <c r="VEY1" s="87" t="n"/>
      <c r="VEZ1" s="87" t="n"/>
      <c r="VFA1" s="87" t="n"/>
      <c r="VFB1" s="87" t="n"/>
      <c r="VFC1" s="87" t="n"/>
      <c r="VFD1" s="87" t="n"/>
      <c r="VFE1" s="87" t="n"/>
      <c r="VFF1" s="87" t="n"/>
      <c r="VFG1" s="87" t="n"/>
      <c r="VFH1" s="87" t="n"/>
      <c r="VFI1" s="87" t="n"/>
      <c r="VFJ1" s="87" t="n"/>
      <c r="VFK1" s="87" t="n"/>
      <c r="VFL1" s="87" t="n"/>
      <c r="VFM1" s="87" t="n"/>
      <c r="VFN1" s="87" t="n"/>
      <c r="VFO1" s="87" t="n"/>
      <c r="VFP1" s="87" t="n"/>
      <c r="VFQ1" s="87" t="n"/>
      <c r="VFR1" s="87" t="n"/>
      <c r="VFS1" s="87" t="n"/>
      <c r="VFT1" s="87" t="n"/>
      <c r="VFU1" s="87" t="n"/>
      <c r="VFV1" s="87" t="n"/>
      <c r="VFW1" s="87" t="n"/>
      <c r="VFX1" s="87" t="n"/>
      <c r="VFY1" s="87" t="n"/>
      <c r="VFZ1" s="87" t="n"/>
      <c r="VGA1" s="87" t="n"/>
      <c r="VGB1" s="87" t="n"/>
      <c r="VGC1" s="87" t="n"/>
      <c r="VGD1" s="87" t="n"/>
      <c r="VGE1" s="87" t="n"/>
      <c r="VGF1" s="87" t="n"/>
      <c r="VGG1" s="87" t="n"/>
      <c r="VGH1" s="87" t="n"/>
      <c r="VGI1" s="87" t="n"/>
      <c r="VGJ1" s="87" t="n"/>
      <c r="VGK1" s="87" t="n"/>
      <c r="VGL1" s="87" t="n"/>
      <c r="VGM1" s="87" t="n"/>
      <c r="VGN1" s="87" t="n"/>
      <c r="VGO1" s="87" t="n"/>
      <c r="VGP1" s="87" t="n"/>
      <c r="VGQ1" s="87" t="n"/>
      <c r="VGR1" s="87" t="n"/>
      <c r="VGS1" s="87" t="n"/>
      <c r="VGT1" s="87" t="n"/>
      <c r="VGU1" s="87" t="n"/>
      <c r="VGV1" s="87" t="n"/>
      <c r="VGW1" s="87" t="n"/>
      <c r="VGX1" s="87" t="n"/>
      <c r="VGY1" s="87" t="n"/>
      <c r="VGZ1" s="87" t="n"/>
      <c r="VHA1" s="87" t="n"/>
      <c r="VHB1" s="87" t="n"/>
      <c r="VHC1" s="87" t="n"/>
      <c r="VHD1" s="87" t="n"/>
      <c r="VHE1" s="87" t="n"/>
      <c r="VHF1" s="87" t="n"/>
      <c r="VHG1" s="87" t="n"/>
      <c r="VHH1" s="87" t="n"/>
      <c r="VHI1" s="87" t="n"/>
      <c r="VHJ1" s="87" t="n"/>
      <c r="VHK1" s="87" t="n"/>
      <c r="VHL1" s="87" t="n"/>
      <c r="VHM1" s="87" t="n"/>
      <c r="VHN1" s="87" t="n"/>
      <c r="VHO1" s="87" t="n"/>
      <c r="VHP1" s="87" t="n"/>
      <c r="VHQ1" s="87" t="n"/>
      <c r="VHR1" s="87" t="n"/>
      <c r="VHS1" s="87" t="n"/>
      <c r="VHT1" s="87" t="n"/>
      <c r="VHU1" s="87" t="n"/>
      <c r="VHV1" s="87" t="n"/>
      <c r="VHW1" s="87" t="n"/>
      <c r="VHX1" s="87" t="n"/>
      <c r="VHY1" s="87" t="n"/>
      <c r="VHZ1" s="87" t="n"/>
      <c r="VIA1" s="87" t="n"/>
      <c r="VIB1" s="87" t="n"/>
      <c r="VIC1" s="87" t="n"/>
      <c r="VID1" s="87" t="n"/>
      <c r="VIE1" s="87" t="n"/>
      <c r="VIF1" s="87" t="n"/>
      <c r="VIG1" s="87" t="n"/>
      <c r="VIH1" s="87" t="n"/>
      <c r="VII1" s="87" t="n"/>
      <c r="VIJ1" s="87" t="n"/>
      <c r="VIK1" s="87" t="n"/>
      <c r="VIL1" s="87" t="n"/>
      <c r="VIM1" s="87" t="n"/>
      <c r="VIN1" s="87" t="n"/>
      <c r="VIO1" s="87" t="n"/>
      <c r="VIP1" s="87" t="n"/>
      <c r="VIQ1" s="87" t="n"/>
      <c r="VIR1" s="87" t="n"/>
      <c r="VIS1" s="87" t="n"/>
      <c r="VIT1" s="87" t="n"/>
      <c r="VIU1" s="87" t="n"/>
      <c r="VIV1" s="87" t="n"/>
      <c r="VIW1" s="87" t="n"/>
      <c r="VIX1" s="87" t="n"/>
      <c r="VIY1" s="87" t="n"/>
      <c r="VIZ1" s="87" t="n"/>
      <c r="VJA1" s="87" t="n"/>
      <c r="VJB1" s="87" t="n"/>
      <c r="VJC1" s="87" t="n"/>
      <c r="VJD1" s="87" t="n"/>
      <c r="VJE1" s="87" t="n"/>
      <c r="VJF1" s="87" t="n"/>
      <c r="VJG1" s="87" t="n"/>
      <c r="VJH1" s="87" t="n"/>
      <c r="VJI1" s="87" t="n"/>
      <c r="VJJ1" s="87" t="n"/>
      <c r="VJK1" s="87" t="n"/>
      <c r="VJL1" s="87" t="n"/>
      <c r="VJM1" s="87" t="n"/>
      <c r="VJN1" s="87" t="n"/>
      <c r="VJO1" s="87" t="n"/>
      <c r="VJP1" s="87" t="n"/>
      <c r="VJQ1" s="87" t="n"/>
      <c r="VJR1" s="87" t="n"/>
      <c r="VJS1" s="87" t="n"/>
      <c r="VJT1" s="87" t="n"/>
      <c r="VJU1" s="87" t="n"/>
      <c r="VJV1" s="87" t="n"/>
      <c r="VJW1" s="87" t="n"/>
      <c r="VJX1" s="87" t="n"/>
      <c r="VJY1" s="87" t="n"/>
      <c r="VJZ1" s="87" t="n"/>
      <c r="VKA1" s="87" t="n"/>
      <c r="VKB1" s="87" t="n"/>
      <c r="VKC1" s="87" t="n"/>
      <c r="VKD1" s="87" t="n"/>
      <c r="VKE1" s="87" t="n"/>
      <c r="VKF1" s="87" t="n"/>
      <c r="VKG1" s="87" t="n"/>
      <c r="VKH1" s="87" t="n"/>
      <c r="VKI1" s="87" t="n"/>
      <c r="VKJ1" s="87" t="n"/>
      <c r="VKK1" s="87" t="n"/>
      <c r="VKL1" s="87" t="n"/>
      <c r="VKM1" s="87" t="n"/>
      <c r="VKN1" s="87" t="n"/>
      <c r="VKO1" s="87" t="n"/>
      <c r="VKP1" s="87" t="n"/>
      <c r="VKQ1" s="87" t="n"/>
      <c r="VKR1" s="87" t="n"/>
      <c r="VKS1" s="87" t="n"/>
      <c r="VKT1" s="87" t="n"/>
      <c r="VKU1" s="87" t="n"/>
      <c r="VKV1" s="87" t="n"/>
      <c r="VKW1" s="87" t="n"/>
      <c r="VKX1" s="87" t="n"/>
      <c r="VKY1" s="87" t="n"/>
      <c r="VKZ1" s="87" t="n"/>
      <c r="VLA1" s="87" t="n"/>
      <c r="VLB1" s="87" t="n"/>
      <c r="VLC1" s="87" t="n"/>
      <c r="VLD1" s="87" t="n"/>
      <c r="VLE1" s="87" t="n"/>
      <c r="VLF1" s="87" t="n"/>
      <c r="VLG1" s="87" t="n"/>
      <c r="VLH1" s="87" t="n"/>
      <c r="VLI1" s="87" t="n"/>
      <c r="VLJ1" s="87" t="n"/>
      <c r="VLK1" s="87" t="n"/>
      <c r="VLL1" s="87" t="n"/>
      <c r="VLM1" s="87" t="n"/>
      <c r="VLN1" s="87" t="n"/>
      <c r="VLO1" s="87" t="n"/>
      <c r="VLP1" s="87" t="n"/>
      <c r="VLQ1" s="87" t="n"/>
      <c r="VLR1" s="87" t="n"/>
      <c r="VLS1" s="87" t="n"/>
      <c r="VLT1" s="87" t="n"/>
      <c r="VLU1" s="87" t="n"/>
      <c r="VLV1" s="87" t="n"/>
      <c r="VLW1" s="87" t="n"/>
      <c r="VLX1" s="87" t="n"/>
      <c r="VLY1" s="87" t="n"/>
      <c r="VLZ1" s="87" t="n"/>
      <c r="VMA1" s="87" t="n"/>
      <c r="VMB1" s="87" t="n"/>
      <c r="VMC1" s="87" t="n"/>
      <c r="VMD1" s="87" t="n"/>
      <c r="VME1" s="87" t="n"/>
      <c r="VMF1" s="87" t="n"/>
      <c r="VMG1" s="87" t="n"/>
      <c r="VMH1" s="87" t="n"/>
      <c r="VMI1" s="87" t="n"/>
      <c r="VMJ1" s="87" t="n"/>
      <c r="VMK1" s="87" t="n"/>
      <c r="VML1" s="87" t="n"/>
      <c r="VMM1" s="87" t="n"/>
      <c r="VMN1" s="87" t="n"/>
      <c r="VMO1" s="87" t="n"/>
      <c r="VMP1" s="87" t="n"/>
      <c r="VMQ1" s="87" t="n"/>
      <c r="VMR1" s="87" t="n"/>
      <c r="VMS1" s="87" t="n"/>
      <c r="VMT1" s="87" t="n"/>
      <c r="VMU1" s="87" t="n"/>
      <c r="VMV1" s="87" t="n"/>
      <c r="VMW1" s="87" t="n"/>
      <c r="VMX1" s="87" t="n"/>
      <c r="VMY1" s="87" t="n"/>
      <c r="VMZ1" s="87" t="n"/>
      <c r="VNA1" s="87" t="n"/>
      <c r="VNB1" s="87" t="n"/>
      <c r="VNC1" s="87" t="n"/>
      <c r="VND1" s="87" t="n"/>
      <c r="VNE1" s="87" t="n"/>
      <c r="VNF1" s="87" t="n"/>
      <c r="VNG1" s="87" t="n"/>
      <c r="VNH1" s="87" t="n"/>
      <c r="VNI1" s="87" t="n"/>
      <c r="VNJ1" s="87" t="n"/>
      <c r="VNK1" s="87" t="n"/>
      <c r="VNL1" s="87" t="n"/>
      <c r="VNM1" s="87" t="n"/>
      <c r="VNN1" s="87" t="n"/>
      <c r="VNO1" s="87" t="n"/>
      <c r="VNP1" s="87" t="n"/>
      <c r="VNQ1" s="87" t="n"/>
      <c r="VNR1" s="87" t="n"/>
      <c r="VNS1" s="87" t="n"/>
      <c r="VNT1" s="87" t="n"/>
      <c r="VNU1" s="87" t="n"/>
      <c r="VNV1" s="87" t="n"/>
      <c r="VNW1" s="87" t="n"/>
      <c r="VNX1" s="87" t="n"/>
      <c r="VNY1" s="87" t="n"/>
      <c r="VNZ1" s="87" t="n"/>
      <c r="VOA1" s="87" t="n"/>
      <c r="VOB1" s="87" t="n"/>
      <c r="VOC1" s="87" t="n"/>
      <c r="VOD1" s="87" t="n"/>
      <c r="VOE1" s="87" t="n"/>
      <c r="VOF1" s="87" t="n"/>
      <c r="VOG1" s="87" t="n"/>
      <c r="VOH1" s="87" t="n"/>
      <c r="VOI1" s="87" t="n"/>
      <c r="VOJ1" s="87" t="n"/>
      <c r="VOK1" s="87" t="n"/>
      <c r="VOL1" s="87" t="n"/>
      <c r="VOM1" s="87" t="n"/>
      <c r="VON1" s="87" t="n"/>
      <c r="VOO1" s="87" t="n"/>
      <c r="VOP1" s="87" t="n"/>
      <c r="VOQ1" s="87" t="n"/>
      <c r="VOR1" s="87" t="n"/>
      <c r="VOS1" s="87" t="n"/>
      <c r="VOT1" s="87" t="n"/>
      <c r="VOU1" s="87" t="n"/>
      <c r="VOV1" s="87" t="n"/>
      <c r="VOW1" s="87" t="n"/>
      <c r="VOX1" s="87" t="n"/>
      <c r="VOY1" s="87" t="n"/>
      <c r="VOZ1" s="87" t="n"/>
      <c r="VPA1" s="87" t="n"/>
      <c r="VPB1" s="87" t="n"/>
      <c r="VPC1" s="87" t="n"/>
      <c r="VPD1" s="87" t="n"/>
      <c r="VPE1" s="87" t="n"/>
      <c r="VPF1" s="87" t="n"/>
      <c r="VPG1" s="87" t="n"/>
      <c r="VPH1" s="87" t="n"/>
      <c r="VPI1" s="87" t="n"/>
      <c r="VPJ1" s="87" t="n"/>
      <c r="VPK1" s="87" t="n"/>
      <c r="VPL1" s="87" t="n"/>
      <c r="VPM1" s="87" t="n"/>
      <c r="VPN1" s="87" t="n"/>
      <c r="VPO1" s="87" t="n"/>
      <c r="VPP1" s="87" t="n"/>
      <c r="VPQ1" s="87" t="n"/>
      <c r="VPR1" s="87" t="n"/>
      <c r="VPS1" s="87" t="n"/>
      <c r="VPT1" s="87" t="n"/>
      <c r="VPU1" s="87" t="n"/>
      <c r="VPV1" s="87" t="n"/>
      <c r="VPW1" s="87" t="n"/>
      <c r="VPX1" s="87" t="n"/>
      <c r="VPY1" s="87" t="n"/>
      <c r="VPZ1" s="87" t="n"/>
      <c r="VQA1" s="87" t="n"/>
      <c r="VQB1" s="87" t="n"/>
      <c r="VQC1" s="87" t="n"/>
      <c r="VQD1" s="87" t="n"/>
      <c r="VQE1" s="87" t="n"/>
      <c r="VQF1" s="87" t="n"/>
      <c r="VQG1" s="87" t="n"/>
      <c r="VQH1" s="87" t="n"/>
      <c r="VQI1" s="87" t="n"/>
      <c r="VQJ1" s="87" t="n"/>
      <c r="VQK1" s="87" t="n"/>
      <c r="VQL1" s="87" t="n"/>
      <c r="VQM1" s="87" t="n"/>
      <c r="VQN1" s="87" t="n"/>
      <c r="VQO1" s="87" t="n"/>
      <c r="VQP1" s="87" t="n"/>
      <c r="VQQ1" s="87" t="n"/>
      <c r="VQR1" s="87" t="n"/>
      <c r="VQS1" s="87" t="n"/>
      <c r="VQT1" s="87" t="n"/>
      <c r="VQU1" s="87" t="n"/>
      <c r="VQV1" s="87" t="n"/>
      <c r="VQW1" s="87" t="n"/>
      <c r="VQX1" s="87" t="n"/>
      <c r="VQY1" s="87" t="n"/>
      <c r="VQZ1" s="87" t="n"/>
      <c r="VRA1" s="87" t="n"/>
      <c r="VRB1" s="87" t="n"/>
      <c r="VRC1" s="87" t="n"/>
      <c r="VRD1" s="87" t="n"/>
      <c r="VRE1" s="87" t="n"/>
      <c r="VRF1" s="87" t="n"/>
      <c r="VRG1" s="87" t="n"/>
      <c r="VRH1" s="87" t="n"/>
      <c r="VRI1" s="87" t="n"/>
      <c r="VRJ1" s="87" t="n"/>
      <c r="VRK1" s="87" t="n"/>
      <c r="VRL1" s="87" t="n"/>
      <c r="VRM1" s="87" t="n"/>
      <c r="VRN1" s="87" t="n"/>
      <c r="VRO1" s="87" t="n"/>
      <c r="VRP1" s="87" t="n"/>
      <c r="VRQ1" s="87" t="n"/>
      <c r="VRR1" s="87" t="n"/>
      <c r="VRS1" s="87" t="n"/>
      <c r="VRT1" s="87" t="n"/>
      <c r="VRU1" s="87" t="n"/>
      <c r="VRV1" s="87" t="n"/>
      <c r="VRW1" s="87" t="n"/>
      <c r="VRX1" s="87" t="n"/>
      <c r="VRY1" s="87" t="n"/>
      <c r="VRZ1" s="87" t="n"/>
      <c r="VSA1" s="87" t="n"/>
      <c r="VSB1" s="87" t="n"/>
      <c r="VSC1" s="87" t="n"/>
      <c r="VSD1" s="87" t="n"/>
      <c r="VSE1" s="87" t="n"/>
      <c r="VSF1" s="87" t="n"/>
      <c r="VSG1" s="87" t="n"/>
      <c r="VSH1" s="87" t="n"/>
      <c r="VSI1" s="87" t="n"/>
      <c r="VSJ1" s="87" t="n"/>
      <c r="VSK1" s="87" t="n"/>
      <c r="VSL1" s="87" t="n"/>
      <c r="VSM1" s="87" t="n"/>
      <c r="VSN1" s="87" t="n"/>
      <c r="VSO1" s="87" t="n"/>
      <c r="VSP1" s="87" t="n"/>
      <c r="VSQ1" s="87" t="n"/>
      <c r="VSR1" s="87" t="n"/>
      <c r="VSS1" s="87" t="n"/>
      <c r="VST1" s="87" t="n"/>
      <c r="VSU1" s="87" t="n"/>
      <c r="VSV1" s="87" t="n"/>
      <c r="VSW1" s="87" t="n"/>
      <c r="VSX1" s="87" t="n"/>
      <c r="VSY1" s="87" t="n"/>
      <c r="VSZ1" s="87" t="n"/>
      <c r="VTA1" s="87" t="n"/>
      <c r="VTB1" s="87" t="n"/>
      <c r="VTC1" s="87" t="n"/>
      <c r="VTD1" s="87" t="n"/>
      <c r="VTE1" s="87" t="n"/>
      <c r="VTF1" s="87" t="n"/>
      <c r="VTG1" s="87" t="n"/>
      <c r="VTH1" s="87" t="n"/>
      <c r="VTI1" s="87" t="n"/>
      <c r="VTJ1" s="87" t="n"/>
      <c r="VTK1" s="87" t="n"/>
      <c r="VTL1" s="87" t="n"/>
      <c r="VTM1" s="87" t="n"/>
      <c r="VTN1" s="87" t="n"/>
      <c r="VTO1" s="87" t="n"/>
      <c r="VTP1" s="87" t="n"/>
      <c r="VTQ1" s="87" t="n"/>
      <c r="VTR1" s="87" t="n"/>
      <c r="VTS1" s="87" t="n"/>
      <c r="VTT1" s="87" t="n"/>
      <c r="VTU1" s="87" t="n"/>
      <c r="VTV1" s="87" t="n"/>
      <c r="VTW1" s="87" t="n"/>
      <c r="VTX1" s="87" t="n"/>
      <c r="VTY1" s="87" t="n"/>
      <c r="VTZ1" s="87" t="n"/>
      <c r="VUA1" s="87" t="n"/>
      <c r="VUB1" s="87" t="n"/>
      <c r="VUC1" s="87" t="n"/>
      <c r="VUD1" s="87" t="n"/>
      <c r="VUE1" s="87" t="n"/>
      <c r="VUF1" s="87" t="n"/>
      <c r="VUG1" s="87" t="n"/>
      <c r="VUH1" s="87" t="n"/>
      <c r="VUI1" s="87" t="n"/>
      <c r="VUJ1" s="87" t="n"/>
      <c r="VUK1" s="87" t="n"/>
      <c r="VUL1" s="87" t="n"/>
      <c r="VUM1" s="87" t="n"/>
      <c r="VUN1" s="87" t="n"/>
      <c r="VUO1" s="87" t="n"/>
      <c r="VUP1" s="87" t="n"/>
      <c r="VUQ1" s="87" t="n"/>
      <c r="VUR1" s="87" t="n"/>
      <c r="VUS1" s="87" t="n"/>
      <c r="VUT1" s="87" t="n"/>
      <c r="VUU1" s="87" t="n"/>
      <c r="VUV1" s="87" t="n"/>
      <c r="VUW1" s="87" t="n"/>
      <c r="VUX1" s="87" t="n"/>
      <c r="VUY1" s="87" t="n"/>
      <c r="VUZ1" s="87" t="n"/>
      <c r="VVA1" s="87" t="n"/>
      <c r="VVB1" s="87" t="n"/>
      <c r="VVC1" s="87" t="n"/>
      <c r="VVD1" s="87" t="n"/>
      <c r="VVE1" s="87" t="n"/>
      <c r="VVF1" s="87" t="n"/>
      <c r="VVG1" s="87" t="n"/>
      <c r="VVH1" s="87" t="n"/>
      <c r="VVI1" s="87" t="n"/>
      <c r="VVJ1" s="87" t="n"/>
      <c r="VVK1" s="87" t="n"/>
      <c r="VVL1" s="87" t="n"/>
      <c r="VVM1" s="87" t="n"/>
      <c r="VVN1" s="87" t="n"/>
      <c r="VVO1" s="87" t="n"/>
      <c r="VVP1" s="87" t="n"/>
      <c r="VVQ1" s="87" t="n"/>
      <c r="VVR1" s="87" t="n"/>
      <c r="VVS1" s="87" t="n"/>
      <c r="VVT1" s="87" t="n"/>
      <c r="VVU1" s="87" t="n"/>
      <c r="VVV1" s="87" t="n"/>
      <c r="VVW1" s="87" t="n"/>
      <c r="VVX1" s="87" t="n"/>
      <c r="VVY1" s="87" t="n"/>
      <c r="VVZ1" s="87" t="n"/>
      <c r="VWA1" s="87" t="n"/>
      <c r="VWB1" s="87" t="n"/>
      <c r="VWC1" s="87" t="n"/>
      <c r="VWD1" s="87" t="n"/>
      <c r="VWE1" s="87" t="n"/>
      <c r="VWF1" s="87" t="n"/>
      <c r="VWG1" s="87" t="n"/>
      <c r="VWH1" s="87" t="n"/>
      <c r="VWI1" s="87" t="n"/>
      <c r="VWJ1" s="87" t="n"/>
      <c r="VWK1" s="87" t="n"/>
      <c r="VWL1" s="87" t="n"/>
      <c r="VWM1" s="87" t="n"/>
      <c r="VWN1" s="87" t="n"/>
      <c r="VWO1" s="87" t="n"/>
      <c r="VWP1" s="87" t="n"/>
      <c r="VWQ1" s="87" t="n"/>
      <c r="VWR1" s="87" t="n"/>
      <c r="VWS1" s="87" t="n"/>
      <c r="VWT1" s="87" t="n"/>
      <c r="VWU1" s="87" t="n"/>
      <c r="VWV1" s="87" t="n"/>
      <c r="VWW1" s="87" t="n"/>
      <c r="VWX1" s="87" t="n"/>
      <c r="VWY1" s="87" t="n"/>
      <c r="VWZ1" s="87" t="n"/>
      <c r="VXA1" s="87" t="n"/>
      <c r="VXB1" s="87" t="n"/>
      <c r="VXC1" s="87" t="n"/>
      <c r="VXD1" s="87" t="n"/>
      <c r="VXE1" s="87" t="n"/>
      <c r="VXF1" s="87" t="n"/>
      <c r="VXG1" s="87" t="n"/>
      <c r="VXH1" s="87" t="n"/>
      <c r="VXI1" s="87" t="n"/>
      <c r="VXJ1" s="87" t="n"/>
      <c r="VXK1" s="87" t="n"/>
      <c r="VXL1" s="87" t="n"/>
      <c r="VXM1" s="87" t="n"/>
      <c r="VXN1" s="87" t="n"/>
      <c r="VXO1" s="87" t="n"/>
      <c r="VXP1" s="87" t="n"/>
      <c r="VXQ1" s="87" t="n"/>
      <c r="VXR1" s="87" t="n"/>
      <c r="VXS1" s="87" t="n"/>
      <c r="VXT1" s="87" t="n"/>
      <c r="VXU1" s="87" t="n"/>
      <c r="VXV1" s="87" t="n"/>
      <c r="VXW1" s="87" t="n"/>
      <c r="VXX1" s="87" t="n"/>
      <c r="VXY1" s="87" t="n"/>
      <c r="VXZ1" s="87" t="n"/>
      <c r="VYA1" s="87" t="n"/>
      <c r="VYB1" s="87" t="n"/>
      <c r="VYC1" s="87" t="n"/>
      <c r="VYD1" s="87" t="n"/>
      <c r="VYE1" s="87" t="n"/>
      <c r="VYF1" s="87" t="n"/>
      <c r="VYG1" s="87" t="n"/>
      <c r="VYH1" s="87" t="n"/>
      <c r="VYI1" s="87" t="n"/>
      <c r="VYJ1" s="87" t="n"/>
      <c r="VYK1" s="87" t="n"/>
      <c r="VYL1" s="87" t="n"/>
      <c r="VYM1" s="87" t="n"/>
      <c r="VYN1" s="87" t="n"/>
      <c r="VYO1" s="87" t="n"/>
      <c r="VYP1" s="87" t="n"/>
      <c r="VYQ1" s="87" t="n"/>
      <c r="VYR1" s="87" t="n"/>
      <c r="VYS1" s="87" t="n"/>
      <c r="VYT1" s="87" t="n"/>
      <c r="VYU1" s="87" t="n"/>
      <c r="VYV1" s="87" t="n"/>
      <c r="VYW1" s="87" t="n"/>
      <c r="VYX1" s="87" t="n"/>
      <c r="VYY1" s="87" t="n"/>
      <c r="VYZ1" s="87" t="n"/>
      <c r="VZA1" s="87" t="n"/>
      <c r="VZB1" s="87" t="n"/>
      <c r="VZC1" s="87" t="n"/>
      <c r="VZD1" s="87" t="n"/>
      <c r="VZE1" s="87" t="n"/>
      <c r="VZF1" s="87" t="n"/>
      <c r="VZG1" s="87" t="n"/>
      <c r="VZH1" s="87" t="n"/>
      <c r="VZI1" s="87" t="n"/>
      <c r="VZJ1" s="87" t="n"/>
      <c r="VZK1" s="87" t="n"/>
      <c r="VZL1" s="87" t="n"/>
      <c r="VZM1" s="87" t="n"/>
      <c r="VZN1" s="87" t="n"/>
      <c r="VZO1" s="87" t="n"/>
      <c r="VZP1" s="87" t="n"/>
      <c r="VZQ1" s="87" t="n"/>
      <c r="VZR1" s="87" t="n"/>
      <c r="VZS1" s="87" t="n"/>
      <c r="VZT1" s="87" t="n"/>
      <c r="VZU1" s="87" t="n"/>
      <c r="VZV1" s="87" t="n"/>
      <c r="VZW1" s="87" t="n"/>
      <c r="VZX1" s="87" t="n"/>
      <c r="VZY1" s="87" t="n"/>
      <c r="VZZ1" s="87" t="n"/>
      <c r="WAA1" s="87" t="n"/>
      <c r="WAB1" s="87" t="n"/>
      <c r="WAC1" s="87" t="n"/>
      <c r="WAD1" s="87" t="n"/>
      <c r="WAE1" s="87" t="n"/>
      <c r="WAF1" s="87" t="n"/>
      <c r="WAG1" s="87" t="n"/>
      <c r="WAH1" s="87" t="n"/>
      <c r="WAI1" s="87" t="n"/>
      <c r="WAJ1" s="87" t="n"/>
      <c r="WAK1" s="87" t="n"/>
      <c r="WAL1" s="87" t="n"/>
      <c r="WAM1" s="87" t="n"/>
      <c r="WAN1" s="87" t="n"/>
      <c r="WAO1" s="87" t="n"/>
      <c r="WAP1" s="87" t="n"/>
      <c r="WAQ1" s="87" t="n"/>
      <c r="WAR1" s="87" t="n"/>
      <c r="WAS1" s="87" t="n"/>
      <c r="WAT1" s="87" t="n"/>
      <c r="WAU1" s="87" t="n"/>
      <c r="WAV1" s="87" t="n"/>
      <c r="WAW1" s="87" t="n"/>
      <c r="WAX1" s="87" t="n"/>
      <c r="WAY1" s="87" t="n"/>
      <c r="WAZ1" s="87" t="n"/>
      <c r="WBA1" s="87" t="n"/>
      <c r="WBB1" s="87" t="n"/>
      <c r="WBC1" s="87" t="n"/>
      <c r="WBD1" s="87" t="n"/>
      <c r="WBE1" s="87" t="n"/>
      <c r="WBF1" s="87" t="n"/>
      <c r="WBG1" s="87" t="n"/>
      <c r="WBH1" s="87" t="n"/>
      <c r="WBI1" s="87" t="n"/>
      <c r="WBJ1" s="87" t="n"/>
      <c r="WBK1" s="87" t="n"/>
      <c r="WBL1" s="87" t="n"/>
      <c r="WBM1" s="87" t="n"/>
      <c r="WBN1" s="87" t="n"/>
      <c r="WBO1" s="87" t="n"/>
      <c r="WBP1" s="87" t="n"/>
      <c r="WBQ1" s="87" t="n"/>
      <c r="WBR1" s="87" t="n"/>
      <c r="WBS1" s="87" t="n"/>
      <c r="WBT1" s="87" t="n"/>
      <c r="WBU1" s="87" t="n"/>
      <c r="WBV1" s="87" t="n"/>
      <c r="WBW1" s="87" t="n"/>
      <c r="WBX1" s="87" t="n"/>
      <c r="WBY1" s="87" t="n"/>
      <c r="WBZ1" s="87" t="n"/>
      <c r="WCA1" s="87" t="n"/>
      <c r="WCB1" s="87" t="n"/>
      <c r="WCC1" s="87" t="n"/>
      <c r="WCD1" s="87" t="n"/>
      <c r="WCE1" s="87" t="n"/>
      <c r="WCF1" s="87" t="n"/>
      <c r="WCG1" s="87" t="n"/>
      <c r="WCH1" s="87" t="n"/>
      <c r="WCI1" s="87" t="n"/>
      <c r="WCJ1" s="87" t="n"/>
      <c r="WCK1" s="87" t="n"/>
      <c r="WCL1" s="87" t="n"/>
      <c r="WCM1" s="87" t="n"/>
      <c r="WCN1" s="87" t="n"/>
      <c r="WCO1" s="87" t="n"/>
      <c r="WCP1" s="87" t="n"/>
      <c r="WCQ1" s="87" t="n"/>
      <c r="WCR1" s="87" t="n"/>
      <c r="WCS1" s="87" t="n"/>
      <c r="WCT1" s="87" t="n"/>
      <c r="WCU1" s="87" t="n"/>
      <c r="WCV1" s="87" t="n"/>
      <c r="WCW1" s="87" t="n"/>
      <c r="WCX1" s="87" t="n"/>
      <c r="WCY1" s="87" t="n"/>
      <c r="WCZ1" s="87" t="n"/>
      <c r="WDA1" s="87" t="n"/>
      <c r="WDB1" s="87" t="n"/>
      <c r="WDC1" s="87" t="n"/>
      <c r="WDD1" s="87" t="n"/>
      <c r="WDE1" s="87" t="n"/>
      <c r="WDF1" s="87" t="n"/>
      <c r="WDG1" s="87" t="n"/>
      <c r="WDH1" s="87" t="n"/>
      <c r="WDI1" s="87" t="n"/>
      <c r="WDJ1" s="87" t="n"/>
      <c r="WDK1" s="87" t="n"/>
      <c r="WDL1" s="87" t="n"/>
      <c r="WDM1" s="87" t="n"/>
      <c r="WDN1" s="87" t="n"/>
      <c r="WDO1" s="87" t="n"/>
      <c r="WDP1" s="87" t="n"/>
      <c r="WDQ1" s="87" t="n"/>
      <c r="WDR1" s="87" t="n"/>
      <c r="WDS1" s="87" t="n"/>
      <c r="WDT1" s="87" t="n"/>
      <c r="WDU1" s="87" t="n"/>
      <c r="WDV1" s="87" t="n"/>
      <c r="WDW1" s="87" t="n"/>
      <c r="WDX1" s="87" t="n"/>
      <c r="WDY1" s="87" t="n"/>
      <c r="WDZ1" s="87" t="n"/>
      <c r="WEA1" s="87" t="n"/>
      <c r="WEB1" s="87" t="n"/>
      <c r="WEC1" s="87" t="n"/>
      <c r="WED1" s="87" t="n"/>
      <c r="WEE1" s="87" t="n"/>
      <c r="WEF1" s="87" t="n"/>
      <c r="WEG1" s="87" t="n"/>
      <c r="WEH1" s="87" t="n"/>
      <c r="WEI1" s="87" t="n"/>
      <c r="WEJ1" s="87" t="n"/>
      <c r="WEK1" s="87" t="n"/>
      <c r="WEL1" s="87" t="n"/>
      <c r="WEM1" s="87" t="n"/>
      <c r="WEN1" s="87" t="n"/>
      <c r="WEO1" s="87" t="n"/>
      <c r="WEP1" s="87" t="n"/>
      <c r="WEQ1" s="87" t="n"/>
      <c r="WER1" s="87" t="n"/>
      <c r="WES1" s="87" t="n"/>
      <c r="WET1" s="87" t="n"/>
      <c r="WEU1" s="87" t="n"/>
      <c r="WEV1" s="87" t="n"/>
      <c r="WEW1" s="87" t="n"/>
      <c r="WEX1" s="87" t="n"/>
      <c r="WEY1" s="87" t="n"/>
      <c r="WEZ1" s="87" t="n"/>
      <c r="WFA1" s="87" t="n"/>
      <c r="WFB1" s="87" t="n"/>
      <c r="WFC1" s="87" t="n"/>
      <c r="WFD1" s="87" t="n"/>
      <c r="WFE1" s="87" t="n"/>
      <c r="WFF1" s="87" t="n"/>
      <c r="WFG1" s="87" t="n"/>
      <c r="WFH1" s="87" t="n"/>
      <c r="WFI1" s="87" t="n"/>
      <c r="WFJ1" s="87" t="n"/>
      <c r="WFK1" s="87" t="n"/>
      <c r="WFL1" s="87" t="n"/>
      <c r="WFM1" s="87" t="n"/>
      <c r="WFN1" s="87" t="n"/>
      <c r="WFO1" s="87" t="n"/>
      <c r="WFP1" s="87" t="n"/>
      <c r="WFQ1" s="87" t="n"/>
      <c r="WFR1" s="87" t="n"/>
      <c r="WFS1" s="87" t="n"/>
      <c r="WFT1" s="87" t="n"/>
      <c r="WFU1" s="87" t="n"/>
      <c r="WFV1" s="87" t="n"/>
      <c r="WFW1" s="87" t="n"/>
      <c r="WFX1" s="87" t="n"/>
      <c r="WFY1" s="87" t="n"/>
      <c r="WFZ1" s="87" t="n"/>
      <c r="WGA1" s="87" t="n"/>
      <c r="WGB1" s="87" t="n"/>
      <c r="WGC1" s="87" t="n"/>
      <c r="WGD1" s="87" t="n"/>
      <c r="WGE1" s="87" t="n"/>
      <c r="WGF1" s="87" t="n"/>
      <c r="WGG1" s="87" t="n"/>
      <c r="WGH1" s="87" t="n"/>
      <c r="WGI1" s="87" t="n"/>
      <c r="WGJ1" s="87" t="n"/>
      <c r="WGK1" s="87" t="n"/>
      <c r="WGL1" s="87" t="n"/>
      <c r="WGM1" s="87" t="n"/>
      <c r="WGN1" s="87" t="n"/>
      <c r="WGO1" s="87" t="n"/>
      <c r="WGP1" s="87" t="n"/>
      <c r="WGQ1" s="87" t="n"/>
      <c r="WGR1" s="87" t="n"/>
      <c r="WGS1" s="87" t="n"/>
      <c r="WGT1" s="87" t="n"/>
      <c r="WGU1" s="87" t="n"/>
      <c r="WGV1" s="87" t="n"/>
      <c r="WGW1" s="87" t="n"/>
      <c r="WGX1" s="87" t="n"/>
      <c r="WGY1" s="87" t="n"/>
      <c r="WGZ1" s="87" t="n"/>
      <c r="WHA1" s="87" t="n"/>
      <c r="WHB1" s="87" t="n"/>
      <c r="WHC1" s="87" t="n"/>
      <c r="WHD1" s="87" t="n"/>
      <c r="WHE1" s="87" t="n"/>
      <c r="WHF1" s="87" t="n"/>
      <c r="WHG1" s="87" t="n"/>
      <c r="WHH1" s="87" t="n"/>
      <c r="WHI1" s="87" t="n"/>
      <c r="WHJ1" s="87" t="n"/>
      <c r="WHK1" s="87" t="n"/>
      <c r="WHL1" s="87" t="n"/>
      <c r="WHM1" s="87" t="n"/>
      <c r="WHN1" s="87" t="n"/>
      <c r="WHO1" s="87" t="n"/>
      <c r="WHP1" s="87" t="n"/>
      <c r="WHQ1" s="87" t="n"/>
      <c r="WHR1" s="87" t="n"/>
      <c r="WHS1" s="87" t="n"/>
      <c r="WHT1" s="87" t="n"/>
      <c r="WHU1" s="87" t="n"/>
      <c r="WHV1" s="87" t="n"/>
      <c r="WHW1" s="87" t="n"/>
      <c r="WHX1" s="87" t="n"/>
      <c r="WHY1" s="87" t="n"/>
      <c r="WHZ1" s="87" t="n"/>
      <c r="WIA1" s="87" t="n"/>
      <c r="WIB1" s="87" t="n"/>
      <c r="WIC1" s="87" t="n"/>
      <c r="WID1" s="87" t="n"/>
      <c r="WIE1" s="87" t="n"/>
      <c r="WIF1" s="87" t="n"/>
      <c r="WIG1" s="87" t="n"/>
      <c r="WIH1" s="87" t="n"/>
      <c r="WII1" s="87" t="n"/>
      <c r="WIJ1" s="87" t="n"/>
      <c r="WIK1" s="87" t="n"/>
      <c r="WIL1" s="87" t="n"/>
      <c r="WIM1" s="87" t="n"/>
      <c r="WIN1" s="87" t="n"/>
      <c r="WIO1" s="87" t="n"/>
      <c r="WIP1" s="87" t="n"/>
      <c r="WIQ1" s="87" t="n"/>
      <c r="WIR1" s="87" t="n"/>
      <c r="WIS1" s="87" t="n"/>
      <c r="WIT1" s="87" t="n"/>
      <c r="WIU1" s="87" t="n"/>
      <c r="WIV1" s="87" t="n"/>
      <c r="WIW1" s="87" t="n"/>
      <c r="WIX1" s="87" t="n"/>
      <c r="WIY1" s="87" t="n"/>
      <c r="WIZ1" s="87" t="n"/>
      <c r="WJA1" s="87" t="n"/>
      <c r="WJB1" s="87" t="n"/>
      <c r="WJC1" s="87" t="n"/>
      <c r="WJD1" s="87" t="n"/>
      <c r="WJE1" s="87" t="n"/>
      <c r="WJF1" s="87" t="n"/>
      <c r="WJG1" s="87" t="n"/>
      <c r="WJH1" s="87" t="n"/>
      <c r="WJI1" s="87" t="n"/>
      <c r="WJJ1" s="87" t="n"/>
      <c r="WJK1" s="87" t="n"/>
      <c r="WJL1" s="87" t="n"/>
      <c r="WJM1" s="87" t="n"/>
      <c r="WJN1" s="87" t="n"/>
      <c r="WJO1" s="87" t="n"/>
      <c r="WJP1" s="87" t="n"/>
      <c r="WJQ1" s="87" t="n"/>
      <c r="WJR1" s="87" t="n"/>
      <c r="WJS1" s="87" t="n"/>
      <c r="WJT1" s="87" t="n"/>
      <c r="WJU1" s="87" t="n"/>
      <c r="WJV1" s="87" t="n"/>
      <c r="WJW1" s="87" t="n"/>
      <c r="WJX1" s="87" t="n"/>
      <c r="WJY1" s="87" t="n"/>
      <c r="WJZ1" s="87" t="n"/>
      <c r="WKA1" s="87" t="n"/>
      <c r="WKB1" s="87" t="n"/>
      <c r="WKC1" s="87" t="n"/>
      <c r="WKD1" s="87" t="n"/>
      <c r="WKE1" s="87" t="n"/>
      <c r="WKF1" s="87" t="n"/>
      <c r="WKG1" s="87" t="n"/>
      <c r="WKH1" s="87" t="n"/>
      <c r="WKI1" s="87" t="n"/>
      <c r="WKJ1" s="87" t="n"/>
      <c r="WKK1" s="87" t="n"/>
      <c r="WKL1" s="87" t="n"/>
      <c r="WKM1" s="87" t="n"/>
      <c r="WKN1" s="87" t="n"/>
      <c r="WKO1" s="87" t="n"/>
      <c r="WKP1" s="87" t="n"/>
      <c r="WKQ1" s="87" t="n"/>
      <c r="WKR1" s="87" t="n"/>
      <c r="WKS1" s="87" t="n"/>
      <c r="WKT1" s="87" t="n"/>
      <c r="WKU1" s="87" t="n"/>
      <c r="WKV1" s="87" t="n"/>
      <c r="WKW1" s="87" t="n"/>
      <c r="WKX1" s="87" t="n"/>
      <c r="WKY1" s="87" t="n"/>
      <c r="WKZ1" s="87" t="n"/>
      <c r="WLA1" s="87" t="n"/>
      <c r="WLB1" s="87" t="n"/>
      <c r="WLC1" s="87" t="n"/>
      <c r="WLD1" s="87" t="n"/>
      <c r="WLE1" s="87" t="n"/>
      <c r="WLF1" s="87" t="n"/>
      <c r="WLG1" s="87" t="n"/>
      <c r="WLH1" s="87" t="n"/>
      <c r="WLI1" s="87" t="n"/>
      <c r="WLJ1" s="87" t="n"/>
      <c r="WLK1" s="87" t="n"/>
      <c r="WLL1" s="87" t="n"/>
      <c r="WLM1" s="87" t="n"/>
      <c r="WLN1" s="87" t="n"/>
      <c r="WLO1" s="87" t="n"/>
      <c r="WLP1" s="87" t="n"/>
      <c r="WLQ1" s="87" t="n"/>
      <c r="WLR1" s="87" t="n"/>
      <c r="WLS1" s="87" t="n"/>
      <c r="WLT1" s="87" t="n"/>
      <c r="WLU1" s="87" t="n"/>
      <c r="WLV1" s="87" t="n"/>
      <c r="WLW1" s="87" t="n"/>
      <c r="WLX1" s="87" t="n"/>
      <c r="WLY1" s="87" t="n"/>
      <c r="WLZ1" s="87" t="n"/>
      <c r="WMA1" s="87" t="n"/>
      <c r="WMB1" s="87" t="n"/>
      <c r="WMC1" s="87" t="n"/>
      <c r="WMD1" s="87" t="n"/>
      <c r="WME1" s="87" t="n"/>
      <c r="WMF1" s="87" t="n"/>
      <c r="WMG1" s="87" t="n"/>
      <c r="WMH1" s="87" t="n"/>
      <c r="WMI1" s="87" t="n"/>
      <c r="WMJ1" s="87" t="n"/>
      <c r="WMK1" s="87" t="n"/>
      <c r="WML1" s="87" t="n"/>
      <c r="WMM1" s="87" t="n"/>
      <c r="WMN1" s="87" t="n"/>
      <c r="WMO1" s="87" t="n"/>
      <c r="WMP1" s="87" t="n"/>
      <c r="WMQ1" s="87" t="n"/>
      <c r="WMR1" s="87" t="n"/>
      <c r="WMS1" s="87" t="n"/>
      <c r="WMT1" s="87" t="n"/>
      <c r="WMU1" s="87" t="n"/>
      <c r="WMV1" s="87" t="n"/>
      <c r="WMW1" s="87" t="n"/>
      <c r="WMX1" s="87" t="n"/>
      <c r="WMY1" s="87" t="n"/>
      <c r="WMZ1" s="87" t="n"/>
      <c r="WNA1" s="87" t="n"/>
      <c r="WNB1" s="87" t="n"/>
      <c r="WNC1" s="87" t="n"/>
      <c r="WND1" s="87" t="n"/>
      <c r="WNE1" s="87" t="n"/>
      <c r="WNF1" s="87" t="n"/>
      <c r="WNG1" s="87" t="n"/>
      <c r="WNH1" s="87" t="n"/>
      <c r="WNI1" s="87" t="n"/>
      <c r="WNJ1" s="87" t="n"/>
      <c r="WNK1" s="87" t="n"/>
      <c r="WNL1" s="87" t="n"/>
      <c r="WNM1" s="87" t="n"/>
      <c r="WNN1" s="87" t="n"/>
      <c r="WNO1" s="87" t="n"/>
      <c r="WNP1" s="87" t="n"/>
      <c r="WNQ1" s="87" t="n"/>
      <c r="WNR1" s="87" t="n"/>
      <c r="WNS1" s="87" t="n"/>
      <c r="WNT1" s="87" t="n"/>
      <c r="WNU1" s="87" t="n"/>
      <c r="WNV1" s="87" t="n"/>
      <c r="WNW1" s="87" t="n"/>
      <c r="WNX1" s="87" t="n"/>
      <c r="WNY1" s="87" t="n"/>
      <c r="WNZ1" s="87" t="n"/>
      <c r="WOA1" s="87" t="n"/>
      <c r="WOB1" s="87" t="n"/>
      <c r="WOC1" s="87" t="n"/>
      <c r="WOD1" s="87" t="n"/>
      <c r="WOE1" s="87" t="n"/>
      <c r="WOF1" s="87" t="n"/>
      <c r="WOG1" s="87" t="n"/>
      <c r="WOH1" s="87" t="n"/>
      <c r="WOI1" s="87" t="n"/>
      <c r="WOJ1" s="87" t="n"/>
      <c r="WOK1" s="87" t="n"/>
      <c r="WOL1" s="87" t="n"/>
      <c r="WOM1" s="87" t="n"/>
      <c r="WON1" s="87" t="n"/>
      <c r="WOO1" s="87" t="n"/>
      <c r="WOP1" s="87" t="n"/>
      <c r="WOQ1" s="87" t="n"/>
      <c r="WOR1" s="87" t="n"/>
      <c r="WOS1" s="87" t="n"/>
      <c r="WOT1" s="87" t="n"/>
      <c r="WOU1" s="87" t="n"/>
      <c r="WOV1" s="87" t="n"/>
      <c r="WOW1" s="87" t="n"/>
      <c r="WOX1" s="87" t="n"/>
      <c r="WOY1" s="87" t="n"/>
      <c r="WOZ1" s="87" t="n"/>
      <c r="WPA1" s="87" t="n"/>
      <c r="WPB1" s="87" t="n"/>
      <c r="WPC1" s="87" t="n"/>
      <c r="WPD1" s="87" t="n"/>
      <c r="WPE1" s="87" t="n"/>
      <c r="WPF1" s="87" t="n"/>
      <c r="WPG1" s="87" t="n"/>
      <c r="WPH1" s="87" t="n"/>
      <c r="WPI1" s="87" t="n"/>
      <c r="WPJ1" s="87" t="n"/>
      <c r="WPK1" s="87" t="n"/>
      <c r="WPL1" s="87" t="n"/>
      <c r="WPM1" s="87" t="n"/>
      <c r="WPN1" s="87" t="n"/>
      <c r="WPO1" s="87" t="n"/>
      <c r="WPP1" s="87" t="n"/>
      <c r="WPQ1" s="87" t="n"/>
      <c r="WPR1" s="87" t="n"/>
      <c r="WPS1" s="87" t="n"/>
      <c r="WPT1" s="87" t="n"/>
      <c r="WPU1" s="87" t="n"/>
      <c r="WPV1" s="87" t="n"/>
      <c r="WPW1" s="87" t="n"/>
      <c r="WPX1" s="87" t="n"/>
      <c r="WPY1" s="87" t="n"/>
      <c r="WPZ1" s="87" t="n"/>
      <c r="WQA1" s="87" t="n"/>
      <c r="WQB1" s="87" t="n"/>
      <c r="WQC1" s="87" t="n"/>
      <c r="WQD1" s="87" t="n"/>
      <c r="WQE1" s="87" t="n"/>
      <c r="WQF1" s="87" t="n"/>
      <c r="WQG1" s="87" t="n"/>
      <c r="WQH1" s="87" t="n"/>
      <c r="WQI1" s="87" t="n"/>
      <c r="WQJ1" s="87" t="n"/>
      <c r="WQK1" s="87" t="n"/>
      <c r="WQL1" s="87" t="n"/>
      <c r="WQM1" s="87" t="n"/>
      <c r="WQN1" s="87" t="n"/>
      <c r="WQO1" s="87" t="n"/>
      <c r="WQP1" s="87" t="n"/>
      <c r="WQQ1" s="87" t="n"/>
      <c r="WQR1" s="87" t="n"/>
      <c r="WQS1" s="87" t="n"/>
      <c r="WQT1" s="87" t="n"/>
      <c r="WQU1" s="87" t="n"/>
      <c r="WQV1" s="87" t="n"/>
      <c r="WQW1" s="87" t="n"/>
      <c r="WQX1" s="87" t="n"/>
      <c r="WQY1" s="87" t="n"/>
      <c r="WQZ1" s="87" t="n"/>
      <c r="WRA1" s="87" t="n"/>
      <c r="WRB1" s="87" t="n"/>
      <c r="WRC1" s="87" t="n"/>
      <c r="WRD1" s="87" t="n"/>
      <c r="WRE1" s="87" t="n"/>
      <c r="WRF1" s="87" t="n"/>
      <c r="WRG1" s="87" t="n"/>
      <c r="WRH1" s="87" t="n"/>
      <c r="WRI1" s="87" t="n"/>
      <c r="WRJ1" s="87" t="n"/>
      <c r="WRK1" s="87" t="n"/>
      <c r="WRL1" s="87" t="n"/>
      <c r="WRM1" s="87" t="n"/>
      <c r="WRN1" s="87" t="n"/>
      <c r="WRO1" s="87" t="n"/>
      <c r="WRP1" s="87" t="n"/>
      <c r="WRQ1" s="87" t="n"/>
      <c r="WRR1" s="87" t="n"/>
      <c r="WRS1" s="87" t="n"/>
      <c r="WRT1" s="87" t="n"/>
      <c r="WRU1" s="87" t="n"/>
      <c r="WRV1" s="87" t="n"/>
      <c r="WRW1" s="87" t="n"/>
      <c r="WRX1" s="87" t="n"/>
      <c r="WRY1" s="87" t="n"/>
      <c r="WRZ1" s="87" t="n"/>
      <c r="WSA1" s="87" t="n"/>
      <c r="WSB1" s="87" t="n"/>
      <c r="WSC1" s="87" t="n"/>
      <c r="WSD1" s="87" t="n"/>
      <c r="WSE1" s="87" t="n"/>
      <c r="WSF1" s="87" t="n"/>
      <c r="WSG1" s="87" t="n"/>
      <c r="WSH1" s="87" t="n"/>
      <c r="WSI1" s="87" t="n"/>
      <c r="WSJ1" s="87" t="n"/>
      <c r="WSK1" s="87" t="n"/>
      <c r="WSL1" s="87" t="n"/>
      <c r="WSM1" s="87" t="n"/>
      <c r="WSN1" s="87" t="n"/>
      <c r="WSO1" s="87" t="n"/>
      <c r="WSP1" s="87" t="n"/>
      <c r="WSQ1" s="87" t="n"/>
      <c r="WSR1" s="87" t="n"/>
      <c r="WSS1" s="87" t="n"/>
      <c r="WST1" s="87" t="n"/>
      <c r="WSU1" s="87" t="n"/>
      <c r="WSV1" s="87" t="n"/>
      <c r="WSW1" s="87" t="n"/>
      <c r="WSX1" s="87" t="n"/>
      <c r="WSY1" s="87" t="n"/>
      <c r="WSZ1" s="87" t="n"/>
      <c r="WTA1" s="87" t="n"/>
      <c r="WTB1" s="87" t="n"/>
      <c r="WTC1" s="87" t="n"/>
      <c r="WTD1" s="87" t="n"/>
      <c r="WTE1" s="87" t="n"/>
      <c r="WTF1" s="87" t="n"/>
      <c r="WTG1" s="87" t="n"/>
      <c r="WTH1" s="87" t="n"/>
      <c r="WTI1" s="87" t="n"/>
      <c r="WTJ1" s="87" t="n"/>
      <c r="WTK1" s="87" t="n"/>
      <c r="WTL1" s="87" t="n"/>
      <c r="WTM1" s="87" t="n"/>
      <c r="WTN1" s="87" t="n"/>
      <c r="WTO1" s="87" t="n"/>
      <c r="WTP1" s="87" t="n"/>
      <c r="WTQ1" s="87" t="n"/>
      <c r="WTR1" s="87" t="n"/>
      <c r="WTS1" s="87" t="n"/>
      <c r="WTT1" s="87" t="n"/>
      <c r="WTU1" s="87" t="n"/>
      <c r="WTV1" s="87" t="n"/>
      <c r="WTW1" s="87" t="n"/>
      <c r="WTX1" s="87" t="n"/>
      <c r="WTY1" s="87" t="n"/>
      <c r="WTZ1" s="87" t="n"/>
      <c r="WUA1" s="87" t="n"/>
      <c r="WUB1" s="87" t="n"/>
      <c r="WUC1" s="87" t="n"/>
      <c r="WUD1" s="87" t="n"/>
      <c r="WUE1" s="87" t="n"/>
      <c r="WUF1" s="87" t="n"/>
      <c r="WUG1" s="87" t="n"/>
      <c r="WUH1" s="87" t="n"/>
      <c r="WUI1" s="87" t="n"/>
      <c r="WUJ1" s="87" t="n"/>
      <c r="WUK1" s="87" t="n"/>
      <c r="WUL1" s="87" t="n"/>
      <c r="WUM1" s="87" t="n"/>
      <c r="WUN1" s="87" t="n"/>
      <c r="WUO1" s="87" t="n"/>
      <c r="WUP1" s="87" t="n"/>
      <c r="WUQ1" s="87" t="n"/>
      <c r="WUR1" s="87" t="n"/>
      <c r="WUS1" s="87" t="n"/>
      <c r="WUT1" s="87" t="n"/>
      <c r="WUU1" s="87" t="n"/>
      <c r="WUV1" s="87" t="n"/>
      <c r="WUW1" s="87" t="n"/>
      <c r="WUX1" s="87" t="n"/>
      <c r="WUY1" s="87" t="n"/>
      <c r="WUZ1" s="87" t="n"/>
      <c r="WVA1" s="87" t="n"/>
      <c r="WVB1" s="87" t="n"/>
      <c r="WVC1" s="87" t="n"/>
      <c r="WVD1" s="87" t="n"/>
      <c r="WVE1" s="87" t="n"/>
      <c r="WVF1" s="87" t="n"/>
      <c r="WVG1" s="87" t="n"/>
      <c r="WVH1" s="87" t="n"/>
      <c r="WVI1" s="87" t="n"/>
      <c r="WVJ1" s="87" t="n"/>
      <c r="WVK1" s="87" t="n"/>
      <c r="WVL1" s="87" t="n"/>
      <c r="WVM1" s="87" t="n"/>
      <c r="WVN1" s="87" t="n"/>
      <c r="WVO1" s="87" t="n"/>
      <c r="WVP1" s="87" t="n"/>
      <c r="WVQ1" s="87" t="n"/>
      <c r="WVR1" s="87" t="n"/>
      <c r="WVS1" s="87" t="n"/>
      <c r="WVT1" s="87" t="n"/>
      <c r="WVU1" s="87" t="n"/>
      <c r="WVV1" s="87" t="n"/>
      <c r="WVW1" s="87" t="n"/>
      <c r="WVX1" s="87" t="n"/>
      <c r="WVY1" s="87" t="n"/>
      <c r="WVZ1" s="87" t="n"/>
      <c r="WWA1" s="87" t="n"/>
      <c r="WWB1" s="87" t="n"/>
      <c r="WWC1" s="87" t="n"/>
      <c r="WWD1" s="87" t="n"/>
      <c r="WWE1" s="87" t="n"/>
      <c r="WWF1" s="87" t="n"/>
      <c r="WWG1" s="87" t="n"/>
      <c r="WWH1" s="87" t="n"/>
      <c r="WWI1" s="87" t="n"/>
      <c r="WWJ1" s="87" t="n"/>
      <c r="WWK1" s="87" t="n"/>
      <c r="WWL1" s="87" t="n"/>
      <c r="WWM1" s="87" t="n"/>
      <c r="WWN1" s="87" t="n"/>
      <c r="WWO1" s="87" t="n"/>
      <c r="WWP1" s="87" t="n"/>
      <c r="WWQ1" s="87" t="n"/>
      <c r="WWR1" s="87" t="n"/>
      <c r="WWS1" s="87" t="n"/>
      <c r="WWT1" s="87" t="n"/>
      <c r="WWU1" s="87" t="n"/>
      <c r="WWV1" s="87" t="n"/>
      <c r="WWW1" s="87" t="n"/>
      <c r="WWX1" s="87" t="n"/>
      <c r="WWY1" s="87" t="n"/>
      <c r="WWZ1" s="87" t="n"/>
      <c r="WXA1" s="87" t="n"/>
      <c r="WXB1" s="87" t="n"/>
      <c r="WXC1" s="87" t="n"/>
      <c r="WXD1" s="87" t="n"/>
      <c r="WXE1" s="87" t="n"/>
      <c r="WXF1" s="87" t="n"/>
      <c r="WXG1" s="87" t="n"/>
      <c r="WXH1" s="87" t="n"/>
      <c r="WXI1" s="87" t="n"/>
      <c r="WXJ1" s="87" t="n"/>
      <c r="WXK1" s="87" t="n"/>
      <c r="WXL1" s="87" t="n"/>
      <c r="WXM1" s="87" t="n"/>
      <c r="WXN1" s="87" t="n"/>
      <c r="WXO1" s="87" t="n"/>
      <c r="WXP1" s="87" t="n"/>
      <c r="WXQ1" s="87" t="n"/>
      <c r="WXR1" s="87" t="n"/>
      <c r="WXS1" s="87" t="n"/>
      <c r="WXT1" s="87" t="n"/>
      <c r="WXU1" s="87" t="n"/>
      <c r="WXV1" s="87" t="n"/>
      <c r="WXW1" s="87" t="n"/>
      <c r="WXX1" s="87" t="n"/>
      <c r="WXY1" s="87" t="n"/>
      <c r="WXZ1" s="87" t="n"/>
      <c r="WYA1" s="87" t="n"/>
      <c r="WYB1" s="87" t="n"/>
      <c r="WYC1" s="87" t="n"/>
      <c r="WYD1" s="87" t="n"/>
      <c r="WYE1" s="87" t="n"/>
      <c r="WYF1" s="87" t="n"/>
      <c r="WYG1" s="87" t="n"/>
      <c r="WYH1" s="87" t="n"/>
      <c r="WYI1" s="87" t="n"/>
      <c r="WYJ1" s="87" t="n"/>
      <c r="WYK1" s="87" t="n"/>
      <c r="WYL1" s="87" t="n"/>
      <c r="WYM1" s="87" t="n"/>
      <c r="WYN1" s="87" t="n"/>
      <c r="WYO1" s="87" t="n"/>
      <c r="WYP1" s="87" t="n"/>
      <c r="WYQ1" s="87" t="n"/>
      <c r="WYR1" s="87" t="n"/>
      <c r="WYS1" s="87" t="n"/>
      <c r="WYT1" s="87" t="n"/>
      <c r="WYU1" s="87" t="n"/>
      <c r="WYV1" s="87" t="n"/>
      <c r="WYW1" s="87" t="n"/>
      <c r="WYX1" s="87" t="n"/>
      <c r="WYY1" s="87" t="n"/>
      <c r="WYZ1" s="87" t="n"/>
      <c r="WZA1" s="87" t="n"/>
      <c r="WZB1" s="87" t="n"/>
      <c r="WZC1" s="87" t="n"/>
      <c r="WZD1" s="87" t="n"/>
      <c r="WZE1" s="87" t="n"/>
      <c r="WZF1" s="87" t="n"/>
      <c r="WZG1" s="87" t="n"/>
      <c r="WZH1" s="87" t="n"/>
      <c r="WZI1" s="87" t="n"/>
      <c r="WZJ1" s="87" t="n"/>
      <c r="WZK1" s="87" t="n"/>
      <c r="WZL1" s="87" t="n"/>
      <c r="WZM1" s="87" t="n"/>
      <c r="WZN1" s="87" t="n"/>
      <c r="WZO1" s="87" t="n"/>
      <c r="WZP1" s="87" t="n"/>
      <c r="WZQ1" s="87" t="n"/>
      <c r="WZR1" s="87" t="n"/>
      <c r="WZS1" s="87" t="n"/>
      <c r="WZT1" s="87" t="n"/>
      <c r="WZU1" s="87" t="n"/>
      <c r="WZV1" s="87" t="n"/>
      <c r="WZW1" s="87" t="n"/>
      <c r="WZX1" s="87" t="n"/>
      <c r="WZY1" s="87" t="n"/>
      <c r="WZZ1" s="87" t="n"/>
      <c r="XAA1" s="87" t="n"/>
      <c r="XAB1" s="87" t="n"/>
      <c r="XAC1" s="87" t="n"/>
      <c r="XAD1" s="87" t="n"/>
      <c r="XAE1" s="87" t="n"/>
      <c r="XAF1" s="87" t="n"/>
      <c r="XAG1" s="87" t="n"/>
      <c r="XAH1" s="87" t="n"/>
      <c r="XAI1" s="87" t="n"/>
      <c r="XAJ1" s="87" t="n"/>
      <c r="XAK1" s="87" t="n"/>
      <c r="XAL1" s="87" t="n"/>
      <c r="XAM1" s="87" t="n"/>
      <c r="XAN1" s="87" t="n"/>
      <c r="XAO1" s="87" t="n"/>
      <c r="XAP1" s="87" t="n"/>
      <c r="XAQ1" s="87" t="n"/>
      <c r="XAR1" s="87" t="n"/>
      <c r="XAS1" s="87" t="n"/>
      <c r="XAT1" s="87" t="n"/>
      <c r="XAU1" s="87" t="n"/>
      <c r="XAV1" s="87" t="n"/>
      <c r="XAW1" s="87" t="n"/>
      <c r="XAX1" s="87" t="n"/>
      <c r="XAY1" s="87" t="n"/>
      <c r="XAZ1" s="87" t="n"/>
      <c r="XBA1" s="87" t="n"/>
      <c r="XBB1" s="87" t="n"/>
      <c r="XBC1" s="87" t="n"/>
      <c r="XBD1" s="87" t="n"/>
      <c r="XBE1" s="87" t="n"/>
      <c r="XBF1" s="87" t="n"/>
      <c r="XBG1" s="87" t="n"/>
      <c r="XBH1" s="87" t="n"/>
      <c r="XBI1" s="87" t="n"/>
      <c r="XBJ1" s="87" t="n"/>
      <c r="XBK1" s="87" t="n"/>
      <c r="XBL1" s="87" t="n"/>
      <c r="XBM1" s="87" t="n"/>
      <c r="XBN1" s="87" t="n"/>
      <c r="XBO1" s="87" t="n"/>
      <c r="XBP1" s="87" t="n"/>
      <c r="XBQ1" s="87" t="n"/>
      <c r="XBR1" s="87" t="n"/>
      <c r="XBS1" s="87" t="n"/>
      <c r="XBT1" s="87" t="n"/>
      <c r="XBU1" s="87" t="n"/>
      <c r="XBV1" s="87" t="n"/>
      <c r="XBW1" s="87" t="n"/>
      <c r="XBX1" s="87" t="n"/>
      <c r="XBY1" s="87" t="n"/>
      <c r="XBZ1" s="87" t="n"/>
      <c r="XCA1" s="87" t="n"/>
      <c r="XCB1" s="87" t="n"/>
      <c r="XCC1" s="87" t="n"/>
      <c r="XCD1" s="87" t="n"/>
      <c r="XCE1" s="87" t="n"/>
      <c r="XCF1" s="87" t="n"/>
      <c r="XCG1" s="87" t="n"/>
      <c r="XCH1" s="87" t="n"/>
      <c r="XCI1" s="87" t="n"/>
      <c r="XCJ1" s="87" t="n"/>
      <c r="XCK1" s="87" t="n"/>
      <c r="XCL1" s="87" t="n"/>
      <c r="XCM1" s="87" t="n"/>
      <c r="XCN1" s="87" t="n"/>
      <c r="XCO1" s="87" t="n"/>
      <c r="XCP1" s="87" t="n"/>
      <c r="XCQ1" s="87" t="n"/>
      <c r="XCR1" s="87" t="n"/>
      <c r="XCS1" s="87" t="n"/>
      <c r="XCT1" s="87" t="n"/>
      <c r="XCU1" s="87" t="n"/>
      <c r="XCV1" s="87" t="n"/>
      <c r="XCW1" s="87" t="n"/>
      <c r="XCX1" s="87" t="n"/>
      <c r="XCY1" s="87" t="n"/>
      <c r="XCZ1" s="87" t="n"/>
      <c r="XDA1" s="87" t="n"/>
      <c r="XDB1" s="87" t="n"/>
      <c r="XDC1" s="87" t="n"/>
      <c r="XDD1" s="87" t="n"/>
      <c r="XDE1" s="87" t="n"/>
      <c r="XDF1" s="87" t="n"/>
      <c r="XDG1" s="87" t="n"/>
      <c r="XDH1" s="87" t="n"/>
      <c r="XDI1" s="87" t="n"/>
      <c r="XDJ1" s="87" t="n"/>
      <c r="XDK1" s="87" t="n"/>
      <c r="XDL1" s="87" t="n"/>
      <c r="XDM1" s="87" t="n"/>
      <c r="XDN1" s="87" t="n"/>
      <c r="XDO1" s="87" t="n"/>
      <c r="XDP1" s="87" t="n"/>
      <c r="XDQ1" s="87" t="n"/>
      <c r="XDR1" s="87" t="n"/>
      <c r="XDS1" s="87" t="n"/>
      <c r="XDT1" s="87" t="n"/>
      <c r="XDU1" s="87" t="n"/>
      <c r="XDV1" s="87" t="n"/>
      <c r="XDW1" s="87" t="n"/>
      <c r="XDX1" s="87" t="n"/>
      <c r="XDY1" s="87" t="n"/>
      <c r="XDZ1" s="87" t="n"/>
      <c r="XEA1" s="87" t="n"/>
      <c r="XEB1" s="87" t="n"/>
      <c r="XEC1" s="87" t="n"/>
      <c r="XED1" s="87" t="n"/>
      <c r="XEE1" s="87" t="n"/>
      <c r="XEF1" s="87" t="n"/>
      <c r="XEG1" s="87" t="n"/>
      <c r="XEH1" s="87" t="n"/>
      <c r="XEI1" s="87" t="n"/>
      <c r="XEJ1" s="87" t="n"/>
      <c r="XEK1" s="87" t="n"/>
    </row>
    <row r="2">
      <c r="A2">
        <f>I2&amp;"-"&amp;J2</f>
        <v/>
      </c>
      <c r="B2" s="1">
        <f>N2</f>
        <v/>
      </c>
      <c r="C2">
        <f>M2&amp;"/"&amp;O2</f>
        <v/>
      </c>
      <c r="D2">
        <f>K2</f>
        <v/>
      </c>
      <c r="E2">
        <f>L2</f>
        <v/>
      </c>
      <c r="F2" s="236">
        <f>Z2</f>
        <v/>
      </c>
      <c r="G2">
        <f>U2&amp;"%"</f>
        <v/>
      </c>
      <c r="I2" s="53" t="n">
        <v>2020</v>
      </c>
      <c r="J2" s="53" t="n">
        <v>1</v>
      </c>
      <c r="K2" s="71" t="inlineStr">
        <is>
          <t>Ausgaben</t>
        </is>
      </c>
      <c r="L2" t="inlineStr">
        <is>
          <t>Miet- und Pachtaufwand, Leasing</t>
        </is>
      </c>
      <c r="M2" s="74" t="inlineStr">
        <is>
          <t>20/9801/VS00042</t>
        </is>
      </c>
      <c r="N2" s="1" t="n">
        <v>43832</v>
      </c>
      <c r="O2" t="inlineStr">
        <is>
          <t>Bontus Immobilienverwaltung GmbH, 1010 Wien, Franz Josefs Kai 65</t>
        </is>
      </c>
      <c r="Q2" s="76" t="n"/>
      <c r="R2" t="b">
        <v>0</v>
      </c>
      <c r="S2" s="214" t="n">
        <v>462.44</v>
      </c>
      <c r="T2" s="159" t="n">
        <v>1</v>
      </c>
      <c r="U2" t="n">
        <v>20</v>
      </c>
      <c r="V2" s="237" t="n">
        <v>92.488</v>
      </c>
      <c r="W2" s="237" t="n">
        <v>92.488</v>
      </c>
      <c r="X2" s="208" t="n">
        <v>462.44</v>
      </c>
      <c r="Y2" s="251" t="n">
        <v>554.928</v>
      </c>
      <c r="Z2" s="251" t="n">
        <v>554.928</v>
      </c>
      <c r="AA2" s="35" t="n">
        <v>43966</v>
      </c>
      <c r="AB2" s="27" t="n"/>
      <c r="AC2" s="27" t="n"/>
      <c r="AD2" s="210" t="n">
        <v>462.44</v>
      </c>
      <c r="AE2" s="237" t="n">
        <v>0</v>
      </c>
      <c r="AF2" t="b">
        <v>0</v>
      </c>
      <c r="AG2" s="228" t="n">
        <v>-462.44</v>
      </c>
    </row>
    <row r="3">
      <c r="A3">
        <f>I3&amp;"-"&amp;J3</f>
        <v/>
      </c>
      <c r="B3" s="1">
        <f>N3</f>
        <v/>
      </c>
      <c r="C3">
        <f>M3&amp;"/"&amp;O3</f>
        <v/>
      </c>
      <c r="D3">
        <f>K3</f>
        <v/>
      </c>
      <c r="E3">
        <f>L3</f>
        <v/>
      </c>
      <c r="F3" s="236">
        <f>Z3</f>
        <v/>
      </c>
      <c r="G3">
        <f>U3&amp;"%"</f>
        <v/>
      </c>
      <c r="I3" s="53" t="n">
        <v>2020</v>
      </c>
      <c r="J3" s="53" t="n">
        <v>2</v>
      </c>
      <c r="K3" s="71" t="inlineStr">
        <is>
          <t>Ausgaben</t>
        </is>
      </c>
      <c r="L3" t="inlineStr">
        <is>
          <t>Telefon/Internet</t>
        </is>
      </c>
      <c r="M3" s="74" t="inlineStr">
        <is>
          <t>6191928426</t>
        </is>
      </c>
      <c r="N3" s="1" t="n">
        <v>43837</v>
      </c>
      <c r="O3" t="inlineStr">
        <is>
          <t>Hutchison Drei Austria GmbH, Brünner Straße 52, 1210 Wien, Österreich</t>
        </is>
      </c>
      <c r="Q3" s="76" t="n"/>
      <c r="R3" t="b">
        <v>0</v>
      </c>
      <c r="S3" s="214" t="n">
        <v>15</v>
      </c>
      <c r="T3" s="159" t="n">
        <v>1</v>
      </c>
      <c r="U3" t="n">
        <v>20</v>
      </c>
      <c r="V3" s="237" t="n">
        <v>3</v>
      </c>
      <c r="W3" s="237" t="n">
        <v>3</v>
      </c>
      <c r="X3" s="208" t="n">
        <v>15</v>
      </c>
      <c r="Y3" s="251" t="n">
        <v>18</v>
      </c>
      <c r="Z3" s="251" t="n">
        <v>18</v>
      </c>
      <c r="AA3" s="35" t="n">
        <v>43966</v>
      </c>
      <c r="AB3" s="27" t="n"/>
      <c r="AC3" s="27" t="n"/>
      <c r="AD3" s="210" t="n">
        <v>15</v>
      </c>
      <c r="AE3" s="237" t="n">
        <v>0</v>
      </c>
      <c r="AF3" t="b">
        <v>0</v>
      </c>
      <c r="AG3" s="228" t="n">
        <v>-15</v>
      </c>
    </row>
    <row r="4">
      <c r="A4">
        <f>I4&amp;"-"&amp;J4</f>
        <v/>
      </c>
      <c r="B4" s="1">
        <f>N4</f>
        <v/>
      </c>
      <c r="C4">
        <f>M4&amp;"/"&amp;O4</f>
        <v/>
      </c>
      <c r="D4">
        <f>K4</f>
        <v/>
      </c>
      <c r="E4">
        <f>L4</f>
        <v/>
      </c>
      <c r="F4" s="236">
        <f>Z4</f>
        <v/>
      </c>
      <c r="G4">
        <f>U4&amp;"%"</f>
        <v/>
      </c>
      <c r="I4" s="53" t="n">
        <v>2020</v>
      </c>
      <c r="J4" s="53" t="n">
        <v>3</v>
      </c>
      <c r="K4" s="71" t="inlineStr">
        <is>
          <t>Ausgaben</t>
        </is>
      </c>
      <c r="L4" t="inlineStr">
        <is>
          <t>sonstige Betriebsausgaben</t>
        </is>
      </c>
      <c r="M4" s="74" t="inlineStr">
        <is>
          <t>01012020</t>
        </is>
      </c>
      <c r="N4" s="1" t="n">
        <v>43837</v>
      </c>
      <c r="O4" t="inlineStr">
        <is>
          <t>Martin Dürauer e.U., Schreinergasse 7/1, A-3100 St. Pölten</t>
        </is>
      </c>
      <c r="Q4" s="76" t="n"/>
      <c r="R4" t="b">
        <v>0</v>
      </c>
      <c r="S4" s="214" t="n">
        <v>1794</v>
      </c>
      <c r="T4" s="159" t="n">
        <v>1</v>
      </c>
      <c r="U4" t="n">
        <v>0</v>
      </c>
      <c r="V4" s="237" t="n">
        <v>0</v>
      </c>
      <c r="W4" s="237" t="n">
        <v>0</v>
      </c>
      <c r="X4" s="208" t="n">
        <v>1794</v>
      </c>
      <c r="Y4" s="251" t="n">
        <v>1794</v>
      </c>
      <c r="Z4" s="251" t="n">
        <v>1794</v>
      </c>
      <c r="AA4" s="35" t="n">
        <v>43966</v>
      </c>
      <c r="AB4" s="27" t="n"/>
      <c r="AC4" s="27" t="n"/>
      <c r="AD4" s="210" t="n">
        <v>1794</v>
      </c>
      <c r="AE4" s="237" t="n">
        <v>0</v>
      </c>
      <c r="AF4" t="b">
        <v>0</v>
      </c>
      <c r="AG4" s="228" t="n">
        <v>-1794</v>
      </c>
    </row>
    <row r="5">
      <c r="A5">
        <f>I5&amp;"-"&amp;J5</f>
        <v/>
      </c>
      <c r="B5" s="1">
        <f>N5</f>
        <v/>
      </c>
      <c r="C5">
        <f>M5&amp;"/"&amp;O5</f>
        <v/>
      </c>
      <c r="D5">
        <f>K5</f>
        <v/>
      </c>
      <c r="E5">
        <f>L5</f>
        <v/>
      </c>
      <c r="F5" s="236">
        <f>Z5</f>
        <v/>
      </c>
      <c r="G5">
        <f>U5&amp;"%"</f>
        <v/>
      </c>
      <c r="I5" s="53" t="n">
        <v>2020</v>
      </c>
      <c r="J5" s="53" t="n">
        <v>4</v>
      </c>
      <c r="K5" s="71" t="inlineStr">
        <is>
          <t>Einnahmen</t>
        </is>
      </c>
      <c r="L5" t="inlineStr">
        <is>
          <t>Waren-/Leistungserlöse</t>
        </is>
      </c>
      <c r="M5" s="74" t="inlineStr">
        <is>
          <t>12020003</t>
        </is>
      </c>
      <c r="N5" s="1" t="n">
        <v>43838</v>
      </c>
      <c r="O5" t="inlineStr">
        <is>
          <t>Theresa Häfele-Kolbitsch, Josef-Mohrgasse 9, 2102 Bisamberg</t>
        </is>
      </c>
      <c r="Q5" s="76" t="n"/>
      <c r="R5" t="b">
        <v>0</v>
      </c>
      <c r="S5" s="214" t="n">
        <v>756</v>
      </c>
      <c r="T5" s="159" t="n">
        <v>1</v>
      </c>
      <c r="U5" t="n">
        <v>20</v>
      </c>
      <c r="V5" s="237" t="n">
        <v>151.2</v>
      </c>
      <c r="W5" s="237" t="n">
        <v>151.2</v>
      </c>
      <c r="X5" s="208" t="n">
        <v>756</v>
      </c>
      <c r="Y5" s="251" t="n">
        <v>907.2</v>
      </c>
      <c r="Z5" s="251" t="n">
        <v>907.2</v>
      </c>
      <c r="AA5" s="35" t="n">
        <v>43966</v>
      </c>
      <c r="AB5" s="27" t="n"/>
      <c r="AC5" s="27" t="n"/>
      <c r="AD5" s="210" t="n">
        <v>756</v>
      </c>
      <c r="AE5" s="237" t="n">
        <v>0</v>
      </c>
      <c r="AF5" t="b">
        <v>0</v>
      </c>
      <c r="AG5" s="228" t="n">
        <v>756</v>
      </c>
    </row>
    <row r="6">
      <c r="A6">
        <f>I6&amp;"-"&amp;J6</f>
        <v/>
      </c>
      <c r="B6" s="1">
        <f>N6</f>
        <v/>
      </c>
      <c r="C6">
        <f>M6&amp;"/"&amp;O6</f>
        <v/>
      </c>
      <c r="D6">
        <f>K6</f>
        <v/>
      </c>
      <c r="E6">
        <f>L6</f>
        <v/>
      </c>
      <c r="F6" s="236">
        <f>Z6</f>
        <v/>
      </c>
      <c r="G6">
        <f>U6&amp;"%"</f>
        <v/>
      </c>
      <c r="I6" s="53" t="n">
        <v>2020</v>
      </c>
      <c r="J6" s="53" t="n">
        <v>5</v>
      </c>
      <c r="K6" s="71" t="inlineStr">
        <is>
          <t>Ausgaben</t>
        </is>
      </c>
      <c r="L6" t="inlineStr">
        <is>
          <t>sonstige Betriebsausgaben</t>
        </is>
      </c>
      <c r="M6" s="74" t="inlineStr">
        <is>
          <t>807693</t>
        </is>
      </c>
      <c r="N6" s="1" t="n">
        <v>43838</v>
      </c>
      <c r="O6" t="inlineStr">
        <is>
          <t>easy green energy</t>
        </is>
      </c>
      <c r="Q6" s="76" t="n"/>
      <c r="R6" t="b">
        <v>0</v>
      </c>
      <c r="S6" s="214" t="n">
        <v>2.5</v>
      </c>
      <c r="T6" s="159" t="n">
        <v>1</v>
      </c>
      <c r="U6" t="n">
        <v>20</v>
      </c>
      <c r="V6" s="237" t="n">
        <v>0.5</v>
      </c>
      <c r="W6" s="237" t="n">
        <v>0.5</v>
      </c>
      <c r="X6" s="208" t="n">
        <v>2.5</v>
      </c>
      <c r="Y6" s="251" t="n">
        <v>3</v>
      </c>
      <c r="Z6" s="251" t="n">
        <v>3</v>
      </c>
      <c r="AA6" s="35" t="n">
        <v>43966</v>
      </c>
      <c r="AB6" s="27" t="n"/>
      <c r="AC6" s="27" t="n"/>
      <c r="AD6" s="210" t="n">
        <v>2.5</v>
      </c>
      <c r="AE6" s="237" t="n">
        <v>0</v>
      </c>
      <c r="AF6" t="b">
        <v>0</v>
      </c>
      <c r="AG6" s="228" t="n">
        <v>-2.5</v>
      </c>
    </row>
    <row r="7">
      <c r="A7">
        <f>I7&amp;"-"&amp;J7</f>
        <v/>
      </c>
      <c r="B7" s="1">
        <f>N7</f>
        <v/>
      </c>
      <c r="C7">
        <f>M7&amp;"/"&amp;O7</f>
        <v/>
      </c>
      <c r="D7">
        <f>K7</f>
        <v/>
      </c>
      <c r="E7">
        <f>L7</f>
        <v/>
      </c>
      <c r="F7" s="236">
        <f>Z7</f>
        <v/>
      </c>
      <c r="G7">
        <f>U7&amp;"%"</f>
        <v/>
      </c>
      <c r="I7" s="53" t="n">
        <v>2020</v>
      </c>
      <c r="J7" s="53" t="n">
        <v>6</v>
      </c>
      <c r="K7" s="71" t="inlineStr">
        <is>
          <t>Ausgaben</t>
        </is>
      </c>
      <c r="L7" t="inlineStr">
        <is>
          <t>sonstige Betriebsausgaben</t>
        </is>
      </c>
      <c r="M7" s="74" t="inlineStr">
        <is>
          <t>DT-VO/20-01-005-9145552</t>
        </is>
      </c>
      <c r="N7" s="1" t="n">
        <v>43838</v>
      </c>
      <c r="O7" t="inlineStr">
        <is>
          <t>Techem Messtechnik GmbH; Abnehmernummer 501686-0003-11-(</t>
        </is>
      </c>
      <c r="Q7" s="76" t="n"/>
      <c r="R7" t="b">
        <v>0</v>
      </c>
      <c r="S7" s="214" t="n">
        <v>36.58333333333334</v>
      </c>
      <c r="T7" s="159" t="n">
        <v>1</v>
      </c>
      <c r="U7" t="n">
        <v>20</v>
      </c>
      <c r="V7" s="237" t="n">
        <v>7.316666666666667</v>
      </c>
      <c r="W7" s="237" t="n">
        <v>7.316666666666667</v>
      </c>
      <c r="X7" s="208" t="n">
        <v>36.58333333333334</v>
      </c>
      <c r="Y7" s="251" t="n">
        <v>43.90000000000001</v>
      </c>
      <c r="Z7" s="251" t="n">
        <v>43.90000000000001</v>
      </c>
      <c r="AA7" s="35" t="n">
        <v>43966</v>
      </c>
      <c r="AB7" s="27" t="n"/>
      <c r="AC7" s="27" t="n"/>
      <c r="AD7" s="210" t="n">
        <v>36.58333333333334</v>
      </c>
      <c r="AE7" s="237" t="n">
        <v>0</v>
      </c>
      <c r="AF7" t="b">
        <v>0</v>
      </c>
      <c r="AG7" s="228" t="n">
        <v>-36.58333333333334</v>
      </c>
    </row>
    <row r="8">
      <c r="A8">
        <f>I8&amp;"-"&amp;J8</f>
        <v/>
      </c>
      <c r="B8" s="1">
        <f>N8</f>
        <v/>
      </c>
      <c r="C8">
        <f>M8&amp;"/"&amp;O8</f>
        <v/>
      </c>
      <c r="D8">
        <f>K8</f>
        <v/>
      </c>
      <c r="E8">
        <f>L8</f>
        <v/>
      </c>
      <c r="F8" s="236">
        <f>Z8</f>
        <v/>
      </c>
      <c r="G8">
        <f>U8&amp;"%"</f>
        <v/>
      </c>
      <c r="I8" s="53" t="n">
        <v>2020</v>
      </c>
      <c r="J8" s="53" t="n">
        <v>7</v>
      </c>
      <c r="K8" s="71" t="inlineStr">
        <is>
          <t>Einnahmen</t>
        </is>
      </c>
      <c r="L8" t="inlineStr">
        <is>
          <t>Waren-/Leistungserlöse</t>
        </is>
      </c>
      <c r="M8" s="74" t="inlineStr">
        <is>
          <t>12020001</t>
        </is>
      </c>
      <c r="N8" s="1" t="n">
        <v>43839</v>
      </c>
      <c r="O8" t="inlineStr">
        <is>
          <t>Martin Dürauer e.U., Schreinergasse 7/1, A-3100 St. Pölten</t>
        </is>
      </c>
      <c r="Q8" s="76" t="n"/>
      <c r="R8" t="b">
        <v>0</v>
      </c>
      <c r="S8" s="214" t="n">
        <v>170</v>
      </c>
      <c r="T8" s="159" t="n">
        <v>1</v>
      </c>
      <c r="U8" t="n">
        <v>20</v>
      </c>
      <c r="V8" s="237" t="n">
        <v>34</v>
      </c>
      <c r="W8" s="237" t="n">
        <v>34</v>
      </c>
      <c r="X8" s="208" t="n">
        <v>170</v>
      </c>
      <c r="Y8" s="251" t="n">
        <v>204</v>
      </c>
      <c r="Z8" s="251" t="n">
        <v>204</v>
      </c>
      <c r="AA8" s="35" t="n">
        <v>43966</v>
      </c>
      <c r="AB8" s="27" t="n"/>
      <c r="AC8" s="27" t="n"/>
      <c r="AD8" s="210" t="n">
        <v>170</v>
      </c>
      <c r="AE8" s="237" t="n">
        <v>0</v>
      </c>
      <c r="AF8" t="b">
        <v>0</v>
      </c>
      <c r="AG8" s="228" t="n">
        <v>170</v>
      </c>
    </row>
    <row r="9">
      <c r="A9">
        <f>I9&amp;"-"&amp;J9</f>
        <v/>
      </c>
      <c r="B9" s="1">
        <f>N9</f>
        <v/>
      </c>
      <c r="C9">
        <f>M9&amp;"/"&amp;O9</f>
        <v/>
      </c>
      <c r="D9">
        <f>K9</f>
        <v/>
      </c>
      <c r="E9">
        <f>L9</f>
        <v/>
      </c>
      <c r="F9" s="236">
        <f>Z9</f>
        <v/>
      </c>
      <c r="G9">
        <f>U9&amp;"%"</f>
        <v/>
      </c>
      <c r="I9" s="53" t="n">
        <v>2020</v>
      </c>
      <c r="J9" s="53" t="n">
        <v>8</v>
      </c>
      <c r="K9" s="71" t="inlineStr">
        <is>
          <t>Einnahmen</t>
        </is>
      </c>
      <c r="L9" t="inlineStr">
        <is>
          <t>Waren-/Leistungserlöse</t>
        </is>
      </c>
      <c r="M9" s="74" t="inlineStr">
        <is>
          <t>12020001</t>
        </is>
      </c>
      <c r="N9" s="1" t="n">
        <v>43839</v>
      </c>
      <c r="O9" t="inlineStr">
        <is>
          <t>Martin Dürauer e.U., Schreinergasse 7/1, A-3100 St. Pölten</t>
        </is>
      </c>
      <c r="Q9" s="76" t="n"/>
      <c r="R9" t="b">
        <v>0</v>
      </c>
      <c r="S9" s="214" t="n">
        <v>100</v>
      </c>
      <c r="T9" s="159" t="n">
        <v>1</v>
      </c>
      <c r="U9" t="n">
        <v>20</v>
      </c>
      <c r="V9" s="237" t="n">
        <v>20</v>
      </c>
      <c r="W9" s="237" t="n">
        <v>20</v>
      </c>
      <c r="X9" s="208" t="n">
        <v>100</v>
      </c>
      <c r="Y9" s="251" t="n">
        <v>120</v>
      </c>
      <c r="Z9" s="251" t="n">
        <v>120</v>
      </c>
      <c r="AA9" s="35" t="n">
        <v>43966</v>
      </c>
      <c r="AB9" s="27" t="n"/>
      <c r="AC9" s="27" t="n"/>
      <c r="AD9" s="210" t="n">
        <v>100</v>
      </c>
      <c r="AE9" s="237" t="n">
        <v>0</v>
      </c>
      <c r="AF9" t="b">
        <v>0</v>
      </c>
      <c r="AG9" s="228" t="n">
        <v>100</v>
      </c>
    </row>
    <row r="10">
      <c r="A10">
        <f>I10&amp;"-"&amp;J10</f>
        <v/>
      </c>
      <c r="B10" s="1">
        <f>N10</f>
        <v/>
      </c>
      <c r="C10">
        <f>M10&amp;"/"&amp;O10</f>
        <v/>
      </c>
      <c r="D10">
        <f>K10</f>
        <v/>
      </c>
      <c r="E10">
        <f>L10</f>
        <v/>
      </c>
      <c r="F10" s="236">
        <f>Z10</f>
        <v/>
      </c>
      <c r="G10">
        <f>U10&amp;"%"</f>
        <v/>
      </c>
      <c r="I10" s="53" t="n">
        <v>2020</v>
      </c>
      <c r="J10" s="53" t="n">
        <v>9</v>
      </c>
      <c r="K10" s="71" t="inlineStr">
        <is>
          <t>Ausgaben</t>
        </is>
      </c>
      <c r="L10" t="inlineStr">
        <is>
          <t>Telefon/Internet</t>
        </is>
      </c>
      <c r="M10" s="74" t="inlineStr">
        <is>
          <t>178423174-00</t>
        </is>
      </c>
      <c r="N10" s="1" t="n">
        <v>43840</v>
      </c>
      <c r="O10" t="inlineStr">
        <is>
          <t>Magenta: T-Mobile Austria GmbH, A-1120 Wien, PF 47</t>
        </is>
      </c>
      <c r="Q10" s="76" t="n"/>
      <c r="R10" t="b">
        <v>0</v>
      </c>
      <c r="S10" s="214" t="n">
        <v>28.86</v>
      </c>
      <c r="T10" s="159" t="n">
        <v>0.6666666666666666</v>
      </c>
      <c r="U10" t="n">
        <v>20</v>
      </c>
      <c r="V10" s="237" t="n">
        <v>5.772</v>
      </c>
      <c r="W10" s="237" t="n">
        <v>3.848</v>
      </c>
      <c r="X10" s="208" t="n">
        <v>19.24</v>
      </c>
      <c r="Y10" s="251" t="n">
        <v>34.632</v>
      </c>
      <c r="Z10" s="251" t="n">
        <v>23.088</v>
      </c>
      <c r="AA10" s="35" t="n">
        <v>43966</v>
      </c>
      <c r="AB10" s="27" t="n"/>
      <c r="AC10" s="27" t="n"/>
      <c r="AD10" s="210" t="n">
        <v>19.24</v>
      </c>
      <c r="AE10" s="237" t="n">
        <v>0</v>
      </c>
      <c r="AF10" t="b">
        <v>0</v>
      </c>
      <c r="AG10" s="228" t="n">
        <v>-19.24</v>
      </c>
    </row>
    <row r="11">
      <c r="A11">
        <f>I11&amp;"-"&amp;J11</f>
        <v/>
      </c>
      <c r="B11" s="1">
        <f>N11</f>
        <v/>
      </c>
      <c r="C11">
        <f>M11&amp;"/"&amp;O11</f>
        <v/>
      </c>
      <c r="D11">
        <f>K11</f>
        <v/>
      </c>
      <c r="E11">
        <f>L11</f>
        <v/>
      </c>
      <c r="F11" s="236">
        <f>Z11</f>
        <v/>
      </c>
      <c r="G11">
        <f>U11&amp;"%"</f>
        <v/>
      </c>
      <c r="I11" s="53" t="n">
        <v>2020</v>
      </c>
      <c r="J11" s="53" t="n">
        <v>10</v>
      </c>
      <c r="K11" s="71" t="inlineStr">
        <is>
          <t>Ausgaben</t>
        </is>
      </c>
      <c r="L11" t="inlineStr">
        <is>
          <t>sonstige Betriebsausgaben</t>
        </is>
      </c>
      <c r="M11" s="74" t="inlineStr">
        <is>
          <t>5112142283</t>
        </is>
      </c>
      <c r="N11" s="1" t="n">
        <v>43840</v>
      </c>
      <c r="O11" t="inlineStr">
        <is>
          <t>Wiener Netze GmbH, Erdbergstraße 236, 1110 Wien, Postfach 422</t>
        </is>
      </c>
      <c r="Q11" s="76" t="n"/>
      <c r="R11" t="b">
        <v>0</v>
      </c>
      <c r="S11" s="214" t="n">
        <v>18.83</v>
      </c>
      <c r="T11" s="159" t="n">
        <v>1</v>
      </c>
      <c r="U11" t="n">
        <v>20</v>
      </c>
      <c r="V11" s="237" t="n">
        <v>3.766</v>
      </c>
      <c r="W11" s="237" t="n">
        <v>3.766</v>
      </c>
      <c r="X11" s="208" t="n">
        <v>18.83</v>
      </c>
      <c r="Y11" s="251" t="n">
        <v>22.596</v>
      </c>
      <c r="Z11" s="251" t="n">
        <v>22.596</v>
      </c>
      <c r="AA11" s="35" t="n">
        <v>43966</v>
      </c>
      <c r="AB11" s="27" t="n"/>
      <c r="AC11" s="27" t="n"/>
      <c r="AD11" s="210" t="n">
        <v>18.83</v>
      </c>
      <c r="AE11" s="237" t="n">
        <v>0</v>
      </c>
      <c r="AF11" t="b">
        <v>0</v>
      </c>
      <c r="AG11" s="228" t="n">
        <v>-18.83</v>
      </c>
    </row>
    <row r="12">
      <c r="A12">
        <f>I12&amp;"-"&amp;J12</f>
        <v/>
      </c>
      <c r="B12" s="1">
        <f>N12</f>
        <v/>
      </c>
      <c r="C12">
        <f>M12&amp;"/"&amp;O12</f>
        <v/>
      </c>
      <c r="D12">
        <f>K12</f>
        <v/>
      </c>
      <c r="E12">
        <f>L12</f>
        <v/>
      </c>
      <c r="F12" s="236">
        <f>Z12</f>
        <v/>
      </c>
      <c r="G12">
        <f>U12&amp;"%"</f>
        <v/>
      </c>
      <c r="I12" s="53" t="n">
        <v>2020</v>
      </c>
      <c r="J12" s="53" t="n">
        <v>11</v>
      </c>
      <c r="K12" s="71" t="inlineStr">
        <is>
          <t>Ausgaben</t>
        </is>
      </c>
      <c r="L12" t="inlineStr">
        <is>
          <t>Reise- und Fahrtspesen inkl. Kilometergeld und Diäten</t>
        </is>
      </c>
      <c r="M12" s="74" t="inlineStr">
        <is>
          <t>3293000008687003</t>
        </is>
      </c>
      <c r="N12" s="1" t="n">
        <v>43843</v>
      </c>
      <c r="O12" t="inlineStr">
        <is>
          <t>car2go Österreich GmbH, Hintere Zollamtstraße 9, 1030 Wien</t>
        </is>
      </c>
      <c r="Q12" s="76" t="n"/>
      <c r="R12" t="b">
        <v>0</v>
      </c>
      <c r="S12" s="214" t="n">
        <v>2.1</v>
      </c>
      <c r="T12" s="159" t="n">
        <v>1</v>
      </c>
      <c r="U12" t="n">
        <v>20</v>
      </c>
      <c r="V12" s="237" t="n">
        <v>0.42</v>
      </c>
      <c r="W12" s="237" t="n">
        <v>0.42</v>
      </c>
      <c r="X12" s="208" t="n">
        <v>2.1</v>
      </c>
      <c r="Y12" s="251" t="n">
        <v>2.52</v>
      </c>
      <c r="Z12" s="251" t="n">
        <v>2.52</v>
      </c>
      <c r="AA12" s="35" t="n">
        <v>43966</v>
      </c>
      <c r="AB12" s="27" t="n"/>
      <c r="AC12" s="27" t="n"/>
      <c r="AD12" s="210" t="n">
        <v>2.1</v>
      </c>
      <c r="AE12" s="237" t="n">
        <v>0</v>
      </c>
      <c r="AF12" t="b">
        <v>0</v>
      </c>
      <c r="AG12" s="228" t="n">
        <v>-2.1</v>
      </c>
    </row>
    <row r="13">
      <c r="A13">
        <f>I13&amp;"-"&amp;J13</f>
        <v/>
      </c>
      <c r="B13" s="1">
        <f>N13</f>
        <v/>
      </c>
      <c r="C13">
        <f>M13&amp;"/"&amp;O13</f>
        <v/>
      </c>
      <c r="D13">
        <f>K13</f>
        <v/>
      </c>
      <c r="E13">
        <f>L13</f>
        <v/>
      </c>
      <c r="F13" s="236">
        <f>Z13</f>
        <v/>
      </c>
      <c r="G13">
        <f>U13&amp;"%"</f>
        <v/>
      </c>
      <c r="I13" s="53" t="n">
        <v>2020</v>
      </c>
      <c r="J13" s="53" t="n">
        <v>12</v>
      </c>
      <c r="K13" s="71" t="inlineStr">
        <is>
          <t>Ausgaben</t>
        </is>
      </c>
      <c r="L13" t="inlineStr">
        <is>
          <t>sonstige Betriebsausgaben</t>
        </is>
      </c>
      <c r="M13" s="74" t="inlineStr">
        <is>
          <t>772063</t>
        </is>
      </c>
      <c r="N13" s="1" t="n">
        <v>43843</v>
      </c>
      <c r="O13" t="inlineStr">
        <is>
          <t>Lemon Technologies GmbH, Unterweißenbach 181, 7330 Feldbach: Toner</t>
        </is>
      </c>
      <c r="Q13" s="76" t="n"/>
      <c r="R13" t="b">
        <v>0</v>
      </c>
      <c r="S13" s="214" t="n">
        <v>241.18</v>
      </c>
      <c r="T13" s="159" t="n">
        <v>1</v>
      </c>
      <c r="U13" t="n">
        <v>20</v>
      </c>
      <c r="V13" s="237" t="n">
        <v>48.236</v>
      </c>
      <c r="W13" s="237" t="n">
        <v>48.236</v>
      </c>
      <c r="X13" s="208" t="n">
        <v>241.18</v>
      </c>
      <c r="Y13" s="251" t="n">
        <v>289.416</v>
      </c>
      <c r="Z13" s="251" t="n">
        <v>289.416</v>
      </c>
      <c r="AA13" s="35" t="n">
        <v>43966</v>
      </c>
      <c r="AB13" s="27" t="n"/>
      <c r="AC13" s="27" t="n"/>
      <c r="AD13" s="210" t="n">
        <v>241.18</v>
      </c>
      <c r="AE13" s="237" t="n">
        <v>0</v>
      </c>
      <c r="AF13" t="b">
        <v>0</v>
      </c>
      <c r="AG13" s="228" t="n">
        <v>-241.18</v>
      </c>
    </row>
    <row r="14">
      <c r="A14">
        <f>I14&amp;"-"&amp;J14</f>
        <v/>
      </c>
      <c r="B14" s="1">
        <f>N14</f>
        <v/>
      </c>
      <c r="C14">
        <f>M14&amp;"/"&amp;O14</f>
        <v/>
      </c>
      <c r="D14">
        <f>K14</f>
        <v/>
      </c>
      <c r="E14">
        <f>L14</f>
        <v/>
      </c>
      <c r="F14" s="236">
        <f>Z14</f>
        <v/>
      </c>
      <c r="G14">
        <f>U14&amp;"%"</f>
        <v/>
      </c>
      <c r="I14" s="53" t="n">
        <v>2020</v>
      </c>
      <c r="J14" s="53" t="n">
        <v>13</v>
      </c>
      <c r="K14" s="71" t="inlineStr">
        <is>
          <t>Ausgaben</t>
        </is>
      </c>
      <c r="L14" t="inlineStr">
        <is>
          <t>sonstige Betriebsausgaben</t>
        </is>
      </c>
      <c r="M14" s="74" t="inlineStr">
        <is>
          <t>R0010654184</t>
        </is>
      </c>
      <c r="N14" s="1" t="n">
        <v>43843</v>
      </c>
      <c r="O14" t="inlineStr">
        <is>
          <t>Hetzner Online GmbH</t>
        </is>
      </c>
      <c r="Q14" s="76" t="n"/>
      <c r="R14" t="b">
        <v>0</v>
      </c>
      <c r="S14" s="214" t="n">
        <v>49.42</v>
      </c>
      <c r="T14" s="159" t="n">
        <v>1</v>
      </c>
      <c r="U14" t="n">
        <v>0</v>
      </c>
      <c r="V14" s="237" t="n">
        <v>0</v>
      </c>
      <c r="W14" s="237" t="n">
        <v>0</v>
      </c>
      <c r="X14" s="208" t="n">
        <v>49.42</v>
      </c>
      <c r="Y14" s="251" t="n">
        <v>49.42</v>
      </c>
      <c r="Z14" s="251" t="n">
        <v>49.42</v>
      </c>
      <c r="AA14" s="35" t="n">
        <v>43966</v>
      </c>
      <c r="AB14" s="27" t="n"/>
      <c r="AC14" s="27" t="n">
        <v>20</v>
      </c>
      <c r="AD14" s="210" t="n">
        <v>49.42</v>
      </c>
      <c r="AE14" s="237" t="n">
        <v>9.884</v>
      </c>
      <c r="AF14" t="b">
        <v>0</v>
      </c>
      <c r="AG14" s="228" t="n">
        <v>-49.42</v>
      </c>
    </row>
    <row r="15">
      <c r="A15">
        <f>I15&amp;"-"&amp;J15</f>
        <v/>
      </c>
      <c r="B15" s="1">
        <f>N15</f>
        <v/>
      </c>
      <c r="C15">
        <f>M15&amp;"/"&amp;O15</f>
        <v/>
      </c>
      <c r="D15">
        <f>K15</f>
        <v/>
      </c>
      <c r="E15">
        <f>L15</f>
        <v/>
      </c>
      <c r="F15" s="236">
        <f>Z15</f>
        <v/>
      </c>
      <c r="G15">
        <f>U15&amp;"%"</f>
        <v/>
      </c>
      <c r="I15" s="53" t="n">
        <v>2020</v>
      </c>
      <c r="J15" s="53" t="n">
        <v>14</v>
      </c>
      <c r="K15" s="71" t="inlineStr">
        <is>
          <t>Einnahmen</t>
        </is>
      </c>
      <c r="L15" t="inlineStr">
        <is>
          <t>Waren-/Leistungserlöse</t>
        </is>
      </c>
      <c r="M15" s="74" t="inlineStr">
        <is>
          <t>12019031</t>
        </is>
      </c>
      <c r="N15" s="1" t="n">
        <v>43844</v>
      </c>
      <c r="O15" t="inlineStr">
        <is>
          <t>Schick Küchendesign e.U. Alexander Schick, Linzerstraße 247, 1140 Wien</t>
        </is>
      </c>
      <c r="Q15" s="76" t="n"/>
      <c r="R15" t="b">
        <v>0</v>
      </c>
      <c r="S15" s="214" t="n">
        <v>187.5</v>
      </c>
      <c r="T15" s="159" t="n">
        <v>1</v>
      </c>
      <c r="U15" t="n">
        <v>20</v>
      </c>
      <c r="V15" s="237" t="n">
        <v>37.5</v>
      </c>
      <c r="W15" s="237" t="n">
        <v>37.5</v>
      </c>
      <c r="X15" s="208" t="n">
        <v>187.5</v>
      </c>
      <c r="Y15" s="251" t="n">
        <v>225</v>
      </c>
      <c r="Z15" s="251" t="n">
        <v>225</v>
      </c>
      <c r="AA15" s="35" t="n">
        <v>43966</v>
      </c>
      <c r="AB15" s="27" t="n"/>
      <c r="AC15" s="27" t="n"/>
      <c r="AD15" s="210" t="n">
        <v>187.5</v>
      </c>
      <c r="AE15" s="237" t="n">
        <v>0</v>
      </c>
      <c r="AF15" t="b">
        <v>0</v>
      </c>
      <c r="AG15" s="228" t="n">
        <v>187.5</v>
      </c>
    </row>
    <row r="16">
      <c r="A16">
        <f>I16&amp;"-"&amp;J16</f>
        <v/>
      </c>
      <c r="B16" s="1">
        <f>N16</f>
        <v/>
      </c>
      <c r="C16">
        <f>M16&amp;"/"&amp;O16</f>
        <v/>
      </c>
      <c r="D16">
        <f>K16</f>
        <v/>
      </c>
      <c r="E16">
        <f>L16</f>
        <v/>
      </c>
      <c r="F16" s="236">
        <f>Z16</f>
        <v/>
      </c>
      <c r="G16">
        <f>U16&amp;"%"</f>
        <v/>
      </c>
      <c r="I16" s="53" t="n">
        <v>2020</v>
      </c>
      <c r="J16" s="53" t="n">
        <v>15</v>
      </c>
      <c r="K16" s="71" t="inlineStr">
        <is>
          <t>Einnahmen</t>
        </is>
      </c>
      <c r="L16" t="inlineStr">
        <is>
          <t>Waren-/Leistungserlöse</t>
        </is>
      </c>
      <c r="M16" s="74" t="inlineStr">
        <is>
          <t>12019033</t>
        </is>
      </c>
      <c r="N16" s="1" t="n">
        <v>43845</v>
      </c>
      <c r="O16" t="inlineStr">
        <is>
          <t>Franz Hauer GmbH + Co KG, Werksstraße 6, 3125 Statzendorf</t>
        </is>
      </c>
      <c r="Q16" s="76" t="n"/>
      <c r="R16" t="b">
        <v>0</v>
      </c>
      <c r="S16" s="214" t="n">
        <v>233.75</v>
      </c>
      <c r="T16" s="159" t="n">
        <v>1</v>
      </c>
      <c r="U16" t="n">
        <v>20</v>
      </c>
      <c r="V16" s="237" t="n">
        <v>46.75</v>
      </c>
      <c r="W16" s="237" t="n">
        <v>46.75</v>
      </c>
      <c r="X16" s="208" t="n">
        <v>233.75</v>
      </c>
      <c r="Y16" s="251" t="n">
        <v>280.5</v>
      </c>
      <c r="Z16" s="251" t="n">
        <v>280.5</v>
      </c>
      <c r="AA16" s="35" t="n">
        <v>43966</v>
      </c>
      <c r="AB16" s="27" t="n"/>
      <c r="AC16" s="27" t="n"/>
      <c r="AD16" s="210" t="n">
        <v>233.75</v>
      </c>
      <c r="AE16" s="237" t="n">
        <v>0</v>
      </c>
      <c r="AF16" t="b">
        <v>0</v>
      </c>
      <c r="AG16" s="228" t="n">
        <v>233.75</v>
      </c>
    </row>
    <row r="17">
      <c r="A17">
        <f>I17&amp;"-"&amp;J17</f>
        <v/>
      </c>
      <c r="B17" s="1">
        <f>N17</f>
        <v/>
      </c>
      <c r="C17">
        <f>M17&amp;"/"&amp;O17</f>
        <v/>
      </c>
      <c r="D17">
        <f>K17</f>
        <v/>
      </c>
      <c r="E17">
        <f>L17</f>
        <v/>
      </c>
      <c r="F17" s="236">
        <f>Z17</f>
        <v/>
      </c>
      <c r="G17">
        <f>U17&amp;"%"</f>
        <v/>
      </c>
      <c r="I17" s="53" t="n">
        <v>2020</v>
      </c>
      <c r="J17" s="53" t="n">
        <v>16</v>
      </c>
      <c r="K17" s="71" t="inlineStr">
        <is>
          <t>Ausgaben</t>
        </is>
      </c>
      <c r="L17" t="inlineStr">
        <is>
          <t>Reise- und Fahrtspesen inkl. Kilometergeld und Diäten</t>
        </is>
      </c>
      <c r="M17" s="74" t="inlineStr">
        <is>
          <t>3293000008723880</t>
        </is>
      </c>
      <c r="N17" s="1" t="n">
        <v>43847</v>
      </c>
      <c r="O17" t="inlineStr">
        <is>
          <t>car2go Österreich GmbH, Hintere Zollamtstraße 9, 1030 Wien</t>
        </is>
      </c>
      <c r="Q17" s="76" t="n"/>
      <c r="R17" t="b">
        <v>0</v>
      </c>
      <c r="S17" s="214" t="n">
        <v>8.02</v>
      </c>
      <c r="T17" s="159" t="n">
        <v>1</v>
      </c>
      <c r="U17" t="n">
        <v>20</v>
      </c>
      <c r="V17" s="237" t="n">
        <v>1.604</v>
      </c>
      <c r="W17" s="237" t="n">
        <v>1.604</v>
      </c>
      <c r="X17" s="208" t="n">
        <v>8.02</v>
      </c>
      <c r="Y17" s="251" t="n">
        <v>9.623999999999999</v>
      </c>
      <c r="Z17" s="251" t="n">
        <v>9.623999999999999</v>
      </c>
      <c r="AA17" s="35" t="n">
        <v>43966</v>
      </c>
      <c r="AB17" s="27" t="n"/>
      <c r="AC17" s="27" t="n"/>
      <c r="AD17" s="210" t="n">
        <v>8.02</v>
      </c>
      <c r="AE17" s="237" t="n">
        <v>0</v>
      </c>
      <c r="AF17" t="b">
        <v>0</v>
      </c>
      <c r="AG17" s="228" t="n">
        <v>-8.02</v>
      </c>
    </row>
    <row r="18">
      <c r="A18">
        <f>I18&amp;"-"&amp;J18</f>
        <v/>
      </c>
      <c r="B18" s="1">
        <f>N18</f>
        <v/>
      </c>
      <c r="C18">
        <f>M18&amp;"/"&amp;O18</f>
        <v/>
      </c>
      <c r="D18">
        <f>K18</f>
        <v/>
      </c>
      <c r="E18">
        <f>L18</f>
        <v/>
      </c>
      <c r="F18" s="236">
        <f>Z18</f>
        <v/>
      </c>
      <c r="G18">
        <f>U18&amp;"%"</f>
        <v/>
      </c>
      <c r="I18" s="53" t="n">
        <v>2020</v>
      </c>
      <c r="J18" s="53" t="n">
        <v>17</v>
      </c>
      <c r="K18" s="71" t="inlineStr">
        <is>
          <t>Ausgaben</t>
        </is>
      </c>
      <c r="L18" t="inlineStr">
        <is>
          <t>Reise- und Fahrtspesen inkl. Kilometergeld und Diäten</t>
        </is>
      </c>
      <c r="M18" s="74" t="inlineStr">
        <is>
          <t>3293000008730029</t>
        </is>
      </c>
      <c r="N18" s="1" t="n">
        <v>43850</v>
      </c>
      <c r="O18" t="inlineStr">
        <is>
          <t>car2go Österreich GmbH, Hintere Zollamtstraße 9, 1030 Wien</t>
        </is>
      </c>
      <c r="Q18" s="76" t="n"/>
      <c r="R18" t="b">
        <v>0</v>
      </c>
      <c r="S18" s="214" t="n">
        <v>10.4</v>
      </c>
      <c r="T18" s="159" t="n">
        <v>1</v>
      </c>
      <c r="U18" t="n">
        <v>20</v>
      </c>
      <c r="V18" s="237" t="n">
        <v>2.08</v>
      </c>
      <c r="W18" s="237" t="n">
        <v>2.08</v>
      </c>
      <c r="X18" s="208" t="n">
        <v>10.4</v>
      </c>
      <c r="Y18" s="251" t="n">
        <v>12.48</v>
      </c>
      <c r="Z18" s="251" t="n">
        <v>12.48</v>
      </c>
      <c r="AA18" s="35" t="n">
        <v>43966</v>
      </c>
      <c r="AB18" s="27" t="n"/>
      <c r="AC18" s="27" t="n"/>
      <c r="AD18" s="210" t="n">
        <v>10.4</v>
      </c>
      <c r="AE18" s="237" t="n">
        <v>0</v>
      </c>
      <c r="AF18" t="b">
        <v>0</v>
      </c>
      <c r="AG18" s="228" t="n">
        <v>-10.4</v>
      </c>
    </row>
    <row r="19">
      <c r="A19">
        <f>I19&amp;"-"&amp;J19</f>
        <v/>
      </c>
      <c r="B19" s="1">
        <f>N19</f>
        <v/>
      </c>
      <c r="C19">
        <f>M19&amp;"/"&amp;O19</f>
        <v/>
      </c>
      <c r="D19">
        <f>K19</f>
        <v/>
      </c>
      <c r="E19">
        <f>L19</f>
        <v/>
      </c>
      <c r="F19" s="236">
        <f>Z19</f>
        <v/>
      </c>
      <c r="G19">
        <f>U19&amp;"%"</f>
        <v/>
      </c>
      <c r="I19" s="53" t="n">
        <v>2020</v>
      </c>
      <c r="J19" s="53" t="n">
        <v>18</v>
      </c>
      <c r="K19" s="71" t="inlineStr">
        <is>
          <t>Einnahmen</t>
        </is>
      </c>
      <c r="L19" t="inlineStr">
        <is>
          <t>Waren-/Leistungserlöse</t>
        </is>
      </c>
      <c r="M19" s="74" t="inlineStr">
        <is>
          <t>12019030</t>
        </is>
      </c>
      <c r="N19" s="1" t="n">
        <v>43851</v>
      </c>
      <c r="O19" t="inlineStr">
        <is>
          <t>vemap Academy GmbH, Berggasse 31, 1080 Wien</t>
        </is>
      </c>
      <c r="Q19" s="76" t="n"/>
      <c r="R19" t="b">
        <v>0</v>
      </c>
      <c r="S19" s="214" t="n">
        <v>6480</v>
      </c>
      <c r="T19" s="159" t="n">
        <v>1</v>
      </c>
      <c r="U19" t="n">
        <v>20</v>
      </c>
      <c r="V19" s="237" t="n">
        <v>1296</v>
      </c>
      <c r="W19" s="237" t="n">
        <v>1296</v>
      </c>
      <c r="X19" s="208" t="n">
        <v>6480</v>
      </c>
      <c r="Y19" s="251" t="n">
        <v>7776</v>
      </c>
      <c r="Z19" s="251" t="n">
        <v>7776</v>
      </c>
      <c r="AA19" s="35" t="n">
        <v>43966</v>
      </c>
      <c r="AB19" s="27" t="n"/>
      <c r="AC19" s="27" t="n"/>
      <c r="AD19" s="210" t="n">
        <v>6480</v>
      </c>
      <c r="AE19" s="237" t="n">
        <v>0</v>
      </c>
      <c r="AF19" t="b">
        <v>0</v>
      </c>
      <c r="AG19" s="228" t="n">
        <v>6480</v>
      </c>
    </row>
    <row r="20">
      <c r="A20">
        <f>I20&amp;"-"&amp;J20</f>
        <v/>
      </c>
      <c r="B20" s="1">
        <f>N20</f>
        <v/>
      </c>
      <c r="C20">
        <f>M20&amp;"/"&amp;O20</f>
        <v/>
      </c>
      <c r="D20">
        <f>K20</f>
        <v/>
      </c>
      <c r="E20">
        <f>L20</f>
        <v/>
      </c>
      <c r="F20" s="236">
        <f>Z20</f>
        <v/>
      </c>
      <c r="G20">
        <f>U20&amp;"%"</f>
        <v/>
      </c>
      <c r="I20" s="53" t="n">
        <v>2020</v>
      </c>
      <c r="J20" s="53" t="n">
        <v>19</v>
      </c>
      <c r="K20" s="71" t="inlineStr">
        <is>
          <t>Ausgaben</t>
        </is>
      </c>
      <c r="L20" t="inlineStr">
        <is>
          <t>Telefon/Internet</t>
        </is>
      </c>
      <c r="M20" s="74" t="inlineStr">
        <is>
          <t>901192670120</t>
        </is>
      </c>
      <c r="N20" s="1" t="n">
        <v>43853</v>
      </c>
      <c r="O20" t="inlineStr">
        <is>
          <t>Magenta: T-Mobile Austria GmbH, A-1120 Wien, PF 47</t>
        </is>
      </c>
      <c r="Q20" s="76" t="n"/>
      <c r="R20" t="b">
        <v>0</v>
      </c>
      <c r="S20" s="214" t="n">
        <v>31.92</v>
      </c>
      <c r="T20" s="159" t="n">
        <v>1</v>
      </c>
      <c r="U20" t="n">
        <v>20</v>
      </c>
      <c r="V20" s="237" t="n">
        <v>6.384000000000001</v>
      </c>
      <c r="W20" s="237" t="n">
        <v>6.384000000000001</v>
      </c>
      <c r="X20" s="208" t="n">
        <v>31.92</v>
      </c>
      <c r="Y20" s="251" t="n">
        <v>38.304</v>
      </c>
      <c r="Z20" s="251" t="n">
        <v>38.304</v>
      </c>
      <c r="AA20" s="35" t="n">
        <v>43966</v>
      </c>
      <c r="AB20" s="27" t="n"/>
      <c r="AC20" s="27" t="n"/>
      <c r="AD20" s="210" t="n">
        <v>31.92</v>
      </c>
      <c r="AE20" s="237" t="n">
        <v>0</v>
      </c>
      <c r="AF20" t="b">
        <v>0</v>
      </c>
      <c r="AG20" s="228" t="n">
        <v>-31.92</v>
      </c>
    </row>
    <row r="21">
      <c r="A21">
        <f>I21&amp;"-"&amp;J21</f>
        <v/>
      </c>
      <c r="B21" s="1">
        <f>N21</f>
        <v/>
      </c>
      <c r="C21">
        <f>M21&amp;"/"&amp;O21</f>
        <v/>
      </c>
      <c r="D21">
        <f>K21</f>
        <v/>
      </c>
      <c r="E21">
        <f>L21</f>
        <v/>
      </c>
      <c r="F21" s="236">
        <f>Z21</f>
        <v/>
      </c>
      <c r="G21">
        <f>U21&amp;"%"</f>
        <v/>
      </c>
      <c r="I21" s="53" t="n">
        <v>2020</v>
      </c>
      <c r="J21" s="53" t="n">
        <v>20</v>
      </c>
      <c r="K21" s="71" t="inlineStr">
        <is>
          <t>Ausgaben</t>
        </is>
      </c>
      <c r="L21" t="inlineStr">
        <is>
          <t>sonstige Betriebsausgaben</t>
        </is>
      </c>
      <c r="M21" s="74" t="inlineStr">
        <is>
          <t>774047</t>
        </is>
      </c>
      <c r="N21" s="1" t="n">
        <v>43857</v>
      </c>
      <c r="O21" t="inlineStr">
        <is>
          <t>Lemon Technologies GmbH, Unterweißenbach 181, 7330 Feldbach: Bildschirm</t>
        </is>
      </c>
      <c r="Q21" s="76" t="n"/>
      <c r="R21" t="b">
        <v>0</v>
      </c>
      <c r="S21" s="214" t="n">
        <v>142.51</v>
      </c>
      <c r="T21" s="159" t="n">
        <v>1</v>
      </c>
      <c r="U21" t="n">
        <v>20</v>
      </c>
      <c r="V21" s="237" t="n">
        <v>28.502</v>
      </c>
      <c r="W21" s="237" t="n">
        <v>28.502</v>
      </c>
      <c r="X21" s="208" t="n">
        <v>142.51</v>
      </c>
      <c r="Y21" s="251" t="n">
        <v>171.012</v>
      </c>
      <c r="Z21" s="251" t="n">
        <v>171.012</v>
      </c>
      <c r="AA21" s="35" t="n">
        <v>43966</v>
      </c>
      <c r="AB21" s="27" t="n"/>
      <c r="AC21" s="27" t="n"/>
      <c r="AD21" s="210" t="n">
        <v>142.51</v>
      </c>
      <c r="AE21" s="237" t="n">
        <v>0</v>
      </c>
      <c r="AF21" t="b">
        <v>0</v>
      </c>
      <c r="AG21" s="228" t="n">
        <v>-142.51</v>
      </c>
    </row>
    <row r="22">
      <c r="A22">
        <f>I22&amp;"-"&amp;J22</f>
        <v/>
      </c>
      <c r="B22" s="1">
        <f>N22</f>
        <v/>
      </c>
      <c r="C22">
        <f>M22&amp;"/"&amp;O22</f>
        <v/>
      </c>
      <c r="D22">
        <f>K22</f>
        <v/>
      </c>
      <c r="E22">
        <f>L22</f>
        <v/>
      </c>
      <c r="F22" s="236">
        <f>Z22</f>
        <v/>
      </c>
      <c r="G22">
        <f>U22&amp;"%"</f>
        <v/>
      </c>
      <c r="I22" s="53" t="n">
        <v>2020</v>
      </c>
      <c r="J22" s="53" t="n">
        <v>21</v>
      </c>
      <c r="K22" s="71" t="inlineStr">
        <is>
          <t>Ausgaben</t>
        </is>
      </c>
      <c r="L22" t="inlineStr">
        <is>
          <t>Reise- und Fahrtspesen inkl. Kilometergeld und Diäten</t>
        </is>
      </c>
      <c r="M22" s="74" t="inlineStr">
        <is>
          <t>3293000008770266</t>
        </is>
      </c>
      <c r="N22" s="1" t="n">
        <v>43857</v>
      </c>
      <c r="O22" t="inlineStr">
        <is>
          <t>car2go Österreich GmbH, Hintere Zollamtstraße 9, 1030 Wien</t>
        </is>
      </c>
      <c r="Q22" s="76" t="n"/>
      <c r="R22" t="b">
        <v>0</v>
      </c>
      <c r="S22" s="214" t="n">
        <v>9.300000000000001</v>
      </c>
      <c r="T22" s="159" t="n">
        <v>1</v>
      </c>
      <c r="U22" t="n">
        <v>20</v>
      </c>
      <c r="V22" s="237" t="n">
        <v>1.86</v>
      </c>
      <c r="W22" s="237" t="n">
        <v>1.86</v>
      </c>
      <c r="X22" s="208" t="n">
        <v>9.300000000000001</v>
      </c>
      <c r="Y22" s="251" t="n">
        <v>11.16</v>
      </c>
      <c r="Z22" s="251" t="n">
        <v>11.16</v>
      </c>
      <c r="AA22" s="35" t="n">
        <v>43966</v>
      </c>
      <c r="AB22" s="27" t="n"/>
      <c r="AC22" s="27" t="n"/>
      <c r="AD22" s="210" t="n">
        <v>9.300000000000001</v>
      </c>
      <c r="AE22" s="237" t="n">
        <v>0</v>
      </c>
      <c r="AF22" t="b">
        <v>0</v>
      </c>
      <c r="AG22" s="228" t="n">
        <v>-9.300000000000001</v>
      </c>
    </row>
    <row r="23">
      <c r="A23">
        <f>I23&amp;"-"&amp;J23</f>
        <v/>
      </c>
      <c r="B23" s="1">
        <f>N23</f>
        <v/>
      </c>
      <c r="C23">
        <f>M23&amp;"/"&amp;O23</f>
        <v/>
      </c>
      <c r="D23">
        <f>K23</f>
        <v/>
      </c>
      <c r="E23">
        <f>L23</f>
        <v/>
      </c>
      <c r="F23" s="236">
        <f>Z23</f>
        <v/>
      </c>
      <c r="G23">
        <f>U23&amp;"%"</f>
        <v/>
      </c>
      <c r="I23" s="53" t="n">
        <v>2020</v>
      </c>
      <c r="J23" s="53" t="n">
        <v>22</v>
      </c>
      <c r="K23" s="71" t="inlineStr">
        <is>
          <t>Ausgaben</t>
        </is>
      </c>
      <c r="L23" t="inlineStr">
        <is>
          <t>Reise- und Fahrtspesen inkl. Kilometergeld und Diäten</t>
        </is>
      </c>
      <c r="M23" s="74" t="inlineStr">
        <is>
          <t>3293000008773879</t>
        </is>
      </c>
      <c r="N23" s="1" t="n">
        <v>43857</v>
      </c>
      <c r="O23" t="inlineStr">
        <is>
          <t>car2go Österreich GmbH, Hintere Zollamtstraße 9, 1030 Wien</t>
        </is>
      </c>
      <c r="Q23" s="76" t="n"/>
      <c r="R23" t="b">
        <v>0</v>
      </c>
      <c r="S23" s="214" t="n">
        <v>7.49</v>
      </c>
      <c r="T23" s="159" t="n">
        <v>1</v>
      </c>
      <c r="U23" t="n">
        <v>20</v>
      </c>
      <c r="V23" s="237" t="n">
        <v>1.498</v>
      </c>
      <c r="W23" s="237" t="n">
        <v>1.498</v>
      </c>
      <c r="X23" s="208" t="n">
        <v>7.49</v>
      </c>
      <c r="Y23" s="251" t="n">
        <v>8.988</v>
      </c>
      <c r="Z23" s="251" t="n">
        <v>8.988</v>
      </c>
      <c r="AA23" s="35" t="n">
        <v>43966</v>
      </c>
      <c r="AB23" s="27" t="n"/>
      <c r="AC23" s="27" t="n"/>
      <c r="AD23" s="210" t="n">
        <v>7.49</v>
      </c>
      <c r="AE23" s="237" t="n">
        <v>0</v>
      </c>
      <c r="AF23" t="b">
        <v>0</v>
      </c>
      <c r="AG23" s="228" t="n">
        <v>-7.49</v>
      </c>
    </row>
    <row r="24">
      <c r="A24">
        <f>I24&amp;"-"&amp;J24</f>
        <v/>
      </c>
      <c r="B24" s="1">
        <f>N24</f>
        <v/>
      </c>
      <c r="C24">
        <f>M24&amp;"/"&amp;O24</f>
        <v/>
      </c>
      <c r="D24">
        <f>K24</f>
        <v/>
      </c>
      <c r="E24">
        <f>L24</f>
        <v/>
      </c>
      <c r="F24" s="236">
        <f>Z24</f>
        <v/>
      </c>
      <c r="G24">
        <f>U24&amp;"%"</f>
        <v/>
      </c>
      <c r="I24" s="53" t="n">
        <v>2020</v>
      </c>
      <c r="J24" s="53" t="n">
        <v>23</v>
      </c>
      <c r="K24" s="71" t="inlineStr">
        <is>
          <t>Ausgaben</t>
        </is>
      </c>
      <c r="L24" t="inlineStr">
        <is>
          <t>sonstige Betriebsausgaben</t>
        </is>
      </c>
      <c r="M24" s="74" t="inlineStr">
        <is>
          <t>RE0806899</t>
        </is>
      </c>
      <c r="N24" s="1" t="n">
        <v>43857</v>
      </c>
      <c r="O24" t="inlineStr">
        <is>
          <t>easyname GmbH, Fernkorngasse 10/3/501, A-1100 Wien</t>
        </is>
      </c>
      <c r="Q24" s="76" t="n"/>
      <c r="R24" t="b">
        <v>0</v>
      </c>
      <c r="S24" s="214" t="n">
        <v>16.58</v>
      </c>
      <c r="T24" s="159" t="n">
        <v>1</v>
      </c>
      <c r="U24" t="n">
        <v>20</v>
      </c>
      <c r="V24" s="237" t="n">
        <v>3.316</v>
      </c>
      <c r="W24" s="237" t="n">
        <v>3.316</v>
      </c>
      <c r="X24" s="208" t="n">
        <v>16.58</v>
      </c>
      <c r="Y24" s="251" t="n">
        <v>19.896</v>
      </c>
      <c r="Z24" s="251" t="n">
        <v>19.896</v>
      </c>
      <c r="AA24" s="35" t="n">
        <v>43966</v>
      </c>
      <c r="AB24" s="27" t="n"/>
      <c r="AC24" s="27" t="n"/>
      <c r="AD24" s="210" t="n">
        <v>16.58</v>
      </c>
      <c r="AE24" s="237" t="n">
        <v>0</v>
      </c>
      <c r="AF24" t="b">
        <v>0</v>
      </c>
      <c r="AG24" s="228" t="n">
        <v>-16.58</v>
      </c>
    </row>
    <row r="25">
      <c r="A25">
        <f>I25&amp;"-"&amp;J25</f>
        <v/>
      </c>
      <c r="B25" s="1">
        <f>N25</f>
        <v/>
      </c>
      <c r="C25">
        <f>M25&amp;"/"&amp;O25</f>
        <v/>
      </c>
      <c r="D25">
        <f>K25</f>
        <v/>
      </c>
      <c r="E25">
        <f>L25</f>
        <v/>
      </c>
      <c r="F25" s="236">
        <f>Z25</f>
        <v/>
      </c>
      <c r="G25">
        <f>U25&amp;"%"</f>
        <v/>
      </c>
      <c r="I25" s="53" t="n">
        <v>2020</v>
      </c>
      <c r="J25" s="53" t="n">
        <v>24</v>
      </c>
      <c r="K25" s="71" t="inlineStr">
        <is>
          <t>Ausgaben</t>
        </is>
      </c>
      <c r="L25" t="inlineStr">
        <is>
          <t>Reise- und Fahrtspesen inkl. Kilometergeld und Diäten</t>
        </is>
      </c>
      <c r="M25" s="74" t="inlineStr">
        <is>
          <t>3293000008778470</t>
        </is>
      </c>
      <c r="N25" s="1" t="n">
        <v>43857</v>
      </c>
      <c r="O25" t="inlineStr">
        <is>
          <t>car2go Österreich GmbH, Hintere Zollamtstraße 9, 1030 Wien</t>
        </is>
      </c>
      <c r="Q25" s="76" t="n"/>
      <c r="R25" t="b">
        <v>0</v>
      </c>
      <c r="S25" s="214" t="n">
        <v>2.58</v>
      </c>
      <c r="T25" s="159" t="n">
        <v>1</v>
      </c>
      <c r="U25" t="n">
        <v>20</v>
      </c>
      <c r="V25" s="237" t="n">
        <v>0.516</v>
      </c>
      <c r="W25" s="237" t="n">
        <v>0.516</v>
      </c>
      <c r="X25" s="208" t="n">
        <v>2.58</v>
      </c>
      <c r="Y25" s="251" t="n">
        <v>3.096</v>
      </c>
      <c r="Z25" s="251" t="n">
        <v>3.096</v>
      </c>
      <c r="AA25" s="35" t="n">
        <v>43966</v>
      </c>
      <c r="AB25" s="27" t="n"/>
      <c r="AC25" s="27" t="n"/>
      <c r="AD25" s="210" t="n">
        <v>2.58</v>
      </c>
      <c r="AE25" s="237" t="n">
        <v>0</v>
      </c>
      <c r="AF25" t="b">
        <v>0</v>
      </c>
      <c r="AG25" s="228" t="n">
        <v>-2.58</v>
      </c>
    </row>
    <row r="26">
      <c r="A26">
        <f>I26&amp;"-"&amp;J26</f>
        <v/>
      </c>
      <c r="B26" s="1">
        <f>N26</f>
        <v/>
      </c>
      <c r="C26">
        <f>M26&amp;"/"&amp;O26</f>
        <v/>
      </c>
      <c r="D26">
        <f>K26</f>
        <v/>
      </c>
      <c r="E26">
        <f>L26</f>
        <v/>
      </c>
      <c r="F26" s="236">
        <f>Z26</f>
        <v/>
      </c>
      <c r="G26">
        <f>U26&amp;"%"</f>
        <v/>
      </c>
      <c r="I26" s="53" t="n">
        <v>2020</v>
      </c>
      <c r="J26" s="53" t="n">
        <v>25</v>
      </c>
      <c r="K26" s="71" t="inlineStr">
        <is>
          <t>Ausgaben</t>
        </is>
      </c>
      <c r="L26" t="inlineStr">
        <is>
          <t>sonstige Betriebsausgaben</t>
        </is>
      </c>
      <c r="M26" s="1" t="inlineStr">
        <is>
          <t>ATINV20000000137701</t>
        </is>
      </c>
      <c r="N26" s="1" t="n">
        <v>43857</v>
      </c>
      <c r="O26" t="inlineStr">
        <is>
          <t>Ikea Möbelvertrieb OHG, Südring, 2334 Vösendorf</t>
        </is>
      </c>
      <c r="Q26" s="76" t="n"/>
      <c r="R26" t="b">
        <v>0</v>
      </c>
      <c r="S26" s="214" t="n">
        <v>399.92</v>
      </c>
      <c r="T26" s="159" t="n">
        <v>1</v>
      </c>
      <c r="U26" t="n">
        <v>20</v>
      </c>
      <c r="V26" s="237" t="n">
        <v>79.98400000000001</v>
      </c>
      <c r="W26" s="237" t="n">
        <v>79.98400000000001</v>
      </c>
      <c r="X26" s="208" t="n">
        <v>399.92</v>
      </c>
      <c r="Y26" s="251" t="n">
        <v>479.904</v>
      </c>
      <c r="Z26" s="251" t="n">
        <v>479.904</v>
      </c>
      <c r="AA26" s="35" t="n">
        <v>43966</v>
      </c>
      <c r="AB26" s="27" t="n"/>
      <c r="AC26" s="27" t="n"/>
      <c r="AD26" s="210" t="n">
        <v>399.92</v>
      </c>
      <c r="AE26" s="237" t="n">
        <v>0</v>
      </c>
      <c r="AF26" t="b">
        <v>0</v>
      </c>
      <c r="AG26" s="228" t="n">
        <v>-399.92</v>
      </c>
    </row>
    <row r="27">
      <c r="A27">
        <f>I27&amp;"-"&amp;J27</f>
        <v/>
      </c>
      <c r="B27" s="1">
        <f>N27</f>
        <v/>
      </c>
      <c r="C27">
        <f>M27&amp;"/"&amp;O27</f>
        <v/>
      </c>
      <c r="D27">
        <f>K27</f>
        <v/>
      </c>
      <c r="E27">
        <f>L27</f>
        <v/>
      </c>
      <c r="F27" s="236">
        <f>Z27</f>
        <v/>
      </c>
      <c r="G27">
        <f>U27&amp;"%"</f>
        <v/>
      </c>
      <c r="I27" s="53" t="n">
        <v>2020</v>
      </c>
      <c r="J27" s="53" t="n">
        <v>26</v>
      </c>
      <c r="K27" s="71" t="inlineStr">
        <is>
          <t>Ausgaben</t>
        </is>
      </c>
      <c r="L27" t="inlineStr">
        <is>
          <t>Reise- und Fahrtspesen inkl. Kilometergeld und Diäten</t>
        </is>
      </c>
      <c r="M27" s="74" t="inlineStr">
        <is>
          <t>3293000008798136</t>
        </is>
      </c>
      <c r="N27" s="1" t="n">
        <v>43859</v>
      </c>
      <c r="O27" t="inlineStr">
        <is>
          <t>car2go Österreich GmbH, Hintere Zollamtstraße 9, 1030 Wien</t>
        </is>
      </c>
      <c r="Q27" s="76" t="n"/>
      <c r="R27" t="b">
        <v>0</v>
      </c>
      <c r="S27" s="214" t="n">
        <v>2.58</v>
      </c>
      <c r="T27" s="159" t="n">
        <v>1</v>
      </c>
      <c r="U27" t="n">
        <v>20</v>
      </c>
      <c r="V27" s="237" t="n">
        <v>0.516</v>
      </c>
      <c r="W27" s="237" t="n">
        <v>0.516</v>
      </c>
      <c r="X27" s="208" t="n">
        <v>2.58</v>
      </c>
      <c r="Y27" s="251" t="n">
        <v>3.096</v>
      </c>
      <c r="Z27" s="251" t="n">
        <v>3.096</v>
      </c>
      <c r="AA27" s="35" t="n">
        <v>43966</v>
      </c>
      <c r="AB27" s="27" t="n"/>
      <c r="AC27" s="27" t="n"/>
      <c r="AD27" s="210" t="n">
        <v>2.58</v>
      </c>
      <c r="AE27" s="237" t="n">
        <v>0</v>
      </c>
      <c r="AF27" t="b">
        <v>0</v>
      </c>
      <c r="AG27" s="228" t="n">
        <v>-2.58</v>
      </c>
    </row>
    <row r="28">
      <c r="A28">
        <f>I28&amp;"-"&amp;J28</f>
        <v/>
      </c>
      <c r="B28" s="1">
        <f>N28</f>
        <v/>
      </c>
      <c r="C28">
        <f>M28&amp;"/"&amp;O28</f>
        <v/>
      </c>
      <c r="D28">
        <f>K28</f>
        <v/>
      </c>
      <c r="E28">
        <f>L28</f>
        <v/>
      </c>
      <c r="F28" s="236">
        <f>Z28</f>
        <v/>
      </c>
      <c r="G28">
        <f>U28&amp;"%"</f>
        <v/>
      </c>
      <c r="I28" s="53" t="n">
        <v>2020</v>
      </c>
      <c r="J28" s="53" t="n">
        <v>27</v>
      </c>
      <c r="K28" s="71" t="inlineStr">
        <is>
          <t>Ausgaben</t>
        </is>
      </c>
      <c r="L28" t="inlineStr">
        <is>
          <t>Reise- und Fahrtspesen inkl. Kilometergeld und Diäten</t>
        </is>
      </c>
      <c r="M28" s="74" t="inlineStr">
        <is>
          <t>3293000008801077</t>
        </is>
      </c>
      <c r="N28" s="1" t="n">
        <v>43860</v>
      </c>
      <c r="O28" t="inlineStr">
        <is>
          <t>car2go Österreich GmbH, Hintere Zollamtstraße 9, 1030 Wien</t>
        </is>
      </c>
      <c r="Q28" s="76" t="n"/>
      <c r="R28" t="b">
        <v>0</v>
      </c>
      <c r="S28" s="214" t="n">
        <v>2.1</v>
      </c>
      <c r="T28" s="159" t="n">
        <v>1</v>
      </c>
      <c r="U28" t="n">
        <v>20</v>
      </c>
      <c r="V28" s="237" t="n">
        <v>0.42</v>
      </c>
      <c r="W28" s="237" t="n">
        <v>0.42</v>
      </c>
      <c r="X28" s="208" t="n">
        <v>2.1</v>
      </c>
      <c r="Y28" s="251" t="n">
        <v>2.52</v>
      </c>
      <c r="Z28" s="251" t="n">
        <v>2.52</v>
      </c>
      <c r="AA28" s="35" t="n">
        <v>43966</v>
      </c>
      <c r="AB28" s="27" t="n"/>
      <c r="AC28" s="27" t="n"/>
      <c r="AD28" s="210" t="n">
        <v>2.1</v>
      </c>
      <c r="AE28" s="237" t="n">
        <v>0</v>
      </c>
      <c r="AF28" t="b">
        <v>0</v>
      </c>
      <c r="AG28" s="228" t="n">
        <v>-2.1</v>
      </c>
    </row>
    <row r="29">
      <c r="A29">
        <f>I29&amp;"-"&amp;J29</f>
        <v/>
      </c>
      <c r="B29" s="1">
        <f>N29</f>
        <v/>
      </c>
      <c r="C29">
        <f>M29&amp;"/"&amp;O29</f>
        <v/>
      </c>
      <c r="D29">
        <f>K29</f>
        <v/>
      </c>
      <c r="E29">
        <f>L29</f>
        <v/>
      </c>
      <c r="F29" s="236">
        <f>Z29</f>
        <v/>
      </c>
      <c r="G29">
        <f>U29&amp;"%"</f>
        <v/>
      </c>
      <c r="I29" s="53" t="n">
        <v>2020</v>
      </c>
      <c r="J29" s="53" t="n">
        <v>28</v>
      </c>
      <c r="K29" s="71" t="inlineStr">
        <is>
          <t>Ausgaben</t>
        </is>
      </c>
      <c r="L29" t="inlineStr">
        <is>
          <t>Reise- und Fahrtspesen inkl. Kilometergeld und Diäten</t>
        </is>
      </c>
      <c r="M29" s="74" t="inlineStr">
        <is>
          <t>3293000008817893</t>
        </is>
      </c>
      <c r="N29" s="1" t="n">
        <v>43864</v>
      </c>
      <c r="O29" t="inlineStr">
        <is>
          <t>car2go Österreich GmbH, Hintere Zollamtstraße 9, 1030 Wien</t>
        </is>
      </c>
      <c r="Q29" s="76" t="n"/>
      <c r="R29" t="b">
        <v>0</v>
      </c>
      <c r="S29" s="214" t="n">
        <v>9.5</v>
      </c>
      <c r="T29" s="159" t="n">
        <v>1</v>
      </c>
      <c r="U29" t="n">
        <v>20</v>
      </c>
      <c r="V29" s="237" t="n">
        <v>1.9</v>
      </c>
      <c r="W29" s="237" t="n">
        <v>1.9</v>
      </c>
      <c r="X29" s="208" t="n">
        <v>9.5</v>
      </c>
      <c r="Y29" s="251" t="n">
        <v>11.4</v>
      </c>
      <c r="Z29" s="251" t="n">
        <v>11.4</v>
      </c>
      <c r="AA29" s="35" t="n">
        <v>43966</v>
      </c>
      <c r="AB29" s="27" t="n"/>
      <c r="AC29" s="27" t="n"/>
      <c r="AD29" s="210" t="n">
        <v>9.5</v>
      </c>
      <c r="AE29" s="237" t="n">
        <v>0</v>
      </c>
      <c r="AF29" t="b">
        <v>0</v>
      </c>
      <c r="AG29" s="228" t="n">
        <v>-9.5</v>
      </c>
    </row>
    <row r="30">
      <c r="A30">
        <f>I30&amp;"-"&amp;J30</f>
        <v/>
      </c>
      <c r="B30" s="1">
        <f>N30</f>
        <v/>
      </c>
      <c r="C30">
        <f>M30&amp;"/"&amp;O30</f>
        <v/>
      </c>
      <c r="D30">
        <f>K30</f>
        <v/>
      </c>
      <c r="E30">
        <f>L30</f>
        <v/>
      </c>
      <c r="F30" s="236">
        <f>Z30</f>
        <v/>
      </c>
      <c r="G30">
        <f>U30&amp;"%"</f>
        <v/>
      </c>
      <c r="I30" s="53" t="n">
        <v>2020</v>
      </c>
      <c r="J30" s="53" t="n">
        <v>29</v>
      </c>
      <c r="K30" s="71" t="inlineStr">
        <is>
          <t>Ausgaben</t>
        </is>
      </c>
      <c r="L30" t="inlineStr">
        <is>
          <t>Reise- und Fahrtspesen inkl. Kilometergeld und Diäten</t>
        </is>
      </c>
      <c r="M30" s="74" t="inlineStr">
        <is>
          <t>3293000008813656</t>
        </is>
      </c>
      <c r="N30" s="1" t="n">
        <v>43864</v>
      </c>
      <c r="O30" t="inlineStr">
        <is>
          <t>car2go Österreich GmbH, Hintere Zollamtstraße 9, 1030 Wien</t>
        </is>
      </c>
      <c r="Q30" s="76" t="n"/>
      <c r="R30" t="b">
        <v>0</v>
      </c>
      <c r="S30" s="214" t="n">
        <v>6</v>
      </c>
      <c r="T30" s="159" t="n">
        <v>1</v>
      </c>
      <c r="U30" t="n">
        <v>20</v>
      </c>
      <c r="V30" s="237" t="n">
        <v>1.2</v>
      </c>
      <c r="W30" s="237" t="n">
        <v>1.2</v>
      </c>
      <c r="X30" s="208" t="n">
        <v>6</v>
      </c>
      <c r="Y30" s="251" t="n">
        <v>7.2</v>
      </c>
      <c r="Z30" s="251" t="n">
        <v>7.2</v>
      </c>
      <c r="AA30" s="35" t="n">
        <v>43966</v>
      </c>
      <c r="AB30" s="27" t="n"/>
      <c r="AC30" s="27" t="n"/>
      <c r="AD30" s="210" t="n">
        <v>6</v>
      </c>
      <c r="AE30" s="237" t="n">
        <v>0</v>
      </c>
      <c r="AF30" t="b">
        <v>0</v>
      </c>
      <c r="AG30" s="228" t="n">
        <v>-6</v>
      </c>
    </row>
    <row r="31">
      <c r="A31">
        <f>I31&amp;"-"&amp;J31</f>
        <v/>
      </c>
      <c r="B31" s="1">
        <f>N31</f>
        <v/>
      </c>
      <c r="C31">
        <f>M31&amp;"/"&amp;O31</f>
        <v/>
      </c>
      <c r="D31">
        <f>K31</f>
        <v/>
      </c>
      <c r="E31">
        <f>L31</f>
        <v/>
      </c>
      <c r="F31" s="236">
        <f>Z31</f>
        <v/>
      </c>
      <c r="G31">
        <f>U31&amp;"%"</f>
        <v/>
      </c>
      <c r="I31" s="53" t="n">
        <v>2020</v>
      </c>
      <c r="J31" s="53" t="n">
        <v>30</v>
      </c>
      <c r="K31" s="71" t="inlineStr">
        <is>
          <t>Ausgaben</t>
        </is>
      </c>
      <c r="L31" t="inlineStr">
        <is>
          <t>Miet- und Pachtaufwand, Leasing</t>
        </is>
      </c>
      <c r="M31" s="74" t="inlineStr">
        <is>
          <t>20/9801/VS00043</t>
        </is>
      </c>
      <c r="N31" s="1" t="n">
        <v>43864</v>
      </c>
      <c r="O31" t="inlineStr">
        <is>
          <t>Bontus Immobilienverwaltung GmbH, 1010 Wien, Franz Josefs Kai 65</t>
        </is>
      </c>
      <c r="Q31" s="76" t="n"/>
      <c r="R31" t="b">
        <v>0</v>
      </c>
      <c r="S31" s="214" t="n">
        <v>462.44</v>
      </c>
      <c r="T31" s="159" t="n">
        <v>1</v>
      </c>
      <c r="U31" t="n">
        <v>20</v>
      </c>
      <c r="V31" s="237" t="n">
        <v>92.488</v>
      </c>
      <c r="W31" s="237" t="n">
        <v>92.488</v>
      </c>
      <c r="X31" s="208" t="n">
        <v>462.44</v>
      </c>
      <c r="Y31" s="251" t="n">
        <v>554.928</v>
      </c>
      <c r="Z31" s="251" t="n">
        <v>554.928</v>
      </c>
      <c r="AA31" s="35" t="n">
        <v>43966</v>
      </c>
      <c r="AB31" s="27" t="n"/>
      <c r="AC31" s="27" t="n"/>
      <c r="AD31" s="210" t="n">
        <v>462.44</v>
      </c>
      <c r="AE31" s="237" t="n">
        <v>0</v>
      </c>
      <c r="AF31" t="b">
        <v>0</v>
      </c>
      <c r="AG31" s="228" t="n">
        <v>-462.44</v>
      </c>
    </row>
    <row r="32">
      <c r="A32">
        <f>I32&amp;"-"&amp;J32</f>
        <v/>
      </c>
      <c r="B32" s="1">
        <f>N32</f>
        <v/>
      </c>
      <c r="C32">
        <f>M32&amp;"/"&amp;O32</f>
        <v/>
      </c>
      <c r="D32">
        <f>K32</f>
        <v/>
      </c>
      <c r="E32">
        <f>L32</f>
        <v/>
      </c>
      <c r="F32" s="236">
        <f>Z32</f>
        <v/>
      </c>
      <c r="G32">
        <f>U32&amp;"%"</f>
        <v/>
      </c>
      <c r="I32" s="53" t="n">
        <v>2020</v>
      </c>
      <c r="J32" s="53" t="n">
        <v>31</v>
      </c>
      <c r="K32" s="71" t="inlineStr">
        <is>
          <t>Ausgaben</t>
        </is>
      </c>
      <c r="L32" t="inlineStr">
        <is>
          <t>Reise- und Fahrtspesen inkl. Kilometergeld und Diäten</t>
        </is>
      </c>
      <c r="M32" s="74" t="inlineStr">
        <is>
          <t>3293000008839656</t>
        </is>
      </c>
      <c r="N32" s="1" t="n">
        <v>43864</v>
      </c>
      <c r="O32" t="inlineStr">
        <is>
          <t>car2go Österreich GmbH, Hintere Zollamtstraße 9, 1030 Wien</t>
        </is>
      </c>
      <c r="Q32" s="76" t="n"/>
      <c r="R32" t="b">
        <v>0</v>
      </c>
      <c r="S32" s="214" t="n">
        <v>2.58</v>
      </c>
      <c r="T32" s="159" t="n">
        <v>1</v>
      </c>
      <c r="U32" t="n">
        <v>20</v>
      </c>
      <c r="V32" s="237" t="n">
        <v>0.516</v>
      </c>
      <c r="W32" s="237" t="n">
        <v>0.516</v>
      </c>
      <c r="X32" s="208" t="n">
        <v>2.58</v>
      </c>
      <c r="Y32" s="251" t="n">
        <v>3.096</v>
      </c>
      <c r="Z32" s="251" t="n">
        <v>3.096</v>
      </c>
      <c r="AA32" s="35" t="n">
        <v>43966</v>
      </c>
      <c r="AB32" s="27" t="n"/>
      <c r="AC32" s="27" t="n"/>
      <c r="AD32" s="210" t="n">
        <v>2.58</v>
      </c>
      <c r="AE32" s="237" t="n">
        <v>0</v>
      </c>
      <c r="AF32" t="b">
        <v>0</v>
      </c>
      <c r="AG32" s="228" t="n">
        <v>-2.58</v>
      </c>
    </row>
    <row r="33">
      <c r="A33">
        <f>I33&amp;"-"&amp;J33</f>
        <v/>
      </c>
      <c r="B33" s="1">
        <f>N33</f>
        <v/>
      </c>
      <c r="C33">
        <f>M33&amp;"/"&amp;O33</f>
        <v/>
      </c>
      <c r="D33">
        <f>K33</f>
        <v/>
      </c>
      <c r="E33">
        <f>L33</f>
        <v/>
      </c>
      <c r="F33" s="236">
        <f>Z33</f>
        <v/>
      </c>
      <c r="G33">
        <f>U33&amp;"%"</f>
        <v/>
      </c>
      <c r="I33" s="53" t="n">
        <v>2020</v>
      </c>
      <c r="J33" s="53" t="n">
        <v>32</v>
      </c>
      <c r="K33" s="71" t="inlineStr">
        <is>
          <t>Ausgaben</t>
        </is>
      </c>
      <c r="L33" t="inlineStr">
        <is>
          <t>sonstige Betriebsausgaben</t>
        </is>
      </c>
      <c r="M33" s="88" t="inlineStr">
        <is>
          <t>BELEG FEHLT</t>
        </is>
      </c>
      <c r="N33" s="1" t="n">
        <v>43865</v>
      </c>
      <c r="O33" t="inlineStr">
        <is>
          <t>Aon Austria GmbH</t>
        </is>
      </c>
      <c r="Q33" s="76" t="n"/>
      <c r="R33" t="b">
        <v>0</v>
      </c>
      <c r="S33" s="214" t="n">
        <v>196.3333333333333</v>
      </c>
      <c r="T33" s="159" t="n">
        <v>1</v>
      </c>
      <c r="U33" t="n">
        <v>20</v>
      </c>
      <c r="V33" s="237" t="n">
        <v>39.26666666666667</v>
      </c>
      <c r="W33" s="237" t="n">
        <v>39.26666666666667</v>
      </c>
      <c r="X33" s="208" t="n">
        <v>196.3333333333333</v>
      </c>
      <c r="Y33" s="251" t="n">
        <v>235.6</v>
      </c>
      <c r="Z33" s="251" t="n">
        <v>235.6</v>
      </c>
      <c r="AA33" s="35" t="n">
        <v>43966</v>
      </c>
      <c r="AB33" s="27" t="n"/>
      <c r="AC33" s="27" t="n"/>
      <c r="AD33" s="210" t="n">
        <v>196.3333333333333</v>
      </c>
      <c r="AE33" s="237" t="n">
        <v>0</v>
      </c>
      <c r="AF33" t="b">
        <v>0</v>
      </c>
      <c r="AG33" s="228" t="n">
        <v>-196.3333333333333</v>
      </c>
    </row>
    <row r="34">
      <c r="A34">
        <f>I34&amp;"-"&amp;J34</f>
        <v/>
      </c>
      <c r="B34" s="1">
        <f>N34</f>
        <v/>
      </c>
      <c r="C34">
        <f>M34&amp;"/"&amp;O34</f>
        <v/>
      </c>
      <c r="D34">
        <f>K34</f>
        <v/>
      </c>
      <c r="E34">
        <f>L34</f>
        <v/>
      </c>
      <c r="F34" s="236">
        <f>Z34</f>
        <v/>
      </c>
      <c r="G34">
        <f>U34&amp;"%"</f>
        <v/>
      </c>
      <c r="I34" s="53" t="n">
        <v>2020</v>
      </c>
      <c r="J34" s="53" t="n">
        <v>33</v>
      </c>
      <c r="K34" s="71" t="inlineStr">
        <is>
          <t>Ausgaben</t>
        </is>
      </c>
      <c r="L34" t="inlineStr">
        <is>
          <t>sonstige Betriebsausgaben</t>
        </is>
      </c>
      <c r="M34" s="74" t="inlineStr">
        <is>
          <t>807693</t>
        </is>
      </c>
      <c r="N34" s="1" t="n">
        <v>43866</v>
      </c>
      <c r="O34" t="inlineStr">
        <is>
          <t>easy green energy</t>
        </is>
      </c>
      <c r="Q34" s="76" t="n"/>
      <c r="R34" t="b">
        <v>0</v>
      </c>
      <c r="S34" s="214" t="n">
        <v>2.5</v>
      </c>
      <c r="T34" s="159" t="n">
        <v>1</v>
      </c>
      <c r="U34" t="n">
        <v>20</v>
      </c>
      <c r="V34" s="237" t="n">
        <v>0.5</v>
      </c>
      <c r="W34" s="237" t="n">
        <v>0.5</v>
      </c>
      <c r="X34" s="208" t="n">
        <v>2.5</v>
      </c>
      <c r="Y34" s="251" t="n">
        <v>3</v>
      </c>
      <c r="Z34" s="251" t="n">
        <v>3</v>
      </c>
      <c r="AA34" s="35" t="n">
        <v>43966</v>
      </c>
      <c r="AB34" s="27" t="n"/>
      <c r="AC34" s="27" t="n"/>
      <c r="AD34" s="210" t="n">
        <v>2.5</v>
      </c>
      <c r="AE34" s="237" t="n">
        <v>0</v>
      </c>
      <c r="AF34" t="b">
        <v>0</v>
      </c>
      <c r="AG34" s="228" t="n">
        <v>-2.5</v>
      </c>
    </row>
    <row r="35">
      <c r="A35">
        <f>I35&amp;"-"&amp;J35</f>
        <v/>
      </c>
      <c r="B35" s="1">
        <f>N35</f>
        <v/>
      </c>
      <c r="C35">
        <f>M35&amp;"/"&amp;O35</f>
        <v/>
      </c>
      <c r="D35">
        <f>K35</f>
        <v/>
      </c>
      <c r="E35">
        <f>L35</f>
        <v/>
      </c>
      <c r="F35" s="236">
        <f>Z35</f>
        <v/>
      </c>
      <c r="G35">
        <f>U35&amp;"%"</f>
        <v/>
      </c>
      <c r="I35" s="53" t="n">
        <v>2020</v>
      </c>
      <c r="J35" s="53" t="n">
        <v>34</v>
      </c>
      <c r="K35" s="71" t="inlineStr">
        <is>
          <t>Ausgaben</t>
        </is>
      </c>
      <c r="L35" t="inlineStr">
        <is>
          <t>Waren, Rohstoffe, Hilfsstoffe</t>
        </is>
      </c>
      <c r="M35" s="74" t="inlineStr">
        <is>
          <t>AEU-INV-PL-2020-610134</t>
        </is>
      </c>
      <c r="N35" s="1" t="n">
        <v>43866</v>
      </c>
      <c r="O35" t="inlineStr">
        <is>
          <t>Amazon EU S. à r.l., 38 avenue John F. Kennedy, L-1855 Luxembourg: HJEU: DVI-HDMI, Logitech Maus</t>
        </is>
      </c>
      <c r="Q35" s="76" t="n"/>
      <c r="R35" t="b">
        <v>0</v>
      </c>
      <c r="S35" s="214" t="n">
        <v>6.21</v>
      </c>
      <c r="T35" s="159" t="n">
        <v>1</v>
      </c>
      <c r="U35" t="n">
        <v>0</v>
      </c>
      <c r="V35" s="237" t="n">
        <v>0</v>
      </c>
      <c r="W35" s="237" t="n">
        <v>0</v>
      </c>
      <c r="X35" s="208" t="n">
        <v>6.21</v>
      </c>
      <c r="Y35" s="251" t="n">
        <v>6.21</v>
      </c>
      <c r="Z35" s="251" t="n">
        <v>6.21</v>
      </c>
      <c r="AA35" s="35" t="n">
        <v>43966</v>
      </c>
      <c r="AB35" s="27" t="n"/>
      <c r="AC35" s="27" t="n">
        <v>20</v>
      </c>
      <c r="AD35" s="210" t="n">
        <v>6.21</v>
      </c>
      <c r="AE35" s="237" t="n">
        <v>1.242</v>
      </c>
      <c r="AF35" t="b">
        <v>0</v>
      </c>
      <c r="AG35" s="228" t="n">
        <v>-6.21</v>
      </c>
    </row>
    <row r="36">
      <c r="A36">
        <f>I36&amp;"-"&amp;J36</f>
        <v/>
      </c>
      <c r="B36" s="1">
        <f>N36</f>
        <v/>
      </c>
      <c r="C36">
        <f>M36&amp;"/"&amp;O36</f>
        <v/>
      </c>
      <c r="D36">
        <f>K36</f>
        <v/>
      </c>
      <c r="E36">
        <f>L36</f>
        <v/>
      </c>
      <c r="F36" s="236">
        <f>Z36</f>
        <v/>
      </c>
      <c r="G36">
        <f>U36&amp;"%"</f>
        <v/>
      </c>
      <c r="I36" s="53" t="n">
        <v>2020</v>
      </c>
      <c r="J36" s="53" t="n">
        <v>35</v>
      </c>
      <c r="K36" s="71" t="inlineStr">
        <is>
          <t>Ausgaben</t>
        </is>
      </c>
      <c r="L36" t="inlineStr">
        <is>
          <t>Reise- und Fahrtspesen inkl. Kilometergeld und Diäten</t>
        </is>
      </c>
      <c r="M36" s="74" t="inlineStr">
        <is>
          <t>3293000008849768</t>
        </is>
      </c>
      <c r="N36" s="1" t="n">
        <v>43867</v>
      </c>
      <c r="O36" t="inlineStr">
        <is>
          <t>car2go Österreich GmbH, Hintere Zollamtstraße 9, 1030 Wien</t>
        </is>
      </c>
      <c r="Q36" s="76" t="n"/>
      <c r="R36" t="b">
        <v>0</v>
      </c>
      <c r="S36" s="214" t="n">
        <v>2.07</v>
      </c>
      <c r="T36" s="159" t="n">
        <v>1</v>
      </c>
      <c r="U36" t="n">
        <v>20</v>
      </c>
      <c r="V36" s="237" t="n">
        <v>0.414</v>
      </c>
      <c r="W36" s="237" t="n">
        <v>0.414</v>
      </c>
      <c r="X36" s="208" t="n">
        <v>2.07</v>
      </c>
      <c r="Y36" s="251" t="n">
        <v>2.484</v>
      </c>
      <c r="Z36" s="251" t="n">
        <v>2.484</v>
      </c>
      <c r="AA36" s="35" t="n">
        <v>43966</v>
      </c>
      <c r="AB36" s="27" t="n"/>
      <c r="AC36" s="27" t="n"/>
      <c r="AD36" s="210" t="n">
        <v>2.07</v>
      </c>
      <c r="AE36" s="237" t="n">
        <v>0</v>
      </c>
      <c r="AF36" t="b">
        <v>0</v>
      </c>
      <c r="AG36" s="228" t="n">
        <v>-2.07</v>
      </c>
    </row>
    <row r="37">
      <c r="A37">
        <f>I37&amp;"-"&amp;J37</f>
        <v/>
      </c>
      <c r="B37" s="1">
        <f>N37</f>
        <v/>
      </c>
      <c r="C37">
        <f>M37&amp;"/"&amp;O37</f>
        <v/>
      </c>
      <c r="D37">
        <f>K37</f>
        <v/>
      </c>
      <c r="E37">
        <f>L37</f>
        <v/>
      </c>
      <c r="F37" s="236">
        <f>Z37</f>
        <v/>
      </c>
      <c r="G37">
        <f>U37&amp;"%"</f>
        <v/>
      </c>
      <c r="I37" s="53" t="n">
        <v>2020</v>
      </c>
      <c r="J37" s="53" t="n">
        <v>36</v>
      </c>
      <c r="K37" s="71" t="inlineStr">
        <is>
          <t>Ausgaben</t>
        </is>
      </c>
      <c r="L37" t="inlineStr">
        <is>
          <t>Reise- und Fahrtspesen inkl. Kilometergeld und Diäten</t>
        </is>
      </c>
      <c r="M37" s="74" t="inlineStr">
        <is>
          <t>3293000008843435</t>
        </is>
      </c>
      <c r="N37" s="1" t="n">
        <v>43867</v>
      </c>
      <c r="O37" t="inlineStr">
        <is>
          <t>car2go Österreich GmbH, Hintere Zollamtstraße 9, 1030 Wien</t>
        </is>
      </c>
      <c r="Q37" s="76" t="n"/>
      <c r="R37" t="b">
        <v>0</v>
      </c>
      <c r="S37" s="214" t="n">
        <v>2.07</v>
      </c>
      <c r="T37" s="159" t="n">
        <v>1</v>
      </c>
      <c r="U37" t="n">
        <v>20</v>
      </c>
      <c r="V37" s="237" t="n">
        <v>0.414</v>
      </c>
      <c r="W37" s="237" t="n">
        <v>0.414</v>
      </c>
      <c r="X37" s="208" t="n">
        <v>2.07</v>
      </c>
      <c r="Y37" s="251" t="n">
        <v>2.484</v>
      </c>
      <c r="Z37" s="251" t="n">
        <v>2.484</v>
      </c>
      <c r="AA37" s="35" t="n">
        <v>43966</v>
      </c>
      <c r="AB37" s="27" t="n"/>
      <c r="AC37" s="27" t="n"/>
      <c r="AD37" s="210" t="n">
        <v>2.07</v>
      </c>
      <c r="AE37" s="237" t="n">
        <v>0</v>
      </c>
      <c r="AF37" t="b">
        <v>0</v>
      </c>
      <c r="AG37" s="228" t="n">
        <v>-2.07</v>
      </c>
    </row>
    <row r="38">
      <c r="A38">
        <f>I38&amp;"-"&amp;J38</f>
        <v/>
      </c>
      <c r="B38" s="1">
        <f>N38</f>
        <v/>
      </c>
      <c r="C38">
        <f>M38&amp;"/"&amp;O38</f>
        <v/>
      </c>
      <c r="D38">
        <f>K38</f>
        <v/>
      </c>
      <c r="E38">
        <f>L38</f>
        <v/>
      </c>
      <c r="F38" s="236">
        <f>Z38</f>
        <v/>
      </c>
      <c r="G38">
        <f>U38&amp;"%"</f>
        <v/>
      </c>
      <c r="I38" s="53" t="n">
        <v>2020</v>
      </c>
      <c r="J38" s="53" t="n">
        <v>37</v>
      </c>
      <c r="K38" s="71" t="inlineStr">
        <is>
          <t>Ausgaben</t>
        </is>
      </c>
      <c r="L38" t="inlineStr">
        <is>
          <t>sonstige Betriebsausgaben</t>
        </is>
      </c>
      <c r="M38" s="74" t="inlineStr">
        <is>
          <t>DT-VO/20-01-031-9351764</t>
        </is>
      </c>
      <c r="N38" s="1" t="n">
        <v>43867</v>
      </c>
      <c r="O38" t="inlineStr">
        <is>
          <t>Techem Messtechnik GmbH; Abnehmernummer 501686-0003-11-(</t>
        </is>
      </c>
      <c r="Q38" s="76" t="n"/>
      <c r="R38" t="b">
        <v>0</v>
      </c>
      <c r="S38" s="214" t="n">
        <v>36.58333333333334</v>
      </c>
      <c r="T38" s="159" t="n">
        <v>1</v>
      </c>
      <c r="U38" t="n">
        <v>20</v>
      </c>
      <c r="V38" s="237" t="n">
        <v>7.316666666666667</v>
      </c>
      <c r="W38" s="237" t="n">
        <v>7.316666666666667</v>
      </c>
      <c r="X38" s="208" t="n">
        <v>36.58333333333334</v>
      </c>
      <c r="Y38" s="251" t="n">
        <v>43.90000000000001</v>
      </c>
      <c r="Z38" s="251" t="n">
        <v>43.90000000000001</v>
      </c>
      <c r="AA38" s="35" t="n">
        <v>43966</v>
      </c>
      <c r="AB38" s="27" t="n"/>
      <c r="AC38" s="27" t="n"/>
      <c r="AD38" s="210" t="n">
        <v>36.58333333333334</v>
      </c>
      <c r="AE38" s="237" t="n">
        <v>0</v>
      </c>
      <c r="AF38" t="b">
        <v>0</v>
      </c>
      <c r="AG38" s="228" t="n">
        <v>-36.58333333333334</v>
      </c>
    </row>
    <row r="39">
      <c r="A39">
        <f>I39&amp;"-"&amp;J39</f>
        <v/>
      </c>
      <c r="B39" s="1">
        <f>N39</f>
        <v/>
      </c>
      <c r="C39">
        <f>M39&amp;"/"&amp;O39</f>
        <v/>
      </c>
      <c r="D39">
        <f>K39</f>
        <v/>
      </c>
      <c r="E39">
        <f>L39</f>
        <v/>
      </c>
      <c r="F39" s="236">
        <f>Z39</f>
        <v/>
      </c>
      <c r="G39">
        <f>U39&amp;"%"</f>
        <v/>
      </c>
      <c r="I39" s="53" t="n">
        <v>2020</v>
      </c>
      <c r="J39" s="53" t="n">
        <v>38</v>
      </c>
      <c r="K39" s="71" t="inlineStr">
        <is>
          <t>Ausgaben</t>
        </is>
      </c>
      <c r="L39" t="inlineStr">
        <is>
          <t>Waren, Rohstoffe, Hilfsstoffe</t>
        </is>
      </c>
      <c r="M39" s="74" t="inlineStr">
        <is>
          <t>AEU-INV-PL-2020-630433</t>
        </is>
      </c>
      <c r="N39" s="1" t="n">
        <v>43867</v>
      </c>
      <c r="O39" t="inlineStr">
        <is>
          <t>Amazon EU S. à r.l., 38 avenue John F. Kennedy, L-1855 Luxembourg: HJEU: DVI-HDMI, Logitech Maus</t>
        </is>
      </c>
      <c r="Q39" s="76" t="n"/>
      <c r="R39" t="b">
        <v>0</v>
      </c>
      <c r="S39" s="214" t="n">
        <v>39.82</v>
      </c>
      <c r="T39" s="159" t="n">
        <v>1</v>
      </c>
      <c r="U39" t="n">
        <v>0</v>
      </c>
      <c r="V39" s="237" t="n">
        <v>0</v>
      </c>
      <c r="W39" s="237" t="n">
        <v>0</v>
      </c>
      <c r="X39" s="208" t="n">
        <v>39.82</v>
      </c>
      <c r="Y39" s="251" t="n">
        <v>39.82</v>
      </c>
      <c r="Z39" s="251" t="n">
        <v>39.82</v>
      </c>
      <c r="AA39" s="35" t="n">
        <v>43966</v>
      </c>
      <c r="AB39" s="27" t="n"/>
      <c r="AC39" s="27" t="n">
        <v>20</v>
      </c>
      <c r="AD39" s="210" t="n">
        <v>39.82</v>
      </c>
      <c r="AE39" s="237" t="n">
        <v>7.964</v>
      </c>
      <c r="AF39" t="b">
        <v>0</v>
      </c>
      <c r="AG39" s="228" t="n">
        <v>-39.82</v>
      </c>
    </row>
    <row r="40">
      <c r="A40">
        <f>I40&amp;"-"&amp;J40</f>
        <v/>
      </c>
      <c r="B40" s="1">
        <f>N40</f>
        <v/>
      </c>
      <c r="C40">
        <f>M40&amp;"/"&amp;O40</f>
        <v/>
      </c>
      <c r="D40">
        <f>K40</f>
        <v/>
      </c>
      <c r="E40">
        <f>L40</f>
        <v/>
      </c>
      <c r="F40" s="236">
        <f>Z40</f>
        <v/>
      </c>
      <c r="G40">
        <f>U40&amp;"%"</f>
        <v/>
      </c>
      <c r="I40" s="53" t="n">
        <v>2020</v>
      </c>
      <c r="J40" s="53" t="n">
        <v>39</v>
      </c>
      <c r="K40" s="71" t="inlineStr">
        <is>
          <t>Ausgaben</t>
        </is>
      </c>
      <c r="L40" t="inlineStr">
        <is>
          <t>Telefon/Internet</t>
        </is>
      </c>
      <c r="M40" s="74" t="inlineStr">
        <is>
          <t>6193771061</t>
        </is>
      </c>
      <c r="N40" s="1" t="n">
        <v>43867</v>
      </c>
      <c r="O40" t="inlineStr">
        <is>
          <t>Hutchison Drei Austria GmbH, Brünner Straße 52, 1210 Wien, Österreich</t>
        </is>
      </c>
      <c r="Q40" s="76" t="n"/>
      <c r="R40" t="b">
        <v>0</v>
      </c>
      <c r="S40" s="214" t="n">
        <v>15.19</v>
      </c>
      <c r="T40" s="159" t="n">
        <v>1</v>
      </c>
      <c r="U40" t="n">
        <v>20</v>
      </c>
      <c r="V40" s="237" t="n">
        <v>3.038</v>
      </c>
      <c r="W40" s="237" t="n">
        <v>3.038</v>
      </c>
      <c r="X40" s="208" t="n">
        <v>15.19</v>
      </c>
      <c r="Y40" s="251" t="n">
        <v>18.228</v>
      </c>
      <c r="Z40" s="251" t="n">
        <v>18.228</v>
      </c>
      <c r="AA40" s="35" t="n">
        <v>43966</v>
      </c>
      <c r="AB40" s="27" t="n"/>
      <c r="AC40" s="27" t="n"/>
      <c r="AD40" s="210" t="n">
        <v>15.19</v>
      </c>
      <c r="AE40" s="237" t="n">
        <v>0</v>
      </c>
      <c r="AF40" t="b">
        <v>0</v>
      </c>
      <c r="AG40" s="228" t="n">
        <v>-15.19</v>
      </c>
    </row>
    <row r="41">
      <c r="A41">
        <f>I41&amp;"-"&amp;J41</f>
        <v/>
      </c>
      <c r="B41" s="1">
        <f>N41</f>
        <v/>
      </c>
      <c r="C41">
        <f>M41&amp;"/"&amp;O41</f>
        <v/>
      </c>
      <c r="D41">
        <f>K41</f>
        <v/>
      </c>
      <c r="E41">
        <f>L41</f>
        <v/>
      </c>
      <c r="F41" s="236">
        <f>Z41</f>
        <v/>
      </c>
      <c r="G41">
        <f>U41&amp;"%"</f>
        <v/>
      </c>
      <c r="I41" s="53" t="n">
        <v>2020</v>
      </c>
      <c r="J41" s="53" t="n">
        <v>40</v>
      </c>
      <c r="K41" s="71" t="inlineStr">
        <is>
          <t>Ausgaben</t>
        </is>
      </c>
      <c r="L41" t="inlineStr">
        <is>
          <t>sonstige Betriebsausgaben</t>
        </is>
      </c>
      <c r="M41" s="74" t="inlineStr">
        <is>
          <t>5112142283</t>
        </is>
      </c>
      <c r="N41" s="1" t="n">
        <v>43871</v>
      </c>
      <c r="O41" t="inlineStr">
        <is>
          <t>Wiener Netze GmbH, Erdbergstraße 236, 1110 Wien, Postfach 422</t>
        </is>
      </c>
      <c r="Q41" s="76" t="n"/>
      <c r="R41" t="b">
        <v>0</v>
      </c>
      <c r="S41" s="214" t="n">
        <v>29</v>
      </c>
      <c r="T41" s="159" t="n">
        <v>1</v>
      </c>
      <c r="U41" t="n">
        <v>20</v>
      </c>
      <c r="V41" s="237" t="n">
        <v>5.8</v>
      </c>
      <c r="W41" s="237" t="n">
        <v>5.8</v>
      </c>
      <c r="X41" s="208" t="n">
        <v>29</v>
      </c>
      <c r="Y41" s="251" t="n">
        <v>34.8</v>
      </c>
      <c r="Z41" s="251" t="n">
        <v>34.8</v>
      </c>
      <c r="AA41" s="35" t="n">
        <v>43966</v>
      </c>
      <c r="AB41" s="27" t="n"/>
      <c r="AC41" s="27" t="n"/>
      <c r="AD41" s="210" t="n">
        <v>29</v>
      </c>
      <c r="AE41" s="237" t="n">
        <v>0</v>
      </c>
      <c r="AF41" t="b">
        <v>0</v>
      </c>
      <c r="AG41" s="228" t="n">
        <v>-29</v>
      </c>
    </row>
    <row r="42">
      <c r="A42">
        <f>I42&amp;"-"&amp;J42</f>
        <v/>
      </c>
      <c r="B42" s="1">
        <f>N42</f>
        <v/>
      </c>
      <c r="C42">
        <f>M42&amp;"/"&amp;O42</f>
        <v/>
      </c>
      <c r="D42">
        <f>K42</f>
        <v/>
      </c>
      <c r="E42">
        <f>L42</f>
        <v/>
      </c>
      <c r="F42" s="236">
        <f>Z42</f>
        <v/>
      </c>
      <c r="G42">
        <f>U42&amp;"%"</f>
        <v/>
      </c>
      <c r="I42" s="53" t="n">
        <v>2020</v>
      </c>
      <c r="J42" s="53" t="n">
        <v>41</v>
      </c>
      <c r="K42" s="71" t="inlineStr">
        <is>
          <t>Ausgaben</t>
        </is>
      </c>
      <c r="L42" t="inlineStr">
        <is>
          <t>Reise- und Fahrtspesen inkl. Kilometergeld und Diäten</t>
        </is>
      </c>
      <c r="M42" s="74" t="inlineStr">
        <is>
          <t>3293000008864776</t>
        </is>
      </c>
      <c r="N42" s="1" t="n">
        <v>43871</v>
      </c>
      <c r="O42" t="inlineStr">
        <is>
          <t>car2go Österreich GmbH, Hintere Zollamtstraße 9, 1030 Wien</t>
        </is>
      </c>
      <c r="Q42" s="76" t="n"/>
      <c r="R42" t="b">
        <v>0</v>
      </c>
      <c r="S42" s="214" t="n">
        <v>2.87</v>
      </c>
      <c r="T42" s="159" t="n">
        <v>1</v>
      </c>
      <c r="U42" t="n">
        <v>20</v>
      </c>
      <c r="V42" s="237" t="n">
        <v>0.5740000000000001</v>
      </c>
      <c r="W42" s="237" t="n">
        <v>0.5740000000000001</v>
      </c>
      <c r="X42" s="208" t="n">
        <v>2.87</v>
      </c>
      <c r="Y42" s="251" t="n">
        <v>3.444</v>
      </c>
      <c r="Z42" s="251" t="n">
        <v>3.444</v>
      </c>
      <c r="AA42" s="35" t="n">
        <v>43966</v>
      </c>
      <c r="AB42" s="27" t="n"/>
      <c r="AC42" s="27" t="n"/>
      <c r="AD42" s="210" t="n">
        <v>2.87</v>
      </c>
      <c r="AE42" s="237" t="n">
        <v>0</v>
      </c>
      <c r="AF42" t="b">
        <v>0</v>
      </c>
      <c r="AG42" s="228" t="n">
        <v>-2.87</v>
      </c>
    </row>
    <row r="43">
      <c r="A43">
        <f>I43&amp;"-"&amp;J43</f>
        <v/>
      </c>
      <c r="B43" s="1">
        <f>N43</f>
        <v/>
      </c>
      <c r="C43">
        <f>M43&amp;"/"&amp;O43</f>
        <v/>
      </c>
      <c r="D43">
        <f>K43</f>
        <v/>
      </c>
      <c r="E43">
        <f>L43</f>
        <v/>
      </c>
      <c r="F43" s="236">
        <f>Z43</f>
        <v/>
      </c>
      <c r="G43">
        <f>U43&amp;"%"</f>
        <v/>
      </c>
      <c r="I43" s="53" t="n">
        <v>2020</v>
      </c>
      <c r="J43" s="53" t="n">
        <v>42</v>
      </c>
      <c r="K43" s="71" t="inlineStr">
        <is>
          <t>Ausgaben</t>
        </is>
      </c>
      <c r="L43" t="inlineStr">
        <is>
          <t>Reise- und Fahrtspesen inkl. Kilometergeld und Diäten</t>
        </is>
      </c>
      <c r="M43" s="74" t="inlineStr">
        <is>
          <t>3293000008862527</t>
        </is>
      </c>
      <c r="N43" s="1" t="n">
        <v>43871</v>
      </c>
      <c r="O43" t="inlineStr">
        <is>
          <t>car2go Österreich GmbH, Hintere Zollamtstraße 9, 1030 Wien</t>
        </is>
      </c>
      <c r="Q43" s="76" t="n"/>
      <c r="R43" t="b">
        <v>0</v>
      </c>
      <c r="S43" s="214" t="n">
        <v>1.81</v>
      </c>
      <c r="T43" s="159" t="n">
        <v>1</v>
      </c>
      <c r="U43" t="n">
        <v>20</v>
      </c>
      <c r="V43" s="237" t="n">
        <v>0.362</v>
      </c>
      <c r="W43" s="237" t="n">
        <v>0.362</v>
      </c>
      <c r="X43" s="208" t="n">
        <v>1.81</v>
      </c>
      <c r="Y43" s="251" t="n">
        <v>2.172</v>
      </c>
      <c r="Z43" s="251" t="n">
        <v>2.172</v>
      </c>
      <c r="AA43" s="35" t="n">
        <v>43966</v>
      </c>
      <c r="AB43" s="27" t="n"/>
      <c r="AC43" s="27" t="n"/>
      <c r="AD43" s="210" t="n">
        <v>1.81</v>
      </c>
      <c r="AE43" s="237" t="n">
        <v>0</v>
      </c>
      <c r="AF43" t="b">
        <v>0</v>
      </c>
      <c r="AG43" s="228" t="n">
        <v>-1.81</v>
      </c>
    </row>
    <row r="44">
      <c r="A44">
        <f>I44&amp;"-"&amp;J44</f>
        <v/>
      </c>
      <c r="B44" s="1">
        <f>N44</f>
        <v/>
      </c>
      <c r="C44">
        <f>M44&amp;"/"&amp;O44</f>
        <v/>
      </c>
      <c r="D44">
        <f>K44</f>
        <v/>
      </c>
      <c r="E44">
        <f>L44</f>
        <v/>
      </c>
      <c r="F44" s="236">
        <f>Z44</f>
        <v/>
      </c>
      <c r="G44">
        <f>U44&amp;"%"</f>
        <v/>
      </c>
      <c r="I44" s="53" t="n">
        <v>2020</v>
      </c>
      <c r="J44" s="53" t="n">
        <v>43</v>
      </c>
      <c r="K44" s="71" t="inlineStr">
        <is>
          <t>Ausgaben</t>
        </is>
      </c>
      <c r="L44" t="inlineStr">
        <is>
          <t>Reise- und Fahrtspesen inkl. Kilometergeld und Diäten</t>
        </is>
      </c>
      <c r="M44" s="74" t="inlineStr">
        <is>
          <t>3293000008869186</t>
        </is>
      </c>
      <c r="N44" s="1" t="n">
        <v>43871</v>
      </c>
      <c r="O44" t="inlineStr">
        <is>
          <t>car2go Österreich GmbH, Hintere Zollamtstraße 9, 1030 Wien</t>
        </is>
      </c>
      <c r="Q44" s="76" t="n"/>
      <c r="R44" t="b">
        <v>0</v>
      </c>
      <c r="S44" s="214" t="n">
        <v>1.81</v>
      </c>
      <c r="T44" s="159" t="n">
        <v>1</v>
      </c>
      <c r="U44" t="n">
        <v>20</v>
      </c>
      <c r="V44" s="237" t="n">
        <v>0.362</v>
      </c>
      <c r="W44" s="237" t="n">
        <v>0.362</v>
      </c>
      <c r="X44" s="208" t="n">
        <v>1.81</v>
      </c>
      <c r="Y44" s="251" t="n">
        <v>2.172</v>
      </c>
      <c r="Z44" s="251" t="n">
        <v>2.172</v>
      </c>
      <c r="AA44" s="35" t="n">
        <v>43966</v>
      </c>
      <c r="AB44" s="27" t="n"/>
      <c r="AC44" s="27" t="n"/>
      <c r="AD44" s="210" t="n">
        <v>1.81</v>
      </c>
      <c r="AE44" s="237" t="n">
        <v>0</v>
      </c>
      <c r="AF44" t="b">
        <v>0</v>
      </c>
      <c r="AG44" s="228" t="n">
        <v>-1.81</v>
      </c>
    </row>
    <row r="45">
      <c r="A45">
        <f>I45&amp;"-"&amp;J45</f>
        <v/>
      </c>
      <c r="B45" s="1">
        <f>N45</f>
        <v/>
      </c>
      <c r="C45">
        <f>M45&amp;"/"&amp;O45</f>
        <v/>
      </c>
      <c r="D45">
        <f>K45</f>
        <v/>
      </c>
      <c r="E45">
        <f>L45</f>
        <v/>
      </c>
      <c r="F45" s="236">
        <f>Z45</f>
        <v/>
      </c>
      <c r="G45">
        <f>U45&amp;"%"</f>
        <v/>
      </c>
      <c r="I45" s="53" t="n">
        <v>2020</v>
      </c>
      <c r="J45" s="53" t="n">
        <v>44</v>
      </c>
      <c r="K45" s="71" t="inlineStr">
        <is>
          <t>Ausgaben</t>
        </is>
      </c>
      <c r="L45" t="inlineStr">
        <is>
          <t>Reise- und Fahrtspesen inkl. Kilometergeld und Diäten</t>
        </is>
      </c>
      <c r="M45" s="74" t="inlineStr">
        <is>
          <t>3293000008887530</t>
        </is>
      </c>
      <c r="N45" s="1" t="n">
        <v>43873</v>
      </c>
      <c r="O45" t="inlineStr">
        <is>
          <t>car2go Österreich GmbH, Hintere Zollamtstraße 9, 1030 Wien</t>
        </is>
      </c>
      <c r="Q45" s="76" t="n"/>
      <c r="R45" t="b">
        <v>0</v>
      </c>
      <c r="S45" s="214" t="n">
        <v>2.4</v>
      </c>
      <c r="T45" s="159" t="n">
        <v>1</v>
      </c>
      <c r="U45" t="n">
        <v>20</v>
      </c>
      <c r="V45" s="237" t="n">
        <v>0.48</v>
      </c>
      <c r="W45" s="237" t="n">
        <v>0.48</v>
      </c>
      <c r="X45" s="208" t="n">
        <v>2.4</v>
      </c>
      <c r="Y45" s="251" t="n">
        <v>2.88</v>
      </c>
      <c r="Z45" s="251" t="n">
        <v>2.88</v>
      </c>
      <c r="AA45" s="35" t="n">
        <v>43966</v>
      </c>
      <c r="AB45" s="27" t="n"/>
      <c r="AC45" s="27" t="n"/>
      <c r="AD45" s="210" t="n">
        <v>2.4</v>
      </c>
      <c r="AE45" s="237" t="n">
        <v>0</v>
      </c>
      <c r="AF45" t="b">
        <v>0</v>
      </c>
      <c r="AG45" s="228" t="n">
        <v>-2.4</v>
      </c>
    </row>
    <row r="46">
      <c r="A46">
        <f>I46&amp;"-"&amp;J46</f>
        <v/>
      </c>
      <c r="B46" s="1">
        <f>N46</f>
        <v/>
      </c>
      <c r="C46">
        <f>M46&amp;"/"&amp;O46</f>
        <v/>
      </c>
      <c r="D46">
        <f>K46</f>
        <v/>
      </c>
      <c r="E46">
        <f>L46</f>
        <v/>
      </c>
      <c r="F46" s="236">
        <f>Z46</f>
        <v/>
      </c>
      <c r="G46">
        <f>U46&amp;"%"</f>
        <v/>
      </c>
      <c r="I46" s="53" t="n">
        <v>2020</v>
      </c>
      <c r="J46" s="53" t="n">
        <v>45</v>
      </c>
      <c r="K46" s="71" t="inlineStr">
        <is>
          <t>Einnahmen</t>
        </is>
      </c>
      <c r="L46" t="inlineStr">
        <is>
          <t>Waren-/Leistungserlöse</t>
        </is>
      </c>
      <c r="M46" s="74" t="inlineStr">
        <is>
          <t>12020004</t>
        </is>
      </c>
      <c r="N46" s="1" t="n">
        <v>43874</v>
      </c>
      <c r="O46" t="inlineStr">
        <is>
          <t>DCF - Digital Coding Factory GmbH, Bauernfeldgasse 4/12 1090 Wien</t>
        </is>
      </c>
      <c r="Q46" s="76" t="n"/>
      <c r="R46" t="b">
        <v>0</v>
      </c>
      <c r="S46" s="214" t="n">
        <v>647.5</v>
      </c>
      <c r="T46" s="159" t="n">
        <v>1</v>
      </c>
      <c r="U46" t="n">
        <v>20</v>
      </c>
      <c r="V46" s="237" t="n">
        <v>129.5</v>
      </c>
      <c r="W46" s="237" t="n">
        <v>129.5</v>
      </c>
      <c r="X46" s="208" t="n">
        <v>647.5</v>
      </c>
      <c r="Y46" s="251" t="n">
        <v>777</v>
      </c>
      <c r="Z46" s="251" t="n">
        <v>777</v>
      </c>
      <c r="AA46" s="35" t="n">
        <v>43966</v>
      </c>
      <c r="AB46" s="27" t="n"/>
      <c r="AC46" s="27" t="n"/>
      <c r="AD46" s="210" t="n">
        <v>647.5</v>
      </c>
      <c r="AE46" s="237" t="n">
        <v>0</v>
      </c>
      <c r="AF46" t="b">
        <v>0</v>
      </c>
      <c r="AG46" s="228" t="n">
        <v>647.5</v>
      </c>
    </row>
    <row r="47">
      <c r="A47">
        <f>I47&amp;"-"&amp;J47</f>
        <v/>
      </c>
      <c r="B47" s="1">
        <f>N47</f>
        <v/>
      </c>
      <c r="C47">
        <f>M47&amp;"/"&amp;O47</f>
        <v/>
      </c>
      <c r="D47">
        <f>K47</f>
        <v/>
      </c>
      <c r="E47">
        <f>L47</f>
        <v/>
      </c>
      <c r="F47" s="236">
        <f>Z47</f>
        <v/>
      </c>
      <c r="G47">
        <f>U47&amp;"%"</f>
        <v/>
      </c>
      <c r="I47" s="53" t="n">
        <v>2020</v>
      </c>
      <c r="J47" s="53" t="n">
        <v>46</v>
      </c>
      <c r="K47" s="71" t="inlineStr">
        <is>
          <t>Ausgaben</t>
        </is>
      </c>
      <c r="L47" t="inlineStr">
        <is>
          <t>sonstige Betriebsausgaben</t>
        </is>
      </c>
      <c r="M47" s="74" t="inlineStr">
        <is>
          <t>R0010801926</t>
        </is>
      </c>
      <c r="N47" s="1" t="n">
        <v>43874</v>
      </c>
      <c r="O47" t="inlineStr">
        <is>
          <t>Hetzner Online GmbH</t>
        </is>
      </c>
      <c r="Q47" s="76" t="n"/>
      <c r="R47" t="b">
        <v>0</v>
      </c>
      <c r="S47" s="214" t="n">
        <v>48.81</v>
      </c>
      <c r="T47" s="159" t="n">
        <v>1</v>
      </c>
      <c r="U47" t="n">
        <v>0</v>
      </c>
      <c r="V47" s="237" t="n">
        <v>0</v>
      </c>
      <c r="W47" s="237" t="n">
        <v>0</v>
      </c>
      <c r="X47" s="208" t="n">
        <v>48.81</v>
      </c>
      <c r="Y47" s="251" t="n">
        <v>48.81</v>
      </c>
      <c r="Z47" s="251" t="n">
        <v>48.81</v>
      </c>
      <c r="AA47" s="35" t="n">
        <v>43966</v>
      </c>
      <c r="AB47" s="27" t="n"/>
      <c r="AC47" s="27" t="n">
        <v>20</v>
      </c>
      <c r="AD47" s="210" t="n">
        <v>48.81</v>
      </c>
      <c r="AE47" s="237" t="n">
        <v>9.762</v>
      </c>
      <c r="AF47" t="b">
        <v>0</v>
      </c>
      <c r="AG47" s="228" t="n">
        <v>-48.81</v>
      </c>
    </row>
    <row r="48">
      <c r="A48">
        <f>I48&amp;"-"&amp;J48</f>
        <v/>
      </c>
      <c r="B48" s="1">
        <f>N48</f>
        <v/>
      </c>
      <c r="C48">
        <f>M48&amp;"/"&amp;O48</f>
        <v/>
      </c>
      <c r="D48">
        <f>K48</f>
        <v/>
      </c>
      <c r="E48">
        <f>L48</f>
        <v/>
      </c>
      <c r="F48" s="236">
        <f>Z48</f>
        <v/>
      </c>
      <c r="G48">
        <f>U48&amp;"%"</f>
        <v/>
      </c>
      <c r="I48" s="53" t="n">
        <v>2020</v>
      </c>
      <c r="J48" s="53" t="n">
        <v>47</v>
      </c>
      <c r="K48" s="71" t="inlineStr">
        <is>
          <t>Einnahmen</t>
        </is>
      </c>
      <c r="L48" t="inlineStr">
        <is>
          <t>Waren-/Leistungserlöse</t>
        </is>
      </c>
      <c r="M48" s="74" t="inlineStr">
        <is>
          <t>12019032</t>
        </is>
      </c>
      <c r="N48" s="1" t="n">
        <v>43875</v>
      </c>
      <c r="O48" s="43" t="inlineStr">
        <is>
          <t>Wedding Avenue e.U., Mayerweckstrasse 2-8/99/1, 1210 Wien</t>
        </is>
      </c>
      <c r="Q48" s="76" t="n"/>
      <c r="R48" t="b">
        <v>0</v>
      </c>
      <c r="S48" s="214" t="n">
        <v>297.5</v>
      </c>
      <c r="T48" s="159" t="n">
        <v>1</v>
      </c>
      <c r="U48" t="n">
        <v>20</v>
      </c>
      <c r="V48" s="237" t="n">
        <v>59.5</v>
      </c>
      <c r="W48" s="237" t="n">
        <v>59.5</v>
      </c>
      <c r="X48" s="208" t="n">
        <v>297.5</v>
      </c>
      <c r="Y48" s="251" t="n">
        <v>357</v>
      </c>
      <c r="Z48" s="251" t="n">
        <v>357</v>
      </c>
      <c r="AA48" s="35" t="n">
        <v>43966</v>
      </c>
      <c r="AB48" s="27" t="n"/>
      <c r="AC48" s="27" t="n"/>
      <c r="AD48" s="210" t="n">
        <v>297.5</v>
      </c>
      <c r="AE48" s="237" t="n">
        <v>0</v>
      </c>
      <c r="AF48" t="b">
        <v>0</v>
      </c>
      <c r="AG48" s="228" t="n">
        <v>297.5</v>
      </c>
    </row>
    <row r="49">
      <c r="A49">
        <f>I49&amp;"-"&amp;J49</f>
        <v/>
      </c>
      <c r="B49" s="1">
        <f>N49</f>
        <v/>
      </c>
      <c r="C49">
        <f>M49&amp;"/"&amp;O49</f>
        <v/>
      </c>
      <c r="D49">
        <f>K49</f>
        <v/>
      </c>
      <c r="E49">
        <f>L49</f>
        <v/>
      </c>
      <c r="F49" s="236">
        <f>Z49</f>
        <v/>
      </c>
      <c r="G49">
        <f>U49&amp;"%"</f>
        <v/>
      </c>
      <c r="I49" s="53" t="n">
        <v>2020</v>
      </c>
      <c r="J49" s="53" t="n">
        <v>48</v>
      </c>
      <c r="K49" s="71" t="inlineStr">
        <is>
          <t>Ausgaben</t>
        </is>
      </c>
      <c r="L49" t="inlineStr">
        <is>
          <t>Reise- und Fahrtspesen inkl. Kilometergeld und Diäten</t>
        </is>
      </c>
      <c r="M49" s="74" t="inlineStr">
        <is>
          <t>3293000008913647</t>
        </is>
      </c>
      <c r="N49" s="1" t="n">
        <v>43878</v>
      </c>
      <c r="O49" t="inlineStr">
        <is>
          <t>car2go Österreich GmbH, Hintere Zollamtstraße 9, 1030 Wien</t>
        </is>
      </c>
      <c r="Q49" s="76" t="n"/>
      <c r="R49" t="b">
        <v>0</v>
      </c>
      <c r="S49" s="214" t="n">
        <v>2.32</v>
      </c>
      <c r="T49" s="159" t="n">
        <v>1</v>
      </c>
      <c r="U49" t="n">
        <v>20</v>
      </c>
      <c r="V49" s="237" t="n">
        <v>0.464</v>
      </c>
      <c r="W49" s="237" t="n">
        <v>0.464</v>
      </c>
      <c r="X49" s="208" t="n">
        <v>2.32</v>
      </c>
      <c r="Y49" s="251" t="n">
        <v>2.784</v>
      </c>
      <c r="Z49" s="251" t="n">
        <v>2.784</v>
      </c>
      <c r="AA49" s="35" t="n">
        <v>43966</v>
      </c>
      <c r="AB49" s="27" t="n"/>
      <c r="AC49" s="27" t="n"/>
      <c r="AD49" s="210" t="n">
        <v>2.32</v>
      </c>
      <c r="AE49" s="237" t="n">
        <v>0</v>
      </c>
      <c r="AF49" t="b">
        <v>0</v>
      </c>
      <c r="AG49" s="228" t="n">
        <v>-2.32</v>
      </c>
    </row>
    <row r="50">
      <c r="A50">
        <f>I50&amp;"-"&amp;J50</f>
        <v/>
      </c>
      <c r="B50" s="1">
        <f>N50</f>
        <v/>
      </c>
      <c r="C50">
        <f>M50&amp;"/"&amp;O50</f>
        <v/>
      </c>
      <c r="D50">
        <f>K50</f>
        <v/>
      </c>
      <c r="E50">
        <f>L50</f>
        <v/>
      </c>
      <c r="F50" s="236">
        <f>Z50</f>
        <v/>
      </c>
      <c r="G50">
        <f>U50&amp;"%"</f>
        <v/>
      </c>
      <c r="I50" s="53" t="n">
        <v>2020</v>
      </c>
      <c r="J50" s="53" t="n">
        <v>49</v>
      </c>
      <c r="K50" s="71" t="inlineStr">
        <is>
          <t>Ausgaben</t>
        </is>
      </c>
      <c r="L50" t="inlineStr">
        <is>
          <t>Waren, Rohstoffe, Hilfsstoffe</t>
        </is>
      </c>
      <c r="M50" s="74" t="inlineStr">
        <is>
          <t>0755-83646571</t>
        </is>
      </c>
      <c r="N50" s="1" t="n">
        <v>43880</v>
      </c>
      <c r="O50" t="inlineStr">
        <is>
          <t>Amazon EU S. à r.l., 38 avenue John F. Kennedy, L-1855 Luxembourg: HJEU: DVI-HDMI, Logitech Maus</t>
        </is>
      </c>
      <c r="Q50" s="76" t="n"/>
      <c r="R50" t="b">
        <v>0</v>
      </c>
      <c r="S50" s="214" t="n">
        <v>19.17</v>
      </c>
      <c r="T50" s="159" t="n">
        <v>1</v>
      </c>
      <c r="U50" t="n">
        <v>0</v>
      </c>
      <c r="V50" s="237" t="n">
        <v>0</v>
      </c>
      <c r="W50" s="237" t="n">
        <v>0</v>
      </c>
      <c r="X50" s="208" t="n">
        <v>19.17</v>
      </c>
      <c r="Y50" s="251" t="n">
        <v>19.17</v>
      </c>
      <c r="Z50" s="251" t="n">
        <v>19.17</v>
      </c>
      <c r="AA50" s="35" t="n">
        <v>43966</v>
      </c>
      <c r="AB50" s="27" t="n"/>
      <c r="AC50" s="27" t="n"/>
      <c r="AD50" s="210" t="n">
        <v>19.17</v>
      </c>
      <c r="AE50" s="237" t="n">
        <v>0</v>
      </c>
      <c r="AF50" t="b">
        <v>0</v>
      </c>
      <c r="AG50" s="228" t="n">
        <v>-19.17</v>
      </c>
    </row>
    <row r="51">
      <c r="A51">
        <f>I51&amp;"-"&amp;J51</f>
        <v/>
      </c>
      <c r="B51" s="1">
        <f>N51</f>
        <v/>
      </c>
      <c r="C51">
        <f>M51&amp;"/"&amp;O51</f>
        <v/>
      </c>
      <c r="D51">
        <f>K51</f>
        <v/>
      </c>
      <c r="E51">
        <f>L51</f>
        <v/>
      </c>
      <c r="F51" s="236">
        <f>Z51</f>
        <v/>
      </c>
      <c r="G51">
        <f>U51&amp;"%"</f>
        <v/>
      </c>
      <c r="I51" s="53" t="n">
        <v>2020</v>
      </c>
      <c r="J51" s="53" t="n">
        <v>50</v>
      </c>
      <c r="K51" s="71" t="inlineStr">
        <is>
          <t>Ausgaben</t>
        </is>
      </c>
      <c r="L51" t="inlineStr">
        <is>
          <t>Reise- und Fahrtspesen inkl. Kilometergeld und Diäten</t>
        </is>
      </c>
      <c r="M51" s="74" t="inlineStr">
        <is>
          <t>3293000008930885</t>
        </is>
      </c>
      <c r="N51" s="1" t="n">
        <v>43880</v>
      </c>
      <c r="O51" t="inlineStr">
        <is>
          <t>car2go Österreich GmbH, Hintere Zollamtstraße 9, 1030 Wien</t>
        </is>
      </c>
      <c r="Q51" s="76" t="n"/>
      <c r="R51" t="b">
        <v>0</v>
      </c>
      <c r="S51" s="214" t="n">
        <v>2.58</v>
      </c>
      <c r="T51" s="159" t="n">
        <v>1</v>
      </c>
      <c r="U51" t="n">
        <v>20</v>
      </c>
      <c r="V51" s="237" t="n">
        <v>0.516</v>
      </c>
      <c r="W51" s="237" t="n">
        <v>0.516</v>
      </c>
      <c r="X51" s="208" t="n">
        <v>2.58</v>
      </c>
      <c r="Y51" s="251" t="n">
        <v>3.096</v>
      </c>
      <c r="Z51" s="251" t="n">
        <v>3.096</v>
      </c>
      <c r="AA51" s="35" t="n">
        <v>43966</v>
      </c>
      <c r="AB51" s="27" t="n"/>
      <c r="AC51" s="27" t="n"/>
      <c r="AD51" s="210" t="n">
        <v>2.58</v>
      </c>
      <c r="AE51" s="237" t="n">
        <v>0</v>
      </c>
      <c r="AF51" t="b">
        <v>0</v>
      </c>
      <c r="AG51" s="228" t="n">
        <v>-2.58</v>
      </c>
    </row>
    <row r="52">
      <c r="A52">
        <f>I52&amp;"-"&amp;J52</f>
        <v/>
      </c>
      <c r="B52" s="1">
        <f>N52</f>
        <v/>
      </c>
      <c r="C52">
        <f>M52&amp;"/"&amp;O52</f>
        <v/>
      </c>
      <c r="D52">
        <f>K52</f>
        <v/>
      </c>
      <c r="E52">
        <f>L52</f>
        <v/>
      </c>
      <c r="F52" s="236">
        <f>Z52</f>
        <v/>
      </c>
      <c r="G52">
        <f>U52&amp;"%"</f>
        <v/>
      </c>
      <c r="I52" s="53" t="n">
        <v>2020</v>
      </c>
      <c r="J52" s="53" t="n">
        <v>51</v>
      </c>
      <c r="K52" s="71" t="inlineStr">
        <is>
          <t>Ausgaben</t>
        </is>
      </c>
      <c r="L52" t="inlineStr">
        <is>
          <t>Reise- und Fahrtspesen inkl. Kilometergeld und Diäten</t>
        </is>
      </c>
      <c r="M52" s="74" t="inlineStr">
        <is>
          <t>3293000008928478</t>
        </is>
      </c>
      <c r="N52" s="1" t="n">
        <v>43880</v>
      </c>
      <c r="O52" t="inlineStr">
        <is>
          <t>car2go Österreich GmbH, Hintere Zollamtstraße 9, 1030 Wien</t>
        </is>
      </c>
      <c r="Q52" s="76" t="n"/>
      <c r="R52" t="b">
        <v>0</v>
      </c>
      <c r="S52" s="214" t="n">
        <v>2.4</v>
      </c>
      <c r="T52" s="159" t="n">
        <v>1</v>
      </c>
      <c r="U52" t="n">
        <v>20</v>
      </c>
      <c r="V52" s="237" t="n">
        <v>0.48</v>
      </c>
      <c r="W52" s="237" t="n">
        <v>0.48</v>
      </c>
      <c r="X52" s="208" t="n">
        <v>2.4</v>
      </c>
      <c r="Y52" s="251" t="n">
        <v>2.88</v>
      </c>
      <c r="Z52" s="251" t="n">
        <v>2.88</v>
      </c>
      <c r="AA52" s="35" t="n">
        <v>43966</v>
      </c>
      <c r="AB52" s="27" t="n"/>
      <c r="AC52" s="27" t="n"/>
      <c r="AD52" s="210" t="n">
        <v>2.4</v>
      </c>
      <c r="AE52" s="237" t="n">
        <v>0</v>
      </c>
      <c r="AF52" t="b">
        <v>0</v>
      </c>
      <c r="AG52" s="228" t="n">
        <v>-2.4</v>
      </c>
    </row>
    <row r="53">
      <c r="A53">
        <f>I53&amp;"-"&amp;J53</f>
        <v/>
      </c>
      <c r="B53" s="1">
        <f>N53</f>
        <v/>
      </c>
      <c r="C53">
        <f>M53&amp;"/"&amp;O53</f>
        <v/>
      </c>
      <c r="D53">
        <f>K53</f>
        <v/>
      </c>
      <c r="E53">
        <f>L53</f>
        <v/>
      </c>
      <c r="F53" s="236">
        <f>Z53</f>
        <v/>
      </c>
      <c r="G53">
        <f>U53&amp;"%"</f>
        <v/>
      </c>
      <c r="I53" s="53" t="n">
        <v>2020</v>
      </c>
      <c r="J53" s="53" t="n">
        <v>52</v>
      </c>
      <c r="K53" s="71" t="inlineStr">
        <is>
          <t>Ausgaben</t>
        </is>
      </c>
      <c r="L53" t="inlineStr">
        <is>
          <t>Reise- und Fahrtspesen inkl. Kilometergeld und Diäten</t>
        </is>
      </c>
      <c r="M53" s="74" t="inlineStr">
        <is>
          <t>3293000008938059</t>
        </is>
      </c>
      <c r="N53" s="1" t="n">
        <v>43881</v>
      </c>
      <c r="O53" t="inlineStr">
        <is>
          <t>car2go Österreich GmbH, Hintere Zollamtstraße 9, 1030 Wien</t>
        </is>
      </c>
      <c r="Q53" s="76" t="n"/>
      <c r="R53" t="b">
        <v>0</v>
      </c>
      <c r="S53" s="214" t="n">
        <v>3.36</v>
      </c>
      <c r="T53" s="159" t="n">
        <v>1</v>
      </c>
      <c r="U53" t="n">
        <v>20</v>
      </c>
      <c r="V53" s="237" t="n">
        <v>0.672</v>
      </c>
      <c r="W53" s="237" t="n">
        <v>0.672</v>
      </c>
      <c r="X53" s="208" t="n">
        <v>3.36</v>
      </c>
      <c r="Y53" s="251" t="n">
        <v>4.032</v>
      </c>
      <c r="Z53" s="251" t="n">
        <v>4.032</v>
      </c>
      <c r="AA53" s="35" t="n">
        <v>43966</v>
      </c>
      <c r="AB53" s="27" t="n"/>
      <c r="AC53" s="27" t="n"/>
      <c r="AD53" s="210" t="n">
        <v>3.36</v>
      </c>
      <c r="AE53" s="237" t="n">
        <v>0</v>
      </c>
      <c r="AF53" t="b">
        <v>0</v>
      </c>
      <c r="AG53" s="228" t="n">
        <v>-3.36</v>
      </c>
    </row>
    <row r="54">
      <c r="A54">
        <f>I54&amp;"-"&amp;J54</f>
        <v/>
      </c>
      <c r="B54" s="1">
        <f>N54</f>
        <v/>
      </c>
      <c r="C54">
        <f>M54&amp;"/"&amp;O54</f>
        <v/>
      </c>
      <c r="D54">
        <f>K54</f>
        <v/>
      </c>
      <c r="E54">
        <f>L54</f>
        <v/>
      </c>
      <c r="F54" s="236">
        <f>Z54</f>
        <v/>
      </c>
      <c r="G54">
        <f>U54&amp;"%"</f>
        <v/>
      </c>
      <c r="I54" s="53" t="n">
        <v>2020</v>
      </c>
      <c r="J54" s="53" t="n">
        <v>53</v>
      </c>
      <c r="K54" s="71" t="inlineStr">
        <is>
          <t>Ausgaben</t>
        </is>
      </c>
      <c r="L54" t="inlineStr">
        <is>
          <t>Reise- und Fahrtspesen inkl. Kilometergeld und Diäten</t>
        </is>
      </c>
      <c r="M54" s="74" t="inlineStr">
        <is>
          <t>3293000008934542</t>
        </is>
      </c>
      <c r="N54" s="1" t="n">
        <v>43881</v>
      </c>
      <c r="O54" t="inlineStr">
        <is>
          <t>car2go Österreich GmbH, Hintere Zollamtstraße 9, 1030 Wien</t>
        </is>
      </c>
      <c r="Q54" s="76" t="n"/>
      <c r="R54" t="b">
        <v>0</v>
      </c>
      <c r="S54" s="214" t="n">
        <v>2.4</v>
      </c>
      <c r="T54" s="159" t="n">
        <v>1</v>
      </c>
      <c r="U54" t="n">
        <v>20</v>
      </c>
      <c r="V54" s="237" t="n">
        <v>0.48</v>
      </c>
      <c r="W54" s="237" t="n">
        <v>0.48</v>
      </c>
      <c r="X54" s="208" t="n">
        <v>2.4</v>
      </c>
      <c r="Y54" s="251" t="n">
        <v>2.88</v>
      </c>
      <c r="Z54" s="251" t="n">
        <v>2.88</v>
      </c>
      <c r="AA54" s="35" t="n">
        <v>43966</v>
      </c>
      <c r="AB54" s="27" t="n"/>
      <c r="AC54" s="27" t="n"/>
      <c r="AD54" s="210" t="n">
        <v>2.4</v>
      </c>
      <c r="AE54" s="237" t="n">
        <v>0</v>
      </c>
      <c r="AF54" t="b">
        <v>0</v>
      </c>
      <c r="AG54" s="228" t="n">
        <v>-2.4</v>
      </c>
    </row>
    <row r="55">
      <c r="A55">
        <f>I55&amp;"-"&amp;J55</f>
        <v/>
      </c>
      <c r="B55" s="1">
        <f>N55</f>
        <v/>
      </c>
      <c r="C55">
        <f>M55&amp;"/"&amp;O55</f>
        <v/>
      </c>
      <c r="D55">
        <f>K55</f>
        <v/>
      </c>
      <c r="E55">
        <f>L55</f>
        <v/>
      </c>
      <c r="F55" s="236">
        <f>Z55</f>
        <v/>
      </c>
      <c r="G55">
        <f>U55&amp;"%"</f>
        <v/>
      </c>
      <c r="I55" s="53" t="n">
        <v>2020</v>
      </c>
      <c r="J55" s="53" t="n">
        <v>54</v>
      </c>
      <c r="K55" s="71" t="inlineStr">
        <is>
          <t>Ausgaben</t>
        </is>
      </c>
      <c r="L55" t="inlineStr">
        <is>
          <t>Reise- und Fahrtspesen inkl. Kilometergeld und Diäten</t>
        </is>
      </c>
      <c r="M55" s="74" t="inlineStr">
        <is>
          <t>3293000008936157</t>
        </is>
      </c>
      <c r="N55" s="1" t="n">
        <v>43881</v>
      </c>
      <c r="O55" t="inlineStr">
        <is>
          <t>car2go Österreich GmbH, Hintere Zollamtstraße 9, 1030 Wien</t>
        </is>
      </c>
      <c r="Q55" s="76" t="n"/>
      <c r="R55" t="b">
        <v>0</v>
      </c>
      <c r="S55" s="214" t="n">
        <v>1.81</v>
      </c>
      <c r="T55" s="159" t="n">
        <v>1</v>
      </c>
      <c r="U55" t="n">
        <v>20</v>
      </c>
      <c r="V55" s="237" t="n">
        <v>0.362</v>
      </c>
      <c r="W55" s="237" t="n">
        <v>0.362</v>
      </c>
      <c r="X55" s="208" t="n">
        <v>1.81</v>
      </c>
      <c r="Y55" s="251" t="n">
        <v>2.172</v>
      </c>
      <c r="Z55" s="251" t="n">
        <v>2.172</v>
      </c>
      <c r="AA55" s="35" t="n">
        <v>43966</v>
      </c>
      <c r="AB55" s="27" t="n"/>
      <c r="AC55" s="27" t="n"/>
      <c r="AD55" s="210" t="n">
        <v>1.81</v>
      </c>
      <c r="AE55" s="237" t="n">
        <v>0</v>
      </c>
      <c r="AF55" t="b">
        <v>0</v>
      </c>
      <c r="AG55" s="228" t="n">
        <v>-1.81</v>
      </c>
    </row>
    <row r="56">
      <c r="A56">
        <f>I56&amp;"-"&amp;J56</f>
        <v/>
      </c>
      <c r="B56" s="1">
        <f>N56</f>
        <v/>
      </c>
      <c r="C56">
        <f>M56&amp;"/"&amp;O56</f>
        <v/>
      </c>
      <c r="D56">
        <f>K56</f>
        <v/>
      </c>
      <c r="E56">
        <f>L56</f>
        <v/>
      </c>
      <c r="F56" s="236">
        <f>Z56</f>
        <v/>
      </c>
      <c r="G56">
        <f>U56&amp;"%"</f>
        <v/>
      </c>
      <c r="I56" s="53" t="n">
        <v>2020</v>
      </c>
      <c r="J56" s="53" t="n">
        <v>55</v>
      </c>
      <c r="K56" s="71" t="inlineStr">
        <is>
          <t>Ausgaben</t>
        </is>
      </c>
      <c r="L56" t="inlineStr">
        <is>
          <t>Reise- und Fahrtspesen inkl. Kilometergeld und Diäten</t>
        </is>
      </c>
      <c r="M56" s="74" t="inlineStr">
        <is>
          <t>3293000008953197</t>
        </is>
      </c>
      <c r="N56" s="1" t="n">
        <v>43882</v>
      </c>
      <c r="O56" t="inlineStr">
        <is>
          <t>car2go Österreich GmbH, Hintere Zollamtstraße 9, 1030 Wien</t>
        </is>
      </c>
      <c r="Q56" s="76" t="n"/>
      <c r="R56" t="b">
        <v>0</v>
      </c>
      <c r="S56" s="214" t="n">
        <v>2.7</v>
      </c>
      <c r="T56" s="159" t="n">
        <v>1</v>
      </c>
      <c r="U56" t="n">
        <v>20</v>
      </c>
      <c r="V56" s="237" t="n">
        <v>0.54</v>
      </c>
      <c r="W56" s="237" t="n">
        <v>0.54</v>
      </c>
      <c r="X56" s="208" t="n">
        <v>2.7</v>
      </c>
      <c r="Y56" s="251" t="n">
        <v>3.24</v>
      </c>
      <c r="Z56" s="251" t="n">
        <v>3.24</v>
      </c>
      <c r="AA56" s="35" t="n">
        <v>43966</v>
      </c>
      <c r="AB56" s="27" t="n"/>
      <c r="AC56" s="27" t="n"/>
      <c r="AD56" s="210" t="n">
        <v>2.7</v>
      </c>
      <c r="AE56" s="237" t="n">
        <v>0</v>
      </c>
      <c r="AF56" t="b">
        <v>0</v>
      </c>
      <c r="AG56" s="228" t="n">
        <v>-2.7</v>
      </c>
    </row>
    <row r="57">
      <c r="A57">
        <f>I57&amp;"-"&amp;J57</f>
        <v/>
      </c>
      <c r="B57" s="1">
        <f>N57</f>
        <v/>
      </c>
      <c r="C57">
        <f>M57&amp;"/"&amp;O57</f>
        <v/>
      </c>
      <c r="D57">
        <f>K57</f>
        <v/>
      </c>
      <c r="E57">
        <f>L57</f>
        <v/>
      </c>
      <c r="F57" s="236">
        <f>Z57</f>
        <v/>
      </c>
      <c r="G57">
        <f>U57&amp;"%"</f>
        <v/>
      </c>
      <c r="I57" s="53" t="n">
        <v>2020</v>
      </c>
      <c r="J57" s="53" t="n">
        <v>56</v>
      </c>
      <c r="K57" s="71" t="inlineStr">
        <is>
          <t>Ausgaben</t>
        </is>
      </c>
      <c r="L57" t="inlineStr">
        <is>
          <t>Reise- und Fahrtspesen inkl. Kilometergeld und Diäten</t>
        </is>
      </c>
      <c r="M57" s="74" t="inlineStr">
        <is>
          <t>3293000008942791</t>
        </is>
      </c>
      <c r="N57" s="1" t="n">
        <v>43882</v>
      </c>
      <c r="O57" t="inlineStr">
        <is>
          <t>car2go Österreich GmbH, Hintere Zollamtstraße 9, 1030 Wien</t>
        </is>
      </c>
      <c r="Q57" s="76" t="n"/>
      <c r="R57" t="b">
        <v>0</v>
      </c>
      <c r="S57" s="214" t="n">
        <v>4.77</v>
      </c>
      <c r="T57" s="159" t="n">
        <v>1</v>
      </c>
      <c r="U57" t="n">
        <v>20</v>
      </c>
      <c r="V57" s="237" t="n">
        <v>0.954</v>
      </c>
      <c r="W57" s="237" t="n">
        <v>0.954</v>
      </c>
      <c r="X57" s="208" t="n">
        <v>4.77</v>
      </c>
      <c r="Y57" s="251" t="n">
        <v>5.723999999999999</v>
      </c>
      <c r="Z57" s="251" t="n">
        <v>5.723999999999999</v>
      </c>
      <c r="AA57" s="35" t="n">
        <v>43966</v>
      </c>
      <c r="AB57" s="27" t="n"/>
      <c r="AC57" s="27" t="n"/>
      <c r="AD57" s="210" t="n">
        <v>4.77</v>
      </c>
      <c r="AE57" s="237" t="n">
        <v>0</v>
      </c>
      <c r="AF57" t="b">
        <v>0</v>
      </c>
      <c r="AG57" s="228" t="n">
        <v>-4.77</v>
      </c>
    </row>
    <row r="58">
      <c r="A58">
        <f>I58&amp;"-"&amp;J58</f>
        <v/>
      </c>
      <c r="B58" s="1">
        <f>N58</f>
        <v/>
      </c>
      <c r="C58">
        <f>M58&amp;"/"&amp;O58</f>
        <v/>
      </c>
      <c r="D58">
        <f>K58</f>
        <v/>
      </c>
      <c r="E58">
        <f>L58</f>
        <v/>
      </c>
      <c r="F58" s="236">
        <f>Z58</f>
        <v/>
      </c>
      <c r="G58">
        <f>U58&amp;"%"</f>
        <v/>
      </c>
      <c r="I58" s="53" t="n">
        <v>2020</v>
      </c>
      <c r="J58" s="53" t="n">
        <v>57</v>
      </c>
      <c r="K58" s="71" t="inlineStr">
        <is>
          <t>Ausgaben</t>
        </is>
      </c>
      <c r="L58" t="inlineStr">
        <is>
          <t>Reise- und Fahrtspesen inkl. Kilometergeld und Diäten</t>
        </is>
      </c>
      <c r="M58" s="74" t="inlineStr">
        <is>
          <t>3293000008940642</t>
        </is>
      </c>
      <c r="N58" s="1" t="n">
        <v>43882</v>
      </c>
      <c r="O58" t="inlineStr">
        <is>
          <t>car2go Österreich GmbH, Hintere Zollamtstraße 9, 1030 Wien</t>
        </is>
      </c>
      <c r="Q58" s="76" t="n"/>
      <c r="R58" t="b">
        <v>0</v>
      </c>
      <c r="S58" s="214" t="n">
        <v>5.4</v>
      </c>
      <c r="T58" s="159" t="n">
        <v>1</v>
      </c>
      <c r="U58" t="n">
        <v>20</v>
      </c>
      <c r="V58" s="237" t="n">
        <v>1.08</v>
      </c>
      <c r="W58" s="237" t="n">
        <v>1.08</v>
      </c>
      <c r="X58" s="208" t="n">
        <v>5.4</v>
      </c>
      <c r="Y58" s="251" t="n">
        <v>6.48</v>
      </c>
      <c r="Z58" s="251" t="n">
        <v>6.48</v>
      </c>
      <c r="AA58" s="35" t="n">
        <v>43966</v>
      </c>
      <c r="AB58" s="27" t="n"/>
      <c r="AC58" s="27" t="n"/>
      <c r="AD58" s="210" t="n">
        <v>5.4</v>
      </c>
      <c r="AE58" s="237" t="n">
        <v>0</v>
      </c>
      <c r="AF58" t="b">
        <v>0</v>
      </c>
      <c r="AG58" s="228" t="n">
        <v>-5.4</v>
      </c>
    </row>
    <row r="59">
      <c r="A59">
        <f>I59&amp;"-"&amp;J59</f>
        <v/>
      </c>
      <c r="B59" s="1">
        <f>N59</f>
        <v/>
      </c>
      <c r="C59">
        <f>M59&amp;"/"&amp;O59</f>
        <v/>
      </c>
      <c r="D59">
        <f>K59</f>
        <v/>
      </c>
      <c r="E59">
        <f>L59</f>
        <v/>
      </c>
      <c r="F59" s="236">
        <f>Z59</f>
        <v/>
      </c>
      <c r="G59">
        <f>U59&amp;"%"</f>
        <v/>
      </c>
      <c r="I59" s="53" t="n">
        <v>2020</v>
      </c>
      <c r="J59" s="53" t="n">
        <v>58</v>
      </c>
      <c r="K59" s="71" t="inlineStr">
        <is>
          <t>Ausgaben</t>
        </is>
      </c>
      <c r="L59" t="inlineStr">
        <is>
          <t>Reise- und Fahrtspesen inkl. Kilometergeld und Diäten</t>
        </is>
      </c>
      <c r="M59" s="74" t="inlineStr">
        <is>
          <t>3293000008940557</t>
        </is>
      </c>
      <c r="N59" s="1" t="n">
        <v>43882</v>
      </c>
      <c r="O59" t="inlineStr">
        <is>
          <t>car2go Österreich GmbH, Hintere Zollamtstraße 9, 1030 Wien</t>
        </is>
      </c>
      <c r="Q59" s="76" t="n"/>
      <c r="R59" t="b">
        <v>0</v>
      </c>
      <c r="S59" s="214" t="n">
        <v>1.58</v>
      </c>
      <c r="T59" s="159" t="n">
        <v>1</v>
      </c>
      <c r="U59" t="n">
        <v>20</v>
      </c>
      <c r="V59" s="237" t="n">
        <v>0.316</v>
      </c>
      <c r="W59" s="237" t="n">
        <v>0.316</v>
      </c>
      <c r="X59" s="208" t="n">
        <v>1.58</v>
      </c>
      <c r="Y59" s="251" t="n">
        <v>1.896</v>
      </c>
      <c r="Z59" s="251" t="n">
        <v>1.896</v>
      </c>
      <c r="AA59" s="35" t="n">
        <v>43966</v>
      </c>
      <c r="AB59" s="27" t="n"/>
      <c r="AC59" s="27" t="n"/>
      <c r="AD59" s="210" t="n">
        <v>1.58</v>
      </c>
      <c r="AE59" s="237" t="n">
        <v>0</v>
      </c>
      <c r="AF59" t="b">
        <v>0</v>
      </c>
      <c r="AG59" s="228" t="n">
        <v>-1.58</v>
      </c>
    </row>
    <row r="60">
      <c r="A60">
        <f>I60&amp;"-"&amp;J60</f>
        <v/>
      </c>
      <c r="B60" s="1">
        <f>N60</f>
        <v/>
      </c>
      <c r="C60">
        <f>M60&amp;"/"&amp;O60</f>
        <v/>
      </c>
      <c r="D60">
        <f>K60</f>
        <v/>
      </c>
      <c r="E60">
        <f>L60</f>
        <v/>
      </c>
      <c r="F60" s="236">
        <f>Z60</f>
        <v/>
      </c>
      <c r="G60">
        <f>U60&amp;"%"</f>
        <v/>
      </c>
      <c r="I60" s="53" t="n">
        <v>2020</v>
      </c>
      <c r="J60" s="53" t="n">
        <v>59</v>
      </c>
      <c r="K60" s="71" t="inlineStr">
        <is>
          <t>Ausgaben</t>
        </is>
      </c>
      <c r="L60" t="inlineStr">
        <is>
          <t>Telefon/Internet</t>
        </is>
      </c>
      <c r="M60" s="74" t="inlineStr">
        <is>
          <t>901196010220</t>
        </is>
      </c>
      <c r="N60" s="1" t="n">
        <v>43882</v>
      </c>
      <c r="O60" t="inlineStr">
        <is>
          <t>Magenta: T-Mobile Austria GmbH, A-1120 Wien, PF 47</t>
        </is>
      </c>
      <c r="Q60" s="76" t="n"/>
      <c r="R60" t="b">
        <v>0</v>
      </c>
      <c r="S60" s="214" t="n">
        <v>35.24</v>
      </c>
      <c r="T60" s="159" t="n">
        <v>0.6666666666666666</v>
      </c>
      <c r="U60" t="n">
        <v>20</v>
      </c>
      <c r="V60" s="237" t="n">
        <v>7.048000000000001</v>
      </c>
      <c r="W60" s="237" t="n">
        <v>4.698666666666667</v>
      </c>
      <c r="X60" s="208" t="n">
        <v>23.49333333333333</v>
      </c>
      <c r="Y60" s="251" t="n">
        <v>42.288</v>
      </c>
      <c r="Z60" s="251" t="n">
        <v>28.192</v>
      </c>
      <c r="AA60" s="35" t="n">
        <v>43966</v>
      </c>
      <c r="AB60" s="27" t="n"/>
      <c r="AC60" s="27" t="n"/>
      <c r="AD60" s="210" t="n">
        <v>23.49333333333333</v>
      </c>
      <c r="AE60" s="237" t="n">
        <v>0</v>
      </c>
      <c r="AF60" t="b">
        <v>0</v>
      </c>
      <c r="AG60" s="228" t="n">
        <v>-23.49333333333333</v>
      </c>
    </row>
    <row r="61">
      <c r="A61">
        <f>I61&amp;"-"&amp;J61</f>
        <v/>
      </c>
      <c r="B61" s="1">
        <f>N61</f>
        <v/>
      </c>
      <c r="C61">
        <f>M61&amp;"/"&amp;O61</f>
        <v/>
      </c>
      <c r="D61">
        <f>K61</f>
        <v/>
      </c>
      <c r="E61">
        <f>L61</f>
        <v/>
      </c>
      <c r="F61" s="236">
        <f>Z61</f>
        <v/>
      </c>
      <c r="G61">
        <f>U61&amp;"%"</f>
        <v/>
      </c>
      <c r="I61" s="53" t="n">
        <v>2020</v>
      </c>
      <c r="J61" s="53" t="n">
        <v>60</v>
      </c>
      <c r="K61" s="71" t="inlineStr">
        <is>
          <t>Ausgaben</t>
        </is>
      </c>
      <c r="L61" t="inlineStr">
        <is>
          <t>Büromaterial</t>
        </is>
      </c>
      <c r="M61" s="74" t="inlineStr">
        <is>
          <t>0968-20200224-02-8795</t>
        </is>
      </c>
      <c r="N61" s="1" t="n">
        <v>43885</v>
      </c>
      <c r="O61" t="inlineStr">
        <is>
          <t>Libro 1090</t>
        </is>
      </c>
      <c r="Q61" s="76" t="n"/>
      <c r="R61" t="b">
        <v>0</v>
      </c>
      <c r="S61" s="214" t="n">
        <v>4.91</v>
      </c>
      <c r="T61" s="159" t="n">
        <v>1</v>
      </c>
      <c r="U61" t="n">
        <v>20</v>
      </c>
      <c r="V61" s="237" t="n">
        <v>0.982</v>
      </c>
      <c r="W61" s="237" t="n">
        <v>0.982</v>
      </c>
      <c r="X61" s="208" t="n">
        <v>4.91</v>
      </c>
      <c r="Y61" s="251" t="n">
        <v>5.892</v>
      </c>
      <c r="Z61" s="251" t="n">
        <v>5.892</v>
      </c>
      <c r="AA61" s="35" t="n">
        <v>43966</v>
      </c>
      <c r="AB61" s="27" t="n"/>
      <c r="AC61" s="27" t="n"/>
      <c r="AD61" s="210" t="n">
        <v>4.91</v>
      </c>
      <c r="AE61" s="237" t="n">
        <v>0</v>
      </c>
      <c r="AF61" t="b">
        <v>0</v>
      </c>
      <c r="AG61" s="228" t="n">
        <v>-4.91</v>
      </c>
    </row>
    <row r="62">
      <c r="A62">
        <f>I62&amp;"-"&amp;J62</f>
        <v/>
      </c>
      <c r="B62" s="1">
        <f>N62</f>
        <v/>
      </c>
      <c r="C62">
        <f>M62&amp;"/"&amp;O62</f>
        <v/>
      </c>
      <c r="D62">
        <f>K62</f>
        <v/>
      </c>
      <c r="E62">
        <f>L62</f>
        <v/>
      </c>
      <c r="F62" s="236">
        <f>Z62</f>
        <v/>
      </c>
      <c r="G62">
        <f>U62&amp;"%"</f>
        <v/>
      </c>
      <c r="I62" s="53" t="n">
        <v>2020</v>
      </c>
      <c r="J62" s="53" t="n">
        <v>61</v>
      </c>
      <c r="K62" s="71" t="inlineStr">
        <is>
          <t>Ausgaben</t>
        </is>
      </c>
      <c r="L62" t="inlineStr">
        <is>
          <t>Pflichversicherungsbeiträge</t>
        </is>
      </c>
      <c r="M62" s="74" t="n">
        <v>11561270283</v>
      </c>
      <c r="N62" s="1" t="n">
        <v>43888</v>
      </c>
      <c r="O62" t="inlineStr">
        <is>
          <t>Sozialversicherung der gewerblichen Wirtshaft</t>
        </is>
      </c>
      <c r="Q62" s="76" t="n"/>
      <c r="R62" t="b">
        <v>0</v>
      </c>
      <c r="S62" s="214" t="n">
        <v>1676.19</v>
      </c>
      <c r="T62" s="159" t="n">
        <v>1</v>
      </c>
      <c r="U62" t="n">
        <v>0</v>
      </c>
      <c r="V62" s="237" t="n">
        <v>0</v>
      </c>
      <c r="W62" s="237" t="n">
        <v>0</v>
      </c>
      <c r="X62" s="208" t="n">
        <v>1676.19</v>
      </c>
      <c r="Y62" s="251" t="n">
        <v>1676.19</v>
      </c>
      <c r="Z62" s="251" t="n">
        <v>1676.19</v>
      </c>
      <c r="AA62" s="35" t="n">
        <v>43966</v>
      </c>
      <c r="AB62" s="27" t="n"/>
      <c r="AC62" s="27" t="n"/>
      <c r="AD62" s="210" t="n">
        <v>1676.19</v>
      </c>
      <c r="AE62" s="237" t="n">
        <v>0</v>
      </c>
      <c r="AF62" t="b">
        <v>0</v>
      </c>
      <c r="AG62" s="228" t="n">
        <v>-1676.19</v>
      </c>
    </row>
    <row r="63">
      <c r="A63">
        <f>I63&amp;"-"&amp;J63</f>
        <v/>
      </c>
      <c r="B63" s="1">
        <f>N63</f>
        <v/>
      </c>
      <c r="C63">
        <f>M63&amp;"/"&amp;O63</f>
        <v/>
      </c>
      <c r="D63">
        <f>K63</f>
        <v/>
      </c>
      <c r="E63">
        <f>L63</f>
        <v/>
      </c>
      <c r="F63" s="236">
        <f>Z63</f>
        <v/>
      </c>
      <c r="G63">
        <f>U63&amp;"%"</f>
        <v/>
      </c>
      <c r="I63" s="53" t="n">
        <v>2020</v>
      </c>
      <c r="J63" s="53" t="n">
        <v>62</v>
      </c>
      <c r="K63" s="71" t="inlineStr">
        <is>
          <t>Ausgaben</t>
        </is>
      </c>
      <c r="L63" t="inlineStr">
        <is>
          <t>Reise- und Fahrtspesen inkl. Kilometergeld und Diäten</t>
        </is>
      </c>
      <c r="M63" s="74" t="inlineStr">
        <is>
          <t>3293000008977407</t>
        </is>
      </c>
      <c r="N63" s="1" t="n">
        <v>43888</v>
      </c>
      <c r="O63" t="inlineStr">
        <is>
          <t>car2go Österreich GmbH, Hintere Zollamtstraße 9, 1030 Wien</t>
        </is>
      </c>
      <c r="Q63" s="76" t="n"/>
      <c r="R63" t="b">
        <v>0</v>
      </c>
      <c r="S63" s="214" t="n">
        <v>2.1</v>
      </c>
      <c r="T63" s="159" t="n">
        <v>1</v>
      </c>
      <c r="U63" t="n">
        <v>20</v>
      </c>
      <c r="V63" s="237" t="n">
        <v>0.42</v>
      </c>
      <c r="W63" s="237" t="n">
        <v>0.42</v>
      </c>
      <c r="X63" s="208" t="n">
        <v>2.1</v>
      </c>
      <c r="Y63" s="251" t="n">
        <v>2.52</v>
      </c>
      <c r="Z63" s="251" t="n">
        <v>2.52</v>
      </c>
      <c r="AA63" s="35" t="n">
        <v>43966</v>
      </c>
      <c r="AB63" s="27" t="n"/>
      <c r="AC63" s="27" t="n"/>
      <c r="AD63" s="210" t="n">
        <v>2.1</v>
      </c>
      <c r="AE63" s="237" t="n">
        <v>0</v>
      </c>
      <c r="AF63" t="b">
        <v>0</v>
      </c>
      <c r="AG63" s="228" t="n">
        <v>-2.1</v>
      </c>
    </row>
    <row r="64">
      <c r="A64">
        <f>I64&amp;"-"&amp;J64</f>
        <v/>
      </c>
      <c r="B64" s="1">
        <f>N64</f>
        <v/>
      </c>
      <c r="C64">
        <f>M64&amp;"/"&amp;O64</f>
        <v/>
      </c>
      <c r="D64">
        <f>K64</f>
        <v/>
      </c>
      <c r="E64">
        <f>L64</f>
        <v/>
      </c>
      <c r="F64" s="236">
        <f>Z64</f>
        <v/>
      </c>
      <c r="G64">
        <f>U64&amp;"%"</f>
        <v/>
      </c>
      <c r="I64" s="53" t="n">
        <v>2020</v>
      </c>
      <c r="J64" s="53" t="n">
        <v>63</v>
      </c>
      <c r="K64" s="71" t="inlineStr">
        <is>
          <t>Ausgaben</t>
        </is>
      </c>
      <c r="L64" t="inlineStr">
        <is>
          <t>Reise- und Fahrtspesen inkl. Kilometergeld und Diäten</t>
        </is>
      </c>
      <c r="M64" s="74" t="inlineStr">
        <is>
          <t>3293000008984322</t>
        </is>
      </c>
      <c r="N64" s="1" t="n">
        <v>43889</v>
      </c>
      <c r="O64" t="inlineStr">
        <is>
          <t>car2go Österreich GmbH, Hintere Zollamtstraße 9, 1030 Wien</t>
        </is>
      </c>
      <c r="Q64" s="76" t="n"/>
      <c r="R64" t="b">
        <v>0</v>
      </c>
      <c r="S64" s="214" t="n">
        <v>7.8</v>
      </c>
      <c r="T64" s="159" t="n">
        <v>1</v>
      </c>
      <c r="U64" t="n">
        <v>20</v>
      </c>
      <c r="V64" s="237" t="n">
        <v>1.56</v>
      </c>
      <c r="W64" s="237" t="n">
        <v>1.56</v>
      </c>
      <c r="X64" s="208" t="n">
        <v>7.8</v>
      </c>
      <c r="Y64" s="251" t="n">
        <v>9.359999999999999</v>
      </c>
      <c r="Z64" s="251" t="n">
        <v>9.359999999999999</v>
      </c>
      <c r="AA64" s="35" t="n">
        <v>43966</v>
      </c>
      <c r="AB64" s="27" t="n"/>
      <c r="AC64" s="27" t="n"/>
      <c r="AD64" s="210" t="n">
        <v>7.8</v>
      </c>
      <c r="AE64" s="237" t="n">
        <v>0</v>
      </c>
      <c r="AF64" t="b">
        <v>0</v>
      </c>
      <c r="AG64" s="228" t="n">
        <v>-7.8</v>
      </c>
    </row>
    <row r="65">
      <c r="A65">
        <f>I65&amp;"-"&amp;J65</f>
        <v/>
      </c>
      <c r="B65" s="1">
        <f>N65</f>
        <v/>
      </c>
      <c r="C65">
        <f>M65&amp;"/"&amp;O65</f>
        <v/>
      </c>
      <c r="D65">
        <f>K65</f>
        <v/>
      </c>
      <c r="E65">
        <f>L65</f>
        <v/>
      </c>
      <c r="F65" s="236">
        <f>Z65</f>
        <v/>
      </c>
      <c r="G65">
        <f>U65&amp;"%"</f>
        <v/>
      </c>
      <c r="I65" s="53" t="n">
        <v>2020</v>
      </c>
      <c r="J65" s="53" t="n">
        <v>64</v>
      </c>
      <c r="K65" s="71" t="inlineStr">
        <is>
          <t>Ausgaben</t>
        </is>
      </c>
      <c r="L65" t="inlineStr">
        <is>
          <t>Reise- und Fahrtspesen inkl. Kilometergeld und Diäten</t>
        </is>
      </c>
      <c r="M65" s="74" t="inlineStr">
        <is>
          <t>3293000009002136</t>
        </is>
      </c>
      <c r="N65" s="1" t="n">
        <v>43892</v>
      </c>
      <c r="O65" t="inlineStr">
        <is>
          <t>car2go Österreich GmbH, Hintere Zollamtstraße 9, 1030 Wien</t>
        </is>
      </c>
      <c r="Q65" s="76" t="n"/>
      <c r="R65" t="b">
        <v>0</v>
      </c>
      <c r="S65" s="214" t="n">
        <v>2.07</v>
      </c>
      <c r="T65" s="159" t="n">
        <v>1</v>
      </c>
      <c r="U65" t="n">
        <v>20</v>
      </c>
      <c r="V65" s="237" t="n">
        <v>0.414</v>
      </c>
      <c r="W65" s="237" t="n">
        <v>0.414</v>
      </c>
      <c r="X65" s="208" t="n">
        <v>2.07</v>
      </c>
      <c r="Y65" s="251" t="n">
        <v>2.484</v>
      </c>
      <c r="Z65" s="251" t="n">
        <v>2.484</v>
      </c>
      <c r="AA65" s="35" t="n">
        <v>43966</v>
      </c>
      <c r="AB65" s="27" t="n"/>
      <c r="AC65" s="27" t="n"/>
      <c r="AD65" s="210" t="n">
        <v>2.07</v>
      </c>
      <c r="AE65" s="237" t="n">
        <v>0</v>
      </c>
      <c r="AF65" t="b">
        <v>0</v>
      </c>
      <c r="AG65" s="228" t="n">
        <v>-2.07</v>
      </c>
    </row>
    <row r="66">
      <c r="A66">
        <f>I66&amp;"-"&amp;J66</f>
        <v/>
      </c>
      <c r="B66" s="1">
        <f>N66</f>
        <v/>
      </c>
      <c r="C66">
        <f>M66&amp;"/"&amp;O66</f>
        <v/>
      </c>
      <c r="D66">
        <f>K66</f>
        <v/>
      </c>
      <c r="E66">
        <f>L66</f>
        <v/>
      </c>
      <c r="F66" s="236">
        <f>Z66</f>
        <v/>
      </c>
      <c r="G66">
        <f>U66&amp;"%"</f>
        <v/>
      </c>
      <c r="I66" s="53" t="n">
        <v>2020</v>
      </c>
      <c r="J66" s="53" t="n">
        <v>65</v>
      </c>
      <c r="K66" s="71" t="inlineStr">
        <is>
          <t>Ausgaben</t>
        </is>
      </c>
      <c r="L66" t="inlineStr">
        <is>
          <t>Reise- und Fahrtspesen inkl. Kilometergeld und Diäten</t>
        </is>
      </c>
      <c r="M66" s="74" t="inlineStr">
        <is>
          <t>3293000008997609</t>
        </is>
      </c>
      <c r="N66" s="1" t="n">
        <v>43892</v>
      </c>
      <c r="O66" t="inlineStr">
        <is>
          <t>car2go Österreich GmbH, Hintere Zollamtstraße 9, 1030 Wien</t>
        </is>
      </c>
      <c r="Q66" s="76" t="n"/>
      <c r="R66" t="b">
        <v>0</v>
      </c>
      <c r="S66" s="214" t="n">
        <v>3.3</v>
      </c>
      <c r="T66" s="159" t="n">
        <v>1</v>
      </c>
      <c r="U66" t="n">
        <v>20</v>
      </c>
      <c r="V66" s="237" t="n">
        <v>0.66</v>
      </c>
      <c r="W66" s="237" t="n">
        <v>0.66</v>
      </c>
      <c r="X66" s="208" t="n">
        <v>3.3</v>
      </c>
      <c r="Y66" s="251" t="n">
        <v>3.96</v>
      </c>
      <c r="Z66" s="251" t="n">
        <v>3.96</v>
      </c>
      <c r="AA66" s="35" t="n">
        <v>43966</v>
      </c>
      <c r="AB66" s="27" t="n"/>
      <c r="AC66" s="27" t="n"/>
      <c r="AD66" s="210" t="n">
        <v>3.3</v>
      </c>
      <c r="AE66" s="237" t="n">
        <v>0</v>
      </c>
      <c r="AF66" t="b">
        <v>0</v>
      </c>
      <c r="AG66" s="228" t="n">
        <v>-3.3</v>
      </c>
    </row>
    <row r="67">
      <c r="A67">
        <f>I67&amp;"-"&amp;J67</f>
        <v/>
      </c>
      <c r="B67" s="1">
        <f>N67</f>
        <v/>
      </c>
      <c r="C67">
        <f>M67&amp;"/"&amp;O67</f>
        <v/>
      </c>
      <c r="D67">
        <f>K67</f>
        <v/>
      </c>
      <c r="E67">
        <f>L67</f>
        <v/>
      </c>
      <c r="F67" s="236">
        <f>Z67</f>
        <v/>
      </c>
      <c r="G67">
        <f>U67&amp;"%"</f>
        <v/>
      </c>
      <c r="I67" s="53" t="n">
        <v>2020</v>
      </c>
      <c r="J67" s="53" t="n">
        <v>66</v>
      </c>
      <c r="K67" s="71" t="inlineStr">
        <is>
          <t>Ausgaben</t>
        </is>
      </c>
      <c r="L67" t="inlineStr">
        <is>
          <t>Reise- und Fahrtspesen inkl. Kilometergeld und Diäten</t>
        </is>
      </c>
      <c r="M67" s="74" t="inlineStr">
        <is>
          <t>3293000008990778</t>
        </is>
      </c>
      <c r="N67" s="1" t="n">
        <v>43892</v>
      </c>
      <c r="O67" t="inlineStr">
        <is>
          <t>car2go Österreich GmbH, Hintere Zollamtstraße 9, 1030 Wien</t>
        </is>
      </c>
      <c r="Q67" s="76" t="n"/>
      <c r="R67" t="b">
        <v>0</v>
      </c>
      <c r="S67" s="214" t="n">
        <v>1.58</v>
      </c>
      <c r="T67" s="159" t="n">
        <v>1</v>
      </c>
      <c r="U67" t="n">
        <v>20</v>
      </c>
      <c r="V67" s="237" t="n">
        <v>0.316</v>
      </c>
      <c r="W67" s="237" t="n">
        <v>0.316</v>
      </c>
      <c r="X67" s="208" t="n">
        <v>1.58</v>
      </c>
      <c r="Y67" s="251" t="n">
        <v>1.896</v>
      </c>
      <c r="Z67" s="251" t="n">
        <v>1.896</v>
      </c>
      <c r="AA67" s="35" t="n">
        <v>43966</v>
      </c>
      <c r="AB67" s="27" t="n"/>
      <c r="AC67" s="27" t="n"/>
      <c r="AD67" s="210" t="n">
        <v>1.58</v>
      </c>
      <c r="AE67" s="237" t="n">
        <v>0</v>
      </c>
      <c r="AF67" t="b">
        <v>0</v>
      </c>
      <c r="AG67" s="228" t="n">
        <v>-1.58</v>
      </c>
    </row>
    <row r="68">
      <c r="A68">
        <f>I68&amp;"-"&amp;J68</f>
        <v/>
      </c>
      <c r="B68" s="1">
        <f>N68</f>
        <v/>
      </c>
      <c r="C68">
        <f>M68&amp;"/"&amp;O68</f>
        <v/>
      </c>
      <c r="D68">
        <f>K68</f>
        <v/>
      </c>
      <c r="E68">
        <f>L68</f>
        <v/>
      </c>
      <c r="F68" s="236">
        <f>Z68</f>
        <v/>
      </c>
      <c r="G68">
        <f>U68&amp;"%"</f>
        <v/>
      </c>
      <c r="I68" s="53" t="n">
        <v>2020</v>
      </c>
      <c r="J68" s="53" t="n">
        <v>67</v>
      </c>
      <c r="K68" s="71" t="inlineStr">
        <is>
          <t>Ausgaben</t>
        </is>
      </c>
      <c r="L68" t="inlineStr">
        <is>
          <t>Reise- und Fahrtspesen inkl. Kilometergeld und Diäten</t>
        </is>
      </c>
      <c r="M68" s="74" t="inlineStr">
        <is>
          <t>3293000008992918</t>
        </is>
      </c>
      <c r="N68" s="1" t="n">
        <v>43892</v>
      </c>
      <c r="O68" t="inlineStr">
        <is>
          <t>car2go Österreich GmbH, Hintere Zollamtstraße 9, 1030 Wien</t>
        </is>
      </c>
      <c r="Q68" s="76" t="n"/>
      <c r="R68" t="b">
        <v>0</v>
      </c>
      <c r="S68" s="214" t="n">
        <v>5.63</v>
      </c>
      <c r="T68" s="159" t="n">
        <v>1</v>
      </c>
      <c r="U68" t="n">
        <v>20</v>
      </c>
      <c r="V68" s="237" t="n">
        <v>1.126</v>
      </c>
      <c r="W68" s="237" t="n">
        <v>1.126</v>
      </c>
      <c r="X68" s="208" t="n">
        <v>5.63</v>
      </c>
      <c r="Y68" s="251" t="n">
        <v>6.756</v>
      </c>
      <c r="Z68" s="251" t="n">
        <v>6.756</v>
      </c>
      <c r="AA68" s="35" t="n">
        <v>43966</v>
      </c>
      <c r="AB68" s="27" t="n"/>
      <c r="AC68" s="27" t="n"/>
      <c r="AD68" s="210" t="n">
        <v>5.63</v>
      </c>
      <c r="AE68" s="237" t="n">
        <v>0</v>
      </c>
      <c r="AF68" t="b">
        <v>0</v>
      </c>
      <c r="AG68" s="228" t="n">
        <v>-5.63</v>
      </c>
    </row>
    <row r="69">
      <c r="A69">
        <f>I69&amp;"-"&amp;J69</f>
        <v/>
      </c>
      <c r="B69" s="1">
        <f>N69</f>
        <v/>
      </c>
      <c r="C69">
        <f>M69&amp;"/"&amp;O69</f>
        <v/>
      </c>
      <c r="D69">
        <f>K69</f>
        <v/>
      </c>
      <c r="E69">
        <f>L69</f>
        <v/>
      </c>
      <c r="F69" s="236">
        <f>Z69</f>
        <v/>
      </c>
      <c r="G69">
        <f>U69&amp;"%"</f>
        <v/>
      </c>
      <c r="I69" s="53" t="n">
        <v>2020</v>
      </c>
      <c r="J69" s="53" t="n">
        <v>68</v>
      </c>
      <c r="K69" s="71" t="inlineStr">
        <is>
          <t>Ausgaben</t>
        </is>
      </c>
      <c r="L69" t="inlineStr">
        <is>
          <t>Reise- und Fahrtspesen inkl. Kilometergeld und Diäten</t>
        </is>
      </c>
      <c r="M69" s="74" t="inlineStr">
        <is>
          <t>3293000008990862</t>
        </is>
      </c>
      <c r="N69" s="1" t="n">
        <v>43892</v>
      </c>
      <c r="O69" t="inlineStr">
        <is>
          <t>car2go Österreich GmbH, Hintere Zollamtstraße 9, 1030 Wien</t>
        </is>
      </c>
      <c r="Q69" s="76" t="n"/>
      <c r="R69" t="b">
        <v>0</v>
      </c>
      <c r="S69" s="214" t="n">
        <v>5.7</v>
      </c>
      <c r="T69" s="159" t="n">
        <v>1</v>
      </c>
      <c r="U69" t="n">
        <v>20</v>
      </c>
      <c r="V69" s="237" t="n">
        <v>1.14</v>
      </c>
      <c r="W69" s="237" t="n">
        <v>1.14</v>
      </c>
      <c r="X69" s="208" t="n">
        <v>5.7</v>
      </c>
      <c r="Y69" s="251" t="n">
        <v>6.84</v>
      </c>
      <c r="Z69" s="251" t="n">
        <v>6.84</v>
      </c>
      <c r="AA69" s="35" t="n">
        <v>43966</v>
      </c>
      <c r="AB69" s="27" t="n"/>
      <c r="AC69" s="27" t="n"/>
      <c r="AD69" s="210" t="n">
        <v>5.7</v>
      </c>
      <c r="AE69" s="237" t="n">
        <v>0</v>
      </c>
      <c r="AF69" t="b">
        <v>0</v>
      </c>
      <c r="AG69" s="228" t="n">
        <v>-5.7</v>
      </c>
    </row>
    <row r="70">
      <c r="A70">
        <f>I70&amp;"-"&amp;J70</f>
        <v/>
      </c>
      <c r="B70" s="1">
        <f>N70</f>
        <v/>
      </c>
      <c r="C70">
        <f>M70&amp;"/"&amp;O70</f>
        <v/>
      </c>
      <c r="D70">
        <f>K70</f>
        <v/>
      </c>
      <c r="E70">
        <f>L70</f>
        <v/>
      </c>
      <c r="F70" s="236">
        <f>Z70</f>
        <v/>
      </c>
      <c r="G70">
        <f>U70&amp;"%"</f>
        <v/>
      </c>
      <c r="I70" s="53" t="n">
        <v>2020</v>
      </c>
      <c r="J70" s="53" t="n">
        <v>69</v>
      </c>
      <c r="K70" s="71" t="inlineStr">
        <is>
          <t>Ausgaben</t>
        </is>
      </c>
      <c r="L70" t="inlineStr">
        <is>
          <t>Miet- und Pachtaufwand, Leasing</t>
        </is>
      </c>
      <c r="M70" s="74" t="inlineStr">
        <is>
          <t>20/9801/VS00043</t>
        </is>
      </c>
      <c r="N70" s="1" t="n">
        <v>43892</v>
      </c>
      <c r="O70" t="inlineStr">
        <is>
          <t>Bontus Immobilienverwaltung GmbH, 1010 Wien, Franz Josefs Kai 65</t>
        </is>
      </c>
      <c r="Q70" s="76" t="n"/>
      <c r="R70" t="b">
        <v>0</v>
      </c>
      <c r="S70" s="214" t="n">
        <v>462.44</v>
      </c>
      <c r="T70" s="159" t="n">
        <v>1</v>
      </c>
      <c r="U70" t="n">
        <v>20</v>
      </c>
      <c r="V70" s="237" t="n">
        <v>92.488</v>
      </c>
      <c r="W70" s="237" t="n">
        <v>92.488</v>
      </c>
      <c r="X70" s="208" t="n">
        <v>462.44</v>
      </c>
      <c r="Y70" s="251" t="n">
        <v>554.928</v>
      </c>
      <c r="Z70" s="251" t="n">
        <v>554.928</v>
      </c>
      <c r="AA70" s="35" t="n">
        <v>43966</v>
      </c>
      <c r="AB70" s="27" t="n"/>
      <c r="AC70" s="27" t="n"/>
      <c r="AD70" s="210" t="n">
        <v>462.44</v>
      </c>
      <c r="AE70" s="237" t="n">
        <v>0</v>
      </c>
      <c r="AF70" t="b">
        <v>0</v>
      </c>
      <c r="AG70" s="228" t="n">
        <v>-462.44</v>
      </c>
    </row>
    <row r="71">
      <c r="A71">
        <f>I71&amp;"-"&amp;J71</f>
        <v/>
      </c>
      <c r="B71" s="1">
        <f>N71</f>
        <v/>
      </c>
      <c r="C71">
        <f>M71&amp;"/"&amp;O71</f>
        <v/>
      </c>
      <c r="D71">
        <f>K71</f>
        <v/>
      </c>
      <c r="E71">
        <f>L71</f>
        <v/>
      </c>
      <c r="F71" s="236">
        <f>Z71</f>
        <v/>
      </c>
      <c r="G71">
        <f>U71&amp;"%"</f>
        <v/>
      </c>
      <c r="I71" s="53" t="n">
        <v>2020</v>
      </c>
      <c r="J71" s="53" t="n">
        <v>70</v>
      </c>
      <c r="K71" s="71" t="inlineStr">
        <is>
          <t>Ausgaben</t>
        </is>
      </c>
      <c r="L71" t="inlineStr">
        <is>
          <t>Werbe- und Repräsentationsaufwand</t>
        </is>
      </c>
      <c r="M71" s="74" t="inlineStr">
        <is>
          <t>PRM320020005234</t>
        </is>
      </c>
      <c r="N71" s="1" t="n">
        <v>43892</v>
      </c>
      <c r="O71" t="inlineStr">
        <is>
          <t>Xing SE, Dammtorstraße 30, 20354 Hamburg</t>
        </is>
      </c>
      <c r="Q71" s="76" t="n"/>
      <c r="R71" t="b">
        <v>0</v>
      </c>
      <c r="S71" s="214" t="n">
        <v>24.88</v>
      </c>
      <c r="T71" s="159" t="n">
        <v>1</v>
      </c>
      <c r="U71" t="n">
        <v>0</v>
      </c>
      <c r="V71" s="237" t="n">
        <v>0</v>
      </c>
      <c r="W71" s="237" t="n">
        <v>0</v>
      </c>
      <c r="X71" s="208" t="n">
        <v>24.88</v>
      </c>
      <c r="Y71" s="251" t="n">
        <v>24.88</v>
      </c>
      <c r="Z71" s="251" t="n">
        <v>24.88</v>
      </c>
      <c r="AA71" s="35" t="n">
        <v>43966</v>
      </c>
      <c r="AB71" s="27" t="n"/>
      <c r="AC71" s="27" t="n">
        <v>20</v>
      </c>
      <c r="AD71" s="210" t="n">
        <v>24.88</v>
      </c>
      <c r="AE71" s="237" t="n">
        <v>4.976</v>
      </c>
      <c r="AF71" t="b">
        <v>0</v>
      </c>
      <c r="AG71" s="228" t="n">
        <v>-24.88</v>
      </c>
    </row>
    <row r="72">
      <c r="A72">
        <f>I72&amp;"-"&amp;J72</f>
        <v/>
      </c>
      <c r="B72" s="1">
        <f>N72</f>
        <v/>
      </c>
      <c r="C72">
        <f>M72&amp;"/"&amp;O72</f>
        <v/>
      </c>
      <c r="D72">
        <f>K72</f>
        <v/>
      </c>
      <c r="E72">
        <f>L72</f>
        <v/>
      </c>
      <c r="F72" s="236">
        <f>Z72</f>
        <v/>
      </c>
      <c r="G72">
        <f>U72&amp;"%"</f>
        <v/>
      </c>
      <c r="I72" s="53" t="n">
        <v>2020</v>
      </c>
      <c r="J72" s="53" t="n">
        <v>71</v>
      </c>
      <c r="K72" s="71" t="inlineStr">
        <is>
          <t>Ausgaben</t>
        </is>
      </c>
      <c r="L72" t="inlineStr">
        <is>
          <t>Reise- und Fahrtspesen inkl. Kilometergeld und Diäten</t>
        </is>
      </c>
      <c r="M72" s="74" t="inlineStr">
        <is>
          <t>3293000009021473</t>
        </is>
      </c>
      <c r="N72" s="1" t="n">
        <v>43894</v>
      </c>
      <c r="O72" t="inlineStr">
        <is>
          <t>car2go Österreich GmbH, Hintere Zollamtstraße 9, 1030 Wien</t>
        </is>
      </c>
      <c r="Q72" s="76" t="n"/>
      <c r="R72" t="b">
        <v>0</v>
      </c>
      <c r="S72" s="214" t="n">
        <v>7.49</v>
      </c>
      <c r="T72" s="159" t="n">
        <v>1</v>
      </c>
      <c r="U72" t="n">
        <v>20</v>
      </c>
      <c r="V72" s="237" t="n">
        <v>1.498</v>
      </c>
      <c r="W72" s="237" t="n">
        <v>1.498</v>
      </c>
      <c r="X72" s="208" t="n">
        <v>7.49</v>
      </c>
      <c r="Y72" s="251" t="n">
        <v>8.988</v>
      </c>
      <c r="Z72" s="251" t="n">
        <v>8.988</v>
      </c>
      <c r="AA72" s="35" t="n">
        <v>43966</v>
      </c>
      <c r="AB72" s="27" t="n"/>
      <c r="AC72" s="27" t="n"/>
      <c r="AD72" s="210" t="n">
        <v>7.49</v>
      </c>
      <c r="AE72" s="237" t="n">
        <v>0</v>
      </c>
      <c r="AF72" t="b">
        <v>0</v>
      </c>
      <c r="AG72" s="228" t="n">
        <v>-7.49</v>
      </c>
    </row>
    <row r="73">
      <c r="A73">
        <f>I73&amp;"-"&amp;J73</f>
        <v/>
      </c>
      <c r="B73" s="1">
        <f>N73</f>
        <v/>
      </c>
      <c r="C73">
        <f>M73&amp;"/"&amp;O73</f>
        <v/>
      </c>
      <c r="D73">
        <f>K73</f>
        <v/>
      </c>
      <c r="E73">
        <f>L73</f>
        <v/>
      </c>
      <c r="F73" s="236">
        <f>Z73</f>
        <v/>
      </c>
      <c r="G73">
        <f>U73&amp;"%"</f>
        <v/>
      </c>
      <c r="I73" s="53" t="n">
        <v>2020</v>
      </c>
      <c r="J73" s="53" t="n">
        <v>72</v>
      </c>
      <c r="K73" s="71" t="inlineStr">
        <is>
          <t>Ausgaben</t>
        </is>
      </c>
      <c r="L73" t="inlineStr">
        <is>
          <t>Reise- und Fahrtspesen inkl. Kilometergeld und Diäten</t>
        </is>
      </c>
      <c r="M73" s="74" t="inlineStr">
        <is>
          <t>3293000009017540</t>
        </is>
      </c>
      <c r="N73" s="1" t="n">
        <v>43894</v>
      </c>
      <c r="O73" t="inlineStr">
        <is>
          <t>car2go Österreich GmbH, Hintere Zollamtstraße 9, 1030 Wien</t>
        </is>
      </c>
      <c r="Q73" s="76" t="n"/>
      <c r="R73" t="b">
        <v>0</v>
      </c>
      <c r="S73" s="214" t="n">
        <v>5.68</v>
      </c>
      <c r="T73" s="159" t="n">
        <v>1</v>
      </c>
      <c r="U73" t="n">
        <v>20</v>
      </c>
      <c r="V73" s="237" t="n">
        <v>1.136</v>
      </c>
      <c r="W73" s="237" t="n">
        <v>1.136</v>
      </c>
      <c r="X73" s="208" t="n">
        <v>5.68</v>
      </c>
      <c r="Y73" s="251" t="n">
        <v>6.816</v>
      </c>
      <c r="Z73" s="251" t="n">
        <v>6.816</v>
      </c>
      <c r="AA73" s="35" t="n">
        <v>43966</v>
      </c>
      <c r="AB73" s="27" t="n"/>
      <c r="AC73" s="27" t="n"/>
      <c r="AD73" s="210" t="n">
        <v>5.68</v>
      </c>
      <c r="AE73" s="237" t="n">
        <v>0</v>
      </c>
      <c r="AF73" t="b">
        <v>0</v>
      </c>
      <c r="AG73" s="228" t="n">
        <v>-5.68</v>
      </c>
    </row>
    <row r="74">
      <c r="A74">
        <f>I74&amp;"-"&amp;J74</f>
        <v/>
      </c>
      <c r="B74" s="1">
        <f>N74</f>
        <v/>
      </c>
      <c r="C74">
        <f>M74&amp;"/"&amp;O74</f>
        <v/>
      </c>
      <c r="D74">
        <f>K74</f>
        <v/>
      </c>
      <c r="E74">
        <f>L74</f>
        <v/>
      </c>
      <c r="F74" s="236">
        <f>Z74</f>
        <v/>
      </c>
      <c r="G74">
        <f>U74&amp;"%"</f>
        <v/>
      </c>
      <c r="I74" s="53" t="n">
        <v>2020</v>
      </c>
      <c r="J74" s="53" t="n">
        <v>73</v>
      </c>
      <c r="K74" s="71" t="inlineStr">
        <is>
          <t>Ausgaben</t>
        </is>
      </c>
      <c r="L74" t="inlineStr">
        <is>
          <t>sonstige Betriebsausgaben</t>
        </is>
      </c>
      <c r="M74" s="74" t="inlineStr">
        <is>
          <t>807693</t>
        </is>
      </c>
      <c r="N74" s="1" t="n">
        <v>43894</v>
      </c>
      <c r="O74" t="inlineStr">
        <is>
          <t>easy green energy</t>
        </is>
      </c>
      <c r="Q74" s="76" t="n"/>
      <c r="R74" t="b">
        <v>0</v>
      </c>
      <c r="S74" s="214" t="n">
        <v>2.5</v>
      </c>
      <c r="T74" s="159" t="n">
        <v>1</v>
      </c>
      <c r="U74" t="n">
        <v>20</v>
      </c>
      <c r="V74" s="237" t="n">
        <v>0.5</v>
      </c>
      <c r="W74" s="237" t="n">
        <v>0.5</v>
      </c>
      <c r="X74" s="208" t="n">
        <v>2.5</v>
      </c>
      <c r="Y74" s="251" t="n">
        <v>3</v>
      </c>
      <c r="Z74" s="251" t="n">
        <v>3</v>
      </c>
      <c r="AA74" s="35" t="n">
        <v>43966</v>
      </c>
      <c r="AB74" s="27" t="n"/>
      <c r="AC74" s="27" t="n"/>
      <c r="AD74" s="210" t="n">
        <v>2.5</v>
      </c>
      <c r="AE74" s="237" t="n">
        <v>0</v>
      </c>
      <c r="AF74" t="b">
        <v>0</v>
      </c>
      <c r="AG74" s="228" t="n">
        <v>-2.5</v>
      </c>
    </row>
    <row r="75">
      <c r="A75">
        <f>I75&amp;"-"&amp;J75</f>
        <v/>
      </c>
      <c r="B75" s="1">
        <f>N75</f>
        <v/>
      </c>
      <c r="C75">
        <f>M75&amp;"/"&amp;O75</f>
        <v/>
      </c>
      <c r="D75">
        <f>K75</f>
        <v/>
      </c>
      <c r="E75">
        <f>L75</f>
        <v/>
      </c>
      <c r="F75" s="236">
        <f>Z75</f>
        <v/>
      </c>
      <c r="G75">
        <f>U75&amp;"%"</f>
        <v/>
      </c>
      <c r="I75" s="53" t="n">
        <v>2020</v>
      </c>
      <c r="J75" s="53" t="n">
        <v>74</v>
      </c>
      <c r="K75" s="71" t="inlineStr">
        <is>
          <t>Ausgaben</t>
        </is>
      </c>
      <c r="L75" t="inlineStr">
        <is>
          <t>Reise- und Fahrtspesen inkl. Kilometergeld und Diäten</t>
        </is>
      </c>
      <c r="M75" s="74" t="inlineStr">
        <is>
          <t>3293000009023446</t>
        </is>
      </c>
      <c r="N75" s="1" t="n">
        <v>43895</v>
      </c>
      <c r="O75" t="inlineStr">
        <is>
          <t>car2go Österreich GmbH, Hintere Zollamtstraße 9, 1030 Wien</t>
        </is>
      </c>
      <c r="Q75" s="76" t="n"/>
      <c r="R75" t="b">
        <v>0</v>
      </c>
      <c r="S75" s="214" t="n">
        <v>3</v>
      </c>
      <c r="T75" s="159" t="n">
        <v>1</v>
      </c>
      <c r="U75" t="n">
        <v>20</v>
      </c>
      <c r="V75" s="237" t="n">
        <v>0.6</v>
      </c>
      <c r="W75" s="237" t="n">
        <v>0.6</v>
      </c>
      <c r="X75" s="208" t="n">
        <v>3</v>
      </c>
      <c r="Y75" s="251" t="n">
        <v>3.6</v>
      </c>
      <c r="Z75" s="251" t="n">
        <v>3.6</v>
      </c>
      <c r="AA75" s="35" t="n">
        <v>43966</v>
      </c>
      <c r="AB75" s="27" t="n"/>
      <c r="AC75" s="27" t="n"/>
      <c r="AD75" s="210" t="n">
        <v>3</v>
      </c>
      <c r="AE75" s="237" t="n">
        <v>0</v>
      </c>
      <c r="AF75" t="b">
        <v>0</v>
      </c>
      <c r="AG75" s="228" t="n">
        <v>-3</v>
      </c>
    </row>
    <row r="76">
      <c r="A76">
        <f>I76&amp;"-"&amp;J76</f>
        <v/>
      </c>
      <c r="B76" s="1">
        <f>N76</f>
        <v/>
      </c>
      <c r="C76">
        <f>M76&amp;"/"&amp;O76</f>
        <v/>
      </c>
      <c r="D76">
        <f>K76</f>
        <v/>
      </c>
      <c r="E76">
        <f>L76</f>
        <v/>
      </c>
      <c r="F76" s="236">
        <f>Z76</f>
        <v/>
      </c>
      <c r="G76">
        <f>U76&amp;"%"</f>
        <v/>
      </c>
      <c r="I76" s="53" t="n">
        <v>2020</v>
      </c>
      <c r="J76" s="53" t="n">
        <v>75</v>
      </c>
      <c r="K76" s="71" t="inlineStr">
        <is>
          <t>Ausgaben</t>
        </is>
      </c>
      <c r="L76" t="inlineStr">
        <is>
          <t>Reise- und Fahrtspesen inkl. Kilometergeld und Diäten</t>
        </is>
      </c>
      <c r="M76" s="74" t="inlineStr">
        <is>
          <t>3293000009027007</t>
        </is>
      </c>
      <c r="N76" s="1" t="n">
        <v>43895</v>
      </c>
      <c r="O76" t="inlineStr">
        <is>
          <t>car2go Österreich GmbH, Hintere Zollamtstraße 9, 1030 Wien</t>
        </is>
      </c>
      <c r="Q76" s="76" t="n"/>
      <c r="R76" t="b">
        <v>0</v>
      </c>
      <c r="S76" s="214" t="n">
        <v>2.58</v>
      </c>
      <c r="T76" s="159" t="n">
        <v>1</v>
      </c>
      <c r="U76" t="n">
        <v>20</v>
      </c>
      <c r="V76" s="237" t="n">
        <v>0.516</v>
      </c>
      <c r="W76" s="237" t="n">
        <v>0.516</v>
      </c>
      <c r="X76" s="208" t="n">
        <v>2.58</v>
      </c>
      <c r="Y76" s="251" t="n">
        <v>3.096</v>
      </c>
      <c r="Z76" s="251" t="n">
        <v>3.096</v>
      </c>
      <c r="AA76" s="35" t="n">
        <v>43966</v>
      </c>
      <c r="AB76" s="27" t="n"/>
      <c r="AC76" s="27" t="n"/>
      <c r="AD76" s="210" t="n">
        <v>2.58</v>
      </c>
      <c r="AE76" s="237" t="n">
        <v>0</v>
      </c>
      <c r="AF76" t="b">
        <v>0</v>
      </c>
      <c r="AG76" s="228" t="n">
        <v>-2.58</v>
      </c>
    </row>
    <row r="77">
      <c r="A77">
        <f>I77&amp;"-"&amp;J77</f>
        <v/>
      </c>
      <c r="B77" s="1">
        <f>N77</f>
        <v/>
      </c>
      <c r="C77">
        <f>M77&amp;"/"&amp;O77</f>
        <v/>
      </c>
      <c r="D77">
        <f>K77</f>
        <v/>
      </c>
      <c r="E77">
        <f>L77</f>
        <v/>
      </c>
      <c r="F77" s="236">
        <f>Z77</f>
        <v/>
      </c>
      <c r="G77">
        <f>U77&amp;"%"</f>
        <v/>
      </c>
      <c r="I77" s="53" t="n">
        <v>2020</v>
      </c>
      <c r="J77" s="53" t="n">
        <v>76</v>
      </c>
      <c r="K77" s="71" t="inlineStr">
        <is>
          <t>Ausgaben</t>
        </is>
      </c>
      <c r="L77" t="inlineStr">
        <is>
          <t>Reise- und Fahrtspesen inkl. Kilometergeld und Diäten</t>
        </is>
      </c>
      <c r="M77" s="74" t="inlineStr">
        <is>
          <t>(keine RNr)</t>
        </is>
      </c>
      <c r="N77" s="1" t="n">
        <v>43895</v>
      </c>
      <c r="O77" t="inlineStr">
        <is>
          <t>Wiener Linien GmbH &amp; Co KG</t>
        </is>
      </c>
      <c r="Q77" s="76" t="n"/>
      <c r="R77" t="b">
        <v>0</v>
      </c>
      <c r="S77" s="214" t="n">
        <v>331.82</v>
      </c>
      <c r="T77" s="159" t="n">
        <v>1</v>
      </c>
      <c r="U77" t="n">
        <v>10</v>
      </c>
      <c r="V77" s="237" t="n">
        <v>33.182</v>
      </c>
      <c r="W77" s="237" t="n">
        <v>33.182</v>
      </c>
      <c r="X77" s="208" t="n">
        <v>331.82</v>
      </c>
      <c r="Y77" s="251" t="n">
        <v>365.002</v>
      </c>
      <c r="Z77" s="251" t="n">
        <v>365.002</v>
      </c>
      <c r="AA77" s="35" t="n">
        <v>43966</v>
      </c>
      <c r="AB77" s="27" t="n"/>
      <c r="AC77" s="27" t="n"/>
      <c r="AD77" s="210" t="n">
        <v>331.82</v>
      </c>
      <c r="AE77" s="237" t="n">
        <v>0</v>
      </c>
      <c r="AF77" t="b">
        <v>0</v>
      </c>
      <c r="AG77" s="228" t="n">
        <v>-331.82</v>
      </c>
    </row>
    <row r="78">
      <c r="A78">
        <f>I78&amp;"-"&amp;J78</f>
        <v/>
      </c>
      <c r="B78" s="1">
        <f>N78</f>
        <v/>
      </c>
      <c r="C78">
        <f>M78&amp;"/"&amp;O78</f>
        <v/>
      </c>
      <c r="D78">
        <f>K78</f>
        <v/>
      </c>
      <c r="E78">
        <f>L78</f>
        <v/>
      </c>
      <c r="F78" s="236">
        <f>Z78</f>
        <v/>
      </c>
      <c r="G78">
        <f>U78&amp;"%"</f>
        <v/>
      </c>
      <c r="I78" s="53" t="n">
        <v>2020</v>
      </c>
      <c r="J78" s="53" t="n">
        <v>77</v>
      </c>
      <c r="K78" s="71" t="inlineStr">
        <is>
          <t>Ausgaben</t>
        </is>
      </c>
      <c r="L78" t="inlineStr">
        <is>
          <t>Telefon/Internet</t>
        </is>
      </c>
      <c r="M78" s="74" t="inlineStr">
        <is>
          <t>6197452672</t>
        </is>
      </c>
      <c r="N78" s="1" t="n">
        <v>43896</v>
      </c>
      <c r="O78" t="inlineStr">
        <is>
          <t>Hutchison Drei Austria GmbH, Brünner Straße 52, 1210 Wien, Österreich</t>
        </is>
      </c>
      <c r="Q78" s="76" t="n"/>
      <c r="R78" t="b">
        <v>0</v>
      </c>
      <c r="S78" s="214" t="n">
        <v>15</v>
      </c>
      <c r="T78" s="159" t="n">
        <v>1</v>
      </c>
      <c r="U78" t="n">
        <v>20</v>
      </c>
      <c r="V78" s="237" t="n">
        <v>3</v>
      </c>
      <c r="W78" s="237" t="n">
        <v>3</v>
      </c>
      <c r="X78" s="208" t="n">
        <v>15</v>
      </c>
      <c r="Y78" s="251" t="n">
        <v>18</v>
      </c>
      <c r="Z78" s="251" t="n">
        <v>18</v>
      </c>
      <c r="AA78" s="35" t="n">
        <v>43966</v>
      </c>
      <c r="AB78" s="27" t="n"/>
      <c r="AC78" s="27" t="n"/>
      <c r="AD78" s="210" t="n">
        <v>15</v>
      </c>
      <c r="AE78" s="237" t="n">
        <v>0</v>
      </c>
      <c r="AF78" t="b">
        <v>0</v>
      </c>
      <c r="AG78" s="228" t="n">
        <v>-15</v>
      </c>
    </row>
    <row r="79">
      <c r="A79">
        <f>I79&amp;"-"&amp;J79</f>
        <v/>
      </c>
      <c r="B79" s="1">
        <f>N79</f>
        <v/>
      </c>
      <c r="C79">
        <f>M79&amp;"/"&amp;O79</f>
        <v/>
      </c>
      <c r="D79">
        <f>K79</f>
        <v/>
      </c>
      <c r="E79">
        <f>L79</f>
        <v/>
      </c>
      <c r="F79" s="236">
        <f>Z79</f>
        <v/>
      </c>
      <c r="G79">
        <f>U79&amp;"%"</f>
        <v/>
      </c>
      <c r="I79" s="53" t="n">
        <v>2020</v>
      </c>
      <c r="J79" s="53" t="n">
        <v>78</v>
      </c>
      <c r="K79" s="71" t="inlineStr">
        <is>
          <t>Ausgaben</t>
        </is>
      </c>
      <c r="L79" t="inlineStr">
        <is>
          <t>sonstige Betriebsausgaben</t>
        </is>
      </c>
      <c r="M79" s="74" t="inlineStr">
        <is>
          <t>VS/19-01-05428</t>
        </is>
      </c>
      <c r="N79" s="1" t="n">
        <v>43896</v>
      </c>
      <c r="O79" t="inlineStr">
        <is>
          <t>Techem Messtechnik GmbH; Abnehmernummer 501686-0003-11-(</t>
        </is>
      </c>
      <c r="Q79" s="76" t="n"/>
      <c r="R79" t="b">
        <v>0</v>
      </c>
      <c r="S79" s="214" t="n">
        <v>36.58333333333334</v>
      </c>
      <c r="T79" s="159" t="n">
        <v>1</v>
      </c>
      <c r="U79" t="n">
        <v>20</v>
      </c>
      <c r="V79" s="237" t="n">
        <v>7.316666666666667</v>
      </c>
      <c r="W79" s="237" t="n">
        <v>7.316666666666667</v>
      </c>
      <c r="X79" s="208" t="n">
        <v>36.58333333333334</v>
      </c>
      <c r="Y79" s="251" t="n">
        <v>43.90000000000001</v>
      </c>
      <c r="Z79" s="251" t="n">
        <v>43.90000000000001</v>
      </c>
      <c r="AA79" s="35" t="n">
        <v>43966</v>
      </c>
      <c r="AB79" s="27" t="n"/>
      <c r="AC79" s="27" t="n"/>
      <c r="AD79" s="210" t="n">
        <v>36.58333333333334</v>
      </c>
      <c r="AE79" s="237" t="n">
        <v>0</v>
      </c>
      <c r="AF79" t="b">
        <v>0</v>
      </c>
      <c r="AG79" s="228" t="n">
        <v>-36.58333333333334</v>
      </c>
    </row>
    <row r="80">
      <c r="A80">
        <f>I80&amp;"-"&amp;J80</f>
        <v/>
      </c>
      <c r="B80" s="1">
        <f>N80</f>
        <v/>
      </c>
      <c r="C80">
        <f>M80&amp;"/"&amp;O80</f>
        <v/>
      </c>
      <c r="D80">
        <f>K80</f>
        <v/>
      </c>
      <c r="E80">
        <f>L80</f>
        <v/>
      </c>
      <c r="F80" s="236">
        <f>Z80</f>
        <v/>
      </c>
      <c r="G80">
        <f>U80&amp;"%"</f>
        <v/>
      </c>
      <c r="I80" s="53" t="n">
        <v>2020</v>
      </c>
      <c r="J80" s="53" t="n">
        <v>79</v>
      </c>
      <c r="K80" s="71" t="inlineStr">
        <is>
          <t>Ausgaben</t>
        </is>
      </c>
      <c r="L80" t="inlineStr">
        <is>
          <t>Reise- und Fahrtspesen inkl. Kilometergeld und Diäten</t>
        </is>
      </c>
      <c r="M80" s="74" t="inlineStr">
        <is>
          <t>3293000009034738</t>
        </is>
      </c>
      <c r="N80" s="1" t="n">
        <v>43896</v>
      </c>
      <c r="O80" t="inlineStr">
        <is>
          <t>car2go Österreich GmbH, Hintere Zollamtstraße 9, 1030 Wien</t>
        </is>
      </c>
      <c r="Q80" s="76" t="n"/>
      <c r="R80" t="b">
        <v>0</v>
      </c>
      <c r="S80" s="214" t="n">
        <v>6.2</v>
      </c>
      <c r="T80" s="159" t="n">
        <v>1</v>
      </c>
      <c r="U80" t="n">
        <v>20</v>
      </c>
      <c r="V80" s="237" t="n">
        <v>1.24</v>
      </c>
      <c r="W80" s="237" t="n">
        <v>1.24</v>
      </c>
      <c r="X80" s="208" t="n">
        <v>6.2</v>
      </c>
      <c r="Y80" s="251" t="n">
        <v>7.44</v>
      </c>
      <c r="Z80" s="251" t="n">
        <v>7.44</v>
      </c>
      <c r="AA80" s="35" t="n">
        <v>43966</v>
      </c>
      <c r="AB80" s="27" t="n"/>
      <c r="AC80" s="27" t="n"/>
      <c r="AD80" s="210" t="n">
        <v>6.2</v>
      </c>
      <c r="AE80" s="237" t="n">
        <v>0</v>
      </c>
      <c r="AF80" t="b">
        <v>0</v>
      </c>
      <c r="AG80" s="228" t="n">
        <v>-6.2</v>
      </c>
    </row>
    <row r="81">
      <c r="A81">
        <f>I81&amp;"-"&amp;J81</f>
        <v/>
      </c>
      <c r="B81" s="1">
        <f>N81</f>
        <v/>
      </c>
      <c r="C81">
        <f>M81&amp;"/"&amp;O81</f>
        <v/>
      </c>
      <c r="D81">
        <f>K81</f>
        <v/>
      </c>
      <c r="E81">
        <f>L81</f>
        <v/>
      </c>
      <c r="F81" s="236">
        <f>Z81</f>
        <v/>
      </c>
      <c r="G81">
        <f>U81&amp;"%"</f>
        <v/>
      </c>
      <c r="I81" s="53" t="n">
        <v>2020</v>
      </c>
      <c r="J81" s="53" t="n">
        <v>80</v>
      </c>
      <c r="K81" s="71" t="inlineStr">
        <is>
          <t>Ausgaben</t>
        </is>
      </c>
      <c r="L81" t="inlineStr">
        <is>
          <t>Reise- und Fahrtspesen inkl. Kilometergeld und Diäten</t>
        </is>
      </c>
      <c r="M81" s="74" t="inlineStr">
        <is>
          <t>3293000009030357</t>
        </is>
      </c>
      <c r="N81" s="1" t="n">
        <v>43896</v>
      </c>
      <c r="O81" t="inlineStr">
        <is>
          <t>car2go Österreich GmbH, Hintere Zollamtstraße 9, 1030 Wien</t>
        </is>
      </c>
      <c r="Q81" s="76" t="n"/>
      <c r="R81" t="b">
        <v>0</v>
      </c>
      <c r="S81" s="214" t="n">
        <v>13.3</v>
      </c>
      <c r="T81" s="159" t="n">
        <v>1</v>
      </c>
      <c r="U81" t="n">
        <v>20</v>
      </c>
      <c r="V81" s="237" t="n">
        <v>2.66</v>
      </c>
      <c r="W81" s="237" t="n">
        <v>2.66</v>
      </c>
      <c r="X81" s="208" t="n">
        <v>13.3</v>
      </c>
      <c r="Y81" s="251" t="n">
        <v>15.96</v>
      </c>
      <c r="Z81" s="251" t="n">
        <v>15.96</v>
      </c>
      <c r="AA81" s="35" t="n">
        <v>43966</v>
      </c>
      <c r="AB81" s="27" t="n"/>
      <c r="AC81" s="27" t="n"/>
      <c r="AD81" s="210" t="n">
        <v>13.3</v>
      </c>
      <c r="AE81" s="237" t="n">
        <v>0</v>
      </c>
      <c r="AF81" t="b">
        <v>0</v>
      </c>
      <c r="AG81" s="228" t="n">
        <v>-13.3</v>
      </c>
    </row>
    <row r="82">
      <c r="A82">
        <f>I82&amp;"-"&amp;J82</f>
        <v/>
      </c>
      <c r="B82" s="1">
        <f>N82</f>
        <v/>
      </c>
      <c r="C82">
        <f>M82&amp;"/"&amp;O82</f>
        <v/>
      </c>
      <c r="D82">
        <f>K82</f>
        <v/>
      </c>
      <c r="E82">
        <f>L82</f>
        <v/>
      </c>
      <c r="F82" s="236">
        <f>Z82</f>
        <v/>
      </c>
      <c r="G82">
        <f>U82&amp;"%"</f>
        <v/>
      </c>
      <c r="I82" s="53" t="n">
        <v>2020</v>
      </c>
      <c r="J82" s="53" t="n">
        <v>81</v>
      </c>
      <c r="K82" s="71" t="inlineStr">
        <is>
          <t>Ausgaben</t>
        </is>
      </c>
      <c r="L82" t="inlineStr">
        <is>
          <t>Reise- und Fahrtspesen inkl. Kilometergeld und Diäten</t>
        </is>
      </c>
      <c r="M82" s="74" t="inlineStr">
        <is>
          <t>3293000009030587</t>
        </is>
      </c>
      <c r="N82" s="1" t="n">
        <v>43896</v>
      </c>
      <c r="O82" t="inlineStr">
        <is>
          <t>car2go Österreich GmbH, Hintere Zollamtstraße 9, 1030 Wien</t>
        </is>
      </c>
      <c r="Q82" s="76" t="n"/>
      <c r="R82" t="b">
        <v>0</v>
      </c>
      <c r="S82" s="214" t="n">
        <v>2.84</v>
      </c>
      <c r="T82" s="159" t="n">
        <v>1</v>
      </c>
      <c r="U82" t="n">
        <v>20</v>
      </c>
      <c r="V82" s="237" t="n">
        <v>0.5679999999999999</v>
      </c>
      <c r="W82" s="237" t="n">
        <v>0.5679999999999999</v>
      </c>
      <c r="X82" s="208" t="n">
        <v>2.84</v>
      </c>
      <c r="Y82" s="251" t="n">
        <v>3.408</v>
      </c>
      <c r="Z82" s="251" t="n">
        <v>3.408</v>
      </c>
      <c r="AA82" s="35" t="n">
        <v>43966</v>
      </c>
      <c r="AB82" s="27" t="n"/>
      <c r="AC82" s="27" t="n"/>
      <c r="AD82" s="210" t="n">
        <v>2.84</v>
      </c>
      <c r="AE82" s="237" t="n">
        <v>0</v>
      </c>
      <c r="AF82" t="b">
        <v>0</v>
      </c>
      <c r="AG82" s="228" t="n">
        <v>-2.84</v>
      </c>
    </row>
    <row r="83">
      <c r="A83">
        <f>I83&amp;"-"&amp;J83</f>
        <v/>
      </c>
      <c r="B83" s="1">
        <f>N83</f>
        <v/>
      </c>
      <c r="C83">
        <f>M83&amp;"/"&amp;O83</f>
        <v/>
      </c>
      <c r="D83">
        <f>K83</f>
        <v/>
      </c>
      <c r="E83">
        <f>L83</f>
        <v/>
      </c>
      <c r="F83" s="236">
        <f>Z83</f>
        <v/>
      </c>
      <c r="G83">
        <f>U83&amp;"%"</f>
        <v/>
      </c>
      <c r="I83" s="53" t="n">
        <v>2020</v>
      </c>
      <c r="J83" s="53" t="n">
        <v>82</v>
      </c>
      <c r="K83" s="71" t="inlineStr">
        <is>
          <t>Ausgaben</t>
        </is>
      </c>
      <c r="L83" t="inlineStr">
        <is>
          <t>sonstige Betriebsausgaben</t>
        </is>
      </c>
      <c r="M83" s="74" t="inlineStr">
        <is>
          <t>5112142283</t>
        </is>
      </c>
      <c r="N83" s="1" t="n">
        <v>43900</v>
      </c>
      <c r="O83" t="inlineStr">
        <is>
          <t>Wiener Netze GmbH, Erdbergstraße 236, 1110 Wien, Postfach 422</t>
        </is>
      </c>
      <c r="Q83" s="76" t="n"/>
      <c r="R83" t="b">
        <v>0</v>
      </c>
      <c r="S83" s="214" t="n">
        <v>29</v>
      </c>
      <c r="T83" s="159" t="n">
        <v>1</v>
      </c>
      <c r="U83" t="n">
        <v>20</v>
      </c>
      <c r="V83" s="237" t="n">
        <v>5.8</v>
      </c>
      <c r="W83" s="237" t="n">
        <v>5.8</v>
      </c>
      <c r="X83" s="208" t="n">
        <v>29</v>
      </c>
      <c r="Y83" s="251" t="n">
        <v>34.8</v>
      </c>
      <c r="Z83" s="251" t="n">
        <v>34.8</v>
      </c>
      <c r="AA83" s="35" t="n">
        <v>43966</v>
      </c>
      <c r="AB83" s="27" t="n"/>
      <c r="AC83" s="27" t="n"/>
      <c r="AD83" s="210" t="n">
        <v>29</v>
      </c>
      <c r="AE83" s="237" t="n">
        <v>0</v>
      </c>
      <c r="AF83" t="b">
        <v>0</v>
      </c>
      <c r="AG83" s="228" t="n">
        <v>-29</v>
      </c>
    </row>
    <row r="84">
      <c r="A84">
        <f>I84&amp;"-"&amp;J84</f>
        <v/>
      </c>
      <c r="B84" s="1">
        <f>N84</f>
        <v/>
      </c>
      <c r="C84">
        <f>M84&amp;"/"&amp;O84</f>
        <v/>
      </c>
      <c r="D84">
        <f>K84</f>
        <v/>
      </c>
      <c r="E84">
        <f>L84</f>
        <v/>
      </c>
      <c r="F84" s="236">
        <f>Z84</f>
        <v/>
      </c>
      <c r="G84">
        <f>U84&amp;"%"</f>
        <v/>
      </c>
      <c r="I84" s="53" t="n">
        <v>2020</v>
      </c>
      <c r="J84" s="53" t="n">
        <v>83</v>
      </c>
      <c r="K84" s="71" t="inlineStr">
        <is>
          <t>Einnahmen</t>
        </is>
      </c>
      <c r="L84" t="inlineStr">
        <is>
          <t>Waren-/Leistungserlöse</t>
        </is>
      </c>
      <c r="M84" s="74" t="inlineStr">
        <is>
          <t>12020007</t>
        </is>
      </c>
      <c r="N84" s="1" t="n">
        <v>43900</v>
      </c>
      <c r="O84" t="inlineStr">
        <is>
          <t>DCF - Digital Coding Factory GmbH, Bauernfeldgasse 4/12 1090 Wien</t>
        </is>
      </c>
      <c r="Q84" s="76" t="n"/>
      <c r="R84" t="b">
        <v>0</v>
      </c>
      <c r="S84" s="214" t="n">
        <v>892.5</v>
      </c>
      <c r="T84" s="159" t="n">
        <v>1</v>
      </c>
      <c r="U84" t="n">
        <v>20</v>
      </c>
      <c r="V84" s="237" t="n">
        <v>178.5</v>
      </c>
      <c r="W84" s="237" t="n">
        <v>178.5</v>
      </c>
      <c r="X84" s="208" t="n">
        <v>892.5</v>
      </c>
      <c r="Y84" s="251" t="n">
        <v>1071</v>
      </c>
      <c r="Z84" s="251" t="n">
        <v>1071</v>
      </c>
      <c r="AA84" s="35" t="n">
        <v>43966</v>
      </c>
      <c r="AB84" s="27" t="n"/>
      <c r="AC84" s="27" t="n"/>
      <c r="AD84" s="210" t="n">
        <v>892.5</v>
      </c>
      <c r="AE84" s="237" t="n">
        <v>0</v>
      </c>
      <c r="AF84" t="b">
        <v>0</v>
      </c>
      <c r="AG84" s="228" t="n">
        <v>892.5</v>
      </c>
    </row>
    <row r="85">
      <c r="A85">
        <f>I85&amp;"-"&amp;J85</f>
        <v/>
      </c>
      <c r="B85" s="1">
        <f>N85</f>
        <v/>
      </c>
      <c r="C85">
        <f>M85&amp;"/"&amp;O85</f>
        <v/>
      </c>
      <c r="D85">
        <f>K85</f>
        <v/>
      </c>
      <c r="E85">
        <f>L85</f>
        <v/>
      </c>
      <c r="F85" s="236">
        <f>Z85</f>
        <v/>
      </c>
      <c r="G85">
        <f>U85&amp;"%"</f>
        <v/>
      </c>
      <c r="I85" s="53" t="n">
        <v>2020</v>
      </c>
      <c r="J85" s="53" t="n">
        <v>84</v>
      </c>
      <c r="K85" s="71" t="inlineStr">
        <is>
          <t>Einnahmen</t>
        </is>
      </c>
      <c r="L85" t="inlineStr">
        <is>
          <t>Waren-/Leistungserlöse</t>
        </is>
      </c>
      <c r="M85" s="74" t="inlineStr">
        <is>
          <t>12020006</t>
        </is>
      </c>
      <c r="N85" s="1" t="n">
        <v>43900</v>
      </c>
      <c r="O85" s="43" t="inlineStr">
        <is>
          <t>Wedding Avenue e.U., Mayerweckstrasse 2-8/99/1, 1210 Wien</t>
        </is>
      </c>
      <c r="Q85" s="76" t="n"/>
      <c r="R85" t="b">
        <v>0</v>
      </c>
      <c r="S85" s="214" t="n">
        <v>262.5</v>
      </c>
      <c r="T85" s="159" t="n">
        <v>1</v>
      </c>
      <c r="U85" t="n">
        <v>20</v>
      </c>
      <c r="V85" s="237" t="n">
        <v>52.5</v>
      </c>
      <c r="W85" s="237" t="n">
        <v>52.5</v>
      </c>
      <c r="X85" s="208" t="n">
        <v>262.5</v>
      </c>
      <c r="Y85" s="251" t="n">
        <v>315</v>
      </c>
      <c r="Z85" s="251" t="n">
        <v>315</v>
      </c>
      <c r="AA85" s="35" t="n">
        <v>43966</v>
      </c>
      <c r="AB85" s="27" t="n"/>
      <c r="AC85" s="27" t="n"/>
      <c r="AD85" s="210" t="n">
        <v>262.5</v>
      </c>
      <c r="AE85" s="237" t="n">
        <v>0</v>
      </c>
      <c r="AF85" t="b">
        <v>0</v>
      </c>
      <c r="AG85" s="228" t="n">
        <v>262.5</v>
      </c>
    </row>
    <row r="86">
      <c r="A86">
        <f>I86&amp;"-"&amp;J86</f>
        <v/>
      </c>
      <c r="B86" s="1">
        <f>N86</f>
        <v/>
      </c>
      <c r="C86">
        <f>M86&amp;"/"&amp;O86</f>
        <v/>
      </c>
      <c r="D86">
        <f>K86</f>
        <v/>
      </c>
      <c r="E86">
        <f>L86</f>
        <v/>
      </c>
      <c r="F86" s="236">
        <f>Z86</f>
        <v/>
      </c>
      <c r="G86">
        <f>U86&amp;"%"</f>
        <v/>
      </c>
      <c r="I86" s="53" t="n">
        <v>2020</v>
      </c>
      <c r="J86" s="53" t="n">
        <v>85</v>
      </c>
      <c r="K86" s="71" t="inlineStr">
        <is>
          <t>Ausgaben</t>
        </is>
      </c>
      <c r="L86" t="inlineStr">
        <is>
          <t>Waren, Rohstoffe, Hilfsstoffe</t>
        </is>
      </c>
      <c r="M86" s="74" t="inlineStr">
        <is>
          <t>AEU-INV-PL-2020-610134</t>
        </is>
      </c>
      <c r="N86" s="1" t="n">
        <v>43901</v>
      </c>
      <c r="O86" t="inlineStr">
        <is>
          <t>Amazon EU S. à r.l., 38 avenue John F. Kennedy, L-1855 Luxembourg: HJEU: DVI-HDMI, Logitech Maus</t>
        </is>
      </c>
      <c r="Q86" s="76" t="n"/>
      <c r="R86" t="b">
        <v>0</v>
      </c>
      <c r="S86" s="214" t="n">
        <v>6.21</v>
      </c>
      <c r="T86" s="159" t="n">
        <v>1</v>
      </c>
      <c r="U86" t="n">
        <v>0</v>
      </c>
      <c r="V86" s="237" t="n">
        <v>0</v>
      </c>
      <c r="W86" s="237" t="n">
        <v>0</v>
      </c>
      <c r="X86" s="208" t="n">
        <v>6.21</v>
      </c>
      <c r="Y86" s="251" t="n">
        <v>6.21</v>
      </c>
      <c r="Z86" s="251" t="n">
        <v>6.21</v>
      </c>
      <c r="AA86" s="35" t="n">
        <v>43966</v>
      </c>
      <c r="AB86" s="27" t="n"/>
      <c r="AC86" s="27" t="n">
        <v>20</v>
      </c>
      <c r="AD86" s="210" t="n">
        <v>6.21</v>
      </c>
      <c r="AE86" s="237" t="n">
        <v>1.242</v>
      </c>
      <c r="AF86" t="b">
        <v>0</v>
      </c>
      <c r="AG86" s="228" t="n">
        <v>-6.21</v>
      </c>
    </row>
    <row r="87">
      <c r="A87">
        <f>I87&amp;"-"&amp;J87</f>
        <v/>
      </c>
      <c r="B87" s="1">
        <f>N87</f>
        <v/>
      </c>
      <c r="C87">
        <f>M87&amp;"/"&amp;O87</f>
        <v/>
      </c>
      <c r="D87">
        <f>K87</f>
        <v/>
      </c>
      <c r="E87">
        <f>L87</f>
        <v/>
      </c>
      <c r="F87" s="236">
        <f>Z87</f>
        <v/>
      </c>
      <c r="G87">
        <f>U87&amp;"%"</f>
        <v/>
      </c>
      <c r="I87" s="53" t="n">
        <v>2020</v>
      </c>
      <c r="J87" s="53" t="n">
        <v>86</v>
      </c>
      <c r="K87" s="71" t="inlineStr">
        <is>
          <t>Ausgaben</t>
        </is>
      </c>
      <c r="L87" t="inlineStr">
        <is>
          <t>Waren, Rohstoffe, Hilfsstoffe</t>
        </is>
      </c>
      <c r="M87" s="74" t="inlineStr">
        <is>
          <t>AEU-INV-PL-2020-630433</t>
        </is>
      </c>
      <c r="N87" s="1" t="n">
        <v>43901</v>
      </c>
      <c r="O87" t="inlineStr">
        <is>
          <t>Amazon EU S. à r.l., 38 avenue John F. Kennedy, L-1855 Luxembourg: HJEU: DVI-HDMI, Logitech Maus</t>
        </is>
      </c>
      <c r="Q87" s="76" t="n"/>
      <c r="R87" t="b">
        <v>0</v>
      </c>
      <c r="S87" s="214" t="n">
        <v>39.82</v>
      </c>
      <c r="T87" s="159" t="n">
        <v>1</v>
      </c>
      <c r="U87" t="n">
        <v>0</v>
      </c>
      <c r="V87" s="237" t="n">
        <v>0</v>
      </c>
      <c r="W87" s="237" t="n">
        <v>0</v>
      </c>
      <c r="X87" s="208" t="n">
        <v>39.82</v>
      </c>
      <c r="Y87" s="251" t="n">
        <v>39.82</v>
      </c>
      <c r="Z87" s="251" t="n">
        <v>39.82</v>
      </c>
      <c r="AA87" s="35" t="n">
        <v>43966</v>
      </c>
      <c r="AB87" s="27" t="n"/>
      <c r="AC87" s="27" t="n">
        <v>20</v>
      </c>
      <c r="AD87" s="210" t="n">
        <v>39.82</v>
      </c>
      <c r="AE87" s="237" t="n">
        <v>7.964</v>
      </c>
      <c r="AF87" t="b">
        <v>0</v>
      </c>
      <c r="AG87" s="228" t="n">
        <v>-39.82</v>
      </c>
    </row>
    <row r="88">
      <c r="A88">
        <f>I88&amp;"-"&amp;J88</f>
        <v/>
      </c>
      <c r="B88" s="1">
        <f>N88</f>
        <v/>
      </c>
      <c r="C88">
        <f>M88&amp;"/"&amp;O88</f>
        <v/>
      </c>
      <c r="D88">
        <f>K88</f>
        <v/>
      </c>
      <c r="E88">
        <f>L88</f>
        <v/>
      </c>
      <c r="F88" s="236">
        <f>Z88</f>
        <v/>
      </c>
      <c r="G88">
        <f>U88&amp;"%"</f>
        <v/>
      </c>
      <c r="I88" s="53" t="n">
        <v>2020</v>
      </c>
      <c r="J88" s="53" t="n">
        <v>87</v>
      </c>
      <c r="K88" s="71" t="inlineStr">
        <is>
          <t>Einnahmen</t>
        </is>
      </c>
      <c r="L88" t="inlineStr">
        <is>
          <t>Waren-/Leistungserlöse</t>
        </is>
      </c>
      <c r="M88" s="74" t="inlineStr">
        <is>
          <t>12020005</t>
        </is>
      </c>
      <c r="N88" s="1" t="n">
        <v>43902</v>
      </c>
      <c r="O88" t="inlineStr">
        <is>
          <t>DCF - Digital Coding Factory GmbH, Bauernfeldgasse 4/12 1090 Wien</t>
        </is>
      </c>
      <c r="Q88" s="76" t="n"/>
      <c r="R88" t="b">
        <v>0</v>
      </c>
      <c r="S88" s="214" t="n">
        <v>6450</v>
      </c>
      <c r="T88" s="159" t="n">
        <v>1</v>
      </c>
      <c r="U88" t="n">
        <v>20</v>
      </c>
      <c r="V88" s="237" t="n">
        <v>1290</v>
      </c>
      <c r="W88" s="237" t="n">
        <v>1290</v>
      </c>
      <c r="X88" s="208" t="n">
        <v>6450</v>
      </c>
      <c r="Y88" s="251" t="n">
        <v>7740</v>
      </c>
      <c r="Z88" s="251" t="n">
        <v>7740</v>
      </c>
      <c r="AA88" s="35" t="n">
        <v>43966</v>
      </c>
      <c r="AB88" s="27" t="n"/>
      <c r="AC88" s="27" t="n"/>
      <c r="AD88" s="210" t="n">
        <v>6450</v>
      </c>
      <c r="AE88" s="237" t="n">
        <v>0</v>
      </c>
      <c r="AF88" t="b">
        <v>0</v>
      </c>
      <c r="AG88" s="228" t="n">
        <v>6450</v>
      </c>
    </row>
    <row r="89">
      <c r="A89">
        <f>I89&amp;"-"&amp;J89</f>
        <v/>
      </c>
      <c r="B89" s="1">
        <f>N89</f>
        <v/>
      </c>
      <c r="C89">
        <f>M89&amp;"/"&amp;O89</f>
        <v/>
      </c>
      <c r="D89">
        <f>K89</f>
        <v/>
      </c>
      <c r="E89">
        <f>L89</f>
        <v/>
      </c>
      <c r="F89" s="236">
        <f>Z89</f>
        <v/>
      </c>
      <c r="G89">
        <f>U89&amp;"%"</f>
        <v/>
      </c>
      <c r="I89" s="53" t="n">
        <v>2020</v>
      </c>
      <c r="J89" s="53" t="n">
        <v>88</v>
      </c>
      <c r="K89" s="71" t="inlineStr">
        <is>
          <t>Ausgaben</t>
        </is>
      </c>
      <c r="L89" t="inlineStr">
        <is>
          <t>sonstige Betriebsausgaben</t>
        </is>
      </c>
      <c r="M89" s="74" t="inlineStr">
        <is>
          <t>R0010952121</t>
        </is>
      </c>
      <c r="N89" s="1" t="n">
        <v>43902</v>
      </c>
      <c r="O89" t="inlineStr">
        <is>
          <t>Hetzner Online GmbH</t>
        </is>
      </c>
      <c r="Q89" s="76" t="n"/>
      <c r="R89" t="b">
        <v>0</v>
      </c>
      <c r="S89" s="214" t="n">
        <v>46.92</v>
      </c>
      <c r="T89" s="159" t="n">
        <v>1</v>
      </c>
      <c r="U89" t="n">
        <v>0</v>
      </c>
      <c r="V89" s="237" t="n">
        <v>0</v>
      </c>
      <c r="W89" s="237" t="n">
        <v>0</v>
      </c>
      <c r="X89" s="208" t="n">
        <v>46.92</v>
      </c>
      <c r="Y89" s="251" t="n">
        <v>46.92</v>
      </c>
      <c r="Z89" s="251" t="n">
        <v>46.92</v>
      </c>
      <c r="AA89" s="35" t="n">
        <v>43966</v>
      </c>
      <c r="AB89" s="27" t="n"/>
      <c r="AC89" s="27" t="n">
        <v>20</v>
      </c>
      <c r="AD89" s="210" t="n">
        <v>46.92</v>
      </c>
      <c r="AE89" s="237" t="n">
        <v>9.384</v>
      </c>
      <c r="AF89" t="b">
        <v>0</v>
      </c>
      <c r="AG89" s="228" t="n">
        <v>-46.92</v>
      </c>
    </row>
    <row r="90">
      <c r="A90">
        <f>I90&amp;"-"&amp;J90</f>
        <v/>
      </c>
      <c r="B90" s="1">
        <f>N90</f>
        <v/>
      </c>
      <c r="C90">
        <f>M90&amp;"/"&amp;O90</f>
        <v/>
      </c>
      <c r="D90">
        <f>K90</f>
        <v/>
      </c>
      <c r="E90">
        <f>L90</f>
        <v/>
      </c>
      <c r="F90" s="236">
        <f>Z90</f>
        <v/>
      </c>
      <c r="G90">
        <f>U90&amp;"%"</f>
        <v/>
      </c>
      <c r="I90" s="53" t="n">
        <v>2020</v>
      </c>
      <c r="J90" s="53" t="n">
        <v>89</v>
      </c>
      <c r="K90" s="71" t="inlineStr">
        <is>
          <t>Ausgaben</t>
        </is>
      </c>
      <c r="L90" t="inlineStr">
        <is>
          <t>sonstige Betriebsausgaben</t>
        </is>
      </c>
      <c r="M90" s="74" t="inlineStr">
        <is>
          <t>EIN20/0001381</t>
        </is>
      </c>
      <c r="N90" s="1" t="n">
        <v>43903</v>
      </c>
      <c r="O90" t="inlineStr">
        <is>
          <t>A-Trust Gesellschaft für Sicherheitssysteme im elektronischen Datenverkehr GmbH, Landstraßer Hauptstraße 1b, E02, A-1030 Wien: a.sign light Zertifikat Nutzung 1J, Signaturvertrag 158279472050</t>
        </is>
      </c>
      <c r="Q90" s="76" t="n"/>
      <c r="R90" t="b">
        <v>0</v>
      </c>
      <c r="S90" s="214" t="n">
        <v>12.08</v>
      </c>
      <c r="T90" s="159" t="n">
        <v>1</v>
      </c>
      <c r="U90" t="n">
        <v>20</v>
      </c>
      <c r="V90" s="237" t="n">
        <v>2.416</v>
      </c>
      <c r="W90" s="237" t="n">
        <v>2.416</v>
      </c>
      <c r="X90" s="208" t="n">
        <v>12.08</v>
      </c>
      <c r="Y90" s="251" t="n">
        <v>14.496</v>
      </c>
      <c r="Z90" s="251" t="n">
        <v>14.496</v>
      </c>
      <c r="AA90" s="35" t="n">
        <v>43966</v>
      </c>
      <c r="AB90" s="27" t="n"/>
      <c r="AC90" s="27" t="n"/>
      <c r="AD90" s="210" t="n">
        <v>12.08</v>
      </c>
      <c r="AE90" s="237" t="n">
        <v>0</v>
      </c>
      <c r="AF90" t="b">
        <v>0</v>
      </c>
      <c r="AG90" s="228" t="n">
        <v>-12.08</v>
      </c>
    </row>
    <row r="91">
      <c r="A91">
        <f>I91&amp;"-"&amp;J91</f>
        <v/>
      </c>
      <c r="B91" s="1">
        <f>N91</f>
        <v/>
      </c>
      <c r="C91">
        <f>M91&amp;"/"&amp;O91</f>
        <v/>
      </c>
      <c r="D91">
        <f>K91</f>
        <v/>
      </c>
      <c r="E91">
        <f>L91</f>
        <v/>
      </c>
      <c r="F91" s="236">
        <f>Z91</f>
        <v/>
      </c>
      <c r="G91">
        <f>U91&amp;"%"</f>
        <v/>
      </c>
      <c r="I91" s="53" t="n">
        <v>2020</v>
      </c>
      <c r="J91" s="53" t="n">
        <v>90</v>
      </c>
      <c r="K91" s="71" t="inlineStr">
        <is>
          <t>Ausgaben</t>
        </is>
      </c>
      <c r="L91" t="inlineStr">
        <is>
          <t>Reise- und Fahrtspesen inkl. Kilometergeld und Diäten</t>
        </is>
      </c>
      <c r="M91" s="74" t="inlineStr">
        <is>
          <t>3293000009094304</t>
        </is>
      </c>
      <c r="N91" s="1" t="n">
        <v>43906</v>
      </c>
      <c r="O91" t="inlineStr">
        <is>
          <t>car2go Österreich GmbH, Hintere Zollamtstraße 9, 1030 Wien</t>
        </is>
      </c>
      <c r="Q91" s="76" t="n"/>
      <c r="R91" t="b">
        <v>0</v>
      </c>
      <c r="S91" s="214" t="n">
        <v>3.5</v>
      </c>
      <c r="T91" s="159" t="n">
        <v>1</v>
      </c>
      <c r="U91" t="n">
        <v>20</v>
      </c>
      <c r="V91" s="237" t="n">
        <v>0.7</v>
      </c>
      <c r="W91" s="237" t="n">
        <v>0.7</v>
      </c>
      <c r="X91" s="208" t="n">
        <v>3.5</v>
      </c>
      <c r="Y91" s="251" t="n">
        <v>4.2</v>
      </c>
      <c r="Z91" s="251" t="n">
        <v>4.2</v>
      </c>
      <c r="AA91" s="35" t="n">
        <v>43966</v>
      </c>
      <c r="AB91" s="27" t="n"/>
      <c r="AC91" s="27" t="n"/>
      <c r="AD91" s="210" t="n">
        <v>3.5</v>
      </c>
      <c r="AE91" s="237" t="n">
        <v>0</v>
      </c>
      <c r="AF91" t="b">
        <v>0</v>
      </c>
      <c r="AG91" s="228" t="n">
        <v>-3.5</v>
      </c>
    </row>
    <row r="92">
      <c r="A92">
        <f>I92&amp;"-"&amp;J92</f>
        <v/>
      </c>
      <c r="B92" s="1">
        <f>N92</f>
        <v/>
      </c>
      <c r="C92">
        <f>M92&amp;"/"&amp;O92</f>
        <v/>
      </c>
      <c r="D92">
        <f>K92</f>
        <v/>
      </c>
      <c r="E92">
        <f>L92</f>
        <v/>
      </c>
      <c r="F92" s="236">
        <f>Z92</f>
        <v/>
      </c>
      <c r="G92">
        <f>U92&amp;"%"</f>
        <v/>
      </c>
      <c r="I92" s="53" t="n">
        <v>2020</v>
      </c>
      <c r="J92" s="53" t="n">
        <v>91</v>
      </c>
      <c r="K92" s="71" t="inlineStr">
        <is>
          <t>Ausgaben</t>
        </is>
      </c>
      <c r="L92" t="inlineStr">
        <is>
          <t>Reise- und Fahrtspesen inkl. Kilometergeld und Diäten</t>
        </is>
      </c>
      <c r="M92" s="74" t="inlineStr">
        <is>
          <t>3293000009089205</t>
        </is>
      </c>
      <c r="N92" s="1" t="n">
        <v>43906</v>
      </c>
      <c r="O92" t="inlineStr">
        <is>
          <t>car2go Österreich GmbH, Hintere Zollamtstraße 9, 1030 Wien</t>
        </is>
      </c>
      <c r="Q92" s="76" t="n"/>
      <c r="R92" t="b">
        <v>0</v>
      </c>
      <c r="S92" s="214" t="n">
        <v>3.62</v>
      </c>
      <c r="T92" s="159" t="n">
        <v>1</v>
      </c>
      <c r="U92" t="n">
        <v>20</v>
      </c>
      <c r="V92" s="237" t="n">
        <v>0.7240000000000001</v>
      </c>
      <c r="W92" s="237" t="n">
        <v>0.7240000000000001</v>
      </c>
      <c r="X92" s="208" t="n">
        <v>3.62</v>
      </c>
      <c r="Y92" s="251" t="n">
        <v>4.344</v>
      </c>
      <c r="Z92" s="251" t="n">
        <v>4.344</v>
      </c>
      <c r="AA92" s="35" t="n">
        <v>43966</v>
      </c>
      <c r="AB92" s="27" t="n"/>
      <c r="AC92" s="27" t="n"/>
      <c r="AD92" s="210" t="n">
        <v>3.62</v>
      </c>
      <c r="AE92" s="237" t="n">
        <v>0</v>
      </c>
      <c r="AF92" t="b">
        <v>0</v>
      </c>
      <c r="AG92" s="228" t="n">
        <v>-3.62</v>
      </c>
    </row>
    <row r="93">
      <c r="A93">
        <f>I93&amp;"-"&amp;J93</f>
        <v/>
      </c>
      <c r="B93" s="1">
        <f>N93</f>
        <v/>
      </c>
      <c r="C93">
        <f>M93&amp;"/"&amp;O93</f>
        <v/>
      </c>
      <c r="D93">
        <f>K93</f>
        <v/>
      </c>
      <c r="E93">
        <f>L93</f>
        <v/>
      </c>
      <c r="F93" s="236">
        <f>Z93</f>
        <v/>
      </c>
      <c r="G93">
        <f>U93&amp;"%"</f>
        <v/>
      </c>
      <c r="I93" s="53" t="n">
        <v>2020</v>
      </c>
      <c r="J93" s="53" t="n">
        <v>92</v>
      </c>
      <c r="K93" s="71" t="inlineStr">
        <is>
          <t>Ausgaben</t>
        </is>
      </c>
      <c r="L93" t="inlineStr">
        <is>
          <t>Telefon/Internet</t>
        </is>
      </c>
      <c r="M93" s="74" t="inlineStr">
        <is>
          <t>901188610320</t>
        </is>
      </c>
      <c r="N93" s="1" t="n">
        <v>43910</v>
      </c>
      <c r="O93" t="inlineStr">
        <is>
          <t>Magenta: T-Mobile Austria GmbH, A-1120 Wien, PF 47</t>
        </is>
      </c>
      <c r="Q93" s="76" t="n"/>
      <c r="R93" t="b">
        <v>0</v>
      </c>
      <c r="S93" s="214" t="n">
        <v>35.24</v>
      </c>
      <c r="T93" s="159" t="n">
        <v>1</v>
      </c>
      <c r="U93" t="n">
        <v>20</v>
      </c>
      <c r="V93" s="237" t="n">
        <v>7.048000000000001</v>
      </c>
      <c r="W93" s="237" t="n">
        <v>7.048000000000001</v>
      </c>
      <c r="X93" s="208" t="n">
        <v>35.24</v>
      </c>
      <c r="Y93" s="251" t="n">
        <v>42.288</v>
      </c>
      <c r="Z93" s="251" t="n">
        <v>42.288</v>
      </c>
      <c r="AA93" s="35" t="n">
        <v>43966</v>
      </c>
      <c r="AB93" s="27" t="n"/>
      <c r="AC93" s="27" t="n"/>
      <c r="AD93" s="210" t="n">
        <v>35.24</v>
      </c>
      <c r="AE93" s="237" t="n">
        <v>0</v>
      </c>
      <c r="AF93" t="b">
        <v>0</v>
      </c>
      <c r="AG93" s="228" t="n">
        <v>-35.24</v>
      </c>
    </row>
    <row r="94">
      <c r="A94">
        <f>I94&amp;"-"&amp;J94</f>
        <v/>
      </c>
      <c r="B94" s="1">
        <f>N94</f>
        <v/>
      </c>
      <c r="C94">
        <f>M94&amp;"/"&amp;O94</f>
        <v/>
      </c>
      <c r="D94">
        <f>K94</f>
        <v/>
      </c>
      <c r="E94">
        <f>L94</f>
        <v/>
      </c>
      <c r="F94" s="236">
        <f>Z94</f>
        <v/>
      </c>
      <c r="G94">
        <f>U94&amp;"%"</f>
        <v/>
      </c>
      <c r="I94" s="53" t="n">
        <v>2020</v>
      </c>
      <c r="J94" s="53" t="n">
        <v>93</v>
      </c>
      <c r="K94" s="71" t="inlineStr">
        <is>
          <t>Ausgaben</t>
        </is>
      </c>
      <c r="L94" t="inlineStr">
        <is>
          <t>sonstige Betriebsausgaben</t>
        </is>
      </c>
      <c r="M94" s="74" t="inlineStr">
        <is>
          <t>RE0828863</t>
        </is>
      </c>
      <c r="N94" s="1" t="n">
        <v>43914</v>
      </c>
      <c r="O94" t="inlineStr">
        <is>
          <t>easyname GmbH, Fernkorngasse 10/3/501, A-1100 Wien</t>
        </is>
      </c>
      <c r="Q94" s="76" t="n"/>
      <c r="R94" t="b">
        <v>0</v>
      </c>
      <c r="S94" s="214" t="n">
        <v>12.42</v>
      </c>
      <c r="T94" s="159" t="n">
        <v>1</v>
      </c>
      <c r="U94" t="n">
        <v>20</v>
      </c>
      <c r="V94" s="237" t="n">
        <v>2.484</v>
      </c>
      <c r="W94" s="237" t="n">
        <v>2.484</v>
      </c>
      <c r="X94" s="208" t="n">
        <v>12.42</v>
      </c>
      <c r="Y94" s="251" t="n">
        <v>14.904</v>
      </c>
      <c r="Z94" s="251" t="n">
        <v>14.904</v>
      </c>
      <c r="AA94" s="35" t="n">
        <v>43966</v>
      </c>
      <c r="AB94" s="27" t="n"/>
      <c r="AC94" s="27" t="n"/>
      <c r="AD94" s="210" t="n">
        <v>12.42</v>
      </c>
      <c r="AE94" s="237" t="n">
        <v>0</v>
      </c>
      <c r="AF94" t="b">
        <v>0</v>
      </c>
      <c r="AG94" s="228" t="n">
        <v>-12.42</v>
      </c>
    </row>
    <row r="95">
      <c r="A95">
        <f>I95&amp;"-"&amp;J95</f>
        <v/>
      </c>
      <c r="B95" s="1">
        <f>N95</f>
        <v/>
      </c>
      <c r="C95">
        <f>M95&amp;"/"&amp;O95</f>
        <v/>
      </c>
      <c r="D95">
        <f>K95</f>
        <v/>
      </c>
      <c r="E95">
        <f>L95</f>
        <v/>
      </c>
      <c r="F95" s="236">
        <f>Z95</f>
        <v/>
      </c>
      <c r="G95">
        <f>U95&amp;"%"</f>
        <v/>
      </c>
      <c r="I95" s="53" t="n">
        <v>2020</v>
      </c>
      <c r="J95" s="53" t="n">
        <v>94</v>
      </c>
      <c r="K95" s="71" t="inlineStr">
        <is>
          <t>Ausgaben</t>
        </is>
      </c>
      <c r="L95" t="inlineStr">
        <is>
          <t>sonstige Betriebsausgaben</t>
        </is>
      </c>
      <c r="M95" s="74" t="inlineStr">
        <is>
          <t>2020/93924.A62916</t>
        </is>
      </c>
      <c r="N95" s="1" t="n">
        <v>43915</v>
      </c>
      <c r="O95" t="inlineStr">
        <is>
          <t>Syswork IT, Ein Unternehmen der Hackl KG, Neuseiersbergerstraße 115, A-8055 Graz</t>
        </is>
      </c>
      <c r="Q95" s="76" t="n"/>
      <c r="R95" t="b">
        <v>0</v>
      </c>
      <c r="S95" s="214" t="n">
        <v>27.48</v>
      </c>
      <c r="T95" s="159" t="n">
        <v>1</v>
      </c>
      <c r="U95" t="n">
        <v>20</v>
      </c>
      <c r="V95" s="237" t="n">
        <v>5.496</v>
      </c>
      <c r="W95" s="237" t="n">
        <v>5.496</v>
      </c>
      <c r="X95" s="208" t="n">
        <v>27.48</v>
      </c>
      <c r="Y95" s="251" t="n">
        <v>32.976</v>
      </c>
      <c r="Z95" s="251" t="n">
        <v>32.976</v>
      </c>
      <c r="AA95" s="35" t="n">
        <v>43966</v>
      </c>
      <c r="AB95" s="27" t="n"/>
      <c r="AC95" s="27" t="n"/>
      <c r="AD95" s="210" t="n">
        <v>27.48</v>
      </c>
      <c r="AE95" s="237" t="n">
        <v>0</v>
      </c>
      <c r="AF95" t="b">
        <v>0</v>
      </c>
      <c r="AG95" s="228" t="n">
        <v>-27.48</v>
      </c>
    </row>
    <row r="96">
      <c r="A96">
        <f>I96&amp;"-"&amp;J96</f>
        <v/>
      </c>
      <c r="B96" s="1">
        <f>N96</f>
        <v/>
      </c>
      <c r="C96">
        <f>M96&amp;"/"&amp;O96</f>
        <v/>
      </c>
      <c r="D96">
        <f>K96</f>
        <v/>
      </c>
      <c r="E96">
        <f>L96</f>
        <v/>
      </c>
      <c r="F96" s="236">
        <f>Z96</f>
        <v/>
      </c>
      <c r="G96">
        <f>U96&amp;"%"</f>
        <v/>
      </c>
      <c r="I96" s="53" t="n">
        <v>2020</v>
      </c>
      <c r="J96" s="53" t="n">
        <v>95</v>
      </c>
      <c r="K96" s="71" t="inlineStr">
        <is>
          <t>Ausgaben</t>
        </is>
      </c>
      <c r="L96" t="inlineStr">
        <is>
          <t>sonstige Betriebsausgaben</t>
        </is>
      </c>
      <c r="M96" s="74" t="inlineStr">
        <is>
          <t>2020/93923.A62915</t>
        </is>
      </c>
      <c r="N96" s="1" t="n">
        <v>43915</v>
      </c>
      <c r="O96" t="inlineStr">
        <is>
          <t>Syswork IT, Ein Unternehmen der Hackl KG, Neuseiersbergerstraße 115, A-8055 Graz</t>
        </is>
      </c>
      <c r="Q96" s="76" t="n"/>
      <c r="R96" t="b">
        <v>0</v>
      </c>
      <c r="S96" s="214" t="n">
        <v>27.48</v>
      </c>
      <c r="T96" s="159" t="n">
        <v>1</v>
      </c>
      <c r="U96" t="n">
        <v>20</v>
      </c>
      <c r="V96" s="237" t="n">
        <v>5.496</v>
      </c>
      <c r="W96" s="237" t="n">
        <v>5.496</v>
      </c>
      <c r="X96" s="208" t="n">
        <v>27.48</v>
      </c>
      <c r="Y96" s="251" t="n">
        <v>32.976</v>
      </c>
      <c r="Z96" s="251" t="n">
        <v>32.976</v>
      </c>
      <c r="AA96" s="35" t="n">
        <v>43966</v>
      </c>
      <c r="AB96" s="27" t="n"/>
      <c r="AC96" s="27" t="n"/>
      <c r="AD96" s="210" t="n">
        <v>27.48</v>
      </c>
      <c r="AE96" s="237" t="n">
        <v>0</v>
      </c>
      <c r="AF96" t="b">
        <v>0</v>
      </c>
      <c r="AG96" s="228" t="n">
        <v>-27.48</v>
      </c>
    </row>
    <row r="97">
      <c r="A97">
        <f>I97&amp;"-"&amp;J97</f>
        <v/>
      </c>
      <c r="B97" s="1">
        <f>N97</f>
        <v/>
      </c>
      <c r="C97">
        <f>M97&amp;"/"&amp;O97</f>
        <v/>
      </c>
      <c r="D97">
        <f>K97</f>
        <v/>
      </c>
      <c r="E97">
        <f>L97</f>
        <v/>
      </c>
      <c r="F97" s="236">
        <f>Z97</f>
        <v/>
      </c>
      <c r="G97">
        <f>U97&amp;"%"</f>
        <v/>
      </c>
      <c r="I97" s="53" t="n">
        <v>2020</v>
      </c>
      <c r="J97" s="53" t="n">
        <v>96</v>
      </c>
      <c r="K97" s="71" t="inlineStr">
        <is>
          <t>Ausgaben</t>
        </is>
      </c>
      <c r="L97" t="inlineStr">
        <is>
          <t>sonstige Betriebsausgaben</t>
        </is>
      </c>
      <c r="M97" s="74" t="inlineStr">
        <is>
          <t>2020/93929.A62920</t>
        </is>
      </c>
      <c r="N97" s="1" t="n">
        <v>43915</v>
      </c>
      <c r="O97" t="inlineStr">
        <is>
          <t>Syswork IT, Ein Unternehmen der Hackl KG, Neuseiersbergerstraße 115, A-8055 Graz</t>
        </is>
      </c>
      <c r="Q97" s="76" t="n"/>
      <c r="R97" t="b">
        <v>0</v>
      </c>
      <c r="S97" s="214" t="n">
        <v>27.48</v>
      </c>
      <c r="T97" s="159" t="n">
        <v>1</v>
      </c>
      <c r="U97" t="n">
        <v>20</v>
      </c>
      <c r="V97" s="237" t="n">
        <v>5.496</v>
      </c>
      <c r="W97" s="237" t="n">
        <v>5.496</v>
      </c>
      <c r="X97" s="208" t="n">
        <v>27.48</v>
      </c>
      <c r="Y97" s="251" t="n">
        <v>32.976</v>
      </c>
      <c r="Z97" s="251" t="n">
        <v>32.976</v>
      </c>
      <c r="AA97" s="35" t="n">
        <v>43966</v>
      </c>
      <c r="AB97" s="27" t="n"/>
      <c r="AC97" s="27" t="n"/>
      <c r="AD97" s="210" t="n">
        <v>27.48</v>
      </c>
      <c r="AE97" s="237" t="n">
        <v>0</v>
      </c>
      <c r="AF97" t="b">
        <v>0</v>
      </c>
      <c r="AG97" s="228" t="n">
        <v>-27.48</v>
      </c>
    </row>
    <row r="98">
      <c r="A98">
        <f>I98&amp;"-"&amp;J98</f>
        <v/>
      </c>
      <c r="B98" s="1">
        <f>N98</f>
        <v/>
      </c>
      <c r="C98">
        <f>M98&amp;"/"&amp;O98</f>
        <v/>
      </c>
      <c r="D98">
        <f>K98</f>
        <v/>
      </c>
      <c r="E98">
        <f>L98</f>
        <v/>
      </c>
      <c r="F98" s="236">
        <f>Z98</f>
        <v/>
      </c>
      <c r="G98">
        <f>U98&amp;"%"</f>
        <v/>
      </c>
      <c r="I98" s="53" t="n">
        <v>2020</v>
      </c>
      <c r="J98" s="53" t="n">
        <v>97</v>
      </c>
      <c r="K98" s="71" t="inlineStr">
        <is>
          <t>Ausgaben</t>
        </is>
      </c>
      <c r="L98" t="inlineStr">
        <is>
          <t>sonstige Betriebsausgaben</t>
        </is>
      </c>
      <c r="M98" s="74" t="inlineStr">
        <is>
          <t>781311</t>
        </is>
      </c>
      <c r="N98" s="1" t="n">
        <v>43915</v>
      </c>
      <c r="O98" t="inlineStr">
        <is>
          <t>Lemon Technologies GmbH, Unterweißenbach 181, 7330 Feldbach: Bildschirm</t>
        </is>
      </c>
      <c r="Q98" s="76" t="n"/>
      <c r="R98" t="b">
        <v>0</v>
      </c>
      <c r="S98" s="214" t="n">
        <v>175.74</v>
      </c>
      <c r="T98" s="159" t="n">
        <v>1</v>
      </c>
      <c r="U98" t="n">
        <v>20</v>
      </c>
      <c r="V98" s="237" t="n">
        <v>35.148</v>
      </c>
      <c r="W98" s="237" t="n">
        <v>35.148</v>
      </c>
      <c r="X98" s="208" t="n">
        <v>175.74</v>
      </c>
      <c r="Y98" s="251" t="n">
        <v>210.888</v>
      </c>
      <c r="Z98" s="251" t="n">
        <v>210.888</v>
      </c>
      <c r="AA98" s="35" t="n">
        <v>43966</v>
      </c>
      <c r="AB98" s="27" t="n"/>
      <c r="AC98" s="27" t="n"/>
      <c r="AD98" s="210" t="n">
        <v>175.74</v>
      </c>
      <c r="AE98" s="237" t="n">
        <v>0</v>
      </c>
      <c r="AF98" t="b">
        <v>0</v>
      </c>
      <c r="AG98" s="228" t="n">
        <v>-175.74</v>
      </c>
    </row>
    <row r="99">
      <c r="A99">
        <f>I99&amp;"-"&amp;J99</f>
        <v/>
      </c>
      <c r="B99" s="1">
        <f>N99</f>
        <v/>
      </c>
      <c r="C99">
        <f>M99&amp;"/"&amp;O99</f>
        <v/>
      </c>
      <c r="D99">
        <f>K99</f>
        <v/>
      </c>
      <c r="E99">
        <f>L99</f>
        <v/>
      </c>
      <c r="F99" s="236">
        <f>Z99</f>
        <v/>
      </c>
      <c r="G99">
        <f>U99&amp;"%"</f>
        <v/>
      </c>
      <c r="I99" s="53" t="n">
        <v>2020</v>
      </c>
      <c r="J99" s="53" t="n">
        <v>98</v>
      </c>
      <c r="K99" s="71" t="inlineStr">
        <is>
          <t>Einnahmen</t>
        </is>
      </c>
      <c r="L99" t="inlineStr">
        <is>
          <t>Waren-/Leistungserlöse</t>
        </is>
      </c>
      <c r="M99" s="74" t="inlineStr">
        <is>
          <t>12020011</t>
        </is>
      </c>
      <c r="N99" s="1" t="n">
        <v>43922</v>
      </c>
      <c r="O99" t="inlineStr">
        <is>
          <t>DCF - Digital Coding Factory GmbH, Bauernfeldgasse 4/12 1090 Wien</t>
        </is>
      </c>
      <c r="Q99" s="76" t="n"/>
      <c r="R99" t="b">
        <v>0</v>
      </c>
      <c r="S99" s="214" t="n">
        <v>2292.5</v>
      </c>
      <c r="T99" s="159" t="n">
        <v>1</v>
      </c>
      <c r="U99" t="n">
        <v>20</v>
      </c>
      <c r="V99" s="237" t="n">
        <v>458.5</v>
      </c>
      <c r="W99" s="237" t="n">
        <v>458.5</v>
      </c>
      <c r="X99" s="208" t="n">
        <v>2292.5</v>
      </c>
      <c r="Y99" s="251" t="n">
        <v>2751</v>
      </c>
      <c r="Z99" s="251" t="n">
        <v>2751</v>
      </c>
      <c r="AA99" s="35" t="n">
        <v>44058</v>
      </c>
      <c r="AB99" s="27" t="n"/>
      <c r="AC99" s="27" t="n"/>
      <c r="AD99" s="210" t="n">
        <v>2292.5</v>
      </c>
      <c r="AE99" s="237" t="n">
        <v>0</v>
      </c>
      <c r="AF99" t="b">
        <v>0</v>
      </c>
      <c r="AG99" s="228" t="n">
        <v>2292.5</v>
      </c>
    </row>
    <row r="100">
      <c r="A100">
        <f>I100&amp;"-"&amp;J100</f>
        <v/>
      </c>
      <c r="B100" s="1">
        <f>N100</f>
        <v/>
      </c>
      <c r="C100">
        <f>M100&amp;"/"&amp;O100</f>
        <v/>
      </c>
      <c r="D100">
        <f>K100</f>
        <v/>
      </c>
      <c r="E100">
        <f>L100</f>
        <v/>
      </c>
      <c r="F100" s="236">
        <f>Z100</f>
        <v/>
      </c>
      <c r="G100">
        <f>U100&amp;"%"</f>
        <v/>
      </c>
      <c r="I100" s="53" t="n">
        <v>2020</v>
      </c>
      <c r="J100" s="53" t="n">
        <v>99</v>
      </c>
      <c r="K100" s="71" t="inlineStr">
        <is>
          <t>Einnahmen</t>
        </is>
      </c>
      <c r="L100" t="inlineStr">
        <is>
          <t>Waren-/Leistungserlöse</t>
        </is>
      </c>
      <c r="M100" s="74" t="inlineStr">
        <is>
          <t>12020008</t>
        </is>
      </c>
      <c r="N100" s="1" t="n">
        <v>43922</v>
      </c>
      <c r="O100" t="inlineStr">
        <is>
          <t>DCF - Digital Coding Factory GmbH, Bauernfeldgasse 4/12 1090 Wien</t>
        </is>
      </c>
      <c r="Q100" s="76" t="n"/>
      <c r="R100" t="b">
        <v>0</v>
      </c>
      <c r="S100" s="214" t="n">
        <v>9030</v>
      </c>
      <c r="T100" s="159" t="n">
        <v>1</v>
      </c>
      <c r="U100" t="n">
        <v>20</v>
      </c>
      <c r="V100" s="237" t="n">
        <v>1806</v>
      </c>
      <c r="W100" s="237" t="n">
        <v>1806</v>
      </c>
      <c r="X100" s="208" t="n">
        <v>9030</v>
      </c>
      <c r="Y100" s="251" t="n">
        <v>10836</v>
      </c>
      <c r="Z100" s="251" t="n">
        <v>10836</v>
      </c>
      <c r="AA100" s="35" t="n">
        <v>44058</v>
      </c>
      <c r="AB100" s="27" t="n"/>
      <c r="AC100" s="27" t="n"/>
      <c r="AD100" s="210" t="n">
        <v>9030</v>
      </c>
      <c r="AE100" s="237" t="n">
        <v>0</v>
      </c>
      <c r="AF100" t="b">
        <v>0</v>
      </c>
      <c r="AG100" s="228" t="n">
        <v>9030</v>
      </c>
    </row>
    <row r="101">
      <c r="A101">
        <f>I101&amp;"-"&amp;J101</f>
        <v/>
      </c>
      <c r="B101" s="1">
        <f>N101</f>
        <v/>
      </c>
      <c r="C101">
        <f>M101&amp;"/"&amp;O101</f>
        <v/>
      </c>
      <c r="D101">
        <f>K101</f>
        <v/>
      </c>
      <c r="E101">
        <f>L101</f>
        <v/>
      </c>
      <c r="F101" s="236">
        <f>Z101</f>
        <v/>
      </c>
      <c r="G101">
        <f>U101&amp;"%"</f>
        <v/>
      </c>
      <c r="I101" s="53" t="n">
        <v>2020</v>
      </c>
      <c r="J101" s="53" t="n">
        <v>100</v>
      </c>
      <c r="K101" s="71" t="inlineStr">
        <is>
          <t>Ausgaben</t>
        </is>
      </c>
      <c r="L101" t="inlineStr">
        <is>
          <t>Miet- und Pachtaufwand, Leasing</t>
        </is>
      </c>
      <c r="M101" s="74" t="inlineStr">
        <is>
          <t>20/9801/VS00043</t>
        </is>
      </c>
      <c r="N101" s="1" t="n">
        <v>43922</v>
      </c>
      <c r="O101" t="inlineStr">
        <is>
          <t>Bontus Immobilienverwaltung GmbH, 1010 Wien, Franz Josefs Kai 65</t>
        </is>
      </c>
      <c r="Q101" s="76" t="n"/>
      <c r="R101" t="b">
        <v>0</v>
      </c>
      <c r="S101" s="214" t="n">
        <v>462.44</v>
      </c>
      <c r="T101" s="159" t="n">
        <v>1</v>
      </c>
      <c r="U101" t="n">
        <v>20</v>
      </c>
      <c r="V101" s="237" t="n">
        <v>92.488</v>
      </c>
      <c r="W101" s="237" t="n">
        <v>92.488</v>
      </c>
      <c r="X101" s="208" t="n">
        <v>462.44</v>
      </c>
      <c r="Y101" s="251" t="n">
        <v>554.928</v>
      </c>
      <c r="Z101" s="251" t="n">
        <v>554.928</v>
      </c>
      <c r="AA101" s="35" t="n">
        <v>44058</v>
      </c>
      <c r="AB101" s="27" t="n"/>
      <c r="AC101" s="27" t="n"/>
      <c r="AD101" s="210" t="n">
        <v>462.44</v>
      </c>
      <c r="AE101" s="237" t="n">
        <v>0</v>
      </c>
      <c r="AF101" t="b">
        <v>0</v>
      </c>
      <c r="AG101" s="228" t="n">
        <v>-462.44</v>
      </c>
    </row>
    <row r="102">
      <c r="A102">
        <f>I102&amp;"-"&amp;J102</f>
        <v/>
      </c>
      <c r="B102" s="1">
        <f>N102</f>
        <v/>
      </c>
      <c r="C102">
        <f>M102&amp;"/"&amp;O102</f>
        <v/>
      </c>
      <c r="D102">
        <f>K102</f>
        <v/>
      </c>
      <c r="E102">
        <f>L102</f>
        <v/>
      </c>
      <c r="F102" s="236">
        <f>Z102</f>
        <v/>
      </c>
      <c r="G102">
        <f>U102&amp;"%"</f>
        <v/>
      </c>
      <c r="I102" s="53" t="n">
        <v>2020</v>
      </c>
      <c r="J102" s="53" t="n">
        <v>101</v>
      </c>
      <c r="K102" s="71" t="inlineStr">
        <is>
          <t>Ausgaben</t>
        </is>
      </c>
      <c r="L102" t="inlineStr">
        <is>
          <t>sonstige Betriebsausgaben</t>
        </is>
      </c>
      <c r="M102" s="74" t="inlineStr">
        <is>
          <t>807693</t>
        </is>
      </c>
      <c r="N102" s="1" t="n">
        <v>43924</v>
      </c>
      <c r="O102" t="inlineStr">
        <is>
          <t>easy green energy</t>
        </is>
      </c>
      <c r="Q102" s="76" t="n"/>
      <c r="R102" t="b">
        <v>0</v>
      </c>
      <c r="S102" s="214" t="n">
        <v>2.5</v>
      </c>
      <c r="T102" s="159" t="n">
        <v>1</v>
      </c>
      <c r="U102" t="n">
        <v>20</v>
      </c>
      <c r="V102" s="237" t="n">
        <v>0.5</v>
      </c>
      <c r="W102" s="237" t="n">
        <v>0.5</v>
      </c>
      <c r="X102" s="208" t="n">
        <v>2.5</v>
      </c>
      <c r="Y102" s="251" t="n">
        <v>3</v>
      </c>
      <c r="Z102" s="251" t="n">
        <v>3</v>
      </c>
      <c r="AA102" s="35" t="n">
        <v>44058</v>
      </c>
      <c r="AB102" s="27" t="n"/>
      <c r="AC102" s="27" t="n"/>
      <c r="AD102" s="210" t="n">
        <v>2.5</v>
      </c>
      <c r="AE102" s="237" t="n">
        <v>0</v>
      </c>
      <c r="AF102" t="b">
        <v>0</v>
      </c>
      <c r="AG102" s="228" t="n">
        <v>-2.5</v>
      </c>
    </row>
    <row r="103">
      <c r="A103">
        <f>I103&amp;"-"&amp;J103</f>
        <v/>
      </c>
      <c r="B103" s="1">
        <f>N103</f>
        <v/>
      </c>
      <c r="C103">
        <f>M103&amp;"/"&amp;O103</f>
        <v/>
      </c>
      <c r="D103">
        <f>K103</f>
        <v/>
      </c>
      <c r="E103">
        <f>L103</f>
        <v/>
      </c>
      <c r="F103" s="236">
        <f>Z103</f>
        <v/>
      </c>
      <c r="G103">
        <f>U103&amp;"%"</f>
        <v/>
      </c>
      <c r="I103" s="53" t="n">
        <v>2020</v>
      </c>
      <c r="J103" s="53" t="n">
        <v>102</v>
      </c>
      <c r="K103" s="71" t="inlineStr">
        <is>
          <t>Ausgaben</t>
        </is>
      </c>
      <c r="L103" t="inlineStr">
        <is>
          <t>sonstige Betriebsausgaben</t>
        </is>
      </c>
      <c r="M103" s="74" t="inlineStr">
        <is>
          <t>2105969435</t>
        </is>
      </c>
      <c r="N103" s="1" t="n">
        <v>43927</v>
      </c>
      <c r="O103" t="inlineStr">
        <is>
          <t>TeamViewer Germany GmbH, Jahnstr. 30, 73037 Göppingen, Deutschland</t>
        </is>
      </c>
      <c r="Q103" s="76" t="n"/>
      <c r="R103" t="b">
        <v>0</v>
      </c>
      <c r="S103" s="214" t="n">
        <v>301.32</v>
      </c>
      <c r="T103" s="159" t="n">
        <v>1</v>
      </c>
      <c r="U103" t="n">
        <v>0</v>
      </c>
      <c r="V103" s="237" t="n">
        <v>0</v>
      </c>
      <c r="W103" s="237" t="n">
        <v>0</v>
      </c>
      <c r="X103" s="208" t="n">
        <v>301.32</v>
      </c>
      <c r="Y103" s="251" t="n">
        <v>301.32</v>
      </c>
      <c r="Z103" s="251" t="n">
        <v>301.32</v>
      </c>
      <c r="AA103" s="35" t="n">
        <v>44058</v>
      </c>
      <c r="AB103" s="27" t="n"/>
      <c r="AC103" s="27" t="n">
        <v>20</v>
      </c>
      <c r="AD103" s="210" t="n">
        <v>301.32</v>
      </c>
      <c r="AE103" s="237" t="n">
        <v>60.264</v>
      </c>
      <c r="AF103" t="b">
        <v>0</v>
      </c>
      <c r="AG103" s="228" t="n">
        <v>-301.32</v>
      </c>
    </row>
    <row r="104">
      <c r="A104">
        <f>I104&amp;"-"&amp;J104</f>
        <v/>
      </c>
      <c r="B104" s="1">
        <f>N104</f>
        <v/>
      </c>
      <c r="C104">
        <f>M104&amp;"/"&amp;O104</f>
        <v/>
      </c>
      <c r="D104">
        <f>K104</f>
        <v/>
      </c>
      <c r="E104">
        <f>L104</f>
        <v/>
      </c>
      <c r="F104" s="236">
        <f>Z104</f>
        <v/>
      </c>
      <c r="G104">
        <f>U104&amp;"%"</f>
        <v/>
      </c>
      <c r="I104" s="53" t="n">
        <v>2020</v>
      </c>
      <c r="J104" s="53" t="n">
        <v>103</v>
      </c>
      <c r="K104" s="71" t="inlineStr">
        <is>
          <t>Ausgaben</t>
        </is>
      </c>
      <c r="L104" t="inlineStr">
        <is>
          <t>Telefon/Internet</t>
        </is>
      </c>
      <c r="M104" s="74" t="inlineStr">
        <is>
          <t>6197452672</t>
        </is>
      </c>
      <c r="N104" s="1" t="n">
        <v>43928</v>
      </c>
      <c r="O104" t="inlineStr">
        <is>
          <t>Hutchison Drei Austria GmbH, Brünner Straße 52, 1210 Wien, Österreich</t>
        </is>
      </c>
      <c r="Q104" s="76" t="n"/>
      <c r="R104" t="b">
        <v>0</v>
      </c>
      <c r="S104" s="214" t="n">
        <v>15</v>
      </c>
      <c r="T104" s="159" t="n">
        <v>1</v>
      </c>
      <c r="U104" t="n">
        <v>20</v>
      </c>
      <c r="V104" s="237" t="n">
        <v>3</v>
      </c>
      <c r="W104" s="237" t="n">
        <v>3</v>
      </c>
      <c r="X104" s="208" t="n">
        <v>15</v>
      </c>
      <c r="Y104" s="251" t="n">
        <v>18</v>
      </c>
      <c r="Z104" s="251" t="n">
        <v>18</v>
      </c>
      <c r="AA104" s="35" t="n">
        <v>44058</v>
      </c>
      <c r="AB104" s="27" t="n"/>
      <c r="AC104" s="27" t="n"/>
      <c r="AD104" s="210" t="n">
        <v>15</v>
      </c>
      <c r="AE104" s="237" t="n">
        <v>0</v>
      </c>
      <c r="AF104" t="b">
        <v>0</v>
      </c>
      <c r="AG104" s="228" t="n">
        <v>-15</v>
      </c>
    </row>
    <row r="105">
      <c r="A105">
        <f>I105&amp;"-"&amp;J105</f>
        <v/>
      </c>
      <c r="B105" s="1">
        <f>N105</f>
        <v/>
      </c>
      <c r="C105">
        <f>M105&amp;"/"&amp;O105</f>
        <v/>
      </c>
      <c r="D105">
        <f>K105</f>
        <v/>
      </c>
      <c r="E105">
        <f>L105</f>
        <v/>
      </c>
      <c r="F105" s="236">
        <f>Z105</f>
        <v/>
      </c>
      <c r="G105">
        <f>U105&amp;"%"</f>
        <v/>
      </c>
      <c r="I105" s="53" t="n">
        <v>2020</v>
      </c>
      <c r="J105" s="53" t="n">
        <v>104</v>
      </c>
      <c r="K105" s="71" t="inlineStr">
        <is>
          <t>Einnahmen</t>
        </is>
      </c>
      <c r="L105" t="inlineStr">
        <is>
          <t>Waren-/Leistungserlöse</t>
        </is>
      </c>
      <c r="M105" s="74" t="inlineStr">
        <is>
          <t>12020010</t>
        </is>
      </c>
      <c r="N105" s="1" t="n">
        <v>43928</v>
      </c>
      <c r="O105" s="43" t="inlineStr">
        <is>
          <t>Wedding Avenue e.U., Mayerweckstrasse 2-8/99/1, 1210 Wien</t>
        </is>
      </c>
      <c r="Q105" s="76" t="n"/>
      <c r="R105" t="b">
        <v>0</v>
      </c>
      <c r="S105" s="214" t="n">
        <v>87.5</v>
      </c>
      <c r="T105" s="159" t="n">
        <v>1</v>
      </c>
      <c r="U105" t="n">
        <v>20</v>
      </c>
      <c r="V105" s="237" t="n">
        <v>17.5</v>
      </c>
      <c r="W105" s="237" t="n">
        <v>17.5</v>
      </c>
      <c r="X105" s="208" t="n">
        <v>87.5</v>
      </c>
      <c r="Y105" s="251" t="n">
        <v>105</v>
      </c>
      <c r="Z105" s="251" t="n">
        <v>105</v>
      </c>
      <c r="AA105" s="35" t="n">
        <v>44058</v>
      </c>
      <c r="AB105" s="27" t="n"/>
      <c r="AC105" s="27" t="n"/>
      <c r="AD105" s="210" t="n">
        <v>87.5</v>
      </c>
      <c r="AE105" s="237" t="n">
        <v>0</v>
      </c>
      <c r="AF105" t="b">
        <v>0</v>
      </c>
      <c r="AG105" s="228" t="n">
        <v>87.5</v>
      </c>
    </row>
    <row r="106">
      <c r="A106">
        <f>I106&amp;"-"&amp;J106</f>
        <v/>
      </c>
      <c r="B106" s="1">
        <f>N106</f>
        <v/>
      </c>
      <c r="C106">
        <f>M106&amp;"/"&amp;O106</f>
        <v/>
      </c>
      <c r="D106">
        <f>K106</f>
        <v/>
      </c>
      <c r="E106">
        <f>L106</f>
        <v/>
      </c>
      <c r="F106" s="236">
        <f>Z106</f>
        <v/>
      </c>
      <c r="G106">
        <f>U106&amp;"%"</f>
        <v/>
      </c>
      <c r="I106" s="53" t="n">
        <v>2020</v>
      </c>
      <c r="J106" s="53" t="n">
        <v>105</v>
      </c>
      <c r="K106" s="71" t="inlineStr">
        <is>
          <t>Einnahmen</t>
        </is>
      </c>
      <c r="L106" t="inlineStr">
        <is>
          <t>Waren-/Leistungserlöse</t>
        </is>
      </c>
      <c r="M106" s="74" t="inlineStr">
        <is>
          <t>12020012</t>
        </is>
      </c>
      <c r="N106" s="1" t="n">
        <v>43928</v>
      </c>
      <c r="O106" t="inlineStr">
        <is>
          <t>Theresa Häfele-Kolbitsch, Josef-Mohrgasse 9, 2102 Bisamberg</t>
        </is>
      </c>
      <c r="Q106" s="76" t="n"/>
      <c r="R106" t="b">
        <v>0</v>
      </c>
      <c r="S106" s="214" t="n">
        <v>109.38</v>
      </c>
      <c r="T106" s="159" t="n">
        <v>1</v>
      </c>
      <c r="U106" t="n">
        <v>20</v>
      </c>
      <c r="V106" s="237" t="n">
        <v>21.876</v>
      </c>
      <c r="W106" s="237" t="n">
        <v>21.876</v>
      </c>
      <c r="X106" s="208" t="n">
        <v>109.38</v>
      </c>
      <c r="Y106" s="251" t="n">
        <v>131.256</v>
      </c>
      <c r="Z106" s="251" t="n">
        <v>131.256</v>
      </c>
      <c r="AA106" s="35" t="n">
        <v>44058</v>
      </c>
      <c r="AB106" s="27" t="n"/>
      <c r="AC106" s="27" t="n"/>
      <c r="AD106" s="210" t="n">
        <v>109.38</v>
      </c>
      <c r="AE106" s="237" t="n">
        <v>0</v>
      </c>
      <c r="AF106" t="b">
        <v>0</v>
      </c>
      <c r="AG106" s="228" t="n">
        <v>109.38</v>
      </c>
    </row>
    <row r="107">
      <c r="A107">
        <f>I107&amp;"-"&amp;J107</f>
        <v/>
      </c>
      <c r="B107" s="1">
        <f>N107</f>
        <v/>
      </c>
      <c r="C107">
        <f>M107&amp;"/"&amp;O107</f>
        <v/>
      </c>
      <c r="D107">
        <f>K107</f>
        <v/>
      </c>
      <c r="E107">
        <f>L107</f>
        <v/>
      </c>
      <c r="F107" s="236">
        <f>Z107</f>
        <v/>
      </c>
      <c r="G107">
        <f>U107&amp;"%"</f>
        <v/>
      </c>
      <c r="I107" s="53" t="n">
        <v>2020</v>
      </c>
      <c r="J107" s="53" t="n">
        <v>106</v>
      </c>
      <c r="K107" s="71" t="inlineStr">
        <is>
          <t>Ausgaben</t>
        </is>
      </c>
      <c r="L107" t="inlineStr">
        <is>
          <t>sonstige Betriebsausgaben</t>
        </is>
      </c>
      <c r="M107" s="74" t="inlineStr">
        <is>
          <t>VS/19-01-05428</t>
        </is>
      </c>
      <c r="N107" s="1" t="n">
        <v>43928</v>
      </c>
      <c r="O107" t="inlineStr">
        <is>
          <t>Techem Messtechnik GmbH; Abnehmernummer 501686-0003-11-(</t>
        </is>
      </c>
      <c r="Q107" s="76" t="n"/>
      <c r="R107" t="b">
        <v>0</v>
      </c>
      <c r="S107" s="214" t="n">
        <v>36.58333333333334</v>
      </c>
      <c r="T107" s="159" t="n">
        <v>1</v>
      </c>
      <c r="U107" t="n">
        <v>20</v>
      </c>
      <c r="V107" s="237" t="n">
        <v>7.316666666666667</v>
      </c>
      <c r="W107" s="237" t="n">
        <v>7.316666666666667</v>
      </c>
      <c r="X107" s="208" t="n">
        <v>36.58333333333334</v>
      </c>
      <c r="Y107" s="251" t="n">
        <v>43.90000000000001</v>
      </c>
      <c r="Z107" s="251" t="n">
        <v>43.90000000000001</v>
      </c>
      <c r="AA107" s="35" t="n">
        <v>44058</v>
      </c>
      <c r="AB107" s="27" t="n"/>
      <c r="AC107" s="27" t="n"/>
      <c r="AD107" s="210" t="n">
        <v>36.58333333333334</v>
      </c>
      <c r="AE107" s="237" t="n">
        <v>0</v>
      </c>
      <c r="AF107" t="b">
        <v>0</v>
      </c>
      <c r="AG107" s="228" t="n">
        <v>-36.58333333333334</v>
      </c>
    </row>
    <row r="108">
      <c r="A108">
        <f>I108&amp;"-"&amp;J108</f>
        <v/>
      </c>
      <c r="B108" s="1">
        <f>N108</f>
        <v/>
      </c>
      <c r="C108">
        <f>M108&amp;"/"&amp;O108</f>
        <v/>
      </c>
      <c r="D108">
        <f>K108</f>
        <v/>
      </c>
      <c r="E108">
        <f>L108</f>
        <v/>
      </c>
      <c r="F108" s="236">
        <f>Z108</f>
        <v/>
      </c>
      <c r="G108">
        <f>U108&amp;"%"</f>
        <v/>
      </c>
      <c r="I108" s="53" t="n">
        <v>2020</v>
      </c>
      <c r="J108" s="53" t="n">
        <v>107</v>
      </c>
      <c r="K108" s="71" t="inlineStr">
        <is>
          <t>Ausgaben</t>
        </is>
      </c>
      <c r="L108" t="inlineStr">
        <is>
          <t>sonstige Betriebsausgaben</t>
        </is>
      </c>
      <c r="M108" s="74" t="inlineStr">
        <is>
          <t>146759383120</t>
        </is>
      </c>
      <c r="N108" s="1" t="n">
        <v>43935</v>
      </c>
      <c r="O108" t="inlineStr">
        <is>
          <t>Wiener Netze GmbH, Erdbergstraße 236, 1110 Wien, Postfach 422</t>
        </is>
      </c>
      <c r="Q108" s="76" t="n"/>
      <c r="R108" t="b">
        <v>0</v>
      </c>
      <c r="S108" s="214" t="n">
        <v>29</v>
      </c>
      <c r="T108" s="159" t="n">
        <v>1</v>
      </c>
      <c r="U108" t="n">
        <v>20</v>
      </c>
      <c r="V108" s="237" t="n">
        <v>5.8</v>
      </c>
      <c r="W108" s="237" t="n">
        <v>5.8</v>
      </c>
      <c r="X108" s="208" t="n">
        <v>29</v>
      </c>
      <c r="Y108" s="251" t="n">
        <v>34.8</v>
      </c>
      <c r="Z108" s="251" t="n">
        <v>34.8</v>
      </c>
      <c r="AA108" s="35" t="n">
        <v>44058</v>
      </c>
      <c r="AB108" s="27" t="n"/>
      <c r="AC108" s="27" t="n"/>
      <c r="AD108" s="210" t="n">
        <v>29</v>
      </c>
      <c r="AE108" s="237" t="n">
        <v>0</v>
      </c>
      <c r="AF108" t="b">
        <v>0</v>
      </c>
      <c r="AG108" s="228" t="n">
        <v>-29</v>
      </c>
    </row>
    <row r="109">
      <c r="A109">
        <f>I109&amp;"-"&amp;J109</f>
        <v/>
      </c>
      <c r="B109" s="1">
        <f>N109</f>
        <v/>
      </c>
      <c r="C109">
        <f>M109&amp;"/"&amp;O109</f>
        <v/>
      </c>
      <c r="D109">
        <f>K109</f>
        <v/>
      </c>
      <c r="E109">
        <f>L109</f>
        <v/>
      </c>
      <c r="F109" s="236">
        <f>Z109</f>
        <v/>
      </c>
      <c r="G109">
        <f>U109&amp;"%"</f>
        <v/>
      </c>
      <c r="I109" s="53" t="n">
        <v>2020</v>
      </c>
      <c r="J109" s="53" t="n">
        <v>108</v>
      </c>
      <c r="K109" s="71" t="inlineStr">
        <is>
          <t>Einnahmen</t>
        </is>
      </c>
      <c r="L109" t="inlineStr">
        <is>
          <t>Waren-/Leistungserlöse</t>
        </is>
      </c>
      <c r="M109" s="77" t="inlineStr">
        <is>
          <t>12020009</t>
        </is>
      </c>
      <c r="N109" s="44" t="n">
        <v>43936</v>
      </c>
      <c r="O109" t="inlineStr">
        <is>
          <t>Schick Küchendesign e.U. Alexander Schick, Linzerstraße 247, 1140 Wien</t>
        </is>
      </c>
      <c r="Q109" s="76" t="n"/>
      <c r="R109" t="b">
        <v>0</v>
      </c>
      <c r="S109" s="214" t="n">
        <v>173.25</v>
      </c>
      <c r="T109" s="159" t="n">
        <v>1</v>
      </c>
      <c r="U109" t="n">
        <v>20</v>
      </c>
      <c r="V109" s="237" t="n">
        <v>34.65</v>
      </c>
      <c r="W109" s="237" t="n">
        <v>34.65</v>
      </c>
      <c r="X109" s="208" t="n">
        <v>173.25</v>
      </c>
      <c r="Y109" s="251" t="n">
        <v>207.9</v>
      </c>
      <c r="Z109" s="251" t="n">
        <v>207.9</v>
      </c>
      <c r="AA109" s="35" t="n">
        <v>44058</v>
      </c>
      <c r="AB109" s="27" t="n"/>
      <c r="AC109" s="27" t="n"/>
      <c r="AD109" s="210" t="n">
        <v>173.25</v>
      </c>
      <c r="AE109" s="237" t="n">
        <v>0</v>
      </c>
      <c r="AF109" t="b">
        <v>0</v>
      </c>
      <c r="AG109" s="228" t="n">
        <v>173.25</v>
      </c>
    </row>
    <row r="110">
      <c r="A110">
        <f>I110&amp;"-"&amp;J110</f>
        <v/>
      </c>
      <c r="B110" s="1">
        <f>N110</f>
        <v/>
      </c>
      <c r="C110">
        <f>M110&amp;"/"&amp;O110</f>
        <v/>
      </c>
      <c r="D110">
        <f>K110</f>
        <v/>
      </c>
      <c r="E110">
        <f>L110</f>
        <v/>
      </c>
      <c r="F110" s="236">
        <f>Z110</f>
        <v/>
      </c>
      <c r="G110">
        <f>U110&amp;"%"</f>
        <v/>
      </c>
      <c r="I110" s="53" t="n">
        <v>2020</v>
      </c>
      <c r="J110" s="53" t="n">
        <v>109</v>
      </c>
      <c r="K110" s="71" t="inlineStr">
        <is>
          <t>Ausgaben</t>
        </is>
      </c>
      <c r="L110" t="inlineStr">
        <is>
          <t>sonstige Betriebsausgaben</t>
        </is>
      </c>
      <c r="M110" s="74" t="inlineStr">
        <is>
          <t>R0011106041</t>
        </is>
      </c>
      <c r="N110" s="1" t="n">
        <v>43936</v>
      </c>
      <c r="O110" t="inlineStr">
        <is>
          <t>Hetzner Online GmbH</t>
        </is>
      </c>
      <c r="Q110" s="76" t="n"/>
      <c r="R110" t="b">
        <v>0</v>
      </c>
      <c r="S110" s="214" t="n">
        <v>46.92</v>
      </c>
      <c r="T110" s="159" t="n">
        <v>1</v>
      </c>
      <c r="U110" t="n">
        <v>0</v>
      </c>
      <c r="V110" s="237" t="n">
        <v>0</v>
      </c>
      <c r="W110" s="237" t="n">
        <v>0</v>
      </c>
      <c r="X110" s="208" t="n">
        <v>46.92</v>
      </c>
      <c r="Y110" s="251" t="n">
        <v>46.92</v>
      </c>
      <c r="Z110" s="251" t="n">
        <v>46.92</v>
      </c>
      <c r="AA110" s="35" t="n">
        <v>44058</v>
      </c>
      <c r="AB110" s="27" t="n"/>
      <c r="AC110" s="27" t="n">
        <v>20</v>
      </c>
      <c r="AD110" s="210" t="n">
        <v>46.92</v>
      </c>
      <c r="AE110" s="237" t="n">
        <v>9.384</v>
      </c>
      <c r="AF110" t="b">
        <v>0</v>
      </c>
      <c r="AG110" s="228" t="n">
        <v>-46.92</v>
      </c>
    </row>
    <row r="111">
      <c r="A111">
        <f>I111&amp;"-"&amp;J111</f>
        <v/>
      </c>
      <c r="B111" s="1">
        <f>N111</f>
        <v/>
      </c>
      <c r="C111">
        <f>M111&amp;"/"&amp;O111</f>
        <v/>
      </c>
      <c r="D111">
        <f>K111</f>
        <v/>
      </c>
      <c r="E111">
        <f>L111</f>
        <v/>
      </c>
      <c r="F111" s="236">
        <f>Z111</f>
        <v/>
      </c>
      <c r="G111">
        <f>U111&amp;"%"</f>
        <v/>
      </c>
      <c r="I111" s="53" t="n">
        <v>2020</v>
      </c>
      <c r="J111" s="53" t="n">
        <v>110</v>
      </c>
      <c r="K111" s="71" t="inlineStr">
        <is>
          <t>Ausgaben</t>
        </is>
      </c>
      <c r="L111" t="inlineStr">
        <is>
          <t>sonstige Betriebsausgaben</t>
        </is>
      </c>
      <c r="M111" s="74" t="inlineStr">
        <is>
          <t>38935847</t>
        </is>
      </c>
      <c r="N111" s="1" t="n">
        <v>43941</v>
      </c>
      <c r="O111" t="inlineStr">
        <is>
          <t>Nespresso Österreich GmbH&amp;Co OHG, Wiedner Gürtel 9, 1100 Wien</t>
        </is>
      </c>
      <c r="Q111" s="76" t="n"/>
      <c r="R111" t="b">
        <v>0</v>
      </c>
      <c r="S111" s="214" t="n">
        <v>34.17</v>
      </c>
      <c r="T111" s="159" t="n">
        <v>1</v>
      </c>
      <c r="U111" t="n">
        <v>20</v>
      </c>
      <c r="V111" s="237" t="n">
        <v>6.834000000000001</v>
      </c>
      <c r="W111" s="237" t="n">
        <v>6.834000000000001</v>
      </c>
      <c r="X111" s="208" t="n">
        <v>34.17</v>
      </c>
      <c r="Y111" s="251" t="n">
        <v>41.004</v>
      </c>
      <c r="Z111" s="251" t="n">
        <v>41.004</v>
      </c>
      <c r="AA111" s="35" t="n">
        <v>44058</v>
      </c>
      <c r="AB111" s="27" t="n"/>
      <c r="AC111" s="27" t="n"/>
      <c r="AD111" s="210" t="n">
        <v>34.17</v>
      </c>
      <c r="AE111" s="237" t="n">
        <v>0</v>
      </c>
      <c r="AF111" t="b">
        <v>0</v>
      </c>
      <c r="AG111" s="228" t="n">
        <v>-34.17</v>
      </c>
    </row>
    <row r="112">
      <c r="A112">
        <f>I112&amp;"-"&amp;J112</f>
        <v/>
      </c>
      <c r="B112" s="1">
        <f>N112</f>
        <v/>
      </c>
      <c r="C112">
        <f>M112&amp;"/"&amp;O112</f>
        <v/>
      </c>
      <c r="D112">
        <f>K112</f>
        <v/>
      </c>
      <c r="E112">
        <f>L112</f>
        <v/>
      </c>
      <c r="F112" s="236">
        <f>Z112</f>
        <v/>
      </c>
      <c r="G112">
        <f>U112&amp;"%"</f>
        <v/>
      </c>
      <c r="I112" s="53" t="n">
        <v>2020</v>
      </c>
      <c r="J112" s="53" t="n">
        <v>111</v>
      </c>
      <c r="K112" s="71" t="inlineStr">
        <is>
          <t>Ausgaben</t>
        </is>
      </c>
      <c r="L112" t="inlineStr">
        <is>
          <t>Telefon/Internet</t>
        </is>
      </c>
      <c r="M112" s="74" t="inlineStr">
        <is>
          <t>901187750420</t>
        </is>
      </c>
      <c r="N112" s="1" t="n">
        <v>43942</v>
      </c>
      <c r="O112" t="inlineStr">
        <is>
          <t>Magenta: T-Mobile Austria GmbH, A-1120 Wien, PF 47</t>
        </is>
      </c>
      <c r="Q112" s="76" t="n"/>
      <c r="R112" t="b">
        <v>0</v>
      </c>
      <c r="S112" s="214" t="n">
        <v>35.24</v>
      </c>
      <c r="T112" s="159" t="n">
        <v>1</v>
      </c>
      <c r="U112" t="n">
        <v>20</v>
      </c>
      <c r="V112" s="237" t="n">
        <v>7.048000000000001</v>
      </c>
      <c r="W112" s="237" t="n">
        <v>7.048000000000001</v>
      </c>
      <c r="X112" s="208" t="n">
        <v>35.24</v>
      </c>
      <c r="Y112" s="251" t="n">
        <v>42.288</v>
      </c>
      <c r="Z112" s="251" t="n">
        <v>42.288</v>
      </c>
      <c r="AA112" s="35" t="n">
        <v>44058</v>
      </c>
      <c r="AB112" s="27" t="n"/>
      <c r="AC112" s="27" t="n"/>
      <c r="AD112" s="210" t="n">
        <v>35.24</v>
      </c>
      <c r="AE112" s="237" t="n">
        <v>0</v>
      </c>
      <c r="AF112" t="b">
        <v>0</v>
      </c>
      <c r="AG112" s="228" t="n">
        <v>-35.24</v>
      </c>
    </row>
    <row r="113">
      <c r="A113">
        <f>I113&amp;"-"&amp;J113</f>
        <v/>
      </c>
      <c r="B113" s="1">
        <f>N113</f>
        <v/>
      </c>
      <c r="C113">
        <f>M113&amp;"/"&amp;O113</f>
        <v/>
      </c>
      <c r="D113">
        <f>K113</f>
        <v/>
      </c>
      <c r="E113">
        <f>L113</f>
        <v/>
      </c>
      <c r="F113" s="236">
        <f>Z113</f>
        <v/>
      </c>
      <c r="G113">
        <f>U113&amp;"%"</f>
        <v/>
      </c>
      <c r="I113" s="53" t="n">
        <v>2020</v>
      </c>
      <c r="J113" s="53" t="n">
        <v>112</v>
      </c>
      <c r="K113" s="71" t="inlineStr">
        <is>
          <t>Ausgaben</t>
        </is>
      </c>
      <c r="L113" t="inlineStr">
        <is>
          <t>Miet- und Pachtaufwand, Leasing</t>
        </is>
      </c>
      <c r="M113" s="74" t="inlineStr">
        <is>
          <t>20/9801/VS00043</t>
        </is>
      </c>
      <c r="N113" s="1" t="n">
        <v>43955</v>
      </c>
      <c r="O113" t="inlineStr">
        <is>
          <t>Bontus Immobilienverwaltung GmbH, 1010 Wien, Franz Josefs Kai 65</t>
        </is>
      </c>
      <c r="Q113" s="76" t="n"/>
      <c r="R113" t="b">
        <v>0</v>
      </c>
      <c r="S113" s="214" t="n">
        <v>462.44</v>
      </c>
      <c r="T113" s="159" t="n">
        <v>1</v>
      </c>
      <c r="U113" t="n">
        <v>20</v>
      </c>
      <c r="V113" s="237" t="n">
        <v>92.488</v>
      </c>
      <c r="W113" s="237" t="n">
        <v>92.488</v>
      </c>
      <c r="X113" s="208" t="n">
        <v>462.44</v>
      </c>
      <c r="Y113" s="251" t="n">
        <v>554.928</v>
      </c>
      <c r="Z113" s="251" t="n">
        <v>554.928</v>
      </c>
      <c r="AA113" s="35" t="n">
        <v>44058</v>
      </c>
      <c r="AB113" s="27" t="n"/>
      <c r="AC113" s="27" t="n"/>
      <c r="AD113" s="210" t="n">
        <v>462.44</v>
      </c>
      <c r="AE113" s="237" t="n">
        <v>0</v>
      </c>
      <c r="AF113" t="b">
        <v>0</v>
      </c>
      <c r="AG113" s="228" t="n">
        <v>-462.44</v>
      </c>
    </row>
    <row r="114">
      <c r="A114">
        <f>I114&amp;"-"&amp;J114</f>
        <v/>
      </c>
      <c r="B114" s="1">
        <f>N114</f>
        <v/>
      </c>
      <c r="C114">
        <f>M114&amp;"/"&amp;O114</f>
        <v/>
      </c>
      <c r="D114">
        <f>K114</f>
        <v/>
      </c>
      <c r="E114">
        <f>L114</f>
        <v/>
      </c>
      <c r="F114" s="236">
        <f>Z114</f>
        <v/>
      </c>
      <c r="G114">
        <f>U114&amp;"%"</f>
        <v/>
      </c>
      <c r="I114" s="53" t="n">
        <v>2020</v>
      </c>
      <c r="J114" s="53" t="n">
        <v>113</v>
      </c>
      <c r="K114" s="71" t="inlineStr">
        <is>
          <t>Einnahmen</t>
        </is>
      </c>
      <c r="L114" t="inlineStr">
        <is>
          <t>Waren-/Leistungserlöse</t>
        </is>
      </c>
      <c r="M114" s="74" t="inlineStr">
        <is>
          <t>12020015</t>
        </is>
      </c>
      <c r="N114" s="1" t="n">
        <v>43956</v>
      </c>
      <c r="O114" s="43" t="inlineStr">
        <is>
          <t>Wedding Avenue e.U., Mayerweckstrasse 2-8/99/1, 1210 Wien</t>
        </is>
      </c>
      <c r="Q114" s="76" t="n"/>
      <c r="R114" t="b">
        <v>0</v>
      </c>
      <c r="S114" s="214" t="n">
        <v>43.75</v>
      </c>
      <c r="T114" s="159" t="n">
        <v>1</v>
      </c>
      <c r="U114" t="n">
        <v>20</v>
      </c>
      <c r="V114" s="237" t="n">
        <v>8.75</v>
      </c>
      <c r="W114" s="237" t="n">
        <v>8.75</v>
      </c>
      <c r="X114" s="208" t="n">
        <v>43.75</v>
      </c>
      <c r="Y114" s="251" t="n">
        <v>52.5</v>
      </c>
      <c r="Z114" s="251" t="n">
        <v>52.5</v>
      </c>
      <c r="AA114" s="35" t="n">
        <v>44058</v>
      </c>
      <c r="AB114" s="27" t="n"/>
      <c r="AC114" s="27" t="n"/>
      <c r="AD114" s="210" t="n">
        <v>43.75</v>
      </c>
      <c r="AE114" s="237" t="n">
        <v>0</v>
      </c>
      <c r="AF114" t="b">
        <v>0</v>
      </c>
      <c r="AG114" s="228" t="n">
        <v>43.75</v>
      </c>
    </row>
    <row r="115">
      <c r="A115">
        <f>I115&amp;"-"&amp;J115</f>
        <v/>
      </c>
      <c r="B115" s="1">
        <f>N115</f>
        <v/>
      </c>
      <c r="C115">
        <f>M115&amp;"/"&amp;O115</f>
        <v/>
      </c>
      <c r="D115">
        <f>K115</f>
        <v/>
      </c>
      <c r="E115">
        <f>L115</f>
        <v/>
      </c>
      <c r="F115" s="236">
        <f>Z115</f>
        <v/>
      </c>
      <c r="G115">
        <f>U115&amp;"%"</f>
        <v/>
      </c>
      <c r="I115" s="53" t="n">
        <v>2020</v>
      </c>
      <c r="J115" s="53" t="n">
        <v>114</v>
      </c>
      <c r="K115" s="71" t="inlineStr">
        <is>
          <t>Ausgaben</t>
        </is>
      </c>
      <c r="L115" t="inlineStr">
        <is>
          <t>sonstige Betriebsausgaben</t>
        </is>
      </c>
      <c r="M115" s="74" t="inlineStr">
        <is>
          <t>807693</t>
        </is>
      </c>
      <c r="N115" s="1" t="n">
        <v>43957</v>
      </c>
      <c r="O115" t="inlineStr">
        <is>
          <t>easy green energy GmbH &amp; Co KG</t>
        </is>
      </c>
      <c r="Q115" s="76" t="n"/>
      <c r="R115" t="b">
        <v>0</v>
      </c>
      <c r="S115" s="214" t="n">
        <v>2.5</v>
      </c>
      <c r="T115" s="159" t="n">
        <v>1</v>
      </c>
      <c r="U115" t="n">
        <v>20</v>
      </c>
      <c r="V115" s="237" t="n">
        <v>0.5</v>
      </c>
      <c r="W115" s="237" t="n">
        <v>0.5</v>
      </c>
      <c r="X115" s="208" t="n">
        <v>2.5</v>
      </c>
      <c r="Y115" s="251" t="n">
        <v>3</v>
      </c>
      <c r="Z115" s="251" t="n">
        <v>3</v>
      </c>
      <c r="AA115" s="35" t="n">
        <v>44058</v>
      </c>
      <c r="AB115" s="27" t="n"/>
      <c r="AC115" s="27" t="n"/>
      <c r="AD115" s="210" t="n">
        <v>2.5</v>
      </c>
      <c r="AE115" s="237" t="n">
        <v>0</v>
      </c>
      <c r="AF115" t="b">
        <v>0</v>
      </c>
      <c r="AG115" s="228" t="n">
        <v>-2.5</v>
      </c>
    </row>
    <row r="116">
      <c r="A116">
        <f>I116&amp;"-"&amp;J116</f>
        <v/>
      </c>
      <c r="B116" s="1">
        <f>N116</f>
        <v/>
      </c>
      <c r="C116">
        <f>M116&amp;"/"&amp;O116</f>
        <v/>
      </c>
      <c r="D116">
        <f>K116</f>
        <v/>
      </c>
      <c r="E116">
        <f>L116</f>
        <v/>
      </c>
      <c r="F116" s="236">
        <f>Z116</f>
        <v/>
      </c>
      <c r="G116">
        <f>U116&amp;"%"</f>
        <v/>
      </c>
      <c r="I116" s="53" t="n">
        <v>2020</v>
      </c>
      <c r="J116" s="53" t="n">
        <v>115</v>
      </c>
      <c r="K116" s="71" t="inlineStr">
        <is>
          <t>Ausgaben</t>
        </is>
      </c>
      <c r="L116" t="inlineStr">
        <is>
          <t>sonstige Betriebsausgaben</t>
        </is>
      </c>
      <c r="M116" s="74" t="inlineStr">
        <is>
          <t>VS/19-01-05428</t>
        </is>
      </c>
      <c r="N116" s="1" t="n">
        <v>43957</v>
      </c>
      <c r="O116" t="inlineStr">
        <is>
          <t>Techem Messtechnik GmbH; Abnehmernummer 501686-0003-11-(</t>
        </is>
      </c>
      <c r="Q116" s="76" t="n"/>
      <c r="R116" t="b">
        <v>0</v>
      </c>
      <c r="S116" s="214" t="n">
        <v>36.58333333333334</v>
      </c>
      <c r="T116" s="159" t="n">
        <v>1</v>
      </c>
      <c r="U116" t="n">
        <v>20</v>
      </c>
      <c r="V116" s="237" t="n">
        <v>7.316666666666667</v>
      </c>
      <c r="W116" s="237" t="n">
        <v>7.316666666666667</v>
      </c>
      <c r="X116" s="208" t="n">
        <v>36.58333333333334</v>
      </c>
      <c r="Y116" s="251" t="n">
        <v>43.90000000000001</v>
      </c>
      <c r="Z116" s="251" t="n">
        <v>43.90000000000001</v>
      </c>
      <c r="AA116" s="35" t="n">
        <v>44058</v>
      </c>
      <c r="AB116" s="27" t="n"/>
      <c r="AC116" s="27" t="n"/>
      <c r="AD116" s="210" t="n">
        <v>36.58333333333334</v>
      </c>
      <c r="AE116" s="237" t="n">
        <v>0</v>
      </c>
      <c r="AF116" t="b">
        <v>0</v>
      </c>
      <c r="AG116" s="228" t="n">
        <v>-36.58333333333334</v>
      </c>
    </row>
    <row r="117">
      <c r="A117">
        <f>I117&amp;"-"&amp;J117</f>
        <v/>
      </c>
      <c r="B117" s="1">
        <f>N117</f>
        <v/>
      </c>
      <c r="C117">
        <f>M117&amp;"/"&amp;O117</f>
        <v/>
      </c>
      <c r="D117">
        <f>K117</f>
        <v/>
      </c>
      <c r="E117">
        <f>L117</f>
        <v/>
      </c>
      <c r="F117" s="236">
        <f>Z117</f>
        <v/>
      </c>
      <c r="G117">
        <f>U117&amp;"%"</f>
        <v/>
      </c>
      <c r="I117" s="53" t="n">
        <v>2020</v>
      </c>
      <c r="J117" s="53" t="n">
        <v>116</v>
      </c>
      <c r="K117" s="71" t="inlineStr">
        <is>
          <t>Ausgaben</t>
        </is>
      </c>
      <c r="L117" t="inlineStr">
        <is>
          <t>Telefon/Internet</t>
        </is>
      </c>
      <c r="M117" s="74" t="inlineStr">
        <is>
          <t>6201122126</t>
        </is>
      </c>
      <c r="N117" s="1" t="n">
        <v>43959</v>
      </c>
      <c r="O117" t="inlineStr">
        <is>
          <t>Hutchison Drei Austria GmbH, Brünner Straße 52, 1210 Wien, Österreich</t>
        </is>
      </c>
      <c r="Q117" s="76" t="n"/>
      <c r="R117" t="b">
        <v>0</v>
      </c>
      <c r="S117" s="214" t="n">
        <v>15</v>
      </c>
      <c r="T117" s="159" t="n">
        <v>1</v>
      </c>
      <c r="U117" t="n">
        <v>20</v>
      </c>
      <c r="V117" s="237" t="n">
        <v>3</v>
      </c>
      <c r="W117" s="237" t="n">
        <v>3</v>
      </c>
      <c r="X117" s="208" t="n">
        <v>15</v>
      </c>
      <c r="Y117" s="251" t="n">
        <v>18</v>
      </c>
      <c r="Z117" s="251" t="n">
        <v>18</v>
      </c>
      <c r="AA117" s="35" t="n">
        <v>44058</v>
      </c>
      <c r="AB117" s="27" t="n"/>
      <c r="AC117" s="27" t="n"/>
      <c r="AD117" s="210" t="n">
        <v>15</v>
      </c>
      <c r="AE117" s="237" t="n">
        <v>0</v>
      </c>
      <c r="AF117" t="b">
        <v>0</v>
      </c>
      <c r="AG117" s="228" t="n">
        <v>-15</v>
      </c>
    </row>
    <row r="118">
      <c r="A118">
        <f>I118&amp;"-"&amp;J118</f>
        <v/>
      </c>
      <c r="B118" s="1">
        <f>N118</f>
        <v/>
      </c>
      <c r="C118">
        <f>M118&amp;"/"&amp;O118</f>
        <v/>
      </c>
      <c r="D118">
        <f>K118</f>
        <v/>
      </c>
      <c r="E118">
        <f>L118</f>
        <v/>
      </c>
      <c r="F118" s="236">
        <f>Z118</f>
        <v/>
      </c>
      <c r="G118">
        <f>U118&amp;"%"</f>
        <v/>
      </c>
      <c r="I118" s="53" t="n">
        <v>2020</v>
      </c>
      <c r="J118" s="53" t="n">
        <v>117</v>
      </c>
      <c r="K118" s="71" t="inlineStr">
        <is>
          <t>Ausgaben</t>
        </is>
      </c>
      <c r="L118" t="inlineStr">
        <is>
          <t>Pflichversicherungsbeiträge</t>
        </is>
      </c>
      <c r="M118" s="110" t="n"/>
      <c r="N118" s="1" t="n">
        <v>43962</v>
      </c>
      <c r="O118" t="inlineStr">
        <is>
          <t>Sozialversicherung der gewerblichen Wirtshaft</t>
        </is>
      </c>
      <c r="Q118" s="76" t="n"/>
      <c r="R118" t="b">
        <v>0</v>
      </c>
      <c r="S118" s="214" t="n">
        <v>1678.77</v>
      </c>
      <c r="T118" s="159" t="n">
        <v>1</v>
      </c>
      <c r="U118" t="n">
        <v>0</v>
      </c>
      <c r="V118" s="237" t="n">
        <v>0</v>
      </c>
      <c r="W118" s="237" t="n">
        <v>0</v>
      </c>
      <c r="X118" s="208" t="n">
        <v>1678.77</v>
      </c>
      <c r="Y118" s="251" t="n">
        <v>1678.77</v>
      </c>
      <c r="Z118" s="251" t="n">
        <v>1678.77</v>
      </c>
      <c r="AA118" s="35" t="n">
        <v>44058</v>
      </c>
      <c r="AB118" s="27" t="n"/>
      <c r="AC118" s="27" t="n"/>
      <c r="AD118" s="210" t="n">
        <v>1678.77</v>
      </c>
      <c r="AE118" s="237" t="n">
        <v>0</v>
      </c>
      <c r="AF118" t="b">
        <v>0</v>
      </c>
      <c r="AG118" s="228" t="n">
        <v>-1678.77</v>
      </c>
    </row>
    <row r="119">
      <c r="A119">
        <f>I119&amp;"-"&amp;J119</f>
        <v/>
      </c>
      <c r="B119" s="1">
        <f>N119</f>
        <v/>
      </c>
      <c r="C119">
        <f>M119&amp;"/"&amp;O119</f>
        <v/>
      </c>
      <c r="D119">
        <f>K119</f>
        <v/>
      </c>
      <c r="E119">
        <f>L119</f>
        <v/>
      </c>
      <c r="F119" s="236">
        <f>Z119</f>
        <v/>
      </c>
      <c r="G119">
        <f>U119&amp;"%"</f>
        <v/>
      </c>
      <c r="I119" s="53" t="n">
        <v>2020</v>
      </c>
      <c r="J119" s="53" t="n">
        <v>118</v>
      </c>
      <c r="K119" s="71" t="inlineStr">
        <is>
          <t>Ausgaben</t>
        </is>
      </c>
      <c r="L119" t="inlineStr">
        <is>
          <t>sonstige Betriebsausgaben</t>
        </is>
      </c>
      <c r="M119" s="74" t="inlineStr">
        <is>
          <t>5112142283</t>
        </is>
      </c>
      <c r="N119" s="1" t="n">
        <v>43962</v>
      </c>
      <c r="O119" t="inlineStr">
        <is>
          <t>Wiener Netze GmbH, Erdbergstraße 236, 1110 Wien, Postfach 422</t>
        </is>
      </c>
      <c r="Q119" s="76" t="n"/>
      <c r="R119" t="b">
        <v>0</v>
      </c>
      <c r="S119" s="214" t="n">
        <v>29</v>
      </c>
      <c r="T119" s="159" t="n">
        <v>1</v>
      </c>
      <c r="U119" t="n">
        <v>20</v>
      </c>
      <c r="V119" s="237" t="n">
        <v>5.8</v>
      </c>
      <c r="W119" s="237" t="n">
        <v>5.8</v>
      </c>
      <c r="X119" s="208" t="n">
        <v>29</v>
      </c>
      <c r="Y119" s="251" t="n">
        <v>34.8</v>
      </c>
      <c r="Z119" s="251" t="n">
        <v>34.8</v>
      </c>
      <c r="AA119" s="35" t="n">
        <v>44058</v>
      </c>
      <c r="AB119" s="27" t="n"/>
      <c r="AC119" s="27" t="n"/>
      <c r="AD119" s="210" t="n">
        <v>29</v>
      </c>
      <c r="AE119" s="237" t="n">
        <v>0</v>
      </c>
      <c r="AF119" t="b">
        <v>0</v>
      </c>
      <c r="AG119" s="228" t="n">
        <v>-29</v>
      </c>
    </row>
    <row r="120">
      <c r="A120">
        <f>I120&amp;"-"&amp;J120</f>
        <v/>
      </c>
      <c r="B120" s="1">
        <f>N120</f>
        <v/>
      </c>
      <c r="C120">
        <f>M120&amp;"/"&amp;O120</f>
        <v/>
      </c>
      <c r="D120">
        <f>K120</f>
        <v/>
      </c>
      <c r="E120">
        <f>L120</f>
        <v/>
      </c>
      <c r="F120" s="236">
        <f>Z120</f>
        <v/>
      </c>
      <c r="G120">
        <f>U120&amp;"%"</f>
        <v/>
      </c>
      <c r="I120" s="53" t="n">
        <v>2020</v>
      </c>
      <c r="J120" s="53" t="n">
        <v>119</v>
      </c>
      <c r="K120" s="71" t="inlineStr">
        <is>
          <t>Einnahmen</t>
        </is>
      </c>
      <c r="L120" t="inlineStr">
        <is>
          <t>Waren-/Leistungserlöse</t>
        </is>
      </c>
      <c r="M120" s="74" t="inlineStr">
        <is>
          <t>12020016</t>
        </is>
      </c>
      <c r="N120" s="1" t="n">
        <v>43963</v>
      </c>
      <c r="O120" t="inlineStr">
        <is>
          <t>DCF - Digital Coding Factory GmbH, Bauernfeldgasse 4/12 1090 Wien</t>
        </is>
      </c>
      <c r="Q120" s="76" t="n"/>
      <c r="R120" t="b">
        <v>0</v>
      </c>
      <c r="S120" s="214" t="n">
        <v>157.5</v>
      </c>
      <c r="T120" s="159" t="n">
        <v>1</v>
      </c>
      <c r="U120" t="n">
        <v>20</v>
      </c>
      <c r="V120" s="237" t="n">
        <v>31.5</v>
      </c>
      <c r="W120" s="237" t="n">
        <v>31.5</v>
      </c>
      <c r="X120" s="208" t="n">
        <v>157.5</v>
      </c>
      <c r="Y120" s="251" t="n">
        <v>189</v>
      </c>
      <c r="Z120" s="251" t="n">
        <v>189</v>
      </c>
      <c r="AA120" s="35" t="n">
        <v>44058</v>
      </c>
      <c r="AB120" s="27" t="n"/>
      <c r="AC120" s="27" t="n"/>
      <c r="AD120" s="210" t="n">
        <v>157.5</v>
      </c>
      <c r="AE120" s="237" t="n">
        <v>0</v>
      </c>
      <c r="AF120" t="b">
        <v>0</v>
      </c>
      <c r="AG120" s="228" t="n">
        <v>157.5</v>
      </c>
    </row>
    <row r="121">
      <c r="A121">
        <f>I121&amp;"-"&amp;J121</f>
        <v/>
      </c>
      <c r="B121" s="1">
        <f>N121</f>
        <v/>
      </c>
      <c r="C121">
        <f>M121&amp;"/"&amp;O121</f>
        <v/>
      </c>
      <c r="D121">
        <f>K121</f>
        <v/>
      </c>
      <c r="E121">
        <f>L121</f>
        <v/>
      </c>
      <c r="F121" s="236">
        <f>Z121</f>
        <v/>
      </c>
      <c r="G121">
        <f>U121&amp;"%"</f>
        <v/>
      </c>
      <c r="I121" s="53" t="n">
        <v>2020</v>
      </c>
      <c r="J121" s="53" t="n">
        <v>120</v>
      </c>
      <c r="K121" s="71" t="inlineStr">
        <is>
          <t>Einnahmen</t>
        </is>
      </c>
      <c r="L121" t="inlineStr">
        <is>
          <t>Waren-/Leistungserlöse</t>
        </is>
      </c>
      <c r="M121" s="74" t="inlineStr">
        <is>
          <t>12020014</t>
        </is>
      </c>
      <c r="N121" s="1" t="n">
        <v>43963</v>
      </c>
      <c r="O121" t="inlineStr">
        <is>
          <t>DCF - Digital Coding Factory GmbH, Bauernfeldgasse 4/12 1090 Wien</t>
        </is>
      </c>
      <c r="Q121" s="76" t="n"/>
      <c r="R121" t="b">
        <v>0</v>
      </c>
      <c r="S121" s="214" t="n">
        <v>7050</v>
      </c>
      <c r="T121" s="159" t="n">
        <v>1</v>
      </c>
      <c r="U121" t="n">
        <v>20</v>
      </c>
      <c r="V121" s="237" t="n">
        <v>1410</v>
      </c>
      <c r="W121" s="237" t="n">
        <v>1410</v>
      </c>
      <c r="X121" s="208" t="n">
        <v>7050</v>
      </c>
      <c r="Y121" s="251" t="n">
        <v>8460</v>
      </c>
      <c r="Z121" s="251" t="n">
        <v>8460</v>
      </c>
      <c r="AA121" s="35" t="n">
        <v>44058</v>
      </c>
      <c r="AB121" s="27" t="n"/>
      <c r="AC121" s="27" t="n"/>
      <c r="AD121" s="210" t="n">
        <v>7050</v>
      </c>
      <c r="AE121" s="237" t="n">
        <v>0</v>
      </c>
      <c r="AF121" t="b">
        <v>0</v>
      </c>
      <c r="AG121" s="228" t="n">
        <v>7050</v>
      </c>
    </row>
    <row r="122">
      <c r="A122">
        <f>I122&amp;"-"&amp;J122</f>
        <v/>
      </c>
      <c r="B122" s="1">
        <f>N122</f>
        <v/>
      </c>
      <c r="C122">
        <f>M122&amp;"/"&amp;O122</f>
        <v/>
      </c>
      <c r="D122">
        <f>K122</f>
        <v/>
      </c>
      <c r="E122">
        <f>L122</f>
        <v/>
      </c>
      <c r="F122" s="236">
        <f>Z122</f>
        <v/>
      </c>
      <c r="G122">
        <f>U122&amp;"%"</f>
        <v/>
      </c>
      <c r="I122" s="53" t="n">
        <v>2020</v>
      </c>
      <c r="J122" s="53" t="n">
        <v>121</v>
      </c>
      <c r="K122" s="71" t="inlineStr">
        <is>
          <t>Ausgaben</t>
        </is>
      </c>
      <c r="L122" t="inlineStr">
        <is>
          <t>sonstige Betriebsausgaben</t>
        </is>
      </c>
      <c r="M122" s="74" t="inlineStr">
        <is>
          <t>R0011263482</t>
        </is>
      </c>
      <c r="N122" s="1" t="n">
        <v>43964</v>
      </c>
      <c r="O122" t="inlineStr">
        <is>
          <t>Hetzner Online GmbH</t>
        </is>
      </c>
      <c r="Q122" s="76" t="n"/>
      <c r="R122" t="b">
        <v>0</v>
      </c>
      <c r="S122" s="214" t="n">
        <v>46.92</v>
      </c>
      <c r="T122" s="159" t="n">
        <v>1</v>
      </c>
      <c r="U122" t="n">
        <v>0</v>
      </c>
      <c r="V122" s="237" t="n">
        <v>0</v>
      </c>
      <c r="W122" s="237" t="n">
        <v>0</v>
      </c>
      <c r="X122" s="208" t="n">
        <v>46.92</v>
      </c>
      <c r="Y122" s="251" t="n">
        <v>46.92</v>
      </c>
      <c r="Z122" s="251" t="n">
        <v>46.92</v>
      </c>
      <c r="AA122" s="35" t="n">
        <v>44058</v>
      </c>
      <c r="AB122" s="27" t="n"/>
      <c r="AC122" s="27" t="n">
        <v>20</v>
      </c>
      <c r="AD122" s="210" t="n">
        <v>46.92</v>
      </c>
      <c r="AE122" s="237" t="n">
        <v>9.384</v>
      </c>
      <c r="AF122" t="b">
        <v>0</v>
      </c>
      <c r="AG122" s="228" t="n">
        <v>-46.92</v>
      </c>
    </row>
    <row r="123">
      <c r="A123">
        <f>I123&amp;"-"&amp;J123</f>
        <v/>
      </c>
      <c r="B123" s="1">
        <f>N123</f>
        <v/>
      </c>
      <c r="C123">
        <f>M123&amp;"/"&amp;O123</f>
        <v/>
      </c>
      <c r="D123">
        <f>K123</f>
        <v/>
      </c>
      <c r="E123">
        <f>L123</f>
        <v/>
      </c>
      <c r="F123" s="236">
        <f>Z123</f>
        <v/>
      </c>
      <c r="G123">
        <f>U123&amp;"%"</f>
        <v/>
      </c>
      <c r="I123" s="53" t="n">
        <v>2020</v>
      </c>
      <c r="J123" s="53" t="n">
        <v>122</v>
      </c>
      <c r="K123" s="71" t="inlineStr">
        <is>
          <t>Ausgaben</t>
        </is>
      </c>
      <c r="L123" t="inlineStr">
        <is>
          <t>Telefon/Internet</t>
        </is>
      </c>
      <c r="M123" s="74" t="inlineStr">
        <is>
          <t>901190720520</t>
        </is>
      </c>
      <c r="N123" s="1" t="n">
        <v>43973</v>
      </c>
      <c r="O123" t="inlineStr">
        <is>
          <t>Magenta: T-Mobile Austria GmbH, A-1120 Wien, PF 47</t>
        </is>
      </c>
      <c r="Q123" s="76" t="n"/>
      <c r="R123" t="b">
        <v>0</v>
      </c>
      <c r="S123" s="214" t="n">
        <v>35.24</v>
      </c>
      <c r="T123" s="159" t="n">
        <v>1</v>
      </c>
      <c r="U123" t="n">
        <v>20</v>
      </c>
      <c r="V123" s="237" t="n">
        <v>7.048000000000001</v>
      </c>
      <c r="W123" s="237" t="n">
        <v>7.048000000000001</v>
      </c>
      <c r="X123" s="208" t="n">
        <v>35.24</v>
      </c>
      <c r="Y123" s="251" t="n">
        <v>42.288</v>
      </c>
      <c r="Z123" s="251" t="n">
        <v>42.288</v>
      </c>
      <c r="AA123" s="35" t="n">
        <v>44058</v>
      </c>
      <c r="AB123" s="27" t="n"/>
      <c r="AC123" s="27" t="n"/>
      <c r="AD123" s="210" t="n">
        <v>35.24</v>
      </c>
      <c r="AE123" s="237" t="n">
        <v>0</v>
      </c>
      <c r="AF123" t="b">
        <v>0</v>
      </c>
      <c r="AG123" s="228" t="n">
        <v>-35.24</v>
      </c>
    </row>
    <row r="124">
      <c r="A124">
        <f>I124&amp;"-"&amp;J124</f>
        <v/>
      </c>
      <c r="B124" s="1">
        <f>N124</f>
        <v/>
      </c>
      <c r="C124">
        <f>M124&amp;"/"&amp;O124</f>
        <v/>
      </c>
      <c r="D124">
        <f>K124</f>
        <v/>
      </c>
      <c r="E124">
        <f>L124</f>
        <v/>
      </c>
      <c r="F124" s="236">
        <f>Z124</f>
        <v/>
      </c>
      <c r="G124">
        <f>U124&amp;"%"</f>
        <v/>
      </c>
      <c r="I124" s="53" t="n">
        <v>2020</v>
      </c>
      <c r="J124" s="53" t="n">
        <v>123</v>
      </c>
      <c r="K124" s="71" t="inlineStr">
        <is>
          <t>Ausgaben</t>
        </is>
      </c>
      <c r="L124" t="inlineStr">
        <is>
          <t>sonstige Betriebsausgaben</t>
        </is>
      </c>
      <c r="M124" s="74" t="inlineStr">
        <is>
          <t>RE0851004</t>
        </is>
      </c>
      <c r="N124" s="1" t="n">
        <v>43976</v>
      </c>
      <c r="O124" t="inlineStr">
        <is>
          <t>easyname GmbH, Fernkorngasse 10/3/501, A-1100 Wien</t>
        </is>
      </c>
      <c r="Q124" s="76" t="n"/>
      <c r="R124" t="b">
        <v>0</v>
      </c>
      <c r="S124" s="214" t="n">
        <v>16.58</v>
      </c>
      <c r="T124" s="159" t="n">
        <v>1</v>
      </c>
      <c r="U124" t="n">
        <v>20</v>
      </c>
      <c r="V124" s="237" t="n">
        <v>3.316</v>
      </c>
      <c r="W124" s="237" t="n">
        <v>3.316</v>
      </c>
      <c r="X124" s="208" t="n">
        <v>16.58</v>
      </c>
      <c r="Y124" s="251" t="n">
        <v>19.896</v>
      </c>
      <c r="Z124" s="251" t="n">
        <v>19.896</v>
      </c>
      <c r="AA124" s="35" t="n">
        <v>44058</v>
      </c>
      <c r="AB124" s="27" t="n"/>
      <c r="AC124" s="27" t="n"/>
      <c r="AD124" s="210" t="n">
        <v>16.58</v>
      </c>
      <c r="AE124" s="237" t="n">
        <v>0</v>
      </c>
      <c r="AF124" t="b">
        <v>0</v>
      </c>
      <c r="AG124" s="228" t="n">
        <v>-16.58</v>
      </c>
    </row>
    <row r="125">
      <c r="A125">
        <f>I125&amp;"-"&amp;J125</f>
        <v/>
      </c>
      <c r="B125" s="1">
        <f>N125</f>
        <v/>
      </c>
      <c r="C125">
        <f>M125&amp;"/"&amp;O125</f>
        <v/>
      </c>
      <c r="D125">
        <f>K125</f>
        <v/>
      </c>
      <c r="E125">
        <f>L125</f>
        <v/>
      </c>
      <c r="F125" s="236">
        <f>Z125</f>
        <v/>
      </c>
      <c r="G125">
        <f>U125&amp;"%"</f>
        <v/>
      </c>
      <c r="I125" s="53" t="n">
        <v>2020</v>
      </c>
      <c r="J125" s="53" t="n">
        <v>124</v>
      </c>
      <c r="K125" s="71" t="inlineStr">
        <is>
          <t>Ausgaben</t>
        </is>
      </c>
      <c r="L125" t="inlineStr">
        <is>
          <t>Werbe- und Repräsentationsaufwand</t>
        </is>
      </c>
      <c r="M125" s="74" t="inlineStr">
        <is>
          <t>PRM320050004841</t>
        </is>
      </c>
      <c r="N125" s="1" t="n">
        <v>43980</v>
      </c>
      <c r="O125" t="inlineStr">
        <is>
          <t>New Work SE, Dammtorstraße 30, 20354 Hamburg</t>
        </is>
      </c>
      <c r="Q125" s="76" t="n"/>
      <c r="R125" t="b">
        <v>0</v>
      </c>
      <c r="S125" s="214" t="n">
        <v>24.88</v>
      </c>
      <c r="T125" s="159" t="n">
        <v>1</v>
      </c>
      <c r="U125" t="n">
        <v>0</v>
      </c>
      <c r="V125" s="237" t="n">
        <v>0</v>
      </c>
      <c r="W125" s="237" t="n">
        <v>0</v>
      </c>
      <c r="X125" s="208" t="n">
        <v>24.88</v>
      </c>
      <c r="Y125" s="251" t="n">
        <v>24.88</v>
      </c>
      <c r="Z125" s="251" t="n">
        <v>24.88</v>
      </c>
      <c r="AA125" s="35" t="n">
        <v>44058</v>
      </c>
      <c r="AB125" s="27" t="n"/>
      <c r="AC125" s="27" t="n">
        <v>20</v>
      </c>
      <c r="AD125" s="210" t="n">
        <v>24.88</v>
      </c>
      <c r="AE125" s="237" t="n">
        <v>4.976</v>
      </c>
      <c r="AF125" t="b">
        <v>0</v>
      </c>
      <c r="AG125" s="228" t="n">
        <v>-24.88</v>
      </c>
    </row>
    <row r="126">
      <c r="A126">
        <f>I126&amp;"-"&amp;J126</f>
        <v/>
      </c>
      <c r="B126" s="1">
        <f>N126</f>
        <v/>
      </c>
      <c r="C126">
        <f>M126&amp;"/"&amp;O126</f>
        <v/>
      </c>
      <c r="D126">
        <f>K126</f>
        <v/>
      </c>
      <c r="E126">
        <f>L126</f>
        <v/>
      </c>
      <c r="F126" s="236">
        <f>Z126</f>
        <v/>
      </c>
      <c r="G126">
        <f>U126&amp;"%"</f>
        <v/>
      </c>
      <c r="I126" s="53" t="n">
        <v>2020</v>
      </c>
      <c r="J126" s="53" t="n">
        <v>125</v>
      </c>
      <c r="K126" s="71" t="inlineStr">
        <is>
          <t>Ausgaben</t>
        </is>
      </c>
      <c r="L126" t="inlineStr">
        <is>
          <t>Miet- und Pachtaufwand, Leasing</t>
        </is>
      </c>
      <c r="M126" s="74" t="inlineStr">
        <is>
          <t>20/9801/VS00043</t>
        </is>
      </c>
      <c r="N126" s="1" t="n">
        <v>43984</v>
      </c>
      <c r="O126" t="inlineStr">
        <is>
          <t>Bontus Immobilienverwaltung GmbH, 1010 Wien, Franz Josefs Kai 65</t>
        </is>
      </c>
      <c r="Q126" s="76" t="n"/>
      <c r="R126" t="b">
        <v>0</v>
      </c>
      <c r="S126" s="214" t="n">
        <v>462.44</v>
      </c>
      <c r="T126" s="159" t="n">
        <v>1</v>
      </c>
      <c r="U126" t="n">
        <v>20</v>
      </c>
      <c r="V126" s="237" t="n">
        <v>92.488</v>
      </c>
      <c r="W126" s="237" t="n">
        <v>92.488</v>
      </c>
      <c r="X126" s="208" t="n">
        <v>462.44</v>
      </c>
      <c r="Y126" s="251" t="n">
        <v>554.928</v>
      </c>
      <c r="Z126" s="251" t="n">
        <v>554.928</v>
      </c>
      <c r="AA126" s="35" t="n">
        <v>44058</v>
      </c>
      <c r="AB126" s="27" t="n"/>
      <c r="AC126" s="27" t="n"/>
      <c r="AD126" s="210" t="n">
        <v>462.44</v>
      </c>
      <c r="AE126" s="237" t="n">
        <v>0</v>
      </c>
      <c r="AF126" t="b">
        <v>0</v>
      </c>
      <c r="AG126" s="228" t="n">
        <v>-462.44</v>
      </c>
    </row>
    <row r="127">
      <c r="A127">
        <f>I127&amp;"-"&amp;J127</f>
        <v/>
      </c>
      <c r="B127" s="1">
        <f>N127</f>
        <v/>
      </c>
      <c r="C127">
        <f>M127&amp;"/"&amp;O127</f>
        <v/>
      </c>
      <c r="D127">
        <f>K127</f>
        <v/>
      </c>
      <c r="E127">
        <f>L127</f>
        <v/>
      </c>
      <c r="F127" s="236">
        <f>Z127</f>
        <v/>
      </c>
      <c r="G127">
        <f>U127&amp;"%"</f>
        <v/>
      </c>
      <c r="I127" s="53" t="n">
        <v>2020</v>
      </c>
      <c r="J127" s="53" t="n">
        <v>126</v>
      </c>
      <c r="K127" s="71" t="inlineStr">
        <is>
          <t>Ausgaben</t>
        </is>
      </c>
      <c r="L127" t="inlineStr">
        <is>
          <t>sonstige Betriebsausgaben</t>
        </is>
      </c>
      <c r="M127" s="74" t="inlineStr">
        <is>
          <t>807693</t>
        </is>
      </c>
      <c r="N127" s="1" t="n">
        <v>43986</v>
      </c>
      <c r="O127" t="inlineStr">
        <is>
          <t>easy green energy GmbH &amp; Co KG</t>
        </is>
      </c>
      <c r="Q127" s="76" t="n"/>
      <c r="R127" t="b">
        <v>0</v>
      </c>
      <c r="S127" s="214" t="n">
        <v>2.5</v>
      </c>
      <c r="T127" s="159" t="n">
        <v>1</v>
      </c>
      <c r="U127" t="n">
        <v>20</v>
      </c>
      <c r="V127" s="237" t="n">
        <v>0.5</v>
      </c>
      <c r="W127" s="237" t="n">
        <v>0.5</v>
      </c>
      <c r="X127" s="208" t="n">
        <v>2.5</v>
      </c>
      <c r="Y127" s="251" t="n">
        <v>3</v>
      </c>
      <c r="Z127" s="251" t="n">
        <v>3</v>
      </c>
      <c r="AA127" s="35" t="n">
        <v>44058</v>
      </c>
      <c r="AB127" s="27" t="n"/>
      <c r="AC127" s="27" t="n"/>
      <c r="AD127" s="210" t="n">
        <v>2.5</v>
      </c>
      <c r="AE127" s="237" t="n">
        <v>0</v>
      </c>
      <c r="AF127" t="b">
        <v>0</v>
      </c>
      <c r="AG127" s="228" t="n">
        <v>-2.5</v>
      </c>
    </row>
    <row r="128">
      <c r="A128">
        <f>I128&amp;"-"&amp;J128</f>
        <v/>
      </c>
      <c r="B128" s="1">
        <f>N128</f>
        <v/>
      </c>
      <c r="C128">
        <f>M128&amp;"/"&amp;O128</f>
        <v/>
      </c>
      <c r="D128">
        <f>K128</f>
        <v/>
      </c>
      <c r="E128">
        <f>L128</f>
        <v/>
      </c>
      <c r="F128" s="236">
        <f>Z128</f>
        <v/>
      </c>
      <c r="G128">
        <f>U128&amp;"%"</f>
        <v/>
      </c>
      <c r="I128" s="53" t="n">
        <v>2020</v>
      </c>
      <c r="J128" s="53" t="n">
        <v>127</v>
      </c>
      <c r="K128" s="71" t="inlineStr">
        <is>
          <t>Ausgaben</t>
        </is>
      </c>
      <c r="L128" t="inlineStr">
        <is>
          <t>Telefon/Internet</t>
        </is>
      </c>
      <c r="M128" s="74" t="inlineStr">
        <is>
          <t>6199292916</t>
        </is>
      </c>
      <c r="N128" s="1" t="n">
        <v>43990</v>
      </c>
      <c r="O128" t="inlineStr">
        <is>
          <t>Hutchison Drei Austria GmbH, Brünner Straße 52, 1210 Wien, Österreich</t>
        </is>
      </c>
      <c r="Q128" s="76" t="n"/>
      <c r="R128" t="b">
        <v>0</v>
      </c>
      <c r="S128" s="214" t="n">
        <v>15</v>
      </c>
      <c r="T128" s="159" t="n">
        <v>1</v>
      </c>
      <c r="U128" t="n">
        <v>20</v>
      </c>
      <c r="V128" s="237" t="n">
        <v>3</v>
      </c>
      <c r="W128" s="237" t="n">
        <v>3</v>
      </c>
      <c r="X128" s="208" t="n">
        <v>15</v>
      </c>
      <c r="Y128" s="251" t="n">
        <v>18</v>
      </c>
      <c r="Z128" s="251" t="n">
        <v>18</v>
      </c>
      <c r="AA128" s="35" t="n">
        <v>44058</v>
      </c>
      <c r="AB128" s="27" t="n"/>
      <c r="AC128" s="27" t="n"/>
      <c r="AD128" s="210" t="n">
        <v>15</v>
      </c>
      <c r="AE128" s="237" t="n">
        <v>0</v>
      </c>
      <c r="AF128" t="b">
        <v>0</v>
      </c>
      <c r="AG128" s="228" t="n">
        <v>-15</v>
      </c>
    </row>
    <row r="129">
      <c r="A129">
        <f>I129&amp;"-"&amp;J129</f>
        <v/>
      </c>
      <c r="B129" s="1">
        <f>N129</f>
        <v/>
      </c>
      <c r="C129">
        <f>M129&amp;"/"&amp;O129</f>
        <v/>
      </c>
      <c r="D129">
        <f>K129</f>
        <v/>
      </c>
      <c r="E129">
        <f>L129</f>
        <v/>
      </c>
      <c r="F129" s="236">
        <f>Z129</f>
        <v/>
      </c>
      <c r="G129">
        <f>U129&amp;"%"</f>
        <v/>
      </c>
      <c r="I129" s="53" t="n">
        <v>2020</v>
      </c>
      <c r="J129" s="53" t="n">
        <v>128</v>
      </c>
      <c r="K129" s="71" t="inlineStr">
        <is>
          <t>Ausgaben</t>
        </is>
      </c>
      <c r="L129" t="inlineStr">
        <is>
          <t>sonstige Betriebsausgaben</t>
        </is>
      </c>
      <c r="M129" s="74" t="inlineStr">
        <is>
          <t>R0011424001</t>
        </is>
      </c>
      <c r="N129" s="1" t="n">
        <v>43994</v>
      </c>
      <c r="O129" t="inlineStr">
        <is>
          <t>Hetzner Online GmbH</t>
        </is>
      </c>
      <c r="Q129" s="76" t="n"/>
      <c r="R129" t="b">
        <v>0</v>
      </c>
      <c r="S129" s="214" t="n">
        <v>46.92</v>
      </c>
      <c r="T129" s="159" t="n">
        <v>1</v>
      </c>
      <c r="U129" t="n">
        <v>0</v>
      </c>
      <c r="V129" s="237" t="n">
        <v>0</v>
      </c>
      <c r="W129" s="237" t="n">
        <v>0</v>
      </c>
      <c r="X129" s="208" t="n">
        <v>46.92</v>
      </c>
      <c r="Y129" s="251" t="n">
        <v>46.92</v>
      </c>
      <c r="Z129" s="251" t="n">
        <v>46.92</v>
      </c>
      <c r="AA129" s="35" t="n">
        <v>44058</v>
      </c>
      <c r="AB129" s="27" t="n"/>
      <c r="AC129" s="27" t="n">
        <v>20</v>
      </c>
      <c r="AD129" s="210" t="n">
        <v>46.92</v>
      </c>
      <c r="AE129" s="237" t="n">
        <v>9.384</v>
      </c>
      <c r="AF129" t="b">
        <v>0</v>
      </c>
      <c r="AG129" s="228" t="n">
        <v>-46.92</v>
      </c>
    </row>
    <row r="130">
      <c r="A130">
        <f>I130&amp;"-"&amp;J130</f>
        <v/>
      </c>
      <c r="B130" s="1">
        <f>N130</f>
        <v/>
      </c>
      <c r="C130">
        <f>M130&amp;"/"&amp;O130</f>
        <v/>
      </c>
      <c r="D130">
        <f>K130</f>
        <v/>
      </c>
      <c r="E130">
        <f>L130</f>
        <v/>
      </c>
      <c r="F130" s="236">
        <f>Z130</f>
        <v/>
      </c>
      <c r="G130">
        <f>U130&amp;"%"</f>
        <v/>
      </c>
      <c r="I130" s="53" t="n">
        <v>2020</v>
      </c>
      <c r="J130" s="53" t="n">
        <v>129</v>
      </c>
      <c r="K130" s="71" t="inlineStr">
        <is>
          <t>Ausgaben</t>
        </is>
      </c>
      <c r="L130" t="inlineStr">
        <is>
          <t>sonstige Betriebsausgaben</t>
        </is>
      </c>
      <c r="M130" s="74" t="inlineStr">
        <is>
          <t>5104824361</t>
        </is>
      </c>
      <c r="N130" s="1" t="n">
        <v>43994</v>
      </c>
      <c r="O130" t="inlineStr">
        <is>
          <t>Woocommerce.com, 17 Shelley Road, Salt River, Cape Town 7625, South Africa</t>
        </is>
      </c>
      <c r="Q130" s="76" t="n"/>
      <c r="R130" t="b">
        <v>0</v>
      </c>
      <c r="S130" s="214" t="n">
        <v>26</v>
      </c>
      <c r="T130" s="159" t="n">
        <v>1</v>
      </c>
      <c r="U130" t="n">
        <v>0</v>
      </c>
      <c r="V130" s="237" t="n">
        <v>0</v>
      </c>
      <c r="W130" s="237" t="n">
        <v>0</v>
      </c>
      <c r="X130" s="208" t="n">
        <v>26</v>
      </c>
      <c r="Y130" s="251" t="n">
        <v>26</v>
      </c>
      <c r="Z130" s="251" t="n">
        <v>26</v>
      </c>
      <c r="AA130" s="35" t="n">
        <v>44058</v>
      </c>
      <c r="AB130" s="27" t="n"/>
      <c r="AC130" s="27" t="n">
        <v>20</v>
      </c>
      <c r="AD130" s="210" t="n">
        <v>26</v>
      </c>
      <c r="AE130" s="237" t="n">
        <v>5.2</v>
      </c>
      <c r="AF130" t="b">
        <v>0</v>
      </c>
      <c r="AG130" s="228" t="n">
        <v>-26</v>
      </c>
    </row>
    <row r="131">
      <c r="A131">
        <f>I131&amp;"-"&amp;J131</f>
        <v/>
      </c>
      <c r="B131" s="1">
        <f>N131</f>
        <v/>
      </c>
      <c r="C131">
        <f>M131&amp;"/"&amp;O131</f>
        <v/>
      </c>
      <c r="D131">
        <f>K131</f>
        <v/>
      </c>
      <c r="E131">
        <f>L131</f>
        <v/>
      </c>
      <c r="F131" s="236">
        <f>Z131</f>
        <v/>
      </c>
      <c r="G131">
        <f>U131&amp;"%"</f>
        <v/>
      </c>
      <c r="I131" s="53" t="n">
        <v>2020</v>
      </c>
      <c r="J131" s="53" t="n">
        <v>130</v>
      </c>
      <c r="K131" s="71" t="inlineStr">
        <is>
          <t>Einnahmen</t>
        </is>
      </c>
      <c r="L131" t="inlineStr">
        <is>
          <t>Waren-/Leistungserlöse</t>
        </is>
      </c>
      <c r="M131" s="74" t="inlineStr">
        <is>
          <t>12020017</t>
        </is>
      </c>
      <c r="N131" s="1" t="n">
        <v>44000</v>
      </c>
      <c r="O131" t="inlineStr">
        <is>
          <t>DCF - Digital Coding Factory GmbH, Bauernfeldgasse 4/12 1090 Wien</t>
        </is>
      </c>
      <c r="Q131" s="76" t="n"/>
      <c r="R131" t="b">
        <v>0</v>
      </c>
      <c r="S131" s="214" t="n">
        <v>7560</v>
      </c>
      <c r="T131" s="159" t="n">
        <v>1</v>
      </c>
      <c r="U131" t="n">
        <v>20</v>
      </c>
      <c r="V131" s="237" t="n">
        <v>1512</v>
      </c>
      <c r="W131" s="237" t="n">
        <v>1512</v>
      </c>
      <c r="X131" s="208" t="n">
        <v>7560</v>
      </c>
      <c r="Y131" s="251" t="n">
        <v>9072</v>
      </c>
      <c r="Z131" s="251" t="n">
        <v>9072</v>
      </c>
      <c r="AA131" s="35" t="n">
        <v>44058</v>
      </c>
      <c r="AB131" s="27" t="n"/>
      <c r="AC131" s="27" t="n"/>
      <c r="AD131" s="210" t="n">
        <v>7560</v>
      </c>
      <c r="AE131" s="237" t="n">
        <v>0</v>
      </c>
      <c r="AF131" t="b">
        <v>0</v>
      </c>
      <c r="AG131" s="228" t="n">
        <v>7560</v>
      </c>
    </row>
    <row r="132">
      <c r="A132">
        <f>I132&amp;"-"&amp;J132</f>
        <v/>
      </c>
      <c r="B132" s="1">
        <f>N132</f>
        <v/>
      </c>
      <c r="C132">
        <f>M132&amp;"/"&amp;O132</f>
        <v/>
      </c>
      <c r="D132">
        <f>K132</f>
        <v/>
      </c>
      <c r="E132">
        <f>L132</f>
        <v/>
      </c>
      <c r="F132" s="236">
        <f>Z132</f>
        <v/>
      </c>
      <c r="G132">
        <f>U132&amp;"%"</f>
        <v/>
      </c>
      <c r="I132" s="53" t="n">
        <v>2020</v>
      </c>
      <c r="J132" s="53" t="n">
        <v>131</v>
      </c>
      <c r="K132" s="71" t="inlineStr">
        <is>
          <t>Ausgaben</t>
        </is>
      </c>
      <c r="L132" t="inlineStr">
        <is>
          <t>sonstige Betriebsausgaben</t>
        </is>
      </c>
      <c r="M132" s="74" t="inlineStr">
        <is>
          <t>2020063</t>
        </is>
      </c>
      <c r="N132" s="1" t="n">
        <v>44001</v>
      </c>
      <c r="O132" t="inlineStr">
        <is>
          <t>3W Steuerkanzlei, Roter Hof 1a, 1080 Wien</t>
        </is>
      </c>
      <c r="Q132" s="76" t="n"/>
      <c r="R132" t="b">
        <v>0</v>
      </c>
      <c r="S132" s="214" t="n">
        <v>860</v>
      </c>
      <c r="T132" s="159" t="n">
        <v>1</v>
      </c>
      <c r="U132" t="n">
        <v>20</v>
      </c>
      <c r="V132" s="237" t="n">
        <v>172</v>
      </c>
      <c r="W132" s="237" t="n">
        <v>172</v>
      </c>
      <c r="X132" s="208" t="n">
        <v>860</v>
      </c>
      <c r="Y132" s="251" t="n">
        <v>1032</v>
      </c>
      <c r="Z132" s="251" t="n">
        <v>1032</v>
      </c>
      <c r="AA132" s="35" t="n">
        <v>44058</v>
      </c>
      <c r="AB132" s="27" t="n"/>
      <c r="AC132" s="27" t="n"/>
      <c r="AD132" s="210" t="n">
        <v>860</v>
      </c>
      <c r="AE132" s="237" t="n">
        <v>0</v>
      </c>
      <c r="AF132" t="b">
        <v>0</v>
      </c>
      <c r="AG132" s="228" t="n">
        <v>-860</v>
      </c>
    </row>
    <row r="133">
      <c r="A133">
        <f>I133&amp;"-"&amp;J133</f>
        <v/>
      </c>
      <c r="B133" s="1">
        <f>N133</f>
        <v/>
      </c>
      <c r="C133">
        <f>M133&amp;"/"&amp;O133</f>
        <v/>
      </c>
      <c r="D133">
        <f>K133</f>
        <v/>
      </c>
      <c r="E133">
        <f>L133</f>
        <v/>
      </c>
      <c r="F133" s="236">
        <f>Z133</f>
        <v/>
      </c>
      <c r="G133">
        <f>U133&amp;"%"</f>
        <v/>
      </c>
      <c r="I133" s="53" t="n">
        <v>2020</v>
      </c>
      <c r="J133" s="53" t="n">
        <v>132</v>
      </c>
      <c r="K133" s="71" t="inlineStr">
        <is>
          <t>Ausgaben</t>
        </is>
      </c>
      <c r="L133" t="inlineStr">
        <is>
          <t>sonstige Betriebsausgaben</t>
        </is>
      </c>
      <c r="M133" s="74" t="inlineStr">
        <is>
          <t>25054595567</t>
        </is>
      </c>
      <c r="N133" s="1" t="n">
        <v>44004</v>
      </c>
      <c r="O133" t="inlineStr">
        <is>
          <t>Microsoft Ireland Operations Ltd. One Microsoft Place, South County, Business Park, Leopardstown, Dublin 18, D18 P521, Ireland</t>
        </is>
      </c>
      <c r="Q133" s="76" t="n"/>
      <c r="R133" t="b">
        <v>0</v>
      </c>
      <c r="S133" s="214" t="n">
        <v>69</v>
      </c>
      <c r="T133" s="159" t="n">
        <v>1</v>
      </c>
      <c r="U133" t="n">
        <v>20</v>
      </c>
      <c r="V133" s="237" t="n">
        <v>13.8</v>
      </c>
      <c r="W133" s="237" t="n">
        <v>13.8</v>
      </c>
      <c r="X133" s="208" t="n">
        <v>69</v>
      </c>
      <c r="Y133" s="251" t="n">
        <v>82.8</v>
      </c>
      <c r="Z133" s="251" t="n">
        <v>82.8</v>
      </c>
      <c r="AA133" s="35" t="n">
        <v>44058</v>
      </c>
      <c r="AB133" s="27" t="n"/>
      <c r="AC133" s="27" t="n"/>
      <c r="AD133" s="210" t="n">
        <v>69</v>
      </c>
      <c r="AE133" s="237" t="n">
        <v>0</v>
      </c>
      <c r="AF133" t="b">
        <v>0</v>
      </c>
      <c r="AG133" s="228" t="n">
        <v>-69</v>
      </c>
    </row>
    <row r="134">
      <c r="A134">
        <f>I134&amp;"-"&amp;J134</f>
        <v/>
      </c>
      <c r="B134" s="1">
        <f>N134</f>
        <v/>
      </c>
      <c r="C134">
        <f>M134&amp;"/"&amp;O134</f>
        <v/>
      </c>
      <c r="D134">
        <f>K134</f>
        <v/>
      </c>
      <c r="E134">
        <f>L134</f>
        <v/>
      </c>
      <c r="F134" s="236">
        <f>Z134</f>
        <v/>
      </c>
      <c r="G134">
        <f>U134&amp;"%"</f>
        <v/>
      </c>
      <c r="I134" s="53" t="n">
        <v>2020</v>
      </c>
      <c r="J134" s="53" t="n">
        <v>133</v>
      </c>
      <c r="K134" s="71" t="inlineStr">
        <is>
          <t>Ausgaben</t>
        </is>
      </c>
      <c r="L134" t="inlineStr">
        <is>
          <t>Telefon/Internet</t>
        </is>
      </c>
      <c r="M134" s="74" t="inlineStr">
        <is>
          <t>901188450620</t>
        </is>
      </c>
      <c r="N134" s="1" t="n">
        <v>44004</v>
      </c>
      <c r="O134" t="inlineStr">
        <is>
          <t>Magenta: T-Mobile Austria GmbH, A-1120 Wien, PF 47</t>
        </is>
      </c>
      <c r="Q134" s="76" t="n"/>
      <c r="R134" t="b">
        <v>0</v>
      </c>
      <c r="S134" s="214" t="n">
        <v>35.24</v>
      </c>
      <c r="T134" s="159" t="n">
        <v>1</v>
      </c>
      <c r="U134" t="n">
        <v>20</v>
      </c>
      <c r="V134" s="237" t="n">
        <v>7.048000000000001</v>
      </c>
      <c r="W134" s="237" t="n">
        <v>7.048000000000001</v>
      </c>
      <c r="X134" s="208" t="n">
        <v>35.24</v>
      </c>
      <c r="Y134" s="251" t="n">
        <v>42.288</v>
      </c>
      <c r="Z134" s="251" t="n">
        <v>42.288</v>
      </c>
      <c r="AA134" s="35" t="n">
        <v>44058</v>
      </c>
      <c r="AB134" s="27" t="n"/>
      <c r="AC134" s="27" t="n"/>
      <c r="AD134" s="210" t="n">
        <v>35.24</v>
      </c>
      <c r="AE134" s="237" t="n">
        <v>0</v>
      </c>
      <c r="AF134" t="b">
        <v>0</v>
      </c>
      <c r="AG134" s="228" t="n">
        <v>-35.24</v>
      </c>
    </row>
    <row r="135">
      <c r="A135">
        <f>I135&amp;"-"&amp;J135</f>
        <v/>
      </c>
      <c r="B135" s="1">
        <f>N135</f>
        <v/>
      </c>
      <c r="C135">
        <f>M135&amp;"/"&amp;O135</f>
        <v/>
      </c>
      <c r="D135">
        <f>K135</f>
        <v/>
      </c>
      <c r="E135">
        <f>L135</f>
        <v/>
      </c>
      <c r="F135" s="236">
        <f>Z135</f>
        <v/>
      </c>
      <c r="G135">
        <f>U135&amp;"%"</f>
        <v/>
      </c>
      <c r="I135" s="53" t="n">
        <v>2020</v>
      </c>
      <c r="J135" s="53" t="n">
        <v>134</v>
      </c>
      <c r="K135" s="71" t="inlineStr">
        <is>
          <t>Ausgaben</t>
        </is>
      </c>
      <c r="L135" t="inlineStr">
        <is>
          <t>Reise- und Fahrtspesen inkl. Kilometergeld und Diäten</t>
        </is>
      </c>
      <c r="M135" s="74" t="inlineStr">
        <is>
          <t>3293000009484102</t>
        </is>
      </c>
      <c r="N135" s="1" t="n">
        <v>44007</v>
      </c>
      <c r="O135" t="inlineStr">
        <is>
          <t>car2go Österreich GmbH, Hintere Zollamtstraße 9, 1030 Wien</t>
        </is>
      </c>
      <c r="Q135" s="76" t="n"/>
      <c r="R135" t="b">
        <v>0</v>
      </c>
      <c r="S135" s="214" t="n">
        <v>2.4</v>
      </c>
      <c r="T135" s="159" t="n">
        <v>1</v>
      </c>
      <c r="U135" t="n">
        <v>20</v>
      </c>
      <c r="V135" s="237" t="n">
        <v>0.48</v>
      </c>
      <c r="W135" s="237" t="n">
        <v>0.48</v>
      </c>
      <c r="X135" s="208" t="n">
        <v>2.4</v>
      </c>
      <c r="Y135" s="251" t="n">
        <v>2.88</v>
      </c>
      <c r="Z135" s="251" t="n">
        <v>2.88</v>
      </c>
      <c r="AA135" s="35" t="n">
        <v>44058</v>
      </c>
      <c r="AB135" s="27" t="n"/>
      <c r="AC135" s="27" t="n"/>
      <c r="AD135" s="210" t="n">
        <v>2.4</v>
      </c>
      <c r="AE135" s="237" t="n">
        <v>0</v>
      </c>
      <c r="AF135" t="b">
        <v>0</v>
      </c>
      <c r="AG135" s="228" t="n">
        <v>-2.4</v>
      </c>
    </row>
    <row r="136">
      <c r="A136">
        <f>I136&amp;"-"&amp;J136</f>
        <v/>
      </c>
      <c r="B136" s="1">
        <f>N136</f>
        <v/>
      </c>
      <c r="C136">
        <f>M136&amp;"/"&amp;O136</f>
        <v/>
      </c>
      <c r="D136">
        <f>K136</f>
        <v/>
      </c>
      <c r="E136">
        <f>L136</f>
        <v/>
      </c>
      <c r="F136" s="236">
        <f>Z136</f>
        <v/>
      </c>
      <c r="G136">
        <f>U136&amp;"%"</f>
        <v/>
      </c>
      <c r="I136" s="53" t="n">
        <v>2020</v>
      </c>
      <c r="J136" s="53" t="n">
        <v>135</v>
      </c>
      <c r="K136" s="71" t="inlineStr">
        <is>
          <t>Ausgaben</t>
        </is>
      </c>
      <c r="L136" t="inlineStr">
        <is>
          <t>Miet- und Pachtaufwand, Leasing</t>
        </is>
      </c>
      <c r="M136" s="74" t="inlineStr">
        <is>
          <t>20/9801/VS00486</t>
        </is>
      </c>
      <c r="N136" s="1" t="n">
        <v>44013</v>
      </c>
      <c r="O136" t="inlineStr">
        <is>
          <t>Bontus Immobilienverwaltung GmbH, 1010 Wien, Franz Josefs Kai 65</t>
        </is>
      </c>
      <c r="Q136" s="76" t="n"/>
      <c r="R136" t="b">
        <v>0</v>
      </c>
      <c r="S136" s="214" t="n">
        <v>460.4083333333334</v>
      </c>
      <c r="T136" s="159" t="n">
        <v>1</v>
      </c>
      <c r="U136" t="n">
        <v>20</v>
      </c>
      <c r="V136" s="237" t="n">
        <v>92.08166666666668</v>
      </c>
      <c r="W136" s="237" t="n">
        <v>92.08166666666668</v>
      </c>
      <c r="X136" s="208" t="n">
        <v>460.4083333333334</v>
      </c>
      <c r="Y136" s="251" t="n">
        <v>552.49</v>
      </c>
      <c r="Z136" s="251" t="n">
        <v>552.49</v>
      </c>
      <c r="AA136" s="35" t="n">
        <v>44150</v>
      </c>
      <c r="AB136" s="27" t="n"/>
      <c r="AC136" s="27" t="n"/>
      <c r="AD136" s="210" t="n">
        <v>460.4083333333334</v>
      </c>
      <c r="AE136" s="237" t="n">
        <v>0</v>
      </c>
      <c r="AF136" t="b">
        <v>0</v>
      </c>
      <c r="AG136" s="228" t="n">
        <v>-460.4083333333334</v>
      </c>
    </row>
    <row r="137">
      <c r="A137">
        <f>I137&amp;"-"&amp;J137</f>
        <v/>
      </c>
      <c r="B137" s="1">
        <f>N137</f>
        <v/>
      </c>
      <c r="C137">
        <f>M137&amp;"/"&amp;O137</f>
        <v/>
      </c>
      <c r="D137">
        <f>K137</f>
        <v/>
      </c>
      <c r="E137">
        <f>L137</f>
        <v/>
      </c>
      <c r="F137" s="236">
        <f>Z137</f>
        <v/>
      </c>
      <c r="G137">
        <f>U137&amp;"%"</f>
        <v/>
      </c>
      <c r="I137" s="53" t="n">
        <v>2020</v>
      </c>
      <c r="J137" s="53" t="n">
        <v>136</v>
      </c>
      <c r="K137" s="71" t="inlineStr">
        <is>
          <t>Ausgaben</t>
        </is>
      </c>
      <c r="L137" t="inlineStr">
        <is>
          <t>Reise- und Fahrtspesen inkl. Kilometergeld und Diäten</t>
        </is>
      </c>
      <c r="M137" s="74" t="inlineStr">
        <is>
          <t>4293000000016407</t>
        </is>
      </c>
      <c r="N137" s="1" t="n">
        <v>44014</v>
      </c>
      <c r="O137" t="inlineStr">
        <is>
          <t>car2go Österreich GmbH, Hintere Zollamtstraße 9, 1030 Wien</t>
        </is>
      </c>
      <c r="Q137" s="76" t="n"/>
      <c r="R137" t="b">
        <v>0</v>
      </c>
      <c r="S137" s="214" t="n">
        <v>15.5</v>
      </c>
      <c r="T137" s="159" t="n">
        <v>1</v>
      </c>
      <c r="U137" t="n">
        <v>20</v>
      </c>
      <c r="V137" s="237" t="n">
        <v>3.1</v>
      </c>
      <c r="W137" s="237" t="n">
        <v>3.1</v>
      </c>
      <c r="X137" s="208" t="n">
        <v>15.5</v>
      </c>
      <c r="Y137" s="251" t="n">
        <v>18.6</v>
      </c>
      <c r="Z137" s="251" t="n">
        <v>18.6</v>
      </c>
      <c r="AA137" s="35" t="n">
        <v>44150</v>
      </c>
      <c r="AB137" s="27" t="n"/>
      <c r="AC137" s="27" t="n"/>
      <c r="AD137" s="210" t="n">
        <v>15.5</v>
      </c>
      <c r="AE137" s="237" t="n">
        <v>0</v>
      </c>
      <c r="AF137" t="b">
        <v>0</v>
      </c>
      <c r="AG137" s="228" t="n">
        <v>-15.5</v>
      </c>
    </row>
    <row r="138">
      <c r="A138">
        <f>I138&amp;"-"&amp;J138</f>
        <v/>
      </c>
      <c r="B138" s="1">
        <f>N138</f>
        <v/>
      </c>
      <c r="C138">
        <f>M138&amp;"/"&amp;O138</f>
        <v/>
      </c>
      <c r="D138">
        <f>K138</f>
        <v/>
      </c>
      <c r="E138">
        <f>L138</f>
        <v/>
      </c>
      <c r="F138" s="236">
        <f>Z138</f>
        <v/>
      </c>
      <c r="G138">
        <f>U138&amp;"%"</f>
        <v/>
      </c>
      <c r="I138" s="53" t="n">
        <v>2020</v>
      </c>
      <c r="J138" s="53" t="n">
        <v>137</v>
      </c>
      <c r="K138" s="71" t="inlineStr">
        <is>
          <t>Ausgaben</t>
        </is>
      </c>
      <c r="L138" t="inlineStr">
        <is>
          <t>sonstige Betriebsausgaben</t>
        </is>
      </c>
      <c r="M138" s="74" t="inlineStr">
        <is>
          <t>807693</t>
        </is>
      </c>
      <c r="N138" s="1" t="n">
        <v>44015</v>
      </c>
      <c r="O138" t="inlineStr">
        <is>
          <t>easy green energy GmbH &amp; Co KG</t>
        </is>
      </c>
      <c r="Q138" s="76" t="n"/>
      <c r="R138" t="b">
        <v>0</v>
      </c>
      <c r="S138" s="214" t="n">
        <v>2.5</v>
      </c>
      <c r="T138" s="159" t="n">
        <v>1</v>
      </c>
      <c r="U138" t="n">
        <v>20</v>
      </c>
      <c r="V138" s="237" t="n">
        <v>0.5</v>
      </c>
      <c r="W138" s="237" t="n">
        <v>0.5</v>
      </c>
      <c r="X138" s="208" t="n">
        <v>2.5</v>
      </c>
      <c r="Y138" s="251" t="n">
        <v>3</v>
      </c>
      <c r="Z138" s="251" t="n">
        <v>3</v>
      </c>
      <c r="AA138" s="35" t="n">
        <v>44150</v>
      </c>
      <c r="AB138" s="27" t="n"/>
      <c r="AC138" s="27" t="n"/>
      <c r="AD138" s="210" t="n">
        <v>2.5</v>
      </c>
      <c r="AE138" s="237" t="n">
        <v>0</v>
      </c>
      <c r="AF138" t="b">
        <v>0</v>
      </c>
      <c r="AG138" s="228" t="n">
        <v>-2.5</v>
      </c>
    </row>
    <row r="139">
      <c r="A139">
        <f>I139&amp;"-"&amp;J139</f>
        <v/>
      </c>
      <c r="B139" s="1">
        <f>N139</f>
        <v/>
      </c>
      <c r="C139">
        <f>M139&amp;"/"&amp;O139</f>
        <v/>
      </c>
      <c r="D139">
        <f>K139</f>
        <v/>
      </c>
      <c r="E139">
        <f>L139</f>
        <v/>
      </c>
      <c r="F139" s="236">
        <f>Z139</f>
        <v/>
      </c>
      <c r="G139">
        <f>U139&amp;"%"</f>
        <v/>
      </c>
      <c r="I139" s="53" t="n">
        <v>2020</v>
      </c>
      <c r="J139" s="53" t="n">
        <v>138</v>
      </c>
      <c r="K139" s="71" t="inlineStr">
        <is>
          <t>Ausgaben</t>
        </is>
      </c>
      <c r="L139" t="inlineStr">
        <is>
          <t>Telefon/Internet</t>
        </is>
      </c>
      <c r="M139" s="74" t="inlineStr">
        <is>
          <t>1002325367488</t>
        </is>
      </c>
      <c r="N139" s="1" t="n">
        <v>44015</v>
      </c>
      <c r="O139" t="inlineStr">
        <is>
          <t>HoT Telekom und Service GmbH</t>
        </is>
      </c>
      <c r="Q139" s="76" t="n"/>
      <c r="R139" t="b">
        <v>0</v>
      </c>
      <c r="S139" s="214" t="n">
        <v>4.92</v>
      </c>
      <c r="T139" s="159" t="n">
        <v>1</v>
      </c>
      <c r="U139" t="n">
        <v>20</v>
      </c>
      <c r="V139" s="237" t="n">
        <v>0.9840000000000001</v>
      </c>
      <c r="W139" s="237" t="n">
        <v>0.9840000000000001</v>
      </c>
      <c r="X139" s="208" t="n">
        <v>4.92</v>
      </c>
      <c r="Y139" s="251" t="n">
        <v>5.904</v>
      </c>
      <c r="Z139" s="251" t="n">
        <v>5.904</v>
      </c>
      <c r="AA139" s="35" t="n">
        <v>44150</v>
      </c>
      <c r="AB139" s="27" t="n"/>
      <c r="AC139" s="27" t="n"/>
      <c r="AD139" s="210" t="n">
        <v>4.92</v>
      </c>
      <c r="AE139" s="237" t="n">
        <v>0</v>
      </c>
      <c r="AF139" t="b">
        <v>0</v>
      </c>
      <c r="AG139" s="228" t="n">
        <v>-4.92</v>
      </c>
    </row>
    <row r="140">
      <c r="A140">
        <f>I140&amp;"-"&amp;J140</f>
        <v/>
      </c>
      <c r="B140" s="1">
        <f>N140</f>
        <v/>
      </c>
      <c r="C140">
        <f>M140&amp;"/"&amp;O140</f>
        <v/>
      </c>
      <c r="D140">
        <f>K140</f>
        <v/>
      </c>
      <c r="E140">
        <f>L140</f>
        <v/>
      </c>
      <c r="F140" s="236">
        <f>Z140</f>
        <v/>
      </c>
      <c r="G140">
        <f>U140&amp;"%"</f>
        <v/>
      </c>
      <c r="I140" s="53" t="n">
        <v>2020</v>
      </c>
      <c r="J140" s="53" t="n">
        <v>139</v>
      </c>
      <c r="K140" s="71" t="inlineStr">
        <is>
          <t>Ausgaben</t>
        </is>
      </c>
      <c r="L140" t="inlineStr">
        <is>
          <t>Telefon/Internet</t>
        </is>
      </c>
      <c r="M140" s="74" t="inlineStr">
        <is>
          <t>1002378950684</t>
        </is>
      </c>
      <c r="N140" s="1" t="n">
        <v>44018</v>
      </c>
      <c r="O140" t="inlineStr">
        <is>
          <t>HoT Telekom und Service GmbH</t>
        </is>
      </c>
      <c r="Q140" s="76" t="n"/>
      <c r="R140" t="b">
        <v>0</v>
      </c>
      <c r="S140" s="214" t="n">
        <v>1.67</v>
      </c>
      <c r="T140" s="159" t="n">
        <v>1</v>
      </c>
      <c r="U140" t="n">
        <v>20</v>
      </c>
      <c r="V140" s="237" t="n">
        <v>0.334</v>
      </c>
      <c r="W140" s="237" t="n">
        <v>0.334</v>
      </c>
      <c r="X140" s="208" t="n">
        <v>1.67</v>
      </c>
      <c r="Y140" s="251" t="n">
        <v>2.004</v>
      </c>
      <c r="Z140" s="251" t="n">
        <v>2.004</v>
      </c>
      <c r="AA140" s="35" t="n">
        <v>44150</v>
      </c>
      <c r="AB140" s="27" t="n"/>
      <c r="AC140" s="27" t="n"/>
      <c r="AD140" s="210" t="n">
        <v>1.67</v>
      </c>
      <c r="AE140" s="237" t="n">
        <v>0</v>
      </c>
      <c r="AF140" t="b">
        <v>0</v>
      </c>
      <c r="AG140" s="228" t="n">
        <v>-1.67</v>
      </c>
    </row>
    <row r="141">
      <c r="A141">
        <f>I141&amp;"-"&amp;J141</f>
        <v/>
      </c>
      <c r="B141" s="1">
        <f>N141</f>
        <v/>
      </c>
      <c r="C141">
        <f>M141&amp;"/"&amp;O141</f>
        <v/>
      </c>
      <c r="D141">
        <f>K141</f>
        <v/>
      </c>
      <c r="E141">
        <f>L141</f>
        <v/>
      </c>
      <c r="F141" s="236">
        <f>Z141</f>
        <v/>
      </c>
      <c r="G141">
        <f>U141&amp;"%"</f>
        <v/>
      </c>
      <c r="I141" s="53" t="n">
        <v>2020</v>
      </c>
      <c r="J141" s="53" t="n">
        <v>140</v>
      </c>
      <c r="K141" s="71" t="inlineStr">
        <is>
          <t>Ausgaben</t>
        </is>
      </c>
      <c r="L141" t="inlineStr">
        <is>
          <t>sonstige Betriebsausgaben</t>
        </is>
      </c>
      <c r="M141" s="74" t="inlineStr">
        <is>
          <t>HKA/20-01-39452</t>
        </is>
      </c>
      <c r="N141" s="1" t="n">
        <v>44018</v>
      </c>
      <c r="O141" t="inlineStr">
        <is>
          <t>Techem Messtechnik GmbH; Abnehmernummer 501686-0003-11-(</t>
        </is>
      </c>
      <c r="Q141" s="76" t="n"/>
      <c r="R141" t="b">
        <v>0</v>
      </c>
      <c r="S141" s="214" t="n">
        <v>35</v>
      </c>
      <c r="T141" s="159" t="n">
        <v>1</v>
      </c>
      <c r="U141" t="n">
        <v>20</v>
      </c>
      <c r="V141" s="237" t="n">
        <v>7</v>
      </c>
      <c r="W141" s="237" t="n">
        <v>7</v>
      </c>
      <c r="X141" s="208" t="n">
        <v>35</v>
      </c>
      <c r="Y141" s="251" t="n">
        <v>42</v>
      </c>
      <c r="Z141" s="251" t="n">
        <v>42</v>
      </c>
      <c r="AA141" s="35" t="n">
        <v>44150</v>
      </c>
      <c r="AB141" s="27" t="n"/>
      <c r="AC141" s="27" t="n"/>
      <c r="AD141" s="210" t="n">
        <v>35</v>
      </c>
      <c r="AE141" s="237" t="n">
        <v>0</v>
      </c>
      <c r="AF141" t="b">
        <v>0</v>
      </c>
      <c r="AG141" s="228" t="n">
        <v>-35</v>
      </c>
    </row>
    <row r="142">
      <c r="A142">
        <f>I142&amp;"-"&amp;J142</f>
        <v/>
      </c>
      <c r="B142" s="1">
        <f>N142</f>
        <v/>
      </c>
      <c r="C142">
        <f>M142&amp;"/"&amp;O142</f>
        <v/>
      </c>
      <c r="D142">
        <f>K142</f>
        <v/>
      </c>
      <c r="E142">
        <f>L142</f>
        <v/>
      </c>
      <c r="F142" s="236">
        <f>Z142</f>
        <v/>
      </c>
      <c r="G142">
        <f>U142&amp;"%"</f>
        <v/>
      </c>
      <c r="I142" s="53" t="n">
        <v>2020</v>
      </c>
      <c r="J142" s="53" t="n">
        <v>141</v>
      </c>
      <c r="K142" s="71" t="inlineStr">
        <is>
          <t>Ausgaben</t>
        </is>
      </c>
      <c r="L142" t="inlineStr">
        <is>
          <t>Telefon/Internet</t>
        </is>
      </c>
      <c r="M142" s="74" t="inlineStr">
        <is>
          <t>6202955483</t>
        </is>
      </c>
      <c r="N142" s="1" t="n">
        <v>44018</v>
      </c>
      <c r="O142" t="inlineStr">
        <is>
          <t>Hutchison Drei Austria GmbH, Brünner Straße 52, 1210 Wien, Österreich</t>
        </is>
      </c>
      <c r="Q142" s="76" t="n"/>
      <c r="R142" t="b">
        <v>0</v>
      </c>
      <c r="S142" s="214" t="n">
        <v>15</v>
      </c>
      <c r="T142" s="159" t="n">
        <v>1</v>
      </c>
      <c r="U142" t="n">
        <v>20</v>
      </c>
      <c r="V142" s="237" t="n">
        <v>3</v>
      </c>
      <c r="W142" s="237" t="n">
        <v>3</v>
      </c>
      <c r="X142" s="208" t="n">
        <v>15</v>
      </c>
      <c r="Y142" s="251" t="n">
        <v>18</v>
      </c>
      <c r="Z142" s="251" t="n">
        <v>18</v>
      </c>
      <c r="AA142" s="35" t="n">
        <v>44150</v>
      </c>
      <c r="AB142" s="27" t="n"/>
      <c r="AC142" s="27" t="n"/>
      <c r="AD142" s="210" t="n">
        <v>15</v>
      </c>
      <c r="AE142" s="237" t="n">
        <v>0</v>
      </c>
      <c r="AF142" t="b">
        <v>0</v>
      </c>
      <c r="AG142" s="228" t="n">
        <v>-15</v>
      </c>
    </row>
    <row r="143">
      <c r="A143">
        <f>I143&amp;"-"&amp;J143</f>
        <v/>
      </c>
      <c r="B143" s="1">
        <f>N143</f>
        <v/>
      </c>
      <c r="C143">
        <f>M143&amp;"/"&amp;O143</f>
        <v/>
      </c>
      <c r="D143">
        <f>K143</f>
        <v/>
      </c>
      <c r="E143">
        <f>L143</f>
        <v/>
      </c>
      <c r="F143" s="236">
        <f>Z143</f>
        <v/>
      </c>
      <c r="G143">
        <f>U143&amp;"%"</f>
        <v/>
      </c>
      <c r="I143" s="53" t="n">
        <v>2020</v>
      </c>
      <c r="J143" s="53" t="n">
        <v>142</v>
      </c>
      <c r="K143" s="71" t="inlineStr">
        <is>
          <t>Einnahmen</t>
        </is>
      </c>
      <c r="L143" t="inlineStr">
        <is>
          <t>Waren-/Leistungserlöse</t>
        </is>
      </c>
      <c r="M143" s="74" t="inlineStr">
        <is>
          <t>12020023</t>
        </is>
      </c>
      <c r="N143" s="1" t="n">
        <v>44020</v>
      </c>
      <c r="O143" s="43" t="inlineStr">
        <is>
          <t>Wedding Avenue e.U., Mayerweckstrasse 2-8/99/1, 1210 Wien</t>
        </is>
      </c>
      <c r="Q143" s="76" t="n"/>
      <c r="R143" t="b">
        <v>0</v>
      </c>
      <c r="S143" s="214" t="n">
        <v>901</v>
      </c>
      <c r="T143" s="159" t="n">
        <v>1</v>
      </c>
      <c r="U143" t="n">
        <v>20</v>
      </c>
      <c r="V143" s="237" t="n">
        <v>180.2</v>
      </c>
      <c r="W143" s="237" t="n">
        <v>180.2</v>
      </c>
      <c r="X143" s="208" t="n">
        <v>901</v>
      </c>
      <c r="Y143" s="251" t="n">
        <v>1081.2</v>
      </c>
      <c r="Z143" s="251" t="n">
        <v>1081.2</v>
      </c>
      <c r="AA143" s="35" t="n">
        <v>44150</v>
      </c>
      <c r="AB143" s="27" t="n"/>
      <c r="AC143" s="27" t="n"/>
      <c r="AD143" s="210" t="n">
        <v>901</v>
      </c>
      <c r="AE143" s="237" t="n">
        <v>0</v>
      </c>
      <c r="AF143" t="b">
        <v>0</v>
      </c>
      <c r="AG143" s="228" t="n">
        <v>901</v>
      </c>
    </row>
    <row r="144">
      <c r="A144">
        <f>I144&amp;"-"&amp;J144</f>
        <v/>
      </c>
      <c r="B144" s="1">
        <f>N144</f>
        <v/>
      </c>
      <c r="C144">
        <f>M144&amp;"/"&amp;O144</f>
        <v/>
      </c>
      <c r="D144">
        <f>K144</f>
        <v/>
      </c>
      <c r="E144">
        <f>L144</f>
        <v/>
      </c>
      <c r="F144" s="236">
        <f>Z144</f>
        <v/>
      </c>
      <c r="G144">
        <f>U144&amp;"%"</f>
        <v/>
      </c>
      <c r="I144" s="53" t="n">
        <v>2020</v>
      </c>
      <c r="J144" s="53" t="n">
        <v>143</v>
      </c>
      <c r="K144" s="71" t="inlineStr">
        <is>
          <t>Ausgaben</t>
        </is>
      </c>
      <c r="L144" t="inlineStr">
        <is>
          <t>Telefon/Internet</t>
        </is>
      </c>
      <c r="M144" s="74" t="inlineStr">
        <is>
          <t>90118800720</t>
        </is>
      </c>
      <c r="N144" s="1" t="n">
        <v>44033</v>
      </c>
      <c r="O144" t="inlineStr">
        <is>
          <t>Magenta: T-Mobile Austria GmbH, A-1120 Wien, PF 47</t>
        </is>
      </c>
      <c r="Q144" s="76" t="n"/>
      <c r="R144" t="b">
        <v>0</v>
      </c>
      <c r="S144" s="214" t="n">
        <v>35.24</v>
      </c>
      <c r="T144" s="159" t="n">
        <v>1</v>
      </c>
      <c r="U144" t="n">
        <v>20</v>
      </c>
      <c r="V144" s="237" t="n">
        <v>7.048000000000001</v>
      </c>
      <c r="W144" s="237" t="n">
        <v>7.048000000000001</v>
      </c>
      <c r="X144" s="208" t="n">
        <v>35.24</v>
      </c>
      <c r="Y144" s="251" t="n">
        <v>42.288</v>
      </c>
      <c r="Z144" s="251" t="n">
        <v>42.288</v>
      </c>
      <c r="AA144" s="35" t="n">
        <v>44150</v>
      </c>
      <c r="AB144" s="27" t="n"/>
      <c r="AC144" s="27" t="n"/>
      <c r="AD144" s="210" t="n">
        <v>35.24</v>
      </c>
      <c r="AE144" s="237" t="n">
        <v>0</v>
      </c>
      <c r="AF144" t="b">
        <v>0</v>
      </c>
      <c r="AG144" s="228" t="n">
        <v>-35.24</v>
      </c>
    </row>
    <row r="145">
      <c r="A145">
        <f>I145&amp;"-"&amp;J145</f>
        <v/>
      </c>
      <c r="B145" s="1">
        <f>N145</f>
        <v/>
      </c>
      <c r="C145">
        <f>M145&amp;"/"&amp;O145</f>
        <v/>
      </c>
      <c r="D145">
        <f>K145</f>
        <v/>
      </c>
      <c r="E145">
        <f>L145</f>
        <v/>
      </c>
      <c r="F145" s="236">
        <f>Z145</f>
        <v/>
      </c>
      <c r="G145">
        <f>U145&amp;"%"</f>
        <v/>
      </c>
      <c r="I145" s="53" t="n">
        <v>2020</v>
      </c>
      <c r="J145" s="53" t="n">
        <v>144</v>
      </c>
      <c r="K145" s="71" t="inlineStr">
        <is>
          <t>Ausgaben</t>
        </is>
      </c>
      <c r="L145" t="inlineStr">
        <is>
          <t>sonstige Betriebsausgaben</t>
        </is>
      </c>
      <c r="M145" s="74" t="inlineStr">
        <is>
          <t>R0011550257</t>
        </is>
      </c>
      <c r="N145" s="1" t="n">
        <v>44020</v>
      </c>
      <c r="O145" t="inlineStr">
        <is>
          <t>Hetzner Online GmbH</t>
        </is>
      </c>
      <c r="Q145" s="76" t="n"/>
      <c r="R145" t="b">
        <v>0</v>
      </c>
      <c r="S145" s="214" t="n">
        <v>2.49</v>
      </c>
      <c r="T145" s="159" t="n">
        <v>1</v>
      </c>
      <c r="U145" t="n">
        <v>0</v>
      </c>
      <c r="V145" s="237" t="n">
        <v>0</v>
      </c>
      <c r="W145" s="237" t="n">
        <v>0</v>
      </c>
      <c r="X145" s="208" t="n">
        <v>2.49</v>
      </c>
      <c r="Y145" s="251" t="n">
        <v>2.49</v>
      </c>
      <c r="Z145" s="251" t="n">
        <v>2.49</v>
      </c>
      <c r="AA145" s="35" t="n">
        <v>44150</v>
      </c>
      <c r="AB145" s="27" t="n"/>
      <c r="AC145" s="27" t="n">
        <v>20</v>
      </c>
      <c r="AD145" s="210" t="n">
        <v>2.49</v>
      </c>
      <c r="AE145" s="237" t="n">
        <v>0.4980000000000001</v>
      </c>
      <c r="AF145" t="b">
        <v>0</v>
      </c>
      <c r="AG145" s="228" t="n">
        <v>-2.49</v>
      </c>
    </row>
    <row r="146">
      <c r="A146">
        <f>I146&amp;"-"&amp;J146</f>
        <v/>
      </c>
      <c r="B146" s="1">
        <f>N146</f>
        <v/>
      </c>
      <c r="C146">
        <f>M146&amp;"/"&amp;O146</f>
        <v/>
      </c>
      <c r="D146">
        <f>K146</f>
        <v/>
      </c>
      <c r="E146">
        <f>L146</f>
        <v/>
      </c>
      <c r="F146" s="236">
        <f>Z146</f>
        <v/>
      </c>
      <c r="G146">
        <f>U146&amp;"%"</f>
        <v/>
      </c>
      <c r="I146" s="53" t="n">
        <v>2020</v>
      </c>
      <c r="J146" s="53" t="n">
        <v>145</v>
      </c>
      <c r="K146" s="71" t="inlineStr">
        <is>
          <t>Ausgaben</t>
        </is>
      </c>
      <c r="L146" t="inlineStr">
        <is>
          <t>sonstige Betriebsausgaben</t>
        </is>
      </c>
      <c r="M146" s="74" t="inlineStr">
        <is>
          <t>5112142283</t>
        </is>
      </c>
      <c r="N146" s="1" t="n">
        <v>44022</v>
      </c>
      <c r="O146" t="inlineStr">
        <is>
          <t>Wiener Netze GmbH, Erdbergstraße 236, 1110 Wien, Postfach 422</t>
        </is>
      </c>
      <c r="Q146" s="76" t="n"/>
      <c r="R146" t="b">
        <v>0</v>
      </c>
      <c r="S146" s="214" t="n">
        <v>29</v>
      </c>
      <c r="T146" s="159" t="n">
        <v>1</v>
      </c>
      <c r="U146" t="n">
        <v>20</v>
      </c>
      <c r="V146" s="237" t="n">
        <v>5.8</v>
      </c>
      <c r="W146" s="237" t="n">
        <v>5.8</v>
      </c>
      <c r="X146" s="208" t="n">
        <v>29</v>
      </c>
      <c r="Y146" s="251" t="n">
        <v>34.8</v>
      </c>
      <c r="Z146" s="251" t="n">
        <v>34.8</v>
      </c>
      <c r="AA146" s="35" t="n">
        <v>44150</v>
      </c>
      <c r="AB146" s="27" t="n"/>
      <c r="AC146" s="27" t="n"/>
      <c r="AD146" s="210" t="n">
        <v>29</v>
      </c>
      <c r="AE146" s="237" t="n">
        <v>0</v>
      </c>
      <c r="AF146" t="b">
        <v>0</v>
      </c>
      <c r="AG146" s="228" t="n">
        <v>-29</v>
      </c>
    </row>
    <row r="147">
      <c r="A147">
        <f>I147&amp;"-"&amp;J147</f>
        <v/>
      </c>
      <c r="B147" s="1">
        <f>N147</f>
        <v/>
      </c>
      <c r="C147">
        <f>M147&amp;"/"&amp;O147</f>
        <v/>
      </c>
      <c r="D147">
        <f>K147</f>
        <v/>
      </c>
      <c r="E147">
        <f>L147</f>
        <v/>
      </c>
      <c r="F147" s="236">
        <f>Z147</f>
        <v/>
      </c>
      <c r="G147">
        <f>U147&amp;"%"</f>
        <v/>
      </c>
      <c r="I147" s="53" t="n">
        <v>2020</v>
      </c>
      <c r="J147" s="53" t="n">
        <v>146</v>
      </c>
      <c r="K147" s="71" t="inlineStr">
        <is>
          <t>Ausgaben</t>
        </is>
      </c>
      <c r="L147" t="inlineStr">
        <is>
          <t>sonstige Betriebsausgaben</t>
        </is>
      </c>
      <c r="M147" s="74" t="inlineStr">
        <is>
          <t>R0011586147</t>
        </is>
      </c>
      <c r="N147" s="1" t="n">
        <v>44025</v>
      </c>
      <c r="O147" t="inlineStr">
        <is>
          <t>Hetzner Online GmbH</t>
        </is>
      </c>
      <c r="Q147" s="76" t="n"/>
      <c r="R147" t="b">
        <v>0</v>
      </c>
      <c r="S147" s="214" t="n">
        <v>46.92</v>
      </c>
      <c r="T147" s="159" t="n">
        <v>1</v>
      </c>
      <c r="U147" t="n">
        <v>0</v>
      </c>
      <c r="V147" s="237" t="n">
        <v>0</v>
      </c>
      <c r="W147" s="237" t="n">
        <v>0</v>
      </c>
      <c r="X147" s="208" t="n">
        <v>46.92</v>
      </c>
      <c r="Y147" s="251" t="n">
        <v>46.92</v>
      </c>
      <c r="Z147" s="251" t="n">
        <v>46.92</v>
      </c>
      <c r="AA147" s="35" t="n">
        <v>44150</v>
      </c>
      <c r="AB147" s="27" t="n"/>
      <c r="AC147" s="27" t="n">
        <v>20</v>
      </c>
      <c r="AD147" s="210" t="n">
        <v>46.92</v>
      </c>
      <c r="AE147" s="237" t="n">
        <v>9.384</v>
      </c>
      <c r="AF147" t="b">
        <v>0</v>
      </c>
      <c r="AG147" s="228" t="n">
        <v>-46.92</v>
      </c>
    </row>
    <row r="148">
      <c r="A148">
        <f>I148&amp;"-"&amp;J148</f>
        <v/>
      </c>
      <c r="B148" s="1">
        <f>N148</f>
        <v/>
      </c>
      <c r="C148">
        <f>M148&amp;"/"&amp;O148</f>
        <v/>
      </c>
      <c r="D148">
        <f>K148</f>
        <v/>
      </c>
      <c r="E148">
        <f>L148</f>
        <v/>
      </c>
      <c r="F148" s="236">
        <f>Z148</f>
        <v/>
      </c>
      <c r="G148">
        <f>U148&amp;"%"</f>
        <v/>
      </c>
      <c r="I148" s="53" t="n">
        <v>2020</v>
      </c>
      <c r="J148" s="53" t="n">
        <v>147</v>
      </c>
      <c r="K148" s="71" t="inlineStr">
        <is>
          <t>Einnahmen</t>
        </is>
      </c>
      <c r="L148" t="inlineStr">
        <is>
          <t>Waren-/Leistungserlöse</t>
        </is>
      </c>
      <c r="M148" s="74" t="inlineStr">
        <is>
          <t>12020022</t>
        </is>
      </c>
      <c r="N148" s="44" t="n">
        <v>44025</v>
      </c>
      <c r="O148" t="inlineStr">
        <is>
          <t>Schick Küchendesign e.U. Alexander Schick, Linzerstraße 247, 1140 Wien</t>
        </is>
      </c>
      <c r="Q148" s="76" t="n"/>
      <c r="R148" t="b">
        <v>0</v>
      </c>
      <c r="S148" s="214" t="n">
        <v>250.25</v>
      </c>
      <c r="T148" s="159" t="n">
        <v>1</v>
      </c>
      <c r="U148" t="n">
        <v>20</v>
      </c>
      <c r="V148" s="237" t="n">
        <v>50.05</v>
      </c>
      <c r="W148" s="237" t="n">
        <v>50.05</v>
      </c>
      <c r="X148" s="208" t="n">
        <v>250.25</v>
      </c>
      <c r="Y148" s="251" t="n">
        <v>300.3</v>
      </c>
      <c r="Z148" s="251" t="n">
        <v>300.3</v>
      </c>
      <c r="AA148" s="35" t="n">
        <v>44150</v>
      </c>
      <c r="AB148" s="27" t="n"/>
      <c r="AC148" s="27" t="n"/>
      <c r="AD148" s="210" t="n">
        <v>250.25</v>
      </c>
      <c r="AE148" s="237" t="n">
        <v>0</v>
      </c>
      <c r="AF148" t="b">
        <v>0</v>
      </c>
      <c r="AG148" s="228" t="n">
        <v>250.25</v>
      </c>
    </row>
    <row r="149">
      <c r="A149">
        <f>I149&amp;"-"&amp;J149</f>
        <v/>
      </c>
      <c r="B149" s="1">
        <f>N149</f>
        <v/>
      </c>
      <c r="C149">
        <f>M149&amp;"/"&amp;O149</f>
        <v/>
      </c>
      <c r="D149">
        <f>K149</f>
        <v/>
      </c>
      <c r="E149">
        <f>L149</f>
        <v/>
      </c>
      <c r="F149" s="236">
        <f>Z149</f>
        <v/>
      </c>
      <c r="G149">
        <f>U149&amp;"%"</f>
        <v/>
      </c>
      <c r="I149" s="53" t="n">
        <v>2020</v>
      </c>
      <c r="J149" s="53" t="n">
        <v>148</v>
      </c>
      <c r="K149" s="71" t="inlineStr">
        <is>
          <t>Einnahmen</t>
        </is>
      </c>
      <c r="L149" t="inlineStr">
        <is>
          <t>sonstige Betriebsausgaben</t>
        </is>
      </c>
      <c r="M149" s="74" t="inlineStr">
        <is>
          <t>12020027</t>
        </is>
      </c>
      <c r="N149" s="1" t="n">
        <v>44027</v>
      </c>
      <c r="O149" t="inlineStr">
        <is>
          <t>Musikschule Bad Vöslau, Hauptstraße 14, 2540 Bad Vöslau</t>
        </is>
      </c>
      <c r="Q149" s="76" t="n"/>
      <c r="R149" t="b">
        <v>0</v>
      </c>
      <c r="S149" s="214" t="n">
        <v>350</v>
      </c>
      <c r="T149" s="159" t="n">
        <v>1</v>
      </c>
      <c r="U149" t="n">
        <v>20</v>
      </c>
      <c r="V149" s="237" t="n">
        <v>70</v>
      </c>
      <c r="W149" s="237" t="n">
        <v>70</v>
      </c>
      <c r="X149" s="208" t="n">
        <v>350</v>
      </c>
      <c r="Y149" s="251" t="n">
        <v>420</v>
      </c>
      <c r="Z149" s="251" t="n">
        <v>420</v>
      </c>
      <c r="AA149" s="35" t="n">
        <v>44150</v>
      </c>
      <c r="AB149" s="27" t="n"/>
      <c r="AC149" s="27" t="n"/>
      <c r="AD149" s="210" t="n">
        <v>350</v>
      </c>
      <c r="AE149" s="237" t="n">
        <v>0</v>
      </c>
      <c r="AF149" t="b">
        <v>0</v>
      </c>
      <c r="AG149" s="228" t="n">
        <v>350</v>
      </c>
    </row>
    <row r="150">
      <c r="A150">
        <f>I150&amp;"-"&amp;J150</f>
        <v/>
      </c>
      <c r="B150" s="1">
        <f>N150</f>
        <v/>
      </c>
      <c r="C150">
        <f>M150&amp;"/"&amp;O150</f>
        <v/>
      </c>
      <c r="D150">
        <f>K150</f>
        <v/>
      </c>
      <c r="E150">
        <f>L150</f>
        <v/>
      </c>
      <c r="F150" s="236" t="n">
        <v>357.8</v>
      </c>
      <c r="G150" s="159" t="n">
        <v>0</v>
      </c>
      <c r="I150" s="53" t="n">
        <v>2020</v>
      </c>
      <c r="J150" s="53" t="n">
        <v>149</v>
      </c>
      <c r="K150" s="71" t="inlineStr">
        <is>
          <t>Einnahmen</t>
        </is>
      </c>
      <c r="L150" s="100" t="inlineStr">
        <is>
          <t>Übrige Erträge</t>
        </is>
      </c>
      <c r="M150" s="101" t="n"/>
      <c r="N150" s="102" t="n">
        <v>44025</v>
      </c>
      <c r="O150" s="100" t="inlineStr">
        <is>
          <t>Wirtschaftsagentur Wien Home-Office 2020 Endauszahlung 357,8 (sonstiger Ertrag, nicht steuerbar)</t>
        </is>
      </c>
      <c r="P150" s="100" t="n"/>
      <c r="Q150" s="103" t="n"/>
      <c r="R150" s="100" t="b">
        <v>0</v>
      </c>
      <c r="S150" s="252" t="n"/>
      <c r="T150" s="104" t="n"/>
      <c r="U150" s="100" t="n"/>
      <c r="V150" s="253" t="n"/>
      <c r="W150" s="253" t="n"/>
      <c r="X150" s="253" t="n"/>
      <c r="Y150" s="253" t="n"/>
      <c r="Z150" s="253" t="n"/>
      <c r="AA150" s="106" t="n"/>
      <c r="AB150" s="100" t="n"/>
      <c r="AC150" s="100" t="n"/>
      <c r="AD150" s="252" t="n"/>
      <c r="AE150" s="253" t="n"/>
      <c r="AF150" s="100" t="n"/>
      <c r="AG150" s="254" t="n"/>
    </row>
    <row r="151">
      <c r="A151">
        <f>I151&amp;"-"&amp;J151</f>
        <v/>
      </c>
      <c r="B151" s="1">
        <f>N151</f>
        <v/>
      </c>
      <c r="C151">
        <f>M151&amp;"/"&amp;O151</f>
        <v/>
      </c>
      <c r="D151">
        <f>K151</f>
        <v/>
      </c>
      <c r="E151">
        <f>L151</f>
        <v/>
      </c>
      <c r="F151" s="236">
        <f>Z151</f>
        <v/>
      </c>
      <c r="G151">
        <f>U151&amp;"%"</f>
        <v/>
      </c>
      <c r="I151" s="53" t="n">
        <v>2020</v>
      </c>
      <c r="J151" s="53" t="n">
        <v>150</v>
      </c>
      <c r="K151" s="71" t="inlineStr">
        <is>
          <t>Einnahmen</t>
        </is>
      </c>
      <c r="L151" t="inlineStr">
        <is>
          <t>Waren-/Leistungserlöse</t>
        </is>
      </c>
      <c r="M151" s="74" t="inlineStr">
        <is>
          <t>12020021</t>
        </is>
      </c>
      <c r="N151" s="1" t="n">
        <v>44036</v>
      </c>
      <c r="O151" t="inlineStr">
        <is>
          <t>DCF - Digital Coding Factory GmbH, Bauernfeldgasse 4/12 1090 Wien</t>
        </is>
      </c>
      <c r="Q151" s="76" t="n"/>
      <c r="R151" t="b">
        <v>0</v>
      </c>
      <c r="S151" s="214" t="n">
        <v>2250</v>
      </c>
      <c r="T151" s="159" t="n">
        <v>1</v>
      </c>
      <c r="U151" t="n">
        <v>20</v>
      </c>
      <c r="V151" s="237" t="n">
        <v>450</v>
      </c>
      <c r="W151" s="237" t="n">
        <v>450</v>
      </c>
      <c r="X151" s="208" t="n">
        <v>2250</v>
      </c>
      <c r="Y151" s="251" t="n">
        <v>2700</v>
      </c>
      <c r="Z151" s="251" t="n">
        <v>2700</v>
      </c>
      <c r="AA151" s="35" t="n">
        <v>44150</v>
      </c>
      <c r="AB151" s="27" t="n"/>
      <c r="AC151" s="27" t="n"/>
      <c r="AD151" s="210" t="n">
        <v>2250</v>
      </c>
      <c r="AE151" s="237" t="n">
        <v>0</v>
      </c>
      <c r="AF151" t="b">
        <v>0</v>
      </c>
      <c r="AG151" s="228" t="n">
        <v>2250</v>
      </c>
    </row>
    <row r="152">
      <c r="A152">
        <f>I152&amp;"-"&amp;J152</f>
        <v/>
      </c>
      <c r="B152" s="1">
        <f>N152</f>
        <v/>
      </c>
      <c r="C152">
        <f>M152&amp;"/"&amp;O152</f>
        <v/>
      </c>
      <c r="D152">
        <f>K152</f>
        <v/>
      </c>
      <c r="E152">
        <f>L152</f>
        <v/>
      </c>
      <c r="F152" s="236">
        <f>Z152</f>
        <v/>
      </c>
      <c r="G152">
        <f>U152&amp;"%"</f>
        <v/>
      </c>
      <c r="I152" s="53" t="n">
        <v>2020</v>
      </c>
      <c r="J152" s="53" t="n">
        <v>151</v>
      </c>
      <c r="K152" s="71" t="inlineStr">
        <is>
          <t>Einnahmen</t>
        </is>
      </c>
      <c r="L152" t="inlineStr">
        <is>
          <t>Waren-/Leistungserlöse</t>
        </is>
      </c>
      <c r="M152" s="74" t="inlineStr">
        <is>
          <t>12020020</t>
        </is>
      </c>
      <c r="N152" s="1" t="n">
        <v>44036</v>
      </c>
      <c r="O152" t="inlineStr">
        <is>
          <t>DCF - Digital Coding Factory GmbH, Bauernfeldgasse 4/12 1090 Wien</t>
        </is>
      </c>
      <c r="Q152" s="76" t="n"/>
      <c r="R152" t="b">
        <v>0</v>
      </c>
      <c r="S152" s="214" t="n">
        <v>2790</v>
      </c>
      <c r="T152" s="159" t="n">
        <v>1</v>
      </c>
      <c r="U152" t="n">
        <v>20</v>
      </c>
      <c r="V152" s="237" t="n">
        <v>558</v>
      </c>
      <c r="W152" s="237" t="n">
        <v>558</v>
      </c>
      <c r="X152" s="208" t="n">
        <v>2790</v>
      </c>
      <c r="Y152" s="251" t="n">
        <v>3348</v>
      </c>
      <c r="Z152" s="251" t="n">
        <v>3348</v>
      </c>
      <c r="AA152" s="35" t="n">
        <v>44150</v>
      </c>
      <c r="AB152" s="27" t="n"/>
      <c r="AC152" s="27" t="n"/>
      <c r="AD152" s="210" t="n">
        <v>2790</v>
      </c>
      <c r="AE152" s="237" t="n">
        <v>0</v>
      </c>
      <c r="AF152" t="b">
        <v>0</v>
      </c>
      <c r="AG152" s="228" t="n">
        <v>2790</v>
      </c>
    </row>
    <row r="153">
      <c r="A153">
        <f>I153&amp;"-"&amp;J153</f>
        <v/>
      </c>
      <c r="B153" s="1">
        <f>N153</f>
        <v/>
      </c>
      <c r="C153">
        <f>M153&amp;"/"&amp;O153</f>
        <v/>
      </c>
      <c r="D153">
        <f>K153</f>
        <v/>
      </c>
      <c r="E153">
        <f>L153</f>
        <v/>
      </c>
      <c r="F153" s="236">
        <f>Z153</f>
        <v/>
      </c>
      <c r="G153">
        <f>U153&amp;"%"</f>
        <v/>
      </c>
      <c r="I153" s="53" t="n">
        <v>2020</v>
      </c>
      <c r="J153" s="53" t="n">
        <v>152</v>
      </c>
      <c r="K153" s="71" t="inlineStr">
        <is>
          <t>Einnahmen</t>
        </is>
      </c>
      <c r="L153" t="inlineStr">
        <is>
          <t>Waren-/Leistungserlöse</t>
        </is>
      </c>
      <c r="M153" s="74" t="inlineStr">
        <is>
          <t>12020019</t>
        </is>
      </c>
      <c r="N153" s="1" t="n">
        <v>44039</v>
      </c>
      <c r="O153" t="inlineStr">
        <is>
          <t>Paperholic all bout paper e.U.</t>
        </is>
      </c>
      <c r="Q153" s="76" t="n"/>
      <c r="R153" t="b">
        <v>0</v>
      </c>
      <c r="S153" s="214" t="n">
        <v>131.25</v>
      </c>
      <c r="T153" s="159" t="n">
        <v>1</v>
      </c>
      <c r="U153" t="n">
        <v>20</v>
      </c>
      <c r="V153" s="237" t="n">
        <v>26.25</v>
      </c>
      <c r="W153" s="237" t="n">
        <v>26.25</v>
      </c>
      <c r="X153" s="208" t="n">
        <v>131.25</v>
      </c>
      <c r="Y153" s="251" t="n">
        <v>157.5</v>
      </c>
      <c r="Z153" s="251" t="n">
        <v>157.5</v>
      </c>
      <c r="AA153" s="35" t="n">
        <v>44150</v>
      </c>
      <c r="AB153" s="27" t="n"/>
      <c r="AC153" s="27" t="n"/>
      <c r="AD153" s="210" t="n">
        <v>131.25</v>
      </c>
      <c r="AE153" s="237" t="n">
        <v>0</v>
      </c>
      <c r="AF153" t="b">
        <v>0</v>
      </c>
      <c r="AG153" s="228" t="n">
        <v>131.25</v>
      </c>
    </row>
    <row r="154">
      <c r="A154">
        <f>I154&amp;"-"&amp;J154</f>
        <v/>
      </c>
      <c r="B154" s="1">
        <f>N154</f>
        <v/>
      </c>
      <c r="C154">
        <f>M154&amp;"/"&amp;O154</f>
        <v/>
      </c>
      <c r="D154">
        <f>K154</f>
        <v/>
      </c>
      <c r="E154">
        <f>L154</f>
        <v/>
      </c>
      <c r="F154" s="236">
        <f>Z154</f>
        <v/>
      </c>
      <c r="G154">
        <f>U154&amp;"%"</f>
        <v/>
      </c>
      <c r="I154" s="53" t="n">
        <v>2020</v>
      </c>
      <c r="J154" s="53" t="n">
        <v>153</v>
      </c>
      <c r="K154" s="71" t="inlineStr">
        <is>
          <t>Ausgaben</t>
        </is>
      </c>
      <c r="L154" t="inlineStr">
        <is>
          <t>Telefon/Internet</t>
        </is>
      </c>
      <c r="M154" s="74" t="inlineStr">
        <is>
          <t>1002325367488</t>
        </is>
      </c>
      <c r="N154" s="1" t="n">
        <v>44046</v>
      </c>
      <c r="O154" t="inlineStr">
        <is>
          <t>HoT Telekom und Service GmbH</t>
        </is>
      </c>
      <c r="Q154" s="76" t="n"/>
      <c r="R154" t="b">
        <v>0</v>
      </c>
      <c r="S154" s="214" t="n">
        <v>4.92</v>
      </c>
      <c r="T154" s="159" t="n">
        <v>1</v>
      </c>
      <c r="U154" t="n">
        <v>20</v>
      </c>
      <c r="V154" s="237" t="n">
        <v>0.9840000000000001</v>
      </c>
      <c r="W154" s="237" t="n">
        <v>0.9840000000000001</v>
      </c>
      <c r="X154" s="208" t="n">
        <v>4.92</v>
      </c>
      <c r="Y154" s="251" t="n">
        <v>5.904</v>
      </c>
      <c r="Z154" s="251" t="n">
        <v>5.904</v>
      </c>
      <c r="AA154" s="35" t="n">
        <v>44150</v>
      </c>
      <c r="AB154" s="27" t="n"/>
      <c r="AC154" s="27" t="n"/>
      <c r="AD154" s="210" t="n">
        <v>4.92</v>
      </c>
      <c r="AE154" s="237" t="n">
        <v>0</v>
      </c>
      <c r="AF154" t="b">
        <v>0</v>
      </c>
      <c r="AG154" s="228" t="n">
        <v>-4.92</v>
      </c>
    </row>
    <row r="155">
      <c r="A155">
        <f>I155&amp;"-"&amp;J155</f>
        <v/>
      </c>
      <c r="B155" s="1">
        <f>N155</f>
        <v/>
      </c>
      <c r="C155">
        <f>M155&amp;"/"&amp;O155</f>
        <v/>
      </c>
      <c r="D155">
        <f>K155</f>
        <v/>
      </c>
      <c r="E155">
        <f>L155</f>
        <v/>
      </c>
      <c r="F155" s="236">
        <f>Z155</f>
        <v/>
      </c>
      <c r="G155">
        <f>U155&amp;"%"</f>
        <v/>
      </c>
      <c r="I155" s="53" t="n">
        <v>2020</v>
      </c>
      <c r="J155" s="53" t="n">
        <v>154</v>
      </c>
      <c r="K155" s="71" t="inlineStr">
        <is>
          <t>Ausgaben</t>
        </is>
      </c>
      <c r="L155" t="inlineStr">
        <is>
          <t>sonstige Betriebsausgaben</t>
        </is>
      </c>
      <c r="M155" s="74" t="inlineStr">
        <is>
          <t>HKA/20-01-39452</t>
        </is>
      </c>
      <c r="N155" s="1" t="n">
        <v>44048</v>
      </c>
      <c r="O155" t="inlineStr">
        <is>
          <t>Techem Messtechnik GmbH; Abnehmernummer 501686-0003-11-(</t>
        </is>
      </c>
      <c r="Q155" s="76" t="n"/>
      <c r="R155" t="b">
        <v>0</v>
      </c>
      <c r="S155" s="214" t="n">
        <v>143.72</v>
      </c>
      <c r="T155" s="159" t="n">
        <v>1</v>
      </c>
      <c r="U155" t="n">
        <v>20</v>
      </c>
      <c r="V155" s="237" t="n">
        <v>28.744</v>
      </c>
      <c r="W155" s="237" t="n">
        <v>28.744</v>
      </c>
      <c r="X155" s="208" t="n">
        <v>143.72</v>
      </c>
      <c r="Y155" s="251" t="n">
        <v>172.464</v>
      </c>
      <c r="Z155" s="251" t="n">
        <v>172.464</v>
      </c>
      <c r="AA155" s="35" t="n">
        <v>44150</v>
      </c>
      <c r="AB155" s="27" t="n"/>
      <c r="AC155" s="27" t="n"/>
      <c r="AD155" s="210" t="n">
        <v>143.72</v>
      </c>
      <c r="AE155" s="237" t="n">
        <v>0</v>
      </c>
      <c r="AF155" t="b">
        <v>0</v>
      </c>
      <c r="AG155" s="228" t="n">
        <v>-143.72</v>
      </c>
    </row>
    <row r="156">
      <c r="A156">
        <f>I156&amp;"-"&amp;J156</f>
        <v/>
      </c>
      <c r="B156" s="1">
        <f>N156</f>
        <v/>
      </c>
      <c r="C156">
        <f>M156&amp;"/"&amp;O156</f>
        <v/>
      </c>
      <c r="D156">
        <f>K156</f>
        <v/>
      </c>
      <c r="E156">
        <f>L156</f>
        <v/>
      </c>
      <c r="F156" s="236">
        <f>Z156</f>
        <v/>
      </c>
      <c r="G156">
        <f>U156&amp;"%"</f>
        <v/>
      </c>
      <c r="I156" s="53" t="n">
        <v>2020</v>
      </c>
      <c r="J156" s="53" t="n">
        <v>155</v>
      </c>
      <c r="K156" s="71" t="inlineStr">
        <is>
          <t>Ausgaben</t>
        </is>
      </c>
      <c r="L156" t="inlineStr">
        <is>
          <t>sonstige Betriebsausgaben</t>
        </is>
      </c>
      <c r="M156" s="74" t="inlineStr">
        <is>
          <t>807693</t>
        </is>
      </c>
      <c r="N156" s="1" t="n">
        <v>44048</v>
      </c>
      <c r="O156" t="inlineStr">
        <is>
          <t>easy green energy GmbH &amp; Co KG</t>
        </is>
      </c>
      <c r="Q156" s="76" t="n"/>
      <c r="R156" t="b">
        <v>0</v>
      </c>
      <c r="S156" s="214" t="n">
        <v>2.5</v>
      </c>
      <c r="T156" s="159" t="n">
        <v>1</v>
      </c>
      <c r="U156" t="n">
        <v>20</v>
      </c>
      <c r="V156" s="237" t="n">
        <v>0.5</v>
      </c>
      <c r="W156" s="237" t="n">
        <v>0.5</v>
      </c>
      <c r="X156" s="208" t="n">
        <v>2.5</v>
      </c>
      <c r="Y156" s="251" t="n">
        <v>3</v>
      </c>
      <c r="Z156" s="251" t="n">
        <v>3</v>
      </c>
      <c r="AA156" s="35" t="n">
        <v>44150</v>
      </c>
      <c r="AB156" s="27" t="n"/>
      <c r="AC156" s="27" t="n"/>
      <c r="AD156" s="210" t="n">
        <v>2.5</v>
      </c>
      <c r="AE156" s="237" t="n">
        <v>0</v>
      </c>
      <c r="AF156" t="b">
        <v>0</v>
      </c>
      <c r="AG156" s="228" t="n">
        <v>-2.5</v>
      </c>
    </row>
    <row r="157">
      <c r="A157">
        <f>I157&amp;"-"&amp;J157</f>
        <v/>
      </c>
      <c r="B157" s="1">
        <f>N157</f>
        <v/>
      </c>
      <c r="C157">
        <f>M157&amp;"/"&amp;O157</f>
        <v/>
      </c>
      <c r="D157">
        <f>K157</f>
        <v/>
      </c>
      <c r="E157">
        <f>L157</f>
        <v/>
      </c>
      <c r="F157" s="236">
        <f>Z157</f>
        <v/>
      </c>
      <c r="G157">
        <f>U157&amp;"%"</f>
        <v/>
      </c>
      <c r="I157" s="53" t="n">
        <v>2020</v>
      </c>
      <c r="J157" s="53" t="n">
        <v>156</v>
      </c>
      <c r="K157" s="71" t="inlineStr">
        <is>
          <t>Ausgaben</t>
        </is>
      </c>
      <c r="L157" t="inlineStr">
        <is>
          <t>Telefon/Internet</t>
        </is>
      </c>
      <c r="M157" s="74" t="n">
        <v>6204766176</v>
      </c>
      <c r="N157" s="1" t="n">
        <v>44047</v>
      </c>
      <c r="O157" t="inlineStr">
        <is>
          <t>Hutchison Drei Austria GmbH, Brünner Straße 52, 1210 Wien, Österreich</t>
        </is>
      </c>
      <c r="Q157" s="76" t="n"/>
      <c r="R157" t="b">
        <v>0</v>
      </c>
      <c r="S157" s="214" t="n">
        <v>15</v>
      </c>
      <c r="T157" s="159" t="n">
        <v>1</v>
      </c>
      <c r="U157" t="n">
        <v>20</v>
      </c>
      <c r="V157" s="237" t="n">
        <v>3</v>
      </c>
      <c r="W157" s="237" t="n">
        <v>3</v>
      </c>
      <c r="X157" s="208" t="n">
        <v>15</v>
      </c>
      <c r="Y157" s="251" t="n">
        <v>18</v>
      </c>
      <c r="Z157" s="251" t="n">
        <v>18</v>
      </c>
      <c r="AA157" s="35" t="n">
        <v>44150</v>
      </c>
      <c r="AB157" s="27" t="n"/>
      <c r="AC157" s="27" t="n"/>
      <c r="AD157" s="210" t="n">
        <v>15</v>
      </c>
      <c r="AE157" s="237" t="n">
        <v>0</v>
      </c>
      <c r="AF157" t="b">
        <v>0</v>
      </c>
      <c r="AG157" s="228" t="n">
        <v>-15</v>
      </c>
    </row>
    <row r="158">
      <c r="A158">
        <f>I158&amp;"-"&amp;J158</f>
        <v/>
      </c>
      <c r="B158" s="1">
        <f>N158</f>
        <v/>
      </c>
      <c r="C158">
        <f>M158&amp;"/"&amp;O158</f>
        <v/>
      </c>
      <c r="D158">
        <f>K158</f>
        <v/>
      </c>
      <c r="E158">
        <f>L158</f>
        <v/>
      </c>
      <c r="F158" s="236">
        <f>Z158</f>
        <v/>
      </c>
      <c r="G158">
        <f>U158&amp;"%"</f>
        <v/>
      </c>
      <c r="I158" s="53" t="n">
        <v>2020</v>
      </c>
      <c r="J158" s="53" t="n">
        <v>157</v>
      </c>
      <c r="K158" s="71" t="inlineStr">
        <is>
          <t>Ausgaben</t>
        </is>
      </c>
      <c r="L158" t="inlineStr">
        <is>
          <t>sonstige Betriebsausgaben</t>
        </is>
      </c>
      <c r="M158" t="inlineStr">
        <is>
          <t>R0011713189</t>
        </is>
      </c>
      <c r="N158" s="1" t="n">
        <v>44049</v>
      </c>
      <c r="O158" t="inlineStr">
        <is>
          <t>Hetzner Online GmbH</t>
        </is>
      </c>
      <c r="Q158" s="76" t="n"/>
      <c r="R158" t="b">
        <v>0</v>
      </c>
      <c r="S158" s="214" t="n">
        <v>2.49</v>
      </c>
      <c r="T158" s="159" t="n">
        <v>1</v>
      </c>
      <c r="U158" t="n">
        <v>0</v>
      </c>
      <c r="V158" s="237" t="n">
        <v>0</v>
      </c>
      <c r="W158" s="237" t="n">
        <v>0</v>
      </c>
      <c r="X158" s="208" t="n">
        <v>2.49</v>
      </c>
      <c r="Y158" s="251" t="n">
        <v>2.49</v>
      </c>
      <c r="Z158" s="251" t="n">
        <v>2.49</v>
      </c>
      <c r="AA158" s="35" t="n">
        <v>44150</v>
      </c>
      <c r="AB158" s="27" t="n"/>
      <c r="AC158" s="27" t="n">
        <v>20</v>
      </c>
      <c r="AD158" s="210" t="n">
        <v>2.49</v>
      </c>
      <c r="AE158" s="237" t="n">
        <v>0.4980000000000001</v>
      </c>
      <c r="AF158" t="b">
        <v>0</v>
      </c>
      <c r="AG158" s="228" t="n">
        <v>-2.49</v>
      </c>
    </row>
    <row r="159">
      <c r="A159">
        <f>I159&amp;"-"&amp;J159</f>
        <v/>
      </c>
      <c r="B159" s="1">
        <f>N159</f>
        <v/>
      </c>
      <c r="C159">
        <f>M159&amp;"/"&amp;O159</f>
        <v/>
      </c>
      <c r="D159">
        <f>K159</f>
        <v/>
      </c>
      <c r="E159">
        <f>L159</f>
        <v/>
      </c>
      <c r="F159" s="236">
        <f>Z159</f>
        <v/>
      </c>
      <c r="G159">
        <f>U159&amp;"%"</f>
        <v/>
      </c>
      <c r="I159" s="53" t="n">
        <v>2020</v>
      </c>
      <c r="J159" s="53" t="n">
        <v>158</v>
      </c>
      <c r="K159" s="71" t="inlineStr">
        <is>
          <t>Ausgaben</t>
        </is>
      </c>
      <c r="L159" t="inlineStr">
        <is>
          <t>sonstige Betriebsausgaben</t>
        </is>
      </c>
      <c r="M159" s="74" t="inlineStr">
        <is>
          <t>5112142283</t>
        </is>
      </c>
      <c r="N159" s="1" t="n">
        <v>44053</v>
      </c>
      <c r="O159" t="inlineStr">
        <is>
          <t>Wiener Netze GmbH, Erdbergstraße 236, 1110 Wien, Postfach 422</t>
        </is>
      </c>
      <c r="Q159" s="76" t="n"/>
      <c r="R159" t="b">
        <v>0</v>
      </c>
      <c r="S159" s="214" t="n">
        <v>29</v>
      </c>
      <c r="T159" s="159" t="n">
        <v>1</v>
      </c>
      <c r="U159" t="n">
        <v>20</v>
      </c>
      <c r="V159" s="237" t="n">
        <v>5.8</v>
      </c>
      <c r="W159" s="237" t="n">
        <v>5.8</v>
      </c>
      <c r="X159" s="208" t="n">
        <v>29</v>
      </c>
      <c r="Y159" s="251" t="n">
        <v>34.8</v>
      </c>
      <c r="Z159" s="251" t="n">
        <v>34.8</v>
      </c>
      <c r="AA159" s="35" t="n">
        <v>44150</v>
      </c>
      <c r="AB159" s="27" t="n"/>
      <c r="AC159" s="27" t="n"/>
      <c r="AD159" s="210" t="n">
        <v>29</v>
      </c>
      <c r="AE159" s="237" t="n">
        <v>0</v>
      </c>
      <c r="AF159" t="b">
        <v>0</v>
      </c>
      <c r="AG159" s="228" t="n">
        <v>-29</v>
      </c>
    </row>
    <row r="160">
      <c r="A160">
        <f>I160&amp;"-"&amp;J160</f>
        <v/>
      </c>
      <c r="B160" s="1">
        <f>N160</f>
        <v/>
      </c>
      <c r="C160">
        <f>M160&amp;"/"&amp;O160</f>
        <v/>
      </c>
      <c r="D160">
        <f>K160</f>
        <v/>
      </c>
      <c r="E160">
        <f>L160</f>
        <v/>
      </c>
      <c r="F160" s="236">
        <f>Z160</f>
        <v/>
      </c>
      <c r="G160">
        <f>U160&amp;"%"</f>
        <v/>
      </c>
      <c r="I160" s="53" t="n">
        <v>2020</v>
      </c>
      <c r="J160" s="53" t="n">
        <v>159</v>
      </c>
      <c r="K160" s="71" t="inlineStr">
        <is>
          <t>Ausgaben</t>
        </is>
      </c>
      <c r="L160" t="inlineStr">
        <is>
          <t>sonstige Betriebsausgaben</t>
        </is>
      </c>
      <c r="M160" s="74" t="inlineStr">
        <is>
          <t>802540</t>
        </is>
      </c>
      <c r="N160" s="1" t="n">
        <v>44053</v>
      </c>
      <c r="O160" t="inlineStr">
        <is>
          <t>Lemon Technologies GmbH, Unterweißenbach 181, 7330 Feldbach: Bildschirm</t>
        </is>
      </c>
      <c r="Q160" s="76" t="n"/>
      <c r="R160" t="b">
        <v>0</v>
      </c>
      <c r="S160" s="214" t="n">
        <v>105.23</v>
      </c>
      <c r="T160" s="159" t="n">
        <v>1</v>
      </c>
      <c r="U160" t="n">
        <v>20</v>
      </c>
      <c r="V160" s="237" t="n">
        <v>21.046</v>
      </c>
      <c r="W160" s="237" t="n">
        <v>21.046</v>
      </c>
      <c r="X160" s="208" t="n">
        <v>105.23</v>
      </c>
      <c r="Y160" s="251" t="n">
        <v>126.276</v>
      </c>
      <c r="Z160" s="251" t="n">
        <v>126.276</v>
      </c>
      <c r="AA160" s="35" t="n">
        <v>44150</v>
      </c>
      <c r="AB160" s="27" t="n"/>
      <c r="AC160" s="27" t="n"/>
      <c r="AD160" s="210" t="n">
        <v>105.23</v>
      </c>
      <c r="AE160" s="237" t="n">
        <v>0</v>
      </c>
      <c r="AF160" t="b">
        <v>0</v>
      </c>
      <c r="AG160" s="228" t="n">
        <v>-105.23</v>
      </c>
    </row>
    <row r="161">
      <c r="A161">
        <f>I161&amp;"-"&amp;J161</f>
        <v/>
      </c>
      <c r="B161" s="1">
        <f>N161</f>
        <v/>
      </c>
      <c r="C161">
        <f>M161&amp;"/"&amp;O161</f>
        <v/>
      </c>
      <c r="D161">
        <f>K161</f>
        <v/>
      </c>
      <c r="E161">
        <f>L161</f>
        <v/>
      </c>
      <c r="F161" s="236">
        <f>Z161</f>
        <v/>
      </c>
      <c r="G161">
        <f>U161&amp;"%"</f>
        <v/>
      </c>
      <c r="I161" s="53" t="n">
        <v>2020</v>
      </c>
      <c r="J161" s="53" t="n">
        <v>160</v>
      </c>
      <c r="K161" s="71" t="inlineStr">
        <is>
          <t>Ausgaben</t>
        </is>
      </c>
      <c r="L161" t="inlineStr">
        <is>
          <t>sonstige Betriebsausgaben</t>
        </is>
      </c>
      <c r="M161" t="inlineStr">
        <is>
          <t>R0011750762</t>
        </is>
      </c>
      <c r="N161" s="1" t="n">
        <v>44056</v>
      </c>
      <c r="O161" t="inlineStr">
        <is>
          <t>Hetzner Online GmbH</t>
        </is>
      </c>
      <c r="Q161" s="76" t="n"/>
      <c r="R161" t="b">
        <v>0</v>
      </c>
      <c r="S161" s="214" t="n">
        <v>46.92</v>
      </c>
      <c r="T161" s="159" t="n">
        <v>1</v>
      </c>
      <c r="U161" t="n">
        <v>0</v>
      </c>
      <c r="V161" s="237" t="n">
        <v>0</v>
      </c>
      <c r="W161" s="237" t="n">
        <v>0</v>
      </c>
      <c r="X161" s="208" t="n">
        <v>46.92</v>
      </c>
      <c r="Y161" s="251" t="n">
        <v>46.92</v>
      </c>
      <c r="Z161" s="251" t="n">
        <v>46.92</v>
      </c>
      <c r="AA161" s="35" t="n">
        <v>44150</v>
      </c>
      <c r="AB161" s="27" t="n"/>
      <c r="AC161" s="27" t="n">
        <v>20</v>
      </c>
      <c r="AD161" s="210" t="n">
        <v>46.92</v>
      </c>
      <c r="AE161" s="237" t="n">
        <v>9.384</v>
      </c>
      <c r="AF161" t="b">
        <v>0</v>
      </c>
      <c r="AG161" s="228" t="n">
        <v>-46.92</v>
      </c>
    </row>
    <row r="162">
      <c r="A162">
        <f>I162&amp;"-"&amp;J162</f>
        <v/>
      </c>
      <c r="B162" s="1">
        <f>N162</f>
        <v/>
      </c>
      <c r="C162">
        <f>M162&amp;"/"&amp;O162</f>
        <v/>
      </c>
      <c r="D162">
        <f>K162</f>
        <v/>
      </c>
      <c r="E162">
        <f>L162</f>
        <v/>
      </c>
      <c r="F162" s="236">
        <f>Z162</f>
        <v/>
      </c>
      <c r="G162">
        <f>U162&amp;"%"</f>
        <v/>
      </c>
      <c r="I162" s="53" t="n">
        <v>2020</v>
      </c>
      <c r="J162" s="53" t="n">
        <v>161</v>
      </c>
      <c r="K162" s="71" t="inlineStr">
        <is>
          <t>Einnahmen</t>
        </is>
      </c>
      <c r="L162" t="inlineStr">
        <is>
          <t>Waren-/Leistungserlöse</t>
        </is>
      </c>
      <c r="M162" s="74" t="n">
        <v>12020013</v>
      </c>
      <c r="N162" s="1" t="n">
        <v>44014</v>
      </c>
      <c r="O162" t="inlineStr">
        <is>
          <t>ZT DI Dr. Arno Kolbitsch, Gütleweg 1, 6822 Satteins</t>
        </is>
      </c>
      <c r="Q162" s="76" t="n"/>
      <c r="R162" t="b">
        <v>0</v>
      </c>
      <c r="S162" s="214" t="n">
        <v>362.4</v>
      </c>
      <c r="T162" s="159" t="n">
        <v>1</v>
      </c>
      <c r="U162" t="n">
        <v>20</v>
      </c>
      <c r="V162" s="237" t="n">
        <v>72.48</v>
      </c>
      <c r="W162" s="237" t="n">
        <v>72.48</v>
      </c>
      <c r="X162" s="208" t="n">
        <v>362.4</v>
      </c>
      <c r="Y162" s="251" t="n">
        <v>434.88</v>
      </c>
      <c r="Z162" s="251" t="n">
        <v>434.88</v>
      </c>
      <c r="AA162" s="35" t="n">
        <v>44150</v>
      </c>
      <c r="AB162" s="27" t="n"/>
      <c r="AC162" s="27" t="n"/>
      <c r="AD162" s="210" t="n">
        <v>362.4</v>
      </c>
      <c r="AE162" s="237" t="n">
        <v>0</v>
      </c>
      <c r="AF162" t="b">
        <v>0</v>
      </c>
      <c r="AG162" s="228" t="n">
        <v>362.4</v>
      </c>
    </row>
    <row r="163">
      <c r="A163">
        <f>I163&amp;"-"&amp;J163</f>
        <v/>
      </c>
      <c r="B163" s="1">
        <f>N163</f>
        <v/>
      </c>
      <c r="C163">
        <f>M163&amp;"/"&amp;O163</f>
        <v/>
      </c>
      <c r="D163">
        <f>K163</f>
        <v/>
      </c>
      <c r="E163">
        <f>L163</f>
        <v/>
      </c>
      <c r="F163" s="236">
        <f>Z163</f>
        <v/>
      </c>
      <c r="G163">
        <f>U163&amp;"%"</f>
        <v/>
      </c>
      <c r="I163" s="53" t="n">
        <v>2020</v>
      </c>
      <c r="J163" s="53" t="n">
        <v>162</v>
      </c>
      <c r="K163" s="71" t="inlineStr">
        <is>
          <t>Einnahmen</t>
        </is>
      </c>
      <c r="L163" t="inlineStr">
        <is>
          <t>Waren-/Leistungserlöse</t>
        </is>
      </c>
      <c r="M163" s="74" t="n">
        <v>12020024</v>
      </c>
      <c r="N163" s="1" t="n">
        <v>44014</v>
      </c>
      <c r="O163" t="inlineStr">
        <is>
          <t>ZT DI Dr. Arno Kolbitsch, Gütleweg 1, 6822 Satteins</t>
        </is>
      </c>
      <c r="Q163" s="76" t="n"/>
      <c r="R163" t="b">
        <v>0</v>
      </c>
      <c r="S163" s="214" t="n">
        <v>306.25</v>
      </c>
      <c r="T163" s="159" t="n">
        <v>1</v>
      </c>
      <c r="U163" t="n">
        <v>20</v>
      </c>
      <c r="V163" s="237" t="n">
        <v>61.25</v>
      </c>
      <c r="W163" s="237" t="n">
        <v>61.25</v>
      </c>
      <c r="X163" s="208" t="n">
        <v>306.25</v>
      </c>
      <c r="Y163" s="251" t="n">
        <v>367.5</v>
      </c>
      <c r="Z163" s="251" t="n">
        <v>367.5</v>
      </c>
      <c r="AA163" s="35" t="n">
        <v>44150</v>
      </c>
      <c r="AB163" s="27" t="n"/>
      <c r="AC163" s="27" t="n"/>
      <c r="AD163" s="210" t="n">
        <v>306.25</v>
      </c>
      <c r="AE163" s="237" t="n">
        <v>0</v>
      </c>
      <c r="AF163" t="b">
        <v>0</v>
      </c>
      <c r="AG163" s="228" t="n">
        <v>306.25</v>
      </c>
    </row>
    <row r="164">
      <c r="A164">
        <f>I164&amp;"-"&amp;J164</f>
        <v/>
      </c>
      <c r="B164" s="1">
        <f>N164</f>
        <v/>
      </c>
      <c r="C164">
        <f>M164&amp;"/"&amp;O164</f>
        <v/>
      </c>
      <c r="D164">
        <f>K164</f>
        <v/>
      </c>
      <c r="E164">
        <f>L164</f>
        <v/>
      </c>
      <c r="F164" s="236">
        <f>Z164</f>
        <v/>
      </c>
      <c r="G164">
        <f>U164&amp;"%"</f>
        <v/>
      </c>
      <c r="I164" s="53" t="n">
        <v>2020</v>
      </c>
      <c r="J164" s="53" t="n">
        <v>163</v>
      </c>
      <c r="K164" s="71" t="inlineStr">
        <is>
          <t>Ausgaben</t>
        </is>
      </c>
      <c r="L164" t="inlineStr">
        <is>
          <t>Pflichversicherungsbeiträge</t>
        </is>
      </c>
      <c r="N164" s="1" t="n">
        <v>44071</v>
      </c>
      <c r="O164" t="inlineStr">
        <is>
          <t>Sozialversicherung der gewerblichen Wirtshaft</t>
        </is>
      </c>
      <c r="Q164" s="76" t="n"/>
      <c r="R164" t="b">
        <v>0</v>
      </c>
      <c r="S164" s="214" t="n">
        <v>1700.07</v>
      </c>
      <c r="T164" s="159" t="n">
        <v>1</v>
      </c>
      <c r="U164" t="n">
        <v>0</v>
      </c>
      <c r="V164" s="237" t="n">
        <v>0</v>
      </c>
      <c r="W164" s="237" t="n">
        <v>0</v>
      </c>
      <c r="X164" s="208" t="n">
        <v>1700.07</v>
      </c>
      <c r="Y164" s="251" t="n">
        <v>1700.07</v>
      </c>
      <c r="Z164" s="251" t="n">
        <v>1700.07</v>
      </c>
      <c r="AA164" s="35" t="n">
        <v>44150</v>
      </c>
      <c r="AB164" s="27" t="n"/>
      <c r="AC164" s="27" t="n"/>
      <c r="AD164" s="210" t="n">
        <v>1700.07</v>
      </c>
      <c r="AE164" s="237" t="n">
        <v>0</v>
      </c>
      <c r="AF164" t="b">
        <v>0</v>
      </c>
      <c r="AG164" s="228" t="n">
        <v>-1700.07</v>
      </c>
    </row>
    <row r="165">
      <c r="A165">
        <f>I165&amp;"-"&amp;J165</f>
        <v/>
      </c>
      <c r="B165" s="1">
        <f>N165</f>
        <v/>
      </c>
      <c r="C165">
        <f>M165&amp;"/"&amp;O165</f>
        <v/>
      </c>
      <c r="D165">
        <f>K165</f>
        <v/>
      </c>
      <c r="E165">
        <f>L165</f>
        <v/>
      </c>
      <c r="F165" s="236">
        <f>Z165</f>
        <v/>
      </c>
      <c r="G165">
        <f>U165&amp;"%"</f>
        <v/>
      </c>
      <c r="I165" s="53" t="n">
        <v>2020</v>
      </c>
      <c r="J165" s="53" t="n">
        <v>164</v>
      </c>
      <c r="K165" s="71" t="inlineStr">
        <is>
          <t>Ausgaben</t>
        </is>
      </c>
      <c r="L165" t="inlineStr">
        <is>
          <t>Werbe- und Repräsentationsaufwand</t>
        </is>
      </c>
      <c r="M165" t="inlineStr">
        <is>
          <t>PRM320080004475</t>
        </is>
      </c>
      <c r="N165" s="1" t="n">
        <v>44074</v>
      </c>
      <c r="O165" t="inlineStr">
        <is>
          <t>New Work SE, Dammtorstraße 30, 20354 Hamburg</t>
        </is>
      </c>
      <c r="Q165" s="76" t="n"/>
      <c r="R165" t="b">
        <v>0</v>
      </c>
      <c r="S165" s="214" t="n">
        <v>24.88</v>
      </c>
      <c r="T165" s="159" t="n">
        <v>1</v>
      </c>
      <c r="U165" t="n">
        <v>0</v>
      </c>
      <c r="V165" s="237" t="n">
        <v>0</v>
      </c>
      <c r="W165" s="237" t="n">
        <v>0</v>
      </c>
      <c r="X165" s="208" t="n">
        <v>24.88</v>
      </c>
      <c r="Y165" s="251" t="n">
        <v>24.88</v>
      </c>
      <c r="Z165" s="251" t="n">
        <v>24.88</v>
      </c>
      <c r="AA165" s="35" t="n">
        <v>44150</v>
      </c>
      <c r="AB165" s="27" t="n"/>
      <c r="AC165" s="27" t="n">
        <v>20</v>
      </c>
      <c r="AD165" s="210" t="n">
        <v>24.88</v>
      </c>
      <c r="AE165" s="237" t="n">
        <v>4.976</v>
      </c>
      <c r="AF165" t="b">
        <v>0</v>
      </c>
      <c r="AG165" s="228" t="n">
        <v>-24.88</v>
      </c>
    </row>
    <row r="166">
      <c r="A166">
        <f>I166&amp;"-"&amp;J166</f>
        <v/>
      </c>
      <c r="B166" s="1">
        <f>N166</f>
        <v/>
      </c>
      <c r="C166">
        <f>M166&amp;"/"&amp;O166</f>
        <v/>
      </c>
      <c r="D166">
        <f>K166</f>
        <v/>
      </c>
      <c r="E166">
        <f>L166</f>
        <v/>
      </c>
      <c r="F166" s="236">
        <f>Z166</f>
        <v/>
      </c>
      <c r="G166">
        <f>U166&amp;"%"</f>
        <v/>
      </c>
      <c r="I166" s="53" t="n">
        <v>2020</v>
      </c>
      <c r="J166" s="53" t="n">
        <v>165</v>
      </c>
      <c r="K166" s="71" t="inlineStr">
        <is>
          <t>Ausgaben</t>
        </is>
      </c>
      <c r="L166" t="inlineStr">
        <is>
          <t>Miet- und Pachtaufwand, Leasing</t>
        </is>
      </c>
      <c r="M166" s="74" t="inlineStr">
        <is>
          <t>20/9801/VS00486</t>
        </is>
      </c>
      <c r="N166" s="1" t="n">
        <v>44075</v>
      </c>
      <c r="O166" t="inlineStr">
        <is>
          <t>Bontus Immobilienverwaltung GmbH, 1010 Wien, Franz Josefs Kai 65</t>
        </is>
      </c>
      <c r="Q166" s="76" t="n"/>
      <c r="R166" t="b">
        <v>0</v>
      </c>
      <c r="S166" s="214" t="n">
        <v>460.41</v>
      </c>
      <c r="T166" s="159" t="n">
        <v>1</v>
      </c>
      <c r="U166" t="n">
        <v>20</v>
      </c>
      <c r="V166" s="237" t="n">
        <v>92.08200000000001</v>
      </c>
      <c r="W166" s="237" t="n">
        <v>92.08200000000001</v>
      </c>
      <c r="X166" s="208" t="n">
        <v>460.41</v>
      </c>
      <c r="Y166" s="251" t="n">
        <v>552.4920000000001</v>
      </c>
      <c r="Z166" s="251" t="n">
        <v>552.4920000000001</v>
      </c>
      <c r="AA166" s="35" t="n">
        <v>44150</v>
      </c>
      <c r="AB166" s="27" t="n"/>
      <c r="AC166" s="27" t="n"/>
      <c r="AD166" s="210" t="n">
        <v>460.41</v>
      </c>
      <c r="AE166" s="237" t="n">
        <v>0</v>
      </c>
      <c r="AF166" t="b">
        <v>0</v>
      </c>
      <c r="AG166" s="228" t="n">
        <v>-460.41</v>
      </c>
    </row>
    <row r="167">
      <c r="A167">
        <f>I167&amp;"-"&amp;J167</f>
        <v/>
      </c>
      <c r="B167" s="1">
        <f>N167</f>
        <v/>
      </c>
      <c r="C167">
        <f>M167&amp;"/"&amp;O167</f>
        <v/>
      </c>
      <c r="D167">
        <f>K167</f>
        <v/>
      </c>
      <c r="E167">
        <f>L167</f>
        <v/>
      </c>
      <c r="F167" s="236">
        <f>Z167</f>
        <v/>
      </c>
      <c r="G167">
        <f>U167&amp;"%"</f>
        <v/>
      </c>
      <c r="I167" s="53" t="n">
        <v>2020</v>
      </c>
      <c r="J167" s="53" t="n">
        <v>166</v>
      </c>
      <c r="K167" s="71" t="inlineStr">
        <is>
          <t>Ausgaben</t>
        </is>
      </c>
      <c r="L167" t="inlineStr">
        <is>
          <t>Reise- und Fahrtspesen inkl. Kilometergeld und Diäten</t>
        </is>
      </c>
      <c r="M167" s="39" t="inlineStr">
        <is>
          <t>4293000000017140</t>
        </is>
      </c>
      <c r="N167" s="1" t="n">
        <v>44076</v>
      </c>
      <c r="O167" t="inlineStr">
        <is>
          <t>car2go Österreich GmbH, Hintere Zollamtstraße 9, 1030 Wien</t>
        </is>
      </c>
      <c r="Q167" s="76" t="n"/>
      <c r="R167" t="b">
        <v>0</v>
      </c>
      <c r="S167" s="214" t="n">
        <v>95.11</v>
      </c>
      <c r="T167" s="159" t="n">
        <v>1</v>
      </c>
      <c r="U167" t="n">
        <v>20</v>
      </c>
      <c r="V167" s="237" t="n">
        <v>19.022</v>
      </c>
      <c r="W167" s="237" t="n">
        <v>19.022</v>
      </c>
      <c r="X167" s="208" t="n">
        <v>95.11</v>
      </c>
      <c r="Y167" s="251" t="n">
        <v>114.132</v>
      </c>
      <c r="Z167" s="251" t="n">
        <v>114.132</v>
      </c>
      <c r="AA167" s="35" t="n">
        <v>44150</v>
      </c>
      <c r="AB167" s="27" t="n"/>
      <c r="AC167" s="27" t="n"/>
      <c r="AD167" s="210" t="n">
        <v>95.11</v>
      </c>
      <c r="AE167" s="237" t="n">
        <v>0</v>
      </c>
      <c r="AF167" t="b">
        <v>0</v>
      </c>
      <c r="AG167" s="228" t="n">
        <v>-95.11</v>
      </c>
    </row>
    <row r="168">
      <c r="A168">
        <f>I168&amp;"-"&amp;J168</f>
        <v/>
      </c>
      <c r="B168" s="1">
        <f>N168</f>
        <v/>
      </c>
      <c r="C168">
        <f>M168&amp;"/"&amp;O168</f>
        <v/>
      </c>
      <c r="D168">
        <f>K168</f>
        <v/>
      </c>
      <c r="E168">
        <f>L168</f>
        <v/>
      </c>
      <c r="F168" s="236">
        <f>Z168</f>
        <v/>
      </c>
      <c r="G168">
        <f>U168&amp;"%"</f>
        <v/>
      </c>
      <c r="I168" s="53" t="n">
        <v>2020</v>
      </c>
      <c r="J168" s="53" t="n">
        <v>167</v>
      </c>
      <c r="K168" s="71" t="inlineStr">
        <is>
          <t>Ausgaben</t>
        </is>
      </c>
      <c r="L168" t="inlineStr">
        <is>
          <t>sonstige Betriebsausgaben</t>
        </is>
      </c>
      <c r="M168" t="inlineStr">
        <is>
          <t>INVCZ3082442</t>
        </is>
      </c>
      <c r="N168" s="1" t="n">
        <v>44077</v>
      </c>
      <c r="O168" t="inlineStr">
        <is>
          <t>JetBrains s.r.o, Kavci Hory Office Park, Na hrebenech II 1718/10, Praha 4- Nusle 14000, Ceska republika</t>
        </is>
      </c>
      <c r="Q168" s="76" t="n"/>
      <c r="R168" t="b">
        <v>0</v>
      </c>
      <c r="S168" s="214" t="n">
        <v>71</v>
      </c>
      <c r="T168" s="159" t="n">
        <v>1</v>
      </c>
      <c r="U168" t="n">
        <v>20</v>
      </c>
      <c r="V168" s="237" t="n">
        <v>14.2</v>
      </c>
      <c r="W168" s="237" t="n">
        <v>14.2</v>
      </c>
      <c r="X168" s="208" t="n">
        <v>71</v>
      </c>
      <c r="Y168" s="251" t="n">
        <v>85.2</v>
      </c>
      <c r="Z168" s="251" t="n">
        <v>85.2</v>
      </c>
      <c r="AA168" s="35" t="n">
        <v>44150</v>
      </c>
      <c r="AB168" s="27" t="n"/>
      <c r="AC168" s="27" t="n"/>
      <c r="AD168" s="210" t="n">
        <v>71</v>
      </c>
      <c r="AE168" s="237" t="n">
        <v>0</v>
      </c>
      <c r="AF168" t="b">
        <v>0</v>
      </c>
      <c r="AG168" s="228" t="n">
        <v>-71</v>
      </c>
    </row>
    <row r="169">
      <c r="A169">
        <f>I169&amp;"-"&amp;J169</f>
        <v/>
      </c>
      <c r="B169" s="1">
        <f>N169</f>
        <v/>
      </c>
      <c r="C169">
        <f>M169&amp;"/"&amp;O169</f>
        <v/>
      </c>
      <c r="D169">
        <f>K169</f>
        <v/>
      </c>
      <c r="E169">
        <f>L169</f>
        <v/>
      </c>
      <c r="F169" s="236">
        <f>Z169</f>
        <v/>
      </c>
      <c r="G169">
        <f>U169&amp;"%"</f>
        <v/>
      </c>
      <c r="I169" s="53" t="n">
        <v>2020</v>
      </c>
      <c r="J169" s="53" t="n">
        <v>168</v>
      </c>
      <c r="K169" s="71" t="inlineStr">
        <is>
          <t>Ausgaben</t>
        </is>
      </c>
      <c r="L169" t="inlineStr">
        <is>
          <t>sonstige Betriebsausgaben</t>
        </is>
      </c>
      <c r="M169" s="74" t="inlineStr">
        <is>
          <t>3798454186</t>
        </is>
      </c>
      <c r="N169" s="1" t="n">
        <v>44077</v>
      </c>
      <c r="O169" t="inlineStr">
        <is>
          <t>Google Ireland Ltd, Gordon House, Barrow Street, Dublin 4, Ireland; VAT number: IE 6388047V</t>
        </is>
      </c>
      <c r="Q169" s="76" t="n"/>
      <c r="R169" t="b">
        <v>0</v>
      </c>
      <c r="S169" s="214" t="n">
        <v>9.359999999999999</v>
      </c>
      <c r="T169" s="159" t="n">
        <v>1</v>
      </c>
      <c r="U169" t="n">
        <v>0</v>
      </c>
      <c r="V169" s="237" t="n">
        <v>0</v>
      </c>
      <c r="W169" s="237" t="n">
        <v>0</v>
      </c>
      <c r="X169" s="208" t="n">
        <v>9.359999999999999</v>
      </c>
      <c r="Y169" s="251" t="n">
        <v>9.359999999999999</v>
      </c>
      <c r="Z169" s="251" t="n">
        <v>9.359999999999999</v>
      </c>
      <c r="AA169" s="35" t="n">
        <v>44150</v>
      </c>
      <c r="AB169" s="27" t="n"/>
      <c r="AC169" s="27" t="n">
        <v>20</v>
      </c>
      <c r="AD169" s="210" t="n">
        <v>9.359999999999999</v>
      </c>
      <c r="AE169" s="237" t="n">
        <v>1.872</v>
      </c>
      <c r="AF169" t="b">
        <v>0</v>
      </c>
      <c r="AG169" s="228" t="n">
        <v>-9.359999999999999</v>
      </c>
    </row>
    <row r="170">
      <c r="A170">
        <f>I170&amp;"-"&amp;J170</f>
        <v/>
      </c>
      <c r="B170" s="1">
        <f>N170</f>
        <v/>
      </c>
      <c r="C170">
        <f>M170&amp;"/"&amp;O170</f>
        <v/>
      </c>
      <c r="D170">
        <f>K170</f>
        <v/>
      </c>
      <c r="E170">
        <f>L170</f>
        <v/>
      </c>
      <c r="F170" s="236">
        <f>Z170</f>
        <v/>
      </c>
      <c r="G170">
        <f>U170&amp;"%"</f>
        <v/>
      </c>
      <c r="I170" s="53" t="n">
        <v>2020</v>
      </c>
      <c r="J170" s="53" t="n">
        <v>169</v>
      </c>
      <c r="K170" s="71" t="inlineStr">
        <is>
          <t>Ausgaben</t>
        </is>
      </c>
      <c r="L170" t="inlineStr">
        <is>
          <t>sonstige Betriebsausgaben</t>
        </is>
      </c>
      <c r="M170" s="74" t="inlineStr">
        <is>
          <t>807693</t>
        </is>
      </c>
      <c r="N170" s="1" t="n">
        <v>44077</v>
      </c>
      <c r="O170" t="inlineStr">
        <is>
          <t>easy green energy GmbH &amp; Co KG</t>
        </is>
      </c>
      <c r="Q170" s="76" t="n"/>
      <c r="R170" t="b">
        <v>0</v>
      </c>
      <c r="S170" s="214" t="n">
        <v>2.5</v>
      </c>
      <c r="T170" s="159" t="n">
        <v>1</v>
      </c>
      <c r="U170" t="n">
        <v>20</v>
      </c>
      <c r="V170" s="237" t="n">
        <v>0.5</v>
      </c>
      <c r="W170" s="237" t="n">
        <v>0.5</v>
      </c>
      <c r="X170" s="208" t="n">
        <v>2.5</v>
      </c>
      <c r="Y170" s="251" t="n">
        <v>3</v>
      </c>
      <c r="Z170" s="251" t="n">
        <v>3</v>
      </c>
      <c r="AA170" s="35" t="n">
        <v>44150</v>
      </c>
      <c r="AB170" s="27" t="n"/>
      <c r="AC170" s="27" t="n"/>
      <c r="AD170" s="210" t="n">
        <v>2.5</v>
      </c>
      <c r="AE170" s="237" t="n">
        <v>0</v>
      </c>
      <c r="AF170" t="b">
        <v>0</v>
      </c>
      <c r="AG170" s="228" t="n">
        <v>-2.5</v>
      </c>
    </row>
    <row r="171">
      <c r="A171">
        <f>I171&amp;"-"&amp;J171</f>
        <v/>
      </c>
      <c r="B171" s="1">
        <f>N171</f>
        <v/>
      </c>
      <c r="C171">
        <f>M171&amp;"/"&amp;O171</f>
        <v/>
      </c>
      <c r="D171">
        <f>K171</f>
        <v/>
      </c>
      <c r="E171">
        <f>L171</f>
        <v/>
      </c>
      <c r="F171" s="236">
        <f>Z171</f>
        <v/>
      </c>
      <c r="G171">
        <f>U171&amp;"%"</f>
        <v/>
      </c>
      <c r="I171" s="53" t="n">
        <v>2020</v>
      </c>
      <c r="J171" s="53" t="n">
        <v>170</v>
      </c>
      <c r="K171" s="71" t="inlineStr">
        <is>
          <t>Ausgaben</t>
        </is>
      </c>
      <c r="L171" t="inlineStr">
        <is>
          <t>sonstige Betriebsausgaben</t>
        </is>
      </c>
      <c r="M171" s="74" t="inlineStr">
        <is>
          <t>79988/2183087/512753/58187</t>
        </is>
      </c>
      <c r="N171" s="1" t="n">
        <v>44077</v>
      </c>
      <c r="O171" t="inlineStr">
        <is>
          <t>Leburger Wien 1070</t>
        </is>
      </c>
      <c r="Q171" s="76" t="n"/>
      <c r="R171" t="b">
        <v>0</v>
      </c>
      <c r="S171" s="214" t="n">
        <v>70.09523809523809</v>
      </c>
      <c r="T171" s="159" t="n">
        <v>1</v>
      </c>
      <c r="U171" t="n">
        <v>5</v>
      </c>
      <c r="V171" s="237" t="n">
        <v>3.504761904761904</v>
      </c>
      <c r="W171" s="237" t="n">
        <v>3.504761904761904</v>
      </c>
      <c r="X171" s="208" t="n">
        <v>70.09523809523809</v>
      </c>
      <c r="Y171" s="251" t="n">
        <v>73.59999999999999</v>
      </c>
      <c r="Z171" s="251" t="n">
        <v>3</v>
      </c>
      <c r="AA171" s="35" t="n">
        <v>44150</v>
      </c>
      <c r="AB171" s="27" t="n"/>
      <c r="AC171" s="27" t="n"/>
      <c r="AD171" s="210" t="n">
        <v>70.09523809523809</v>
      </c>
      <c r="AE171" s="237" t="n">
        <v>0</v>
      </c>
      <c r="AF171" t="b">
        <v>0</v>
      </c>
      <c r="AG171" s="228" t="n">
        <v>-70.09523809523809</v>
      </c>
    </row>
    <row r="172">
      <c r="A172">
        <f>I172&amp;"-"&amp;J172</f>
        <v/>
      </c>
      <c r="B172" s="1">
        <f>N172</f>
        <v/>
      </c>
      <c r="C172">
        <f>M172&amp;"/"&amp;O172</f>
        <v/>
      </c>
      <c r="D172">
        <f>K172</f>
        <v/>
      </c>
      <c r="E172">
        <f>L172</f>
        <v/>
      </c>
      <c r="F172" s="236">
        <f>Z172</f>
        <v/>
      </c>
      <c r="G172">
        <f>U172&amp;"%"</f>
        <v/>
      </c>
      <c r="I172" s="53" t="n">
        <v>2020</v>
      </c>
      <c r="J172" s="53" t="n">
        <v>171</v>
      </c>
      <c r="K172" s="71" t="inlineStr">
        <is>
          <t>Ausgaben</t>
        </is>
      </c>
      <c r="L172" t="inlineStr">
        <is>
          <t>Telefon/Internet</t>
        </is>
      </c>
      <c r="M172" t="n">
        <v>6206566381</v>
      </c>
      <c r="N172" s="1" t="n">
        <v>44077</v>
      </c>
      <c r="O172" t="inlineStr">
        <is>
          <t>Hutchison Drei Austria GmbH, Brünner Straße 52, 1210 Wien, Österreich</t>
        </is>
      </c>
      <c r="Q172" s="76" t="n"/>
      <c r="R172" t="b">
        <v>0</v>
      </c>
      <c r="S172" s="214" t="n">
        <v>15.25</v>
      </c>
      <c r="T172" s="159" t="n">
        <v>1</v>
      </c>
      <c r="U172" t="n">
        <v>20</v>
      </c>
      <c r="V172" s="237" t="n">
        <v>3.05</v>
      </c>
      <c r="W172" s="237" t="n">
        <v>3.05</v>
      </c>
      <c r="X172" s="208" t="n">
        <v>15.25</v>
      </c>
      <c r="Y172" s="251" t="n">
        <v>18.3</v>
      </c>
      <c r="Z172" s="251" t="n">
        <v>18.3</v>
      </c>
      <c r="AA172" s="35" t="n">
        <v>44150</v>
      </c>
      <c r="AB172" s="27" t="n"/>
      <c r="AC172" s="27" t="n"/>
      <c r="AD172" s="210" t="n">
        <v>15.25</v>
      </c>
      <c r="AE172" s="237" t="n">
        <v>0</v>
      </c>
      <c r="AF172" t="b">
        <v>0</v>
      </c>
      <c r="AG172" s="228" t="n">
        <v>-15.25</v>
      </c>
    </row>
    <row r="173">
      <c r="A173">
        <f>I173&amp;"-"&amp;J173</f>
        <v/>
      </c>
      <c r="B173" s="1">
        <f>N173</f>
        <v/>
      </c>
      <c r="C173">
        <f>M173&amp;"/"&amp;O173</f>
        <v/>
      </c>
      <c r="D173">
        <f>K173</f>
        <v/>
      </c>
      <c r="E173">
        <f>L173</f>
        <v/>
      </c>
      <c r="F173" s="236">
        <f>Z173</f>
        <v/>
      </c>
      <c r="G173">
        <f>U173&amp;"%"</f>
        <v/>
      </c>
      <c r="I173" s="53" t="n">
        <v>2020</v>
      </c>
      <c r="J173" s="53" t="n">
        <v>172</v>
      </c>
      <c r="K173" s="71" t="inlineStr">
        <is>
          <t>Einnahmen</t>
        </is>
      </c>
      <c r="L173" t="inlineStr">
        <is>
          <t>Waren-/Leistungserlöse</t>
        </is>
      </c>
      <c r="M173" s="6" t="n">
        <v>12020026</v>
      </c>
      <c r="N173" s="1" t="n">
        <v>44078</v>
      </c>
      <c r="O173" t="inlineStr">
        <is>
          <t>DCF - Digital Coding Factory GmbH, Bauernfeldgasse 4/12 1090 Wien</t>
        </is>
      </c>
      <c r="Q173" s="76" t="n"/>
      <c r="R173" t="b">
        <v>0</v>
      </c>
      <c r="S173" s="214" t="n">
        <v>6840</v>
      </c>
      <c r="T173" s="159" t="n">
        <v>1</v>
      </c>
      <c r="U173" t="n">
        <v>20</v>
      </c>
      <c r="V173" s="237" t="n">
        <v>1368</v>
      </c>
      <c r="W173" s="237" t="n">
        <v>1368</v>
      </c>
      <c r="X173" s="208" t="n">
        <v>6840</v>
      </c>
      <c r="Y173" s="251" t="n">
        <v>8208</v>
      </c>
      <c r="Z173" s="251" t="n">
        <v>8208</v>
      </c>
      <c r="AA173" s="35" t="n">
        <v>44150</v>
      </c>
      <c r="AB173" s="27" t="n"/>
      <c r="AC173" s="27" t="n"/>
      <c r="AD173" s="210" t="n">
        <v>6840</v>
      </c>
      <c r="AE173" s="237" t="n">
        <v>0</v>
      </c>
      <c r="AF173" t="b">
        <v>0</v>
      </c>
      <c r="AG173" s="228" t="n">
        <v>6840</v>
      </c>
    </row>
    <row r="174">
      <c r="A174">
        <f>I174&amp;"-"&amp;J174</f>
        <v/>
      </c>
      <c r="B174" s="1">
        <f>N174</f>
        <v/>
      </c>
      <c r="C174">
        <f>M174&amp;"/"&amp;O174</f>
        <v/>
      </c>
      <c r="D174">
        <f>K174</f>
        <v/>
      </c>
      <c r="E174">
        <f>L174</f>
        <v/>
      </c>
      <c r="F174" s="236">
        <f>Z174</f>
        <v/>
      </c>
      <c r="G174">
        <f>U174&amp;"%"</f>
        <v/>
      </c>
      <c r="I174" s="53" t="n">
        <v>2020</v>
      </c>
      <c r="J174" s="53" t="n">
        <v>173</v>
      </c>
      <c r="K174" s="71" t="inlineStr">
        <is>
          <t>Einnahmen</t>
        </is>
      </c>
      <c r="L174" t="inlineStr">
        <is>
          <t>Waren-/Leistungserlöse</t>
        </is>
      </c>
      <c r="M174" s="6" t="n">
        <v>12020025</v>
      </c>
      <c r="N174" s="1" t="n">
        <v>44078</v>
      </c>
      <c r="O174" t="inlineStr">
        <is>
          <t>DCF - Digital Coding Factory GmbH, Bauernfeldgasse 4/12 1090 Wien</t>
        </is>
      </c>
      <c r="Q174" s="76" t="n"/>
      <c r="R174" t="b">
        <v>0</v>
      </c>
      <c r="S174" s="214" t="n">
        <v>2310</v>
      </c>
      <c r="T174" s="159" t="n">
        <v>1</v>
      </c>
      <c r="U174" t="n">
        <v>20</v>
      </c>
      <c r="V174" s="237" t="n">
        <v>462</v>
      </c>
      <c r="W174" s="237" t="n">
        <v>462</v>
      </c>
      <c r="X174" s="208" t="n">
        <v>2310</v>
      </c>
      <c r="Y174" s="251" t="n">
        <v>2772</v>
      </c>
      <c r="Z174" s="251" t="n">
        <v>2772</v>
      </c>
      <c r="AA174" s="35" t="n">
        <v>44150</v>
      </c>
      <c r="AB174" s="27" t="n"/>
      <c r="AC174" s="27" t="n"/>
      <c r="AD174" s="210" t="n">
        <v>2310</v>
      </c>
      <c r="AE174" s="237" t="n">
        <v>0</v>
      </c>
      <c r="AF174" t="b">
        <v>0</v>
      </c>
      <c r="AG174" s="228" t="n">
        <v>2310</v>
      </c>
    </row>
    <row r="175">
      <c r="A175">
        <f>I175&amp;"-"&amp;J175</f>
        <v/>
      </c>
      <c r="B175" s="1">
        <f>N175</f>
        <v/>
      </c>
      <c r="C175">
        <f>M175&amp;"/"&amp;O175</f>
        <v/>
      </c>
      <c r="D175">
        <f>K175</f>
        <v/>
      </c>
      <c r="E175">
        <f>L175</f>
        <v/>
      </c>
      <c r="F175" s="236">
        <f>Z175</f>
        <v/>
      </c>
      <c r="G175">
        <f>U175&amp;"%"</f>
        <v/>
      </c>
      <c r="I175" s="53" t="n">
        <v>2020</v>
      </c>
      <c r="J175" s="53" t="n">
        <v>174</v>
      </c>
      <c r="K175" s="71" t="inlineStr">
        <is>
          <t>Ausgaben</t>
        </is>
      </c>
      <c r="L175" t="inlineStr">
        <is>
          <t>sonstige Betriebsausgaben</t>
        </is>
      </c>
      <c r="M175" s="74" t="inlineStr">
        <is>
          <t>HKA/20-01-39452</t>
        </is>
      </c>
      <c r="N175" s="1" t="n">
        <v>44081</v>
      </c>
      <c r="O175" t="inlineStr">
        <is>
          <t>Techem Messtechnik GmbH; Abnehmernummer 501686-0003-11-(</t>
        </is>
      </c>
      <c r="Q175" s="76" t="n"/>
      <c r="R175" t="b">
        <v>0</v>
      </c>
      <c r="S175" s="214" t="n">
        <v>35</v>
      </c>
      <c r="T175" s="159" t="n">
        <v>1</v>
      </c>
      <c r="U175" t="n">
        <v>20</v>
      </c>
      <c r="V175" s="237" t="n">
        <v>7</v>
      </c>
      <c r="W175" s="237" t="n">
        <v>7</v>
      </c>
      <c r="X175" s="208" t="n">
        <v>35</v>
      </c>
      <c r="Y175" s="251" t="n">
        <v>42</v>
      </c>
      <c r="Z175" s="251" t="n">
        <v>42</v>
      </c>
      <c r="AA175" s="35" t="n">
        <v>44150</v>
      </c>
      <c r="AB175" s="27" t="n"/>
      <c r="AC175" s="27" t="n"/>
      <c r="AD175" s="210" t="n">
        <v>35</v>
      </c>
      <c r="AE175" s="237" t="n">
        <v>0</v>
      </c>
      <c r="AF175" t="b">
        <v>0</v>
      </c>
      <c r="AG175" s="228" t="n">
        <v>-35</v>
      </c>
    </row>
    <row r="176">
      <c r="A176">
        <f>I176&amp;"-"&amp;J176</f>
        <v/>
      </c>
      <c r="B176" s="1">
        <f>N176</f>
        <v/>
      </c>
      <c r="C176">
        <f>M176&amp;"/"&amp;O176</f>
        <v/>
      </c>
      <c r="D176">
        <f>K176</f>
        <v/>
      </c>
      <c r="E176">
        <f>L176</f>
        <v/>
      </c>
      <c r="F176" s="236">
        <f>Z176</f>
        <v/>
      </c>
      <c r="G176">
        <f>U176&amp;"%"</f>
        <v/>
      </c>
      <c r="I176" s="53" t="n">
        <v>2020</v>
      </c>
      <c r="J176" s="53" t="n">
        <v>175</v>
      </c>
      <c r="K176" s="71" t="inlineStr">
        <is>
          <t>Ausgaben</t>
        </is>
      </c>
      <c r="L176" t="inlineStr">
        <is>
          <t>sonstige Betriebsausgaben</t>
        </is>
      </c>
      <c r="M176" t="inlineStr">
        <is>
          <t>R0011878709</t>
        </is>
      </c>
      <c r="N176" s="1" t="n">
        <v>44081</v>
      </c>
      <c r="O176" t="inlineStr">
        <is>
          <t>Hetzner Online GmbH</t>
        </is>
      </c>
      <c r="Q176" s="76" t="n"/>
      <c r="R176" t="b">
        <v>0</v>
      </c>
      <c r="S176" s="214" t="n">
        <v>2.49</v>
      </c>
      <c r="T176" s="159" t="n">
        <v>1</v>
      </c>
      <c r="U176" t="n">
        <v>0</v>
      </c>
      <c r="V176" s="237" t="n">
        <v>0</v>
      </c>
      <c r="W176" s="237" t="n">
        <v>0</v>
      </c>
      <c r="X176" s="208" t="n">
        <v>2.49</v>
      </c>
      <c r="Y176" s="251" t="n">
        <v>2.49</v>
      </c>
      <c r="Z176" s="251" t="n">
        <v>2.49</v>
      </c>
      <c r="AA176" s="35" t="n">
        <v>44150</v>
      </c>
      <c r="AB176" s="27" t="n"/>
      <c r="AC176" s="27" t="n">
        <v>20</v>
      </c>
      <c r="AD176" s="210" t="n">
        <v>2.49</v>
      </c>
      <c r="AE176" s="237" t="n">
        <v>0.4980000000000001</v>
      </c>
      <c r="AF176" t="b">
        <v>0</v>
      </c>
      <c r="AG176" s="228" t="n">
        <v>-2.49</v>
      </c>
    </row>
    <row r="177">
      <c r="A177">
        <f>I177&amp;"-"&amp;J177</f>
        <v/>
      </c>
      <c r="B177" s="1">
        <f>N177</f>
        <v/>
      </c>
      <c r="C177">
        <f>M177&amp;"/"&amp;O177</f>
        <v/>
      </c>
      <c r="D177">
        <f>K177</f>
        <v/>
      </c>
      <c r="E177">
        <f>L177</f>
        <v/>
      </c>
      <c r="F177" s="236">
        <f>Z177</f>
        <v/>
      </c>
      <c r="G177">
        <f>U177&amp;"%"</f>
        <v/>
      </c>
      <c r="I177" s="53" t="n">
        <v>2020</v>
      </c>
      <c r="J177" s="53" t="n">
        <v>176</v>
      </c>
      <c r="K177" s="71" t="inlineStr">
        <is>
          <t>Ausgaben</t>
        </is>
      </c>
      <c r="L177" t="inlineStr">
        <is>
          <t>Waren, Rohstoffe, Hilfsstoffe</t>
        </is>
      </c>
      <c r="M177" t="inlineStr">
        <is>
          <t>AEU-INV-AT-2020-14459455</t>
        </is>
      </c>
      <c r="N177" s="1" t="n">
        <v>44091</v>
      </c>
      <c r="O177" t="inlineStr">
        <is>
          <t>Amazon EU S. à r.l., 38 avenue John F. Kennedy, L-1855 Luxembourg: HJEU: DVI-HDMI, Logitech Maus</t>
        </is>
      </c>
      <c r="Q177" s="76" t="n"/>
      <c r="R177" t="b">
        <v>0</v>
      </c>
      <c r="S177" s="214" t="n">
        <v>21.54</v>
      </c>
      <c r="T177" s="159" t="n">
        <v>1</v>
      </c>
      <c r="U177" t="n">
        <v>20</v>
      </c>
      <c r="V177" s="237" t="n">
        <v>4.308</v>
      </c>
      <c r="W177" s="237" t="n">
        <v>4.308</v>
      </c>
      <c r="X177" s="208" t="n">
        <v>21.54</v>
      </c>
      <c r="Y177" s="251" t="n">
        <v>25.848</v>
      </c>
      <c r="Z177" s="251" t="n">
        <v>25.848</v>
      </c>
      <c r="AA177" s="35" t="n">
        <v>44150</v>
      </c>
      <c r="AB177" s="27" t="n"/>
      <c r="AC177" s="27" t="n"/>
      <c r="AD177" s="210" t="n">
        <v>21.54</v>
      </c>
      <c r="AE177" s="237" t="n">
        <v>0</v>
      </c>
      <c r="AF177" t="b">
        <v>0</v>
      </c>
      <c r="AG177" s="228" t="n">
        <v>-21.54</v>
      </c>
    </row>
    <row r="178">
      <c r="A178">
        <f>I178&amp;"-"&amp;J178</f>
        <v/>
      </c>
      <c r="B178" s="1">
        <f>N178</f>
        <v/>
      </c>
      <c r="C178">
        <f>M178&amp;"/"&amp;O178</f>
        <v/>
      </c>
      <c r="D178">
        <f>K178</f>
        <v/>
      </c>
      <c r="E178">
        <f>L178</f>
        <v/>
      </c>
      <c r="F178" s="236">
        <f>Z178</f>
        <v/>
      </c>
      <c r="G178">
        <f>U178&amp;"%"</f>
        <v/>
      </c>
      <c r="I178" s="53" t="n">
        <v>2020</v>
      </c>
      <c r="J178" s="53" t="n">
        <v>177</v>
      </c>
      <c r="K178" s="71" t="inlineStr">
        <is>
          <t>Ausgaben</t>
        </is>
      </c>
      <c r="L178" t="inlineStr">
        <is>
          <t>sonstige Betriebsausgaben</t>
        </is>
      </c>
      <c r="M178" s="74" t="inlineStr">
        <is>
          <t>5112142283</t>
        </is>
      </c>
      <c r="N178" s="1" t="n">
        <v>44084</v>
      </c>
      <c r="O178" t="inlineStr">
        <is>
          <t>Wiener Netze GmbH, Erdbergstraße 236, 1110 Wien, Postfach 422</t>
        </is>
      </c>
      <c r="Q178" s="76" t="n"/>
      <c r="R178" t="b">
        <v>0</v>
      </c>
      <c r="S178" s="214" t="n">
        <v>29</v>
      </c>
      <c r="T178" s="159" t="n">
        <v>1</v>
      </c>
      <c r="U178" t="n">
        <v>20</v>
      </c>
      <c r="V178" s="237" t="n">
        <v>5.8</v>
      </c>
      <c r="W178" s="237" t="n">
        <v>5.8</v>
      </c>
      <c r="X178" s="208" t="n">
        <v>29</v>
      </c>
      <c r="Y178" s="251" t="n">
        <v>34.8</v>
      </c>
      <c r="Z178" s="251" t="n">
        <v>34.8</v>
      </c>
      <c r="AA178" s="35" t="n">
        <v>44150</v>
      </c>
      <c r="AB178" s="27" t="n"/>
      <c r="AC178" s="27" t="n"/>
      <c r="AD178" s="210" t="n">
        <v>29</v>
      </c>
      <c r="AE178" s="237" t="n">
        <v>0</v>
      </c>
      <c r="AF178" t="b">
        <v>0</v>
      </c>
      <c r="AG178" s="228" t="n">
        <v>-29</v>
      </c>
    </row>
    <row r="179">
      <c r="A179">
        <f>I179&amp;"-"&amp;J179</f>
        <v/>
      </c>
      <c r="B179" s="1">
        <f>N179</f>
        <v/>
      </c>
      <c r="C179">
        <f>M179&amp;"/"&amp;O179</f>
        <v/>
      </c>
      <c r="D179">
        <f>K179</f>
        <v/>
      </c>
      <c r="E179">
        <f>L179</f>
        <v/>
      </c>
      <c r="F179" s="236">
        <f>Z179</f>
        <v/>
      </c>
      <c r="G179">
        <f>U179&amp;"%"</f>
        <v/>
      </c>
      <c r="I179" s="53" t="n">
        <v>2020</v>
      </c>
      <c r="J179" s="53" t="n">
        <v>178</v>
      </c>
      <c r="K179" s="71" t="inlineStr">
        <is>
          <t>Ausgaben</t>
        </is>
      </c>
      <c r="L179" t="inlineStr">
        <is>
          <t>sonstige Betriebsausgaben</t>
        </is>
      </c>
      <c r="M179" t="inlineStr">
        <is>
          <t>R0011917182</t>
        </is>
      </c>
      <c r="N179" s="1" t="n">
        <v>44085</v>
      </c>
      <c r="O179" t="inlineStr">
        <is>
          <t>Hetzner Online GmbH</t>
        </is>
      </c>
      <c r="Q179" s="76" t="n"/>
      <c r="R179" t="b">
        <v>0</v>
      </c>
      <c r="S179" s="214" t="n">
        <v>46.92</v>
      </c>
      <c r="T179" s="159" t="n">
        <v>1</v>
      </c>
      <c r="U179" t="n">
        <v>0</v>
      </c>
      <c r="V179" s="237" t="n">
        <v>0</v>
      </c>
      <c r="W179" s="237" t="n">
        <v>0</v>
      </c>
      <c r="X179" s="208" t="n">
        <v>46.92</v>
      </c>
      <c r="Y179" s="251" t="n">
        <v>46.92</v>
      </c>
      <c r="Z179" s="251" t="n">
        <v>46.92</v>
      </c>
      <c r="AA179" s="35" t="n">
        <v>44150</v>
      </c>
      <c r="AB179" s="27" t="n"/>
      <c r="AC179" s="27" t="n">
        <v>20</v>
      </c>
      <c r="AD179" s="210" t="n">
        <v>46.92</v>
      </c>
      <c r="AE179" s="237" t="n">
        <v>9.384</v>
      </c>
      <c r="AF179" t="b">
        <v>0</v>
      </c>
      <c r="AG179" s="228" t="n">
        <v>-46.92</v>
      </c>
    </row>
    <row r="180">
      <c r="A180">
        <f>I180&amp;"-"&amp;J180</f>
        <v/>
      </c>
      <c r="B180" s="1">
        <f>N180</f>
        <v/>
      </c>
      <c r="C180">
        <f>M180&amp;"/"&amp;O180</f>
        <v/>
      </c>
      <c r="D180">
        <f>K180</f>
        <v/>
      </c>
      <c r="E180">
        <f>L180</f>
        <v/>
      </c>
      <c r="F180" s="236">
        <f>Z180</f>
        <v/>
      </c>
      <c r="G180">
        <f>U180&amp;"%"</f>
        <v/>
      </c>
      <c r="I180" s="53" t="n">
        <v>2020</v>
      </c>
      <c r="J180" s="53" t="n">
        <v>179</v>
      </c>
      <c r="K180" s="71" t="inlineStr">
        <is>
          <t>Ausgaben</t>
        </is>
      </c>
      <c r="L180" t="inlineStr">
        <is>
          <t>Telefon/Internet</t>
        </is>
      </c>
      <c r="M180" s="74" t="inlineStr">
        <is>
          <t>901202900920</t>
        </is>
      </c>
      <c r="N180" s="1" t="n">
        <v>44095</v>
      </c>
      <c r="O180" t="inlineStr">
        <is>
          <t>Magenta: T-Mobile Austria GmbH, A-1120 Wien, PF 47</t>
        </is>
      </c>
      <c r="Q180" s="76" t="n"/>
      <c r="R180" t="b">
        <v>0</v>
      </c>
      <c r="S180" s="214" t="n">
        <v>35.24</v>
      </c>
      <c r="T180" s="159" t="n">
        <v>1</v>
      </c>
      <c r="U180" t="n">
        <v>20</v>
      </c>
      <c r="V180" s="237" t="n">
        <v>7.048000000000001</v>
      </c>
      <c r="W180" s="237" t="n">
        <v>7.048000000000001</v>
      </c>
      <c r="X180" s="208" t="n">
        <v>35.24</v>
      </c>
      <c r="Y180" s="251" t="n">
        <v>42.288</v>
      </c>
      <c r="Z180" s="251" t="n">
        <v>42.288</v>
      </c>
      <c r="AA180" s="35" t="n">
        <v>44150</v>
      </c>
      <c r="AB180" s="27" t="n"/>
      <c r="AC180" s="27" t="n"/>
      <c r="AD180" s="210" t="n">
        <v>35.24</v>
      </c>
      <c r="AE180" s="237" t="n">
        <v>0</v>
      </c>
      <c r="AF180" t="b">
        <v>0</v>
      </c>
      <c r="AG180" s="228" t="n">
        <v>-35.24</v>
      </c>
    </row>
    <row r="181">
      <c r="A181">
        <f>I181&amp;"-"&amp;J181</f>
        <v/>
      </c>
      <c r="B181" s="1">
        <f>N181</f>
        <v/>
      </c>
      <c r="C181">
        <f>M181&amp;"/"&amp;O181</f>
        <v/>
      </c>
      <c r="D181">
        <f>K181</f>
        <v/>
      </c>
      <c r="E181">
        <f>L181</f>
        <v/>
      </c>
      <c r="F181" s="236">
        <f>Z181</f>
        <v/>
      </c>
      <c r="G181">
        <f>U181&amp;"%"</f>
        <v/>
      </c>
      <c r="I181" s="53" t="n">
        <v>2020</v>
      </c>
      <c r="J181" s="53" t="n">
        <v>180</v>
      </c>
      <c r="K181" s="71" t="inlineStr">
        <is>
          <t>Einnahmen</t>
        </is>
      </c>
      <c r="L181" t="inlineStr">
        <is>
          <t>Waren-/Leistungserlöse</t>
        </is>
      </c>
      <c r="M181" s="6" t="n">
        <v>12020028</v>
      </c>
      <c r="N181" s="1" t="n">
        <v>44097</v>
      </c>
      <c r="O181" t="inlineStr">
        <is>
          <t>Paperholic all bout paper e.U.</t>
        </is>
      </c>
      <c r="Q181" s="76" t="n"/>
      <c r="R181" t="b">
        <v>0</v>
      </c>
      <c r="S181" s="214" t="n">
        <v>175</v>
      </c>
      <c r="T181" s="159" t="n">
        <v>1</v>
      </c>
      <c r="U181" t="n">
        <v>20</v>
      </c>
      <c r="V181" s="237" t="n">
        <v>35</v>
      </c>
      <c r="W181" s="237" t="n">
        <v>35</v>
      </c>
      <c r="X181" s="208" t="n">
        <v>175</v>
      </c>
      <c r="Y181" s="251" t="n">
        <v>210</v>
      </c>
      <c r="Z181" s="251" t="n">
        <v>210</v>
      </c>
      <c r="AA181" s="35" t="n">
        <v>44150</v>
      </c>
      <c r="AB181" s="27" t="n"/>
      <c r="AC181" s="27" t="n"/>
      <c r="AD181" s="210" t="n">
        <v>175</v>
      </c>
      <c r="AE181" s="237" t="n">
        <v>0</v>
      </c>
      <c r="AF181" t="b">
        <v>0</v>
      </c>
      <c r="AG181" s="228" t="n">
        <v>175</v>
      </c>
    </row>
    <row r="182">
      <c r="A182">
        <f>I182&amp;"-"&amp;J182</f>
        <v/>
      </c>
      <c r="B182" s="1">
        <f>N182</f>
        <v/>
      </c>
      <c r="C182">
        <f>M182&amp;"/"&amp;O182</f>
        <v/>
      </c>
      <c r="D182">
        <f>K182</f>
        <v/>
      </c>
      <c r="E182">
        <f>L182</f>
        <v/>
      </c>
      <c r="F182" s="236">
        <f>Z182</f>
        <v/>
      </c>
      <c r="G182">
        <f>U182&amp;"%"</f>
        <v/>
      </c>
      <c r="I182" s="53" t="n">
        <v>2020</v>
      </c>
      <c r="J182" s="53" t="n">
        <v>181</v>
      </c>
      <c r="K182" s="71" t="inlineStr">
        <is>
          <t>Einnahmen</t>
        </is>
      </c>
      <c r="L182" t="inlineStr">
        <is>
          <t>Waren-/Leistungserlöse</t>
        </is>
      </c>
      <c r="M182" s="6" t="n">
        <v>12020029</v>
      </c>
      <c r="N182" s="1" t="n">
        <v>44102</v>
      </c>
      <c r="O182" t="inlineStr">
        <is>
          <t>DCF - Digital Coding Factory GmbH, Bauernfeldgasse 4/12 1090 Wien</t>
        </is>
      </c>
      <c r="Q182" s="76" t="n"/>
      <c r="R182" t="b">
        <v>0</v>
      </c>
      <c r="S182" s="214" t="n">
        <v>300.5000000000001</v>
      </c>
      <c r="T182" s="159" t="n">
        <v>1</v>
      </c>
      <c r="U182" t="n">
        <v>20</v>
      </c>
      <c r="V182" s="237" t="n">
        <v>60.10000000000001</v>
      </c>
      <c r="W182" s="237" t="n">
        <v>60.10000000000001</v>
      </c>
      <c r="X182" s="208" t="n">
        <v>300.5000000000001</v>
      </c>
      <c r="Y182" s="251" t="n">
        <v>360.6000000000001</v>
      </c>
      <c r="Z182" s="251" t="n">
        <v>360.6000000000001</v>
      </c>
      <c r="AA182" s="35" t="n">
        <v>44150</v>
      </c>
      <c r="AB182" s="27" t="n"/>
      <c r="AC182" s="27" t="n"/>
      <c r="AD182" s="210" t="n">
        <v>300.5000000000001</v>
      </c>
      <c r="AE182" s="237" t="n">
        <v>0</v>
      </c>
      <c r="AF182" t="b">
        <v>0</v>
      </c>
      <c r="AG182" s="228" t="n">
        <v>300.5000000000001</v>
      </c>
    </row>
    <row r="183">
      <c r="A183">
        <f>I183&amp;"-"&amp;J183</f>
        <v/>
      </c>
      <c r="B183" s="1">
        <f>N183</f>
        <v/>
      </c>
      <c r="C183">
        <f>M183&amp;"/"&amp;O183</f>
        <v/>
      </c>
      <c r="D183">
        <f>K183</f>
        <v/>
      </c>
      <c r="E183">
        <f>L183</f>
        <v/>
      </c>
      <c r="F183" s="236">
        <f>Z183</f>
        <v/>
      </c>
      <c r="G183">
        <f>U183&amp;"%"</f>
        <v/>
      </c>
      <c r="I183" s="53" t="n">
        <v>2020</v>
      </c>
      <c r="J183" s="53" t="n">
        <v>182</v>
      </c>
      <c r="K183" s="71" t="inlineStr">
        <is>
          <t>Einnahmen</t>
        </is>
      </c>
      <c r="L183" t="inlineStr">
        <is>
          <t>Waren-/Leistungserlöse</t>
        </is>
      </c>
      <c r="M183" s="6" t="n">
        <v>12020030</v>
      </c>
      <c r="N183" s="1" t="n">
        <v>44102</v>
      </c>
      <c r="O183" t="inlineStr">
        <is>
          <t>DCF - Digital Coding Factory GmbH, Bauernfeldgasse 4/12 1090 Wien</t>
        </is>
      </c>
      <c r="Q183" s="76" t="n"/>
      <c r="R183" t="b">
        <v>0</v>
      </c>
      <c r="S183" s="214" t="n">
        <v>12510</v>
      </c>
      <c r="T183" s="159" t="n">
        <v>1</v>
      </c>
      <c r="U183" t="n">
        <v>20</v>
      </c>
      <c r="V183" s="237" t="n">
        <v>2502</v>
      </c>
      <c r="W183" s="237" t="n">
        <v>2502</v>
      </c>
      <c r="X183" s="208" t="n">
        <v>12510</v>
      </c>
      <c r="Y183" s="251" t="n">
        <v>15012</v>
      </c>
      <c r="Z183" s="251" t="n">
        <v>15012</v>
      </c>
      <c r="AA183" s="35" t="n">
        <v>44150</v>
      </c>
      <c r="AB183" s="27" t="n"/>
      <c r="AC183" s="27" t="n"/>
      <c r="AD183" s="210" t="n">
        <v>12510</v>
      </c>
      <c r="AE183" s="237" t="n">
        <v>0</v>
      </c>
      <c r="AF183" t="b">
        <v>0</v>
      </c>
      <c r="AG183" s="228" t="n">
        <v>12510</v>
      </c>
    </row>
    <row r="184">
      <c r="A184">
        <f>I184&amp;"-"&amp;J184</f>
        <v/>
      </c>
      <c r="B184" s="1">
        <f>N184</f>
        <v/>
      </c>
      <c r="C184">
        <f>M184&amp;"/"&amp;O184</f>
        <v/>
      </c>
      <c r="D184">
        <f>K184</f>
        <v/>
      </c>
      <c r="E184">
        <f>L184</f>
        <v/>
      </c>
      <c r="F184" s="236">
        <f>Z184</f>
        <v/>
      </c>
      <c r="G184">
        <f>U184&amp;"%"</f>
        <v/>
      </c>
      <c r="I184" s="53" t="n">
        <v>2020</v>
      </c>
      <c r="J184" s="53" t="n">
        <v>183</v>
      </c>
      <c r="K184" s="71" t="inlineStr">
        <is>
          <t>Einnahmen</t>
        </is>
      </c>
      <c r="L184" t="inlineStr">
        <is>
          <t>Waren-/Leistungserlöse</t>
        </is>
      </c>
      <c r="M184" s="6" t="n">
        <v>12020033</v>
      </c>
      <c r="N184" s="1" t="n">
        <v>44102</v>
      </c>
      <c r="O184" t="inlineStr">
        <is>
          <t>ZT DI Dr. Arno Kolbitsch, Gütleweg 1, 6822 Satteins</t>
        </is>
      </c>
      <c r="Q184" s="76" t="n"/>
      <c r="R184" t="b">
        <v>0</v>
      </c>
      <c r="S184" s="214" t="n">
        <v>2185.98</v>
      </c>
      <c r="T184" s="159" t="n">
        <v>1</v>
      </c>
      <c r="U184" t="n">
        <v>20</v>
      </c>
      <c r="V184" s="237" t="n">
        <v>437.196</v>
      </c>
      <c r="W184" s="237" t="n">
        <v>437.196</v>
      </c>
      <c r="X184" s="208" t="n">
        <v>2185.98</v>
      </c>
      <c r="Y184" s="251" t="n">
        <v>2623.176</v>
      </c>
      <c r="Z184" s="251" t="n">
        <v>2623.176</v>
      </c>
      <c r="AA184" s="35" t="n">
        <v>44150</v>
      </c>
      <c r="AB184" s="27" t="n"/>
      <c r="AC184" s="27" t="n"/>
      <c r="AD184" s="210" t="n">
        <v>2185.98</v>
      </c>
      <c r="AE184" s="237" t="n">
        <v>0</v>
      </c>
      <c r="AF184" t="b">
        <v>0</v>
      </c>
      <c r="AG184" s="228" t="n">
        <v>2185.98</v>
      </c>
    </row>
    <row r="185">
      <c r="A185">
        <f>I185&amp;"-"&amp;J185</f>
        <v/>
      </c>
      <c r="B185" s="1">
        <f>N185</f>
        <v/>
      </c>
      <c r="C185">
        <f>M185&amp;"/"&amp;O185</f>
        <v/>
      </c>
      <c r="D185">
        <f>K185</f>
        <v/>
      </c>
      <c r="E185">
        <f>L185</f>
        <v/>
      </c>
      <c r="F185" s="236">
        <f>Z185</f>
        <v/>
      </c>
      <c r="G185">
        <f>U185&amp;"%"</f>
        <v/>
      </c>
      <c r="I185" s="53" t="n">
        <v>2020</v>
      </c>
      <c r="J185" s="53" t="n">
        <v>184</v>
      </c>
      <c r="K185" s="71" t="inlineStr">
        <is>
          <t>Ausgaben</t>
        </is>
      </c>
      <c r="L185" t="inlineStr">
        <is>
          <t>Waren, Rohstoffe, Hilfsstoffe</t>
        </is>
      </c>
      <c r="M185" t="inlineStr">
        <is>
          <t>INV-CZ-136954441-2020-182</t>
        </is>
      </c>
      <c r="N185" s="1" t="n">
        <v>44103</v>
      </c>
      <c r="O185" t="inlineStr">
        <is>
          <t>3FCOM, 2 BIS, RUE DE L'INDUSTRIE, DRAVEIL, France, 91210, USt-IDNr. CZ685026459</t>
        </is>
      </c>
      <c r="Q185" s="76" t="n"/>
      <c r="R185" t="b">
        <v>0</v>
      </c>
      <c r="S185" s="214" t="n">
        <v>56.38</v>
      </c>
      <c r="T185" s="159" t="n">
        <v>1</v>
      </c>
      <c r="U185" t="n">
        <v>0</v>
      </c>
      <c r="V185" s="237" t="n">
        <v>0</v>
      </c>
      <c r="W185" s="237" t="n">
        <v>0</v>
      </c>
      <c r="X185" s="208" t="n">
        <v>56.38</v>
      </c>
      <c r="Y185" s="251" t="n">
        <v>56.38</v>
      </c>
      <c r="Z185" s="251" t="n">
        <v>56.38</v>
      </c>
      <c r="AA185" s="35" t="n">
        <v>44150</v>
      </c>
      <c r="AB185" s="27" t="n"/>
      <c r="AC185" s="27" t="n"/>
      <c r="AD185" s="210" t="n">
        <v>56.38</v>
      </c>
      <c r="AE185" s="237" t="n">
        <v>0</v>
      </c>
      <c r="AF185" t="b">
        <v>0</v>
      </c>
      <c r="AG185" s="228" t="n">
        <v>-56.38</v>
      </c>
    </row>
    <row r="186">
      <c r="A186">
        <f>I186&amp;"-"&amp;J186</f>
        <v/>
      </c>
      <c r="B186" s="1">
        <f>N186</f>
        <v/>
      </c>
      <c r="C186">
        <f>M186&amp;"/"&amp;O186</f>
        <v/>
      </c>
      <c r="D186">
        <f>K186</f>
        <v/>
      </c>
      <c r="E186">
        <f>L186</f>
        <v/>
      </c>
      <c r="F186" s="236">
        <f>Z186</f>
        <v/>
      </c>
      <c r="G186">
        <f>U186&amp;"%"</f>
        <v/>
      </c>
      <c r="I186" s="53" t="n">
        <v>2020</v>
      </c>
      <c r="J186" s="53" t="n">
        <v>185</v>
      </c>
      <c r="K186" s="71" t="inlineStr">
        <is>
          <t>Ausgaben</t>
        </is>
      </c>
      <c r="L186" t="inlineStr">
        <is>
          <t>Miet- und Pachtaufwand, Leasing</t>
        </is>
      </c>
      <c r="M186" s="74" t="inlineStr">
        <is>
          <t>20/9801/VS00486</t>
        </is>
      </c>
      <c r="N186" s="1" t="n">
        <v>44105</v>
      </c>
      <c r="O186" t="inlineStr">
        <is>
          <t>Bontus Immobilienverwaltung GmbH, 1010 Wien, Franz Josefs Kai 65</t>
        </is>
      </c>
      <c r="Q186" s="76" t="n"/>
      <c r="R186" t="b">
        <v>0</v>
      </c>
      <c r="S186" s="214" t="n">
        <v>462.44</v>
      </c>
      <c r="T186" s="159" t="n">
        <v>1</v>
      </c>
      <c r="U186" t="n">
        <v>20</v>
      </c>
      <c r="V186" s="237" t="n">
        <v>92.488</v>
      </c>
      <c r="W186" s="237" t="n">
        <v>92.488</v>
      </c>
      <c r="X186" s="208" t="n">
        <v>462.44</v>
      </c>
      <c r="Y186" s="251" t="n">
        <v>554.928</v>
      </c>
      <c r="Z186" s="251" t="n">
        <v>554.928</v>
      </c>
      <c r="AA186" s="35" t="n">
        <v>44242</v>
      </c>
      <c r="AB186" s="27" t="n"/>
      <c r="AC186" s="27" t="n"/>
      <c r="AD186" s="210" t="n">
        <v>462.44</v>
      </c>
      <c r="AE186" s="237" t="n">
        <v>0</v>
      </c>
      <c r="AF186" t="b">
        <v>0</v>
      </c>
      <c r="AG186" s="228" t="n">
        <v>-462.44</v>
      </c>
    </row>
    <row r="187">
      <c r="A187">
        <f>I187&amp;"-"&amp;J187</f>
        <v/>
      </c>
      <c r="B187" s="1">
        <f>N187</f>
        <v/>
      </c>
      <c r="C187">
        <f>M187&amp;"/"&amp;O187</f>
        <v/>
      </c>
      <c r="D187">
        <f>K187</f>
        <v/>
      </c>
      <c r="E187">
        <f>L187</f>
        <v/>
      </c>
      <c r="F187" s="236">
        <f>Z187</f>
        <v/>
      </c>
      <c r="G187">
        <f>U187&amp;"%"</f>
        <v/>
      </c>
      <c r="I187" s="53" t="n">
        <v>2020</v>
      </c>
      <c r="J187" s="53" t="n">
        <v>186</v>
      </c>
      <c r="K187" s="71" t="inlineStr">
        <is>
          <t>Ausgaben</t>
        </is>
      </c>
      <c r="L187" t="inlineStr">
        <is>
          <t>Telefon/Internet</t>
        </is>
      </c>
      <c r="M187" s="74" t="inlineStr">
        <is>
          <t>6208395543</t>
        </is>
      </c>
      <c r="N187" s="1" t="n">
        <v>44106</v>
      </c>
      <c r="O187" t="inlineStr">
        <is>
          <t>Hutchison Drei Austria GmbH, Brünner Straße 52, 1210 Wien, Österreich</t>
        </is>
      </c>
      <c r="Q187" s="76" t="n"/>
      <c r="R187" t="b">
        <v>0</v>
      </c>
      <c r="S187" s="214" t="n">
        <v>15</v>
      </c>
      <c r="T187" s="159" t="n">
        <v>1</v>
      </c>
      <c r="U187" t="n">
        <v>20</v>
      </c>
      <c r="V187" s="237" t="n">
        <v>3</v>
      </c>
      <c r="W187" s="237" t="n">
        <v>3</v>
      </c>
      <c r="X187" s="208" t="n">
        <v>15</v>
      </c>
      <c r="Y187" s="251" t="n">
        <v>18</v>
      </c>
      <c r="Z187" s="251" t="n">
        <v>18</v>
      </c>
      <c r="AA187" s="35" t="n">
        <v>44242</v>
      </c>
      <c r="AB187" s="27" t="n"/>
      <c r="AC187" s="27" t="n"/>
      <c r="AD187" s="210" t="n">
        <v>15</v>
      </c>
      <c r="AE187" s="237" t="n">
        <v>0</v>
      </c>
      <c r="AF187" t="b">
        <v>0</v>
      </c>
      <c r="AG187" s="228" t="n">
        <v>-15</v>
      </c>
    </row>
    <row r="188">
      <c r="A188">
        <f>I188&amp;"-"&amp;J188</f>
        <v/>
      </c>
      <c r="B188" s="1">
        <f>N188</f>
        <v/>
      </c>
      <c r="C188">
        <f>M188&amp;"/"&amp;O188</f>
        <v/>
      </c>
      <c r="D188">
        <f>K188</f>
        <v/>
      </c>
      <c r="E188">
        <f>L188</f>
        <v/>
      </c>
      <c r="F188" s="236">
        <f>Z188</f>
        <v/>
      </c>
      <c r="G188">
        <f>U188&amp;"%"</f>
        <v/>
      </c>
      <c r="I188" s="53" t="n">
        <v>2020</v>
      </c>
      <c r="J188" s="53" t="n">
        <v>187</v>
      </c>
      <c r="K188" s="71" t="inlineStr">
        <is>
          <t>Ausgaben</t>
        </is>
      </c>
      <c r="L188" t="inlineStr">
        <is>
          <t>Reise- und Fahrtspesen inkl. Kilometergeld und Diäten</t>
        </is>
      </c>
      <c r="M188" s="39" t="inlineStr">
        <is>
          <t>4293000000017710</t>
        </is>
      </c>
      <c r="N188" s="1" t="n">
        <v>44106</v>
      </c>
      <c r="O188" t="inlineStr">
        <is>
          <t>car2go Österreich GmbH, Hintere Zollamtstraße 9, 1030 Wien</t>
        </is>
      </c>
      <c r="Q188" s="76" t="n"/>
      <c r="R188" t="b">
        <v>0</v>
      </c>
      <c r="S188" s="214" t="n">
        <v>51.8</v>
      </c>
      <c r="T188" s="159" t="n">
        <v>1</v>
      </c>
      <c r="U188" t="n">
        <v>20</v>
      </c>
      <c r="V188" s="237" t="n">
        <v>10.36</v>
      </c>
      <c r="W188" s="237" t="n">
        <v>10.36</v>
      </c>
      <c r="X188" s="208" t="n">
        <v>51.8</v>
      </c>
      <c r="Y188" s="251" t="n">
        <v>62.16</v>
      </c>
      <c r="Z188" s="251" t="n">
        <v>62.16</v>
      </c>
      <c r="AA188" s="35" t="n">
        <v>44242</v>
      </c>
      <c r="AB188" s="27" t="n"/>
      <c r="AC188" s="27" t="n"/>
      <c r="AD188" s="210" t="n">
        <v>51.8</v>
      </c>
      <c r="AE188" s="237" t="n">
        <v>0</v>
      </c>
      <c r="AF188" t="b">
        <v>0</v>
      </c>
      <c r="AG188" s="228" t="n">
        <v>-51.8</v>
      </c>
    </row>
    <row r="189">
      <c r="A189">
        <f>I189&amp;"-"&amp;J189</f>
        <v/>
      </c>
      <c r="B189" s="1">
        <f>N189</f>
        <v/>
      </c>
      <c r="C189">
        <f>M189&amp;"/"&amp;O189</f>
        <v/>
      </c>
      <c r="D189">
        <f>K189</f>
        <v/>
      </c>
      <c r="E189">
        <f>L189</f>
        <v/>
      </c>
      <c r="F189" s="236">
        <f>Z189</f>
        <v/>
      </c>
      <c r="G189">
        <f>U189&amp;"%"</f>
        <v/>
      </c>
      <c r="I189" s="53" t="n">
        <v>2020</v>
      </c>
      <c r="J189" s="53" t="n">
        <v>188</v>
      </c>
      <c r="K189" s="71" t="inlineStr">
        <is>
          <t>Ausgaben</t>
        </is>
      </c>
      <c r="L189" t="inlineStr">
        <is>
          <t>Telefon/Internet</t>
        </is>
      </c>
      <c r="M189" s="39" t="inlineStr">
        <is>
          <t>901202370820</t>
        </is>
      </c>
      <c r="N189" s="1" t="n">
        <v>44064</v>
      </c>
      <c r="O189" t="inlineStr">
        <is>
          <t>Magenta: T-Mobile Austria GmbH, A-1120 Wien, PF 47</t>
        </is>
      </c>
      <c r="Q189" s="76" t="n"/>
      <c r="R189" t="b">
        <v>0</v>
      </c>
      <c r="S189" s="214" t="n">
        <v>35.24</v>
      </c>
      <c r="T189" s="159" t="n">
        <v>1</v>
      </c>
      <c r="U189" t="n">
        <v>20</v>
      </c>
      <c r="V189" s="237" t="n">
        <v>7.048000000000001</v>
      </c>
      <c r="W189" s="237" t="n">
        <v>7.048000000000001</v>
      </c>
      <c r="X189" s="208" t="n">
        <v>35.24</v>
      </c>
      <c r="Y189" s="251" t="n">
        <v>42.288</v>
      </c>
      <c r="Z189" s="251" t="n">
        <v>42.288</v>
      </c>
      <c r="AA189" s="35" t="n">
        <v>44150</v>
      </c>
      <c r="AB189" s="27" t="n"/>
      <c r="AC189" s="27" t="n"/>
      <c r="AD189" s="210" t="n">
        <v>35.24</v>
      </c>
      <c r="AE189" s="237" t="n">
        <v>0</v>
      </c>
      <c r="AF189" t="b">
        <v>0</v>
      </c>
      <c r="AG189" s="228" t="n">
        <v>-35.24</v>
      </c>
    </row>
    <row r="190">
      <c r="A190">
        <f>I190&amp;"-"&amp;J190</f>
        <v/>
      </c>
      <c r="B190" s="1">
        <f>N190</f>
        <v/>
      </c>
      <c r="C190">
        <f>M190&amp;"/"&amp;O190</f>
        <v/>
      </c>
      <c r="D190">
        <f>K190</f>
        <v/>
      </c>
      <c r="E190">
        <f>L190</f>
        <v/>
      </c>
      <c r="F190" s="236">
        <f>Z190</f>
        <v/>
      </c>
      <c r="G190">
        <f>U190&amp;"%"</f>
        <v/>
      </c>
      <c r="I190" s="53" t="n">
        <v>2020</v>
      </c>
      <c r="J190" s="53" t="n">
        <v>189</v>
      </c>
      <c r="K190" s="71" t="inlineStr">
        <is>
          <t>Ausgaben</t>
        </is>
      </c>
      <c r="L190" t="inlineStr">
        <is>
          <t>sonstige Betriebsausgaben</t>
        </is>
      </c>
      <c r="M190" s="74" t="inlineStr">
        <is>
          <t>3798454186</t>
        </is>
      </c>
      <c r="N190" s="1" t="n">
        <v>44109</v>
      </c>
      <c r="O190" t="inlineStr">
        <is>
          <t>Google Ireland Ltd, Gordon House, Barrow Street, Dublin 4, Ireland; VAT number: IE 6388047V</t>
        </is>
      </c>
      <c r="Q190" s="76" t="n"/>
      <c r="R190" t="b">
        <v>0</v>
      </c>
      <c r="S190" s="214" t="n">
        <v>9.359999999999999</v>
      </c>
      <c r="T190" s="159" t="n">
        <v>1</v>
      </c>
      <c r="U190" t="n">
        <v>0</v>
      </c>
      <c r="V190" s="237" t="n">
        <v>0</v>
      </c>
      <c r="W190" s="237" t="n">
        <v>0</v>
      </c>
      <c r="X190" s="208" t="n">
        <v>9.359999999999999</v>
      </c>
      <c r="Y190" s="251" t="n">
        <v>9.359999999999999</v>
      </c>
      <c r="Z190" s="251" t="n">
        <v>9.359999999999999</v>
      </c>
      <c r="AA190" s="35" t="n">
        <v>44242</v>
      </c>
      <c r="AB190" s="27" t="n"/>
      <c r="AC190" s="27" t="n">
        <v>20</v>
      </c>
      <c r="AD190" s="210" t="n">
        <v>9.359999999999999</v>
      </c>
      <c r="AE190" s="237" t="n">
        <v>1.872</v>
      </c>
      <c r="AF190" t="b">
        <v>0</v>
      </c>
      <c r="AG190" s="228" t="n">
        <v>-9.359999999999999</v>
      </c>
    </row>
    <row r="191">
      <c r="A191">
        <f>I191&amp;"-"&amp;J191</f>
        <v/>
      </c>
      <c r="B191" s="1">
        <f>N191</f>
        <v/>
      </c>
      <c r="C191">
        <f>M191&amp;"/"&amp;O191</f>
        <v/>
      </c>
      <c r="D191">
        <f>K191</f>
        <v/>
      </c>
      <c r="E191">
        <f>L191</f>
        <v/>
      </c>
      <c r="F191" s="236">
        <f>Z191</f>
        <v/>
      </c>
      <c r="G191">
        <f>U191&amp;"%"</f>
        <v/>
      </c>
      <c r="I191" s="53" t="n">
        <v>2020</v>
      </c>
      <c r="J191" s="53" t="n">
        <v>190</v>
      </c>
      <c r="K191" s="71" t="inlineStr">
        <is>
          <t>Ausgaben</t>
        </is>
      </c>
      <c r="L191" t="inlineStr">
        <is>
          <t>sonstige Betriebsausgaben</t>
        </is>
      </c>
      <c r="M191" s="74" t="inlineStr">
        <is>
          <t>807693</t>
        </is>
      </c>
      <c r="N191" s="1" t="n">
        <v>44109</v>
      </c>
      <c r="O191" t="inlineStr">
        <is>
          <t>easy green energy GmbH &amp; Co KG</t>
        </is>
      </c>
      <c r="Q191" s="76" t="n"/>
      <c r="R191" t="b">
        <v>0</v>
      </c>
      <c r="S191" s="214" t="n">
        <v>2.5</v>
      </c>
      <c r="T191" s="159" t="n">
        <v>1</v>
      </c>
      <c r="U191" t="n">
        <v>20</v>
      </c>
      <c r="V191" s="237" t="n">
        <v>0.5</v>
      </c>
      <c r="W191" s="237" t="n">
        <v>0.5</v>
      </c>
      <c r="X191" s="208" t="n">
        <v>2.5</v>
      </c>
      <c r="Y191" s="251" t="n">
        <v>3</v>
      </c>
      <c r="Z191" s="251" t="n">
        <v>3</v>
      </c>
      <c r="AA191" s="35" t="n">
        <v>44242</v>
      </c>
      <c r="AB191" s="27" t="n"/>
      <c r="AC191" s="27" t="n"/>
      <c r="AD191" s="210" t="n">
        <v>2.5</v>
      </c>
      <c r="AE191" s="237" t="n">
        <v>0</v>
      </c>
      <c r="AF191" t="b">
        <v>0</v>
      </c>
      <c r="AG191" s="228" t="n">
        <v>-2.5</v>
      </c>
    </row>
    <row r="192">
      <c r="A192">
        <f>I192&amp;"-"&amp;J192</f>
        <v/>
      </c>
      <c r="B192" s="1">
        <f>N192</f>
        <v/>
      </c>
      <c r="C192">
        <f>M192&amp;"/"&amp;O192</f>
        <v/>
      </c>
      <c r="D192">
        <f>K192</f>
        <v/>
      </c>
      <c r="E192">
        <f>L192</f>
        <v/>
      </c>
      <c r="F192" s="236">
        <f>Z192</f>
        <v/>
      </c>
      <c r="G192">
        <f>U192&amp;"%"</f>
        <v/>
      </c>
      <c r="I192" s="53" t="n">
        <v>2020</v>
      </c>
      <c r="J192" s="53" t="n">
        <v>191</v>
      </c>
      <c r="K192" s="71" t="inlineStr">
        <is>
          <t>Ausgaben</t>
        </is>
      </c>
      <c r="L192" t="inlineStr">
        <is>
          <t>sonstige Betriebsausgaben</t>
        </is>
      </c>
      <c r="M192" s="74" t="inlineStr">
        <is>
          <t>HKA/20-01-39452</t>
        </is>
      </c>
      <c r="N192" s="1" t="n">
        <v>44110</v>
      </c>
      <c r="O192" t="inlineStr">
        <is>
          <t>Techem Messtechnik GmbH; Abnehmernummer 501686-0003-11-(</t>
        </is>
      </c>
      <c r="Q192" s="76" t="n"/>
      <c r="R192" t="b">
        <v>0</v>
      </c>
      <c r="S192" s="214" t="n">
        <v>35</v>
      </c>
      <c r="T192" s="159" t="n">
        <v>1</v>
      </c>
      <c r="U192" t="n">
        <v>20</v>
      </c>
      <c r="V192" s="237" t="n">
        <v>7</v>
      </c>
      <c r="W192" s="237" t="n">
        <v>7</v>
      </c>
      <c r="X192" s="208" t="n">
        <v>35</v>
      </c>
      <c r="Y192" s="251" t="n">
        <v>42</v>
      </c>
      <c r="Z192" s="251" t="n">
        <v>42</v>
      </c>
      <c r="AA192" s="35" t="n">
        <v>44242</v>
      </c>
      <c r="AB192" s="27" t="n"/>
      <c r="AC192" s="27" t="n"/>
      <c r="AD192" s="210" t="n">
        <v>35</v>
      </c>
      <c r="AE192" s="237" t="n">
        <v>0</v>
      </c>
      <c r="AF192" t="b">
        <v>0</v>
      </c>
      <c r="AG192" s="228" t="n">
        <v>-35</v>
      </c>
    </row>
    <row r="193">
      <c r="A193">
        <f>I193&amp;"-"&amp;J193</f>
        <v/>
      </c>
      <c r="B193" s="1">
        <f>N193</f>
        <v/>
      </c>
      <c r="C193">
        <f>M193&amp;"/"&amp;O193</f>
        <v/>
      </c>
      <c r="D193">
        <f>K193</f>
        <v/>
      </c>
      <c r="E193">
        <f>L193</f>
        <v/>
      </c>
      <c r="F193" s="236">
        <f>Z193</f>
        <v/>
      </c>
      <c r="G193">
        <f>U193&amp;"%"</f>
        <v/>
      </c>
      <c r="I193" s="53" t="n">
        <v>2020</v>
      </c>
      <c r="J193" s="53" t="n">
        <v>192</v>
      </c>
      <c r="K193" s="71" t="inlineStr">
        <is>
          <t>Ausgaben</t>
        </is>
      </c>
      <c r="L193" t="inlineStr">
        <is>
          <t>sonstige Betriebsausgaben</t>
        </is>
      </c>
      <c r="M193" s="74" t="inlineStr">
        <is>
          <t>R0012046586</t>
        </is>
      </c>
      <c r="N193" s="1" t="n">
        <v>44111</v>
      </c>
      <c r="O193" t="inlineStr">
        <is>
          <t>Hetzner Online GmbH</t>
        </is>
      </c>
      <c r="Q193" s="76" t="n"/>
      <c r="R193" t="b">
        <v>0</v>
      </c>
      <c r="S193" s="214" t="n">
        <v>2.49</v>
      </c>
      <c r="T193" s="159" t="n">
        <v>1</v>
      </c>
      <c r="U193" t="n">
        <v>0</v>
      </c>
      <c r="V193" s="237" t="n">
        <v>0</v>
      </c>
      <c r="W193" s="237" t="n">
        <v>0</v>
      </c>
      <c r="X193" s="208" t="n">
        <v>2.49</v>
      </c>
      <c r="Y193" s="251" t="n">
        <v>2.49</v>
      </c>
      <c r="Z193" s="251" t="n">
        <v>2.49</v>
      </c>
      <c r="AA193" s="35" t="n">
        <v>44242</v>
      </c>
      <c r="AB193" s="27" t="n"/>
      <c r="AC193" s="27" t="n">
        <v>20</v>
      </c>
      <c r="AD193" s="210" t="n">
        <v>2.49</v>
      </c>
      <c r="AE193" s="237" t="n">
        <v>0.4980000000000001</v>
      </c>
      <c r="AF193" t="b">
        <v>0</v>
      </c>
      <c r="AG193" s="228" t="n">
        <v>-2.49</v>
      </c>
    </row>
    <row r="194">
      <c r="A194">
        <f>I194&amp;"-"&amp;J194</f>
        <v/>
      </c>
      <c r="B194" s="1">
        <f>N194</f>
        <v/>
      </c>
      <c r="C194">
        <f>M194&amp;"/"&amp;O194</f>
        <v/>
      </c>
      <c r="D194">
        <f>K194</f>
        <v/>
      </c>
      <c r="E194">
        <f>L194</f>
        <v/>
      </c>
      <c r="F194" s="236">
        <f>Z194</f>
        <v/>
      </c>
      <c r="G194">
        <f>U194&amp;"%"</f>
        <v/>
      </c>
      <c r="I194" s="53" t="n">
        <v>2020</v>
      </c>
      <c r="J194" s="53" t="n">
        <v>193</v>
      </c>
      <c r="K194" s="71" t="inlineStr">
        <is>
          <t>Ausgaben</t>
        </is>
      </c>
      <c r="L194" t="inlineStr">
        <is>
          <t>sonstige Betriebsausgaben</t>
        </is>
      </c>
      <c r="M194" s="74" t="inlineStr">
        <is>
          <t>5112142283</t>
        </is>
      </c>
      <c r="N194" s="1" t="n">
        <v>44116</v>
      </c>
      <c r="O194" t="inlineStr">
        <is>
          <t>Wiener Netze GmbH, Erdbergstraße 236, 1110 Wien, Postfach 422</t>
        </is>
      </c>
      <c r="Q194" s="76" t="n"/>
      <c r="R194" t="b">
        <v>0</v>
      </c>
      <c r="S194" s="214" t="n">
        <v>29</v>
      </c>
      <c r="T194" s="159" t="n">
        <v>1</v>
      </c>
      <c r="U194" t="n">
        <v>20</v>
      </c>
      <c r="V194" s="237" t="n">
        <v>5.8</v>
      </c>
      <c r="W194" s="237" t="n">
        <v>5.8</v>
      </c>
      <c r="X194" s="208" t="n">
        <v>29</v>
      </c>
      <c r="Y194" s="251" t="n">
        <v>34.8</v>
      </c>
      <c r="Z194" s="251" t="n">
        <v>34.8</v>
      </c>
      <c r="AA194" s="35" t="n">
        <v>44242</v>
      </c>
      <c r="AB194" s="27" t="n"/>
      <c r="AC194" s="27" t="n"/>
      <c r="AD194" s="210" t="n">
        <v>29</v>
      </c>
      <c r="AE194" s="237" t="n">
        <v>0</v>
      </c>
      <c r="AF194" t="b">
        <v>0</v>
      </c>
      <c r="AG194" s="228" t="n">
        <v>-29</v>
      </c>
    </row>
    <row r="195">
      <c r="A195">
        <f>I195&amp;"-"&amp;J195</f>
        <v/>
      </c>
      <c r="B195" s="1">
        <f>N195</f>
        <v/>
      </c>
      <c r="C195">
        <f>M195&amp;"/"&amp;O195</f>
        <v/>
      </c>
      <c r="D195">
        <f>K195</f>
        <v/>
      </c>
      <c r="E195">
        <f>L195</f>
        <v/>
      </c>
      <c r="F195" s="236">
        <f>Z195</f>
        <v/>
      </c>
      <c r="G195">
        <f>U195&amp;"%"</f>
        <v/>
      </c>
      <c r="I195" s="53" t="n">
        <v>2020</v>
      </c>
      <c r="J195" s="53" t="n">
        <v>194</v>
      </c>
      <c r="K195" s="71" t="inlineStr">
        <is>
          <t>Ausgaben</t>
        </is>
      </c>
      <c r="L195" t="inlineStr">
        <is>
          <t>sonstige Betriebsausgaben</t>
        </is>
      </c>
      <c r="M195" s="74" t="inlineStr">
        <is>
          <t>R0012086246</t>
        </is>
      </c>
      <c r="N195" s="1" t="n">
        <v>44117</v>
      </c>
      <c r="O195" t="inlineStr">
        <is>
          <t>Hetzner Online GmbH</t>
        </is>
      </c>
      <c r="Q195" s="76" t="n"/>
      <c r="R195" t="b">
        <v>0</v>
      </c>
      <c r="S195" s="214" t="n">
        <v>46.92</v>
      </c>
      <c r="T195" s="159" t="n">
        <v>1</v>
      </c>
      <c r="U195" t="n">
        <v>0</v>
      </c>
      <c r="V195" s="237" t="n">
        <v>0</v>
      </c>
      <c r="W195" s="237" t="n">
        <v>0</v>
      </c>
      <c r="X195" s="208" t="n">
        <v>46.92</v>
      </c>
      <c r="Y195" s="251" t="n">
        <v>46.92</v>
      </c>
      <c r="Z195" s="251" t="n">
        <v>46.92</v>
      </c>
      <c r="AA195" s="35" t="n">
        <v>44242</v>
      </c>
      <c r="AB195" s="27" t="n"/>
      <c r="AC195" s="27" t="n">
        <v>20</v>
      </c>
      <c r="AD195" s="210" t="n">
        <v>46.92</v>
      </c>
      <c r="AE195" s="237" t="n">
        <v>9.384</v>
      </c>
      <c r="AF195" t="b">
        <v>0</v>
      </c>
      <c r="AG195" s="228" t="n">
        <v>-46.92</v>
      </c>
    </row>
    <row r="196">
      <c r="A196">
        <f>I196&amp;"-"&amp;J196</f>
        <v/>
      </c>
      <c r="B196" s="1">
        <f>N196</f>
        <v/>
      </c>
      <c r="C196">
        <f>M196&amp;"/"&amp;O196</f>
        <v/>
      </c>
      <c r="D196">
        <f>K196</f>
        <v/>
      </c>
      <c r="E196">
        <f>L196</f>
        <v/>
      </c>
      <c r="F196" s="236">
        <f>Z196</f>
        <v/>
      </c>
      <c r="G196">
        <f>U196&amp;"%"</f>
        <v/>
      </c>
      <c r="I196" s="53" t="n">
        <v>2020</v>
      </c>
      <c r="J196" s="53" t="n">
        <v>195</v>
      </c>
      <c r="K196" s="71" t="inlineStr">
        <is>
          <t>Ausgaben</t>
        </is>
      </c>
      <c r="L196" t="inlineStr">
        <is>
          <t>Waren, Rohstoffe, Hilfsstoffe</t>
        </is>
      </c>
      <c r="M196" s="74" t="inlineStr">
        <is>
          <t>AEU-INV-PL-2020-5037886</t>
        </is>
      </c>
      <c r="N196" s="1" t="n">
        <v>44120</v>
      </c>
      <c r="O196" t="inlineStr">
        <is>
          <t>Amazon EU S. à r.l., 38 avenue John F. Kennedy, L-1855 Luxembourg: HJEU: DVI-HDMI, Logitech Maus</t>
        </is>
      </c>
      <c r="Q196" s="76" t="n"/>
      <c r="R196" t="b">
        <v>0</v>
      </c>
      <c r="S196" s="214" t="n">
        <v>16.14</v>
      </c>
      <c r="T196" s="159" t="n">
        <v>1</v>
      </c>
      <c r="U196" t="n">
        <v>20</v>
      </c>
      <c r="V196" s="237" t="n">
        <v>3.228</v>
      </c>
      <c r="W196" s="237" t="n">
        <v>3.228</v>
      </c>
      <c r="X196" s="208" t="n">
        <v>16.14</v>
      </c>
      <c r="Y196" s="251" t="n">
        <v>19.368</v>
      </c>
      <c r="Z196" s="251" t="n">
        <v>19.368</v>
      </c>
      <c r="AA196" s="35" t="n">
        <v>44242</v>
      </c>
      <c r="AB196" s="27" t="n"/>
      <c r="AC196" s="27" t="n"/>
      <c r="AD196" s="210" t="n">
        <v>16.14</v>
      </c>
      <c r="AE196" s="237" t="n">
        <v>0</v>
      </c>
      <c r="AF196" t="b">
        <v>0</v>
      </c>
      <c r="AG196" s="228" t="n">
        <v>-16.14</v>
      </c>
    </row>
    <row r="197">
      <c r="A197">
        <f>I197&amp;"-"&amp;J197</f>
        <v/>
      </c>
      <c r="B197" s="1">
        <f>N197</f>
        <v/>
      </c>
      <c r="C197">
        <f>M197&amp;"/"&amp;O197</f>
        <v/>
      </c>
      <c r="D197">
        <f>K197</f>
        <v/>
      </c>
      <c r="E197">
        <f>L197</f>
        <v/>
      </c>
      <c r="F197" s="236">
        <f>Z197</f>
        <v/>
      </c>
      <c r="G197">
        <f>U197&amp;"%"</f>
        <v/>
      </c>
      <c r="I197" s="53" t="n">
        <v>2020</v>
      </c>
      <c r="J197" s="53" t="n">
        <v>196</v>
      </c>
      <c r="K197" s="71" t="inlineStr">
        <is>
          <t>Ausgaben</t>
        </is>
      </c>
      <c r="L197" t="inlineStr">
        <is>
          <t>Telefon/Internet</t>
        </is>
      </c>
      <c r="M197" s="75" t="inlineStr">
        <is>
          <t>901200291020</t>
        </is>
      </c>
      <c r="N197" s="1" t="n">
        <v>44125</v>
      </c>
      <c r="O197" t="inlineStr">
        <is>
          <t>Magenta: T-Mobile Austria GmbH, A-1120 Wien, PF 47</t>
        </is>
      </c>
      <c r="Q197" s="76" t="n"/>
      <c r="R197" t="b">
        <v>0</v>
      </c>
      <c r="S197" s="214" t="n">
        <v>35.24</v>
      </c>
      <c r="T197" s="159" t="n">
        <v>1</v>
      </c>
      <c r="U197" t="n">
        <v>20</v>
      </c>
      <c r="V197" s="237" t="n">
        <v>7.048000000000001</v>
      </c>
      <c r="W197" s="237" t="n">
        <v>7.048000000000001</v>
      </c>
      <c r="X197" s="208" t="n">
        <v>35.24</v>
      </c>
      <c r="Y197" s="251" t="n">
        <v>42.288</v>
      </c>
      <c r="Z197" s="251" t="n">
        <v>42.288</v>
      </c>
      <c r="AA197" s="35" t="n">
        <v>44242</v>
      </c>
      <c r="AB197" s="27" t="n"/>
      <c r="AC197" s="27" t="n"/>
      <c r="AD197" s="210" t="n">
        <v>35.24</v>
      </c>
      <c r="AE197" s="237" t="n">
        <v>0</v>
      </c>
      <c r="AF197" t="b">
        <v>0</v>
      </c>
      <c r="AG197" s="228" t="n">
        <v>-35.24</v>
      </c>
    </row>
    <row r="198">
      <c r="A198">
        <f>I198&amp;"-"&amp;J198</f>
        <v/>
      </c>
      <c r="B198" s="1">
        <f>N198</f>
        <v/>
      </c>
      <c r="C198">
        <f>M198&amp;"/"&amp;O198</f>
        <v/>
      </c>
      <c r="D198">
        <f>K198</f>
        <v/>
      </c>
      <c r="E198">
        <f>L198</f>
        <v/>
      </c>
      <c r="F198" s="236">
        <f>Z198</f>
        <v/>
      </c>
      <c r="G198">
        <f>U198&amp;"%"</f>
        <v/>
      </c>
      <c r="I198" s="53" t="n">
        <v>2020</v>
      </c>
      <c r="J198" s="53" t="n">
        <v>197</v>
      </c>
      <c r="K198" s="71" t="inlineStr">
        <is>
          <t>Ausgaben</t>
        </is>
      </c>
      <c r="L198" t="inlineStr">
        <is>
          <t>sonstige Betriebsausgaben</t>
        </is>
      </c>
      <c r="M198" s="74" t="inlineStr">
        <is>
          <t>AEU-INV-PL-2020-5037886</t>
        </is>
      </c>
      <c r="N198" s="1" t="n">
        <v>44120</v>
      </c>
      <c r="O198" t="inlineStr">
        <is>
          <t>Amazon EU S. à r.l., 38 avenue John F. Kennedy, L-1855 Luxembourg: UID PL5262907815; Leitz Ordner 3er</t>
        </is>
      </c>
      <c r="Q198" s="76" t="n"/>
      <c r="R198" t="b">
        <v>0</v>
      </c>
      <c r="S198" s="214" t="n">
        <v>16.14</v>
      </c>
      <c r="T198" s="159" t="n">
        <v>1</v>
      </c>
      <c r="U198" t="n">
        <v>0</v>
      </c>
      <c r="V198" s="237" t="n">
        <v>0</v>
      </c>
      <c r="W198" s="237" t="n">
        <v>0</v>
      </c>
      <c r="X198" s="208" t="n">
        <v>16.14</v>
      </c>
      <c r="Y198" s="251" t="n">
        <v>16.14</v>
      </c>
      <c r="Z198" s="251" t="n">
        <v>16.14</v>
      </c>
      <c r="AA198" s="35" t="n">
        <v>44242</v>
      </c>
      <c r="AB198" s="27" t="n"/>
      <c r="AC198" s="27" t="n">
        <v>20</v>
      </c>
      <c r="AD198" s="210" t="n">
        <v>16.14</v>
      </c>
      <c r="AE198" s="237" t="n">
        <v>3.228</v>
      </c>
      <c r="AF198" t="b">
        <v>0</v>
      </c>
      <c r="AG198" s="228" t="n">
        <v>-16.14</v>
      </c>
    </row>
    <row r="199">
      <c r="A199">
        <f>I199&amp;"-"&amp;J199</f>
        <v/>
      </c>
      <c r="B199" s="1">
        <f>N199</f>
        <v/>
      </c>
      <c r="C199">
        <f>M199&amp;"/"&amp;O199</f>
        <v/>
      </c>
      <c r="D199">
        <f>K199</f>
        <v/>
      </c>
      <c r="E199">
        <f>L199</f>
        <v/>
      </c>
      <c r="F199" s="236">
        <f>Z199</f>
        <v/>
      </c>
      <c r="G199">
        <f>U199&amp;"%"</f>
        <v/>
      </c>
      <c r="I199" s="53" t="n">
        <v>2020</v>
      </c>
      <c r="J199" s="53" t="n">
        <v>198</v>
      </c>
      <c r="K199" s="71" t="inlineStr">
        <is>
          <t>Ausgaben</t>
        </is>
      </c>
      <c r="L199" t="inlineStr">
        <is>
          <t>sonstige Betriebsausgaben</t>
        </is>
      </c>
      <c r="M199" s="75" t="inlineStr">
        <is>
          <t>201001871465</t>
        </is>
      </c>
      <c r="N199" s="1" t="n">
        <v>44131</v>
      </c>
      <c r="O199" t="inlineStr">
        <is>
          <t>Wirtschaftskammer Wien Grundumlagen, Straße der Wiener Wirtschaft 1, 1020 Wien: GU UBIT</t>
        </is>
      </c>
      <c r="Q199" s="76" t="n"/>
      <c r="R199" t="b">
        <v>0</v>
      </c>
      <c r="S199" s="214" t="n">
        <v>65</v>
      </c>
      <c r="T199" s="159" t="n">
        <v>1</v>
      </c>
      <c r="U199" t="n">
        <v>0</v>
      </c>
      <c r="V199" s="237" t="n">
        <v>0</v>
      </c>
      <c r="W199" s="237" t="n">
        <v>0</v>
      </c>
      <c r="X199" s="208" t="n">
        <v>65</v>
      </c>
      <c r="Y199" s="251" t="n">
        <v>65</v>
      </c>
      <c r="Z199" s="251" t="n">
        <v>65</v>
      </c>
      <c r="AA199" s="35" t="n">
        <v>44242</v>
      </c>
      <c r="AB199" s="27" t="n"/>
      <c r="AC199" s="27" t="n"/>
      <c r="AD199" s="210" t="n">
        <v>65</v>
      </c>
      <c r="AE199" s="237" t="n">
        <v>0</v>
      </c>
      <c r="AF199" t="b">
        <v>0</v>
      </c>
      <c r="AG199" s="228" t="n">
        <v>-65</v>
      </c>
    </row>
    <row r="200">
      <c r="A200">
        <f>I200&amp;"-"&amp;J200</f>
        <v/>
      </c>
      <c r="B200" s="1">
        <f>N200</f>
        <v/>
      </c>
      <c r="C200">
        <f>M200&amp;"/"&amp;O200</f>
        <v/>
      </c>
      <c r="D200">
        <f>K200</f>
        <v/>
      </c>
      <c r="E200">
        <f>L200</f>
        <v/>
      </c>
      <c r="F200" s="236">
        <f>Z200</f>
        <v/>
      </c>
      <c r="G200">
        <f>U200&amp;"%"</f>
        <v/>
      </c>
      <c r="I200" s="53" t="n">
        <v>2020</v>
      </c>
      <c r="J200" s="53" t="n">
        <v>199</v>
      </c>
      <c r="K200" s="71" t="inlineStr">
        <is>
          <t>Ausgaben</t>
        </is>
      </c>
      <c r="L200" t="inlineStr">
        <is>
          <t>sonstige Betriebsausgaben</t>
        </is>
      </c>
      <c r="M200" s="75" t="inlineStr">
        <is>
          <t>3810095756</t>
        </is>
      </c>
      <c r="N200" s="1" t="n">
        <v>44133</v>
      </c>
      <c r="O200" t="inlineStr">
        <is>
          <t>Google Ireland Ltd, Gordon House, Barrow Street, Dublin 4, Ireland; VAT number: IE 6388047V</t>
        </is>
      </c>
      <c r="Q200" s="76" t="n"/>
      <c r="R200" t="b">
        <v>0</v>
      </c>
      <c r="S200" s="214" t="n">
        <v>9.359999999999999</v>
      </c>
      <c r="T200" s="159" t="n">
        <v>1</v>
      </c>
      <c r="U200" t="n">
        <v>0</v>
      </c>
      <c r="V200" s="237" t="n">
        <v>0</v>
      </c>
      <c r="W200" s="237" t="n">
        <v>0</v>
      </c>
      <c r="X200" s="208" t="n">
        <v>9.359999999999999</v>
      </c>
      <c r="Y200" s="251" t="n">
        <v>9.359999999999999</v>
      </c>
      <c r="Z200" s="251" t="n">
        <v>9.359999999999999</v>
      </c>
      <c r="AA200" s="35" t="n">
        <v>44242</v>
      </c>
      <c r="AB200" s="27" t="n"/>
      <c r="AC200" s="27" t="n">
        <v>20</v>
      </c>
      <c r="AD200" s="210" t="n">
        <v>9.359999999999999</v>
      </c>
      <c r="AE200" s="237" t="n">
        <v>1.872</v>
      </c>
      <c r="AF200" t="b">
        <v>0</v>
      </c>
      <c r="AG200" s="228" t="n">
        <v>-9.359999999999999</v>
      </c>
    </row>
    <row r="201">
      <c r="A201">
        <f>I201&amp;"-"&amp;J201</f>
        <v/>
      </c>
      <c r="B201" s="1">
        <f>N201</f>
        <v/>
      </c>
      <c r="C201">
        <f>M201&amp;"/"&amp;O201</f>
        <v/>
      </c>
      <c r="D201">
        <f>K201</f>
        <v/>
      </c>
      <c r="E201">
        <f>L201</f>
        <v/>
      </c>
      <c r="F201" s="236">
        <f>Z201</f>
        <v/>
      </c>
      <c r="G201">
        <f>U201&amp;"%"</f>
        <v/>
      </c>
      <c r="I201" s="53" t="n">
        <v>2020</v>
      </c>
      <c r="J201" s="53" t="n">
        <v>200</v>
      </c>
      <c r="K201" s="71" t="inlineStr">
        <is>
          <t>Ausgaben</t>
        </is>
      </c>
      <c r="L201" t="inlineStr">
        <is>
          <t>Miet- und Pachtaufwand, Leasing</t>
        </is>
      </c>
      <c r="M201" s="74" t="inlineStr">
        <is>
          <t>20/9801/VS00486</t>
        </is>
      </c>
      <c r="N201" s="1" t="n">
        <v>44137</v>
      </c>
      <c r="O201" t="inlineStr">
        <is>
          <t>Bontus Immobilienverwaltung GmbH, 1010 Wien, Franz Josefs Kai 65</t>
        </is>
      </c>
      <c r="Q201" s="76" t="n"/>
      <c r="R201" t="b">
        <v>0</v>
      </c>
      <c r="S201" s="214" t="n">
        <v>462.44</v>
      </c>
      <c r="T201" s="159" t="n">
        <v>1</v>
      </c>
      <c r="U201" t="n">
        <v>20</v>
      </c>
      <c r="V201" s="237" t="n">
        <v>92.488</v>
      </c>
      <c r="W201" s="237" t="n">
        <v>92.488</v>
      </c>
      <c r="X201" s="208" t="n">
        <v>462.44</v>
      </c>
      <c r="Y201" s="251" t="n">
        <v>554.928</v>
      </c>
      <c r="Z201" s="251" t="n">
        <v>554.928</v>
      </c>
      <c r="AA201" s="35" t="n">
        <v>44242</v>
      </c>
      <c r="AB201" s="27" t="n"/>
      <c r="AC201" s="27" t="n"/>
      <c r="AD201" s="210" t="n">
        <v>462.44</v>
      </c>
      <c r="AE201" s="237" t="n">
        <v>0</v>
      </c>
      <c r="AF201" t="b">
        <v>0</v>
      </c>
      <c r="AG201" s="228" t="n">
        <v>-462.44</v>
      </c>
    </row>
    <row r="202">
      <c r="A202">
        <f>I202&amp;"-"&amp;J202</f>
        <v/>
      </c>
      <c r="B202" s="1">
        <f>N202</f>
        <v/>
      </c>
      <c r="C202">
        <f>M202&amp;"/"&amp;O202</f>
        <v/>
      </c>
      <c r="D202">
        <f>K202</f>
        <v/>
      </c>
      <c r="E202">
        <f>L202</f>
        <v/>
      </c>
      <c r="F202" s="236">
        <f>Z202</f>
        <v/>
      </c>
      <c r="G202">
        <f>U202&amp;"%"</f>
        <v/>
      </c>
      <c r="I202" s="53" t="n">
        <v>2020</v>
      </c>
      <c r="J202" s="53" t="n">
        <v>201</v>
      </c>
      <c r="K202" s="71" t="inlineStr">
        <is>
          <t>Ausgaben</t>
        </is>
      </c>
      <c r="L202" t="inlineStr">
        <is>
          <t>Reise- und Fahrtspesen inkl. Kilometergeld und Diäten</t>
        </is>
      </c>
      <c r="M202" s="75" t="inlineStr">
        <is>
          <t>4293000000018200</t>
        </is>
      </c>
      <c r="N202" s="1" t="n">
        <v>44137</v>
      </c>
      <c r="O202" t="inlineStr">
        <is>
          <t>car2go Österreich GmbH, Hintere Zollamtstraße 9, 1030 Wien</t>
        </is>
      </c>
      <c r="Q202" s="76" t="n"/>
      <c r="R202" t="b">
        <v>0</v>
      </c>
      <c r="S202" s="214" t="n">
        <v>77.56999999999999</v>
      </c>
      <c r="T202" s="159" t="n">
        <v>1</v>
      </c>
      <c r="U202" t="n">
        <v>20</v>
      </c>
      <c r="V202" s="237" t="n">
        <v>15.54</v>
      </c>
      <c r="W202" s="237" t="n">
        <v>15.54</v>
      </c>
      <c r="X202" s="208" t="n">
        <v>77.56999999999999</v>
      </c>
      <c r="Y202" s="251" t="n">
        <v>93.10999999999999</v>
      </c>
      <c r="Z202" s="251" t="n">
        <v>93.10999999999999</v>
      </c>
      <c r="AA202" s="35" t="n">
        <v>44242</v>
      </c>
      <c r="AB202" s="27" t="n"/>
      <c r="AC202" s="27" t="n"/>
      <c r="AD202" s="210" t="n">
        <v>77.56999999999999</v>
      </c>
      <c r="AE202" s="237" t="n">
        <v>0</v>
      </c>
      <c r="AF202" t="b">
        <v>0</v>
      </c>
      <c r="AG202" s="228" t="n">
        <v>-77.56999999999999</v>
      </c>
    </row>
    <row r="203">
      <c r="A203">
        <f>I203&amp;"-"&amp;J203</f>
        <v/>
      </c>
      <c r="B203" s="1">
        <f>N203</f>
        <v/>
      </c>
      <c r="C203">
        <f>M203&amp;"/"&amp;O203</f>
        <v/>
      </c>
      <c r="D203">
        <f>K203</f>
        <v/>
      </c>
      <c r="E203">
        <f>L203</f>
        <v/>
      </c>
      <c r="F203" s="236">
        <f>Z203</f>
        <v/>
      </c>
      <c r="G203">
        <f>U203&amp;"%"</f>
        <v/>
      </c>
      <c r="I203" s="53" t="n">
        <v>2020</v>
      </c>
      <c r="J203" s="53" t="n">
        <v>202</v>
      </c>
      <c r="K203" s="71" t="inlineStr">
        <is>
          <t>Ausgaben</t>
        </is>
      </c>
      <c r="L203" t="inlineStr">
        <is>
          <t>Telefon/Internet</t>
        </is>
      </c>
      <c r="M203" s="74" t="n">
        <v>6212001185</v>
      </c>
      <c r="N203" s="1" t="n">
        <v>44138</v>
      </c>
      <c r="O203" t="inlineStr">
        <is>
          <t>Hutchison Drei Austria GmbH, Brünner Straße 52, 1210 Wien, Österreich</t>
        </is>
      </c>
      <c r="Q203" s="76" t="n"/>
      <c r="R203" t="b">
        <v>0</v>
      </c>
      <c r="S203" s="214" t="n">
        <v>15</v>
      </c>
      <c r="T203" s="159" t="n">
        <v>1</v>
      </c>
      <c r="U203" t="n">
        <v>20</v>
      </c>
      <c r="V203" s="237" t="n">
        <v>3</v>
      </c>
      <c r="W203" s="237" t="n">
        <v>3</v>
      </c>
      <c r="X203" s="208" t="n">
        <v>15</v>
      </c>
      <c r="Y203" s="251" t="n">
        <v>18</v>
      </c>
      <c r="Z203" s="251" t="n">
        <v>18</v>
      </c>
      <c r="AA203" s="35" t="n">
        <v>44242</v>
      </c>
      <c r="AB203" s="27" t="n"/>
      <c r="AC203" s="27" t="n"/>
      <c r="AD203" s="210" t="n">
        <v>15</v>
      </c>
      <c r="AE203" s="237" t="n">
        <v>0</v>
      </c>
      <c r="AF203" t="b">
        <v>0</v>
      </c>
      <c r="AG203" s="228" t="n">
        <v>-15</v>
      </c>
    </row>
    <row r="204">
      <c r="A204">
        <f>I204&amp;"-"&amp;J204</f>
        <v/>
      </c>
      <c r="B204" s="1">
        <f>N204</f>
        <v/>
      </c>
      <c r="C204">
        <f>M204&amp;"/"&amp;O204</f>
        <v/>
      </c>
      <c r="D204">
        <f>K204</f>
        <v/>
      </c>
      <c r="E204">
        <f>L204</f>
        <v/>
      </c>
      <c r="F204" s="236">
        <f>Z204</f>
        <v/>
      </c>
      <c r="G204">
        <f>U204&amp;"%"</f>
        <v/>
      </c>
      <c r="I204" s="53" t="n">
        <v>2020</v>
      </c>
      <c r="J204" s="53" t="n">
        <v>203</v>
      </c>
      <c r="K204" s="71" t="inlineStr">
        <is>
          <t>Ausgaben</t>
        </is>
      </c>
      <c r="L204" t="inlineStr">
        <is>
          <t>sonstige Betriebsausgaben</t>
        </is>
      </c>
      <c r="M204" s="74" t="inlineStr">
        <is>
          <t>807693</t>
        </is>
      </c>
      <c r="N204" s="1" t="n">
        <v>44139</v>
      </c>
      <c r="O204" t="inlineStr">
        <is>
          <t>easy green energy GmbH &amp; Co KG</t>
        </is>
      </c>
      <c r="Q204" s="76" t="n"/>
      <c r="R204" t="b">
        <v>0</v>
      </c>
      <c r="S204" s="214" t="n">
        <v>2.5</v>
      </c>
      <c r="T204" s="159" t="n">
        <v>1</v>
      </c>
      <c r="U204" t="n">
        <v>20</v>
      </c>
      <c r="V204" s="237" t="n">
        <v>0.5</v>
      </c>
      <c r="W204" s="237" t="n">
        <v>0.5</v>
      </c>
      <c r="X204" s="208" t="n">
        <v>2.5</v>
      </c>
      <c r="Y204" s="251" t="n">
        <v>3</v>
      </c>
      <c r="Z204" s="251" t="n">
        <v>3</v>
      </c>
      <c r="AA204" s="35" t="n">
        <v>44242</v>
      </c>
      <c r="AB204" s="27" t="n"/>
      <c r="AC204" s="27" t="n"/>
      <c r="AD204" s="210" t="n">
        <v>2.5</v>
      </c>
      <c r="AE204" s="237" t="n">
        <v>0</v>
      </c>
      <c r="AF204" t="b">
        <v>0</v>
      </c>
      <c r="AG204" s="228" t="n">
        <v>-2.5</v>
      </c>
    </row>
    <row r="205">
      <c r="A205">
        <f>I205&amp;"-"&amp;J205</f>
        <v/>
      </c>
      <c r="B205" s="1">
        <f>N205</f>
        <v/>
      </c>
      <c r="C205">
        <f>M205&amp;"/"&amp;O205</f>
        <v/>
      </c>
      <c r="D205">
        <f>K205</f>
        <v/>
      </c>
      <c r="E205">
        <f>L205</f>
        <v/>
      </c>
      <c r="F205" s="236">
        <f>Z205</f>
        <v/>
      </c>
      <c r="G205">
        <f>U205&amp;"%"</f>
        <v/>
      </c>
      <c r="I205" s="53" t="n">
        <v>2020</v>
      </c>
      <c r="J205" s="53" t="n">
        <v>204</v>
      </c>
      <c r="K205" s="71" t="inlineStr">
        <is>
          <t>Ausgaben</t>
        </is>
      </c>
      <c r="L205" t="inlineStr">
        <is>
          <t>sonstige Betriebsausgaben</t>
        </is>
      </c>
      <c r="M205" s="74" t="inlineStr">
        <is>
          <t>HKA/20-01-39452</t>
        </is>
      </c>
      <c r="N205" s="1" t="n">
        <v>44140</v>
      </c>
      <c r="O205" t="inlineStr">
        <is>
          <t>Techem Messtechnik GmbH; Abnehmernummer 501686-0003-11-(</t>
        </is>
      </c>
      <c r="Q205" s="76" t="n"/>
      <c r="R205" t="b">
        <v>0</v>
      </c>
      <c r="S205" s="214" t="n">
        <v>35</v>
      </c>
      <c r="T205" s="159" t="n">
        <v>1</v>
      </c>
      <c r="U205" t="n">
        <v>20</v>
      </c>
      <c r="V205" s="237" t="n">
        <v>7</v>
      </c>
      <c r="W205" s="237" t="n">
        <v>7</v>
      </c>
      <c r="X205" s="208" t="n">
        <v>35</v>
      </c>
      <c r="Y205" s="251" t="n">
        <v>42</v>
      </c>
      <c r="Z205" s="251" t="n">
        <v>42</v>
      </c>
      <c r="AA205" s="35" t="n">
        <v>44242</v>
      </c>
      <c r="AB205" s="27" t="n"/>
      <c r="AC205" s="27" t="n"/>
      <c r="AD205" s="210" t="n">
        <v>35</v>
      </c>
      <c r="AE205" s="237" t="n">
        <v>0</v>
      </c>
      <c r="AF205" t="b">
        <v>0</v>
      </c>
      <c r="AG205" s="228" t="n">
        <v>-35</v>
      </c>
    </row>
    <row r="206">
      <c r="A206">
        <f>I206&amp;"-"&amp;J206</f>
        <v/>
      </c>
      <c r="B206" s="1">
        <f>N206</f>
        <v/>
      </c>
      <c r="C206">
        <f>M206&amp;"/"&amp;O206</f>
        <v/>
      </c>
      <c r="D206">
        <f>K206</f>
        <v/>
      </c>
      <c r="E206">
        <f>L206</f>
        <v/>
      </c>
      <c r="F206" s="236">
        <f>Z206</f>
        <v/>
      </c>
      <c r="G206">
        <f>U206&amp;"%"</f>
        <v/>
      </c>
      <c r="I206" s="53" t="n">
        <v>2020</v>
      </c>
      <c r="J206" s="53" t="n">
        <v>205</v>
      </c>
      <c r="K206" s="71" t="inlineStr">
        <is>
          <t>Ausgaben</t>
        </is>
      </c>
      <c r="L206" t="inlineStr">
        <is>
          <t>sonstige Betriebsausgaben</t>
        </is>
      </c>
      <c r="M206" s="74" t="inlineStr">
        <is>
          <t>R0012216893</t>
        </is>
      </c>
      <c r="N206" s="1" t="n">
        <v>44141</v>
      </c>
      <c r="O206" t="inlineStr">
        <is>
          <t>Hetzner Online GmbH</t>
        </is>
      </c>
      <c r="Q206" s="76" t="n"/>
      <c r="R206" t="b">
        <v>0</v>
      </c>
      <c r="S206" s="214" t="n">
        <v>2.49</v>
      </c>
      <c r="T206" s="159" t="n">
        <v>1</v>
      </c>
      <c r="U206" t="n">
        <v>0</v>
      </c>
      <c r="V206" s="237" t="n">
        <v>0</v>
      </c>
      <c r="W206" s="237" t="n">
        <v>0</v>
      </c>
      <c r="X206" s="208" t="n">
        <v>2.49</v>
      </c>
      <c r="Y206" s="251" t="n">
        <v>2.49</v>
      </c>
      <c r="Z206" s="251" t="n">
        <v>2.49</v>
      </c>
      <c r="AA206" s="35" t="n">
        <v>44242</v>
      </c>
      <c r="AB206" s="27" t="n"/>
      <c r="AC206" s="27" t="n">
        <v>20</v>
      </c>
      <c r="AD206" s="210" t="n">
        <v>2.49</v>
      </c>
      <c r="AE206" s="237" t="n">
        <v>0.4980000000000001</v>
      </c>
      <c r="AF206" t="b">
        <v>0</v>
      </c>
      <c r="AG206" s="228" t="n">
        <v>-2.49</v>
      </c>
    </row>
    <row r="207">
      <c r="A207">
        <f>I207&amp;"-"&amp;J207</f>
        <v/>
      </c>
      <c r="B207" s="1">
        <f>N207</f>
        <v/>
      </c>
      <c r="C207">
        <f>M207&amp;"/"&amp;O207</f>
        <v/>
      </c>
      <c r="D207">
        <f>K207</f>
        <v/>
      </c>
      <c r="E207">
        <f>L207</f>
        <v/>
      </c>
      <c r="F207" s="236">
        <f>Z207</f>
        <v/>
      </c>
      <c r="G207">
        <f>U207&amp;"%"</f>
        <v/>
      </c>
      <c r="I207" s="53" t="n">
        <v>2020</v>
      </c>
      <c r="J207" s="53" t="n">
        <v>206</v>
      </c>
      <c r="K207" s="71" t="inlineStr">
        <is>
          <t>Einnahmen</t>
        </is>
      </c>
      <c r="L207" t="inlineStr">
        <is>
          <t>Waren-/Leistungserlöse</t>
        </is>
      </c>
      <c r="M207" s="74" t="n">
        <v>12020035</v>
      </c>
      <c r="N207" s="1" t="n">
        <v>44144</v>
      </c>
      <c r="O207" t="inlineStr">
        <is>
          <t>DCF - Digital Coding Factory GmbH, Bauernfeldgasse 4/12 1090 Wien</t>
        </is>
      </c>
      <c r="Q207" s="76" t="n"/>
      <c r="R207" t="b">
        <v>0</v>
      </c>
      <c r="S207" s="214" t="n">
        <v>9810</v>
      </c>
      <c r="T207" s="159" t="n">
        <v>1</v>
      </c>
      <c r="U207" t="n">
        <v>20</v>
      </c>
      <c r="V207" s="237" t="n">
        <v>1962</v>
      </c>
      <c r="W207" s="237" t="n">
        <v>1962</v>
      </c>
      <c r="X207" s="208" t="n">
        <v>9810</v>
      </c>
      <c r="Y207" s="251" t="n">
        <v>11772</v>
      </c>
      <c r="Z207" s="251" t="n">
        <v>11772</v>
      </c>
      <c r="AA207" s="35" t="n">
        <v>44242</v>
      </c>
      <c r="AB207" s="27" t="n"/>
      <c r="AC207" s="27" t="n"/>
      <c r="AD207" s="210" t="n">
        <v>9810</v>
      </c>
      <c r="AE207" s="237" t="n">
        <v>0</v>
      </c>
      <c r="AF207" t="b">
        <v>0</v>
      </c>
      <c r="AG207" s="228" t="n">
        <v>9810</v>
      </c>
    </row>
    <row r="208">
      <c r="A208">
        <f>I208&amp;"-"&amp;J208</f>
        <v/>
      </c>
      <c r="B208" s="1">
        <f>N208</f>
        <v/>
      </c>
      <c r="C208">
        <f>M208&amp;"/"&amp;O208</f>
        <v/>
      </c>
      <c r="D208">
        <f>K208</f>
        <v/>
      </c>
      <c r="E208">
        <f>L208</f>
        <v/>
      </c>
      <c r="F208" s="236">
        <f>Z208</f>
        <v/>
      </c>
      <c r="G208">
        <f>U208&amp;"%"</f>
        <v/>
      </c>
      <c r="I208" s="53" t="n">
        <v>2020</v>
      </c>
      <c r="J208" s="53" t="n">
        <v>207</v>
      </c>
      <c r="K208" s="71" t="inlineStr">
        <is>
          <t>Einnahmen</t>
        </is>
      </c>
      <c r="L208" t="inlineStr">
        <is>
          <t>Waren-/Leistungserlöse</t>
        </is>
      </c>
      <c r="M208" s="74" t="n">
        <v>12020034</v>
      </c>
      <c r="N208" s="1" t="n">
        <v>44144</v>
      </c>
      <c r="O208" t="inlineStr">
        <is>
          <t>DCF - Digital Coding Factory GmbH, Bauernfeldgasse 4/12 1090 Wien</t>
        </is>
      </c>
      <c r="Q208" s="76" t="n"/>
      <c r="R208" t="b">
        <v>0</v>
      </c>
      <c r="S208" s="214" t="n">
        <v>420</v>
      </c>
      <c r="T208" s="159" t="n">
        <v>1</v>
      </c>
      <c r="U208" t="n">
        <v>20</v>
      </c>
      <c r="V208" s="237" t="n">
        <v>84</v>
      </c>
      <c r="W208" s="237" t="n">
        <v>84</v>
      </c>
      <c r="X208" s="208" t="n">
        <v>420</v>
      </c>
      <c r="Y208" s="251" t="n">
        <v>504</v>
      </c>
      <c r="Z208" s="251" t="n">
        <v>504</v>
      </c>
      <c r="AA208" s="35" t="n">
        <v>44242</v>
      </c>
      <c r="AB208" s="27" t="n"/>
      <c r="AC208" s="27" t="n"/>
      <c r="AD208" s="210" t="n">
        <v>420</v>
      </c>
      <c r="AE208" s="237" t="n">
        <v>0</v>
      </c>
      <c r="AF208" t="b">
        <v>0</v>
      </c>
      <c r="AG208" s="228" t="n">
        <v>420</v>
      </c>
    </row>
    <row r="209">
      <c r="A209">
        <f>I209&amp;"-"&amp;J209</f>
        <v/>
      </c>
      <c r="B209" s="1">
        <f>N209</f>
        <v/>
      </c>
      <c r="C209">
        <f>M209&amp;"/"&amp;O209</f>
        <v/>
      </c>
      <c r="D209">
        <f>K209</f>
        <v/>
      </c>
      <c r="E209">
        <f>L209</f>
        <v/>
      </c>
      <c r="F209" s="236">
        <f>Z209</f>
        <v/>
      </c>
      <c r="G209">
        <f>U209&amp;"%"</f>
        <v/>
      </c>
      <c r="I209" s="53" t="n">
        <v>2020</v>
      </c>
      <c r="J209" s="53" t="n">
        <v>208</v>
      </c>
      <c r="K209" s="71" t="inlineStr">
        <is>
          <t>Ausgaben</t>
        </is>
      </c>
      <c r="L209" t="inlineStr">
        <is>
          <t>sonstige Betriebsausgaben</t>
        </is>
      </c>
      <c r="M209" s="74" t="inlineStr">
        <is>
          <t>5112142283</t>
        </is>
      </c>
      <c r="N209" s="1" t="n">
        <v>44145</v>
      </c>
      <c r="O209" t="inlineStr">
        <is>
          <t>Wiener Netze GmbH, Erdbergstraße 236, 1110 Wien, Postfach 422</t>
        </is>
      </c>
      <c r="Q209" s="76" t="n"/>
      <c r="R209" t="b">
        <v>0</v>
      </c>
      <c r="S209" s="214" t="n">
        <v>29</v>
      </c>
      <c r="T209" s="159" t="n">
        <v>1</v>
      </c>
      <c r="U209" t="n">
        <v>20</v>
      </c>
      <c r="V209" s="237" t="n">
        <v>5.8</v>
      </c>
      <c r="W209" s="237" t="n">
        <v>5.8</v>
      </c>
      <c r="X209" s="208" t="n">
        <v>29</v>
      </c>
      <c r="Y209" s="251" t="n">
        <v>34.8</v>
      </c>
      <c r="Z209" s="251" t="n">
        <v>34.8</v>
      </c>
      <c r="AA209" s="35" t="n">
        <v>44242</v>
      </c>
      <c r="AB209" s="27" t="n"/>
      <c r="AC209" s="27" t="n"/>
      <c r="AD209" s="210" t="n">
        <v>29</v>
      </c>
      <c r="AE209" s="237" t="n">
        <v>0</v>
      </c>
      <c r="AF209" t="b">
        <v>0</v>
      </c>
      <c r="AG209" s="228" t="n">
        <v>-29</v>
      </c>
    </row>
    <row r="210">
      <c r="A210">
        <f>I210&amp;"-"&amp;J210</f>
        <v/>
      </c>
      <c r="B210" s="1">
        <f>N210</f>
        <v/>
      </c>
      <c r="C210">
        <f>M210&amp;"/"&amp;O210</f>
        <v/>
      </c>
      <c r="D210">
        <f>K210</f>
        <v/>
      </c>
      <c r="E210">
        <f>L210</f>
        <v/>
      </c>
      <c r="F210" s="236">
        <f>Z210</f>
        <v/>
      </c>
      <c r="G210">
        <f>U210&amp;"%"</f>
        <v/>
      </c>
      <c r="I210" s="53" t="n">
        <v>2020</v>
      </c>
      <c r="J210" s="53" t="n">
        <v>209</v>
      </c>
      <c r="K210" s="71" t="inlineStr">
        <is>
          <t>Einnahmen</t>
        </is>
      </c>
      <c r="L210" t="inlineStr">
        <is>
          <t>Waren-/Leistungserlöse</t>
        </is>
      </c>
      <c r="M210" s="74" t="n">
        <v>12020037</v>
      </c>
      <c r="N210" s="1" t="n">
        <v>44146</v>
      </c>
      <c r="O210" t="inlineStr">
        <is>
          <t>DCF - Digital Coding Factory GmbH, Bauernfeldgasse 4/12 1090 Wien</t>
        </is>
      </c>
      <c r="Q210" s="76" t="n"/>
      <c r="R210" t="b">
        <v>0</v>
      </c>
      <c r="S210" s="214" t="n">
        <v>14.94</v>
      </c>
      <c r="T210" s="159" t="n">
        <v>1</v>
      </c>
      <c r="U210" t="n">
        <v>20</v>
      </c>
      <c r="V210" s="237" t="n">
        <v>2.988</v>
      </c>
      <c r="W210" s="237" t="n">
        <v>2.988</v>
      </c>
      <c r="X210" s="208" t="n">
        <v>14.94</v>
      </c>
      <c r="Y210" s="251" t="n">
        <v>17.928</v>
      </c>
      <c r="Z210" s="251" t="n">
        <v>17.928</v>
      </c>
      <c r="AA210" s="35" t="n">
        <v>44242</v>
      </c>
      <c r="AB210" s="27" t="n"/>
      <c r="AC210" s="27" t="n"/>
      <c r="AD210" s="210" t="n">
        <v>14.94</v>
      </c>
      <c r="AE210" s="237" t="n">
        <v>0</v>
      </c>
      <c r="AF210" t="b">
        <v>0</v>
      </c>
      <c r="AG210" s="228" t="n">
        <v>14.94</v>
      </c>
    </row>
    <row r="211">
      <c r="A211">
        <f>I211&amp;"-"&amp;J211</f>
        <v/>
      </c>
      <c r="B211" s="1">
        <f>N211</f>
        <v/>
      </c>
      <c r="C211">
        <f>M211&amp;"/"&amp;O211</f>
        <v/>
      </c>
      <c r="D211">
        <f>K211</f>
        <v/>
      </c>
      <c r="E211">
        <f>L211</f>
        <v/>
      </c>
      <c r="F211" s="236">
        <f>Z211</f>
        <v/>
      </c>
      <c r="G211">
        <f>U211&amp;"%"</f>
        <v/>
      </c>
      <c r="I211" s="53" t="n">
        <v>2020</v>
      </c>
      <c r="J211" s="53" t="n">
        <v>210</v>
      </c>
      <c r="K211" s="71" t="inlineStr">
        <is>
          <t>Ausgaben</t>
        </is>
      </c>
      <c r="L211" t="inlineStr">
        <is>
          <t>sonstige Betriebsausgaben</t>
        </is>
      </c>
      <c r="M211" s="74" t="inlineStr">
        <is>
          <t>R0012257918</t>
        </is>
      </c>
      <c r="N211" s="1" t="n">
        <v>44147</v>
      </c>
      <c r="O211" t="inlineStr">
        <is>
          <t>Hetzner Online GmbH</t>
        </is>
      </c>
      <c r="Q211" s="76" t="n"/>
      <c r="R211" t="b">
        <v>0</v>
      </c>
      <c r="S211" s="214" t="n">
        <v>46.92</v>
      </c>
      <c r="T211" s="159" t="n">
        <v>1</v>
      </c>
      <c r="U211" t="n">
        <v>0</v>
      </c>
      <c r="V211" s="237" t="n">
        <v>0</v>
      </c>
      <c r="W211" s="237" t="n">
        <v>0</v>
      </c>
      <c r="X211" s="208" t="n">
        <v>46.92</v>
      </c>
      <c r="Y211" s="251" t="n">
        <v>46.92</v>
      </c>
      <c r="Z211" s="251" t="n">
        <v>46.92</v>
      </c>
      <c r="AA211" s="35" t="n">
        <v>44242</v>
      </c>
      <c r="AB211" s="27" t="n"/>
      <c r="AC211" s="27" t="n">
        <v>20</v>
      </c>
      <c r="AD211" s="210" t="n">
        <v>46.92</v>
      </c>
      <c r="AE211" s="237" t="n">
        <v>9.384</v>
      </c>
      <c r="AF211" t="b">
        <v>0</v>
      </c>
      <c r="AG211" s="228" t="n">
        <v>-46.92</v>
      </c>
    </row>
    <row r="212">
      <c r="A212">
        <f>I212&amp;"-"&amp;J212</f>
        <v/>
      </c>
      <c r="B212" s="1">
        <f>N212</f>
        <v/>
      </c>
      <c r="C212">
        <f>M212&amp;"/"&amp;O212</f>
        <v/>
      </c>
      <c r="D212">
        <f>K212</f>
        <v/>
      </c>
      <c r="E212">
        <f>L212</f>
        <v/>
      </c>
      <c r="F212" s="236">
        <f>Z212</f>
        <v/>
      </c>
      <c r="G212">
        <f>U212&amp;"%"</f>
        <v/>
      </c>
      <c r="I212" s="53" t="n">
        <v>2020</v>
      </c>
      <c r="J212" s="53" t="n">
        <v>211</v>
      </c>
      <c r="K212" s="71" t="inlineStr">
        <is>
          <t>Ausgaben</t>
        </is>
      </c>
      <c r="L212" t="inlineStr">
        <is>
          <t>Seminargebühren</t>
        </is>
      </c>
      <c r="M212" s="74" t="inlineStr">
        <is>
          <t>WEB-R-2020-11-0054</t>
        </is>
      </c>
      <c r="N212" s="1" t="n">
        <v>44154</v>
      </c>
      <c r="O212" t="inlineStr">
        <is>
          <t>Software Quality Lab GmbH, Gewerbepark Urfahr 6, 4040 Linz: ISTQB CTFL online</t>
        </is>
      </c>
      <c r="Q212" s="76" t="n"/>
      <c r="R212" t="b">
        <v>0</v>
      </c>
      <c r="S212" s="214" t="n">
        <v>450</v>
      </c>
      <c r="T212" s="159" t="n">
        <v>1</v>
      </c>
      <c r="U212" t="n">
        <v>20</v>
      </c>
      <c r="V212" s="237" t="n">
        <v>90</v>
      </c>
      <c r="W212" s="237" t="n">
        <v>90</v>
      </c>
      <c r="X212" s="208" t="n">
        <v>450</v>
      </c>
      <c r="Y212" s="251" t="n">
        <v>540</v>
      </c>
      <c r="Z212" s="251" t="n">
        <v>540</v>
      </c>
      <c r="AA212" s="35" t="n">
        <v>44242</v>
      </c>
      <c r="AB212" s="27" t="n"/>
      <c r="AC212" s="27" t="n"/>
      <c r="AD212" s="210" t="n">
        <v>450</v>
      </c>
      <c r="AE212" s="237" t="n">
        <v>0</v>
      </c>
      <c r="AF212" t="b">
        <v>0</v>
      </c>
      <c r="AG212" s="228" t="n">
        <v>-450</v>
      </c>
    </row>
    <row r="213">
      <c r="A213">
        <f>I213&amp;"-"&amp;J213</f>
        <v/>
      </c>
      <c r="B213" s="1">
        <f>N213</f>
        <v/>
      </c>
      <c r="C213">
        <f>M213&amp;"/"&amp;O213</f>
        <v/>
      </c>
      <c r="D213">
        <f>K213</f>
        <v/>
      </c>
      <c r="E213">
        <f>L213</f>
        <v/>
      </c>
      <c r="F213" s="236">
        <f>Z213</f>
        <v/>
      </c>
      <c r="G213">
        <f>U213&amp;"%"</f>
        <v/>
      </c>
      <c r="I213" s="53" t="n">
        <v>2020</v>
      </c>
      <c r="J213" s="53" t="n">
        <v>212</v>
      </c>
      <c r="K213" s="71" t="inlineStr">
        <is>
          <t>Ausgaben</t>
        </is>
      </c>
      <c r="L213" t="inlineStr">
        <is>
          <t>Telefon/Internet</t>
        </is>
      </c>
      <c r="M213" s="75" t="inlineStr">
        <is>
          <t>901194491120</t>
        </is>
      </c>
      <c r="N213" s="1" t="n">
        <v>44155</v>
      </c>
      <c r="O213" t="inlineStr">
        <is>
          <t>Magenta: T-Mobile Austria GmbH, A-1120 Wien, PF 47</t>
        </is>
      </c>
      <c r="Q213" s="76" t="n"/>
      <c r="R213" t="b">
        <v>0</v>
      </c>
      <c r="S213" s="214" t="n">
        <v>35.24</v>
      </c>
      <c r="T213" s="159" t="n">
        <v>1</v>
      </c>
      <c r="U213" t="n">
        <v>20</v>
      </c>
      <c r="V213" s="237" t="n">
        <v>7.048000000000001</v>
      </c>
      <c r="W213" s="237" t="n">
        <v>7.048000000000001</v>
      </c>
      <c r="X213" s="208" t="n">
        <v>35.24</v>
      </c>
      <c r="Y213" s="251" t="n">
        <v>42.288</v>
      </c>
      <c r="Z213" s="251" t="n">
        <v>42.288</v>
      </c>
      <c r="AA213" s="35" t="n">
        <v>44242</v>
      </c>
      <c r="AB213" s="27" t="n"/>
      <c r="AC213" s="27" t="n"/>
      <c r="AD213" s="210" t="n">
        <v>35.24</v>
      </c>
      <c r="AE213" s="237" t="n">
        <v>0</v>
      </c>
      <c r="AF213" t="b">
        <v>0</v>
      </c>
      <c r="AG213" s="228" t="n">
        <v>-35.24</v>
      </c>
    </row>
    <row r="214">
      <c r="A214">
        <f>I214&amp;"-"&amp;J214</f>
        <v/>
      </c>
      <c r="B214" s="1">
        <f>N214</f>
        <v/>
      </c>
      <c r="C214">
        <f>M214&amp;"/"&amp;O214</f>
        <v/>
      </c>
      <c r="D214">
        <f>K214</f>
        <v/>
      </c>
      <c r="E214">
        <f>L214</f>
        <v/>
      </c>
      <c r="F214" s="236">
        <f>Z214</f>
        <v/>
      </c>
      <c r="G214">
        <f>U214&amp;"%"</f>
        <v/>
      </c>
      <c r="I214" s="53" t="n">
        <v>2020</v>
      </c>
      <c r="J214" s="53" t="n">
        <v>213</v>
      </c>
      <c r="K214" s="71" t="inlineStr">
        <is>
          <t>Ausgaben</t>
        </is>
      </c>
      <c r="L214" t="inlineStr">
        <is>
          <t>sonstige Betriebsausgaben</t>
        </is>
      </c>
      <c r="M214" s="74" t="inlineStr">
        <is>
          <t>RE0912489</t>
        </is>
      </c>
      <c r="N214" s="1" t="n">
        <v>44155</v>
      </c>
      <c r="O214" t="inlineStr">
        <is>
          <t>easyname GmbH, Fernkorngasse 10/3/501, A-1100 Wien</t>
        </is>
      </c>
      <c r="Q214" s="76" t="n"/>
      <c r="R214" t="b">
        <v>0</v>
      </c>
      <c r="S214" s="214" t="n">
        <v>16.58</v>
      </c>
      <c r="T214" s="159" t="n">
        <v>1</v>
      </c>
      <c r="U214" t="n">
        <v>20</v>
      </c>
      <c r="V214" s="237" t="n">
        <v>3.316</v>
      </c>
      <c r="W214" s="237" t="n">
        <v>3.316</v>
      </c>
      <c r="X214" s="208" t="n">
        <v>16.58</v>
      </c>
      <c r="Y214" s="251" t="n">
        <v>19.896</v>
      </c>
      <c r="Z214" s="251" t="n">
        <v>19.896</v>
      </c>
      <c r="AA214" s="35" t="n">
        <v>44242</v>
      </c>
      <c r="AB214" s="27" t="n"/>
      <c r="AC214" s="27" t="n"/>
      <c r="AD214" s="210" t="n">
        <v>16.58</v>
      </c>
      <c r="AE214" s="237" t="n">
        <v>0</v>
      </c>
      <c r="AF214" t="b">
        <v>0</v>
      </c>
      <c r="AG214" s="228" t="n">
        <v>-16.58</v>
      </c>
    </row>
    <row r="215">
      <c r="A215">
        <f>I215&amp;"-"&amp;J215</f>
        <v/>
      </c>
      <c r="B215" s="1">
        <f>N215</f>
        <v/>
      </c>
      <c r="C215">
        <f>M215&amp;"/"&amp;O215</f>
        <v/>
      </c>
      <c r="D215">
        <f>K215</f>
        <v/>
      </c>
      <c r="E215">
        <f>L215</f>
        <v/>
      </c>
      <c r="F215" s="236">
        <f>Z215</f>
        <v/>
      </c>
      <c r="G215">
        <f>U215&amp;"%"</f>
        <v/>
      </c>
      <c r="I215" s="53" t="n">
        <v>2020</v>
      </c>
      <c r="J215" s="53" t="n">
        <v>214</v>
      </c>
      <c r="K215" s="71" t="inlineStr">
        <is>
          <t>Ausgaben</t>
        </is>
      </c>
      <c r="L215" t="inlineStr">
        <is>
          <t>sonstige Betriebsausgaben</t>
        </is>
      </c>
      <c r="M215" s="74" t="inlineStr">
        <is>
          <t>6568004907</t>
        </is>
      </c>
      <c r="N215" s="1" t="n">
        <v>44161</v>
      </c>
      <c r="O215" t="inlineStr">
        <is>
          <t>Digital River Ireland, Ltd., Dromore House, East Park, Shannon, County Clare, V14 AN23, Ireland; UID ATU66641618</t>
        </is>
      </c>
      <c r="Q215" s="76" t="n"/>
      <c r="R215" t="b">
        <v>0</v>
      </c>
      <c r="S215" s="214" t="n">
        <v>71.40000000000001</v>
      </c>
      <c r="T215" s="159" t="n">
        <v>1</v>
      </c>
      <c r="U215" t="n">
        <v>20</v>
      </c>
      <c r="V215" s="237" t="n">
        <v>14.28</v>
      </c>
      <c r="W215" s="237" t="n">
        <v>14.28</v>
      </c>
      <c r="X215" s="208" t="n">
        <v>71.40000000000001</v>
      </c>
      <c r="Y215" s="251" t="n">
        <v>85.68000000000001</v>
      </c>
      <c r="Z215" s="251" t="n">
        <v>85.68000000000001</v>
      </c>
      <c r="AA215" s="35" t="n">
        <v>44242</v>
      </c>
      <c r="AB215" s="27" t="n"/>
      <c r="AC215" s="27" t="n"/>
      <c r="AD215" s="210" t="n">
        <v>71.40000000000001</v>
      </c>
      <c r="AE215" s="237" t="n">
        <v>0</v>
      </c>
      <c r="AF215" t="b">
        <v>0</v>
      </c>
      <c r="AG215" s="228" t="n">
        <v>-71.40000000000001</v>
      </c>
    </row>
    <row r="216">
      <c r="A216">
        <f>I216&amp;"-"&amp;J216</f>
        <v/>
      </c>
      <c r="B216" s="1">
        <f>N216</f>
        <v/>
      </c>
      <c r="C216">
        <f>M216&amp;"/"&amp;O216</f>
        <v/>
      </c>
      <c r="D216">
        <f>K216</f>
        <v/>
      </c>
      <c r="E216">
        <f>L216</f>
        <v/>
      </c>
      <c r="F216" s="236">
        <f>Z216</f>
        <v/>
      </c>
      <c r="G216">
        <f>U216&amp;"%"</f>
        <v/>
      </c>
      <c r="I216" s="53" t="n">
        <v>2020</v>
      </c>
      <c r="J216" s="53" t="n">
        <v>215</v>
      </c>
      <c r="K216" s="71" t="inlineStr">
        <is>
          <t>Ausgaben</t>
        </is>
      </c>
      <c r="L216" t="inlineStr">
        <is>
          <t>Pflichversicherungsbeiträge</t>
        </is>
      </c>
      <c r="M216" s="74" t="n"/>
      <c r="N216" s="1" t="n">
        <v>44162</v>
      </c>
      <c r="O216" t="inlineStr">
        <is>
          <t>Sozialversicherung der gewerblichen Wirtshaft</t>
        </is>
      </c>
      <c r="Q216" s="76" t="n"/>
      <c r="R216" t="b">
        <v>0</v>
      </c>
      <c r="S216" s="214" t="n">
        <v>1709.58</v>
      </c>
      <c r="T216" s="159" t="n">
        <v>1</v>
      </c>
      <c r="U216" t="n">
        <v>0</v>
      </c>
      <c r="V216" s="237" t="n">
        <v>0</v>
      </c>
      <c r="W216" s="237" t="n">
        <v>0</v>
      </c>
      <c r="X216" s="208" t="n">
        <v>1709.58</v>
      </c>
      <c r="Y216" s="251" t="n">
        <v>1709.58</v>
      </c>
      <c r="Z216" s="251" t="n">
        <v>1709.58</v>
      </c>
      <c r="AA216" s="35" t="n">
        <v>44242</v>
      </c>
      <c r="AB216" s="27" t="n"/>
      <c r="AC216" s="27" t="n"/>
      <c r="AD216" s="210" t="n">
        <v>1709.58</v>
      </c>
      <c r="AE216" s="237" t="n">
        <v>0</v>
      </c>
      <c r="AF216" t="b">
        <v>0</v>
      </c>
      <c r="AG216" s="228" t="n">
        <v>-1709.58</v>
      </c>
    </row>
    <row r="217">
      <c r="A217">
        <f>I217&amp;"-"&amp;J217</f>
        <v/>
      </c>
      <c r="B217" s="1">
        <f>N217</f>
        <v/>
      </c>
      <c r="C217">
        <f>M217&amp;"/"&amp;O217</f>
        <v/>
      </c>
      <c r="D217">
        <f>K217</f>
        <v/>
      </c>
      <c r="E217">
        <f>L217</f>
        <v/>
      </c>
      <c r="F217" s="236">
        <f>Z217</f>
        <v/>
      </c>
      <c r="G217">
        <f>U217&amp;"%"</f>
        <v/>
      </c>
      <c r="I217" s="53" t="n">
        <v>2020</v>
      </c>
      <c r="J217" s="53" t="n">
        <v>216</v>
      </c>
      <c r="K217" s="71" t="inlineStr">
        <is>
          <t>Ausgaben</t>
        </is>
      </c>
      <c r="L217" t="inlineStr">
        <is>
          <t>Werbe- und Repräsentationsaufwand</t>
        </is>
      </c>
      <c r="M217" s="74" t="inlineStr">
        <is>
          <t>PRM320110004603</t>
        </is>
      </c>
      <c r="N217" s="1" t="n">
        <v>44166</v>
      </c>
      <c r="O217" t="inlineStr">
        <is>
          <t>New Work SE, Dammtorstraße 30, 20354 Hamburg</t>
        </is>
      </c>
      <c r="Q217" s="76" t="n"/>
      <c r="R217" t="b">
        <v>0</v>
      </c>
      <c r="S217" s="214" t="n">
        <v>24.88</v>
      </c>
      <c r="T217" s="159" t="n">
        <v>1</v>
      </c>
      <c r="U217" t="n">
        <v>0</v>
      </c>
      <c r="V217" s="237" t="n">
        <v>0</v>
      </c>
      <c r="W217" s="237" t="n">
        <v>0</v>
      </c>
      <c r="X217" s="208" t="n">
        <v>24.88</v>
      </c>
      <c r="Y217" s="251" t="n">
        <v>24.88</v>
      </c>
      <c r="Z217" s="251" t="n">
        <v>24.88</v>
      </c>
      <c r="AA217" s="35" t="n">
        <v>44242</v>
      </c>
      <c r="AB217" s="27" t="n"/>
      <c r="AC217" s="27" t="n">
        <v>20</v>
      </c>
      <c r="AD217" s="210" t="n">
        <v>24.88</v>
      </c>
      <c r="AE217" s="237" t="n">
        <v>4.976</v>
      </c>
      <c r="AF217" t="b">
        <v>0</v>
      </c>
      <c r="AG217" s="228" t="n">
        <v>-24.88</v>
      </c>
    </row>
    <row r="218">
      <c r="A218">
        <f>I218&amp;"-"&amp;J218</f>
        <v/>
      </c>
      <c r="B218" s="1">
        <f>N218</f>
        <v/>
      </c>
      <c r="C218">
        <f>M218&amp;"/"&amp;O218</f>
        <v/>
      </c>
      <c r="D218">
        <f>K218</f>
        <v/>
      </c>
      <c r="E218">
        <f>L218</f>
        <v/>
      </c>
      <c r="F218" s="236">
        <f>Z218</f>
        <v/>
      </c>
      <c r="G218">
        <f>U218&amp;"%"</f>
        <v/>
      </c>
      <c r="I218" s="53" t="n">
        <v>2020</v>
      </c>
      <c r="J218" s="53" t="n">
        <v>217</v>
      </c>
      <c r="K218" s="71" t="inlineStr">
        <is>
          <t>Ausgaben</t>
        </is>
      </c>
      <c r="L218" t="inlineStr">
        <is>
          <t>Miet- und Pachtaufwand, Leasing</t>
        </is>
      </c>
      <c r="M218" s="74" t="inlineStr">
        <is>
          <t>20/9801/VS00486</t>
        </is>
      </c>
      <c r="N218" s="1" t="n">
        <v>44166</v>
      </c>
      <c r="O218" t="inlineStr">
        <is>
          <t>Bontus Immobilienverwaltung GmbH, 1010 Wien, Franz Josefs Kai 65</t>
        </is>
      </c>
      <c r="Q218" s="76" t="n"/>
      <c r="R218" t="b">
        <v>0</v>
      </c>
      <c r="S218" s="214" t="n">
        <v>462.44</v>
      </c>
      <c r="T218" s="159" t="n">
        <v>1</v>
      </c>
      <c r="U218" t="n">
        <v>20</v>
      </c>
      <c r="V218" s="237" t="n">
        <v>92.488</v>
      </c>
      <c r="W218" s="237" t="n">
        <v>92.488</v>
      </c>
      <c r="X218" s="208" t="n">
        <v>462.44</v>
      </c>
      <c r="Y218" s="251" t="n">
        <v>554.928</v>
      </c>
      <c r="Z218" s="251" t="n">
        <v>554.928</v>
      </c>
      <c r="AA218" s="35" t="n">
        <v>44242</v>
      </c>
      <c r="AB218" s="27" t="n"/>
      <c r="AC218" s="27" t="n"/>
      <c r="AD218" s="210" t="n">
        <v>462.44</v>
      </c>
      <c r="AE218" s="237" t="n">
        <v>0</v>
      </c>
      <c r="AF218" t="b">
        <v>0</v>
      </c>
      <c r="AG218" s="228" t="n">
        <v>-462.44</v>
      </c>
    </row>
    <row r="219">
      <c r="A219">
        <f>I219&amp;"-"&amp;J219</f>
        <v/>
      </c>
      <c r="B219" s="1">
        <f>N219</f>
        <v/>
      </c>
      <c r="C219">
        <f>M219&amp;"/"&amp;O219</f>
        <v/>
      </c>
      <c r="D219">
        <f>K219</f>
        <v/>
      </c>
      <c r="E219">
        <f>L219</f>
        <v/>
      </c>
      <c r="F219" s="236">
        <f>Z219</f>
        <v/>
      </c>
      <c r="G219">
        <f>U219&amp;"%"</f>
        <v/>
      </c>
      <c r="I219" s="53" t="n">
        <v>2020</v>
      </c>
      <c r="J219" s="53" t="n">
        <v>218</v>
      </c>
      <c r="K219" s="71" t="inlineStr">
        <is>
          <t>Ausgaben</t>
        </is>
      </c>
      <c r="L219" t="inlineStr">
        <is>
          <t>sonstige Betriebsausgaben</t>
        </is>
      </c>
      <c r="M219" s="74" t="inlineStr">
        <is>
          <t>6569277447</t>
        </is>
      </c>
      <c r="N219" s="1" t="n">
        <v>44166</v>
      </c>
      <c r="O219" t="inlineStr">
        <is>
          <t>Digital River Ireland, Ltd., Dromore House, East Park, Shannon, County Clare, V14 AN23, Ireland; UID ATU66641618</t>
        </is>
      </c>
      <c r="Q219" s="76" t="n"/>
      <c r="R219" t="b">
        <v>0</v>
      </c>
      <c r="S219" s="214" t="n">
        <v>202.8</v>
      </c>
      <c r="T219" s="159" t="n">
        <v>1</v>
      </c>
      <c r="U219" t="n">
        <v>20</v>
      </c>
      <c r="V219" s="237" t="n">
        <v>40.56</v>
      </c>
      <c r="W219" s="237" t="n">
        <v>40.56</v>
      </c>
      <c r="X219" s="208" t="n">
        <v>202.8</v>
      </c>
      <c r="Y219" s="251" t="n">
        <v>243.36</v>
      </c>
      <c r="Z219" s="251" t="n">
        <v>243.36</v>
      </c>
      <c r="AA219" s="35" t="n">
        <v>44242</v>
      </c>
      <c r="AB219" s="27" t="n"/>
      <c r="AC219" s="27" t="n"/>
      <c r="AD219" s="210" t="n">
        <v>202.8</v>
      </c>
      <c r="AE219" s="237" t="n">
        <v>0</v>
      </c>
      <c r="AF219" t="b">
        <v>0</v>
      </c>
      <c r="AG219" s="228" t="n">
        <v>-202.8</v>
      </c>
    </row>
    <row r="220">
      <c r="A220">
        <f>I220&amp;"-"&amp;J220</f>
        <v/>
      </c>
      <c r="B220" s="1">
        <f>N220</f>
        <v/>
      </c>
      <c r="C220">
        <f>M220&amp;"/"&amp;O220</f>
        <v/>
      </c>
      <c r="D220">
        <f>K220</f>
        <v/>
      </c>
      <c r="E220">
        <f>L220</f>
        <v/>
      </c>
      <c r="F220" s="236">
        <f>Z220</f>
        <v/>
      </c>
      <c r="G220">
        <f>U220&amp;"%"</f>
        <v/>
      </c>
      <c r="I220" s="53" t="n">
        <v>2020</v>
      </c>
      <c r="J220" s="53" t="n">
        <v>219</v>
      </c>
      <c r="K220" s="71" t="inlineStr">
        <is>
          <t>Ausgaben</t>
        </is>
      </c>
      <c r="L220" t="inlineStr">
        <is>
          <t>Reise- und Fahrtspesen inkl. Kilometergeld und Diäten</t>
        </is>
      </c>
      <c r="M220" s="39" t="inlineStr">
        <is>
          <t>4293000000018420</t>
        </is>
      </c>
      <c r="N220" s="1" t="n">
        <v>44168</v>
      </c>
      <c r="O220" t="inlineStr">
        <is>
          <t>car2go Österreich GmbH, Hintere Zollamtstraße 9, 1030 Wien</t>
        </is>
      </c>
      <c r="Q220" s="76" t="n"/>
      <c r="R220" t="b">
        <v>0</v>
      </c>
      <c r="S220" s="214" t="n">
        <v>31.47</v>
      </c>
      <c r="T220" s="159" t="n">
        <v>1</v>
      </c>
      <c r="U220" t="n">
        <v>20</v>
      </c>
      <c r="V220" s="237" t="n">
        <v>6.3</v>
      </c>
      <c r="W220" s="237" t="n">
        <v>6.3</v>
      </c>
      <c r="X220" s="208" t="n">
        <v>31.47</v>
      </c>
      <c r="Y220" s="251" t="n">
        <v>37.77</v>
      </c>
      <c r="Z220" s="251" t="n">
        <v>37.77</v>
      </c>
      <c r="AA220" s="35" t="n">
        <v>44242</v>
      </c>
      <c r="AB220" s="27" t="n"/>
      <c r="AC220" s="27" t="n"/>
      <c r="AD220" s="210" t="n">
        <v>31.47</v>
      </c>
      <c r="AE220" s="237" t="n">
        <v>0</v>
      </c>
      <c r="AF220" t="b">
        <v>0</v>
      </c>
      <c r="AG220" s="228" t="n">
        <v>-31.47</v>
      </c>
    </row>
    <row r="221">
      <c r="A221">
        <f>I221&amp;"-"&amp;J221</f>
        <v/>
      </c>
      <c r="B221" s="1">
        <f>N221</f>
        <v/>
      </c>
      <c r="C221">
        <f>M221&amp;"/"&amp;O221</f>
        <v/>
      </c>
      <c r="D221">
        <f>K221</f>
        <v/>
      </c>
      <c r="E221">
        <f>L221</f>
        <v/>
      </c>
      <c r="F221" s="236">
        <f>Z221</f>
        <v/>
      </c>
      <c r="G221">
        <f>U221&amp;"%"</f>
        <v/>
      </c>
      <c r="I221" s="53" t="n">
        <v>2020</v>
      </c>
      <c r="J221" s="53" t="n">
        <v>220</v>
      </c>
      <c r="K221" s="71" t="inlineStr">
        <is>
          <t>Ausgaben</t>
        </is>
      </c>
      <c r="L221" t="inlineStr">
        <is>
          <t>Telefon/Internet</t>
        </is>
      </c>
      <c r="M221" s="74" t="n">
        <v>6212001185</v>
      </c>
      <c r="N221" s="1" t="n">
        <v>44168</v>
      </c>
      <c r="O221" t="inlineStr">
        <is>
          <t>Hutchison Drei Austria GmbH, Brünner Straße 52, 1210 Wien, Österreich</t>
        </is>
      </c>
      <c r="Q221" s="76" t="n"/>
      <c r="R221" t="b">
        <v>0</v>
      </c>
      <c r="S221" s="214" t="n">
        <v>15</v>
      </c>
      <c r="T221" s="159" t="n">
        <v>1</v>
      </c>
      <c r="U221" t="n">
        <v>20</v>
      </c>
      <c r="V221" s="237" t="n">
        <v>3</v>
      </c>
      <c r="W221" s="237" t="n">
        <v>3</v>
      </c>
      <c r="X221" s="208" t="n">
        <v>15</v>
      </c>
      <c r="Y221" s="251" t="n">
        <v>18</v>
      </c>
      <c r="Z221" s="251" t="n">
        <v>18</v>
      </c>
      <c r="AA221" s="35" t="n">
        <v>44242</v>
      </c>
      <c r="AB221" s="27" t="n"/>
      <c r="AC221" s="27" t="n"/>
      <c r="AD221" s="210" t="n">
        <v>15</v>
      </c>
      <c r="AE221" s="237" t="n">
        <v>0</v>
      </c>
      <c r="AF221" t="b">
        <v>0</v>
      </c>
      <c r="AG221" s="228" t="n">
        <v>-15</v>
      </c>
    </row>
    <row r="222">
      <c r="A222">
        <f>I222&amp;"-"&amp;J222</f>
        <v/>
      </c>
      <c r="B222" s="1">
        <f>N222</f>
        <v/>
      </c>
      <c r="C222">
        <f>M222&amp;"/"&amp;O222</f>
        <v/>
      </c>
      <c r="D222">
        <f>K222</f>
        <v/>
      </c>
      <c r="E222">
        <f>L222</f>
        <v/>
      </c>
      <c r="F222" s="236">
        <f>Z222</f>
        <v/>
      </c>
      <c r="G222">
        <f>U222&amp;"%"</f>
        <v/>
      </c>
      <c r="I222" s="53" t="n">
        <v>2020</v>
      </c>
      <c r="J222" s="53" t="n">
        <v>221</v>
      </c>
      <c r="K222" s="71" t="inlineStr">
        <is>
          <t>Ausgaben</t>
        </is>
      </c>
      <c r="L222" t="inlineStr">
        <is>
          <t>sonstige Betriebsausgaben</t>
        </is>
      </c>
      <c r="M222" s="74" t="inlineStr">
        <is>
          <t>807693</t>
        </is>
      </c>
      <c r="N222" s="1" t="n">
        <v>44168</v>
      </c>
      <c r="O222" t="inlineStr">
        <is>
          <t>easy green energy GmbH &amp; Co KG</t>
        </is>
      </c>
      <c r="Q222" s="76" t="n"/>
      <c r="R222" t="b">
        <v>0</v>
      </c>
      <c r="S222" s="214" t="n">
        <v>2.5</v>
      </c>
      <c r="T222" s="159" t="n">
        <v>1</v>
      </c>
      <c r="U222" t="n">
        <v>20</v>
      </c>
      <c r="V222" s="237" t="n">
        <v>0.5</v>
      </c>
      <c r="W222" s="237" t="n">
        <v>0.5</v>
      </c>
      <c r="X222" s="208" t="n">
        <v>2.5</v>
      </c>
      <c r="Y222" s="251" t="n">
        <v>3</v>
      </c>
      <c r="Z222" s="251" t="n">
        <v>3</v>
      </c>
      <c r="AA222" s="35" t="n">
        <v>44242</v>
      </c>
      <c r="AB222" s="27" t="n"/>
      <c r="AC222" s="27" t="n"/>
      <c r="AD222" s="210" t="n">
        <v>2.5</v>
      </c>
      <c r="AE222" s="237" t="n">
        <v>0</v>
      </c>
      <c r="AF222" t="b">
        <v>0</v>
      </c>
      <c r="AG222" s="228" t="n">
        <v>-2.5</v>
      </c>
    </row>
    <row r="223">
      <c r="A223">
        <f>I223&amp;"-"&amp;J223</f>
        <v/>
      </c>
      <c r="B223" s="1">
        <f>N223</f>
        <v/>
      </c>
      <c r="C223">
        <f>M223&amp;"/"&amp;O223</f>
        <v/>
      </c>
      <c r="D223">
        <f>K223</f>
        <v/>
      </c>
      <c r="E223">
        <f>L223</f>
        <v/>
      </c>
      <c r="F223" s="236">
        <f>Z223</f>
        <v/>
      </c>
      <c r="G223">
        <f>U223&amp;"%"</f>
        <v/>
      </c>
      <c r="I223" s="53" t="n">
        <v>2020</v>
      </c>
      <c r="J223" s="53" t="n">
        <v>222</v>
      </c>
      <c r="K223" s="71" t="inlineStr">
        <is>
          <t>Ausgaben</t>
        </is>
      </c>
      <c r="L223" t="inlineStr">
        <is>
          <t>sonstige Betriebsausgaben</t>
        </is>
      </c>
      <c r="M223" s="74" t="inlineStr">
        <is>
          <t>HKA/20-01-39452</t>
        </is>
      </c>
      <c r="N223" s="1" t="n">
        <v>44172</v>
      </c>
      <c r="O223" t="inlineStr">
        <is>
          <t>Techem Messtechnik GmbH; Abnehmernummer 501686-0003-11-(</t>
        </is>
      </c>
      <c r="Q223" s="76" t="n"/>
      <c r="R223" t="b">
        <v>0</v>
      </c>
      <c r="S223" s="214" t="n">
        <v>35</v>
      </c>
      <c r="T223" s="159" t="n">
        <v>1</v>
      </c>
      <c r="U223" t="n">
        <v>20</v>
      </c>
      <c r="V223" s="237" t="n">
        <v>7</v>
      </c>
      <c r="W223" s="237" t="n">
        <v>7</v>
      </c>
      <c r="X223" s="208" t="n">
        <v>35</v>
      </c>
      <c r="Y223" s="251" t="n">
        <v>42</v>
      </c>
      <c r="Z223" s="251" t="n">
        <v>42</v>
      </c>
      <c r="AA223" s="35" t="n">
        <v>44242</v>
      </c>
      <c r="AB223" s="27" t="n"/>
      <c r="AC223" s="27" t="n"/>
      <c r="AD223" s="210" t="n">
        <v>35</v>
      </c>
      <c r="AE223" s="237" t="n">
        <v>0</v>
      </c>
      <c r="AF223" t="b">
        <v>0</v>
      </c>
      <c r="AG223" s="228" t="n">
        <v>-35</v>
      </c>
    </row>
    <row r="224">
      <c r="A224">
        <f>I224&amp;"-"&amp;J224</f>
        <v/>
      </c>
      <c r="B224" s="1">
        <f>N224</f>
        <v/>
      </c>
      <c r="C224">
        <f>M224&amp;"/"&amp;O224</f>
        <v/>
      </c>
      <c r="D224">
        <f>K224</f>
        <v/>
      </c>
      <c r="E224">
        <f>L224</f>
        <v/>
      </c>
      <c r="F224" s="236">
        <f>Z224</f>
        <v/>
      </c>
      <c r="G224">
        <f>U224&amp;"%"</f>
        <v/>
      </c>
      <c r="I224" s="53" t="n">
        <v>2020</v>
      </c>
      <c r="J224" s="53" t="n">
        <v>223</v>
      </c>
      <c r="K224" s="71" t="inlineStr">
        <is>
          <t>Ausgaben</t>
        </is>
      </c>
      <c r="L224" t="inlineStr">
        <is>
          <t>sonstige Betriebsausgaben</t>
        </is>
      </c>
      <c r="M224" s="74" t="inlineStr">
        <is>
          <t>R0012390011</t>
        </is>
      </c>
      <c r="N224" s="1" t="n">
        <v>44172</v>
      </c>
      <c r="O224" t="inlineStr">
        <is>
          <t>Hetzner Online GmbH</t>
        </is>
      </c>
      <c r="Q224" s="76" t="n"/>
      <c r="R224" t="b">
        <v>0</v>
      </c>
      <c r="S224" s="214" t="n">
        <v>2.49</v>
      </c>
      <c r="T224" s="159" t="n">
        <v>1</v>
      </c>
      <c r="U224" t="n">
        <v>0</v>
      </c>
      <c r="V224" s="237" t="n">
        <v>0</v>
      </c>
      <c r="W224" s="237" t="n">
        <v>0</v>
      </c>
      <c r="X224" s="208" t="n">
        <v>2.49</v>
      </c>
      <c r="Y224" s="251" t="n">
        <v>2.49</v>
      </c>
      <c r="Z224" s="251" t="n">
        <v>2.49</v>
      </c>
      <c r="AA224" s="35" t="n">
        <v>44242</v>
      </c>
      <c r="AB224" s="27" t="n"/>
      <c r="AC224" s="27" t="n">
        <v>20</v>
      </c>
      <c r="AD224" s="210" t="n">
        <v>2.49</v>
      </c>
      <c r="AE224" s="237" t="n">
        <v>0.4980000000000001</v>
      </c>
      <c r="AF224" t="b">
        <v>0</v>
      </c>
      <c r="AG224" s="228" t="n">
        <v>-2.49</v>
      </c>
    </row>
    <row r="225">
      <c r="A225">
        <f>I225&amp;"-"&amp;J225</f>
        <v/>
      </c>
      <c r="B225" s="1">
        <f>N225</f>
        <v/>
      </c>
      <c r="C225">
        <f>M225&amp;"/"&amp;O225</f>
        <v/>
      </c>
      <c r="D225">
        <f>K225</f>
        <v/>
      </c>
      <c r="E225">
        <f>L225</f>
        <v/>
      </c>
      <c r="F225" s="236">
        <f>Z225</f>
        <v/>
      </c>
      <c r="G225">
        <f>U225&amp;"%"</f>
        <v/>
      </c>
      <c r="I225" s="53" t="n">
        <v>2020</v>
      </c>
      <c r="J225" s="53" t="n">
        <v>224</v>
      </c>
      <c r="K225" s="71" t="inlineStr">
        <is>
          <t>Ausgaben</t>
        </is>
      </c>
      <c r="L225" t="inlineStr">
        <is>
          <t>sonstige Betriebsausgaben</t>
        </is>
      </c>
      <c r="M225" s="74" t="inlineStr">
        <is>
          <t>R0012432377</t>
        </is>
      </c>
      <c r="N225" s="1" t="n">
        <v>44176</v>
      </c>
      <c r="O225" t="inlineStr">
        <is>
          <t>Hetzner Online GmbH</t>
        </is>
      </c>
      <c r="Q225" s="76" t="n"/>
      <c r="R225" t="b">
        <v>0</v>
      </c>
      <c r="S225" s="214" t="n">
        <v>46.92</v>
      </c>
      <c r="T225" s="159" t="n">
        <v>1</v>
      </c>
      <c r="U225" t="n">
        <v>0</v>
      </c>
      <c r="V225" s="237" t="n">
        <v>0</v>
      </c>
      <c r="W225" s="237" t="n">
        <v>0</v>
      </c>
      <c r="X225" s="208" t="n">
        <v>46.92</v>
      </c>
      <c r="Y225" s="251" t="n">
        <v>46.92</v>
      </c>
      <c r="Z225" s="251" t="n">
        <v>46.92</v>
      </c>
      <c r="AA225" s="35" t="n">
        <v>44242</v>
      </c>
      <c r="AB225" s="27" t="n"/>
      <c r="AC225" s="27" t="n">
        <v>20</v>
      </c>
      <c r="AD225" s="210" t="n">
        <v>46.92</v>
      </c>
      <c r="AE225" s="237" t="n">
        <v>9.384</v>
      </c>
      <c r="AF225" t="b">
        <v>0</v>
      </c>
      <c r="AG225" s="228" t="n">
        <v>-46.92</v>
      </c>
    </row>
    <row r="226">
      <c r="A226">
        <f>I226&amp;"-"&amp;J226</f>
        <v/>
      </c>
      <c r="B226" s="1">
        <f>N226</f>
        <v/>
      </c>
      <c r="C226">
        <f>M226&amp;"/"&amp;O226</f>
        <v/>
      </c>
      <c r="D226">
        <f>K226</f>
        <v/>
      </c>
      <c r="E226">
        <f>L226</f>
        <v/>
      </c>
      <c r="F226" s="236">
        <f>Z226</f>
        <v/>
      </c>
      <c r="G226">
        <f>U226&amp;"%"</f>
        <v/>
      </c>
      <c r="I226" s="53" t="n">
        <v>2020</v>
      </c>
      <c r="J226" s="53" t="n">
        <v>225</v>
      </c>
      <c r="K226" s="71" t="inlineStr">
        <is>
          <t>Einnahmen</t>
        </is>
      </c>
      <c r="L226" t="inlineStr">
        <is>
          <t>Waren-/Leistungserlöse</t>
        </is>
      </c>
      <c r="M226" s="74" t="inlineStr">
        <is>
          <t>12020031</t>
        </is>
      </c>
      <c r="N226" s="1" t="n">
        <v>44179</v>
      </c>
      <c r="O226" t="inlineStr">
        <is>
          <t>DCF - Digital Coding Factory GmbH, Bauernfeldgasse 4/12 1090 Wien</t>
        </is>
      </c>
      <c r="Q226" s="76" t="n"/>
      <c r="R226" t="b">
        <v>0</v>
      </c>
      <c r="S226" s="214" t="n">
        <v>510</v>
      </c>
      <c r="T226" s="159" t="n">
        <v>1</v>
      </c>
      <c r="U226" t="n">
        <v>20</v>
      </c>
      <c r="V226" s="237" t="n">
        <v>102</v>
      </c>
      <c r="W226" s="237" t="n">
        <v>102</v>
      </c>
      <c r="X226" s="208" t="n">
        <v>510</v>
      </c>
      <c r="Y226" s="251" t="n">
        <v>612</v>
      </c>
      <c r="Z226" s="251" t="n">
        <v>612</v>
      </c>
      <c r="AA226" s="35" t="n">
        <v>44242</v>
      </c>
      <c r="AB226" s="27" t="n"/>
      <c r="AC226" s="27" t="n"/>
      <c r="AD226" s="210" t="n">
        <v>510</v>
      </c>
      <c r="AE226" s="237" t="n">
        <v>0</v>
      </c>
      <c r="AF226" t="b">
        <v>0</v>
      </c>
      <c r="AG226" s="228" t="n">
        <v>510</v>
      </c>
    </row>
    <row r="227">
      <c r="A227">
        <f>I227&amp;"-"&amp;J227</f>
        <v/>
      </c>
      <c r="B227" s="1">
        <f>N227</f>
        <v/>
      </c>
      <c r="C227">
        <f>M227&amp;"/"&amp;O227</f>
        <v/>
      </c>
      <c r="D227">
        <f>K227</f>
        <v/>
      </c>
      <c r="E227">
        <f>L227</f>
        <v/>
      </c>
      <c r="F227" s="236">
        <f>Z227</f>
        <v/>
      </c>
      <c r="G227">
        <f>U227&amp;"%"</f>
        <v/>
      </c>
      <c r="I227" s="53" t="n">
        <v>2020</v>
      </c>
      <c r="J227" s="53" t="n">
        <v>226</v>
      </c>
      <c r="K227" s="71" t="inlineStr">
        <is>
          <t>Einnahmen</t>
        </is>
      </c>
      <c r="L227" t="inlineStr">
        <is>
          <t>Waren-/Leistungserlöse</t>
        </is>
      </c>
      <c r="M227" s="6" t="n">
        <v>12020032</v>
      </c>
      <c r="N227" s="1" t="n">
        <v>44179</v>
      </c>
      <c r="O227" t="inlineStr">
        <is>
          <t>DCF - Digital Coding Factory GmbH, Bauernfeldgasse 4/12 1090 Wien</t>
        </is>
      </c>
      <c r="Q227" s="76" t="n"/>
      <c r="R227" t="b">
        <v>0</v>
      </c>
      <c r="S227" s="214" t="n">
        <v>7260</v>
      </c>
      <c r="T227" s="159" t="n">
        <v>1</v>
      </c>
      <c r="U227" t="n">
        <v>20</v>
      </c>
      <c r="V227" s="237" t="n">
        <v>1452</v>
      </c>
      <c r="W227" s="237" t="n">
        <v>1452</v>
      </c>
      <c r="X227" s="208" t="n">
        <v>7260</v>
      </c>
      <c r="Y227" s="251" t="n">
        <v>8712</v>
      </c>
      <c r="Z227" s="251" t="n">
        <v>8712</v>
      </c>
      <c r="AA227" s="35" t="n">
        <v>44242</v>
      </c>
      <c r="AB227" s="27" t="n"/>
      <c r="AC227" s="27" t="n"/>
      <c r="AD227" s="210" t="n">
        <v>7260</v>
      </c>
      <c r="AE227" s="237" t="n">
        <v>0</v>
      </c>
      <c r="AF227" t="b">
        <v>0</v>
      </c>
      <c r="AG227" s="228" t="n">
        <v>7260</v>
      </c>
    </row>
    <row r="228">
      <c r="A228">
        <f>I228&amp;"-"&amp;J228</f>
        <v/>
      </c>
      <c r="B228" s="1">
        <f>N228</f>
        <v/>
      </c>
      <c r="C228">
        <f>M228&amp;"/"&amp;O228</f>
        <v/>
      </c>
      <c r="D228">
        <f>K228</f>
        <v/>
      </c>
      <c r="E228">
        <f>L228</f>
        <v/>
      </c>
      <c r="F228" s="236">
        <f>Z228</f>
        <v/>
      </c>
      <c r="G228">
        <f>U228&amp;"%"</f>
        <v/>
      </c>
      <c r="I228" s="53" t="n">
        <v>2020</v>
      </c>
      <c r="J228" s="53" t="n">
        <v>227</v>
      </c>
      <c r="K228" s="71" t="inlineStr">
        <is>
          <t>Ausgaben</t>
        </is>
      </c>
      <c r="L228" t="inlineStr">
        <is>
          <t>Telefon/Internet</t>
        </is>
      </c>
      <c r="M228" s="74" t="inlineStr">
        <is>
          <t>901201021220</t>
        </is>
      </c>
      <c r="N228" s="1" t="n">
        <v>44186</v>
      </c>
      <c r="O228" t="inlineStr">
        <is>
          <t>Magenta: T-Mobile Austria GmbH, A-1120 Wien, PF 47</t>
        </is>
      </c>
      <c r="Q228" s="76" t="n"/>
      <c r="R228" t="b">
        <v>0</v>
      </c>
      <c r="S228" s="214" t="n">
        <v>35.24</v>
      </c>
      <c r="T228" s="159" t="n">
        <v>1</v>
      </c>
      <c r="U228" t="n">
        <v>20</v>
      </c>
      <c r="V228" s="237" t="n">
        <v>7.048000000000001</v>
      </c>
      <c r="W228" s="237" t="n">
        <v>7.048000000000001</v>
      </c>
      <c r="X228" s="208" t="n">
        <v>35.24</v>
      </c>
      <c r="Y228" s="251" t="n">
        <v>42.288</v>
      </c>
      <c r="Z228" s="251" t="n">
        <v>42.288</v>
      </c>
      <c r="AA228" s="35" t="n">
        <v>44242</v>
      </c>
      <c r="AB228" s="27" t="n"/>
      <c r="AC228" s="27" t="n"/>
      <c r="AD228" s="210" t="n">
        <v>35.24</v>
      </c>
      <c r="AE228" s="237" t="n">
        <v>0</v>
      </c>
      <c r="AF228" t="b">
        <v>0</v>
      </c>
      <c r="AG228" s="228" t="n">
        <v>-35.24</v>
      </c>
    </row>
    <row r="229">
      <c r="A229">
        <f>I229&amp;"-"&amp;J229</f>
        <v/>
      </c>
      <c r="B229" s="1">
        <f>N229</f>
        <v/>
      </c>
      <c r="C229">
        <f>M229&amp;"/"&amp;O229</f>
        <v/>
      </c>
      <c r="D229">
        <f>K229</f>
        <v/>
      </c>
      <c r="E229">
        <f>L229</f>
        <v/>
      </c>
      <c r="F229" s="236">
        <f>Z229</f>
        <v/>
      </c>
      <c r="G229">
        <f>U229&amp;"%"</f>
        <v/>
      </c>
      <c r="I229" s="53" t="n">
        <v>2020</v>
      </c>
      <c r="J229" s="53" t="n">
        <v>228</v>
      </c>
      <c r="K229" s="71" t="inlineStr">
        <is>
          <t>Ausgaben</t>
        </is>
      </c>
      <c r="L229" t="inlineStr">
        <is>
          <t>sonstige Betriebsausgaben</t>
        </is>
      </c>
      <c r="M229" s="74" t="inlineStr">
        <is>
          <t>VS/19-01-05428</t>
        </is>
      </c>
      <c r="N229" s="1" t="n">
        <v>43987</v>
      </c>
      <c r="O229" t="inlineStr">
        <is>
          <t>Techem Messtechnik GmbH; Abnehmernummer 501686-0003-11-( (NACHTRAG 25.12.)</t>
        </is>
      </c>
      <c r="Q229" s="76" t="n"/>
      <c r="R229" t="b">
        <v>0</v>
      </c>
      <c r="S229" s="214" t="n">
        <v>36.58</v>
      </c>
      <c r="T229" s="159" t="n">
        <v>1</v>
      </c>
      <c r="U229" t="n">
        <v>20</v>
      </c>
      <c r="V229" s="237" t="n">
        <v>7.315999999999999</v>
      </c>
      <c r="W229" s="237" t="n">
        <v>7.315999999999999</v>
      </c>
      <c r="X229" s="208" t="n">
        <v>36.58</v>
      </c>
      <c r="Y229" s="251" t="n">
        <v>43.896</v>
      </c>
      <c r="Z229" s="251" t="n">
        <v>43.896</v>
      </c>
      <c r="AA229" s="35" t="n">
        <v>44058</v>
      </c>
      <c r="AB229" s="27" t="n"/>
      <c r="AC229" s="27" t="n"/>
      <c r="AD229" s="210" t="n">
        <v>36.58</v>
      </c>
      <c r="AE229" s="237" t="n">
        <v>0</v>
      </c>
      <c r="AF229" t="b">
        <v>0</v>
      </c>
      <c r="AG229" s="228" t="n">
        <v>-36.58</v>
      </c>
    </row>
    <row r="230">
      <c r="A230">
        <f>I230&amp;"-"&amp;J230</f>
        <v/>
      </c>
      <c r="B230" s="1">
        <f>N230</f>
        <v/>
      </c>
      <c r="C230">
        <f>M230&amp;"/"&amp;O230</f>
        <v/>
      </c>
      <c r="D230">
        <f>K230</f>
        <v/>
      </c>
      <c r="E230">
        <f>L230</f>
        <v/>
      </c>
      <c r="F230" s="236">
        <f>Z230</f>
        <v/>
      </c>
      <c r="G230">
        <f>U230&amp;"%"</f>
        <v/>
      </c>
      <c r="I230" s="53" t="n">
        <v>2020</v>
      </c>
      <c r="J230" s="53" t="n">
        <v>229</v>
      </c>
      <c r="K230" s="71" t="inlineStr">
        <is>
          <t>Ausgaben</t>
        </is>
      </c>
      <c r="L230" t="inlineStr">
        <is>
          <t>Pflichversicherungsbeiträge</t>
        </is>
      </c>
      <c r="M230" s="74" t="inlineStr">
        <is>
          <t>GSVG-Rechner</t>
        </is>
      </c>
      <c r="N230" s="1" t="n">
        <v>44190</v>
      </c>
      <c r="O230" t="inlineStr">
        <is>
          <t>Sozialversicherung der gewerblichen Wirtshaft</t>
        </is>
      </c>
      <c r="Q230" s="76" t="n"/>
      <c r="R230" t="b">
        <v>0</v>
      </c>
      <c r="S230" s="214" t="n">
        <v>13124.8</v>
      </c>
      <c r="T230" s="159" t="n">
        <v>1</v>
      </c>
      <c r="U230" t="n">
        <v>0</v>
      </c>
      <c r="V230" s="237" t="n">
        <v>0</v>
      </c>
      <c r="W230" s="237" t="n">
        <v>0</v>
      </c>
      <c r="X230" s="208" t="n">
        <v>13124.8</v>
      </c>
      <c r="Y230" s="251" t="n">
        <v>13124.8</v>
      </c>
      <c r="Z230" s="251" t="n">
        <v>13124.8</v>
      </c>
      <c r="AA230" s="35" t="n">
        <v>44242</v>
      </c>
      <c r="AB230" s="27" t="n"/>
      <c r="AC230" s="27" t="n"/>
      <c r="AD230" s="210" t="n">
        <v>13124.8</v>
      </c>
      <c r="AE230" s="237" t="n">
        <v>0</v>
      </c>
      <c r="AF230" t="b">
        <v>0</v>
      </c>
      <c r="AG230" s="228" t="n">
        <v>-13124.8</v>
      </c>
    </row>
    <row r="231">
      <c r="A231">
        <f>I231&amp;"-"&amp;J231</f>
        <v/>
      </c>
      <c r="B231" s="1">
        <f>N231</f>
        <v/>
      </c>
      <c r="C231">
        <f>M231&amp;"/"&amp;O231</f>
        <v/>
      </c>
      <c r="D231">
        <f>K231</f>
        <v/>
      </c>
      <c r="E231">
        <f>L231</f>
        <v/>
      </c>
      <c r="F231" s="236">
        <f>Z231</f>
        <v/>
      </c>
      <c r="G231">
        <f>U231&amp;"%"</f>
        <v/>
      </c>
      <c r="I231" s="53" t="n">
        <v>2020</v>
      </c>
      <c r="J231" s="53" t="n">
        <v>230</v>
      </c>
      <c r="K231" s="71" t="inlineStr">
        <is>
          <t>Ausgaben</t>
        </is>
      </c>
      <c r="L231" t="inlineStr">
        <is>
          <t>sonstige Betriebsausgaben</t>
        </is>
      </c>
      <c r="M231" s="74" t="inlineStr">
        <is>
          <t>I200002565115</t>
        </is>
      </c>
      <c r="N231" s="1" t="n">
        <v>44193</v>
      </c>
      <c r="O231" t="inlineStr">
        <is>
          <t>Hetzner Online GmbH</t>
        </is>
      </c>
      <c r="Q231" s="76" t="n"/>
      <c r="R231" t="b">
        <v>0</v>
      </c>
      <c r="S231" s="214" t="n">
        <v>10</v>
      </c>
      <c r="T231" s="159" t="n">
        <v>1</v>
      </c>
      <c r="U231" t="n">
        <v>0</v>
      </c>
      <c r="V231" s="237" t="n">
        <v>0</v>
      </c>
      <c r="W231" s="237" t="n">
        <v>0</v>
      </c>
      <c r="X231" s="208" t="n">
        <v>10</v>
      </c>
      <c r="Y231" s="251" t="n">
        <v>10</v>
      </c>
      <c r="Z231" s="251" t="n">
        <v>10</v>
      </c>
      <c r="AA231" s="35" t="n">
        <v>44242</v>
      </c>
      <c r="AB231" s="27" t="n"/>
      <c r="AC231" s="27" t="n">
        <v>20</v>
      </c>
      <c r="AD231" s="210" t="n">
        <v>10</v>
      </c>
      <c r="AE231" s="237" t="n">
        <v>2</v>
      </c>
      <c r="AF231" t="b">
        <v>0</v>
      </c>
      <c r="AG231" s="228" t="n">
        <v>-10</v>
      </c>
    </row>
    <row r="232">
      <c r="A232">
        <f>I232&amp;"-"&amp;J232</f>
        <v/>
      </c>
      <c r="B232" s="1">
        <f>N232</f>
        <v/>
      </c>
      <c r="C232">
        <f>M232&amp;"/"&amp;O232</f>
        <v/>
      </c>
      <c r="D232">
        <f>K232</f>
        <v/>
      </c>
      <c r="E232">
        <f>L232</f>
        <v/>
      </c>
      <c r="F232" s="236">
        <f>Z232</f>
        <v/>
      </c>
      <c r="G232">
        <f>U232&amp;"%"</f>
        <v/>
      </c>
      <c r="I232" s="53" t="n">
        <v>2020</v>
      </c>
      <c r="J232" s="53" t="n">
        <v>231</v>
      </c>
      <c r="K232" s="71" t="inlineStr">
        <is>
          <t>Ausgaben</t>
        </is>
      </c>
      <c r="L232" t="inlineStr">
        <is>
          <t>sonstige Betriebsausgaben</t>
        </is>
      </c>
      <c r="M232" s="74" t="inlineStr">
        <is>
          <t>6573659633</t>
        </is>
      </c>
      <c r="N232" s="1" t="n">
        <v>44193</v>
      </c>
      <c r="O232" t="inlineStr">
        <is>
          <t>Digital River Ireland, Ltd., Dromore House, East Park, Shannon, County Clare, V14 AN23, Ireland; UID ATU66641618</t>
        </is>
      </c>
      <c r="P232" t="n">
        <v>3</v>
      </c>
      <c r="Q232" s="76" t="n"/>
      <c r="R232" t="b">
        <v>1</v>
      </c>
      <c r="S232" s="214" t="n">
        <v>2046.38</v>
      </c>
      <c r="T232" s="159" t="n">
        <v>1</v>
      </c>
      <c r="U232" t="n">
        <v>20</v>
      </c>
      <c r="V232" s="237" t="n">
        <v>409.2760000000001</v>
      </c>
      <c r="W232" s="237" t="n">
        <v>409.2760000000001</v>
      </c>
      <c r="X232" s="208" t="n">
        <v>2046.38</v>
      </c>
      <c r="Y232" s="251" t="n">
        <v>2455.656</v>
      </c>
      <c r="Z232" s="251" t="n">
        <v>2455.656</v>
      </c>
      <c r="AA232" s="35" t="n">
        <v>44242</v>
      </c>
      <c r="AB232" s="27" t="n"/>
      <c r="AC232" s="27" t="n"/>
      <c r="AD232" s="210" t="e">
        <v>#DIV/0!</v>
      </c>
      <c r="AE232" s="237" t="n">
        <v>0</v>
      </c>
      <c r="AF232" t="b">
        <v>0</v>
      </c>
      <c r="AG232" s="228" t="n">
        <v>-2046.38</v>
      </c>
    </row>
    <row r="233">
      <c r="A233">
        <f>I233&amp;"-"&amp;J233</f>
        <v/>
      </c>
      <c r="B233" s="1">
        <f>N233</f>
        <v/>
      </c>
      <c r="C233">
        <f>M233&amp;"/"&amp;O233</f>
        <v/>
      </c>
      <c r="D233">
        <f>K233</f>
        <v/>
      </c>
      <c r="E233">
        <f>L233</f>
        <v/>
      </c>
      <c r="F233" s="236">
        <f>Z233</f>
        <v/>
      </c>
      <c r="G233">
        <f>U233&amp;"%"</f>
        <v/>
      </c>
      <c r="I233" s="53" t="n">
        <v>2020</v>
      </c>
      <c r="J233" s="53" t="n">
        <v>232</v>
      </c>
      <c r="K233" s="71" t="inlineStr">
        <is>
          <t>Ausgaben</t>
        </is>
      </c>
      <c r="L233" t="inlineStr">
        <is>
          <t>sonstige Betriebsausgaben</t>
        </is>
      </c>
      <c r="M233" s="74" t="inlineStr">
        <is>
          <t>5137082649</t>
        </is>
      </c>
      <c r="N233" s="1" t="n">
        <v>44193</v>
      </c>
      <c r="O233" t="inlineStr">
        <is>
          <t>Wiener Netze GmbH, Erdbergstraße 236, 1110 Wien, Postfach 422; Jahresabrechnung vom 17.12.20: GUTSCHRIFT</t>
        </is>
      </c>
      <c r="Q233" s="76" t="n"/>
      <c r="R233" t="b">
        <v>0</v>
      </c>
      <c r="S233" s="214" t="n">
        <v>-193.69</v>
      </c>
      <c r="T233" s="159" t="n">
        <v>1</v>
      </c>
      <c r="U233" t="n">
        <v>0</v>
      </c>
      <c r="V233" s="237" t="n">
        <v>0</v>
      </c>
      <c r="W233" s="237" t="n">
        <v>0</v>
      </c>
      <c r="X233" s="208" t="n">
        <v>-193.69</v>
      </c>
      <c r="Y233" s="251" t="n">
        <v>-193.69</v>
      </c>
      <c r="Z233" s="251" t="n">
        <v>-193.69</v>
      </c>
      <c r="AA233" s="35" t="n">
        <v>44242</v>
      </c>
      <c r="AB233" s="27" t="n"/>
      <c r="AC233" s="27" t="n">
        <v>20</v>
      </c>
      <c r="AD233" s="210" t="n">
        <v>-193.69</v>
      </c>
      <c r="AE233" s="237" t="n">
        <v>-38.738</v>
      </c>
      <c r="AF233" t="b">
        <v>0</v>
      </c>
      <c r="AG233" s="228" t="n">
        <v>193.69</v>
      </c>
    </row>
    <row r="234">
      <c r="A234">
        <f>I234&amp;"-"&amp;J234</f>
        <v/>
      </c>
      <c r="B234" s="1">
        <f>N234</f>
        <v/>
      </c>
      <c r="C234">
        <f>M234&amp;"/"&amp;O234</f>
        <v/>
      </c>
      <c r="D234">
        <f>K234</f>
        <v/>
      </c>
      <c r="E234">
        <f>L234</f>
        <v/>
      </c>
      <c r="F234" s="236">
        <f>Z234</f>
        <v/>
      </c>
      <c r="G234">
        <f>U234&amp;"%"</f>
        <v/>
      </c>
      <c r="I234" s="53" t="n">
        <v>2020</v>
      </c>
      <c r="J234" s="53" t="n">
        <v>233</v>
      </c>
      <c r="K234" s="71" t="inlineStr">
        <is>
          <t>Ausgaben</t>
        </is>
      </c>
      <c r="L234" t="inlineStr">
        <is>
          <t>Abschreibung Anlagevermögen</t>
        </is>
      </c>
      <c r="M234" s="39" t="n">
        <v>0</v>
      </c>
      <c r="N234" s="1" t="n">
        <v>44196</v>
      </c>
      <c r="O234" s="111" t="inlineStr">
        <is>
          <t>AfA 2020 - im letzten Jahr gab es diesen Posten nicht?</t>
        </is>
      </c>
      <c r="Q234" s="76" t="n"/>
      <c r="R234" t="b">
        <v>0</v>
      </c>
      <c r="S234" s="214" t="n">
        <v>0</v>
      </c>
      <c r="T234" s="159" t="n">
        <v>1</v>
      </c>
      <c r="U234" t="n">
        <v>0</v>
      </c>
      <c r="V234" s="237" t="n">
        <v>0</v>
      </c>
      <c r="W234" s="237" t="n">
        <v>0</v>
      </c>
      <c r="X234" s="208" t="n"/>
      <c r="Y234" s="251" t="n">
        <v>0</v>
      </c>
      <c r="Z234" s="251" t="n"/>
      <c r="AA234" s="35" t="n"/>
      <c r="AB234" s="27" t="n"/>
      <c r="AC234" s="27" t="n"/>
      <c r="AD234" s="210" t="n"/>
      <c r="AE234" s="237" t="n"/>
      <c r="AF234" t="b">
        <v>0</v>
      </c>
      <c r="AG234" s="228" t="n"/>
    </row>
    <row r="235">
      <c r="A235">
        <f>I235&amp;"-"&amp;J235</f>
        <v/>
      </c>
      <c r="B235" s="1">
        <f>N235</f>
        <v/>
      </c>
      <c r="C235">
        <f>M235&amp;"/"&amp;O235</f>
        <v/>
      </c>
      <c r="D235">
        <f>K235</f>
        <v/>
      </c>
      <c r="E235">
        <f>L235</f>
        <v/>
      </c>
      <c r="F235" s="236">
        <f>Z235</f>
        <v/>
      </c>
      <c r="G235">
        <f>U235&amp;"%"</f>
        <v/>
      </c>
      <c r="I235" s="53" t="n">
        <v>2020</v>
      </c>
      <c r="J235" s="53" t="n">
        <v>234</v>
      </c>
      <c r="K235" s="71" t="inlineStr">
        <is>
          <t>Einnahmen</t>
        </is>
      </c>
      <c r="L235" t="inlineStr">
        <is>
          <t>Waren-/Leistungserlöse</t>
        </is>
      </c>
      <c r="M235" s="114" t="n">
        <v>12020018</v>
      </c>
      <c r="N235" s="1" t="n">
        <v>43992</v>
      </c>
      <c r="O235" s="115" t="inlineStr">
        <is>
          <t>Nacherfassung</t>
        </is>
      </c>
      <c r="Q235" s="76" t="n"/>
      <c r="R235" t="b">
        <v>0</v>
      </c>
      <c r="S235" s="267" t="n">
        <v>2130</v>
      </c>
      <c r="T235" s="159" t="n">
        <v>1</v>
      </c>
      <c r="U235" t="n">
        <v>20</v>
      </c>
      <c r="V235" s="237" t="n">
        <v>426</v>
      </c>
      <c r="W235" s="237" t="n">
        <v>426</v>
      </c>
      <c r="X235" s="208" t="n">
        <v>2130</v>
      </c>
      <c r="Y235" s="251" t="n">
        <v>2556</v>
      </c>
      <c r="Z235" s="251" t="n">
        <v>2556</v>
      </c>
      <c r="AA235" s="35" t="n">
        <v>44058</v>
      </c>
      <c r="AB235" s="27" t="n"/>
      <c r="AC235" s="27" t="n"/>
      <c r="AD235" s="210" t="n">
        <v>2130</v>
      </c>
      <c r="AE235" s="237" t="n">
        <v>0</v>
      </c>
      <c r="AF235" t="b">
        <v>0</v>
      </c>
      <c r="AG235" s="228" t="n">
        <v>2130</v>
      </c>
    </row>
    <row r="236">
      <c r="F236" s="236" t="n"/>
    </row>
    <row r="237">
      <c r="F237" s="236" t="n"/>
    </row>
    <row r="238">
      <c r="F238" s="236" t="n"/>
    </row>
    <row r="239">
      <c r="F239" s="236" t="n"/>
    </row>
    <row r="240">
      <c r="F240" s="236" t="n"/>
    </row>
    <row r="241">
      <c r="F241" s="236" t="n"/>
    </row>
    <row r="242">
      <c r="F242" s="236" t="n"/>
    </row>
    <row r="243">
      <c r="F243" s="236" t="n"/>
    </row>
    <row r="244">
      <c r="F244" s="236" t="n"/>
    </row>
    <row r="245">
      <c r="F245" s="236" t="n"/>
    </row>
    <row r="246">
      <c r="F246" s="236" t="n"/>
    </row>
    <row r="247">
      <c r="F247" s="236" t="n"/>
    </row>
    <row r="248">
      <c r="F248" s="236" t="n"/>
    </row>
    <row r="249">
      <c r="F249" s="236" t="n"/>
    </row>
    <row r="250">
      <c r="F250" s="236" t="n"/>
    </row>
    <row r="251">
      <c r="F251" s="236" t="n"/>
    </row>
    <row r="252">
      <c r="F252" s="236" t="n"/>
    </row>
    <row r="253">
      <c r="F253" s="236" t="n"/>
    </row>
    <row r="254">
      <c r="F254" s="236" t="n"/>
    </row>
    <row r="255">
      <c r="F255" s="236" t="n"/>
    </row>
    <row r="256">
      <c r="F256" s="236" t="n"/>
    </row>
    <row r="257">
      <c r="F257" s="236" t="n"/>
    </row>
    <row r="258">
      <c r="F258" s="236" t="n"/>
    </row>
    <row r="259">
      <c r="F259" s="236" t="n"/>
    </row>
    <row r="260">
      <c r="F260" s="236" t="n"/>
    </row>
    <row r="261">
      <c r="F261" s="236" t="n"/>
    </row>
    <row r="262">
      <c r="F262" s="236" t="n"/>
    </row>
    <row r="263">
      <c r="F263" s="236" t="n"/>
    </row>
  </sheetData>
  <autoFilter ref="A1:G239"/>
  <conditionalFormatting sqref="D1">
    <cfRule type="containsText" priority="2968" operator="containsText" dxfId="1" text="Einnahmen">
      <formula>NOT(ISERROR(SEARCH("Einnahmen",D1)))</formula>
    </cfRule>
    <cfRule type="containsText" priority="2969" operator="containsText" dxfId="0" text="Ausgaben">
      <formula>NOT(ISERROR(SEARCH("Ausgaben",D1)))</formula>
    </cfRule>
  </conditionalFormatting>
  <conditionalFormatting sqref="B1">
    <cfRule type="expression" priority="2967" dxfId="2">
      <formula>ISBLANK(#REF!)</formula>
    </cfRule>
  </conditionalFormatting>
  <conditionalFormatting sqref="K2:K4 K6:K7 K11:K27 K29 K31 K33 K35 K37 K39 K41 K43 K45 K47 K51 K53 K55 K57 K59 K62:K64 K66:K69 K71 K74 K76 K79 K81 K84:K86 K89 K91 K94 K96 K101 K104 K111 K113 K115">
    <cfRule type="containsText" priority="1242" operator="containsText" dxfId="1" text="Einnahmen">
      <formula>NOT(ISERROR(SEARCH("Einnahmen",K2)))</formula>
    </cfRule>
    <cfRule type="containsText" priority="1243" operator="containsText" dxfId="0" text="Ausgaben">
      <formula>NOT(ISERROR(SEARCH("Ausgaben",K2)))</formula>
    </cfRule>
  </conditionalFormatting>
  <conditionalFormatting sqref="M4 M11 M13:M16 M19:M21 M24 M31 M86 M90 M95 M103 M105 M111 M120 M122 M129:M131 M136:M137 M139:M140 M149 M169 M171 M198 M212 M214:M217 M230">
    <cfRule type="expression" priority="1241" dxfId="1390">
      <formula>ISBLANK(M4)</formula>
    </cfRule>
  </conditionalFormatting>
  <conditionalFormatting sqref="M2">
    <cfRule type="expression" priority="1240" dxfId="1390">
      <formula>ISBLANK(M2)</formula>
    </cfRule>
  </conditionalFormatting>
  <conditionalFormatting sqref="M3">
    <cfRule type="expression" priority="1239" dxfId="1390">
      <formula>ISBLANK(M3)</formula>
    </cfRule>
  </conditionalFormatting>
  <conditionalFormatting sqref="K5">
    <cfRule type="containsText" priority="1237" operator="containsText" dxfId="1" text="Einnahmen">
      <formula>NOT(ISERROR(SEARCH("Einnahmen",K5)))</formula>
    </cfRule>
    <cfRule type="containsText" priority="1238" operator="containsText" dxfId="0" text="Ausgaben">
      <formula>NOT(ISERROR(SEARCH("Ausgaben",K5)))</formula>
    </cfRule>
  </conditionalFormatting>
  <conditionalFormatting sqref="M5">
    <cfRule type="expression" priority="1236" dxfId="1390">
      <formula>ISBLANK(M5)</formula>
    </cfRule>
  </conditionalFormatting>
  <conditionalFormatting sqref="M6">
    <cfRule type="expression" priority="1235" dxfId="1390">
      <formula>ISBLANK(M6)</formula>
    </cfRule>
  </conditionalFormatting>
  <conditionalFormatting sqref="M7">
    <cfRule type="expression" priority="1234" dxfId="1390">
      <formula>ISBLANK(M7)</formula>
    </cfRule>
  </conditionalFormatting>
  <conditionalFormatting sqref="K8">
    <cfRule type="containsText" priority="1232" operator="containsText" dxfId="1" text="Einnahmen">
      <formula>NOT(ISERROR(SEARCH("Einnahmen",K8)))</formula>
    </cfRule>
    <cfRule type="containsText" priority="1233" operator="containsText" dxfId="0" text="Ausgaben">
      <formula>NOT(ISERROR(SEARCH("Ausgaben",K8)))</formula>
    </cfRule>
  </conditionalFormatting>
  <conditionalFormatting sqref="M8">
    <cfRule type="expression" priority="1231" dxfId="1390">
      <formula>ISBLANK(M8)</formula>
    </cfRule>
  </conditionalFormatting>
  <conditionalFormatting sqref="K9">
    <cfRule type="containsText" priority="1229" operator="containsText" dxfId="1" text="Einnahmen">
      <formula>NOT(ISERROR(SEARCH("Einnahmen",K9)))</formula>
    </cfRule>
    <cfRule type="containsText" priority="1230" operator="containsText" dxfId="0" text="Ausgaben">
      <formula>NOT(ISERROR(SEARCH("Ausgaben",K9)))</formula>
    </cfRule>
  </conditionalFormatting>
  <conditionalFormatting sqref="M9">
    <cfRule type="expression" priority="1228" dxfId="1390">
      <formula>ISBLANK(M9)</formula>
    </cfRule>
  </conditionalFormatting>
  <conditionalFormatting sqref="K10">
    <cfRule type="containsText" priority="1226" operator="containsText" dxfId="1" text="Einnahmen">
      <formula>NOT(ISERROR(SEARCH("Einnahmen",K10)))</formula>
    </cfRule>
    <cfRule type="containsText" priority="1227" operator="containsText" dxfId="0" text="Ausgaben">
      <formula>NOT(ISERROR(SEARCH("Ausgaben",K10)))</formula>
    </cfRule>
  </conditionalFormatting>
  <conditionalFormatting sqref="M10">
    <cfRule type="expression" priority="1225" dxfId="1390">
      <formula>ISBLANK(M10)</formula>
    </cfRule>
  </conditionalFormatting>
  <conditionalFormatting sqref="M12">
    <cfRule type="expression" priority="1224" dxfId="1390">
      <formula>ISBLANK(M12)</formula>
    </cfRule>
  </conditionalFormatting>
  <conditionalFormatting sqref="M17:M18">
    <cfRule type="expression" priority="1223" dxfId="1390">
      <formula>ISBLANK(M17)</formula>
    </cfRule>
  </conditionalFormatting>
  <conditionalFormatting sqref="M22:M23">
    <cfRule type="expression" priority="1222" dxfId="1390">
      <formula>ISBLANK(M22)</formula>
    </cfRule>
  </conditionalFormatting>
  <conditionalFormatting sqref="M25">
    <cfRule type="expression" priority="1221" dxfId="1390">
      <formula>ISBLANK(M25)</formula>
    </cfRule>
  </conditionalFormatting>
  <conditionalFormatting sqref="K28 K30 K32 K34 K36 K38 K40 K42 K44 K52 K54 K56 K58 K60:K61 K65 K70 K72:K73 K75 K77:K78 K80 K82:K83 K87 K90 K92:K93 K95 K97:K98 K102:K103 K105 K110 K112 K116:K117">
    <cfRule type="containsText" priority="1219" operator="containsText" dxfId="1" text="Einnahmen">
      <formula>NOT(ISERROR(SEARCH("Einnahmen",K28)))</formula>
    </cfRule>
    <cfRule type="containsText" priority="1220" operator="containsText" dxfId="0" text="Ausgaben">
      <formula>NOT(ISERROR(SEARCH("Ausgaben",K28)))</formula>
    </cfRule>
  </conditionalFormatting>
  <conditionalFormatting sqref="M60">
    <cfRule type="expression" priority="1218" dxfId="1390">
      <formula>ISBLANK(M60)</formula>
    </cfRule>
  </conditionalFormatting>
  <conditionalFormatting sqref="M27:M30">
    <cfRule type="expression" priority="1217" dxfId="1390">
      <formula>ISBLANK(M27)</formula>
    </cfRule>
  </conditionalFormatting>
  <conditionalFormatting sqref="M32">
    <cfRule type="expression" priority="1216" dxfId="1390">
      <formula>ISBLANK(M32)</formula>
    </cfRule>
  </conditionalFormatting>
  <conditionalFormatting sqref="M33">
    <cfRule type="expression" priority="1215" dxfId="1390">
      <formula>ISBLANK(M33)</formula>
    </cfRule>
  </conditionalFormatting>
  <conditionalFormatting sqref="M34">
    <cfRule type="expression" priority="1214" dxfId="1390">
      <formula>ISBLANK(M34)</formula>
    </cfRule>
  </conditionalFormatting>
  <conditionalFormatting sqref="M45">
    <cfRule type="expression" priority="1209" dxfId="1390">
      <formula>ISBLANK(M45)</formula>
    </cfRule>
  </conditionalFormatting>
  <conditionalFormatting sqref="M38">
    <cfRule type="expression" priority="1213" dxfId="1390">
      <formula>ISBLANK(M38)</formula>
    </cfRule>
  </conditionalFormatting>
  <conditionalFormatting sqref="M39">
    <cfRule type="expression" priority="1212" dxfId="1390">
      <formula>ISBLANK(M39)</formula>
    </cfRule>
  </conditionalFormatting>
  <conditionalFormatting sqref="M40">
    <cfRule type="expression" priority="1211" dxfId="1390">
      <formula>ISBLANK(M40)</formula>
    </cfRule>
  </conditionalFormatting>
  <conditionalFormatting sqref="M42">
    <cfRule type="expression" priority="1210" dxfId="1390">
      <formula>ISBLANK(M42)</formula>
    </cfRule>
  </conditionalFormatting>
  <conditionalFormatting sqref="M43">
    <cfRule type="expression" priority="1208" dxfId="1390">
      <formula>ISBLANK(M43)</formula>
    </cfRule>
  </conditionalFormatting>
  <conditionalFormatting sqref="M44">
    <cfRule type="expression" priority="1207" dxfId="1390">
      <formula>ISBLANK(M44)</formula>
    </cfRule>
  </conditionalFormatting>
  <conditionalFormatting sqref="M54">
    <cfRule type="expression" priority="1203" dxfId="1390">
      <formula>ISBLANK(M54)</formula>
    </cfRule>
  </conditionalFormatting>
  <conditionalFormatting sqref="M47">
    <cfRule type="expression" priority="1206" dxfId="1390">
      <formula>ISBLANK(M47)</formula>
    </cfRule>
  </conditionalFormatting>
  <conditionalFormatting sqref="M51">
    <cfRule type="expression" priority="1205" dxfId="1390">
      <formula>ISBLANK(M51)</formula>
    </cfRule>
  </conditionalFormatting>
  <conditionalFormatting sqref="M52">
    <cfRule type="expression" priority="1204" dxfId="1390">
      <formula>ISBLANK(M52)</formula>
    </cfRule>
  </conditionalFormatting>
  <conditionalFormatting sqref="M55">
    <cfRule type="expression" priority="1202" dxfId="1390">
      <formula>ISBLANK(M55)</formula>
    </cfRule>
  </conditionalFormatting>
  <conditionalFormatting sqref="M57">
    <cfRule type="expression" priority="1201" dxfId="1390">
      <formula>ISBLANK(M57)</formula>
    </cfRule>
  </conditionalFormatting>
  <conditionalFormatting sqref="M58">
    <cfRule type="expression" priority="1200" dxfId="1390">
      <formula>ISBLANK(M58)</formula>
    </cfRule>
  </conditionalFormatting>
  <conditionalFormatting sqref="M59">
    <cfRule type="expression" priority="1199" dxfId="1390">
      <formula>ISBLANK(M59)</formula>
    </cfRule>
  </conditionalFormatting>
  <conditionalFormatting sqref="M61">
    <cfRule type="expression" priority="1198" dxfId="1390">
      <formula>ISBLANK(M61)</formula>
    </cfRule>
  </conditionalFormatting>
  <conditionalFormatting sqref="M62:M63">
    <cfRule type="expression" priority="1197" dxfId="1390">
      <formula>ISBLANK(M62)</formula>
    </cfRule>
  </conditionalFormatting>
  <conditionalFormatting sqref="M37">
    <cfRule type="expression" priority="1196" dxfId="1390">
      <formula>ISBLANK(M37)</formula>
    </cfRule>
  </conditionalFormatting>
  <conditionalFormatting sqref="M35">
    <cfRule type="expression" priority="1195" dxfId="1390">
      <formula>ISBLANK(M35)</formula>
    </cfRule>
  </conditionalFormatting>
  <conditionalFormatting sqref="M36">
    <cfRule type="expression" priority="1194" dxfId="1390">
      <formula>ISBLANK(M36)</formula>
    </cfRule>
  </conditionalFormatting>
  <conditionalFormatting sqref="K46">
    <cfRule type="containsText" priority="1192" operator="containsText" dxfId="1" text="Einnahmen">
      <formula>NOT(ISERROR(SEARCH("Einnahmen",K46)))</formula>
    </cfRule>
    <cfRule type="containsText" priority="1193" operator="containsText" dxfId="0" text="Ausgaben">
      <formula>NOT(ISERROR(SEARCH("Ausgaben",K46)))</formula>
    </cfRule>
  </conditionalFormatting>
  <conditionalFormatting sqref="M46">
    <cfRule type="expression" priority="1191" dxfId="1390">
      <formula>ISBLANK(M46)</formula>
    </cfRule>
  </conditionalFormatting>
  <conditionalFormatting sqref="K48">
    <cfRule type="containsText" priority="1189" operator="containsText" dxfId="1" text="Einnahmen">
      <formula>NOT(ISERROR(SEARCH("Einnahmen",K48)))</formula>
    </cfRule>
    <cfRule type="containsText" priority="1190" operator="containsText" dxfId="0" text="Ausgaben">
      <formula>NOT(ISERROR(SEARCH("Ausgaben",K48)))</formula>
    </cfRule>
  </conditionalFormatting>
  <conditionalFormatting sqref="M48">
    <cfRule type="expression" priority="1188" dxfId="1390">
      <formula>ISBLANK(M48)</formula>
    </cfRule>
  </conditionalFormatting>
  <conditionalFormatting sqref="K49">
    <cfRule type="containsText" priority="1186" operator="containsText" dxfId="1" text="Einnahmen">
      <formula>NOT(ISERROR(SEARCH("Einnahmen",K49)))</formula>
    </cfRule>
    <cfRule type="containsText" priority="1187" operator="containsText" dxfId="0" text="Ausgaben">
      <formula>NOT(ISERROR(SEARCH("Ausgaben",K49)))</formula>
    </cfRule>
  </conditionalFormatting>
  <conditionalFormatting sqref="M49">
    <cfRule type="expression" priority="1185" dxfId="1390">
      <formula>ISBLANK(M49)</formula>
    </cfRule>
  </conditionalFormatting>
  <conditionalFormatting sqref="K50">
    <cfRule type="containsText" priority="1183" operator="containsText" dxfId="1" text="Einnahmen">
      <formula>NOT(ISERROR(SEARCH("Einnahmen",K50)))</formula>
    </cfRule>
    <cfRule type="containsText" priority="1184" operator="containsText" dxfId="0" text="Ausgaben">
      <formula>NOT(ISERROR(SEARCH("Ausgaben",K50)))</formula>
    </cfRule>
  </conditionalFormatting>
  <conditionalFormatting sqref="M50">
    <cfRule type="expression" priority="1182" dxfId="1390">
      <formula>ISBLANK(M50)</formula>
    </cfRule>
  </conditionalFormatting>
  <conditionalFormatting sqref="M53">
    <cfRule type="expression" priority="1181" dxfId="1390">
      <formula>ISBLANK(M53)</formula>
    </cfRule>
  </conditionalFormatting>
  <conditionalFormatting sqref="M56">
    <cfRule type="expression" priority="1180" dxfId="1390">
      <formula>ISBLANK(M56)</formula>
    </cfRule>
  </conditionalFormatting>
  <conditionalFormatting sqref="M65">
    <cfRule type="expression" priority="1179" dxfId="1390">
      <formula>ISBLANK(M65)</formula>
    </cfRule>
  </conditionalFormatting>
  <conditionalFormatting sqref="M66">
    <cfRule type="expression" priority="1178" dxfId="1390">
      <formula>ISBLANK(M66)</formula>
    </cfRule>
  </conditionalFormatting>
  <conditionalFormatting sqref="M63">
    <cfRule type="expression" priority="1177" dxfId="1390">
      <formula>ISBLANK(M63)</formula>
    </cfRule>
  </conditionalFormatting>
  <conditionalFormatting sqref="M64">
    <cfRule type="expression" priority="1176" dxfId="1390">
      <formula>ISBLANK(M64)</formula>
    </cfRule>
    <cfRule type="expression" priority="1175" dxfId="1390">
      <formula>ISBLANK(M64)</formula>
    </cfRule>
  </conditionalFormatting>
  <conditionalFormatting sqref="M67">
    <cfRule type="expression" priority="1174" dxfId="1390">
      <formula>ISBLANK(M67)</formula>
    </cfRule>
  </conditionalFormatting>
  <conditionalFormatting sqref="M68">
    <cfRule type="expression" priority="1173" dxfId="1390">
      <formula>ISBLANK(M68)</formula>
    </cfRule>
  </conditionalFormatting>
  <conditionalFormatting sqref="M69">
    <cfRule type="expression" priority="1172" dxfId="1390">
      <formula>ISBLANK(M69)</formula>
    </cfRule>
  </conditionalFormatting>
  <conditionalFormatting sqref="M70">
    <cfRule type="expression" priority="1171" dxfId="1390">
      <formula>ISBLANK(M70)</formula>
    </cfRule>
  </conditionalFormatting>
  <conditionalFormatting sqref="M71">
    <cfRule type="expression" priority="1170" dxfId="1390">
      <formula>ISBLANK(M71)</formula>
    </cfRule>
  </conditionalFormatting>
  <conditionalFormatting sqref="M72">
    <cfRule type="expression" priority="1169" dxfId="1390">
      <formula>ISBLANK(M72)</formula>
    </cfRule>
  </conditionalFormatting>
  <conditionalFormatting sqref="M73">
    <cfRule type="expression" priority="1168" dxfId="1390">
      <formula>ISBLANK(M73)</formula>
    </cfRule>
  </conditionalFormatting>
  <conditionalFormatting sqref="M74">
    <cfRule type="expression" priority="1167" dxfId="1390">
      <formula>ISBLANK(M74)</formula>
    </cfRule>
  </conditionalFormatting>
  <conditionalFormatting sqref="M75">
    <cfRule type="expression" priority="1166" dxfId="1390">
      <formula>ISBLANK(M75)</formula>
    </cfRule>
  </conditionalFormatting>
  <conditionalFormatting sqref="M76">
    <cfRule type="expression" priority="1165" dxfId="1390">
      <formula>ISBLANK(M76)</formula>
    </cfRule>
  </conditionalFormatting>
  <conditionalFormatting sqref="M77">
    <cfRule type="expression" priority="1164" dxfId="1390">
      <formula>ISBLANK(M77)</formula>
    </cfRule>
  </conditionalFormatting>
  <conditionalFormatting sqref="M78">
    <cfRule type="expression" priority="1163" dxfId="1390">
      <formula>ISBLANK(M78)</formula>
    </cfRule>
  </conditionalFormatting>
  <conditionalFormatting sqref="M80">
    <cfRule type="expression" priority="1162" dxfId="1390">
      <formula>ISBLANK(M80)</formula>
    </cfRule>
  </conditionalFormatting>
  <conditionalFormatting sqref="M81">
    <cfRule type="expression" priority="1161" dxfId="1390">
      <formula>ISBLANK(M81)</formula>
    </cfRule>
  </conditionalFormatting>
  <conditionalFormatting sqref="M82">
    <cfRule type="expression" priority="1160" dxfId="1390">
      <formula>ISBLANK(M82)</formula>
    </cfRule>
  </conditionalFormatting>
  <conditionalFormatting sqref="M84">
    <cfRule type="expression" priority="1159" dxfId="1390">
      <formula>ISBLANK(M84)</formula>
    </cfRule>
  </conditionalFormatting>
  <conditionalFormatting sqref="M85">
    <cfRule type="expression" priority="1158" dxfId="1390">
      <formula>ISBLANK(M85)</formula>
    </cfRule>
  </conditionalFormatting>
  <conditionalFormatting sqref="M87">
    <cfRule type="expression" priority="1157" dxfId="1390">
      <formula>ISBLANK(M87)</formula>
    </cfRule>
  </conditionalFormatting>
  <conditionalFormatting sqref="K88">
    <cfRule type="containsText" priority="1155" operator="containsText" dxfId="1" text="Einnahmen">
      <formula>NOT(ISERROR(SEARCH("Einnahmen",K88)))</formula>
    </cfRule>
    <cfRule type="containsText" priority="1156" operator="containsText" dxfId="0" text="Ausgaben">
      <formula>NOT(ISERROR(SEARCH("Ausgaben",K88)))</formula>
    </cfRule>
  </conditionalFormatting>
  <conditionalFormatting sqref="M88">
    <cfRule type="expression" priority="1154" dxfId="1390">
      <formula>ISBLANK(M88)</formula>
    </cfRule>
  </conditionalFormatting>
  <conditionalFormatting sqref="M89">
    <cfRule type="expression" priority="1153" dxfId="1390">
      <formula>ISBLANK(M89)</formula>
    </cfRule>
  </conditionalFormatting>
  <conditionalFormatting sqref="M91">
    <cfRule type="expression" priority="1152" dxfId="1390">
      <formula>ISBLANK(M91)</formula>
    </cfRule>
  </conditionalFormatting>
  <conditionalFormatting sqref="M92">
    <cfRule type="expression" priority="1151" dxfId="1390">
      <formula>ISBLANK(M92)</formula>
    </cfRule>
  </conditionalFormatting>
  <conditionalFormatting sqref="M93">
    <cfRule type="expression" priority="1150" dxfId="1390">
      <formula>ISBLANK(M93)</formula>
    </cfRule>
  </conditionalFormatting>
  <conditionalFormatting sqref="M94">
    <cfRule type="expression" priority="1149" dxfId="1390">
      <formula>ISBLANK(M94)</formula>
    </cfRule>
  </conditionalFormatting>
  <conditionalFormatting sqref="M96">
    <cfRule type="expression" priority="1148" dxfId="1390">
      <formula>ISBLANK(M96)</formula>
    </cfRule>
  </conditionalFormatting>
  <conditionalFormatting sqref="M97">
    <cfRule type="expression" priority="1147" dxfId="1390">
      <formula>ISBLANK(M97)</formula>
    </cfRule>
  </conditionalFormatting>
  <conditionalFormatting sqref="M98">
    <cfRule type="expression" priority="1146" dxfId="1390">
      <formula>ISBLANK(M98)</formula>
    </cfRule>
  </conditionalFormatting>
  <conditionalFormatting sqref="K99">
    <cfRule type="containsText" priority="1144" operator="containsText" dxfId="1" text="Einnahmen">
      <formula>NOT(ISERROR(SEARCH("Einnahmen",K99)))</formula>
    </cfRule>
    <cfRule type="containsText" priority="1145" operator="containsText" dxfId="0" text="Ausgaben">
      <formula>NOT(ISERROR(SEARCH("Ausgaben",K99)))</formula>
    </cfRule>
  </conditionalFormatting>
  <conditionalFormatting sqref="M99">
    <cfRule type="expression" priority="1143" dxfId="1390">
      <formula>ISBLANK(M99)</formula>
    </cfRule>
  </conditionalFormatting>
  <conditionalFormatting sqref="K100">
    <cfRule type="containsText" priority="1141" operator="containsText" dxfId="1" text="Einnahmen">
      <formula>NOT(ISERROR(SEARCH("Einnahmen",K100)))</formula>
    </cfRule>
    <cfRule type="containsText" priority="1142" operator="containsText" dxfId="0" text="Ausgaben">
      <formula>NOT(ISERROR(SEARCH("Ausgaben",K100)))</formula>
    </cfRule>
  </conditionalFormatting>
  <conditionalFormatting sqref="M100">
    <cfRule type="expression" priority="1140" dxfId="1390">
      <formula>ISBLANK(M100)</formula>
    </cfRule>
  </conditionalFormatting>
  <conditionalFormatting sqref="M101">
    <cfRule type="expression" priority="1139" dxfId="1390">
      <formula>ISBLANK(M101)</formula>
    </cfRule>
  </conditionalFormatting>
  <conditionalFormatting sqref="M102">
    <cfRule type="expression" priority="1138" dxfId="1390">
      <formula>ISBLANK(M102)</formula>
    </cfRule>
  </conditionalFormatting>
  <conditionalFormatting sqref="M104">
    <cfRule type="expression" priority="1137" dxfId="1390">
      <formula>ISBLANK(M104)</formula>
    </cfRule>
  </conditionalFormatting>
  <conditionalFormatting sqref="K106">
    <cfRule type="containsText" priority="1135" operator="containsText" dxfId="1" text="Einnahmen">
      <formula>NOT(ISERROR(SEARCH("Einnahmen",K106)))</formula>
    </cfRule>
    <cfRule type="containsText" priority="1136" operator="containsText" dxfId="0" text="Ausgaben">
      <formula>NOT(ISERROR(SEARCH("Ausgaben",K106)))</formula>
    </cfRule>
  </conditionalFormatting>
  <conditionalFormatting sqref="M106">
    <cfRule type="expression" priority="1134" dxfId="1390">
      <formula>ISBLANK(M106)</formula>
    </cfRule>
  </conditionalFormatting>
  <conditionalFormatting sqref="K107">
    <cfRule type="containsText" priority="1132" operator="containsText" dxfId="1" text="Einnahmen">
      <formula>NOT(ISERROR(SEARCH("Einnahmen",K107)))</formula>
    </cfRule>
    <cfRule type="containsText" priority="1133" operator="containsText" dxfId="0" text="Ausgaben">
      <formula>NOT(ISERROR(SEARCH("Ausgaben",K107)))</formula>
    </cfRule>
  </conditionalFormatting>
  <conditionalFormatting sqref="K108">
    <cfRule type="containsText" priority="1130" operator="containsText" dxfId="1" text="Einnahmen">
      <formula>NOT(ISERROR(SEARCH("Einnahmen",K108)))</formula>
    </cfRule>
    <cfRule type="containsText" priority="1131" operator="containsText" dxfId="0" text="Ausgaben">
      <formula>NOT(ISERROR(SEARCH("Ausgaben",K108)))</formula>
    </cfRule>
  </conditionalFormatting>
  <conditionalFormatting sqref="M108">
    <cfRule type="expression" priority="1129" dxfId="1390">
      <formula>ISBLANK(M108)</formula>
    </cfRule>
  </conditionalFormatting>
  <conditionalFormatting sqref="K109">
    <cfRule type="containsText" priority="1127" operator="containsText" dxfId="1" text="Einnahmen">
      <formula>NOT(ISERROR(SEARCH("Einnahmen",K109)))</formula>
    </cfRule>
    <cfRule type="containsText" priority="1128" operator="containsText" dxfId="0" text="Ausgaben">
      <formula>NOT(ISERROR(SEARCH("Ausgaben",K109)))</formula>
    </cfRule>
  </conditionalFormatting>
  <conditionalFormatting sqref="M110">
    <cfRule type="expression" priority="1126" dxfId="1390">
      <formula>ISBLANK(M110)</formula>
    </cfRule>
  </conditionalFormatting>
  <conditionalFormatting sqref="M112">
    <cfRule type="expression" priority="1125" dxfId="1390">
      <formula>ISBLANK(M112)</formula>
    </cfRule>
  </conditionalFormatting>
  <conditionalFormatting sqref="M113">
    <cfRule type="expression" priority="1124" dxfId="1390">
      <formula>ISBLANK(M113)</formula>
    </cfRule>
  </conditionalFormatting>
  <conditionalFormatting sqref="M114">
    <cfRule type="expression" priority="1123" dxfId="1390">
      <formula>ISBLANK(M114)</formula>
    </cfRule>
  </conditionalFormatting>
  <conditionalFormatting sqref="K114">
    <cfRule type="containsText" priority="1121" operator="containsText" dxfId="1" text="Einnahmen">
      <formula>NOT(ISERROR(SEARCH("Einnahmen",K114)))</formula>
    </cfRule>
    <cfRule type="containsText" priority="1122" operator="containsText" dxfId="0" text="Ausgaben">
      <formula>NOT(ISERROR(SEARCH("Ausgaben",K114)))</formula>
    </cfRule>
  </conditionalFormatting>
  <conditionalFormatting sqref="M115">
    <cfRule type="expression" priority="1120" dxfId="1390">
      <formula>ISBLANK(M115)</formula>
    </cfRule>
  </conditionalFormatting>
  <conditionalFormatting sqref="M116">
    <cfRule type="expression" priority="1119" dxfId="1390">
      <formula>ISBLANK(M116)</formula>
    </cfRule>
  </conditionalFormatting>
  <conditionalFormatting sqref="M117">
    <cfRule type="expression" priority="1118" dxfId="1390">
      <formula>ISBLANK(M117)</formula>
    </cfRule>
  </conditionalFormatting>
  <conditionalFormatting sqref="K118">
    <cfRule type="containsText" priority="1116" operator="containsText" dxfId="1" text="Einnahmen">
      <formula>NOT(ISERROR(SEARCH("Einnahmen",K118)))</formula>
    </cfRule>
    <cfRule type="containsText" priority="1117" operator="containsText" dxfId="0" text="Ausgaben">
      <formula>NOT(ISERROR(SEARCH("Ausgaben",K118)))</formula>
    </cfRule>
  </conditionalFormatting>
  <conditionalFormatting sqref="K119 K122:K130 K132:K141 K149">
    <cfRule type="containsText" priority="1114" operator="containsText" dxfId="1" text="Einnahmen">
      <formula>NOT(ISERROR(SEARCH("Einnahmen",K119)))</formula>
    </cfRule>
    <cfRule type="containsText" priority="1115" operator="containsText" dxfId="0" text="Ausgaben">
      <formula>NOT(ISERROR(SEARCH("Ausgaben",K119)))</formula>
    </cfRule>
  </conditionalFormatting>
  <conditionalFormatting sqref="M118">
    <cfRule type="expression" priority="1113" dxfId="1390">
      <formula>ISBLANK(M118)</formula>
    </cfRule>
  </conditionalFormatting>
  <conditionalFormatting sqref="K120">
    <cfRule type="containsText" priority="1111" operator="containsText" dxfId="1" text="Einnahmen">
      <formula>NOT(ISERROR(SEARCH("Einnahmen",K120)))</formula>
    </cfRule>
    <cfRule type="containsText" priority="1112" operator="containsText" dxfId="0" text="Ausgaben">
      <formula>NOT(ISERROR(SEARCH("Ausgaben",K120)))</formula>
    </cfRule>
  </conditionalFormatting>
  <conditionalFormatting sqref="M121">
    <cfRule type="expression" priority="1110" dxfId="1390">
      <formula>ISBLANK(M121)</formula>
    </cfRule>
  </conditionalFormatting>
  <conditionalFormatting sqref="K121">
    <cfRule type="containsText" priority="1108" operator="containsText" dxfId="1" text="Einnahmen">
      <formula>NOT(ISERROR(SEARCH("Einnahmen",K121)))</formula>
    </cfRule>
    <cfRule type="containsText" priority="1109" operator="containsText" dxfId="0" text="Ausgaben">
      <formula>NOT(ISERROR(SEARCH("Ausgaben",K121)))</formula>
    </cfRule>
  </conditionalFormatting>
  <conditionalFormatting sqref="M124">
    <cfRule type="expression" priority="1107" dxfId="1390">
      <formula>ISBLANK(M124)</formula>
    </cfRule>
  </conditionalFormatting>
  <conditionalFormatting sqref="M123">
    <cfRule type="expression" priority="1106" dxfId="1390">
      <formula>ISBLANK(M123)</formula>
    </cfRule>
  </conditionalFormatting>
  <conditionalFormatting sqref="M125">
    <cfRule type="expression" priority="1105" dxfId="1390">
      <formula>ISBLANK(M125)</formula>
    </cfRule>
  </conditionalFormatting>
  <conditionalFormatting sqref="M127">
    <cfRule type="expression" priority="1104" dxfId="1390">
      <formula>ISBLANK(M127)</formula>
    </cfRule>
  </conditionalFormatting>
  <conditionalFormatting sqref="M128">
    <cfRule type="expression" priority="1103" dxfId="1390">
      <formula>ISBLANK(M128)</formula>
    </cfRule>
  </conditionalFormatting>
  <conditionalFormatting sqref="K131">
    <cfRule type="containsText" priority="1101" operator="containsText" dxfId="1" text="Einnahmen">
      <formula>NOT(ISERROR(SEARCH("Einnahmen",K131)))</formula>
    </cfRule>
    <cfRule type="containsText" priority="1102" operator="containsText" dxfId="0" text="Ausgaben">
      <formula>NOT(ISERROR(SEARCH("Ausgaben",K131)))</formula>
    </cfRule>
  </conditionalFormatting>
  <conditionalFormatting sqref="M132">
    <cfRule type="expression" priority="1100" dxfId="1390">
      <formula>ISBLANK(M132)</formula>
    </cfRule>
  </conditionalFormatting>
  <conditionalFormatting sqref="M133:M135">
    <cfRule type="expression" priority="1099" dxfId="1390">
      <formula>ISBLANK(M133)</formula>
    </cfRule>
  </conditionalFormatting>
  <conditionalFormatting sqref="M141">
    <cfRule type="expression" priority="1098" dxfId="1390">
      <formula>ISBLANK(M141)</formula>
    </cfRule>
  </conditionalFormatting>
  <conditionalFormatting sqref="K142">
    <cfRule type="containsText" priority="1096" operator="containsText" dxfId="1" text="Einnahmen">
      <formula>NOT(ISERROR(SEARCH("Einnahmen",K142)))</formula>
    </cfRule>
    <cfRule type="containsText" priority="1097" operator="containsText" dxfId="0" text="Ausgaben">
      <formula>NOT(ISERROR(SEARCH("Ausgaben",K142)))</formula>
    </cfRule>
  </conditionalFormatting>
  <conditionalFormatting sqref="M142">
    <cfRule type="expression" priority="1095" dxfId="1390">
      <formula>ISBLANK(M142)</formula>
    </cfRule>
  </conditionalFormatting>
  <conditionalFormatting sqref="M153">
    <cfRule type="expression" priority="1070" dxfId="1390">
      <formula>ISBLANK(M153)</formula>
    </cfRule>
  </conditionalFormatting>
  <conditionalFormatting sqref="K145">
    <cfRule type="containsText" priority="1093" operator="containsText" dxfId="1" text="Einnahmen">
      <formula>NOT(ISERROR(SEARCH("Einnahmen",K145)))</formula>
    </cfRule>
    <cfRule type="containsText" priority="1094" operator="containsText" dxfId="0" text="Ausgaben">
      <formula>NOT(ISERROR(SEARCH("Ausgaben",K145)))</formula>
    </cfRule>
  </conditionalFormatting>
  <conditionalFormatting sqref="M143">
    <cfRule type="expression" priority="1092" dxfId="1390">
      <formula>ISBLANK(M143)</formula>
    </cfRule>
  </conditionalFormatting>
  <conditionalFormatting sqref="K143">
    <cfRule type="containsText" priority="1090" operator="containsText" dxfId="1" text="Einnahmen">
      <formula>NOT(ISERROR(SEARCH("Einnahmen",K143)))</formula>
    </cfRule>
    <cfRule type="containsText" priority="1091" operator="containsText" dxfId="0" text="Ausgaben">
      <formula>NOT(ISERROR(SEARCH("Ausgaben",K143)))</formula>
    </cfRule>
  </conditionalFormatting>
  <conditionalFormatting sqref="M145">
    <cfRule type="expression" priority="1089" dxfId="1390">
      <formula>ISBLANK(M145)</formula>
    </cfRule>
  </conditionalFormatting>
  <conditionalFormatting sqref="K144">
    <cfRule type="containsText" priority="1087" operator="containsText" dxfId="1" text="Einnahmen">
      <formula>NOT(ISERROR(SEARCH("Einnahmen",K144)))</formula>
    </cfRule>
    <cfRule type="containsText" priority="1088" operator="containsText" dxfId="0" text="Ausgaben">
      <formula>NOT(ISERROR(SEARCH("Ausgaben",K144)))</formula>
    </cfRule>
  </conditionalFormatting>
  <conditionalFormatting sqref="K154">
    <cfRule type="containsText" priority="1065" operator="containsText" dxfId="1" text="Einnahmen">
      <formula>NOT(ISERROR(SEARCH("Einnahmen",K154)))</formula>
    </cfRule>
    <cfRule type="containsText" priority="1066" operator="containsText" dxfId="0" text="Ausgaben">
      <formula>NOT(ISERROR(SEARCH("Ausgaben",K154)))</formula>
    </cfRule>
  </conditionalFormatting>
  <conditionalFormatting sqref="K146">
    <cfRule type="containsText" priority="1085" operator="containsText" dxfId="1" text="Einnahmen">
      <formula>NOT(ISERROR(SEARCH("Einnahmen",K146)))</formula>
    </cfRule>
    <cfRule type="containsText" priority="1086" operator="containsText" dxfId="0" text="Ausgaben">
      <formula>NOT(ISERROR(SEARCH("Ausgaben",K146)))</formula>
    </cfRule>
  </conditionalFormatting>
  <conditionalFormatting sqref="M147">
    <cfRule type="expression" priority="1084" dxfId="1390">
      <formula>ISBLANK(M147)</formula>
    </cfRule>
  </conditionalFormatting>
  <conditionalFormatting sqref="K147">
    <cfRule type="containsText" priority="1082" operator="containsText" dxfId="1" text="Einnahmen">
      <formula>NOT(ISERROR(SEARCH("Einnahmen",K147)))</formula>
    </cfRule>
    <cfRule type="containsText" priority="1083" operator="containsText" dxfId="0" text="Ausgaben">
      <formula>NOT(ISERROR(SEARCH("Ausgaben",K147)))</formula>
    </cfRule>
  </conditionalFormatting>
  <conditionalFormatting sqref="K148">
    <cfRule type="containsText" priority="1080" operator="containsText" dxfId="1" text="Einnahmen">
      <formula>NOT(ISERROR(SEARCH("Einnahmen",K148)))</formula>
    </cfRule>
    <cfRule type="containsText" priority="1081" operator="containsText" dxfId="0" text="Ausgaben">
      <formula>NOT(ISERROR(SEARCH("Ausgaben",K148)))</formula>
    </cfRule>
  </conditionalFormatting>
  <conditionalFormatting sqref="K150">
    <cfRule type="containsText" priority="1078" operator="containsText" dxfId="1" text="Einnahmen">
      <formula>NOT(ISERROR(SEARCH("Einnahmen",K150)))</formula>
    </cfRule>
    <cfRule type="containsText" priority="1079" operator="containsText" dxfId="0" text="Ausgaben">
      <formula>NOT(ISERROR(SEARCH("Ausgaben",K150)))</formula>
    </cfRule>
  </conditionalFormatting>
  <conditionalFormatting sqref="K153">
    <cfRule type="containsText" priority="1068" operator="containsText" dxfId="1" text="Einnahmen">
      <formula>NOT(ISERROR(SEARCH("Einnahmen",K153)))</formula>
    </cfRule>
    <cfRule type="containsText" priority="1069" operator="containsText" dxfId="0" text="Ausgaben">
      <formula>NOT(ISERROR(SEARCH("Ausgaben",K153)))</formula>
    </cfRule>
  </conditionalFormatting>
  <conditionalFormatting sqref="M144">
    <cfRule type="expression" priority="1077" dxfId="1390">
      <formula>ISBLANK(M144)</formula>
    </cfRule>
  </conditionalFormatting>
  <conditionalFormatting sqref="M151">
    <cfRule type="expression" priority="1076" dxfId="1390">
      <formula>ISBLANK(M151)</formula>
    </cfRule>
  </conditionalFormatting>
  <conditionalFormatting sqref="K151">
    <cfRule type="containsText" priority="1074" operator="containsText" dxfId="1" text="Einnahmen">
      <formula>NOT(ISERROR(SEARCH("Einnahmen",K151)))</formula>
    </cfRule>
    <cfRule type="containsText" priority="1075" operator="containsText" dxfId="0" text="Ausgaben">
      <formula>NOT(ISERROR(SEARCH("Ausgaben",K151)))</formula>
    </cfRule>
  </conditionalFormatting>
  <conditionalFormatting sqref="M152">
    <cfRule type="expression" priority="1073" dxfId="1390">
      <formula>ISBLANK(M152)</formula>
    </cfRule>
  </conditionalFormatting>
  <conditionalFormatting sqref="K152">
    <cfRule type="containsText" priority="1071" operator="containsText" dxfId="1" text="Einnahmen">
      <formula>NOT(ISERROR(SEARCH("Einnahmen",K152)))</formula>
    </cfRule>
    <cfRule type="containsText" priority="1072" operator="containsText" dxfId="0" text="Ausgaben">
      <formula>NOT(ISERROR(SEARCH("Ausgaben",K152)))</formula>
    </cfRule>
  </conditionalFormatting>
  <conditionalFormatting sqref="M154">
    <cfRule type="expression" priority="1067" dxfId="1390">
      <formula>ISBLANK(M154)</formula>
    </cfRule>
  </conditionalFormatting>
  <conditionalFormatting sqref="K155">
    <cfRule type="containsText" priority="1063" operator="containsText" dxfId="1" text="Einnahmen">
      <formula>NOT(ISERROR(SEARCH("Einnahmen",K155)))</formula>
    </cfRule>
    <cfRule type="containsText" priority="1064" operator="containsText" dxfId="0" text="Ausgaben">
      <formula>NOT(ISERROR(SEARCH("Ausgaben",K155)))</formula>
    </cfRule>
  </conditionalFormatting>
  <conditionalFormatting sqref="K159 K169 K171">
    <cfRule type="containsText" priority="1061" operator="containsText" dxfId="1" text="Einnahmen">
      <formula>NOT(ISERROR(SEARCH("Einnahmen",K159)))</formula>
    </cfRule>
    <cfRule type="containsText" priority="1062" operator="containsText" dxfId="0" text="Ausgaben">
      <formula>NOT(ISERROR(SEARCH("Ausgaben",K159)))</formula>
    </cfRule>
  </conditionalFormatting>
  <conditionalFormatting sqref="K158">
    <cfRule type="containsText" priority="1059" operator="containsText" dxfId="1" text="Einnahmen">
      <formula>NOT(ISERROR(SEARCH("Einnahmen",K158)))</formula>
    </cfRule>
    <cfRule type="containsText" priority="1060" operator="containsText" dxfId="0" text="Ausgaben">
      <formula>NOT(ISERROR(SEARCH("Ausgaben",K158)))</formula>
    </cfRule>
  </conditionalFormatting>
  <conditionalFormatting sqref="K160">
    <cfRule type="containsText" priority="1057" operator="containsText" dxfId="1" text="Einnahmen">
      <formula>NOT(ISERROR(SEARCH("Einnahmen",K160)))</formula>
    </cfRule>
    <cfRule type="containsText" priority="1058" operator="containsText" dxfId="0" text="Ausgaben">
      <formula>NOT(ISERROR(SEARCH("Ausgaben",K160)))</formula>
    </cfRule>
  </conditionalFormatting>
  <conditionalFormatting sqref="M160">
    <cfRule type="expression" priority="1056" dxfId="1390">
      <formula>ISBLANK(M160)</formula>
    </cfRule>
  </conditionalFormatting>
  <conditionalFormatting sqref="K161">
    <cfRule type="containsText" priority="1054" operator="containsText" dxfId="1" text="Einnahmen">
      <formula>NOT(ISERROR(SEARCH("Einnahmen",K161)))</formula>
    </cfRule>
    <cfRule type="containsText" priority="1055" operator="containsText" dxfId="0" text="Ausgaben">
      <formula>NOT(ISERROR(SEARCH("Ausgaben",K161)))</formula>
    </cfRule>
  </conditionalFormatting>
  <conditionalFormatting sqref="K162">
    <cfRule type="containsText" priority="1052" operator="containsText" dxfId="1" text="Einnahmen">
      <formula>NOT(ISERROR(SEARCH("Einnahmen",K162)))</formula>
    </cfRule>
    <cfRule type="containsText" priority="1053" operator="containsText" dxfId="0" text="Ausgaben">
      <formula>NOT(ISERROR(SEARCH("Ausgaben",K162)))</formula>
    </cfRule>
  </conditionalFormatting>
  <conditionalFormatting sqref="K163">
    <cfRule type="containsText" priority="1050" operator="containsText" dxfId="1" text="Einnahmen">
      <formula>NOT(ISERROR(SEARCH("Einnahmen",K163)))</formula>
    </cfRule>
    <cfRule type="containsText" priority="1051" operator="containsText" dxfId="0" text="Ausgaben">
      <formula>NOT(ISERROR(SEARCH("Ausgaben",K163)))</formula>
    </cfRule>
  </conditionalFormatting>
  <conditionalFormatting sqref="K156">
    <cfRule type="containsText" priority="1048" operator="containsText" dxfId="1" text="Einnahmen">
      <formula>NOT(ISERROR(SEARCH("Einnahmen",K156)))</formula>
    </cfRule>
    <cfRule type="containsText" priority="1049" operator="containsText" dxfId="0" text="Ausgaben">
      <formula>NOT(ISERROR(SEARCH("Ausgaben",K156)))</formula>
    </cfRule>
  </conditionalFormatting>
  <conditionalFormatting sqref="K157">
    <cfRule type="containsText" priority="1046" operator="containsText" dxfId="1" text="Einnahmen">
      <formula>NOT(ISERROR(SEARCH("Einnahmen",K157)))</formula>
    </cfRule>
    <cfRule type="containsText" priority="1047" operator="containsText" dxfId="0" text="Ausgaben">
      <formula>NOT(ISERROR(SEARCH("Ausgaben",K157)))</formula>
    </cfRule>
  </conditionalFormatting>
  <conditionalFormatting sqref="K168">
    <cfRule type="containsText" priority="1044" operator="containsText" dxfId="1" text="Einnahmen">
      <formula>NOT(ISERROR(SEARCH("Einnahmen",K168)))</formula>
    </cfRule>
    <cfRule type="containsText" priority="1045" operator="containsText" dxfId="0" text="Ausgaben">
      <formula>NOT(ISERROR(SEARCH("Ausgaben",K168)))</formula>
    </cfRule>
  </conditionalFormatting>
  <conditionalFormatting sqref="M138">
    <cfRule type="expression" priority="1043" dxfId="1390">
      <formula>ISBLANK(M138)</formula>
    </cfRule>
  </conditionalFormatting>
  <conditionalFormatting sqref="M156">
    <cfRule type="expression" priority="1042" dxfId="1390">
      <formula>ISBLANK(M156)</formula>
    </cfRule>
  </conditionalFormatting>
  <conditionalFormatting sqref="M79">
    <cfRule type="expression" priority="1041" dxfId="1390">
      <formula>ISBLANK(M79)</formula>
    </cfRule>
  </conditionalFormatting>
  <conditionalFormatting sqref="M107">
    <cfRule type="expression" priority="1040" dxfId="1390">
      <formula>ISBLANK(M107)</formula>
    </cfRule>
  </conditionalFormatting>
  <conditionalFormatting sqref="M155">
    <cfRule type="expression" priority="1039" dxfId="1390">
      <formula>ISBLANK(M155)</formula>
    </cfRule>
  </conditionalFormatting>
  <conditionalFormatting sqref="K164">
    <cfRule type="containsText" priority="1037" operator="containsText" dxfId="1" text="Einnahmen">
      <formula>NOT(ISERROR(SEARCH("Einnahmen",K164)))</formula>
    </cfRule>
    <cfRule type="containsText" priority="1038" operator="containsText" dxfId="0" text="Ausgaben">
      <formula>NOT(ISERROR(SEARCH("Ausgaben",K164)))</formula>
    </cfRule>
  </conditionalFormatting>
  <conditionalFormatting sqref="M41">
    <cfRule type="expression" priority="1036" dxfId="1390">
      <formula>ISBLANK(M41)</formula>
    </cfRule>
  </conditionalFormatting>
  <conditionalFormatting sqref="M83">
    <cfRule type="expression" priority="1035" dxfId="1390">
      <formula>ISBLANK(M83)</formula>
    </cfRule>
  </conditionalFormatting>
  <conditionalFormatting sqref="M119">
    <cfRule type="expression" priority="1034" dxfId="1390">
      <formula>ISBLANK(M119)</formula>
    </cfRule>
  </conditionalFormatting>
  <conditionalFormatting sqref="M146">
    <cfRule type="expression" priority="1033" dxfId="1390">
      <formula>ISBLANK(M146)</formula>
    </cfRule>
  </conditionalFormatting>
  <conditionalFormatting sqref="M159">
    <cfRule type="expression" priority="1032" dxfId="1390">
      <formula>ISBLANK(M159)</formula>
    </cfRule>
  </conditionalFormatting>
  <conditionalFormatting sqref="M126">
    <cfRule type="expression" priority="1031" dxfId="1390">
      <formula>ISBLANK(M126)</formula>
    </cfRule>
  </conditionalFormatting>
  <conditionalFormatting sqref="K165">
    <cfRule type="containsText" priority="1029" operator="containsText" dxfId="1" text="Einnahmen">
      <formula>NOT(ISERROR(SEARCH("Einnahmen",K165)))</formula>
    </cfRule>
    <cfRule type="containsText" priority="1030" operator="containsText" dxfId="0" text="Ausgaben">
      <formula>NOT(ISERROR(SEARCH("Ausgaben",K165)))</formula>
    </cfRule>
  </conditionalFormatting>
  <conditionalFormatting sqref="K166">
    <cfRule type="containsText" priority="1027" operator="containsText" dxfId="1" text="Einnahmen">
      <formula>NOT(ISERROR(SEARCH("Einnahmen",K166)))</formula>
    </cfRule>
    <cfRule type="containsText" priority="1028" operator="containsText" dxfId="0" text="Ausgaben">
      <formula>NOT(ISERROR(SEARCH("Ausgaben",K166)))</formula>
    </cfRule>
  </conditionalFormatting>
  <conditionalFormatting sqref="K167">
    <cfRule type="containsText" priority="1025" operator="containsText" dxfId="1" text="Einnahmen">
      <formula>NOT(ISERROR(SEARCH("Einnahmen",K167)))</formula>
    </cfRule>
    <cfRule type="containsText" priority="1026" operator="containsText" dxfId="0" text="Ausgaben">
      <formula>NOT(ISERROR(SEARCH("Ausgaben",K167)))</formula>
    </cfRule>
  </conditionalFormatting>
  <conditionalFormatting sqref="M166">
    <cfRule type="expression" priority="1024" dxfId="1390">
      <formula>ISBLANK(M166)</formula>
    </cfRule>
  </conditionalFormatting>
  <conditionalFormatting sqref="K170">
    <cfRule type="containsText" priority="1022" operator="containsText" dxfId="1" text="Einnahmen">
      <formula>NOT(ISERROR(SEARCH("Einnahmen",K170)))</formula>
    </cfRule>
    <cfRule type="containsText" priority="1023" operator="containsText" dxfId="0" text="Ausgaben">
      <formula>NOT(ISERROR(SEARCH("Ausgaben",K170)))</formula>
    </cfRule>
  </conditionalFormatting>
  <conditionalFormatting sqref="M170">
    <cfRule type="expression" priority="1021" dxfId="1390">
      <formula>ISBLANK(M170)</formula>
    </cfRule>
  </conditionalFormatting>
  <conditionalFormatting sqref="K172">
    <cfRule type="containsText" priority="1019" operator="containsText" dxfId="1" text="Einnahmen">
      <formula>NOT(ISERROR(SEARCH("Einnahmen",K172)))</formula>
    </cfRule>
    <cfRule type="containsText" priority="1020" operator="containsText" dxfId="0" text="Ausgaben">
      <formula>NOT(ISERROR(SEARCH("Ausgaben",K172)))</formula>
    </cfRule>
  </conditionalFormatting>
  <conditionalFormatting sqref="K173">
    <cfRule type="containsText" priority="1017" operator="containsText" dxfId="1" text="Einnahmen">
      <formula>NOT(ISERROR(SEARCH("Einnahmen",K173)))</formula>
    </cfRule>
    <cfRule type="containsText" priority="1018" operator="containsText" dxfId="0" text="Ausgaben">
      <formula>NOT(ISERROR(SEARCH("Ausgaben",K173)))</formula>
    </cfRule>
  </conditionalFormatting>
  <conditionalFormatting sqref="K174">
    <cfRule type="containsText" priority="1015" operator="containsText" dxfId="1" text="Einnahmen">
      <formula>NOT(ISERROR(SEARCH("Einnahmen",K174)))</formula>
    </cfRule>
    <cfRule type="containsText" priority="1016" operator="containsText" dxfId="0" text="Ausgaben">
      <formula>NOT(ISERROR(SEARCH("Ausgaben",K174)))</formula>
    </cfRule>
  </conditionalFormatting>
  <conditionalFormatting sqref="K175">
    <cfRule type="containsText" priority="1013" operator="containsText" dxfId="1" text="Einnahmen">
      <formula>NOT(ISERROR(SEARCH("Einnahmen",K175)))</formula>
    </cfRule>
    <cfRule type="containsText" priority="1014" operator="containsText" dxfId="0" text="Ausgaben">
      <formula>NOT(ISERROR(SEARCH("Ausgaben",K175)))</formula>
    </cfRule>
  </conditionalFormatting>
  <conditionalFormatting sqref="M175">
    <cfRule type="expression" priority="1012" dxfId="1390">
      <formula>ISBLANK(M175)</formula>
    </cfRule>
  </conditionalFormatting>
  <conditionalFormatting sqref="K176">
    <cfRule type="containsText" priority="1010" operator="containsText" dxfId="1" text="Einnahmen">
      <formula>NOT(ISERROR(SEARCH("Einnahmen",K176)))</formula>
    </cfRule>
    <cfRule type="containsText" priority="1011" operator="containsText" dxfId="0" text="Ausgaben">
      <formula>NOT(ISERROR(SEARCH("Ausgaben",K176)))</formula>
    </cfRule>
  </conditionalFormatting>
  <conditionalFormatting sqref="K177">
    <cfRule type="containsText" priority="1008" operator="containsText" dxfId="1" text="Einnahmen">
      <formula>NOT(ISERROR(SEARCH("Einnahmen",K177)))</formula>
    </cfRule>
    <cfRule type="containsText" priority="1009" operator="containsText" dxfId="0" text="Ausgaben">
      <formula>NOT(ISERROR(SEARCH("Ausgaben",K177)))</formula>
    </cfRule>
  </conditionalFormatting>
  <conditionalFormatting sqref="K178">
    <cfRule type="containsText" priority="1006" operator="containsText" dxfId="1" text="Einnahmen">
      <formula>NOT(ISERROR(SEARCH("Einnahmen",K178)))</formula>
    </cfRule>
    <cfRule type="containsText" priority="1007" operator="containsText" dxfId="0" text="Ausgaben">
      <formula>NOT(ISERROR(SEARCH("Ausgaben",K178)))</formula>
    </cfRule>
  </conditionalFormatting>
  <conditionalFormatting sqref="M178">
    <cfRule type="expression" priority="1005" dxfId="1390">
      <formula>ISBLANK(M178)</formula>
    </cfRule>
  </conditionalFormatting>
  <conditionalFormatting sqref="K179">
    <cfRule type="containsText" priority="1003" operator="containsText" dxfId="1" text="Einnahmen">
      <formula>NOT(ISERROR(SEARCH("Einnahmen",K179)))</formula>
    </cfRule>
    <cfRule type="containsText" priority="1004" operator="containsText" dxfId="0" text="Ausgaben">
      <formula>NOT(ISERROR(SEARCH("Ausgaben",K179)))</formula>
    </cfRule>
  </conditionalFormatting>
  <conditionalFormatting sqref="K180">
    <cfRule type="containsText" priority="1001" operator="containsText" dxfId="1" text="Einnahmen">
      <formula>NOT(ISERROR(SEARCH("Einnahmen",K180)))</formula>
    </cfRule>
    <cfRule type="containsText" priority="1002" operator="containsText" dxfId="0" text="Ausgaben">
      <formula>NOT(ISERROR(SEARCH("Ausgaben",K180)))</formula>
    </cfRule>
  </conditionalFormatting>
  <conditionalFormatting sqref="M180">
    <cfRule type="expression" priority="1000" dxfId="1390">
      <formula>ISBLANK(M180)</formula>
    </cfRule>
  </conditionalFormatting>
  <conditionalFormatting sqref="K181">
    <cfRule type="containsText" priority="998" operator="containsText" dxfId="1" text="Einnahmen">
      <formula>NOT(ISERROR(SEARCH("Einnahmen",K181)))</formula>
    </cfRule>
    <cfRule type="containsText" priority="999" operator="containsText" dxfId="0" text="Ausgaben">
      <formula>NOT(ISERROR(SEARCH("Ausgaben",K181)))</formula>
    </cfRule>
  </conditionalFormatting>
  <conditionalFormatting sqref="K182">
    <cfRule type="containsText" priority="996" operator="containsText" dxfId="1" text="Einnahmen">
      <formula>NOT(ISERROR(SEARCH("Einnahmen",K182)))</formula>
    </cfRule>
    <cfRule type="containsText" priority="997" operator="containsText" dxfId="0" text="Ausgaben">
      <formula>NOT(ISERROR(SEARCH("Ausgaben",K182)))</formula>
    </cfRule>
  </conditionalFormatting>
  <conditionalFormatting sqref="K183">
    <cfRule type="containsText" priority="994" operator="containsText" dxfId="1" text="Einnahmen">
      <formula>NOT(ISERROR(SEARCH("Einnahmen",K183)))</formula>
    </cfRule>
    <cfRule type="containsText" priority="995" operator="containsText" dxfId="0" text="Ausgaben">
      <formula>NOT(ISERROR(SEARCH("Ausgaben",K183)))</formula>
    </cfRule>
  </conditionalFormatting>
  <conditionalFormatting sqref="K184">
    <cfRule type="containsText" priority="992" operator="containsText" dxfId="1" text="Einnahmen">
      <formula>NOT(ISERROR(SEARCH("Einnahmen",K184)))</formula>
    </cfRule>
    <cfRule type="containsText" priority="993" operator="containsText" dxfId="0" text="Ausgaben">
      <formula>NOT(ISERROR(SEARCH("Ausgaben",K184)))</formula>
    </cfRule>
  </conditionalFormatting>
  <conditionalFormatting sqref="K185">
    <cfRule type="containsText" priority="990" operator="containsText" dxfId="1" text="Einnahmen">
      <formula>NOT(ISERROR(SEARCH("Einnahmen",K185)))</formula>
    </cfRule>
    <cfRule type="containsText" priority="991" operator="containsText" dxfId="0" text="Ausgaben">
      <formula>NOT(ISERROR(SEARCH("Ausgaben",K185)))</formula>
    </cfRule>
  </conditionalFormatting>
  <conditionalFormatting sqref="K186">
    <cfRule type="containsText" priority="988" operator="containsText" dxfId="1" text="Einnahmen">
      <formula>NOT(ISERROR(SEARCH("Einnahmen",K186)))</formula>
    </cfRule>
    <cfRule type="containsText" priority="989" operator="containsText" dxfId="0" text="Ausgaben">
      <formula>NOT(ISERROR(SEARCH("Ausgaben",K186)))</formula>
    </cfRule>
  </conditionalFormatting>
  <conditionalFormatting sqref="M186">
    <cfRule type="expression" priority="987" dxfId="1390">
      <formula>ISBLANK(M186)</formula>
    </cfRule>
  </conditionalFormatting>
  <conditionalFormatting sqref="K187">
    <cfRule type="containsText" priority="985" operator="containsText" dxfId="1" text="Einnahmen">
      <formula>NOT(ISERROR(SEARCH("Einnahmen",K187)))</formula>
    </cfRule>
    <cfRule type="containsText" priority="986" operator="containsText" dxfId="0" text="Ausgaben">
      <formula>NOT(ISERROR(SEARCH("Ausgaben",K187)))</formula>
    </cfRule>
  </conditionalFormatting>
  <conditionalFormatting sqref="K188">
    <cfRule type="containsText" priority="983" operator="containsText" dxfId="1" text="Einnahmen">
      <formula>NOT(ISERROR(SEARCH("Einnahmen",K188)))</formula>
    </cfRule>
    <cfRule type="containsText" priority="984" operator="containsText" dxfId="0" text="Ausgaben">
      <formula>NOT(ISERROR(SEARCH("Ausgaben",K188)))</formula>
    </cfRule>
  </conditionalFormatting>
  <conditionalFormatting sqref="K189">
    <cfRule type="containsText" priority="981" operator="containsText" dxfId="1" text="Einnahmen">
      <formula>NOT(ISERROR(SEARCH("Einnahmen",K189)))</formula>
    </cfRule>
    <cfRule type="containsText" priority="982" operator="containsText" dxfId="0" text="Ausgaben">
      <formula>NOT(ISERROR(SEARCH("Ausgaben",K189)))</formula>
    </cfRule>
  </conditionalFormatting>
  <conditionalFormatting sqref="M190">
    <cfRule type="expression" priority="980" dxfId="1390">
      <formula>ISBLANK(M190)</formula>
    </cfRule>
  </conditionalFormatting>
  <conditionalFormatting sqref="K190">
    <cfRule type="containsText" priority="978" operator="containsText" dxfId="1" text="Einnahmen">
      <formula>NOT(ISERROR(SEARCH("Einnahmen",K190)))</formula>
    </cfRule>
    <cfRule type="containsText" priority="979" operator="containsText" dxfId="0" text="Ausgaben">
      <formula>NOT(ISERROR(SEARCH("Ausgaben",K190)))</formula>
    </cfRule>
  </conditionalFormatting>
  <conditionalFormatting sqref="K191">
    <cfRule type="containsText" priority="976" operator="containsText" dxfId="1" text="Einnahmen">
      <formula>NOT(ISERROR(SEARCH("Einnahmen",K191)))</formula>
    </cfRule>
    <cfRule type="containsText" priority="977" operator="containsText" dxfId="0" text="Ausgaben">
      <formula>NOT(ISERROR(SEARCH("Ausgaben",K191)))</formula>
    </cfRule>
  </conditionalFormatting>
  <conditionalFormatting sqref="M191">
    <cfRule type="expression" priority="975" dxfId="1390">
      <formula>ISBLANK(M191)</formula>
    </cfRule>
  </conditionalFormatting>
  <conditionalFormatting sqref="K192">
    <cfRule type="containsText" priority="973" operator="containsText" dxfId="1" text="Einnahmen">
      <formula>NOT(ISERROR(SEARCH("Einnahmen",K192)))</formula>
    </cfRule>
    <cfRule type="containsText" priority="974" operator="containsText" dxfId="0" text="Ausgaben">
      <formula>NOT(ISERROR(SEARCH("Ausgaben",K192)))</formula>
    </cfRule>
  </conditionalFormatting>
  <conditionalFormatting sqref="M192">
    <cfRule type="expression" priority="972" dxfId="1390">
      <formula>ISBLANK(M192)</formula>
    </cfRule>
  </conditionalFormatting>
  <conditionalFormatting sqref="K193">
    <cfRule type="containsText" priority="970" operator="containsText" dxfId="1" text="Einnahmen">
      <formula>NOT(ISERROR(SEARCH("Einnahmen",K193)))</formula>
    </cfRule>
    <cfRule type="containsText" priority="971" operator="containsText" dxfId="0" text="Ausgaben">
      <formula>NOT(ISERROR(SEARCH("Ausgaben",K193)))</formula>
    </cfRule>
  </conditionalFormatting>
  <conditionalFormatting sqref="K194">
    <cfRule type="containsText" priority="968" operator="containsText" dxfId="1" text="Einnahmen">
      <formula>NOT(ISERROR(SEARCH("Einnahmen",K194)))</formula>
    </cfRule>
    <cfRule type="containsText" priority="969" operator="containsText" dxfId="0" text="Ausgaben">
      <formula>NOT(ISERROR(SEARCH("Ausgaben",K194)))</formula>
    </cfRule>
  </conditionalFormatting>
  <conditionalFormatting sqref="M194">
    <cfRule type="expression" priority="967" dxfId="1390">
      <formula>ISBLANK(M194)</formula>
    </cfRule>
  </conditionalFormatting>
  <conditionalFormatting sqref="K195">
    <cfRule type="containsText" priority="965" operator="containsText" dxfId="1" text="Einnahmen">
      <formula>NOT(ISERROR(SEARCH("Einnahmen",K195)))</formula>
    </cfRule>
    <cfRule type="containsText" priority="966" operator="containsText" dxfId="0" text="Ausgaben">
      <formula>NOT(ISERROR(SEARCH("Ausgaben",K195)))</formula>
    </cfRule>
  </conditionalFormatting>
  <conditionalFormatting sqref="K196">
    <cfRule type="containsText" priority="963" operator="containsText" dxfId="1" text="Einnahmen">
      <formula>NOT(ISERROR(SEARCH("Einnahmen",K196)))</formula>
    </cfRule>
    <cfRule type="containsText" priority="964" operator="containsText" dxfId="0" text="Ausgaben">
      <formula>NOT(ISERROR(SEARCH("Ausgaben",K196)))</formula>
    </cfRule>
  </conditionalFormatting>
  <conditionalFormatting sqref="K197:K198 K212 K215:K216">
    <cfRule type="containsText" priority="961" operator="containsText" dxfId="1" text="Einnahmen">
      <formula>NOT(ISERROR(SEARCH("Einnahmen",K197)))</formula>
    </cfRule>
    <cfRule type="containsText" priority="962" operator="containsText" dxfId="0" text="Ausgaben">
      <formula>NOT(ISERROR(SEARCH("Ausgaben",K197)))</formula>
    </cfRule>
  </conditionalFormatting>
  <conditionalFormatting sqref="K199">
    <cfRule type="containsText" priority="959" operator="containsText" dxfId="1" text="Einnahmen">
      <formula>NOT(ISERROR(SEARCH("Einnahmen",K199)))</formula>
    </cfRule>
    <cfRule type="containsText" priority="960" operator="containsText" dxfId="0" text="Ausgaben">
      <formula>NOT(ISERROR(SEARCH("Ausgaben",K199)))</formula>
    </cfRule>
  </conditionalFormatting>
  <conditionalFormatting sqref="K200">
    <cfRule type="containsText" priority="957" operator="containsText" dxfId="1" text="Einnahmen">
      <formula>NOT(ISERROR(SEARCH("Einnahmen",K200)))</formula>
    </cfRule>
    <cfRule type="containsText" priority="958" operator="containsText" dxfId="0" text="Ausgaben">
      <formula>NOT(ISERROR(SEARCH("Ausgaben",K200)))</formula>
    </cfRule>
  </conditionalFormatting>
  <conditionalFormatting sqref="K201">
    <cfRule type="containsText" priority="955" operator="containsText" dxfId="1" text="Einnahmen">
      <formula>NOT(ISERROR(SEARCH("Einnahmen",K201)))</formula>
    </cfRule>
    <cfRule type="containsText" priority="956" operator="containsText" dxfId="0" text="Ausgaben">
      <formula>NOT(ISERROR(SEARCH("Ausgaben",K201)))</formula>
    </cfRule>
  </conditionalFormatting>
  <conditionalFormatting sqref="M201">
    <cfRule type="expression" priority="954" dxfId="1390">
      <formula>ISBLANK(M201)</formula>
    </cfRule>
  </conditionalFormatting>
  <conditionalFormatting sqref="K202">
    <cfRule type="containsText" priority="952" operator="containsText" dxfId="1" text="Einnahmen">
      <formula>NOT(ISERROR(SEARCH("Einnahmen",K202)))</formula>
    </cfRule>
    <cfRule type="containsText" priority="953" operator="containsText" dxfId="0" text="Ausgaben">
      <formula>NOT(ISERROR(SEARCH("Ausgaben",K202)))</formula>
    </cfRule>
  </conditionalFormatting>
  <conditionalFormatting sqref="K203">
    <cfRule type="containsText" priority="950" operator="containsText" dxfId="1" text="Einnahmen">
      <formula>NOT(ISERROR(SEARCH("Einnahmen",K203)))</formula>
    </cfRule>
    <cfRule type="containsText" priority="951" operator="containsText" dxfId="0" text="Ausgaben">
      <formula>NOT(ISERROR(SEARCH("Ausgaben",K203)))</formula>
    </cfRule>
  </conditionalFormatting>
  <conditionalFormatting sqref="K204">
    <cfRule type="containsText" priority="948" operator="containsText" dxfId="1" text="Einnahmen">
      <formula>NOT(ISERROR(SEARCH("Einnahmen",K204)))</formula>
    </cfRule>
    <cfRule type="containsText" priority="949" operator="containsText" dxfId="0" text="Ausgaben">
      <formula>NOT(ISERROR(SEARCH("Ausgaben",K204)))</formula>
    </cfRule>
  </conditionalFormatting>
  <conditionalFormatting sqref="M204">
    <cfRule type="expression" priority="947" dxfId="1390">
      <formula>ISBLANK(M204)</formula>
    </cfRule>
  </conditionalFormatting>
  <conditionalFormatting sqref="K205">
    <cfRule type="containsText" priority="945" operator="containsText" dxfId="1" text="Einnahmen">
      <formula>NOT(ISERROR(SEARCH("Einnahmen",K205)))</formula>
    </cfRule>
    <cfRule type="containsText" priority="946" operator="containsText" dxfId="0" text="Ausgaben">
      <formula>NOT(ISERROR(SEARCH("Ausgaben",K205)))</formula>
    </cfRule>
  </conditionalFormatting>
  <conditionalFormatting sqref="M205">
    <cfRule type="expression" priority="944" dxfId="1390">
      <formula>ISBLANK(M205)</formula>
    </cfRule>
  </conditionalFormatting>
  <conditionalFormatting sqref="K206">
    <cfRule type="containsText" priority="942" operator="containsText" dxfId="1" text="Einnahmen">
      <formula>NOT(ISERROR(SEARCH("Einnahmen",K206)))</formula>
    </cfRule>
    <cfRule type="containsText" priority="943" operator="containsText" dxfId="0" text="Ausgaben">
      <formula>NOT(ISERROR(SEARCH("Ausgaben",K206)))</formula>
    </cfRule>
  </conditionalFormatting>
  <conditionalFormatting sqref="K207">
    <cfRule type="containsText" priority="940" operator="containsText" dxfId="1" text="Einnahmen">
      <formula>NOT(ISERROR(SEARCH("Einnahmen",K207)))</formula>
    </cfRule>
    <cfRule type="containsText" priority="941" operator="containsText" dxfId="0" text="Ausgaben">
      <formula>NOT(ISERROR(SEARCH("Ausgaben",K207)))</formula>
    </cfRule>
  </conditionalFormatting>
  <conditionalFormatting sqref="K208">
    <cfRule type="containsText" priority="938" operator="containsText" dxfId="1" text="Einnahmen">
      <formula>NOT(ISERROR(SEARCH("Einnahmen",K208)))</formula>
    </cfRule>
    <cfRule type="containsText" priority="939" operator="containsText" dxfId="0" text="Ausgaben">
      <formula>NOT(ISERROR(SEARCH("Ausgaben",K208)))</formula>
    </cfRule>
  </conditionalFormatting>
  <conditionalFormatting sqref="K209">
    <cfRule type="containsText" priority="936" operator="containsText" dxfId="1" text="Einnahmen">
      <formula>NOT(ISERROR(SEARCH("Einnahmen",K209)))</formula>
    </cfRule>
    <cfRule type="containsText" priority="937" operator="containsText" dxfId="0" text="Ausgaben">
      <formula>NOT(ISERROR(SEARCH("Ausgaben",K209)))</formula>
    </cfRule>
  </conditionalFormatting>
  <conditionalFormatting sqref="M209">
    <cfRule type="expression" priority="935" dxfId="1390">
      <formula>ISBLANK(M209)</formula>
    </cfRule>
  </conditionalFormatting>
  <conditionalFormatting sqref="K210">
    <cfRule type="containsText" priority="933" operator="containsText" dxfId="1" text="Einnahmen">
      <formula>NOT(ISERROR(SEARCH("Einnahmen",K210)))</formula>
    </cfRule>
    <cfRule type="containsText" priority="934" operator="containsText" dxfId="0" text="Ausgaben">
      <formula>NOT(ISERROR(SEARCH("Ausgaben",K210)))</formula>
    </cfRule>
  </conditionalFormatting>
  <conditionalFormatting sqref="K211">
    <cfRule type="containsText" priority="931" operator="containsText" dxfId="1" text="Einnahmen">
      <formula>NOT(ISERROR(SEARCH("Einnahmen",K211)))</formula>
    </cfRule>
    <cfRule type="containsText" priority="932" operator="containsText" dxfId="0" text="Ausgaben">
      <formula>NOT(ISERROR(SEARCH("Ausgaben",K211)))</formula>
    </cfRule>
  </conditionalFormatting>
  <conditionalFormatting sqref="K213">
    <cfRule type="containsText" priority="929" operator="containsText" dxfId="1" text="Einnahmen">
      <formula>NOT(ISERROR(SEARCH("Einnahmen",K213)))</formula>
    </cfRule>
    <cfRule type="containsText" priority="930" operator="containsText" dxfId="0" text="Ausgaben">
      <formula>NOT(ISERROR(SEARCH("Ausgaben",K213)))</formula>
    </cfRule>
  </conditionalFormatting>
  <conditionalFormatting sqref="K214">
    <cfRule type="containsText" priority="927" operator="containsText" dxfId="1" text="Einnahmen">
      <formula>NOT(ISERROR(SEARCH("Einnahmen",K214)))</formula>
    </cfRule>
    <cfRule type="containsText" priority="928" operator="containsText" dxfId="0" text="Ausgaben">
      <formula>NOT(ISERROR(SEARCH("Ausgaben",K214)))</formula>
    </cfRule>
  </conditionalFormatting>
  <conditionalFormatting sqref="M229">
    <cfRule type="expression" priority="891" dxfId="1390">
      <formula>ISBLANK(M229)</formula>
    </cfRule>
  </conditionalFormatting>
  <conditionalFormatting sqref="K217">
    <cfRule type="containsText" priority="925" operator="containsText" dxfId="1" text="Einnahmen">
      <formula>NOT(ISERROR(SEARCH("Einnahmen",K217)))</formula>
    </cfRule>
    <cfRule type="containsText" priority="926" operator="containsText" dxfId="0" text="Ausgaben">
      <formula>NOT(ISERROR(SEARCH("Ausgaben",K217)))</formula>
    </cfRule>
  </conditionalFormatting>
  <conditionalFormatting sqref="K218">
    <cfRule type="containsText" priority="923" operator="containsText" dxfId="1" text="Einnahmen">
      <formula>NOT(ISERROR(SEARCH("Einnahmen",K218)))</formula>
    </cfRule>
    <cfRule type="containsText" priority="924" operator="containsText" dxfId="0" text="Ausgaben">
      <formula>NOT(ISERROR(SEARCH("Ausgaben",K218)))</formula>
    </cfRule>
  </conditionalFormatting>
  <conditionalFormatting sqref="M218">
    <cfRule type="expression" priority="922" dxfId="1390">
      <formula>ISBLANK(M218)</formula>
    </cfRule>
  </conditionalFormatting>
  <conditionalFormatting sqref="K219">
    <cfRule type="containsText" priority="920" operator="containsText" dxfId="1" text="Einnahmen">
      <formula>NOT(ISERROR(SEARCH("Einnahmen",K219)))</formula>
    </cfRule>
    <cfRule type="containsText" priority="921" operator="containsText" dxfId="0" text="Ausgaben">
      <formula>NOT(ISERROR(SEARCH("Ausgaben",K219)))</formula>
    </cfRule>
  </conditionalFormatting>
  <conditionalFormatting sqref="M219">
    <cfRule type="expression" priority="919" dxfId="1390">
      <formula>ISBLANK(M219)</formula>
    </cfRule>
  </conditionalFormatting>
  <conditionalFormatting sqref="K220">
    <cfRule type="containsText" priority="917" operator="containsText" dxfId="1" text="Einnahmen">
      <formula>NOT(ISERROR(SEARCH("Einnahmen",K220)))</formula>
    </cfRule>
    <cfRule type="containsText" priority="918" operator="containsText" dxfId="0" text="Ausgaben">
      <formula>NOT(ISERROR(SEARCH("Ausgaben",K220)))</formula>
    </cfRule>
  </conditionalFormatting>
  <conditionalFormatting sqref="K221">
    <cfRule type="containsText" priority="915" operator="containsText" dxfId="1" text="Einnahmen">
      <formula>NOT(ISERROR(SEARCH("Einnahmen",K221)))</formula>
    </cfRule>
    <cfRule type="containsText" priority="916" operator="containsText" dxfId="0" text="Ausgaben">
      <formula>NOT(ISERROR(SEARCH("Ausgaben",K221)))</formula>
    </cfRule>
  </conditionalFormatting>
  <conditionalFormatting sqref="K222">
    <cfRule type="containsText" priority="913" operator="containsText" dxfId="1" text="Einnahmen">
      <formula>NOT(ISERROR(SEARCH("Einnahmen",K222)))</formula>
    </cfRule>
    <cfRule type="containsText" priority="914" operator="containsText" dxfId="0" text="Ausgaben">
      <formula>NOT(ISERROR(SEARCH("Ausgaben",K222)))</formula>
    </cfRule>
  </conditionalFormatting>
  <conditionalFormatting sqref="M222">
    <cfRule type="expression" priority="912" dxfId="1390">
      <formula>ISBLANK(M222)</formula>
    </cfRule>
  </conditionalFormatting>
  <conditionalFormatting sqref="K223">
    <cfRule type="containsText" priority="910" operator="containsText" dxfId="1" text="Einnahmen">
      <formula>NOT(ISERROR(SEARCH("Einnahmen",K223)))</formula>
    </cfRule>
    <cfRule type="containsText" priority="911" operator="containsText" dxfId="0" text="Ausgaben">
      <formula>NOT(ISERROR(SEARCH("Ausgaben",K223)))</formula>
    </cfRule>
  </conditionalFormatting>
  <conditionalFormatting sqref="M223">
    <cfRule type="expression" priority="909" dxfId="1390">
      <formula>ISBLANK(M223)</formula>
    </cfRule>
  </conditionalFormatting>
  <conditionalFormatting sqref="K224">
    <cfRule type="containsText" priority="907" operator="containsText" dxfId="1" text="Einnahmen">
      <formula>NOT(ISERROR(SEARCH("Einnahmen",K224)))</formula>
    </cfRule>
    <cfRule type="containsText" priority="908" operator="containsText" dxfId="0" text="Ausgaben">
      <formula>NOT(ISERROR(SEARCH("Ausgaben",K224)))</formula>
    </cfRule>
  </conditionalFormatting>
  <conditionalFormatting sqref="M224">
    <cfRule type="expression" priority="906" dxfId="1390">
      <formula>ISBLANK(M224)</formula>
    </cfRule>
  </conditionalFormatting>
  <conditionalFormatting sqref="K225">
    <cfRule type="containsText" priority="904" operator="containsText" dxfId="1" text="Einnahmen">
      <formula>NOT(ISERROR(SEARCH("Einnahmen",K225)))</formula>
    </cfRule>
    <cfRule type="containsText" priority="905" operator="containsText" dxfId="0" text="Ausgaben">
      <formula>NOT(ISERROR(SEARCH("Ausgaben",K225)))</formula>
    </cfRule>
  </conditionalFormatting>
  <conditionalFormatting sqref="K226">
    <cfRule type="containsText" priority="902" operator="containsText" dxfId="1" text="Einnahmen">
      <formula>NOT(ISERROR(SEARCH("Einnahmen",K226)))</formula>
    </cfRule>
    <cfRule type="containsText" priority="903" operator="containsText" dxfId="0" text="Ausgaben">
      <formula>NOT(ISERROR(SEARCH("Ausgaben",K226)))</formula>
    </cfRule>
  </conditionalFormatting>
  <conditionalFormatting sqref="M225">
    <cfRule type="expression" priority="901" dxfId="1390">
      <formula>ISBLANK(M225)</formula>
    </cfRule>
  </conditionalFormatting>
  <conditionalFormatting sqref="K227">
    <cfRule type="containsText" priority="899" operator="containsText" dxfId="1" text="Einnahmen">
      <formula>NOT(ISERROR(SEARCH("Einnahmen",K227)))</formula>
    </cfRule>
    <cfRule type="containsText" priority="900" operator="containsText" dxfId="0" text="Ausgaben">
      <formula>NOT(ISERROR(SEARCH("Ausgaben",K227)))</formula>
    </cfRule>
  </conditionalFormatting>
  <conditionalFormatting sqref="K228">
    <cfRule type="containsText" priority="897" operator="containsText" dxfId="1" text="Einnahmen">
      <formula>NOT(ISERROR(SEARCH("Einnahmen",K228)))</formula>
    </cfRule>
    <cfRule type="containsText" priority="898" operator="containsText" dxfId="0" text="Ausgaben">
      <formula>NOT(ISERROR(SEARCH("Ausgaben",K228)))</formula>
    </cfRule>
  </conditionalFormatting>
  <conditionalFormatting sqref="M228">
    <cfRule type="expression" priority="896" dxfId="1390">
      <formula>ISBLANK(M228)</formula>
    </cfRule>
  </conditionalFormatting>
  <conditionalFormatting sqref="K230">
    <cfRule type="containsText" priority="894" operator="containsText" dxfId="1" text="Einnahmen">
      <formula>NOT(ISERROR(SEARCH("Einnahmen",K230)))</formula>
    </cfRule>
    <cfRule type="containsText" priority="895" operator="containsText" dxfId="0" text="Ausgaben">
      <formula>NOT(ISERROR(SEARCH("Ausgaben",K230)))</formula>
    </cfRule>
  </conditionalFormatting>
  <conditionalFormatting sqref="K229">
    <cfRule type="containsText" priority="892" operator="containsText" dxfId="1" text="Einnahmen">
      <formula>NOT(ISERROR(SEARCH("Einnahmen",K229)))</formula>
    </cfRule>
    <cfRule type="containsText" priority="893" operator="containsText" dxfId="0" text="Ausgaben">
      <formula>NOT(ISERROR(SEARCH("Ausgaben",K229)))</formula>
    </cfRule>
  </conditionalFormatting>
  <conditionalFormatting sqref="K231">
    <cfRule type="containsText" priority="889" operator="containsText" dxfId="1" text="Einnahmen">
      <formula>NOT(ISERROR(SEARCH("Einnahmen",K231)))</formula>
    </cfRule>
    <cfRule type="containsText" priority="890" operator="containsText" dxfId="0" text="Ausgaben">
      <formula>NOT(ISERROR(SEARCH("Ausgaben",K231)))</formula>
    </cfRule>
  </conditionalFormatting>
  <conditionalFormatting sqref="M231">
    <cfRule type="expression" priority="888" dxfId="1390">
      <formula>ISBLANK(M231)</formula>
    </cfRule>
  </conditionalFormatting>
  <conditionalFormatting sqref="K232">
    <cfRule type="containsText" priority="886" operator="containsText" dxfId="1" text="Einnahmen">
      <formula>NOT(ISERROR(SEARCH("Einnahmen",K232)))</formula>
    </cfRule>
    <cfRule type="containsText" priority="887" operator="containsText" dxfId="0" text="Ausgaben">
      <formula>NOT(ISERROR(SEARCH("Ausgaben",K232)))</formula>
    </cfRule>
  </conditionalFormatting>
  <conditionalFormatting sqref="M232:M233">
    <cfRule type="expression" priority="885" dxfId="1390">
      <formula>ISBLANK(M232)</formula>
    </cfRule>
  </conditionalFormatting>
  <conditionalFormatting sqref="K234:K235">
    <cfRule type="containsText" priority="883" operator="containsText" dxfId="1" text="Einnahmen">
      <formula>NOT(ISERROR(SEARCH("Einnahmen",K234)))</formula>
    </cfRule>
    <cfRule type="containsText" priority="884" operator="containsText" dxfId="0" text="Ausgaben">
      <formula>NOT(ISERROR(SEARCH("Ausgaben",K234)))</formula>
    </cfRule>
  </conditionalFormatting>
  <conditionalFormatting sqref="K233">
    <cfRule type="containsText" priority="881" operator="containsText" dxfId="1" text="Einnahmen">
      <formula>NOT(ISERROR(SEARCH("Einnahmen",K233)))</formula>
    </cfRule>
    <cfRule type="containsText" priority="882" operator="containsText" dxfId="0" text="Ausgaben">
      <formula>NOT(ISERROR(SEARCH("Ausgaben",K233)))</formula>
    </cfRule>
  </conditionalFormatting>
  <conditionalFormatting sqref="AA62:AA63">
    <cfRule type="expression" priority="880" dxfId="2">
      <formula>AND(AND($W62&lt;TODAY(),$W62&lt;&gt;""),$X62="")</formula>
    </cfRule>
  </conditionalFormatting>
  <conditionalFormatting sqref="Q4 Q11 Q15:Q16 Q19:Q20 Q26 Q86 Q90 Q95 Q103 Q120 Q130 Q137 Q149 Q169 Q171 Q198 Q212 Q215:Q216 Q230">
    <cfRule type="cellIs" priority="879" operator="equal" dxfId="2034">
      <formula>"ja"</formula>
    </cfRule>
  </conditionalFormatting>
  <conditionalFormatting sqref="Q2">
    <cfRule type="cellIs" priority="878" operator="equal" dxfId="2034">
      <formula>"ja"</formula>
    </cfRule>
  </conditionalFormatting>
  <conditionalFormatting sqref="AA2">
    <cfRule type="expression" priority="877" dxfId="2">
      <formula>AND(AND($W2&lt;TODAY(),$W2&lt;&gt;""),$X2="")</formula>
    </cfRule>
  </conditionalFormatting>
  <conditionalFormatting sqref="AG2">
    <cfRule type="dataBar" priority="876">
      <dataBar>
        <cfvo type="min"/>
        <cfvo type="max"/>
        <color rgb="FF63C384"/>
      </dataBar>
    </cfRule>
    <cfRule type="dataBar" priority="875">
      <dataBar>
        <cfvo type="min"/>
        <cfvo type="max"/>
        <color rgb="FF63C384"/>
      </dataBar>
    </cfRule>
  </conditionalFormatting>
  <conditionalFormatting sqref="AA3:AA4">
    <cfRule type="expression" priority="874" dxfId="2">
      <formula>AND(AND($W3&lt;TODAY(),$W3&lt;&gt;""),$X3="")</formula>
    </cfRule>
  </conditionalFormatting>
  <conditionalFormatting sqref="Q3">
    <cfRule type="cellIs" priority="873" operator="equal" dxfId="2034">
      <formula>"ja"</formula>
    </cfRule>
  </conditionalFormatting>
  <conditionalFormatting sqref="AG3:AG4">
    <cfRule type="dataBar" priority="872">
      <dataBar>
        <cfvo type="min"/>
        <cfvo type="max"/>
        <color rgb="FF63C384"/>
      </dataBar>
    </cfRule>
    <cfRule type="dataBar" priority="871">
      <dataBar>
        <cfvo type="min"/>
        <cfvo type="max"/>
        <color rgb="FF63C384"/>
      </dataBar>
    </cfRule>
  </conditionalFormatting>
  <conditionalFormatting sqref="Q5">
    <cfRule type="cellIs" priority="870" operator="equal" dxfId="2034">
      <formula>"ja"</formula>
    </cfRule>
  </conditionalFormatting>
  <conditionalFormatting sqref="AA5">
    <cfRule type="expression" priority="869" dxfId="2">
      <formula>AND(AND($W5&lt;TODAY(),$W5&lt;&gt;""),$X5="")</formula>
    </cfRule>
  </conditionalFormatting>
  <conditionalFormatting sqref="AG5">
    <cfRule type="dataBar" priority="868">
      <dataBar>
        <cfvo type="min"/>
        <cfvo type="max"/>
        <color rgb="FF63C384"/>
      </dataBar>
    </cfRule>
    <cfRule type="dataBar" priority="867">
      <dataBar>
        <cfvo type="min"/>
        <cfvo type="max"/>
        <color rgb="FF63C384"/>
      </dataBar>
    </cfRule>
  </conditionalFormatting>
  <conditionalFormatting sqref="Q6">
    <cfRule type="cellIs" priority="866" operator="equal" dxfId="2034">
      <formula>"ja"</formula>
    </cfRule>
  </conditionalFormatting>
  <conditionalFormatting sqref="AA6">
    <cfRule type="expression" priority="865" dxfId="2">
      <formula>AND(AND($W6&lt;TODAY(),$W6&lt;&gt;""),$X6="")</formula>
    </cfRule>
  </conditionalFormatting>
  <conditionalFormatting sqref="AG6">
    <cfRule type="dataBar" priority="864">
      <dataBar>
        <cfvo type="min"/>
        <cfvo type="max"/>
        <color rgb="FF63C384"/>
      </dataBar>
    </cfRule>
    <cfRule type="dataBar" priority="863">
      <dataBar>
        <cfvo type="min"/>
        <cfvo type="max"/>
        <color rgb="FF63C384"/>
      </dataBar>
    </cfRule>
  </conditionalFormatting>
  <conditionalFormatting sqref="Q7">
    <cfRule type="cellIs" priority="862" operator="equal" dxfId="2034">
      <formula>"ja"</formula>
    </cfRule>
  </conditionalFormatting>
  <conditionalFormatting sqref="AA7">
    <cfRule type="expression" priority="861" dxfId="2">
      <formula>AND(AND($W7&lt;TODAY(),$W7&lt;&gt;""),$X7="")</formula>
    </cfRule>
  </conditionalFormatting>
  <conditionalFormatting sqref="AG7">
    <cfRule type="dataBar" priority="860">
      <dataBar>
        <cfvo type="min"/>
        <cfvo type="max"/>
        <color rgb="FF63C384"/>
      </dataBar>
    </cfRule>
    <cfRule type="dataBar" priority="859">
      <dataBar>
        <cfvo type="min"/>
        <cfvo type="max"/>
        <color rgb="FF63C384"/>
      </dataBar>
    </cfRule>
  </conditionalFormatting>
  <conditionalFormatting sqref="Q8">
    <cfRule type="cellIs" priority="858" operator="equal" dxfId="2034">
      <formula>"ja"</formula>
    </cfRule>
  </conditionalFormatting>
  <conditionalFormatting sqref="AA8">
    <cfRule type="expression" priority="857" dxfId="2">
      <formula>AND(AND($W8&lt;TODAY(),$W8&lt;&gt;""),$X8="")</formula>
    </cfRule>
  </conditionalFormatting>
  <conditionalFormatting sqref="AG8">
    <cfRule type="dataBar" priority="856">
      <dataBar>
        <cfvo type="min"/>
        <cfvo type="max"/>
        <color rgb="FF63C384"/>
      </dataBar>
    </cfRule>
    <cfRule type="dataBar" priority="855">
      <dataBar>
        <cfvo type="min"/>
        <cfvo type="max"/>
        <color rgb="FF63C384"/>
      </dataBar>
    </cfRule>
  </conditionalFormatting>
  <conditionalFormatting sqref="Q9">
    <cfRule type="cellIs" priority="854" operator="equal" dxfId="2034">
      <formula>"ja"</formula>
    </cfRule>
  </conditionalFormatting>
  <conditionalFormatting sqref="AA9">
    <cfRule type="expression" priority="853" dxfId="2">
      <formula>AND(AND($W9&lt;TODAY(),$W9&lt;&gt;""),$X9="")</formula>
    </cfRule>
  </conditionalFormatting>
  <conditionalFormatting sqref="AG9">
    <cfRule type="dataBar" priority="852">
      <dataBar>
        <cfvo type="min"/>
        <cfvo type="max"/>
        <color rgb="FF63C384"/>
      </dataBar>
    </cfRule>
    <cfRule type="dataBar" priority="851">
      <dataBar>
        <cfvo type="min"/>
        <cfvo type="max"/>
        <color rgb="FF63C384"/>
      </dataBar>
    </cfRule>
  </conditionalFormatting>
  <conditionalFormatting sqref="Q10">
    <cfRule type="cellIs" priority="850" operator="equal" dxfId="2034">
      <formula>"ja"</formula>
    </cfRule>
  </conditionalFormatting>
  <conditionalFormatting sqref="AA10:AA11">
    <cfRule type="expression" priority="849" dxfId="2">
      <formula>AND(AND($W10&lt;TODAY(),$W10&lt;&gt;""),$X10="")</formula>
    </cfRule>
  </conditionalFormatting>
  <conditionalFormatting sqref="AG10:AG11">
    <cfRule type="dataBar" priority="848">
      <dataBar>
        <cfvo type="min"/>
        <cfvo type="max"/>
        <color rgb="FF63C384"/>
      </dataBar>
    </cfRule>
    <cfRule type="dataBar" priority="847">
      <dataBar>
        <cfvo type="min"/>
        <cfvo type="max"/>
        <color rgb="FF63C384"/>
      </dataBar>
    </cfRule>
  </conditionalFormatting>
  <conditionalFormatting sqref="Q12">
    <cfRule type="cellIs" priority="846" operator="equal" dxfId="2034">
      <formula>"ja"</formula>
    </cfRule>
  </conditionalFormatting>
  <conditionalFormatting sqref="AA12">
    <cfRule type="expression" priority="845" dxfId="2">
      <formula>AND(AND($W12&lt;TODAY(),$W12&lt;&gt;""),$X12="")</formula>
    </cfRule>
  </conditionalFormatting>
  <conditionalFormatting sqref="AG12">
    <cfRule type="dataBar" priority="844">
      <dataBar>
        <cfvo type="min"/>
        <cfvo type="max"/>
        <color rgb="FF63C384"/>
      </dataBar>
    </cfRule>
    <cfRule type="dataBar" priority="843">
      <dataBar>
        <cfvo type="min"/>
        <cfvo type="max"/>
        <color rgb="FF63C384"/>
      </dataBar>
    </cfRule>
  </conditionalFormatting>
  <conditionalFormatting sqref="AA13">
    <cfRule type="expression" priority="842" dxfId="2">
      <formula>AND(AND($W13&lt;TODAY(),$W13&lt;&gt;""),$X13="")</formula>
    </cfRule>
  </conditionalFormatting>
  <conditionalFormatting sqref="AG13">
    <cfRule type="dataBar" priority="841">
      <dataBar>
        <cfvo type="min"/>
        <cfvo type="max"/>
        <color rgb="FF63C384"/>
      </dataBar>
    </cfRule>
    <cfRule type="dataBar" priority="840">
      <dataBar>
        <cfvo type="min"/>
        <cfvo type="max"/>
        <color rgb="FF63C384"/>
      </dataBar>
    </cfRule>
  </conditionalFormatting>
  <conditionalFormatting sqref="AA14">
    <cfRule type="expression" priority="839" dxfId="2">
      <formula>AND(AND($W14&lt;TODAY(),$W14&lt;&gt;""),$X14="")</formula>
    </cfRule>
  </conditionalFormatting>
  <conditionalFormatting sqref="Q14">
    <cfRule type="cellIs" priority="838" operator="equal" dxfId="2034">
      <formula>"ja"</formula>
    </cfRule>
  </conditionalFormatting>
  <conditionalFormatting sqref="AG14">
    <cfRule type="dataBar" priority="837">
      <dataBar>
        <cfvo type="min"/>
        <cfvo type="max"/>
        <color rgb="FF63C384"/>
      </dataBar>
    </cfRule>
    <cfRule type="dataBar" priority="836">
      <dataBar>
        <cfvo type="min"/>
        <cfvo type="max"/>
        <color rgb="FF63C384"/>
      </dataBar>
    </cfRule>
  </conditionalFormatting>
  <conditionalFormatting sqref="Q13">
    <cfRule type="cellIs" priority="835" operator="equal" dxfId="2034">
      <formula>"ja"</formula>
    </cfRule>
  </conditionalFormatting>
  <conditionalFormatting sqref="AA15">
    <cfRule type="expression" priority="834" dxfId="2">
      <formula>AND(AND($W15&lt;TODAY(),$W15&lt;&gt;""),$X15="")</formula>
    </cfRule>
  </conditionalFormatting>
  <conditionalFormatting sqref="AG15">
    <cfRule type="dataBar" priority="833">
      <dataBar>
        <cfvo type="min"/>
        <cfvo type="max"/>
        <color rgb="FF63C384"/>
      </dataBar>
    </cfRule>
    <cfRule type="dataBar" priority="832">
      <dataBar>
        <cfvo type="min"/>
        <cfvo type="max"/>
        <color rgb="FF63C384"/>
      </dataBar>
    </cfRule>
  </conditionalFormatting>
  <conditionalFormatting sqref="AA16">
    <cfRule type="expression" priority="831" dxfId="2">
      <formula>AND(AND($W16&lt;TODAY(),$W16&lt;&gt;""),$X16="")</formula>
    </cfRule>
  </conditionalFormatting>
  <conditionalFormatting sqref="AG16">
    <cfRule type="dataBar" priority="830">
      <dataBar>
        <cfvo type="min"/>
        <cfvo type="max"/>
        <color rgb="FF63C384"/>
      </dataBar>
    </cfRule>
    <cfRule type="dataBar" priority="829">
      <dataBar>
        <cfvo type="min"/>
        <cfvo type="max"/>
        <color rgb="FF63C384"/>
      </dataBar>
    </cfRule>
  </conditionalFormatting>
  <conditionalFormatting sqref="Q17:Q18">
    <cfRule type="cellIs" priority="828" operator="equal" dxfId="2034">
      <formula>"ja"</formula>
    </cfRule>
  </conditionalFormatting>
  <conditionalFormatting sqref="AA17:AA18">
    <cfRule type="expression" priority="827" dxfId="2">
      <formula>AND(AND($W17&lt;TODAY(),$W17&lt;&gt;""),$X17="")</formula>
    </cfRule>
  </conditionalFormatting>
  <conditionalFormatting sqref="AG17:AG18">
    <cfRule type="dataBar" priority="826">
      <dataBar>
        <cfvo type="min"/>
        <cfvo type="max"/>
        <color rgb="FF63C384"/>
      </dataBar>
    </cfRule>
    <cfRule type="dataBar" priority="825">
      <dataBar>
        <cfvo type="min"/>
        <cfvo type="max"/>
        <color rgb="FF63C384"/>
      </dataBar>
    </cfRule>
  </conditionalFormatting>
  <conditionalFormatting sqref="AA19">
    <cfRule type="expression" priority="824" dxfId="2">
      <formula>AND(AND($W19&lt;TODAY(),$W19&lt;&gt;""),$X19="")</formula>
    </cfRule>
  </conditionalFormatting>
  <conditionalFormatting sqref="AG19">
    <cfRule type="dataBar" priority="823">
      <dataBar>
        <cfvo type="min"/>
        <cfvo type="max"/>
        <color rgb="FF63C384"/>
      </dataBar>
    </cfRule>
    <cfRule type="dataBar" priority="822">
      <dataBar>
        <cfvo type="min"/>
        <cfvo type="max"/>
        <color rgb="FF63C384"/>
      </dataBar>
    </cfRule>
  </conditionalFormatting>
  <conditionalFormatting sqref="AA20">
    <cfRule type="expression" priority="821" dxfId="2">
      <formula>AND(AND($W20&lt;TODAY(),$W20&lt;&gt;""),$X20="")</formula>
    </cfRule>
  </conditionalFormatting>
  <conditionalFormatting sqref="AG20">
    <cfRule type="dataBar" priority="820">
      <dataBar>
        <cfvo type="min"/>
        <cfvo type="max"/>
        <color rgb="FF63C384"/>
      </dataBar>
    </cfRule>
    <cfRule type="dataBar" priority="819">
      <dataBar>
        <cfvo type="min"/>
        <cfvo type="max"/>
        <color rgb="FF63C384"/>
      </dataBar>
    </cfRule>
  </conditionalFormatting>
  <conditionalFormatting sqref="AA21">
    <cfRule type="expression" priority="818" dxfId="2">
      <formula>AND(AND($W21&lt;TODAY(),$W21&lt;&gt;""),$X21="")</formula>
    </cfRule>
  </conditionalFormatting>
  <conditionalFormatting sqref="AG21">
    <cfRule type="dataBar" priority="817">
      <dataBar>
        <cfvo type="min"/>
        <cfvo type="max"/>
        <color rgb="FF63C384"/>
      </dataBar>
    </cfRule>
    <cfRule type="dataBar" priority="816">
      <dataBar>
        <cfvo type="min"/>
        <cfvo type="max"/>
        <color rgb="FF63C384"/>
      </dataBar>
    </cfRule>
  </conditionalFormatting>
  <conditionalFormatting sqref="Q21">
    <cfRule type="cellIs" priority="815" operator="equal" dxfId="2034">
      <formula>"ja"</formula>
    </cfRule>
  </conditionalFormatting>
  <conditionalFormatting sqref="Q22:Q23">
    <cfRule type="cellIs" priority="814" operator="equal" dxfId="2034">
      <formula>"ja"</formula>
    </cfRule>
  </conditionalFormatting>
  <conditionalFormatting sqref="AA22:AA23">
    <cfRule type="expression" priority="813" dxfId="2">
      <formula>AND(AND($W22&lt;TODAY(),$W22&lt;&gt;""),$X22="")</formula>
    </cfRule>
  </conditionalFormatting>
  <conditionalFormatting sqref="AG22:AG23">
    <cfRule type="dataBar" priority="812">
      <dataBar>
        <cfvo type="min"/>
        <cfvo type="max"/>
        <color rgb="FF63C384"/>
      </dataBar>
    </cfRule>
    <cfRule type="dataBar" priority="811">
      <dataBar>
        <cfvo type="min"/>
        <cfvo type="max"/>
        <color rgb="FF63C384"/>
      </dataBar>
    </cfRule>
  </conditionalFormatting>
  <conditionalFormatting sqref="AA24">
    <cfRule type="expression" priority="810" dxfId="2">
      <formula>AND(AND($W24&lt;TODAY(),$W24&lt;&gt;""),$X24="")</formula>
    </cfRule>
  </conditionalFormatting>
  <conditionalFormatting sqref="Q24">
    <cfRule type="cellIs" priority="809" operator="equal" dxfId="2034">
      <formula>"ja"</formula>
    </cfRule>
  </conditionalFormatting>
  <conditionalFormatting sqref="AG24">
    <cfRule type="dataBar" priority="808">
      <dataBar>
        <cfvo type="min"/>
        <cfvo type="max"/>
        <color rgb="FF63C384"/>
      </dataBar>
    </cfRule>
    <cfRule type="dataBar" priority="807">
      <dataBar>
        <cfvo type="min"/>
        <cfvo type="max"/>
        <color rgb="FF63C384"/>
      </dataBar>
    </cfRule>
  </conditionalFormatting>
  <conditionalFormatting sqref="Q25">
    <cfRule type="cellIs" priority="806" operator="equal" dxfId="2034">
      <formula>"ja"</formula>
    </cfRule>
  </conditionalFormatting>
  <conditionalFormatting sqref="AA25">
    <cfRule type="expression" priority="805" dxfId="2">
      <formula>AND(AND($W25&lt;TODAY(),$W25&lt;&gt;""),$X25="")</formula>
    </cfRule>
  </conditionalFormatting>
  <conditionalFormatting sqref="AG25">
    <cfRule type="dataBar" priority="804">
      <dataBar>
        <cfvo type="min"/>
        <cfvo type="max"/>
        <color rgb="FF63C384"/>
      </dataBar>
    </cfRule>
    <cfRule type="dataBar" priority="803">
      <dataBar>
        <cfvo type="min"/>
        <cfvo type="max"/>
        <color rgb="FF63C384"/>
      </dataBar>
    </cfRule>
  </conditionalFormatting>
  <conditionalFormatting sqref="AA26">
    <cfRule type="expression" priority="802" dxfId="2">
      <formula>AND(AND($W26&lt;TODAY(),$W26&lt;&gt;""),$X26="")</formula>
    </cfRule>
  </conditionalFormatting>
  <conditionalFormatting sqref="AG26">
    <cfRule type="dataBar" priority="801">
      <dataBar>
        <cfvo type="min"/>
        <cfvo type="max"/>
        <color rgb="FF63C384"/>
      </dataBar>
    </cfRule>
    <cfRule type="dataBar" priority="800">
      <dataBar>
        <cfvo type="min"/>
        <cfvo type="max"/>
        <color rgb="FF63C384"/>
      </dataBar>
    </cfRule>
  </conditionalFormatting>
  <conditionalFormatting sqref="Q27:Q30">
    <cfRule type="cellIs" priority="799" operator="equal" dxfId="2034">
      <formula>"ja"</formula>
    </cfRule>
  </conditionalFormatting>
  <conditionalFormatting sqref="AA27:AA30">
    <cfRule type="expression" priority="798" dxfId="2">
      <formula>AND(AND($W27&lt;TODAY(),$W27&lt;&gt;""),$X27="")</formula>
    </cfRule>
  </conditionalFormatting>
  <conditionalFormatting sqref="AG27:AG30">
    <cfRule type="dataBar" priority="797">
      <dataBar>
        <cfvo type="min"/>
        <cfvo type="max"/>
        <color rgb="FF63C384"/>
      </dataBar>
    </cfRule>
    <cfRule type="dataBar" priority="796">
      <dataBar>
        <cfvo type="min"/>
        <cfvo type="max"/>
        <color rgb="FF63C384"/>
      </dataBar>
    </cfRule>
  </conditionalFormatting>
  <conditionalFormatting sqref="Q31">
    <cfRule type="cellIs" priority="795" operator="equal" dxfId="2034">
      <formula>"ja"</formula>
    </cfRule>
  </conditionalFormatting>
  <conditionalFormatting sqref="AA31">
    <cfRule type="expression" priority="794" dxfId="2">
      <formula>AND(AND($W31&lt;TODAY(),$W31&lt;&gt;""),$X31="")</formula>
    </cfRule>
  </conditionalFormatting>
  <conditionalFormatting sqref="AG31">
    <cfRule type="dataBar" priority="793">
      <dataBar>
        <cfvo type="min"/>
        <cfvo type="max"/>
        <color rgb="FF63C384"/>
      </dataBar>
    </cfRule>
    <cfRule type="dataBar" priority="792">
      <dataBar>
        <cfvo type="min"/>
        <cfvo type="max"/>
        <color rgb="FF63C384"/>
      </dataBar>
    </cfRule>
  </conditionalFormatting>
  <conditionalFormatting sqref="Q32">
    <cfRule type="cellIs" priority="791" operator="equal" dxfId="2034">
      <formula>"ja"</formula>
    </cfRule>
  </conditionalFormatting>
  <conditionalFormatting sqref="AA32">
    <cfRule type="expression" priority="790" dxfId="2">
      <formula>AND(AND($W32&lt;TODAY(),$W32&lt;&gt;""),$X32="")</formula>
    </cfRule>
  </conditionalFormatting>
  <conditionalFormatting sqref="AG32">
    <cfRule type="dataBar" priority="789">
      <dataBar>
        <cfvo type="min"/>
        <cfvo type="max"/>
        <color rgb="FF63C384"/>
      </dataBar>
    </cfRule>
    <cfRule type="dataBar" priority="788">
      <dataBar>
        <cfvo type="min"/>
        <cfvo type="max"/>
        <color rgb="FF63C384"/>
      </dataBar>
    </cfRule>
  </conditionalFormatting>
  <conditionalFormatting sqref="AA33">
    <cfRule type="expression" priority="787" dxfId="2">
      <formula>AND(AND($W33&lt;TODAY(),$W33&lt;&gt;""),$X33="")</formula>
    </cfRule>
  </conditionalFormatting>
  <conditionalFormatting sqref="Q33">
    <cfRule type="cellIs" priority="786" operator="equal" dxfId="2034">
      <formula>"ja"</formula>
    </cfRule>
  </conditionalFormatting>
  <conditionalFormatting sqref="AG33">
    <cfRule type="dataBar" priority="785">
      <dataBar>
        <cfvo type="min"/>
        <cfvo type="max"/>
        <color rgb="FF63C384"/>
      </dataBar>
    </cfRule>
    <cfRule type="dataBar" priority="784">
      <dataBar>
        <cfvo type="min"/>
        <cfvo type="max"/>
        <color rgb="FF63C384"/>
      </dataBar>
    </cfRule>
  </conditionalFormatting>
  <conditionalFormatting sqref="Q34">
    <cfRule type="cellIs" priority="783" operator="equal" dxfId="2034">
      <formula>"ja"</formula>
    </cfRule>
  </conditionalFormatting>
  <conditionalFormatting sqref="AA34">
    <cfRule type="expression" priority="782" dxfId="2">
      <formula>AND(AND($W34&lt;TODAY(),$W34&lt;&gt;""),$X34="")</formula>
    </cfRule>
  </conditionalFormatting>
  <conditionalFormatting sqref="AG34">
    <cfRule type="dataBar" priority="781">
      <dataBar>
        <cfvo type="min"/>
        <cfvo type="max"/>
        <color rgb="FF63C384"/>
      </dataBar>
    </cfRule>
    <cfRule type="dataBar" priority="780">
      <dataBar>
        <cfvo type="min"/>
        <cfvo type="max"/>
        <color rgb="FF63C384"/>
      </dataBar>
    </cfRule>
  </conditionalFormatting>
  <conditionalFormatting sqref="Q37">
    <cfRule type="cellIs" priority="779" operator="equal" dxfId="2034">
      <formula>"ja"</formula>
    </cfRule>
  </conditionalFormatting>
  <conditionalFormatting sqref="AA37">
    <cfRule type="expression" priority="778" dxfId="2">
      <formula>AND(AND($W37&lt;TODAY(),$W37&lt;&gt;""),$X37="")</formula>
    </cfRule>
  </conditionalFormatting>
  <conditionalFormatting sqref="AG37">
    <cfRule type="dataBar" priority="777">
      <dataBar>
        <cfvo type="min"/>
        <cfvo type="max"/>
        <color rgb="FF63C384"/>
      </dataBar>
    </cfRule>
    <cfRule type="dataBar" priority="776">
      <dataBar>
        <cfvo type="min"/>
        <cfvo type="max"/>
        <color rgb="FF63C384"/>
      </dataBar>
    </cfRule>
  </conditionalFormatting>
  <conditionalFormatting sqref="Q38">
    <cfRule type="cellIs" priority="775" operator="equal" dxfId="2034">
      <formula>"ja"</formula>
    </cfRule>
  </conditionalFormatting>
  <conditionalFormatting sqref="AA38">
    <cfRule type="expression" priority="774" dxfId="2">
      <formula>AND(AND($W38&lt;TODAY(),$W38&lt;&gt;""),$X38="")</formula>
    </cfRule>
  </conditionalFormatting>
  <conditionalFormatting sqref="AG38">
    <cfRule type="dataBar" priority="773">
      <dataBar>
        <cfvo type="min"/>
        <cfvo type="max"/>
        <color rgb="FF63C384"/>
      </dataBar>
    </cfRule>
    <cfRule type="dataBar" priority="772">
      <dataBar>
        <cfvo type="min"/>
        <cfvo type="max"/>
        <color rgb="FF63C384"/>
      </dataBar>
    </cfRule>
  </conditionalFormatting>
  <conditionalFormatting sqref="Q39">
    <cfRule type="cellIs" priority="771" operator="equal" dxfId="2034">
      <formula>"ja"</formula>
    </cfRule>
  </conditionalFormatting>
  <conditionalFormatting sqref="AA39">
    <cfRule type="expression" priority="770" dxfId="2">
      <formula>AND(AND($W39&lt;TODAY(),$W39&lt;&gt;""),$X39="")</formula>
    </cfRule>
  </conditionalFormatting>
  <conditionalFormatting sqref="AG39">
    <cfRule type="dataBar" priority="769">
      <dataBar>
        <cfvo type="min"/>
        <cfvo type="max"/>
        <color rgb="FF63C384"/>
      </dataBar>
    </cfRule>
    <cfRule type="dataBar" priority="768">
      <dataBar>
        <cfvo type="min"/>
        <cfvo type="max"/>
        <color rgb="FF63C384"/>
      </dataBar>
    </cfRule>
  </conditionalFormatting>
  <conditionalFormatting sqref="AA40">
    <cfRule type="expression" priority="767" dxfId="2">
      <formula>AND(AND($W40&lt;TODAY(),$W40&lt;&gt;""),$X40="")</formula>
    </cfRule>
  </conditionalFormatting>
  <conditionalFormatting sqref="Q40">
    <cfRule type="cellIs" priority="766" operator="equal" dxfId="2034">
      <formula>"ja"</formula>
    </cfRule>
  </conditionalFormatting>
  <conditionalFormatting sqref="AG40">
    <cfRule type="dataBar" priority="765">
      <dataBar>
        <cfvo type="min"/>
        <cfvo type="max"/>
        <color rgb="FF63C384"/>
      </dataBar>
    </cfRule>
    <cfRule type="dataBar" priority="764">
      <dataBar>
        <cfvo type="min"/>
        <cfvo type="max"/>
        <color rgb="FF63C384"/>
      </dataBar>
    </cfRule>
  </conditionalFormatting>
  <conditionalFormatting sqref="Q42">
    <cfRule type="cellIs" priority="763" operator="equal" dxfId="2034">
      <formula>"ja"</formula>
    </cfRule>
  </conditionalFormatting>
  <conditionalFormatting sqref="AA42">
    <cfRule type="expression" priority="762" dxfId="2">
      <formula>AND(AND($W42&lt;TODAY(),$W42&lt;&gt;""),$X42="")</formula>
    </cfRule>
  </conditionalFormatting>
  <conditionalFormatting sqref="AG42">
    <cfRule type="dataBar" priority="761">
      <dataBar>
        <cfvo type="min"/>
        <cfvo type="max"/>
        <color rgb="FF63C384"/>
      </dataBar>
    </cfRule>
    <cfRule type="dataBar" priority="760">
      <dataBar>
        <cfvo type="min"/>
        <cfvo type="max"/>
        <color rgb="FF63C384"/>
      </dataBar>
    </cfRule>
  </conditionalFormatting>
  <conditionalFormatting sqref="Q45">
    <cfRule type="cellIs" priority="759" operator="equal" dxfId="2034">
      <formula>"ja"</formula>
    </cfRule>
  </conditionalFormatting>
  <conditionalFormatting sqref="AA45">
    <cfRule type="expression" priority="758" dxfId="2">
      <formula>AND(AND($W45&lt;TODAY(),$W45&lt;&gt;""),$X45="")</formula>
    </cfRule>
  </conditionalFormatting>
  <conditionalFormatting sqref="AG45">
    <cfRule type="dataBar" priority="757">
      <dataBar>
        <cfvo type="min"/>
        <cfvo type="max"/>
        <color rgb="FF63C384"/>
      </dataBar>
    </cfRule>
    <cfRule type="dataBar" priority="756">
      <dataBar>
        <cfvo type="min"/>
        <cfvo type="max"/>
        <color rgb="FF63C384"/>
      </dataBar>
    </cfRule>
  </conditionalFormatting>
  <conditionalFormatting sqref="Q43">
    <cfRule type="cellIs" priority="755" operator="equal" dxfId="2034">
      <formula>"ja"</formula>
    </cfRule>
  </conditionalFormatting>
  <conditionalFormatting sqref="AA43">
    <cfRule type="expression" priority="754" dxfId="2">
      <formula>AND(AND($W43&lt;TODAY(),$W43&lt;&gt;""),$X43="")</formula>
    </cfRule>
  </conditionalFormatting>
  <conditionalFormatting sqref="AG43">
    <cfRule type="dataBar" priority="753">
      <dataBar>
        <cfvo type="min"/>
        <cfvo type="max"/>
        <color rgb="FF63C384"/>
      </dataBar>
    </cfRule>
    <cfRule type="dataBar" priority="752">
      <dataBar>
        <cfvo type="min"/>
        <cfvo type="max"/>
        <color rgb="FF63C384"/>
      </dataBar>
    </cfRule>
  </conditionalFormatting>
  <conditionalFormatting sqref="Q44">
    <cfRule type="cellIs" priority="751" operator="equal" dxfId="2034">
      <formula>"ja"</formula>
    </cfRule>
  </conditionalFormatting>
  <conditionalFormatting sqref="AA44">
    <cfRule type="expression" priority="750" dxfId="2">
      <formula>AND(AND($W44&lt;TODAY(),$W44&lt;&gt;""),$X44="")</formula>
    </cfRule>
  </conditionalFormatting>
  <conditionalFormatting sqref="AG44">
    <cfRule type="dataBar" priority="749">
      <dataBar>
        <cfvo type="min"/>
        <cfvo type="max"/>
        <color rgb="FF63C384"/>
      </dataBar>
    </cfRule>
    <cfRule type="dataBar" priority="748">
      <dataBar>
        <cfvo type="min"/>
        <cfvo type="max"/>
        <color rgb="FF63C384"/>
      </dataBar>
    </cfRule>
  </conditionalFormatting>
  <conditionalFormatting sqref="AA47">
    <cfRule type="expression" priority="747" dxfId="2">
      <formula>AND(AND($W47&lt;TODAY(),$W47&lt;&gt;""),$X47="")</formula>
    </cfRule>
  </conditionalFormatting>
  <conditionalFormatting sqref="Q47">
    <cfRule type="cellIs" priority="746" operator="equal" dxfId="2034">
      <formula>"ja"</formula>
    </cfRule>
  </conditionalFormatting>
  <conditionalFormatting sqref="AG47">
    <cfRule type="dataBar" priority="745">
      <dataBar>
        <cfvo type="min"/>
        <cfvo type="max"/>
        <color rgb="FF63C384"/>
      </dataBar>
    </cfRule>
    <cfRule type="dataBar" priority="744">
      <dataBar>
        <cfvo type="min"/>
        <cfvo type="max"/>
        <color rgb="FF63C384"/>
      </dataBar>
    </cfRule>
  </conditionalFormatting>
  <conditionalFormatting sqref="Q54">
    <cfRule type="cellIs" priority="735" operator="equal" dxfId="2034">
      <formula>"ja"</formula>
    </cfRule>
  </conditionalFormatting>
  <conditionalFormatting sqref="AA54">
    <cfRule type="expression" priority="734" dxfId="2">
      <formula>AND(AND($W54&lt;TODAY(),$W54&lt;&gt;""),$X54="")</formula>
    </cfRule>
  </conditionalFormatting>
  <conditionalFormatting sqref="Q51">
    <cfRule type="cellIs" priority="743" operator="equal" dxfId="2034">
      <formula>"ja"</formula>
    </cfRule>
  </conditionalFormatting>
  <conditionalFormatting sqref="AA51">
    <cfRule type="expression" priority="742" dxfId="2">
      <formula>AND(AND($W51&lt;TODAY(),$W51&lt;&gt;""),$X51="")</formula>
    </cfRule>
  </conditionalFormatting>
  <conditionalFormatting sqref="AG51">
    <cfRule type="dataBar" priority="741">
      <dataBar>
        <cfvo type="min"/>
        <cfvo type="max"/>
        <color rgb="FF63C384"/>
      </dataBar>
    </cfRule>
    <cfRule type="dataBar" priority="740">
      <dataBar>
        <cfvo type="min"/>
        <cfvo type="max"/>
        <color rgb="FF63C384"/>
      </dataBar>
    </cfRule>
  </conditionalFormatting>
  <conditionalFormatting sqref="Q52">
    <cfRule type="cellIs" priority="739" operator="equal" dxfId="2034">
      <formula>"ja"</formula>
    </cfRule>
  </conditionalFormatting>
  <conditionalFormatting sqref="AA52">
    <cfRule type="expression" priority="738" dxfId="2">
      <formula>AND(AND($W52&lt;TODAY(),$W52&lt;&gt;""),$X52="")</formula>
    </cfRule>
  </conditionalFormatting>
  <conditionalFormatting sqref="AG52">
    <cfRule type="dataBar" priority="737">
      <dataBar>
        <cfvo type="min"/>
        <cfvo type="max"/>
        <color rgb="FF63C384"/>
      </dataBar>
    </cfRule>
    <cfRule type="dataBar" priority="736">
      <dataBar>
        <cfvo type="min"/>
        <cfvo type="max"/>
        <color rgb="FF63C384"/>
      </dataBar>
    </cfRule>
  </conditionalFormatting>
  <conditionalFormatting sqref="AG54">
    <cfRule type="dataBar" priority="733">
      <dataBar>
        <cfvo type="min"/>
        <cfvo type="max"/>
        <color rgb="FF63C384"/>
      </dataBar>
    </cfRule>
    <cfRule type="dataBar" priority="732">
      <dataBar>
        <cfvo type="min"/>
        <cfvo type="max"/>
        <color rgb="FF63C384"/>
      </dataBar>
    </cfRule>
  </conditionalFormatting>
  <conditionalFormatting sqref="Q55">
    <cfRule type="cellIs" priority="731" operator="equal" dxfId="2034">
      <formula>"ja"</formula>
    </cfRule>
  </conditionalFormatting>
  <conditionalFormatting sqref="AA55">
    <cfRule type="expression" priority="730" dxfId="2">
      <formula>AND(AND($W55&lt;TODAY(),$W55&lt;&gt;""),$X55="")</formula>
    </cfRule>
  </conditionalFormatting>
  <conditionalFormatting sqref="AG55">
    <cfRule type="dataBar" priority="729">
      <dataBar>
        <cfvo type="min"/>
        <cfvo type="max"/>
        <color rgb="FF63C384"/>
      </dataBar>
    </cfRule>
    <cfRule type="dataBar" priority="728">
      <dataBar>
        <cfvo type="min"/>
        <cfvo type="max"/>
        <color rgb="FF63C384"/>
      </dataBar>
    </cfRule>
  </conditionalFormatting>
  <conditionalFormatting sqref="Q57">
    <cfRule type="cellIs" priority="727" operator="equal" dxfId="2034">
      <formula>"ja"</formula>
    </cfRule>
  </conditionalFormatting>
  <conditionalFormatting sqref="AA57">
    <cfRule type="expression" priority="726" dxfId="2">
      <formula>AND(AND($W57&lt;TODAY(),$W57&lt;&gt;""),$X57="")</formula>
    </cfRule>
  </conditionalFormatting>
  <conditionalFormatting sqref="AG57">
    <cfRule type="dataBar" priority="725">
      <dataBar>
        <cfvo type="min"/>
        <cfvo type="max"/>
        <color rgb="FF63C384"/>
      </dataBar>
    </cfRule>
    <cfRule type="dataBar" priority="724">
      <dataBar>
        <cfvo type="min"/>
        <cfvo type="max"/>
        <color rgb="FF63C384"/>
      </dataBar>
    </cfRule>
  </conditionalFormatting>
  <conditionalFormatting sqref="Q58">
    <cfRule type="cellIs" priority="723" operator="equal" dxfId="2034">
      <formula>"ja"</formula>
    </cfRule>
  </conditionalFormatting>
  <conditionalFormatting sqref="AA58">
    <cfRule type="expression" priority="722" dxfId="2">
      <formula>AND(AND($W58&lt;TODAY(),$W58&lt;&gt;""),$X58="")</formula>
    </cfRule>
  </conditionalFormatting>
  <conditionalFormatting sqref="AG58">
    <cfRule type="dataBar" priority="721">
      <dataBar>
        <cfvo type="min"/>
        <cfvo type="max"/>
        <color rgb="FF63C384"/>
      </dataBar>
    </cfRule>
    <cfRule type="dataBar" priority="720">
      <dataBar>
        <cfvo type="min"/>
        <cfvo type="max"/>
        <color rgb="FF63C384"/>
      </dataBar>
    </cfRule>
  </conditionalFormatting>
  <conditionalFormatting sqref="Q59">
    <cfRule type="cellIs" priority="719" operator="equal" dxfId="2034">
      <formula>"ja"</formula>
    </cfRule>
  </conditionalFormatting>
  <conditionalFormatting sqref="AA59">
    <cfRule type="expression" priority="718" dxfId="2">
      <formula>AND(AND($W59&lt;TODAY(),$W59&lt;&gt;""),$X59="")</formula>
    </cfRule>
  </conditionalFormatting>
  <conditionalFormatting sqref="AG59">
    <cfRule type="dataBar" priority="717">
      <dataBar>
        <cfvo type="min"/>
        <cfvo type="max"/>
        <color rgb="FF63C384"/>
      </dataBar>
    </cfRule>
    <cfRule type="dataBar" priority="716">
      <dataBar>
        <cfvo type="min"/>
        <cfvo type="max"/>
        <color rgb="FF63C384"/>
      </dataBar>
    </cfRule>
  </conditionalFormatting>
  <conditionalFormatting sqref="Q60">
    <cfRule type="cellIs" priority="715" operator="equal" dxfId="2034">
      <formula>"ja"</formula>
    </cfRule>
  </conditionalFormatting>
  <conditionalFormatting sqref="AA60">
    <cfRule type="expression" priority="714" dxfId="2">
      <formula>AND(AND($W60&lt;TODAY(),$W60&lt;&gt;""),$X60="")</formula>
    </cfRule>
  </conditionalFormatting>
  <conditionalFormatting sqref="AG60">
    <cfRule type="dataBar" priority="713">
      <dataBar>
        <cfvo type="min"/>
        <cfvo type="max"/>
        <color rgb="FF63C384"/>
      </dataBar>
    </cfRule>
    <cfRule type="dataBar" priority="712">
      <dataBar>
        <cfvo type="min"/>
        <cfvo type="max"/>
        <color rgb="FF63C384"/>
      </dataBar>
    </cfRule>
  </conditionalFormatting>
  <conditionalFormatting sqref="AA61">
    <cfRule type="expression" priority="711" dxfId="2">
      <formula>AND(AND($W61&lt;TODAY(),$W61&lt;&gt;""),$X61="")</formula>
    </cfRule>
  </conditionalFormatting>
  <conditionalFormatting sqref="Q61">
    <cfRule type="cellIs" priority="710" operator="equal" dxfId="2034">
      <formula>"ja"</formula>
    </cfRule>
  </conditionalFormatting>
  <conditionalFormatting sqref="AG61">
    <cfRule type="dataBar" priority="709">
      <dataBar>
        <cfvo type="min"/>
        <cfvo type="max"/>
        <color rgb="FF63C384"/>
      </dataBar>
    </cfRule>
    <cfRule type="dataBar" priority="708">
      <dataBar>
        <cfvo type="min"/>
        <cfvo type="max"/>
        <color rgb="FF63C384"/>
      </dataBar>
    </cfRule>
  </conditionalFormatting>
  <conditionalFormatting sqref="Q62:Q63">
    <cfRule type="cellIs" priority="707" operator="equal" dxfId="2034">
      <formula>"ja"</formula>
    </cfRule>
  </conditionalFormatting>
  <conditionalFormatting sqref="AG62">
    <cfRule type="dataBar" priority="706">
      <dataBar>
        <cfvo type="min"/>
        <cfvo type="max"/>
        <color rgb="FF63C384"/>
      </dataBar>
    </cfRule>
  </conditionalFormatting>
  <conditionalFormatting sqref="Q35">
    <cfRule type="cellIs" priority="705" operator="equal" dxfId="2034">
      <formula>"ja"</formula>
    </cfRule>
  </conditionalFormatting>
  <conditionalFormatting sqref="AA35">
    <cfRule type="expression" priority="704" dxfId="2">
      <formula>AND(AND($W35&lt;TODAY(),$W35&lt;&gt;""),$X35="")</formula>
    </cfRule>
  </conditionalFormatting>
  <conditionalFormatting sqref="AG35">
    <cfRule type="dataBar" priority="703">
      <dataBar>
        <cfvo type="min"/>
        <cfvo type="max"/>
        <color rgb="FF63C384"/>
      </dataBar>
    </cfRule>
    <cfRule type="dataBar" priority="702">
      <dataBar>
        <cfvo type="min"/>
        <cfvo type="max"/>
        <color rgb="FF63C384"/>
      </dataBar>
    </cfRule>
  </conditionalFormatting>
  <conditionalFormatting sqref="Q36">
    <cfRule type="cellIs" priority="701" operator="equal" dxfId="2034">
      <formula>"ja"</formula>
    </cfRule>
  </conditionalFormatting>
  <conditionalFormatting sqref="AA36">
    <cfRule type="expression" priority="700" dxfId="2">
      <formula>AND(AND($W36&lt;TODAY(),$W36&lt;&gt;""),$X36="")</formula>
    </cfRule>
  </conditionalFormatting>
  <conditionalFormatting sqref="AG36">
    <cfRule type="dataBar" priority="699">
      <dataBar>
        <cfvo type="min"/>
        <cfvo type="max"/>
        <color rgb="FF63C384"/>
      </dataBar>
    </cfRule>
    <cfRule type="dataBar" priority="698">
      <dataBar>
        <cfvo type="min"/>
        <cfvo type="max"/>
        <color rgb="FF63C384"/>
      </dataBar>
    </cfRule>
  </conditionalFormatting>
  <conditionalFormatting sqref="Q41">
    <cfRule type="cellIs" priority="697" operator="equal" dxfId="2034">
      <formula>"ja"</formula>
    </cfRule>
  </conditionalFormatting>
  <conditionalFormatting sqref="AA41">
    <cfRule type="expression" priority="696" dxfId="2">
      <formula>AND(AND($W41&lt;TODAY(),$W41&lt;&gt;""),$X41="")</formula>
    </cfRule>
  </conditionalFormatting>
  <conditionalFormatting sqref="AG41">
    <cfRule type="dataBar" priority="695">
      <dataBar>
        <cfvo type="min"/>
        <cfvo type="max"/>
        <color rgb="FF63C384"/>
      </dataBar>
    </cfRule>
    <cfRule type="dataBar" priority="694">
      <dataBar>
        <cfvo type="min"/>
        <cfvo type="max"/>
        <color rgb="FF63C384"/>
      </dataBar>
    </cfRule>
  </conditionalFormatting>
  <conditionalFormatting sqref="Q46">
    <cfRule type="cellIs" priority="693" operator="equal" dxfId="2034">
      <formula>"ja"</formula>
    </cfRule>
  </conditionalFormatting>
  <conditionalFormatting sqref="AA46">
    <cfRule type="expression" priority="692" dxfId="2">
      <formula>AND(AND($W46&lt;TODAY(),$W46&lt;&gt;""),$X46="")</formula>
    </cfRule>
  </conditionalFormatting>
  <conditionalFormatting sqref="AG46">
    <cfRule type="dataBar" priority="691">
      <dataBar>
        <cfvo type="min"/>
        <cfvo type="max"/>
        <color rgb="FF63C384"/>
      </dataBar>
    </cfRule>
    <cfRule type="dataBar" priority="690">
      <dataBar>
        <cfvo type="min"/>
        <cfvo type="max"/>
        <color rgb="FF63C384"/>
      </dataBar>
    </cfRule>
  </conditionalFormatting>
  <conditionalFormatting sqref="Q48">
    <cfRule type="cellIs" priority="689" operator="equal" dxfId="2034">
      <formula>"ja"</formula>
    </cfRule>
  </conditionalFormatting>
  <conditionalFormatting sqref="AA48">
    <cfRule type="expression" priority="688" dxfId="2">
      <formula>AND(AND($W48&lt;TODAY(),$W48&lt;&gt;""),$X48="")</formula>
    </cfRule>
  </conditionalFormatting>
  <conditionalFormatting sqref="AG48">
    <cfRule type="dataBar" priority="687">
      <dataBar>
        <cfvo type="min"/>
        <cfvo type="max"/>
        <color rgb="FF63C384"/>
      </dataBar>
    </cfRule>
    <cfRule type="dataBar" priority="686">
      <dataBar>
        <cfvo type="min"/>
        <cfvo type="max"/>
        <color rgb="FF63C384"/>
      </dataBar>
    </cfRule>
  </conditionalFormatting>
  <conditionalFormatting sqref="Q49">
    <cfRule type="cellIs" priority="685" operator="equal" dxfId="2034">
      <formula>"ja"</formula>
    </cfRule>
  </conditionalFormatting>
  <conditionalFormatting sqref="AA49">
    <cfRule type="expression" priority="684" dxfId="2">
      <formula>AND(AND($W49&lt;TODAY(),$W49&lt;&gt;""),$X49="")</formula>
    </cfRule>
  </conditionalFormatting>
  <conditionalFormatting sqref="AG49">
    <cfRule type="dataBar" priority="683">
      <dataBar>
        <cfvo type="min"/>
        <cfvo type="max"/>
        <color rgb="FF63C384"/>
      </dataBar>
    </cfRule>
    <cfRule type="dataBar" priority="682">
      <dataBar>
        <cfvo type="min"/>
        <cfvo type="max"/>
        <color rgb="FF63C384"/>
      </dataBar>
    </cfRule>
  </conditionalFormatting>
  <conditionalFormatting sqref="Q50">
    <cfRule type="cellIs" priority="681" operator="equal" dxfId="2034">
      <formula>"ja"</formula>
    </cfRule>
  </conditionalFormatting>
  <conditionalFormatting sqref="AA50">
    <cfRule type="expression" priority="680" dxfId="2">
      <formula>AND(AND($W50&lt;TODAY(),$W50&lt;&gt;""),$X50="")</formula>
    </cfRule>
  </conditionalFormatting>
  <conditionalFormatting sqref="AG50">
    <cfRule type="dataBar" priority="679">
      <dataBar>
        <cfvo type="min"/>
        <cfvo type="max"/>
        <color rgb="FF63C384"/>
      </dataBar>
    </cfRule>
    <cfRule type="dataBar" priority="678">
      <dataBar>
        <cfvo type="min"/>
        <cfvo type="max"/>
        <color rgb="FF63C384"/>
      </dataBar>
    </cfRule>
  </conditionalFormatting>
  <conditionalFormatting sqref="Q53">
    <cfRule type="cellIs" priority="677" operator="equal" dxfId="2034">
      <formula>"ja"</formula>
    </cfRule>
  </conditionalFormatting>
  <conditionalFormatting sqref="AA53">
    <cfRule type="expression" priority="676" dxfId="2">
      <formula>AND(AND($W53&lt;TODAY(),$W53&lt;&gt;""),$X53="")</formula>
    </cfRule>
  </conditionalFormatting>
  <conditionalFormatting sqref="AG53">
    <cfRule type="dataBar" priority="675">
      <dataBar>
        <cfvo type="min"/>
        <cfvo type="max"/>
        <color rgb="FF63C384"/>
      </dataBar>
    </cfRule>
    <cfRule type="dataBar" priority="674">
      <dataBar>
        <cfvo type="min"/>
        <cfvo type="max"/>
        <color rgb="FF63C384"/>
      </dataBar>
    </cfRule>
  </conditionalFormatting>
  <conditionalFormatting sqref="Q56">
    <cfRule type="cellIs" priority="673" operator="equal" dxfId="2034">
      <formula>"ja"</formula>
    </cfRule>
  </conditionalFormatting>
  <conditionalFormatting sqref="AA56">
    <cfRule type="expression" priority="672" dxfId="2">
      <formula>AND(AND($W56&lt;TODAY(),$W56&lt;&gt;""),$X56="")</formula>
    </cfRule>
  </conditionalFormatting>
  <conditionalFormatting sqref="AG56">
    <cfRule type="dataBar" priority="671">
      <dataBar>
        <cfvo type="min"/>
        <cfvo type="max"/>
        <color rgb="FF63C384"/>
      </dataBar>
    </cfRule>
    <cfRule type="dataBar" priority="670">
      <dataBar>
        <cfvo type="min"/>
        <cfvo type="max"/>
        <color rgb="FF63C384"/>
      </dataBar>
    </cfRule>
  </conditionalFormatting>
  <conditionalFormatting sqref="Q65">
    <cfRule type="cellIs" priority="669" operator="equal" dxfId="2034">
      <formula>"ja"</formula>
    </cfRule>
  </conditionalFormatting>
  <conditionalFormatting sqref="AA65">
    <cfRule type="expression" priority="668" dxfId="2">
      <formula>AND(AND($W65&lt;TODAY(),$W65&lt;&gt;""),$X65="")</formula>
    </cfRule>
  </conditionalFormatting>
  <conditionalFormatting sqref="AG65">
    <cfRule type="dataBar" priority="667">
      <dataBar>
        <cfvo type="min"/>
        <cfvo type="max"/>
        <color rgb="FF63C384"/>
      </dataBar>
    </cfRule>
    <cfRule type="dataBar" priority="666">
      <dataBar>
        <cfvo type="min"/>
        <cfvo type="max"/>
        <color rgb="FF63C384"/>
      </dataBar>
    </cfRule>
  </conditionalFormatting>
  <conditionalFormatting sqref="Q66">
    <cfRule type="cellIs" priority="665" operator="equal" dxfId="2034">
      <formula>"ja"</formula>
    </cfRule>
  </conditionalFormatting>
  <conditionalFormatting sqref="AA66">
    <cfRule type="expression" priority="664" dxfId="2">
      <formula>AND(AND($W66&lt;TODAY(),$W66&lt;&gt;""),$X66="")</formula>
    </cfRule>
  </conditionalFormatting>
  <conditionalFormatting sqref="AG66">
    <cfRule type="dataBar" priority="663">
      <dataBar>
        <cfvo type="min"/>
        <cfvo type="max"/>
        <color rgb="FF63C384"/>
      </dataBar>
    </cfRule>
    <cfRule type="dataBar" priority="662">
      <dataBar>
        <cfvo type="min"/>
        <cfvo type="max"/>
        <color rgb="FF63C384"/>
      </dataBar>
    </cfRule>
  </conditionalFormatting>
  <conditionalFormatting sqref="Q63">
    <cfRule type="cellIs" priority="661" operator="equal" dxfId="2034">
      <formula>"ja"</formula>
    </cfRule>
  </conditionalFormatting>
  <conditionalFormatting sqref="AG63">
    <cfRule type="dataBar" priority="660">
      <dataBar>
        <cfvo type="min"/>
        <cfvo type="max"/>
        <color rgb="FF63C384"/>
      </dataBar>
    </cfRule>
    <cfRule type="dataBar" priority="659">
      <dataBar>
        <cfvo type="min"/>
        <cfvo type="max"/>
        <color rgb="FF63C384"/>
      </dataBar>
    </cfRule>
  </conditionalFormatting>
  <conditionalFormatting sqref="AA64">
    <cfRule type="expression" priority="658" dxfId="2">
      <formula>AND(AND($W64&lt;TODAY(),$W64&lt;&gt;""),$X64="")</formula>
    </cfRule>
  </conditionalFormatting>
  <conditionalFormatting sqref="Q64">
    <cfRule type="cellIs" priority="657" operator="equal" dxfId="2034">
      <formula>"ja"</formula>
    </cfRule>
    <cfRule type="cellIs" priority="656" operator="equal" dxfId="2034">
      <formula>"ja"</formula>
    </cfRule>
  </conditionalFormatting>
  <conditionalFormatting sqref="AG64">
    <cfRule type="dataBar" priority="655">
      <dataBar>
        <cfvo type="min"/>
        <cfvo type="max"/>
        <color rgb="FF63C384"/>
      </dataBar>
    </cfRule>
    <cfRule type="dataBar" priority="654">
      <dataBar>
        <cfvo type="min"/>
        <cfvo type="max"/>
        <color rgb="FF63C384"/>
      </dataBar>
    </cfRule>
  </conditionalFormatting>
  <conditionalFormatting sqref="Q67">
    <cfRule type="cellIs" priority="653" operator="equal" dxfId="2034">
      <formula>"ja"</formula>
    </cfRule>
  </conditionalFormatting>
  <conditionalFormatting sqref="AA67">
    <cfRule type="expression" priority="652" dxfId="2">
      <formula>AND(AND($W67&lt;TODAY(),$W67&lt;&gt;""),$X67="")</formula>
    </cfRule>
  </conditionalFormatting>
  <conditionalFormatting sqref="AG67">
    <cfRule type="dataBar" priority="651">
      <dataBar>
        <cfvo type="min"/>
        <cfvo type="max"/>
        <color rgb="FF63C384"/>
      </dataBar>
    </cfRule>
    <cfRule type="dataBar" priority="650">
      <dataBar>
        <cfvo type="min"/>
        <cfvo type="max"/>
        <color rgb="FF63C384"/>
      </dataBar>
    </cfRule>
  </conditionalFormatting>
  <conditionalFormatting sqref="Q68">
    <cfRule type="cellIs" priority="649" operator="equal" dxfId="2034">
      <formula>"ja"</formula>
    </cfRule>
  </conditionalFormatting>
  <conditionalFormatting sqref="AA68">
    <cfRule type="expression" priority="648" dxfId="2">
      <formula>AND(AND($W68&lt;TODAY(),$W68&lt;&gt;""),$X68="")</formula>
    </cfRule>
  </conditionalFormatting>
  <conditionalFormatting sqref="AG68">
    <cfRule type="dataBar" priority="647">
      <dataBar>
        <cfvo type="min"/>
        <cfvo type="max"/>
        <color rgb="FF63C384"/>
      </dataBar>
    </cfRule>
    <cfRule type="dataBar" priority="646">
      <dataBar>
        <cfvo type="min"/>
        <cfvo type="max"/>
        <color rgb="FF63C384"/>
      </dataBar>
    </cfRule>
  </conditionalFormatting>
  <conditionalFormatting sqref="Q69">
    <cfRule type="cellIs" priority="645" operator="equal" dxfId="2034">
      <formula>"ja"</formula>
    </cfRule>
  </conditionalFormatting>
  <conditionalFormatting sqref="AA69">
    <cfRule type="expression" priority="644" dxfId="2">
      <formula>AND(AND($W69&lt;TODAY(),$W69&lt;&gt;""),$X69="")</formula>
    </cfRule>
  </conditionalFormatting>
  <conditionalFormatting sqref="AG69">
    <cfRule type="dataBar" priority="643">
      <dataBar>
        <cfvo type="min"/>
        <cfvo type="max"/>
        <color rgb="FF63C384"/>
      </dataBar>
    </cfRule>
    <cfRule type="dataBar" priority="642">
      <dataBar>
        <cfvo type="min"/>
        <cfvo type="max"/>
        <color rgb="FF63C384"/>
      </dataBar>
    </cfRule>
  </conditionalFormatting>
  <conditionalFormatting sqref="Q70">
    <cfRule type="cellIs" priority="641" operator="equal" dxfId="2034">
      <formula>"ja"</formula>
    </cfRule>
  </conditionalFormatting>
  <conditionalFormatting sqref="AA70">
    <cfRule type="expression" priority="640" dxfId="2">
      <formula>AND(AND($W70&lt;TODAY(),$W70&lt;&gt;""),$X70="")</formula>
    </cfRule>
  </conditionalFormatting>
  <conditionalFormatting sqref="AG70">
    <cfRule type="dataBar" priority="639">
      <dataBar>
        <cfvo type="min"/>
        <cfvo type="max"/>
        <color rgb="FF63C384"/>
      </dataBar>
    </cfRule>
    <cfRule type="dataBar" priority="638">
      <dataBar>
        <cfvo type="min"/>
        <cfvo type="max"/>
        <color rgb="FF63C384"/>
      </dataBar>
    </cfRule>
  </conditionalFormatting>
  <conditionalFormatting sqref="Q71">
    <cfRule type="cellIs" priority="637" operator="equal" dxfId="2034">
      <formula>"ja"</formula>
    </cfRule>
  </conditionalFormatting>
  <conditionalFormatting sqref="AA71">
    <cfRule type="expression" priority="636" dxfId="2">
      <formula>AND(AND($W71&lt;TODAY(),$W71&lt;&gt;""),$X71="")</formula>
    </cfRule>
  </conditionalFormatting>
  <conditionalFormatting sqref="AG71">
    <cfRule type="dataBar" priority="635">
      <dataBar>
        <cfvo type="min"/>
        <cfvo type="max"/>
        <color rgb="FF63C384"/>
      </dataBar>
    </cfRule>
    <cfRule type="dataBar" priority="634">
      <dataBar>
        <cfvo type="min"/>
        <cfvo type="max"/>
        <color rgb="FF63C384"/>
      </dataBar>
    </cfRule>
  </conditionalFormatting>
  <conditionalFormatting sqref="Q72">
    <cfRule type="cellIs" priority="633" operator="equal" dxfId="2034">
      <formula>"ja"</formula>
    </cfRule>
  </conditionalFormatting>
  <conditionalFormatting sqref="AA72">
    <cfRule type="expression" priority="632" dxfId="2">
      <formula>AND(AND($W72&lt;TODAY(),$W72&lt;&gt;""),$X72="")</formula>
    </cfRule>
  </conditionalFormatting>
  <conditionalFormatting sqref="AG72">
    <cfRule type="dataBar" priority="631">
      <dataBar>
        <cfvo type="min"/>
        <cfvo type="max"/>
        <color rgb="FF63C384"/>
      </dataBar>
    </cfRule>
    <cfRule type="dataBar" priority="630">
      <dataBar>
        <cfvo type="min"/>
        <cfvo type="max"/>
        <color rgb="FF63C384"/>
      </dataBar>
    </cfRule>
  </conditionalFormatting>
  <conditionalFormatting sqref="Q73">
    <cfRule type="cellIs" priority="629" operator="equal" dxfId="2034">
      <formula>"ja"</formula>
    </cfRule>
  </conditionalFormatting>
  <conditionalFormatting sqref="AA73">
    <cfRule type="expression" priority="628" dxfId="2">
      <formula>AND(AND($W73&lt;TODAY(),$W73&lt;&gt;""),$X73="")</formula>
    </cfRule>
  </conditionalFormatting>
  <conditionalFormatting sqref="AG73">
    <cfRule type="dataBar" priority="627">
      <dataBar>
        <cfvo type="min"/>
        <cfvo type="max"/>
        <color rgb="FF63C384"/>
      </dataBar>
    </cfRule>
    <cfRule type="dataBar" priority="626">
      <dataBar>
        <cfvo type="min"/>
        <cfvo type="max"/>
        <color rgb="FF63C384"/>
      </dataBar>
    </cfRule>
  </conditionalFormatting>
  <conditionalFormatting sqref="Q74">
    <cfRule type="cellIs" priority="625" operator="equal" dxfId="2034">
      <formula>"ja"</formula>
    </cfRule>
  </conditionalFormatting>
  <conditionalFormatting sqref="AA74">
    <cfRule type="expression" priority="624" dxfId="2">
      <formula>AND(AND($W74&lt;TODAY(),$W74&lt;&gt;""),$X74="")</formula>
    </cfRule>
  </conditionalFormatting>
  <conditionalFormatting sqref="AG74">
    <cfRule type="dataBar" priority="623">
      <dataBar>
        <cfvo type="min"/>
        <cfvo type="max"/>
        <color rgb="FF63C384"/>
      </dataBar>
    </cfRule>
    <cfRule type="dataBar" priority="622">
      <dataBar>
        <cfvo type="min"/>
        <cfvo type="max"/>
        <color rgb="FF63C384"/>
      </dataBar>
    </cfRule>
  </conditionalFormatting>
  <conditionalFormatting sqref="Q75">
    <cfRule type="cellIs" priority="621" operator="equal" dxfId="2034">
      <formula>"ja"</formula>
    </cfRule>
  </conditionalFormatting>
  <conditionalFormatting sqref="AA75">
    <cfRule type="expression" priority="620" dxfId="2">
      <formula>AND(AND($W75&lt;TODAY(),$W75&lt;&gt;""),$X75="")</formula>
    </cfRule>
  </conditionalFormatting>
  <conditionalFormatting sqref="AG75">
    <cfRule type="dataBar" priority="619">
      <dataBar>
        <cfvo type="min"/>
        <cfvo type="max"/>
        <color rgb="FF63C384"/>
      </dataBar>
    </cfRule>
    <cfRule type="dataBar" priority="618">
      <dataBar>
        <cfvo type="min"/>
        <cfvo type="max"/>
        <color rgb="FF63C384"/>
      </dataBar>
    </cfRule>
  </conditionalFormatting>
  <conditionalFormatting sqref="Q76">
    <cfRule type="cellIs" priority="617" operator="equal" dxfId="2034">
      <formula>"ja"</formula>
    </cfRule>
  </conditionalFormatting>
  <conditionalFormatting sqref="AA76">
    <cfRule type="expression" priority="616" dxfId="2">
      <formula>AND(AND($W76&lt;TODAY(),$W76&lt;&gt;""),$X76="")</formula>
    </cfRule>
  </conditionalFormatting>
  <conditionalFormatting sqref="AG76">
    <cfRule type="dataBar" priority="615">
      <dataBar>
        <cfvo type="min"/>
        <cfvo type="max"/>
        <color rgb="FF63C384"/>
      </dataBar>
    </cfRule>
    <cfRule type="dataBar" priority="614">
      <dataBar>
        <cfvo type="min"/>
        <cfvo type="max"/>
        <color rgb="FF63C384"/>
      </dataBar>
    </cfRule>
  </conditionalFormatting>
  <conditionalFormatting sqref="Q77">
    <cfRule type="cellIs" priority="613" operator="equal" dxfId="2034">
      <formula>"ja"</formula>
    </cfRule>
  </conditionalFormatting>
  <conditionalFormatting sqref="AA77">
    <cfRule type="expression" priority="612" dxfId="2">
      <formula>AND(AND($W77&lt;TODAY(),$W77&lt;&gt;""),$X77="")</formula>
    </cfRule>
  </conditionalFormatting>
  <conditionalFormatting sqref="AG77">
    <cfRule type="dataBar" priority="611">
      <dataBar>
        <cfvo type="min"/>
        <cfvo type="max"/>
        <color rgb="FF63C384"/>
      </dataBar>
    </cfRule>
    <cfRule type="dataBar" priority="610">
      <dataBar>
        <cfvo type="min"/>
        <cfvo type="max"/>
        <color rgb="FF63C384"/>
      </dataBar>
    </cfRule>
  </conditionalFormatting>
  <conditionalFormatting sqref="AA78">
    <cfRule type="expression" priority="609" dxfId="2">
      <formula>AND(AND($W78&lt;TODAY(),$W78&lt;&gt;""),$X78="")</formula>
    </cfRule>
  </conditionalFormatting>
  <conditionalFormatting sqref="Q78">
    <cfRule type="cellIs" priority="608" operator="equal" dxfId="2034">
      <formula>"ja"</formula>
    </cfRule>
  </conditionalFormatting>
  <conditionalFormatting sqref="AG78">
    <cfRule type="dataBar" priority="607">
      <dataBar>
        <cfvo type="min"/>
        <cfvo type="max"/>
        <color rgb="FF63C384"/>
      </dataBar>
    </cfRule>
    <cfRule type="dataBar" priority="606">
      <dataBar>
        <cfvo type="min"/>
        <cfvo type="max"/>
        <color rgb="FF63C384"/>
      </dataBar>
    </cfRule>
  </conditionalFormatting>
  <conditionalFormatting sqref="Q79">
    <cfRule type="cellIs" priority="605" operator="equal" dxfId="2034">
      <formula>"ja"</formula>
    </cfRule>
  </conditionalFormatting>
  <conditionalFormatting sqref="AA79">
    <cfRule type="expression" priority="604" dxfId="2">
      <formula>AND(AND($W79&lt;TODAY(),$W79&lt;&gt;""),$X79="")</formula>
    </cfRule>
  </conditionalFormatting>
  <conditionalFormatting sqref="AG79">
    <cfRule type="dataBar" priority="603">
      <dataBar>
        <cfvo type="min"/>
        <cfvo type="max"/>
        <color rgb="FF63C384"/>
      </dataBar>
    </cfRule>
    <cfRule type="dataBar" priority="602">
      <dataBar>
        <cfvo type="min"/>
        <cfvo type="max"/>
        <color rgb="FF63C384"/>
      </dataBar>
    </cfRule>
  </conditionalFormatting>
  <conditionalFormatting sqref="Q80">
    <cfRule type="cellIs" priority="601" operator="equal" dxfId="2034">
      <formula>"ja"</formula>
    </cfRule>
  </conditionalFormatting>
  <conditionalFormatting sqref="AA80">
    <cfRule type="expression" priority="600" dxfId="2">
      <formula>AND(AND($W80&lt;TODAY(),$W80&lt;&gt;""),$X80="")</formula>
    </cfRule>
  </conditionalFormatting>
  <conditionalFormatting sqref="AG80">
    <cfRule type="dataBar" priority="599">
      <dataBar>
        <cfvo type="min"/>
        <cfvo type="max"/>
        <color rgb="FF63C384"/>
      </dataBar>
    </cfRule>
    <cfRule type="dataBar" priority="598">
      <dataBar>
        <cfvo type="min"/>
        <cfvo type="max"/>
        <color rgb="FF63C384"/>
      </dataBar>
    </cfRule>
  </conditionalFormatting>
  <conditionalFormatting sqref="Q81">
    <cfRule type="cellIs" priority="597" operator="equal" dxfId="2034">
      <formula>"ja"</formula>
    </cfRule>
  </conditionalFormatting>
  <conditionalFormatting sqref="AA81">
    <cfRule type="expression" priority="596" dxfId="2">
      <formula>AND(AND($W81&lt;TODAY(),$W81&lt;&gt;""),$X81="")</formula>
    </cfRule>
  </conditionalFormatting>
  <conditionalFormatting sqref="AG81">
    <cfRule type="dataBar" priority="595">
      <dataBar>
        <cfvo type="min"/>
        <cfvo type="max"/>
        <color rgb="FF63C384"/>
      </dataBar>
    </cfRule>
    <cfRule type="dataBar" priority="594">
      <dataBar>
        <cfvo type="min"/>
        <cfvo type="max"/>
        <color rgb="FF63C384"/>
      </dataBar>
    </cfRule>
  </conditionalFormatting>
  <conditionalFormatting sqref="Q82">
    <cfRule type="cellIs" priority="593" operator="equal" dxfId="2034">
      <formula>"ja"</formula>
    </cfRule>
  </conditionalFormatting>
  <conditionalFormatting sqref="AA82">
    <cfRule type="expression" priority="592" dxfId="2">
      <formula>AND(AND($W82&lt;TODAY(),$W82&lt;&gt;""),$X82="")</formula>
    </cfRule>
  </conditionalFormatting>
  <conditionalFormatting sqref="AG82">
    <cfRule type="dataBar" priority="591">
      <dataBar>
        <cfvo type="min"/>
        <cfvo type="max"/>
        <color rgb="FF63C384"/>
      </dataBar>
    </cfRule>
    <cfRule type="dataBar" priority="590">
      <dataBar>
        <cfvo type="min"/>
        <cfvo type="max"/>
        <color rgb="FF63C384"/>
      </dataBar>
    </cfRule>
  </conditionalFormatting>
  <conditionalFormatting sqref="Q83">
    <cfRule type="cellIs" priority="589" operator="equal" dxfId="2034">
      <formula>"ja"</formula>
    </cfRule>
  </conditionalFormatting>
  <conditionalFormatting sqref="AA83">
    <cfRule type="expression" priority="588" dxfId="2">
      <formula>AND(AND($W83&lt;TODAY(),$W83&lt;&gt;""),$X83="")</formula>
    </cfRule>
  </conditionalFormatting>
  <conditionalFormatting sqref="AG83">
    <cfRule type="dataBar" priority="587">
      <dataBar>
        <cfvo type="min"/>
        <cfvo type="max"/>
        <color rgb="FF63C384"/>
      </dataBar>
    </cfRule>
    <cfRule type="dataBar" priority="586">
      <dataBar>
        <cfvo type="min"/>
        <cfvo type="max"/>
        <color rgb="FF63C384"/>
      </dataBar>
    </cfRule>
  </conditionalFormatting>
  <conditionalFormatting sqref="Q84">
    <cfRule type="cellIs" priority="585" operator="equal" dxfId="2034">
      <formula>"ja"</formula>
    </cfRule>
  </conditionalFormatting>
  <conditionalFormatting sqref="AA84">
    <cfRule type="expression" priority="584" dxfId="2">
      <formula>AND(AND($W84&lt;TODAY(),$W84&lt;&gt;""),$X84="")</formula>
    </cfRule>
  </conditionalFormatting>
  <conditionalFormatting sqref="AG84">
    <cfRule type="dataBar" priority="583">
      <dataBar>
        <cfvo type="min"/>
        <cfvo type="max"/>
        <color rgb="FF63C384"/>
      </dataBar>
    </cfRule>
    <cfRule type="dataBar" priority="582">
      <dataBar>
        <cfvo type="min"/>
        <cfvo type="max"/>
        <color rgb="FF63C384"/>
      </dataBar>
    </cfRule>
  </conditionalFormatting>
  <conditionalFormatting sqref="Q85">
    <cfRule type="cellIs" priority="581" operator="equal" dxfId="2034">
      <formula>"ja"</formula>
    </cfRule>
  </conditionalFormatting>
  <conditionalFormatting sqref="AA85:AA86">
    <cfRule type="expression" priority="580" dxfId="2">
      <formula>AND(AND($W85&lt;TODAY(),$W85&lt;&gt;""),$X85="")</formula>
    </cfRule>
  </conditionalFormatting>
  <conditionalFormatting sqref="AG85:AG86">
    <cfRule type="dataBar" priority="579">
      <dataBar>
        <cfvo type="min"/>
        <cfvo type="max"/>
        <color rgb="FF63C384"/>
      </dataBar>
    </cfRule>
    <cfRule type="dataBar" priority="578">
      <dataBar>
        <cfvo type="min"/>
        <cfvo type="max"/>
        <color rgb="FF63C384"/>
      </dataBar>
    </cfRule>
  </conditionalFormatting>
  <conditionalFormatting sqref="Q87">
    <cfRule type="cellIs" priority="577" operator="equal" dxfId="2034">
      <formula>"ja"</formula>
    </cfRule>
  </conditionalFormatting>
  <conditionalFormatting sqref="AA87">
    <cfRule type="expression" priority="576" dxfId="2">
      <formula>AND(AND($W87&lt;TODAY(),$W87&lt;&gt;""),$X87="")</formula>
    </cfRule>
  </conditionalFormatting>
  <conditionalFormatting sqref="AG87">
    <cfRule type="dataBar" priority="575">
      <dataBar>
        <cfvo type="min"/>
        <cfvo type="max"/>
        <color rgb="FF63C384"/>
      </dataBar>
    </cfRule>
    <cfRule type="dataBar" priority="574">
      <dataBar>
        <cfvo type="min"/>
        <cfvo type="max"/>
        <color rgb="FF63C384"/>
      </dataBar>
    </cfRule>
  </conditionalFormatting>
  <conditionalFormatting sqref="Q88">
    <cfRule type="cellIs" priority="573" operator="equal" dxfId="2034">
      <formula>"ja"</formula>
    </cfRule>
  </conditionalFormatting>
  <conditionalFormatting sqref="AA88">
    <cfRule type="expression" priority="572" dxfId="2">
      <formula>AND(AND($W88&lt;TODAY(),$W88&lt;&gt;""),$X88="")</formula>
    </cfRule>
  </conditionalFormatting>
  <conditionalFormatting sqref="AG88">
    <cfRule type="dataBar" priority="571">
      <dataBar>
        <cfvo type="min"/>
        <cfvo type="max"/>
        <color rgb="FF63C384"/>
      </dataBar>
    </cfRule>
    <cfRule type="dataBar" priority="570">
      <dataBar>
        <cfvo type="min"/>
        <cfvo type="max"/>
        <color rgb="FF63C384"/>
      </dataBar>
    </cfRule>
  </conditionalFormatting>
  <conditionalFormatting sqref="AA89">
    <cfRule type="expression" priority="569" dxfId="2">
      <formula>AND(AND($W89&lt;TODAY(),$W89&lt;&gt;""),$X89="")</formula>
    </cfRule>
  </conditionalFormatting>
  <conditionalFormatting sqref="Q89">
    <cfRule type="cellIs" priority="568" operator="equal" dxfId="2034">
      <formula>"ja"</formula>
    </cfRule>
  </conditionalFormatting>
  <conditionalFormatting sqref="AG89">
    <cfRule type="dataBar" priority="567">
      <dataBar>
        <cfvo type="min"/>
        <cfvo type="max"/>
        <color rgb="FF63C384"/>
      </dataBar>
    </cfRule>
    <cfRule type="dataBar" priority="566">
      <dataBar>
        <cfvo type="min"/>
        <cfvo type="max"/>
        <color rgb="FF63C384"/>
      </dataBar>
    </cfRule>
  </conditionalFormatting>
  <conditionalFormatting sqref="AA90">
    <cfRule type="expression" priority="565" dxfId="2">
      <formula>AND(AND($W90&lt;TODAY(),$W90&lt;&gt;""),$X90="")</formula>
    </cfRule>
  </conditionalFormatting>
  <conditionalFormatting sqref="AG90">
    <cfRule type="dataBar" priority="564">
      <dataBar>
        <cfvo type="min"/>
        <cfvo type="max"/>
        <color rgb="FF63C384"/>
      </dataBar>
    </cfRule>
    <cfRule type="dataBar" priority="563">
      <dataBar>
        <cfvo type="min"/>
        <cfvo type="max"/>
        <color rgb="FF63C384"/>
      </dataBar>
    </cfRule>
  </conditionalFormatting>
  <conditionalFormatting sqref="Q91">
    <cfRule type="cellIs" priority="562" operator="equal" dxfId="2034">
      <formula>"ja"</formula>
    </cfRule>
  </conditionalFormatting>
  <conditionalFormatting sqref="AA91">
    <cfRule type="expression" priority="561" dxfId="2">
      <formula>AND(AND($W91&lt;TODAY(),$W91&lt;&gt;""),$X91="")</formula>
    </cfRule>
  </conditionalFormatting>
  <conditionalFormatting sqref="AG91">
    <cfRule type="dataBar" priority="560">
      <dataBar>
        <cfvo type="min"/>
        <cfvo type="max"/>
        <color rgb="FF63C384"/>
      </dataBar>
    </cfRule>
    <cfRule type="dataBar" priority="559">
      <dataBar>
        <cfvo type="min"/>
        <cfvo type="max"/>
        <color rgb="FF63C384"/>
      </dataBar>
    </cfRule>
  </conditionalFormatting>
  <conditionalFormatting sqref="Q92">
    <cfRule type="cellIs" priority="558" operator="equal" dxfId="2034">
      <formula>"ja"</formula>
    </cfRule>
  </conditionalFormatting>
  <conditionalFormatting sqref="AA92">
    <cfRule type="expression" priority="557" dxfId="2">
      <formula>AND(AND($W92&lt;TODAY(),$W92&lt;&gt;""),$X92="")</formula>
    </cfRule>
  </conditionalFormatting>
  <conditionalFormatting sqref="AG92">
    <cfRule type="dataBar" priority="556">
      <dataBar>
        <cfvo type="min"/>
        <cfvo type="max"/>
        <color rgb="FF63C384"/>
      </dataBar>
    </cfRule>
    <cfRule type="dataBar" priority="555">
      <dataBar>
        <cfvo type="min"/>
        <cfvo type="max"/>
        <color rgb="FF63C384"/>
      </dataBar>
    </cfRule>
  </conditionalFormatting>
  <conditionalFormatting sqref="Q93">
    <cfRule type="cellIs" priority="554" operator="equal" dxfId="2034">
      <formula>"ja"</formula>
    </cfRule>
  </conditionalFormatting>
  <conditionalFormatting sqref="AA93">
    <cfRule type="expression" priority="553" dxfId="2">
      <formula>AND(AND($W93&lt;TODAY(),$W93&lt;&gt;""),$X93="")</formula>
    </cfRule>
  </conditionalFormatting>
  <conditionalFormatting sqref="AG93">
    <cfRule type="dataBar" priority="552">
      <dataBar>
        <cfvo type="min"/>
        <cfvo type="max"/>
        <color rgb="FF63C384"/>
      </dataBar>
    </cfRule>
    <cfRule type="dataBar" priority="551">
      <dataBar>
        <cfvo type="min"/>
        <cfvo type="max"/>
        <color rgb="FF63C384"/>
      </dataBar>
    </cfRule>
  </conditionalFormatting>
  <conditionalFormatting sqref="AA94">
    <cfRule type="expression" priority="550" dxfId="2">
      <formula>AND(AND($W94&lt;TODAY(),$W94&lt;&gt;""),$X94="")</formula>
    </cfRule>
  </conditionalFormatting>
  <conditionalFormatting sqref="Q94">
    <cfRule type="cellIs" priority="549" operator="equal" dxfId="2034">
      <formula>"ja"</formula>
    </cfRule>
  </conditionalFormatting>
  <conditionalFormatting sqref="AG94">
    <cfRule type="dataBar" priority="548">
      <dataBar>
        <cfvo type="min"/>
        <cfvo type="max"/>
        <color rgb="FF63C384"/>
      </dataBar>
    </cfRule>
    <cfRule type="dataBar" priority="547">
      <dataBar>
        <cfvo type="min"/>
        <cfvo type="max"/>
        <color rgb="FF63C384"/>
      </dataBar>
    </cfRule>
  </conditionalFormatting>
  <conditionalFormatting sqref="AA95">
    <cfRule type="expression" priority="546" dxfId="2">
      <formula>AND(AND($W95&lt;TODAY(),$W95&lt;&gt;""),$X95="")</formula>
    </cfRule>
  </conditionalFormatting>
  <conditionalFormatting sqref="AG95">
    <cfRule type="dataBar" priority="545">
      <dataBar>
        <cfvo type="min"/>
        <cfvo type="max"/>
        <color rgb="FF63C384"/>
      </dataBar>
    </cfRule>
    <cfRule type="dataBar" priority="544">
      <dataBar>
        <cfvo type="min"/>
        <cfvo type="max"/>
        <color rgb="FF63C384"/>
      </dataBar>
    </cfRule>
  </conditionalFormatting>
  <conditionalFormatting sqref="Q96">
    <cfRule type="cellIs" priority="543" operator="equal" dxfId="2034">
      <formula>"ja"</formula>
    </cfRule>
  </conditionalFormatting>
  <conditionalFormatting sqref="AA96">
    <cfRule type="expression" priority="542" dxfId="2">
      <formula>AND(AND($W96&lt;TODAY(),$W96&lt;&gt;""),$X96="")</formula>
    </cfRule>
  </conditionalFormatting>
  <conditionalFormatting sqref="AG96">
    <cfRule type="dataBar" priority="541">
      <dataBar>
        <cfvo type="min"/>
        <cfvo type="max"/>
        <color rgb="FF63C384"/>
      </dataBar>
    </cfRule>
    <cfRule type="dataBar" priority="540">
      <dataBar>
        <cfvo type="min"/>
        <cfvo type="max"/>
        <color rgb="FF63C384"/>
      </dataBar>
    </cfRule>
  </conditionalFormatting>
  <conditionalFormatting sqref="Q97">
    <cfRule type="cellIs" priority="539" operator="equal" dxfId="2034">
      <formula>"ja"</formula>
    </cfRule>
  </conditionalFormatting>
  <conditionalFormatting sqref="AA97">
    <cfRule type="expression" priority="538" dxfId="2">
      <formula>AND(AND($W97&lt;TODAY(),$W97&lt;&gt;""),$X97="")</formula>
    </cfRule>
  </conditionalFormatting>
  <conditionalFormatting sqref="AG97">
    <cfRule type="dataBar" priority="537">
      <dataBar>
        <cfvo type="min"/>
        <cfvo type="max"/>
        <color rgb="FF63C384"/>
      </dataBar>
    </cfRule>
    <cfRule type="dataBar" priority="536">
      <dataBar>
        <cfvo type="min"/>
        <cfvo type="max"/>
        <color rgb="FF63C384"/>
      </dataBar>
    </cfRule>
  </conditionalFormatting>
  <conditionalFormatting sqref="AA98">
    <cfRule type="expression" priority="535" dxfId="2">
      <formula>AND(AND($W98&lt;TODAY(),$W98&lt;&gt;""),$X98="")</formula>
    </cfRule>
  </conditionalFormatting>
  <conditionalFormatting sqref="AG98">
    <cfRule type="dataBar" priority="534">
      <dataBar>
        <cfvo type="min"/>
        <cfvo type="max"/>
        <color rgb="FF63C384"/>
      </dataBar>
    </cfRule>
    <cfRule type="dataBar" priority="533">
      <dataBar>
        <cfvo type="min"/>
        <cfvo type="max"/>
        <color rgb="FF63C384"/>
      </dataBar>
    </cfRule>
  </conditionalFormatting>
  <conditionalFormatting sqref="Q98">
    <cfRule type="cellIs" priority="532" operator="equal" dxfId="2034">
      <formula>"ja"</formula>
    </cfRule>
  </conditionalFormatting>
  <conditionalFormatting sqref="Q99">
    <cfRule type="cellIs" priority="531" operator="equal" dxfId="2034">
      <formula>"ja"</formula>
    </cfRule>
  </conditionalFormatting>
  <conditionalFormatting sqref="AA99">
    <cfRule type="expression" priority="530" dxfId="2">
      <formula>AND(AND($W99&lt;TODAY(),$W99&lt;&gt;""),$X99="")</formula>
    </cfRule>
  </conditionalFormatting>
  <conditionalFormatting sqref="AG99">
    <cfRule type="dataBar" priority="529">
      <dataBar>
        <cfvo type="min"/>
        <cfvo type="max"/>
        <color rgb="FF63C384"/>
      </dataBar>
    </cfRule>
    <cfRule type="dataBar" priority="528">
      <dataBar>
        <cfvo type="min"/>
        <cfvo type="max"/>
        <color rgb="FF63C384"/>
      </dataBar>
    </cfRule>
  </conditionalFormatting>
  <conditionalFormatting sqref="Q100">
    <cfRule type="cellIs" priority="527" operator="equal" dxfId="2034">
      <formula>"ja"</formula>
    </cfRule>
  </conditionalFormatting>
  <conditionalFormatting sqref="AA100">
    <cfRule type="expression" priority="526" dxfId="2">
      <formula>AND(AND($W100&lt;TODAY(),$W100&lt;&gt;""),$X100="")</formula>
    </cfRule>
  </conditionalFormatting>
  <conditionalFormatting sqref="AG100">
    <cfRule type="dataBar" priority="525">
      <dataBar>
        <cfvo type="min"/>
        <cfvo type="max"/>
        <color rgb="FF63C384"/>
      </dataBar>
    </cfRule>
    <cfRule type="dataBar" priority="524">
      <dataBar>
        <cfvo type="min"/>
        <cfvo type="max"/>
        <color rgb="FF63C384"/>
      </dataBar>
    </cfRule>
  </conditionalFormatting>
  <conditionalFormatting sqref="Q101">
    <cfRule type="cellIs" priority="523" operator="equal" dxfId="2034">
      <formula>"ja"</formula>
    </cfRule>
  </conditionalFormatting>
  <conditionalFormatting sqref="AA101">
    <cfRule type="expression" priority="522" dxfId="2">
      <formula>AND(AND($W101&lt;TODAY(),$W101&lt;&gt;""),$X101="")</formula>
    </cfRule>
  </conditionalFormatting>
  <conditionalFormatting sqref="AG101">
    <cfRule type="dataBar" priority="521">
      <dataBar>
        <cfvo type="min"/>
        <cfvo type="max"/>
        <color rgb="FF63C384"/>
      </dataBar>
    </cfRule>
    <cfRule type="dataBar" priority="520">
      <dataBar>
        <cfvo type="min"/>
        <cfvo type="max"/>
        <color rgb="FF63C384"/>
      </dataBar>
    </cfRule>
  </conditionalFormatting>
  <conditionalFormatting sqref="Q102">
    <cfRule type="cellIs" priority="519" operator="equal" dxfId="2034">
      <formula>"ja"</formula>
    </cfRule>
  </conditionalFormatting>
  <conditionalFormatting sqref="AA102">
    <cfRule type="expression" priority="518" dxfId="2">
      <formula>AND(AND($W102&lt;TODAY(),$W102&lt;&gt;""),$X102="")</formula>
    </cfRule>
  </conditionalFormatting>
  <conditionalFormatting sqref="AG102">
    <cfRule type="dataBar" priority="517">
      <dataBar>
        <cfvo type="min"/>
        <cfvo type="max"/>
        <color rgb="FF63C384"/>
      </dataBar>
    </cfRule>
    <cfRule type="dataBar" priority="516">
      <dataBar>
        <cfvo type="min"/>
        <cfvo type="max"/>
        <color rgb="FF63C384"/>
      </dataBar>
    </cfRule>
  </conditionalFormatting>
  <conditionalFormatting sqref="AA103">
    <cfRule type="expression" priority="515" dxfId="2">
      <formula>AND(AND($W103&lt;TODAY(),$W103&lt;&gt;""),$X103="")</formula>
    </cfRule>
  </conditionalFormatting>
  <conditionalFormatting sqref="AG103">
    <cfRule type="dataBar" priority="514">
      <dataBar>
        <cfvo type="min"/>
        <cfvo type="max"/>
        <color rgb="FF63C384"/>
      </dataBar>
    </cfRule>
    <cfRule type="dataBar" priority="513">
      <dataBar>
        <cfvo type="min"/>
        <cfvo type="max"/>
        <color rgb="FF63C384"/>
      </dataBar>
    </cfRule>
  </conditionalFormatting>
  <conditionalFormatting sqref="AA104">
    <cfRule type="expression" priority="512" dxfId="2">
      <formula>AND(AND($W104&lt;TODAY(),$W104&lt;&gt;""),$X104="")</formula>
    </cfRule>
  </conditionalFormatting>
  <conditionalFormatting sqref="Q104">
    <cfRule type="cellIs" priority="511" operator="equal" dxfId="2034">
      <formula>"ja"</formula>
    </cfRule>
  </conditionalFormatting>
  <conditionalFormatting sqref="AG104">
    <cfRule type="dataBar" priority="510">
      <dataBar>
        <cfvo type="min"/>
        <cfvo type="max"/>
        <color rgb="FF63C384"/>
      </dataBar>
    </cfRule>
    <cfRule type="dataBar" priority="509">
      <dataBar>
        <cfvo type="min"/>
        <cfvo type="max"/>
        <color rgb="FF63C384"/>
      </dataBar>
    </cfRule>
  </conditionalFormatting>
  <conditionalFormatting sqref="Q105">
    <cfRule type="cellIs" priority="508" operator="equal" dxfId="2034">
      <formula>"ja"</formula>
    </cfRule>
  </conditionalFormatting>
  <conditionalFormatting sqref="AA105">
    <cfRule type="expression" priority="507" dxfId="2">
      <formula>AND(AND($W105&lt;TODAY(),$W105&lt;&gt;""),$X105="")</formula>
    </cfRule>
  </conditionalFormatting>
  <conditionalFormatting sqref="AG105">
    <cfRule type="dataBar" priority="506">
      <dataBar>
        <cfvo type="min"/>
        <cfvo type="max"/>
        <color rgb="FF63C384"/>
      </dataBar>
    </cfRule>
    <cfRule type="dataBar" priority="505">
      <dataBar>
        <cfvo type="min"/>
        <cfvo type="max"/>
        <color rgb="FF63C384"/>
      </dataBar>
    </cfRule>
  </conditionalFormatting>
  <conditionalFormatting sqref="Q106">
    <cfRule type="cellIs" priority="504" operator="equal" dxfId="2034">
      <formula>"ja"</formula>
    </cfRule>
  </conditionalFormatting>
  <conditionalFormatting sqref="AA106">
    <cfRule type="expression" priority="503" dxfId="2">
      <formula>AND(AND($W106&lt;TODAY(),$W106&lt;&gt;""),$X106="")</formula>
    </cfRule>
  </conditionalFormatting>
  <conditionalFormatting sqref="AG106">
    <cfRule type="dataBar" priority="502">
      <dataBar>
        <cfvo type="min"/>
        <cfvo type="max"/>
        <color rgb="FF63C384"/>
      </dataBar>
    </cfRule>
    <cfRule type="dataBar" priority="501">
      <dataBar>
        <cfvo type="min"/>
        <cfvo type="max"/>
        <color rgb="FF63C384"/>
      </dataBar>
    </cfRule>
  </conditionalFormatting>
  <conditionalFormatting sqref="Q107">
    <cfRule type="cellIs" priority="500" operator="equal" dxfId="2034">
      <formula>"ja"</formula>
    </cfRule>
  </conditionalFormatting>
  <conditionalFormatting sqref="AA107">
    <cfRule type="expression" priority="499" dxfId="2">
      <formula>AND(AND($W107&lt;TODAY(),$W107&lt;&gt;""),$X107="")</formula>
    </cfRule>
  </conditionalFormatting>
  <conditionalFormatting sqref="AG107">
    <cfRule type="dataBar" priority="498">
      <dataBar>
        <cfvo type="min"/>
        <cfvo type="max"/>
        <color rgb="FF63C384"/>
      </dataBar>
    </cfRule>
    <cfRule type="dataBar" priority="497">
      <dataBar>
        <cfvo type="min"/>
        <cfvo type="max"/>
        <color rgb="FF63C384"/>
      </dataBar>
    </cfRule>
  </conditionalFormatting>
  <conditionalFormatting sqref="Q108">
    <cfRule type="cellIs" priority="496" operator="equal" dxfId="2034">
      <formula>"ja"</formula>
    </cfRule>
  </conditionalFormatting>
  <conditionalFormatting sqref="AA108">
    <cfRule type="expression" priority="495" dxfId="2">
      <formula>AND(AND($W108&lt;TODAY(),$W108&lt;&gt;""),$X108="")</formula>
    </cfRule>
  </conditionalFormatting>
  <conditionalFormatting sqref="AG108">
    <cfRule type="dataBar" priority="494">
      <dataBar>
        <cfvo type="min"/>
        <cfvo type="max"/>
        <color rgb="FF63C384"/>
      </dataBar>
    </cfRule>
    <cfRule type="dataBar" priority="493">
      <dataBar>
        <cfvo type="min"/>
        <cfvo type="max"/>
        <color rgb="FF63C384"/>
      </dataBar>
    </cfRule>
  </conditionalFormatting>
  <conditionalFormatting sqref="Q109">
    <cfRule type="cellIs" priority="492" operator="equal" dxfId="2034">
      <formula>"ja"</formula>
    </cfRule>
  </conditionalFormatting>
  <conditionalFormatting sqref="AA109">
    <cfRule type="expression" priority="491" dxfId="2">
      <formula>AND(AND($W109&lt;TODAY(),$W109&lt;&gt;""),$X109="")</formula>
    </cfRule>
  </conditionalFormatting>
  <conditionalFormatting sqref="AG109">
    <cfRule type="dataBar" priority="490">
      <dataBar>
        <cfvo type="min"/>
        <cfvo type="max"/>
        <color rgb="FF63C384"/>
      </dataBar>
    </cfRule>
    <cfRule type="dataBar" priority="489">
      <dataBar>
        <cfvo type="min"/>
        <cfvo type="max"/>
        <color rgb="FF63C384"/>
      </dataBar>
    </cfRule>
  </conditionalFormatting>
  <conditionalFormatting sqref="AA110">
    <cfRule type="expression" priority="488" dxfId="2">
      <formula>AND(AND($W110&lt;TODAY(),$W110&lt;&gt;""),$X110="")</formula>
    </cfRule>
  </conditionalFormatting>
  <conditionalFormatting sqref="Q110">
    <cfRule type="cellIs" priority="487" operator="equal" dxfId="2034">
      <formula>"ja"</formula>
    </cfRule>
  </conditionalFormatting>
  <conditionalFormatting sqref="AG110">
    <cfRule type="dataBar" priority="486">
      <dataBar>
        <cfvo type="min"/>
        <cfvo type="max"/>
        <color rgb="FF63C384"/>
      </dataBar>
    </cfRule>
    <cfRule type="dataBar" priority="485">
      <dataBar>
        <cfvo type="min"/>
        <cfvo type="max"/>
        <color rgb="FF63C384"/>
      </dataBar>
    </cfRule>
  </conditionalFormatting>
  <conditionalFormatting sqref="AA111">
    <cfRule type="expression" priority="484" dxfId="2">
      <formula>AND(AND($W111&lt;TODAY(),$W111&lt;&gt;""),$X111="")</formula>
    </cfRule>
  </conditionalFormatting>
  <conditionalFormatting sqref="Q111">
    <cfRule type="cellIs" priority="483" operator="equal" dxfId="2034">
      <formula>"ja"</formula>
    </cfRule>
  </conditionalFormatting>
  <conditionalFormatting sqref="AG111">
    <cfRule type="dataBar" priority="482">
      <dataBar>
        <cfvo type="min"/>
        <cfvo type="max"/>
        <color rgb="FF63C384"/>
      </dataBar>
    </cfRule>
    <cfRule type="dataBar" priority="481">
      <dataBar>
        <cfvo type="min"/>
        <cfvo type="max"/>
        <color rgb="FF63C384"/>
      </dataBar>
    </cfRule>
  </conditionalFormatting>
  <conditionalFormatting sqref="Q112">
    <cfRule type="cellIs" priority="480" operator="equal" dxfId="2034">
      <formula>"ja"</formula>
    </cfRule>
  </conditionalFormatting>
  <conditionalFormatting sqref="AA112">
    <cfRule type="expression" priority="479" dxfId="2">
      <formula>AND(AND($W112&lt;TODAY(),$W112&lt;&gt;""),$X112="")</formula>
    </cfRule>
  </conditionalFormatting>
  <conditionalFormatting sqref="AG112">
    <cfRule type="dataBar" priority="478">
      <dataBar>
        <cfvo type="min"/>
        <cfvo type="max"/>
        <color rgb="FF63C384"/>
      </dataBar>
    </cfRule>
    <cfRule type="dataBar" priority="477">
      <dataBar>
        <cfvo type="min"/>
        <cfvo type="max"/>
        <color rgb="FF63C384"/>
      </dataBar>
    </cfRule>
  </conditionalFormatting>
  <conditionalFormatting sqref="Q113">
    <cfRule type="cellIs" priority="476" operator="equal" dxfId="2034">
      <formula>"ja"</formula>
    </cfRule>
  </conditionalFormatting>
  <conditionalFormatting sqref="AA113">
    <cfRule type="expression" priority="475" dxfId="2">
      <formula>AND(AND($W113&lt;TODAY(),$W113&lt;&gt;""),$X113="")</formula>
    </cfRule>
  </conditionalFormatting>
  <conditionalFormatting sqref="AG113">
    <cfRule type="dataBar" priority="474">
      <dataBar>
        <cfvo type="min"/>
        <cfvo type="max"/>
        <color rgb="FF63C384"/>
      </dataBar>
    </cfRule>
    <cfRule type="dataBar" priority="473">
      <dataBar>
        <cfvo type="min"/>
        <cfvo type="max"/>
        <color rgb="FF63C384"/>
      </dataBar>
    </cfRule>
  </conditionalFormatting>
  <conditionalFormatting sqref="Q114">
    <cfRule type="cellIs" priority="472" operator="equal" dxfId="2034">
      <formula>"ja"</formula>
    </cfRule>
  </conditionalFormatting>
  <conditionalFormatting sqref="AA114">
    <cfRule type="expression" priority="471" dxfId="2">
      <formula>AND(AND($W114&lt;TODAY(),$W114&lt;&gt;""),$X114="")</formula>
    </cfRule>
  </conditionalFormatting>
  <conditionalFormatting sqref="AG114">
    <cfRule type="dataBar" priority="470">
      <dataBar>
        <cfvo type="min"/>
        <cfvo type="max"/>
        <color rgb="FF63C384"/>
      </dataBar>
    </cfRule>
    <cfRule type="dataBar" priority="469">
      <dataBar>
        <cfvo type="min"/>
        <cfvo type="max"/>
        <color rgb="FF63C384"/>
      </dataBar>
    </cfRule>
  </conditionalFormatting>
  <conditionalFormatting sqref="Q115">
    <cfRule type="cellIs" priority="468" operator="equal" dxfId="2034">
      <formula>"ja"</formula>
    </cfRule>
  </conditionalFormatting>
  <conditionalFormatting sqref="AA115">
    <cfRule type="expression" priority="467" dxfId="2">
      <formula>AND(AND($W115&lt;TODAY(),$W115&lt;&gt;""),$X115="")</formula>
    </cfRule>
  </conditionalFormatting>
  <conditionalFormatting sqref="AG115">
    <cfRule type="dataBar" priority="466">
      <dataBar>
        <cfvo type="min"/>
        <cfvo type="max"/>
        <color rgb="FF63C384"/>
      </dataBar>
    </cfRule>
    <cfRule type="dataBar" priority="465">
      <dataBar>
        <cfvo type="min"/>
        <cfvo type="max"/>
        <color rgb="FF63C384"/>
      </dataBar>
    </cfRule>
  </conditionalFormatting>
  <conditionalFormatting sqref="Q116">
    <cfRule type="cellIs" priority="464" operator="equal" dxfId="2034">
      <formula>"ja"</formula>
    </cfRule>
  </conditionalFormatting>
  <conditionalFormatting sqref="AA116">
    <cfRule type="expression" priority="463" dxfId="2">
      <formula>AND(AND($W116&lt;TODAY(),$W116&lt;&gt;""),$X116="")</formula>
    </cfRule>
  </conditionalFormatting>
  <conditionalFormatting sqref="AG116">
    <cfRule type="dataBar" priority="462">
      <dataBar>
        <cfvo type="min"/>
        <cfvo type="max"/>
        <color rgb="FF63C384"/>
      </dataBar>
    </cfRule>
    <cfRule type="dataBar" priority="461">
      <dataBar>
        <cfvo type="min"/>
        <cfvo type="max"/>
        <color rgb="FF63C384"/>
      </dataBar>
    </cfRule>
  </conditionalFormatting>
  <conditionalFormatting sqref="AA117">
    <cfRule type="expression" priority="460" dxfId="2">
      <formula>AND(AND($W117&lt;TODAY(),$W117&lt;&gt;""),$X117="")</formula>
    </cfRule>
  </conditionalFormatting>
  <conditionalFormatting sqref="Q117">
    <cfRule type="cellIs" priority="459" operator="equal" dxfId="2034">
      <formula>"ja"</formula>
    </cfRule>
  </conditionalFormatting>
  <conditionalFormatting sqref="AG117">
    <cfRule type="dataBar" priority="458">
      <dataBar>
        <cfvo type="min"/>
        <cfvo type="max"/>
        <color rgb="FF63C384"/>
      </dataBar>
    </cfRule>
    <cfRule type="dataBar" priority="457">
      <dataBar>
        <cfvo type="min"/>
        <cfvo type="max"/>
        <color rgb="FF63C384"/>
      </dataBar>
    </cfRule>
  </conditionalFormatting>
  <conditionalFormatting sqref="AA118">
    <cfRule type="expression" priority="456" dxfId="2">
      <formula>AND(AND($W118&lt;TODAY(),$W118&lt;&gt;""),$X118="")</formula>
    </cfRule>
  </conditionalFormatting>
  <conditionalFormatting sqref="Q118">
    <cfRule type="cellIs" priority="455" operator="equal" dxfId="2034">
      <formula>"ja"</formula>
    </cfRule>
  </conditionalFormatting>
  <conditionalFormatting sqref="AG118">
    <cfRule type="dataBar" priority="454">
      <dataBar>
        <cfvo type="min"/>
        <cfvo type="max"/>
        <color rgb="FF63C384"/>
      </dataBar>
    </cfRule>
  </conditionalFormatting>
  <conditionalFormatting sqref="Q119">
    <cfRule type="cellIs" priority="453" operator="equal" dxfId="2034">
      <formula>"ja"</formula>
    </cfRule>
  </conditionalFormatting>
  <conditionalFormatting sqref="AA119">
    <cfRule type="expression" priority="452" dxfId="2">
      <formula>AND(AND($W119&lt;TODAY(),$W119&lt;&gt;""),$X119="")</formula>
    </cfRule>
  </conditionalFormatting>
  <conditionalFormatting sqref="AG119">
    <cfRule type="dataBar" priority="451">
      <dataBar>
        <cfvo type="min"/>
        <cfvo type="max"/>
        <color rgb="FF63C384"/>
      </dataBar>
    </cfRule>
    <cfRule type="dataBar" priority="450">
      <dataBar>
        <cfvo type="min"/>
        <cfvo type="max"/>
        <color rgb="FF63C384"/>
      </dataBar>
    </cfRule>
  </conditionalFormatting>
  <conditionalFormatting sqref="AA120">
    <cfRule type="expression" priority="449" dxfId="2">
      <formula>AND(AND($W120&lt;TODAY(),$W120&lt;&gt;""),$X120="")</formula>
    </cfRule>
  </conditionalFormatting>
  <conditionalFormatting sqref="AG120">
    <cfRule type="dataBar" priority="448">
      <dataBar>
        <cfvo type="min"/>
        <cfvo type="max"/>
        <color rgb="FF63C384"/>
      </dataBar>
    </cfRule>
    <cfRule type="dataBar" priority="447">
      <dataBar>
        <cfvo type="min"/>
        <cfvo type="max"/>
        <color rgb="FF63C384"/>
      </dataBar>
    </cfRule>
  </conditionalFormatting>
  <conditionalFormatting sqref="Q121">
    <cfRule type="cellIs" priority="446" operator="equal" dxfId="2034">
      <formula>"ja"</formula>
    </cfRule>
  </conditionalFormatting>
  <conditionalFormatting sqref="AA121">
    <cfRule type="expression" priority="445" dxfId="2">
      <formula>AND(AND($W121&lt;TODAY(),$W121&lt;&gt;""),$X121="")</formula>
    </cfRule>
  </conditionalFormatting>
  <conditionalFormatting sqref="AG121">
    <cfRule type="dataBar" priority="444">
      <dataBar>
        <cfvo type="min"/>
        <cfvo type="max"/>
        <color rgb="FF63C384"/>
      </dataBar>
    </cfRule>
    <cfRule type="dataBar" priority="443">
      <dataBar>
        <cfvo type="min"/>
        <cfvo type="max"/>
        <color rgb="FF63C384"/>
      </dataBar>
    </cfRule>
  </conditionalFormatting>
  <conditionalFormatting sqref="AA122">
    <cfRule type="expression" priority="442" dxfId="2">
      <formula>AND(AND($W122&lt;TODAY(),$W122&lt;&gt;""),$X122="")</formula>
    </cfRule>
  </conditionalFormatting>
  <conditionalFormatting sqref="Q122">
    <cfRule type="cellIs" priority="441" operator="equal" dxfId="2034">
      <formula>"ja"</formula>
    </cfRule>
  </conditionalFormatting>
  <conditionalFormatting sqref="AG122">
    <cfRule type="dataBar" priority="440">
      <dataBar>
        <cfvo type="min"/>
        <cfvo type="max"/>
        <color rgb="FF63C384"/>
      </dataBar>
    </cfRule>
    <cfRule type="dataBar" priority="439">
      <dataBar>
        <cfvo type="min"/>
        <cfvo type="max"/>
        <color rgb="FF63C384"/>
      </dataBar>
    </cfRule>
  </conditionalFormatting>
  <conditionalFormatting sqref="AA124">
    <cfRule type="expression" priority="438" dxfId="2">
      <formula>AND(AND($W124&lt;TODAY(),$W124&lt;&gt;""),$X124="")</formula>
    </cfRule>
  </conditionalFormatting>
  <conditionalFormatting sqref="Q124">
    <cfRule type="cellIs" priority="437" operator="equal" dxfId="2034">
      <formula>"ja"</formula>
    </cfRule>
  </conditionalFormatting>
  <conditionalFormatting sqref="AG124">
    <cfRule type="dataBar" priority="436">
      <dataBar>
        <cfvo type="min"/>
        <cfvo type="max"/>
        <color rgb="FF63C384"/>
      </dataBar>
    </cfRule>
    <cfRule type="dataBar" priority="435">
      <dataBar>
        <cfvo type="min"/>
        <cfvo type="max"/>
        <color rgb="FF63C384"/>
      </dataBar>
    </cfRule>
  </conditionalFormatting>
  <conditionalFormatting sqref="Q123">
    <cfRule type="cellIs" priority="434" operator="equal" dxfId="2034">
      <formula>"ja"</formula>
    </cfRule>
  </conditionalFormatting>
  <conditionalFormatting sqref="AA123">
    <cfRule type="expression" priority="433" dxfId="2">
      <formula>AND(AND($W123&lt;TODAY(),$W123&lt;&gt;""),$X123="")</formula>
    </cfRule>
  </conditionalFormatting>
  <conditionalFormatting sqref="AG123">
    <cfRule type="dataBar" priority="432">
      <dataBar>
        <cfvo type="min"/>
        <cfvo type="max"/>
        <color rgb="FF63C384"/>
      </dataBar>
    </cfRule>
    <cfRule type="dataBar" priority="431">
      <dataBar>
        <cfvo type="min"/>
        <cfvo type="max"/>
        <color rgb="FF63C384"/>
      </dataBar>
    </cfRule>
  </conditionalFormatting>
  <conditionalFormatting sqref="Q125">
    <cfRule type="cellIs" priority="430" operator="equal" dxfId="2034">
      <formula>"ja"</formula>
    </cfRule>
  </conditionalFormatting>
  <conditionalFormatting sqref="AA125">
    <cfRule type="expression" priority="429" dxfId="2">
      <formula>AND(AND($W125&lt;TODAY(),$W125&lt;&gt;""),$X125="")</formula>
    </cfRule>
  </conditionalFormatting>
  <conditionalFormatting sqref="AG125">
    <cfRule type="dataBar" priority="428">
      <dataBar>
        <cfvo type="min"/>
        <cfvo type="max"/>
        <color rgb="FF63C384"/>
      </dataBar>
    </cfRule>
    <cfRule type="dataBar" priority="427">
      <dataBar>
        <cfvo type="min"/>
        <cfvo type="max"/>
        <color rgb="FF63C384"/>
      </dataBar>
    </cfRule>
  </conditionalFormatting>
  <conditionalFormatting sqref="Q126">
    <cfRule type="cellIs" priority="426" operator="equal" dxfId="2034">
      <formula>"ja"</formula>
    </cfRule>
  </conditionalFormatting>
  <conditionalFormatting sqref="AA126">
    <cfRule type="expression" priority="425" dxfId="2">
      <formula>AND(AND($W126&lt;TODAY(),$W126&lt;&gt;""),$X126="")</formula>
    </cfRule>
  </conditionalFormatting>
  <conditionalFormatting sqref="AG126">
    <cfRule type="dataBar" priority="424">
      <dataBar>
        <cfvo type="min"/>
        <cfvo type="max"/>
        <color rgb="FF63C384"/>
      </dataBar>
    </cfRule>
    <cfRule type="dataBar" priority="423">
      <dataBar>
        <cfvo type="min"/>
        <cfvo type="max"/>
        <color rgb="FF63C384"/>
      </dataBar>
    </cfRule>
  </conditionalFormatting>
  <conditionalFormatting sqref="Q127">
    <cfRule type="cellIs" priority="422" operator="equal" dxfId="2034">
      <formula>"ja"</formula>
    </cfRule>
  </conditionalFormatting>
  <conditionalFormatting sqref="AA127">
    <cfRule type="expression" priority="421" dxfId="2">
      <formula>AND(AND($W127&lt;TODAY(),$W127&lt;&gt;""),$X127="")</formula>
    </cfRule>
  </conditionalFormatting>
  <conditionalFormatting sqref="AG127">
    <cfRule type="dataBar" priority="420">
      <dataBar>
        <cfvo type="min"/>
        <cfvo type="max"/>
        <color rgb="FF63C384"/>
      </dataBar>
    </cfRule>
    <cfRule type="dataBar" priority="419">
      <dataBar>
        <cfvo type="min"/>
        <cfvo type="max"/>
        <color rgb="FF63C384"/>
      </dataBar>
    </cfRule>
  </conditionalFormatting>
  <conditionalFormatting sqref="AA128">
    <cfRule type="expression" priority="418" dxfId="2">
      <formula>AND(AND($W128&lt;TODAY(),$W128&lt;&gt;""),$X128="")</formula>
    </cfRule>
  </conditionalFormatting>
  <conditionalFormatting sqref="Q128">
    <cfRule type="cellIs" priority="417" operator="equal" dxfId="2034">
      <formula>"ja"</formula>
    </cfRule>
  </conditionalFormatting>
  <conditionalFormatting sqref="AG128">
    <cfRule type="dataBar" priority="416">
      <dataBar>
        <cfvo type="min"/>
        <cfvo type="max"/>
        <color rgb="FF63C384"/>
      </dataBar>
    </cfRule>
    <cfRule type="dataBar" priority="415">
      <dataBar>
        <cfvo type="min"/>
        <cfvo type="max"/>
        <color rgb="FF63C384"/>
      </dataBar>
    </cfRule>
  </conditionalFormatting>
  <conditionalFormatting sqref="AA129">
    <cfRule type="expression" priority="414" dxfId="2">
      <formula>AND(AND($W129&lt;TODAY(),$W129&lt;&gt;""),$X129="")</formula>
    </cfRule>
  </conditionalFormatting>
  <conditionalFormatting sqref="Q129">
    <cfRule type="cellIs" priority="413" operator="equal" dxfId="2034">
      <formula>"ja"</formula>
    </cfRule>
  </conditionalFormatting>
  <conditionalFormatting sqref="AG129">
    <cfRule type="dataBar" priority="412">
      <dataBar>
        <cfvo type="min"/>
        <cfvo type="max"/>
        <color rgb="FF63C384"/>
      </dataBar>
    </cfRule>
    <cfRule type="dataBar" priority="411">
      <dataBar>
        <cfvo type="min"/>
        <cfvo type="max"/>
        <color rgb="FF63C384"/>
      </dataBar>
    </cfRule>
  </conditionalFormatting>
  <conditionalFormatting sqref="AA130">
    <cfRule type="expression" priority="410" dxfId="2">
      <formula>AND(AND($W130&lt;TODAY(),$W130&lt;&gt;""),$X130="")</formula>
    </cfRule>
  </conditionalFormatting>
  <conditionalFormatting sqref="AG130">
    <cfRule type="dataBar" priority="409">
      <dataBar>
        <cfvo type="min"/>
        <cfvo type="max"/>
        <color rgb="FF63C384"/>
      </dataBar>
    </cfRule>
    <cfRule type="dataBar" priority="408">
      <dataBar>
        <cfvo type="min"/>
        <cfvo type="max"/>
        <color rgb="FF63C384"/>
      </dataBar>
    </cfRule>
  </conditionalFormatting>
  <conditionalFormatting sqref="Q131">
    <cfRule type="cellIs" priority="407" operator="equal" dxfId="2034">
      <formula>"ja"</formula>
    </cfRule>
  </conditionalFormatting>
  <conditionalFormatting sqref="AA131">
    <cfRule type="expression" priority="406" dxfId="2">
      <formula>AND(AND($W131&lt;TODAY(),$W131&lt;&gt;""),$X131="")</formula>
    </cfRule>
  </conditionalFormatting>
  <conditionalFormatting sqref="AG131">
    <cfRule type="dataBar" priority="405">
      <dataBar>
        <cfvo type="min"/>
        <cfvo type="max"/>
        <color rgb="FF63C384"/>
      </dataBar>
    </cfRule>
    <cfRule type="dataBar" priority="404">
      <dataBar>
        <cfvo type="min"/>
        <cfvo type="max"/>
        <color rgb="FF63C384"/>
      </dataBar>
    </cfRule>
  </conditionalFormatting>
  <conditionalFormatting sqref="Q132">
    <cfRule type="cellIs" priority="403" operator="equal" dxfId="2034">
      <formula>"ja"</formula>
    </cfRule>
  </conditionalFormatting>
  <conditionalFormatting sqref="AA132">
    <cfRule type="expression" priority="402" dxfId="2">
      <formula>AND(AND($W132&lt;TODAY(),$W132&lt;&gt;""),$X132="")</formula>
    </cfRule>
  </conditionalFormatting>
  <conditionalFormatting sqref="AG132">
    <cfRule type="dataBar" priority="401">
      <dataBar>
        <cfvo type="min"/>
        <cfvo type="max"/>
        <color rgb="FF63C384"/>
      </dataBar>
    </cfRule>
    <cfRule type="dataBar" priority="400">
      <dataBar>
        <cfvo type="min"/>
        <cfvo type="max"/>
        <color rgb="FF63C384"/>
      </dataBar>
    </cfRule>
  </conditionalFormatting>
  <conditionalFormatting sqref="AA136">
    <cfRule type="expression" priority="399" dxfId="2">
      <formula>AND(AND($W136&lt;TODAY(),$W136&lt;&gt;""),$X136="")</formula>
    </cfRule>
  </conditionalFormatting>
  <conditionalFormatting sqref="AG136">
    <cfRule type="dataBar" priority="398">
      <dataBar>
        <cfvo type="min"/>
        <cfvo type="max"/>
        <color rgb="FF63C384"/>
      </dataBar>
    </cfRule>
    <cfRule type="dataBar" priority="397">
      <dataBar>
        <cfvo type="min"/>
        <cfvo type="max"/>
        <color rgb="FF63C384"/>
      </dataBar>
    </cfRule>
  </conditionalFormatting>
  <conditionalFormatting sqref="Q136">
    <cfRule type="cellIs" priority="396" operator="equal" dxfId="2034">
      <formula>"ja"</formula>
    </cfRule>
  </conditionalFormatting>
  <conditionalFormatting sqref="Q133">
    <cfRule type="cellIs" priority="395" operator="equal" dxfId="2034">
      <formula>"ja"</formula>
    </cfRule>
  </conditionalFormatting>
  <conditionalFormatting sqref="AA133">
    <cfRule type="expression" priority="394" dxfId="2">
      <formula>AND(AND($W133&lt;TODAY(),$W133&lt;&gt;""),$X133="")</formula>
    </cfRule>
  </conditionalFormatting>
  <conditionalFormatting sqref="AG133">
    <cfRule type="dataBar" priority="393">
      <dataBar>
        <cfvo type="min"/>
        <cfvo type="max"/>
        <color rgb="FF63C384"/>
      </dataBar>
    </cfRule>
    <cfRule type="dataBar" priority="392">
      <dataBar>
        <cfvo type="min"/>
        <cfvo type="max"/>
        <color rgb="FF63C384"/>
      </dataBar>
    </cfRule>
  </conditionalFormatting>
  <conditionalFormatting sqref="Q134">
    <cfRule type="cellIs" priority="391" operator="equal" dxfId="2034">
      <formula>"ja"</formula>
    </cfRule>
  </conditionalFormatting>
  <conditionalFormatting sqref="AA134">
    <cfRule type="expression" priority="390" dxfId="2">
      <formula>AND(AND($W134&lt;TODAY(),$W134&lt;&gt;""),$X134="")</formula>
    </cfRule>
  </conditionalFormatting>
  <conditionalFormatting sqref="AG134">
    <cfRule type="dataBar" priority="389">
      <dataBar>
        <cfvo type="min"/>
        <cfvo type="max"/>
        <color rgb="FF63C384"/>
      </dataBar>
    </cfRule>
    <cfRule type="dataBar" priority="388">
      <dataBar>
        <cfvo type="min"/>
        <cfvo type="max"/>
        <color rgb="FF63C384"/>
      </dataBar>
    </cfRule>
  </conditionalFormatting>
  <conditionalFormatting sqref="Q135">
    <cfRule type="cellIs" priority="387" operator="equal" dxfId="2034">
      <formula>"ja"</formula>
    </cfRule>
  </conditionalFormatting>
  <conditionalFormatting sqref="AA135">
    <cfRule type="expression" priority="386" dxfId="2">
      <formula>AND(AND($W135&lt;TODAY(),$W135&lt;&gt;""),$X135="")</formula>
    </cfRule>
  </conditionalFormatting>
  <conditionalFormatting sqref="AG135">
    <cfRule type="dataBar" priority="385">
      <dataBar>
        <cfvo type="min"/>
        <cfvo type="max"/>
        <color rgb="FF63C384"/>
      </dataBar>
    </cfRule>
    <cfRule type="dataBar" priority="384">
      <dataBar>
        <cfvo type="min"/>
        <cfvo type="max"/>
        <color rgb="FF63C384"/>
      </dataBar>
    </cfRule>
  </conditionalFormatting>
  <conditionalFormatting sqref="AA137">
    <cfRule type="expression" priority="383" dxfId="2">
      <formula>AND(AND($W137&lt;TODAY(),$W137&lt;&gt;""),$X137="")</formula>
    </cfRule>
  </conditionalFormatting>
  <conditionalFormatting sqref="AG137">
    <cfRule type="dataBar" priority="382">
      <dataBar>
        <cfvo type="min"/>
        <cfvo type="max"/>
        <color rgb="FF63C384"/>
      </dataBar>
    </cfRule>
    <cfRule type="dataBar" priority="381">
      <dataBar>
        <cfvo type="min"/>
        <cfvo type="max"/>
        <color rgb="FF63C384"/>
      </dataBar>
    </cfRule>
  </conditionalFormatting>
  <conditionalFormatting sqref="Q138">
    <cfRule type="cellIs" priority="380" operator="equal" dxfId="2034">
      <formula>"ja"</formula>
    </cfRule>
  </conditionalFormatting>
  <conditionalFormatting sqref="AA138">
    <cfRule type="expression" priority="379" dxfId="2">
      <formula>AND(AND($W138&lt;TODAY(),$W138&lt;&gt;""),$X138="")</formula>
    </cfRule>
  </conditionalFormatting>
  <conditionalFormatting sqref="AG138">
    <cfRule type="dataBar" priority="378">
      <dataBar>
        <cfvo type="min"/>
        <cfvo type="max"/>
        <color rgb="FF63C384"/>
      </dataBar>
    </cfRule>
    <cfRule type="dataBar" priority="377">
      <dataBar>
        <cfvo type="min"/>
        <cfvo type="max"/>
        <color rgb="FF63C384"/>
      </dataBar>
    </cfRule>
  </conditionalFormatting>
  <conditionalFormatting sqref="Q139">
    <cfRule type="cellIs" priority="376" operator="equal" dxfId="2034">
      <formula>"ja"</formula>
    </cfRule>
  </conditionalFormatting>
  <conditionalFormatting sqref="AA139">
    <cfRule type="expression" priority="375" dxfId="2">
      <formula>AND(AND($W139&lt;TODAY(),$W139&lt;&gt;""),$X139="")</formula>
    </cfRule>
  </conditionalFormatting>
  <conditionalFormatting sqref="AG139">
    <cfRule type="dataBar" priority="374">
      <dataBar>
        <cfvo type="min"/>
        <cfvo type="max"/>
        <color rgb="FF63C384"/>
      </dataBar>
    </cfRule>
    <cfRule type="dataBar" priority="373">
      <dataBar>
        <cfvo type="min"/>
        <cfvo type="max"/>
        <color rgb="FF63C384"/>
      </dataBar>
    </cfRule>
  </conditionalFormatting>
  <conditionalFormatting sqref="Q140">
    <cfRule type="cellIs" priority="372" operator="equal" dxfId="2034">
      <formula>"ja"</formula>
    </cfRule>
  </conditionalFormatting>
  <conditionalFormatting sqref="AA140">
    <cfRule type="expression" priority="371" dxfId="2">
      <formula>AND(AND($W140&lt;TODAY(),$W140&lt;&gt;""),$X140="")</formula>
    </cfRule>
  </conditionalFormatting>
  <conditionalFormatting sqref="AG140">
    <cfRule type="dataBar" priority="370">
      <dataBar>
        <cfvo type="min"/>
        <cfvo type="max"/>
        <color rgb="FF63C384"/>
      </dataBar>
    </cfRule>
    <cfRule type="dataBar" priority="369">
      <dataBar>
        <cfvo type="min"/>
        <cfvo type="max"/>
        <color rgb="FF63C384"/>
      </dataBar>
    </cfRule>
  </conditionalFormatting>
  <conditionalFormatting sqref="Q141">
    <cfRule type="cellIs" priority="368" operator="equal" dxfId="2034">
      <formula>"ja"</formula>
    </cfRule>
  </conditionalFormatting>
  <conditionalFormatting sqref="AA141">
    <cfRule type="expression" priority="367" dxfId="2">
      <formula>AND(AND($W141&lt;TODAY(),$W141&lt;&gt;""),$X141="")</formula>
    </cfRule>
  </conditionalFormatting>
  <conditionalFormatting sqref="AG141">
    <cfRule type="dataBar" priority="366">
      <dataBar>
        <cfvo type="min"/>
        <cfvo type="max"/>
        <color rgb="FF63C384"/>
      </dataBar>
    </cfRule>
    <cfRule type="dataBar" priority="365">
      <dataBar>
        <cfvo type="min"/>
        <cfvo type="max"/>
        <color rgb="FF63C384"/>
      </dataBar>
    </cfRule>
  </conditionalFormatting>
  <conditionalFormatting sqref="AA142">
    <cfRule type="expression" priority="364" dxfId="2">
      <formula>AND(AND($W142&lt;TODAY(),$W142&lt;&gt;""),$X142="")</formula>
    </cfRule>
  </conditionalFormatting>
  <conditionalFormatting sqref="Q142">
    <cfRule type="cellIs" priority="363" operator="equal" dxfId="2034">
      <formula>"ja"</formula>
    </cfRule>
  </conditionalFormatting>
  <conditionalFormatting sqref="AG142">
    <cfRule type="dataBar" priority="362">
      <dataBar>
        <cfvo type="min"/>
        <cfvo type="max"/>
        <color rgb="FF63C384"/>
      </dataBar>
    </cfRule>
    <cfRule type="dataBar" priority="361">
      <dataBar>
        <cfvo type="min"/>
        <cfvo type="max"/>
        <color rgb="FF63C384"/>
      </dataBar>
    </cfRule>
  </conditionalFormatting>
  <conditionalFormatting sqref="Q143">
    <cfRule type="cellIs" priority="360" operator="equal" dxfId="2034">
      <formula>"ja"</formula>
    </cfRule>
  </conditionalFormatting>
  <conditionalFormatting sqref="AA143">
    <cfRule type="expression" priority="359" dxfId="2">
      <formula>AND(AND($W143&lt;TODAY(),$W143&lt;&gt;""),$X143="")</formula>
    </cfRule>
  </conditionalFormatting>
  <conditionalFormatting sqref="AG143">
    <cfRule type="dataBar" priority="358">
      <dataBar>
        <cfvo type="min"/>
        <cfvo type="max"/>
        <color rgb="FF63C384"/>
      </dataBar>
    </cfRule>
    <cfRule type="dataBar" priority="357">
      <dataBar>
        <cfvo type="min"/>
        <cfvo type="max"/>
        <color rgb="FF63C384"/>
      </dataBar>
    </cfRule>
  </conditionalFormatting>
  <conditionalFormatting sqref="AA145">
    <cfRule type="expression" priority="356" dxfId="2">
      <formula>AND(AND($W145&lt;TODAY(),$W145&lt;&gt;""),$X145="")</formula>
    </cfRule>
  </conditionalFormatting>
  <conditionalFormatting sqref="Q145">
    <cfRule type="cellIs" priority="355" operator="equal" dxfId="2034">
      <formula>"ja"</formula>
    </cfRule>
  </conditionalFormatting>
  <conditionalFormatting sqref="AG145">
    <cfRule type="dataBar" priority="354">
      <dataBar>
        <cfvo type="min"/>
        <cfvo type="max"/>
        <color rgb="FF63C384"/>
      </dataBar>
    </cfRule>
    <cfRule type="dataBar" priority="353">
      <dataBar>
        <cfvo type="min"/>
        <cfvo type="max"/>
        <color rgb="FF63C384"/>
      </dataBar>
    </cfRule>
  </conditionalFormatting>
  <conditionalFormatting sqref="AA153">
    <cfRule type="expression" priority="320" dxfId="2">
      <formula>AND(AND($W153&lt;TODAY(),$W153&lt;&gt;""),$X153="")</formula>
    </cfRule>
  </conditionalFormatting>
  <conditionalFormatting sqref="Q146">
    <cfRule type="cellIs" priority="352" operator="equal" dxfId="2034">
      <formula>"ja"</formula>
    </cfRule>
  </conditionalFormatting>
  <conditionalFormatting sqref="AA146">
    <cfRule type="expression" priority="351" dxfId="2">
      <formula>AND(AND($W146&lt;TODAY(),$W146&lt;&gt;""),$X146="")</formula>
    </cfRule>
  </conditionalFormatting>
  <conditionalFormatting sqref="AG146">
    <cfRule type="dataBar" priority="350">
      <dataBar>
        <cfvo type="min"/>
        <cfvo type="max"/>
        <color rgb="FF63C384"/>
      </dataBar>
    </cfRule>
    <cfRule type="dataBar" priority="349">
      <dataBar>
        <cfvo type="min"/>
        <cfvo type="max"/>
        <color rgb="FF63C384"/>
      </dataBar>
    </cfRule>
  </conditionalFormatting>
  <conditionalFormatting sqref="AA147">
    <cfRule type="expression" priority="348" dxfId="2">
      <formula>AND(AND($W147&lt;TODAY(),$W147&lt;&gt;""),$X147="")</formula>
    </cfRule>
  </conditionalFormatting>
  <conditionalFormatting sqref="Q147">
    <cfRule type="cellIs" priority="347" operator="equal" dxfId="2034">
      <formula>"ja"</formula>
    </cfRule>
  </conditionalFormatting>
  <conditionalFormatting sqref="AG147">
    <cfRule type="dataBar" priority="346">
      <dataBar>
        <cfvo type="min"/>
        <cfvo type="max"/>
        <color rgb="FF63C384"/>
      </dataBar>
    </cfRule>
    <cfRule type="dataBar" priority="345">
      <dataBar>
        <cfvo type="min"/>
        <cfvo type="max"/>
        <color rgb="FF63C384"/>
      </dataBar>
    </cfRule>
  </conditionalFormatting>
  <conditionalFormatting sqref="Q148">
    <cfRule type="cellIs" priority="344" operator="equal" dxfId="2034">
      <formula>"ja"</formula>
    </cfRule>
  </conditionalFormatting>
  <conditionalFormatting sqref="AA148">
    <cfRule type="expression" priority="343" dxfId="2">
      <formula>AND(AND($W148&lt;TODAY(),$W148&lt;&gt;""),$X148="")</formula>
    </cfRule>
  </conditionalFormatting>
  <conditionalFormatting sqref="AG148">
    <cfRule type="dataBar" priority="342">
      <dataBar>
        <cfvo type="min"/>
        <cfvo type="max"/>
        <color rgb="FF63C384"/>
      </dataBar>
    </cfRule>
    <cfRule type="dataBar" priority="341">
      <dataBar>
        <cfvo type="min"/>
        <cfvo type="max"/>
        <color rgb="FF63C384"/>
      </dataBar>
    </cfRule>
  </conditionalFormatting>
  <conditionalFormatting sqref="AA149">
    <cfRule type="expression" priority="340" dxfId="2">
      <formula>AND(AND($W149&lt;TODAY(),$W149&lt;&gt;""),$X149="")</formula>
    </cfRule>
  </conditionalFormatting>
  <conditionalFormatting sqref="AG149">
    <cfRule type="dataBar" priority="339">
      <dataBar>
        <cfvo type="min"/>
        <cfvo type="max"/>
        <color rgb="FF63C384"/>
      </dataBar>
    </cfRule>
    <cfRule type="dataBar" priority="338">
      <dataBar>
        <cfvo type="min"/>
        <cfvo type="max"/>
        <color rgb="FF63C384"/>
      </dataBar>
    </cfRule>
  </conditionalFormatting>
  <conditionalFormatting sqref="Q150">
    <cfRule type="cellIs" priority="337" operator="equal" dxfId="2034">
      <formula>"ja"</formula>
    </cfRule>
  </conditionalFormatting>
  <conditionalFormatting sqref="AA150">
    <cfRule type="expression" priority="336" dxfId="2">
      <formula>AND(AND($W150&lt;TODAY(),$W150&lt;&gt;""),$X150="")</formula>
    </cfRule>
  </conditionalFormatting>
  <conditionalFormatting sqref="AG150">
    <cfRule type="dataBar" priority="335">
      <dataBar>
        <cfvo type="min"/>
        <cfvo type="max"/>
        <color rgb="FF63C384"/>
      </dataBar>
    </cfRule>
    <cfRule type="dataBar" priority="334">
      <dataBar>
        <cfvo type="min"/>
        <cfvo type="max"/>
        <color rgb="FF63C384"/>
      </dataBar>
    </cfRule>
  </conditionalFormatting>
  <conditionalFormatting sqref="Q144">
    <cfRule type="cellIs" priority="333" operator="equal" dxfId="2034">
      <formula>"ja"</formula>
    </cfRule>
  </conditionalFormatting>
  <conditionalFormatting sqref="AA144">
    <cfRule type="expression" priority="332" dxfId="2">
      <formula>AND(AND($W144&lt;TODAY(),$W144&lt;&gt;""),$X144="")</formula>
    </cfRule>
  </conditionalFormatting>
  <conditionalFormatting sqref="AG144">
    <cfRule type="dataBar" priority="331">
      <dataBar>
        <cfvo type="min"/>
        <cfvo type="max"/>
        <color rgb="FF63C384"/>
      </dataBar>
    </cfRule>
    <cfRule type="dataBar" priority="330">
      <dataBar>
        <cfvo type="min"/>
        <cfvo type="max"/>
        <color rgb="FF63C384"/>
      </dataBar>
    </cfRule>
  </conditionalFormatting>
  <conditionalFormatting sqref="Q151">
    <cfRule type="cellIs" priority="329" operator="equal" dxfId="2034">
      <formula>"ja"</formula>
    </cfRule>
  </conditionalFormatting>
  <conditionalFormatting sqref="AA151">
    <cfRule type="expression" priority="328" dxfId="2">
      <formula>AND(AND($W151&lt;TODAY(),$W151&lt;&gt;""),$X151="")</formula>
    </cfRule>
  </conditionalFormatting>
  <conditionalFormatting sqref="AG151">
    <cfRule type="dataBar" priority="327">
      <dataBar>
        <cfvo type="min"/>
        <cfvo type="max"/>
        <color rgb="FF63C384"/>
      </dataBar>
    </cfRule>
    <cfRule type="dataBar" priority="326">
      <dataBar>
        <cfvo type="min"/>
        <cfvo type="max"/>
        <color rgb="FF63C384"/>
      </dataBar>
    </cfRule>
  </conditionalFormatting>
  <conditionalFormatting sqref="Q152">
    <cfRule type="cellIs" priority="325" operator="equal" dxfId="2034">
      <formula>"ja"</formula>
    </cfRule>
  </conditionalFormatting>
  <conditionalFormatting sqref="AA152">
    <cfRule type="expression" priority="324" dxfId="2">
      <formula>AND(AND($W152&lt;TODAY(),$W152&lt;&gt;""),$X152="")</formula>
    </cfRule>
  </conditionalFormatting>
  <conditionalFormatting sqref="AG152">
    <cfRule type="dataBar" priority="323">
      <dataBar>
        <cfvo type="min"/>
        <cfvo type="max"/>
        <color rgb="FF63C384"/>
      </dataBar>
    </cfRule>
    <cfRule type="dataBar" priority="322">
      <dataBar>
        <cfvo type="min"/>
        <cfvo type="max"/>
        <color rgb="FF63C384"/>
      </dataBar>
    </cfRule>
  </conditionalFormatting>
  <conditionalFormatting sqref="Q153">
    <cfRule type="cellIs" priority="321" operator="equal" dxfId="2034">
      <formula>"ja"</formula>
    </cfRule>
  </conditionalFormatting>
  <conditionalFormatting sqref="AG153">
    <cfRule type="dataBar" priority="319">
      <dataBar>
        <cfvo type="min"/>
        <cfvo type="max"/>
        <color rgb="FF63C384"/>
      </dataBar>
    </cfRule>
    <cfRule type="dataBar" priority="318">
      <dataBar>
        <cfvo type="min"/>
        <cfvo type="max"/>
        <color rgb="FF63C384"/>
      </dataBar>
    </cfRule>
  </conditionalFormatting>
  <conditionalFormatting sqref="Q154">
    <cfRule type="cellIs" priority="317" operator="equal" dxfId="2034">
      <formula>"ja"</formula>
    </cfRule>
  </conditionalFormatting>
  <conditionalFormatting sqref="AA154">
    <cfRule type="expression" priority="316" dxfId="2">
      <formula>AND(AND($W154&lt;TODAY(),$W154&lt;&gt;""),$X154="")</formula>
    </cfRule>
  </conditionalFormatting>
  <conditionalFormatting sqref="AG154">
    <cfRule type="dataBar" priority="315">
      <dataBar>
        <cfvo type="min"/>
        <cfvo type="max"/>
        <color rgb="FF63C384"/>
      </dataBar>
    </cfRule>
    <cfRule type="dataBar" priority="314">
      <dataBar>
        <cfvo type="min"/>
        <cfvo type="max"/>
        <color rgb="FF63C384"/>
      </dataBar>
    </cfRule>
  </conditionalFormatting>
  <conditionalFormatting sqref="Q155">
    <cfRule type="cellIs" priority="313" operator="equal" dxfId="2034">
      <formula>"ja"</formula>
    </cfRule>
  </conditionalFormatting>
  <conditionalFormatting sqref="AA155">
    <cfRule type="expression" priority="312" dxfId="2">
      <formula>AND(AND($W155&lt;TODAY(),$W155&lt;&gt;""),$X155="")</formula>
    </cfRule>
  </conditionalFormatting>
  <conditionalFormatting sqref="AG155">
    <cfRule type="dataBar" priority="311">
      <dataBar>
        <cfvo type="min"/>
        <cfvo type="max"/>
        <color rgb="FF63C384"/>
      </dataBar>
    </cfRule>
    <cfRule type="dataBar" priority="310">
      <dataBar>
        <cfvo type="min"/>
        <cfvo type="max"/>
        <color rgb="FF63C384"/>
      </dataBar>
    </cfRule>
  </conditionalFormatting>
  <conditionalFormatting sqref="AA158">
    <cfRule type="expression" priority="309" dxfId="2">
      <formula>AND(AND($W158&lt;TODAY(),$W158&lt;&gt;""),$X158="")</formula>
    </cfRule>
  </conditionalFormatting>
  <conditionalFormatting sqref="Q158">
    <cfRule type="cellIs" priority="308" operator="equal" dxfId="2034">
      <formula>"ja"</formula>
    </cfRule>
  </conditionalFormatting>
  <conditionalFormatting sqref="AG158">
    <cfRule type="dataBar" priority="307">
      <dataBar>
        <cfvo type="min"/>
        <cfvo type="max"/>
        <color rgb="FF63C384"/>
      </dataBar>
    </cfRule>
    <cfRule type="dataBar" priority="306">
      <dataBar>
        <cfvo type="min"/>
        <cfvo type="max"/>
        <color rgb="FF63C384"/>
      </dataBar>
    </cfRule>
  </conditionalFormatting>
  <conditionalFormatting sqref="Q159">
    <cfRule type="cellIs" priority="305" operator="equal" dxfId="2034">
      <formula>"ja"</formula>
    </cfRule>
  </conditionalFormatting>
  <conditionalFormatting sqref="AA159">
    <cfRule type="expression" priority="304" dxfId="2">
      <formula>AND(AND($W159&lt;TODAY(),$W159&lt;&gt;""),$X159="")</formula>
    </cfRule>
  </conditionalFormatting>
  <conditionalFormatting sqref="AG159">
    <cfRule type="dataBar" priority="303">
      <dataBar>
        <cfvo type="min"/>
        <cfvo type="max"/>
        <color rgb="FF63C384"/>
      </dataBar>
    </cfRule>
    <cfRule type="dataBar" priority="302">
      <dataBar>
        <cfvo type="min"/>
        <cfvo type="max"/>
        <color rgb="FF63C384"/>
      </dataBar>
    </cfRule>
  </conditionalFormatting>
  <conditionalFormatting sqref="AA160">
    <cfRule type="expression" priority="301" dxfId="2">
      <formula>AND(AND($W160&lt;TODAY(),$W160&lt;&gt;""),$X160="")</formula>
    </cfRule>
  </conditionalFormatting>
  <conditionalFormatting sqref="AG160">
    <cfRule type="dataBar" priority="300">
      <dataBar>
        <cfvo type="min"/>
        <cfvo type="max"/>
        <color rgb="FF63C384"/>
      </dataBar>
    </cfRule>
    <cfRule type="dataBar" priority="299">
      <dataBar>
        <cfvo type="min"/>
        <cfvo type="max"/>
        <color rgb="FF63C384"/>
      </dataBar>
    </cfRule>
  </conditionalFormatting>
  <conditionalFormatting sqref="Q160">
    <cfRule type="cellIs" priority="298" operator="equal" dxfId="2034">
      <formula>"ja"</formula>
    </cfRule>
  </conditionalFormatting>
  <conditionalFormatting sqref="AA161">
    <cfRule type="expression" priority="297" dxfId="2">
      <formula>AND(AND($W161&lt;TODAY(),$W161&lt;&gt;""),$X161="")</formula>
    </cfRule>
  </conditionalFormatting>
  <conditionalFormatting sqref="Q161">
    <cfRule type="cellIs" priority="296" operator="equal" dxfId="2034">
      <formula>"ja"</formula>
    </cfRule>
  </conditionalFormatting>
  <conditionalFormatting sqref="AG161">
    <cfRule type="dataBar" priority="295">
      <dataBar>
        <cfvo type="min"/>
        <cfvo type="max"/>
        <color rgb="FF63C384"/>
      </dataBar>
    </cfRule>
    <cfRule type="dataBar" priority="294">
      <dataBar>
        <cfvo type="min"/>
        <cfvo type="max"/>
        <color rgb="FF63C384"/>
      </dataBar>
    </cfRule>
  </conditionalFormatting>
  <conditionalFormatting sqref="Q162">
    <cfRule type="cellIs" priority="293" operator="equal" dxfId="2034">
      <formula>"ja"</formula>
    </cfRule>
  </conditionalFormatting>
  <conditionalFormatting sqref="AA162">
    <cfRule type="expression" priority="292" dxfId="2">
      <formula>AND(AND($W162&lt;TODAY(),$W162&lt;&gt;""),$X162="")</formula>
    </cfRule>
  </conditionalFormatting>
  <conditionalFormatting sqref="AG162">
    <cfRule type="dataBar" priority="291">
      <dataBar>
        <cfvo type="min"/>
        <cfvo type="max"/>
        <color rgb="FF63C384"/>
      </dataBar>
    </cfRule>
    <cfRule type="dataBar" priority="290">
      <dataBar>
        <cfvo type="min"/>
        <cfvo type="max"/>
        <color rgb="FF63C384"/>
      </dataBar>
    </cfRule>
  </conditionalFormatting>
  <conditionalFormatting sqref="Q163">
    <cfRule type="cellIs" priority="289" operator="equal" dxfId="2034">
      <formula>"ja"</formula>
    </cfRule>
  </conditionalFormatting>
  <conditionalFormatting sqref="AA163">
    <cfRule type="expression" priority="288" dxfId="2">
      <formula>AND(AND($W163&lt;TODAY(),$W163&lt;&gt;""),$X163="")</formula>
    </cfRule>
  </conditionalFormatting>
  <conditionalFormatting sqref="AG163">
    <cfRule type="dataBar" priority="287">
      <dataBar>
        <cfvo type="min"/>
        <cfvo type="max"/>
        <color rgb="FF63C384"/>
      </dataBar>
    </cfRule>
    <cfRule type="dataBar" priority="286">
      <dataBar>
        <cfvo type="min"/>
        <cfvo type="max"/>
        <color rgb="FF63C384"/>
      </dataBar>
    </cfRule>
  </conditionalFormatting>
  <conditionalFormatting sqref="Q168">
    <cfRule type="cellIs" priority="285" operator="equal" dxfId="2034">
      <formula>"ja"</formula>
    </cfRule>
  </conditionalFormatting>
  <conditionalFormatting sqref="Q156">
    <cfRule type="cellIs" priority="284" operator="equal" dxfId="2034">
      <formula>"ja"</formula>
    </cfRule>
  </conditionalFormatting>
  <conditionalFormatting sqref="AA156">
    <cfRule type="expression" priority="283" dxfId="2">
      <formula>AND(AND($W156&lt;TODAY(),$W156&lt;&gt;""),$X156="")</formula>
    </cfRule>
  </conditionalFormatting>
  <conditionalFormatting sqref="AG156">
    <cfRule type="dataBar" priority="282">
      <dataBar>
        <cfvo type="min"/>
        <cfvo type="max"/>
        <color rgb="FF63C384"/>
      </dataBar>
    </cfRule>
    <cfRule type="dataBar" priority="281">
      <dataBar>
        <cfvo type="min"/>
        <cfvo type="max"/>
        <color rgb="FF63C384"/>
      </dataBar>
    </cfRule>
  </conditionalFormatting>
  <conditionalFormatting sqref="AA157">
    <cfRule type="expression" priority="280" dxfId="2">
      <formula>AND(AND($W157&lt;TODAY(),$W157&lt;&gt;""),$X157="")</formula>
    </cfRule>
  </conditionalFormatting>
  <conditionalFormatting sqref="Q157">
    <cfRule type="cellIs" priority="279" operator="equal" dxfId="2034">
      <formula>"ja"</formula>
    </cfRule>
  </conditionalFormatting>
  <conditionalFormatting sqref="AG157">
    <cfRule type="dataBar" priority="278">
      <dataBar>
        <cfvo type="min"/>
        <cfvo type="max"/>
        <color rgb="FF63C384"/>
      </dataBar>
    </cfRule>
    <cfRule type="dataBar" priority="277">
      <dataBar>
        <cfvo type="min"/>
        <cfvo type="max"/>
        <color rgb="FF63C384"/>
      </dataBar>
    </cfRule>
  </conditionalFormatting>
  <conditionalFormatting sqref="AA164">
    <cfRule type="expression" priority="276" dxfId="2">
      <formula>AND(AND($W164&lt;TODAY(),$W164&lt;&gt;""),$X164="")</formula>
    </cfRule>
  </conditionalFormatting>
  <conditionalFormatting sqref="Q164">
    <cfRule type="cellIs" priority="275" operator="equal" dxfId="2034">
      <formula>"ja"</formula>
    </cfRule>
  </conditionalFormatting>
  <conditionalFormatting sqref="AG164">
    <cfRule type="dataBar" priority="274">
      <dataBar>
        <cfvo type="min"/>
        <cfvo type="max"/>
        <color rgb="FF63C384"/>
      </dataBar>
    </cfRule>
  </conditionalFormatting>
  <conditionalFormatting sqref="Q165">
    <cfRule type="cellIs" priority="273" operator="equal" dxfId="2034">
      <formula>"ja"</formula>
    </cfRule>
  </conditionalFormatting>
  <conditionalFormatting sqref="AA165">
    <cfRule type="expression" priority="272" dxfId="2">
      <formula>AND(AND($W165&lt;TODAY(),$W165&lt;&gt;""),$X165="")</formula>
    </cfRule>
  </conditionalFormatting>
  <conditionalFormatting sqref="AG165">
    <cfRule type="dataBar" priority="271">
      <dataBar>
        <cfvo type="min"/>
        <cfvo type="max"/>
        <color rgb="FF63C384"/>
      </dataBar>
    </cfRule>
    <cfRule type="dataBar" priority="270">
      <dataBar>
        <cfvo type="min"/>
        <cfvo type="max"/>
        <color rgb="FF63C384"/>
      </dataBar>
    </cfRule>
  </conditionalFormatting>
  <conditionalFormatting sqref="AA166">
    <cfRule type="expression" priority="269" dxfId="2">
      <formula>AND(AND($W166&lt;TODAY(),$W166&lt;&gt;""),$X166="")</formula>
    </cfRule>
  </conditionalFormatting>
  <conditionalFormatting sqref="AG166">
    <cfRule type="dataBar" priority="268">
      <dataBar>
        <cfvo type="min"/>
        <cfvo type="max"/>
        <color rgb="FF63C384"/>
      </dataBar>
    </cfRule>
    <cfRule type="dataBar" priority="267">
      <dataBar>
        <cfvo type="min"/>
        <cfvo type="max"/>
        <color rgb="FF63C384"/>
      </dataBar>
    </cfRule>
  </conditionalFormatting>
  <conditionalFormatting sqref="Q166">
    <cfRule type="cellIs" priority="266" operator="equal" dxfId="2034">
      <formula>"ja"</formula>
    </cfRule>
  </conditionalFormatting>
  <conditionalFormatting sqref="Q167">
    <cfRule type="cellIs" priority="265" operator="equal" dxfId="2034">
      <formula>"ja"</formula>
    </cfRule>
  </conditionalFormatting>
  <conditionalFormatting sqref="AA167">
    <cfRule type="expression" priority="264" dxfId="2">
      <formula>AND(AND($W167&lt;TODAY(),$W167&lt;&gt;""),$X167="")</formula>
    </cfRule>
  </conditionalFormatting>
  <conditionalFormatting sqref="AG167">
    <cfRule type="dataBar" priority="263">
      <dataBar>
        <cfvo type="min"/>
        <cfvo type="max"/>
        <color rgb="FF63C384"/>
      </dataBar>
    </cfRule>
    <cfRule type="dataBar" priority="262">
      <dataBar>
        <cfvo type="min"/>
        <cfvo type="max"/>
        <color rgb="FF63C384"/>
      </dataBar>
    </cfRule>
  </conditionalFormatting>
  <conditionalFormatting sqref="AA168">
    <cfRule type="expression" priority="261" dxfId="2">
      <formula>AND(AND($W168&lt;TODAY(),$W168&lt;&gt;""),$X168="")</formula>
    </cfRule>
  </conditionalFormatting>
  <conditionalFormatting sqref="AG168">
    <cfRule type="dataBar" priority="260">
      <dataBar>
        <cfvo type="min"/>
        <cfvo type="max"/>
        <color rgb="FF63C384"/>
      </dataBar>
    </cfRule>
    <cfRule type="dataBar" priority="259">
      <dataBar>
        <cfvo type="min"/>
        <cfvo type="max"/>
        <color rgb="FF63C384"/>
      </dataBar>
    </cfRule>
  </conditionalFormatting>
  <conditionalFormatting sqref="AA169">
    <cfRule type="expression" priority="258" dxfId="2">
      <formula>AND(AND($W169&lt;TODAY(),$W169&lt;&gt;""),$X169="")</formula>
    </cfRule>
  </conditionalFormatting>
  <conditionalFormatting sqref="AG169">
    <cfRule type="dataBar" priority="257">
      <dataBar>
        <cfvo type="min"/>
        <cfvo type="max"/>
        <color rgb="FF63C384"/>
      </dataBar>
    </cfRule>
    <cfRule type="dataBar" priority="256">
      <dataBar>
        <cfvo type="min"/>
        <cfvo type="max"/>
        <color rgb="FF63C384"/>
      </dataBar>
    </cfRule>
  </conditionalFormatting>
  <conditionalFormatting sqref="Q170">
    <cfRule type="cellIs" priority="255" operator="equal" dxfId="2034">
      <formula>"ja"</formula>
    </cfRule>
  </conditionalFormatting>
  <conditionalFormatting sqref="AA170">
    <cfRule type="expression" priority="254" dxfId="2">
      <formula>AND(AND($W170&lt;TODAY(),$W170&lt;&gt;""),$X170="")</formula>
    </cfRule>
  </conditionalFormatting>
  <conditionalFormatting sqref="AG170">
    <cfRule type="dataBar" priority="253">
      <dataBar>
        <cfvo type="min"/>
        <cfvo type="max"/>
        <color rgb="FF63C384"/>
      </dataBar>
    </cfRule>
    <cfRule type="dataBar" priority="252">
      <dataBar>
        <cfvo type="min"/>
        <cfvo type="max"/>
        <color rgb="FF63C384"/>
      </dataBar>
    </cfRule>
  </conditionalFormatting>
  <conditionalFormatting sqref="AA171">
    <cfRule type="expression" priority="251" dxfId="2">
      <formula>AND(AND($W171&lt;TODAY(),$W171&lt;&gt;""),$X171="")</formula>
    </cfRule>
  </conditionalFormatting>
  <conditionalFormatting sqref="AG171">
    <cfRule type="dataBar" priority="250">
      <dataBar>
        <cfvo type="min"/>
        <cfvo type="max"/>
        <color rgb="FF63C384"/>
      </dataBar>
    </cfRule>
    <cfRule type="dataBar" priority="249">
      <dataBar>
        <cfvo type="min"/>
        <cfvo type="max"/>
        <color rgb="FF63C384"/>
      </dataBar>
    </cfRule>
  </conditionalFormatting>
  <conditionalFormatting sqref="AA172">
    <cfRule type="expression" priority="248" dxfId="2">
      <formula>AND(AND($W172&lt;TODAY(),$W172&lt;&gt;""),$X172="")</formula>
    </cfRule>
  </conditionalFormatting>
  <conditionalFormatting sqref="Q172">
    <cfRule type="cellIs" priority="247" operator="equal" dxfId="2034">
      <formula>"ja"</formula>
    </cfRule>
  </conditionalFormatting>
  <conditionalFormatting sqref="AG172">
    <cfRule type="dataBar" priority="246">
      <dataBar>
        <cfvo type="min"/>
        <cfvo type="max"/>
        <color rgb="FF63C384"/>
      </dataBar>
    </cfRule>
    <cfRule type="dataBar" priority="245">
      <dataBar>
        <cfvo type="min"/>
        <cfvo type="max"/>
        <color rgb="FF63C384"/>
      </dataBar>
    </cfRule>
  </conditionalFormatting>
  <conditionalFormatting sqref="Q173">
    <cfRule type="cellIs" priority="244" operator="equal" dxfId="2034">
      <formula>"ja"</formula>
    </cfRule>
  </conditionalFormatting>
  <conditionalFormatting sqref="AA173">
    <cfRule type="expression" priority="243" dxfId="2">
      <formula>AND(AND($W173&lt;TODAY(),$W173&lt;&gt;""),$X173="")</formula>
    </cfRule>
  </conditionalFormatting>
  <conditionalFormatting sqref="AG173">
    <cfRule type="dataBar" priority="242">
      <dataBar>
        <cfvo type="min"/>
        <cfvo type="max"/>
        <color rgb="FF63C384"/>
      </dataBar>
    </cfRule>
    <cfRule type="dataBar" priority="241">
      <dataBar>
        <cfvo type="min"/>
        <cfvo type="max"/>
        <color rgb="FF63C384"/>
      </dataBar>
    </cfRule>
  </conditionalFormatting>
  <conditionalFormatting sqref="Q174">
    <cfRule type="cellIs" priority="240" operator="equal" dxfId="2034">
      <formula>"ja"</formula>
    </cfRule>
  </conditionalFormatting>
  <conditionalFormatting sqref="AA174">
    <cfRule type="expression" priority="239" dxfId="2">
      <formula>AND(AND($W174&lt;TODAY(),$W174&lt;&gt;""),$X174="")</formula>
    </cfRule>
  </conditionalFormatting>
  <conditionalFormatting sqref="AG174">
    <cfRule type="dataBar" priority="238">
      <dataBar>
        <cfvo type="min"/>
        <cfvo type="max"/>
        <color rgb="FF63C384"/>
      </dataBar>
    </cfRule>
    <cfRule type="dataBar" priority="237">
      <dataBar>
        <cfvo type="min"/>
        <cfvo type="max"/>
        <color rgb="FF63C384"/>
      </dataBar>
    </cfRule>
  </conditionalFormatting>
  <conditionalFormatting sqref="Q175">
    <cfRule type="cellIs" priority="236" operator="equal" dxfId="2034">
      <formula>"ja"</formula>
    </cfRule>
  </conditionalFormatting>
  <conditionalFormatting sqref="AA175">
    <cfRule type="expression" priority="235" dxfId="2">
      <formula>AND(AND($W175&lt;TODAY(),$W175&lt;&gt;""),$X175="")</formula>
    </cfRule>
  </conditionalFormatting>
  <conditionalFormatting sqref="AG175">
    <cfRule type="dataBar" priority="234">
      <dataBar>
        <cfvo type="min"/>
        <cfvo type="max"/>
        <color rgb="FF63C384"/>
      </dataBar>
    </cfRule>
    <cfRule type="dataBar" priority="233">
      <dataBar>
        <cfvo type="min"/>
        <cfvo type="max"/>
        <color rgb="FF63C384"/>
      </dataBar>
    </cfRule>
  </conditionalFormatting>
  <conditionalFormatting sqref="AA176">
    <cfRule type="expression" priority="232" dxfId="2">
      <formula>AND(AND($W176&lt;TODAY(),$W176&lt;&gt;""),$X176="")</formula>
    </cfRule>
  </conditionalFormatting>
  <conditionalFormatting sqref="Q176">
    <cfRule type="cellIs" priority="231" operator="equal" dxfId="2034">
      <formula>"ja"</formula>
    </cfRule>
  </conditionalFormatting>
  <conditionalFormatting sqref="AG176">
    <cfRule type="dataBar" priority="230">
      <dataBar>
        <cfvo type="min"/>
        <cfvo type="max"/>
        <color rgb="FF63C384"/>
      </dataBar>
    </cfRule>
    <cfRule type="dataBar" priority="229">
      <dataBar>
        <cfvo type="min"/>
        <cfvo type="max"/>
        <color rgb="FF63C384"/>
      </dataBar>
    </cfRule>
  </conditionalFormatting>
  <conditionalFormatting sqref="Q177">
    <cfRule type="cellIs" priority="228" operator="equal" dxfId="2034">
      <formula>"ja"</formula>
    </cfRule>
  </conditionalFormatting>
  <conditionalFormatting sqref="AA177">
    <cfRule type="expression" priority="227" dxfId="2">
      <formula>AND(AND($W177&lt;TODAY(),$W177&lt;&gt;""),$X177="")</formula>
    </cfRule>
  </conditionalFormatting>
  <conditionalFormatting sqref="AG177">
    <cfRule type="dataBar" priority="226">
      <dataBar>
        <cfvo type="min"/>
        <cfvo type="max"/>
        <color rgb="FF63C384"/>
      </dataBar>
    </cfRule>
    <cfRule type="dataBar" priority="225">
      <dataBar>
        <cfvo type="min"/>
        <cfvo type="max"/>
        <color rgb="FF63C384"/>
      </dataBar>
    </cfRule>
  </conditionalFormatting>
  <conditionalFormatting sqref="Q178">
    <cfRule type="cellIs" priority="224" operator="equal" dxfId="2034">
      <formula>"ja"</formula>
    </cfRule>
  </conditionalFormatting>
  <conditionalFormatting sqref="AA178">
    <cfRule type="expression" priority="223" dxfId="2">
      <formula>AND(AND($W178&lt;TODAY(),$W178&lt;&gt;""),$X178="")</formula>
    </cfRule>
  </conditionalFormatting>
  <conditionalFormatting sqref="AG178">
    <cfRule type="dataBar" priority="222">
      <dataBar>
        <cfvo type="min"/>
        <cfvo type="max"/>
        <color rgb="FF63C384"/>
      </dataBar>
    </cfRule>
    <cfRule type="dataBar" priority="221">
      <dataBar>
        <cfvo type="min"/>
        <cfvo type="max"/>
        <color rgb="FF63C384"/>
      </dataBar>
    </cfRule>
  </conditionalFormatting>
  <conditionalFormatting sqref="AA179">
    <cfRule type="expression" priority="220" dxfId="2">
      <formula>AND(AND($W179&lt;TODAY(),$W179&lt;&gt;""),$X179="")</formula>
    </cfRule>
  </conditionalFormatting>
  <conditionalFormatting sqref="Q179">
    <cfRule type="cellIs" priority="219" operator="equal" dxfId="2034">
      <formula>"ja"</formula>
    </cfRule>
  </conditionalFormatting>
  <conditionalFormatting sqref="AG179">
    <cfRule type="dataBar" priority="218">
      <dataBar>
        <cfvo type="min"/>
        <cfvo type="max"/>
        <color rgb="FF63C384"/>
      </dataBar>
    </cfRule>
    <cfRule type="dataBar" priority="217">
      <dataBar>
        <cfvo type="min"/>
        <cfvo type="max"/>
        <color rgb="FF63C384"/>
      </dataBar>
    </cfRule>
  </conditionalFormatting>
  <conditionalFormatting sqref="Q180">
    <cfRule type="cellIs" priority="216" operator="equal" dxfId="2034">
      <formula>"ja"</formula>
    </cfRule>
  </conditionalFormatting>
  <conditionalFormatting sqref="AA180">
    <cfRule type="expression" priority="215" dxfId="2">
      <formula>AND(AND($W180&lt;TODAY(),$W180&lt;&gt;""),$X180="")</formula>
    </cfRule>
  </conditionalFormatting>
  <conditionalFormatting sqref="AG180">
    <cfRule type="dataBar" priority="214">
      <dataBar>
        <cfvo type="min"/>
        <cfvo type="max"/>
        <color rgb="FF63C384"/>
      </dataBar>
    </cfRule>
    <cfRule type="dataBar" priority="213">
      <dataBar>
        <cfvo type="min"/>
        <cfvo type="max"/>
        <color rgb="FF63C384"/>
      </dataBar>
    </cfRule>
  </conditionalFormatting>
  <conditionalFormatting sqref="AA181">
    <cfRule type="expression" priority="211" dxfId="2">
      <formula>AND(AND($W181&lt;TODAY(),$W181&lt;&gt;""),$X181="")</formula>
    </cfRule>
  </conditionalFormatting>
  <conditionalFormatting sqref="Q181">
    <cfRule type="cellIs" priority="212" operator="equal" dxfId="2034">
      <formula>"ja"</formula>
    </cfRule>
  </conditionalFormatting>
  <conditionalFormatting sqref="AG181">
    <cfRule type="dataBar" priority="210">
      <dataBar>
        <cfvo type="min"/>
        <cfvo type="max"/>
        <color rgb="FF63C384"/>
      </dataBar>
    </cfRule>
    <cfRule type="dataBar" priority="209">
      <dataBar>
        <cfvo type="min"/>
        <cfvo type="max"/>
        <color rgb="FF63C384"/>
      </dataBar>
    </cfRule>
  </conditionalFormatting>
  <conditionalFormatting sqref="Q182">
    <cfRule type="cellIs" priority="208" operator="equal" dxfId="2034">
      <formula>"ja"</formula>
    </cfRule>
  </conditionalFormatting>
  <conditionalFormatting sqref="AA182">
    <cfRule type="expression" priority="207" dxfId="2">
      <formula>AND(AND($W182&lt;TODAY(),$W182&lt;&gt;""),$X182="")</formula>
    </cfRule>
  </conditionalFormatting>
  <conditionalFormatting sqref="AG182">
    <cfRule type="dataBar" priority="206">
      <dataBar>
        <cfvo type="min"/>
        <cfvo type="max"/>
        <color rgb="FF63C384"/>
      </dataBar>
    </cfRule>
    <cfRule type="dataBar" priority="205">
      <dataBar>
        <cfvo type="min"/>
        <cfvo type="max"/>
        <color rgb="FF63C384"/>
      </dataBar>
    </cfRule>
  </conditionalFormatting>
  <conditionalFormatting sqref="Q183">
    <cfRule type="cellIs" priority="204" operator="equal" dxfId="2034">
      <formula>"ja"</formula>
    </cfRule>
  </conditionalFormatting>
  <conditionalFormatting sqref="AA183">
    <cfRule type="expression" priority="203" dxfId="2">
      <formula>AND(AND($W183&lt;TODAY(),$W183&lt;&gt;""),$X183="")</formula>
    </cfRule>
  </conditionalFormatting>
  <conditionalFormatting sqref="AG183">
    <cfRule type="dataBar" priority="202">
      <dataBar>
        <cfvo type="min"/>
        <cfvo type="max"/>
        <color rgb="FF63C384"/>
      </dataBar>
    </cfRule>
    <cfRule type="dataBar" priority="201">
      <dataBar>
        <cfvo type="min"/>
        <cfvo type="max"/>
        <color rgb="FF63C384"/>
      </dataBar>
    </cfRule>
  </conditionalFormatting>
  <conditionalFormatting sqref="Q184">
    <cfRule type="cellIs" priority="200" operator="equal" dxfId="2034">
      <formula>"ja"</formula>
    </cfRule>
  </conditionalFormatting>
  <conditionalFormatting sqref="AA184">
    <cfRule type="expression" priority="199" dxfId="2">
      <formula>AND(AND($W184&lt;TODAY(),$W184&lt;&gt;""),$X184="")</formula>
    </cfRule>
  </conditionalFormatting>
  <conditionalFormatting sqref="AG184">
    <cfRule type="dataBar" priority="198">
      <dataBar>
        <cfvo type="min"/>
        <cfvo type="max"/>
        <color rgb="FF63C384"/>
      </dataBar>
    </cfRule>
    <cfRule type="dataBar" priority="197">
      <dataBar>
        <cfvo type="min"/>
        <cfvo type="max"/>
        <color rgb="FF63C384"/>
      </dataBar>
    </cfRule>
  </conditionalFormatting>
  <conditionalFormatting sqref="Q185">
    <cfRule type="cellIs" priority="196" operator="equal" dxfId="2034">
      <formula>"ja"</formula>
    </cfRule>
  </conditionalFormatting>
  <conditionalFormatting sqref="AA185">
    <cfRule type="expression" priority="195" dxfId="2">
      <formula>AND(AND($W185&lt;TODAY(),$W185&lt;&gt;""),$X185="")</formula>
    </cfRule>
  </conditionalFormatting>
  <conditionalFormatting sqref="AG185">
    <cfRule type="dataBar" priority="194">
      <dataBar>
        <cfvo type="min"/>
        <cfvo type="max"/>
        <color rgb="FF63C384"/>
      </dataBar>
    </cfRule>
    <cfRule type="dataBar" priority="193">
      <dataBar>
        <cfvo type="min"/>
        <cfvo type="max"/>
        <color rgb="FF63C384"/>
      </dataBar>
    </cfRule>
  </conditionalFormatting>
  <conditionalFormatting sqref="AA186">
    <cfRule type="expression" priority="192" dxfId="2">
      <formula>AND(AND($W186&lt;TODAY(),$W186&lt;&gt;""),$X186="")</formula>
    </cfRule>
  </conditionalFormatting>
  <conditionalFormatting sqref="AG186">
    <cfRule type="dataBar" priority="191">
      <dataBar>
        <cfvo type="min"/>
        <cfvo type="max"/>
        <color rgb="FF63C384"/>
      </dataBar>
    </cfRule>
    <cfRule type="dataBar" priority="190">
      <dataBar>
        <cfvo type="min"/>
        <cfvo type="max"/>
        <color rgb="FF63C384"/>
      </dataBar>
    </cfRule>
  </conditionalFormatting>
  <conditionalFormatting sqref="Q186">
    <cfRule type="cellIs" priority="189" operator="equal" dxfId="2034">
      <formula>"ja"</formula>
    </cfRule>
  </conditionalFormatting>
  <conditionalFormatting sqref="AA187">
    <cfRule type="expression" priority="188" dxfId="2">
      <formula>AND(AND($W187&lt;TODAY(),$W187&lt;&gt;""),$X187="")</formula>
    </cfRule>
  </conditionalFormatting>
  <conditionalFormatting sqref="Q187">
    <cfRule type="cellIs" priority="187" operator="equal" dxfId="2034">
      <formula>"ja"</formula>
    </cfRule>
  </conditionalFormatting>
  <conditionalFormatting sqref="AG187">
    <cfRule type="dataBar" priority="186">
      <dataBar>
        <cfvo type="min"/>
        <cfvo type="max"/>
        <color rgb="FF63C384"/>
      </dataBar>
    </cfRule>
    <cfRule type="dataBar" priority="185">
      <dataBar>
        <cfvo type="min"/>
        <cfvo type="max"/>
        <color rgb="FF63C384"/>
      </dataBar>
    </cfRule>
  </conditionalFormatting>
  <conditionalFormatting sqref="Q188">
    <cfRule type="cellIs" priority="184" operator="equal" dxfId="2034">
      <formula>"ja"</formula>
    </cfRule>
  </conditionalFormatting>
  <conditionalFormatting sqref="AA188">
    <cfRule type="expression" priority="183" dxfId="2">
      <formula>AND(AND($W188&lt;TODAY(),$W188&lt;&gt;""),$X188="")</formula>
    </cfRule>
  </conditionalFormatting>
  <conditionalFormatting sqref="AG188">
    <cfRule type="dataBar" priority="182">
      <dataBar>
        <cfvo type="min"/>
        <cfvo type="max"/>
        <color rgb="FF63C384"/>
      </dataBar>
    </cfRule>
    <cfRule type="dataBar" priority="181">
      <dataBar>
        <cfvo type="min"/>
        <cfvo type="max"/>
        <color rgb="FF63C384"/>
      </dataBar>
    </cfRule>
  </conditionalFormatting>
  <conditionalFormatting sqref="Q189">
    <cfRule type="cellIs" priority="180" operator="equal" dxfId="2034">
      <formula>"ja"</formula>
    </cfRule>
  </conditionalFormatting>
  <conditionalFormatting sqref="AA189">
    <cfRule type="expression" priority="179" dxfId="2">
      <formula>AND(AND($W189&lt;TODAY(),$W189&lt;&gt;""),$X189="")</formula>
    </cfRule>
  </conditionalFormatting>
  <conditionalFormatting sqref="AG189">
    <cfRule type="dataBar" priority="178">
      <dataBar>
        <cfvo type="min"/>
        <cfvo type="max"/>
        <color rgb="FF63C384"/>
      </dataBar>
    </cfRule>
    <cfRule type="dataBar" priority="177">
      <dataBar>
        <cfvo type="min"/>
        <cfvo type="max"/>
        <color rgb="FF63C384"/>
      </dataBar>
    </cfRule>
  </conditionalFormatting>
  <conditionalFormatting sqref="Q190">
    <cfRule type="cellIs" priority="176" operator="equal" dxfId="2034">
      <formula>"ja"</formula>
    </cfRule>
  </conditionalFormatting>
  <conditionalFormatting sqref="AA190">
    <cfRule type="expression" priority="175" dxfId="2">
      <formula>AND(AND($W190&lt;TODAY(),$W190&lt;&gt;""),$X190="")</formula>
    </cfRule>
  </conditionalFormatting>
  <conditionalFormatting sqref="AG190">
    <cfRule type="dataBar" priority="174">
      <dataBar>
        <cfvo type="min"/>
        <cfvo type="max"/>
        <color rgb="FF63C384"/>
      </dataBar>
    </cfRule>
    <cfRule type="dataBar" priority="173">
      <dataBar>
        <cfvo type="min"/>
        <cfvo type="max"/>
        <color rgb="FF63C384"/>
      </dataBar>
    </cfRule>
  </conditionalFormatting>
  <conditionalFormatting sqref="Q191">
    <cfRule type="cellIs" priority="172" operator="equal" dxfId="2034">
      <formula>"ja"</formula>
    </cfRule>
  </conditionalFormatting>
  <conditionalFormatting sqref="AA191">
    <cfRule type="expression" priority="171" dxfId="2">
      <formula>AND(AND($W191&lt;TODAY(),$W191&lt;&gt;""),$X191="")</formula>
    </cfRule>
  </conditionalFormatting>
  <conditionalFormatting sqref="AG191">
    <cfRule type="dataBar" priority="170">
      <dataBar>
        <cfvo type="min"/>
        <cfvo type="max"/>
        <color rgb="FF63C384"/>
      </dataBar>
    </cfRule>
    <cfRule type="dataBar" priority="169">
      <dataBar>
        <cfvo type="min"/>
        <cfvo type="max"/>
        <color rgb="FF63C384"/>
      </dataBar>
    </cfRule>
  </conditionalFormatting>
  <conditionalFormatting sqref="Q192">
    <cfRule type="cellIs" priority="168" operator="equal" dxfId="2034">
      <formula>"ja"</formula>
    </cfRule>
  </conditionalFormatting>
  <conditionalFormatting sqref="AA192">
    <cfRule type="expression" priority="167" dxfId="2">
      <formula>AND(AND($W192&lt;TODAY(),$W192&lt;&gt;""),$X192="")</formula>
    </cfRule>
  </conditionalFormatting>
  <conditionalFormatting sqref="AG192">
    <cfRule type="dataBar" priority="166">
      <dataBar>
        <cfvo type="min"/>
        <cfvo type="max"/>
        <color rgb="FF63C384"/>
      </dataBar>
    </cfRule>
    <cfRule type="dataBar" priority="165">
      <dataBar>
        <cfvo type="min"/>
        <cfvo type="max"/>
        <color rgb="FF63C384"/>
      </dataBar>
    </cfRule>
  </conditionalFormatting>
  <conditionalFormatting sqref="AA193">
    <cfRule type="expression" priority="164" dxfId="2">
      <formula>AND(AND($W193&lt;TODAY(),$W193&lt;&gt;""),$X193="")</formula>
    </cfRule>
  </conditionalFormatting>
  <conditionalFormatting sqref="Q193">
    <cfRule type="cellIs" priority="163" operator="equal" dxfId="2034">
      <formula>"ja"</formula>
    </cfRule>
  </conditionalFormatting>
  <conditionalFormatting sqref="AG193">
    <cfRule type="dataBar" priority="162">
      <dataBar>
        <cfvo type="min"/>
        <cfvo type="max"/>
        <color rgb="FF63C384"/>
      </dataBar>
    </cfRule>
    <cfRule type="dataBar" priority="161">
      <dataBar>
        <cfvo type="min"/>
        <cfvo type="max"/>
        <color rgb="FF63C384"/>
      </dataBar>
    </cfRule>
  </conditionalFormatting>
  <conditionalFormatting sqref="Q194">
    <cfRule type="cellIs" priority="160" operator="equal" dxfId="2034">
      <formula>"ja"</formula>
    </cfRule>
  </conditionalFormatting>
  <conditionalFormatting sqref="AA194">
    <cfRule type="expression" priority="159" dxfId="2">
      <formula>AND(AND($W194&lt;TODAY(),$W194&lt;&gt;""),$X194="")</formula>
    </cfRule>
  </conditionalFormatting>
  <conditionalFormatting sqref="AG194">
    <cfRule type="dataBar" priority="158">
      <dataBar>
        <cfvo type="min"/>
        <cfvo type="max"/>
        <color rgb="FF63C384"/>
      </dataBar>
    </cfRule>
    <cfRule type="dataBar" priority="157">
      <dataBar>
        <cfvo type="min"/>
        <cfvo type="max"/>
        <color rgb="FF63C384"/>
      </dataBar>
    </cfRule>
  </conditionalFormatting>
  <conditionalFormatting sqref="AA195">
    <cfRule type="expression" priority="156" dxfId="2">
      <formula>AND(AND($W195&lt;TODAY(),$W195&lt;&gt;""),$X195="")</formula>
    </cfRule>
  </conditionalFormatting>
  <conditionalFormatting sqref="Q195">
    <cfRule type="cellIs" priority="155" operator="equal" dxfId="2034">
      <formula>"ja"</formula>
    </cfRule>
  </conditionalFormatting>
  <conditionalFormatting sqref="AG195">
    <cfRule type="dataBar" priority="154">
      <dataBar>
        <cfvo type="min"/>
        <cfvo type="max"/>
        <color rgb="FF63C384"/>
      </dataBar>
    </cfRule>
    <cfRule type="dataBar" priority="153">
      <dataBar>
        <cfvo type="min"/>
        <cfvo type="max"/>
        <color rgb="FF63C384"/>
      </dataBar>
    </cfRule>
  </conditionalFormatting>
  <conditionalFormatting sqref="Q196">
    <cfRule type="cellIs" priority="152" operator="equal" dxfId="2034">
      <formula>"ja"</formula>
    </cfRule>
  </conditionalFormatting>
  <conditionalFormatting sqref="AA196">
    <cfRule type="expression" priority="151" dxfId="2">
      <formula>AND(AND($W196&lt;TODAY(),$W196&lt;&gt;""),$X196="")</formula>
    </cfRule>
  </conditionalFormatting>
  <conditionalFormatting sqref="AG196">
    <cfRule type="dataBar" priority="150">
      <dataBar>
        <cfvo type="min"/>
        <cfvo type="max"/>
        <color rgb="FF63C384"/>
      </dataBar>
    </cfRule>
    <cfRule type="dataBar" priority="149">
      <dataBar>
        <cfvo type="min"/>
        <cfvo type="max"/>
        <color rgb="FF63C384"/>
      </dataBar>
    </cfRule>
  </conditionalFormatting>
  <conditionalFormatting sqref="Q197">
    <cfRule type="cellIs" priority="148" operator="equal" dxfId="2034">
      <formula>"ja"</formula>
    </cfRule>
  </conditionalFormatting>
  <conditionalFormatting sqref="AA197">
    <cfRule type="expression" priority="147" dxfId="2">
      <formula>AND(AND($W197&lt;TODAY(),$W197&lt;&gt;""),$X197="")</formula>
    </cfRule>
  </conditionalFormatting>
  <conditionalFormatting sqref="AG197">
    <cfRule type="dataBar" priority="146">
      <dataBar>
        <cfvo type="min"/>
        <cfvo type="max"/>
        <color rgb="FF63C384"/>
      </dataBar>
    </cfRule>
    <cfRule type="dataBar" priority="145">
      <dataBar>
        <cfvo type="min"/>
        <cfvo type="max"/>
        <color rgb="FF63C384"/>
      </dataBar>
    </cfRule>
  </conditionalFormatting>
  <conditionalFormatting sqref="AA198">
    <cfRule type="expression" priority="144" dxfId="2">
      <formula>AND(AND($W198&lt;TODAY(),$W198&lt;&gt;""),$X198="")</formula>
    </cfRule>
  </conditionalFormatting>
  <conditionalFormatting sqref="AG198">
    <cfRule type="dataBar" priority="143">
      <dataBar>
        <cfvo type="min"/>
        <cfvo type="max"/>
        <color rgb="FF63C384"/>
      </dataBar>
    </cfRule>
    <cfRule type="dataBar" priority="142">
      <dataBar>
        <cfvo type="min"/>
        <cfvo type="max"/>
        <color rgb="FF63C384"/>
      </dataBar>
    </cfRule>
  </conditionalFormatting>
  <conditionalFormatting sqref="Q199">
    <cfRule type="cellIs" priority="141" operator="equal" dxfId="2034">
      <formula>"ja"</formula>
    </cfRule>
  </conditionalFormatting>
  <conditionalFormatting sqref="AA199">
    <cfRule type="expression" priority="140" dxfId="2">
      <formula>AND(AND($W199&lt;TODAY(),$W199&lt;&gt;""),$X199="")</formula>
    </cfRule>
  </conditionalFormatting>
  <conditionalFormatting sqref="AG199">
    <cfRule type="dataBar" priority="139">
      <dataBar>
        <cfvo type="min"/>
        <cfvo type="max"/>
        <color rgb="FF63C384"/>
      </dataBar>
    </cfRule>
    <cfRule type="dataBar" priority="138">
      <dataBar>
        <cfvo type="min"/>
        <cfvo type="max"/>
        <color rgb="FF63C384"/>
      </dataBar>
    </cfRule>
  </conditionalFormatting>
  <conditionalFormatting sqref="Q200">
    <cfRule type="cellIs" priority="137" operator="equal" dxfId="2034">
      <formula>"ja"</formula>
    </cfRule>
  </conditionalFormatting>
  <conditionalFormatting sqref="AA200">
    <cfRule type="expression" priority="136" dxfId="2">
      <formula>AND(AND($W200&lt;TODAY(),$W200&lt;&gt;""),$X200="")</formula>
    </cfRule>
  </conditionalFormatting>
  <conditionalFormatting sqref="AG200">
    <cfRule type="dataBar" priority="135">
      <dataBar>
        <cfvo type="min"/>
        <cfvo type="max"/>
        <color rgb="FF63C384"/>
      </dataBar>
    </cfRule>
    <cfRule type="dataBar" priority="134">
      <dataBar>
        <cfvo type="min"/>
        <cfvo type="max"/>
        <color rgb="FF63C384"/>
      </dataBar>
    </cfRule>
  </conditionalFormatting>
  <conditionalFormatting sqref="AA201">
    <cfRule type="expression" priority="133" dxfId="2">
      <formula>AND(AND($W201&lt;TODAY(),$W201&lt;&gt;""),$X201="")</formula>
    </cfRule>
  </conditionalFormatting>
  <conditionalFormatting sqref="AG201">
    <cfRule type="dataBar" priority="132">
      <dataBar>
        <cfvo type="min"/>
        <cfvo type="max"/>
        <color rgb="FF63C384"/>
      </dataBar>
    </cfRule>
    <cfRule type="dataBar" priority="131">
      <dataBar>
        <cfvo type="min"/>
        <cfvo type="max"/>
        <color rgb="FF63C384"/>
      </dataBar>
    </cfRule>
  </conditionalFormatting>
  <conditionalFormatting sqref="Q201">
    <cfRule type="cellIs" priority="130" operator="equal" dxfId="2034">
      <formula>"ja"</formula>
    </cfRule>
  </conditionalFormatting>
  <conditionalFormatting sqref="Q202">
    <cfRule type="cellIs" priority="129" operator="equal" dxfId="2034">
      <formula>"ja"</formula>
    </cfRule>
  </conditionalFormatting>
  <conditionalFormatting sqref="AA202">
    <cfRule type="expression" priority="128" dxfId="2">
      <formula>AND(AND($W202&lt;TODAY(),$W202&lt;&gt;""),$X202="")</formula>
    </cfRule>
  </conditionalFormatting>
  <conditionalFormatting sqref="AG202">
    <cfRule type="dataBar" priority="127">
      <dataBar>
        <cfvo type="min"/>
        <cfvo type="max"/>
        <color rgb="FF63C384"/>
      </dataBar>
    </cfRule>
    <cfRule type="dataBar" priority="126">
      <dataBar>
        <cfvo type="min"/>
        <cfvo type="max"/>
        <color rgb="FF63C384"/>
      </dataBar>
    </cfRule>
  </conditionalFormatting>
  <conditionalFormatting sqref="AA203">
    <cfRule type="expression" priority="125" dxfId="2">
      <formula>AND(AND($W203&lt;TODAY(),$W203&lt;&gt;""),$X203="")</formula>
    </cfRule>
  </conditionalFormatting>
  <conditionalFormatting sqref="Q203">
    <cfRule type="cellIs" priority="124" operator="equal" dxfId="2034">
      <formula>"ja"</formula>
    </cfRule>
  </conditionalFormatting>
  <conditionalFormatting sqref="AG203">
    <cfRule type="dataBar" priority="123">
      <dataBar>
        <cfvo type="min"/>
        <cfvo type="max"/>
        <color rgb="FF63C384"/>
      </dataBar>
    </cfRule>
    <cfRule type="dataBar" priority="122">
      <dataBar>
        <cfvo type="min"/>
        <cfvo type="max"/>
        <color rgb="FF63C384"/>
      </dataBar>
    </cfRule>
  </conditionalFormatting>
  <conditionalFormatting sqref="Q204">
    <cfRule type="cellIs" priority="121" operator="equal" dxfId="2034">
      <formula>"ja"</formula>
    </cfRule>
  </conditionalFormatting>
  <conditionalFormatting sqref="AA204">
    <cfRule type="expression" priority="120" dxfId="2">
      <formula>AND(AND($W204&lt;TODAY(),$W204&lt;&gt;""),$X204="")</formula>
    </cfRule>
  </conditionalFormatting>
  <conditionalFormatting sqref="AG204">
    <cfRule type="dataBar" priority="119">
      <dataBar>
        <cfvo type="min"/>
        <cfvo type="max"/>
        <color rgb="FF63C384"/>
      </dataBar>
    </cfRule>
    <cfRule type="dataBar" priority="118">
      <dataBar>
        <cfvo type="min"/>
        <cfvo type="max"/>
        <color rgb="FF63C384"/>
      </dataBar>
    </cfRule>
  </conditionalFormatting>
  <conditionalFormatting sqref="Q205">
    <cfRule type="cellIs" priority="117" operator="equal" dxfId="2034">
      <formula>"ja"</formula>
    </cfRule>
  </conditionalFormatting>
  <conditionalFormatting sqref="AA205">
    <cfRule type="expression" priority="116" dxfId="2">
      <formula>AND(AND($W205&lt;TODAY(),$W205&lt;&gt;""),$X205="")</formula>
    </cfRule>
  </conditionalFormatting>
  <conditionalFormatting sqref="AG205">
    <cfRule type="dataBar" priority="115">
      <dataBar>
        <cfvo type="min"/>
        <cfvo type="max"/>
        <color rgb="FF63C384"/>
      </dataBar>
    </cfRule>
    <cfRule type="dataBar" priority="114">
      <dataBar>
        <cfvo type="min"/>
        <cfvo type="max"/>
        <color rgb="FF63C384"/>
      </dataBar>
    </cfRule>
  </conditionalFormatting>
  <conditionalFormatting sqref="AA206">
    <cfRule type="expression" priority="113" dxfId="2">
      <formula>AND(AND($W206&lt;TODAY(),$W206&lt;&gt;""),$X206="")</formula>
    </cfRule>
  </conditionalFormatting>
  <conditionalFormatting sqref="Q206">
    <cfRule type="cellIs" priority="112" operator="equal" dxfId="2034">
      <formula>"ja"</formula>
    </cfRule>
  </conditionalFormatting>
  <conditionalFormatting sqref="AG206">
    <cfRule type="dataBar" priority="111">
      <dataBar>
        <cfvo type="min"/>
        <cfvo type="max"/>
        <color rgb="FF63C384"/>
      </dataBar>
    </cfRule>
    <cfRule type="dataBar" priority="110">
      <dataBar>
        <cfvo type="min"/>
        <cfvo type="max"/>
        <color rgb="FF63C384"/>
      </dataBar>
    </cfRule>
  </conditionalFormatting>
  <conditionalFormatting sqref="Q207">
    <cfRule type="cellIs" priority="109" operator="equal" dxfId="2034">
      <formula>"ja"</formula>
    </cfRule>
  </conditionalFormatting>
  <conditionalFormatting sqref="AA207">
    <cfRule type="expression" priority="108" dxfId="2">
      <formula>AND(AND($W207&lt;TODAY(),$W207&lt;&gt;""),$X207="")</formula>
    </cfRule>
  </conditionalFormatting>
  <conditionalFormatting sqref="AG207">
    <cfRule type="dataBar" priority="107">
      <dataBar>
        <cfvo type="min"/>
        <cfvo type="max"/>
        <color rgb="FF63C384"/>
      </dataBar>
    </cfRule>
    <cfRule type="dataBar" priority="106">
      <dataBar>
        <cfvo type="min"/>
        <cfvo type="max"/>
        <color rgb="FF63C384"/>
      </dataBar>
    </cfRule>
  </conditionalFormatting>
  <conditionalFormatting sqref="Q208">
    <cfRule type="cellIs" priority="105" operator="equal" dxfId="2034">
      <formula>"ja"</formula>
    </cfRule>
  </conditionalFormatting>
  <conditionalFormatting sqref="AA208">
    <cfRule type="expression" priority="104" dxfId="2">
      <formula>AND(AND($W208&lt;TODAY(),$W208&lt;&gt;""),$X208="")</formula>
    </cfRule>
  </conditionalFormatting>
  <conditionalFormatting sqref="AG208">
    <cfRule type="dataBar" priority="103">
      <dataBar>
        <cfvo type="min"/>
        <cfvo type="max"/>
        <color rgb="FF63C384"/>
      </dataBar>
    </cfRule>
    <cfRule type="dataBar" priority="102">
      <dataBar>
        <cfvo type="min"/>
        <cfvo type="max"/>
        <color rgb="FF63C384"/>
      </dataBar>
    </cfRule>
  </conditionalFormatting>
  <conditionalFormatting sqref="Q209">
    <cfRule type="cellIs" priority="101" operator="equal" dxfId="2034">
      <formula>"ja"</formula>
    </cfRule>
  </conditionalFormatting>
  <conditionalFormatting sqref="AA209">
    <cfRule type="expression" priority="100" dxfId="2">
      <formula>AND(AND($W209&lt;TODAY(),$W209&lt;&gt;""),$X209="")</formula>
    </cfRule>
  </conditionalFormatting>
  <conditionalFormatting sqref="AG209">
    <cfRule type="dataBar" priority="99">
      <dataBar>
        <cfvo type="min"/>
        <cfvo type="max"/>
        <color rgb="FF63C384"/>
      </dataBar>
    </cfRule>
    <cfRule type="dataBar" priority="98">
      <dataBar>
        <cfvo type="min"/>
        <cfvo type="max"/>
        <color rgb="FF63C384"/>
      </dataBar>
    </cfRule>
  </conditionalFormatting>
  <conditionalFormatting sqref="Q210">
    <cfRule type="cellIs" priority="97" operator="equal" dxfId="2034">
      <formula>"ja"</formula>
    </cfRule>
  </conditionalFormatting>
  <conditionalFormatting sqref="AA210">
    <cfRule type="expression" priority="96" dxfId="2">
      <formula>AND(AND($W210&lt;TODAY(),$W210&lt;&gt;""),$X210="")</formula>
    </cfRule>
  </conditionalFormatting>
  <conditionalFormatting sqref="AG210">
    <cfRule type="dataBar" priority="95">
      <dataBar>
        <cfvo type="min"/>
        <cfvo type="max"/>
        <color rgb="FF63C384"/>
      </dataBar>
    </cfRule>
    <cfRule type="dataBar" priority="94">
      <dataBar>
        <cfvo type="min"/>
        <cfvo type="max"/>
        <color rgb="FF63C384"/>
      </dataBar>
    </cfRule>
  </conditionalFormatting>
  <conditionalFormatting sqref="AA211">
    <cfRule type="expression" priority="93" dxfId="2">
      <formula>AND(AND($W211&lt;TODAY(),$W211&lt;&gt;""),$X211="")</formula>
    </cfRule>
  </conditionalFormatting>
  <conditionalFormatting sqref="Q211">
    <cfRule type="cellIs" priority="92" operator="equal" dxfId="2034">
      <formula>"ja"</formula>
    </cfRule>
  </conditionalFormatting>
  <conditionalFormatting sqref="AG211">
    <cfRule type="dataBar" priority="91">
      <dataBar>
        <cfvo type="min"/>
        <cfvo type="max"/>
        <color rgb="FF63C384"/>
      </dataBar>
    </cfRule>
    <cfRule type="dataBar" priority="90">
      <dataBar>
        <cfvo type="min"/>
        <cfvo type="max"/>
        <color rgb="FF63C384"/>
      </dataBar>
    </cfRule>
  </conditionalFormatting>
  <conditionalFormatting sqref="AA212">
    <cfRule type="expression" priority="89" dxfId="2">
      <formula>AND(AND($W212&lt;TODAY(),$W212&lt;&gt;""),$X212="")</formula>
    </cfRule>
  </conditionalFormatting>
  <conditionalFormatting sqref="AG212">
    <cfRule type="dataBar" priority="88">
      <dataBar>
        <cfvo type="min"/>
        <cfvo type="max"/>
        <color rgb="FF63C384"/>
      </dataBar>
    </cfRule>
    <cfRule type="dataBar" priority="87">
      <dataBar>
        <cfvo type="min"/>
        <cfvo type="max"/>
        <color rgb="FF63C384"/>
      </dataBar>
    </cfRule>
  </conditionalFormatting>
  <conditionalFormatting sqref="Q213">
    <cfRule type="cellIs" priority="86" operator="equal" dxfId="2034">
      <formula>"ja"</formula>
    </cfRule>
  </conditionalFormatting>
  <conditionalFormatting sqref="AA213">
    <cfRule type="expression" priority="85" dxfId="2">
      <formula>AND(AND($W213&lt;TODAY(),$W213&lt;&gt;""),$X213="")</formula>
    </cfRule>
  </conditionalFormatting>
  <conditionalFormatting sqref="AG213">
    <cfRule type="dataBar" priority="84">
      <dataBar>
        <cfvo type="min"/>
        <cfvo type="max"/>
        <color rgb="FF63C384"/>
      </dataBar>
    </cfRule>
    <cfRule type="dataBar" priority="83">
      <dataBar>
        <cfvo type="min"/>
        <cfvo type="max"/>
        <color rgb="FF63C384"/>
      </dataBar>
    </cfRule>
  </conditionalFormatting>
  <conditionalFormatting sqref="AA214">
    <cfRule type="expression" priority="82" dxfId="2">
      <formula>AND(AND($W214&lt;TODAY(),$W214&lt;&gt;""),$X214="")</formula>
    </cfRule>
  </conditionalFormatting>
  <conditionalFormatting sqref="Q214">
    <cfRule type="cellIs" priority="81" operator="equal" dxfId="2034">
      <formula>"ja"</formula>
    </cfRule>
  </conditionalFormatting>
  <conditionalFormatting sqref="AG214">
    <cfRule type="dataBar" priority="80">
      <dataBar>
        <cfvo type="min"/>
        <cfvo type="max"/>
        <color rgb="FF63C384"/>
      </dataBar>
    </cfRule>
    <cfRule type="dataBar" priority="79">
      <dataBar>
        <cfvo type="min"/>
        <cfvo type="max"/>
        <color rgb="FF63C384"/>
      </dataBar>
    </cfRule>
  </conditionalFormatting>
  <conditionalFormatting sqref="AA215">
    <cfRule type="expression" priority="78" dxfId="2">
      <formula>AND(AND($W215&lt;TODAY(),$W215&lt;&gt;""),$X215="")</formula>
    </cfRule>
  </conditionalFormatting>
  <conditionalFormatting sqref="AG215">
    <cfRule type="dataBar" priority="77">
      <dataBar>
        <cfvo type="min"/>
        <cfvo type="max"/>
        <color rgb="FF63C384"/>
      </dataBar>
    </cfRule>
    <cfRule type="dataBar" priority="76">
      <dataBar>
        <cfvo type="min"/>
        <cfvo type="max"/>
        <color rgb="FF63C384"/>
      </dataBar>
    </cfRule>
  </conditionalFormatting>
  <conditionalFormatting sqref="AA216">
    <cfRule type="expression" priority="75" dxfId="2">
      <formula>AND(AND($W216&lt;TODAY(),$W216&lt;&gt;""),$X216="")</formula>
    </cfRule>
  </conditionalFormatting>
  <conditionalFormatting sqref="AG216">
    <cfRule type="dataBar" priority="74">
      <dataBar>
        <cfvo type="min"/>
        <cfvo type="max"/>
        <color rgb="FF63C384"/>
      </dataBar>
    </cfRule>
    <cfRule type="dataBar" priority="73">
      <dataBar>
        <cfvo type="min"/>
        <cfvo type="max"/>
        <color rgb="FF63C384"/>
      </dataBar>
    </cfRule>
  </conditionalFormatting>
  <conditionalFormatting sqref="Q217">
    <cfRule type="cellIs" priority="72" operator="equal" dxfId="2034">
      <formula>"ja"</formula>
    </cfRule>
  </conditionalFormatting>
  <conditionalFormatting sqref="AA217">
    <cfRule type="expression" priority="71" dxfId="2">
      <formula>AND(AND($W217&lt;TODAY(),$W217&lt;&gt;""),$X217="")</formula>
    </cfRule>
  </conditionalFormatting>
  <conditionalFormatting sqref="AG217">
    <cfRule type="dataBar" priority="70">
      <dataBar>
        <cfvo type="min"/>
        <cfvo type="max"/>
        <color rgb="FF63C384"/>
      </dataBar>
    </cfRule>
    <cfRule type="dataBar" priority="69">
      <dataBar>
        <cfvo type="min"/>
        <cfvo type="max"/>
        <color rgb="FF63C384"/>
      </dataBar>
    </cfRule>
  </conditionalFormatting>
  <conditionalFormatting sqref="AA218">
    <cfRule type="expression" priority="68" dxfId="2">
      <formula>AND(AND($W218&lt;TODAY(),$W218&lt;&gt;""),$X218="")</formula>
    </cfRule>
  </conditionalFormatting>
  <conditionalFormatting sqref="AG218">
    <cfRule type="dataBar" priority="67">
      <dataBar>
        <cfvo type="min"/>
        <cfvo type="max"/>
        <color rgb="FF63C384"/>
      </dataBar>
    </cfRule>
    <cfRule type="dataBar" priority="66">
      <dataBar>
        <cfvo type="min"/>
        <cfvo type="max"/>
        <color rgb="FF63C384"/>
      </dataBar>
    </cfRule>
  </conditionalFormatting>
  <conditionalFormatting sqref="Q218">
    <cfRule type="cellIs" priority="65" operator="equal" dxfId="2034">
      <formula>"ja"</formula>
    </cfRule>
  </conditionalFormatting>
  <conditionalFormatting sqref="Q219">
    <cfRule type="cellIs" priority="64" operator="equal" dxfId="2034">
      <formula>"ja"</formula>
    </cfRule>
  </conditionalFormatting>
  <conditionalFormatting sqref="AA219">
    <cfRule type="expression" priority="63" dxfId="2">
      <formula>AND(AND($W219&lt;TODAY(),$W219&lt;&gt;""),$X219="")</formula>
    </cfRule>
  </conditionalFormatting>
  <conditionalFormatting sqref="AG219">
    <cfRule type="dataBar" priority="62">
      <dataBar>
        <cfvo type="min"/>
        <cfvo type="max"/>
        <color rgb="FF63C384"/>
      </dataBar>
    </cfRule>
    <cfRule type="dataBar" priority="61">
      <dataBar>
        <cfvo type="min"/>
        <cfvo type="max"/>
        <color rgb="FF63C384"/>
      </dataBar>
    </cfRule>
  </conditionalFormatting>
  <conditionalFormatting sqref="Q220">
    <cfRule type="cellIs" priority="60" operator="equal" dxfId="2034">
      <formula>"ja"</formula>
    </cfRule>
  </conditionalFormatting>
  <conditionalFormatting sqref="AA220">
    <cfRule type="expression" priority="59" dxfId="2">
      <formula>AND(AND($W220&lt;TODAY(),$W220&lt;&gt;""),$X220="")</formula>
    </cfRule>
  </conditionalFormatting>
  <conditionalFormatting sqref="AG220">
    <cfRule type="dataBar" priority="58">
      <dataBar>
        <cfvo type="min"/>
        <cfvo type="max"/>
        <color rgb="FF63C384"/>
      </dataBar>
    </cfRule>
    <cfRule type="dataBar" priority="57">
      <dataBar>
        <cfvo type="min"/>
        <cfvo type="max"/>
        <color rgb="FF63C384"/>
      </dataBar>
    </cfRule>
  </conditionalFormatting>
  <conditionalFormatting sqref="AA221">
    <cfRule type="expression" priority="56" dxfId="2">
      <formula>AND(AND($W221&lt;TODAY(),$W221&lt;&gt;""),$X221="")</formula>
    </cfRule>
  </conditionalFormatting>
  <conditionalFormatting sqref="Q221">
    <cfRule type="cellIs" priority="55" operator="equal" dxfId="2034">
      <formula>"ja"</formula>
    </cfRule>
  </conditionalFormatting>
  <conditionalFormatting sqref="AG221">
    <cfRule type="dataBar" priority="54">
      <dataBar>
        <cfvo type="min"/>
        <cfvo type="max"/>
        <color rgb="FF63C384"/>
      </dataBar>
    </cfRule>
    <cfRule type="dataBar" priority="53">
      <dataBar>
        <cfvo type="min"/>
        <cfvo type="max"/>
        <color rgb="FF63C384"/>
      </dataBar>
    </cfRule>
  </conditionalFormatting>
  <conditionalFormatting sqref="Q222">
    <cfRule type="cellIs" priority="52" operator="equal" dxfId="2034">
      <formula>"ja"</formula>
    </cfRule>
  </conditionalFormatting>
  <conditionalFormatting sqref="AA222">
    <cfRule type="expression" priority="51" dxfId="2">
      <formula>AND(AND($W222&lt;TODAY(),$W222&lt;&gt;""),$X222="")</formula>
    </cfRule>
  </conditionalFormatting>
  <conditionalFormatting sqref="AG222">
    <cfRule type="dataBar" priority="50">
      <dataBar>
        <cfvo type="min"/>
        <cfvo type="max"/>
        <color rgb="FF63C384"/>
      </dataBar>
    </cfRule>
    <cfRule type="dataBar" priority="49">
      <dataBar>
        <cfvo type="min"/>
        <cfvo type="max"/>
        <color rgb="FF63C384"/>
      </dataBar>
    </cfRule>
  </conditionalFormatting>
  <conditionalFormatting sqref="Q223">
    <cfRule type="cellIs" priority="48" operator="equal" dxfId="2034">
      <formula>"ja"</formula>
    </cfRule>
  </conditionalFormatting>
  <conditionalFormatting sqref="AA223">
    <cfRule type="expression" priority="47" dxfId="2">
      <formula>AND(AND($W223&lt;TODAY(),$W223&lt;&gt;""),$X223="")</formula>
    </cfRule>
  </conditionalFormatting>
  <conditionalFormatting sqref="AG223">
    <cfRule type="dataBar" priority="46">
      <dataBar>
        <cfvo type="min"/>
        <cfvo type="max"/>
        <color rgb="FF63C384"/>
      </dataBar>
    </cfRule>
    <cfRule type="dataBar" priority="45">
      <dataBar>
        <cfvo type="min"/>
        <cfvo type="max"/>
        <color rgb="FF63C384"/>
      </dataBar>
    </cfRule>
  </conditionalFormatting>
  <conditionalFormatting sqref="AA224">
    <cfRule type="expression" priority="44" dxfId="2">
      <formula>AND(AND($W224&lt;TODAY(),$W224&lt;&gt;""),$X224="")</formula>
    </cfRule>
  </conditionalFormatting>
  <conditionalFormatting sqref="Q224">
    <cfRule type="cellIs" priority="43" operator="equal" dxfId="2034">
      <formula>"ja"</formula>
    </cfRule>
  </conditionalFormatting>
  <conditionalFormatting sqref="AG224">
    <cfRule type="dataBar" priority="42">
      <dataBar>
        <cfvo type="min"/>
        <cfvo type="max"/>
        <color rgb="FF63C384"/>
      </dataBar>
    </cfRule>
    <cfRule type="dataBar" priority="41">
      <dataBar>
        <cfvo type="min"/>
        <cfvo type="max"/>
        <color rgb="FF63C384"/>
      </dataBar>
    </cfRule>
  </conditionalFormatting>
  <conditionalFormatting sqref="AA225">
    <cfRule type="expression" priority="40" dxfId="2">
      <formula>AND(AND($W225&lt;TODAY(),$W225&lt;&gt;""),$X225="")</formula>
    </cfRule>
  </conditionalFormatting>
  <conditionalFormatting sqref="Q225">
    <cfRule type="cellIs" priority="39" operator="equal" dxfId="2034">
      <formula>"ja"</formula>
    </cfRule>
  </conditionalFormatting>
  <conditionalFormatting sqref="AG225">
    <cfRule type="dataBar" priority="38">
      <dataBar>
        <cfvo type="min"/>
        <cfvo type="max"/>
        <color rgb="FF63C384"/>
      </dataBar>
    </cfRule>
    <cfRule type="dataBar" priority="37">
      <dataBar>
        <cfvo type="min"/>
        <cfvo type="max"/>
        <color rgb="FF63C384"/>
      </dataBar>
    </cfRule>
  </conditionalFormatting>
  <conditionalFormatting sqref="Q226">
    <cfRule type="cellIs" priority="36" operator="equal" dxfId="2034">
      <formula>"ja"</formula>
    </cfRule>
  </conditionalFormatting>
  <conditionalFormatting sqref="AA226">
    <cfRule type="expression" priority="35" dxfId="2">
      <formula>AND(AND($W226&lt;TODAY(),$W226&lt;&gt;""),$X226="")</formula>
    </cfRule>
  </conditionalFormatting>
  <conditionalFormatting sqref="AG226">
    <cfRule type="dataBar" priority="34">
      <dataBar>
        <cfvo type="min"/>
        <cfvo type="max"/>
        <color rgb="FF63C384"/>
      </dataBar>
    </cfRule>
    <cfRule type="dataBar" priority="33">
      <dataBar>
        <cfvo type="min"/>
        <cfvo type="max"/>
        <color rgb="FF63C384"/>
      </dataBar>
    </cfRule>
  </conditionalFormatting>
  <conditionalFormatting sqref="Q227">
    <cfRule type="cellIs" priority="32" operator="equal" dxfId="2034">
      <formula>"ja"</formula>
    </cfRule>
  </conditionalFormatting>
  <conditionalFormatting sqref="AA227">
    <cfRule type="expression" priority="31" dxfId="2">
      <formula>AND(AND($W227&lt;TODAY(),$W227&lt;&gt;""),$X227="")</formula>
    </cfRule>
  </conditionalFormatting>
  <conditionalFormatting sqref="AG227">
    <cfRule type="dataBar" priority="30">
      <dataBar>
        <cfvo type="min"/>
        <cfvo type="max"/>
        <color rgb="FF63C384"/>
      </dataBar>
    </cfRule>
    <cfRule type="dataBar" priority="29">
      <dataBar>
        <cfvo type="min"/>
        <cfvo type="max"/>
        <color rgb="FF63C384"/>
      </dataBar>
    </cfRule>
  </conditionalFormatting>
  <conditionalFormatting sqref="Q228">
    <cfRule type="cellIs" priority="28" operator="equal" dxfId="2034">
      <formula>"ja"</formula>
    </cfRule>
  </conditionalFormatting>
  <conditionalFormatting sqref="AA228">
    <cfRule type="expression" priority="27" dxfId="2">
      <formula>AND(AND($W228&lt;TODAY(),$W228&lt;&gt;""),$X228="")</formula>
    </cfRule>
  </conditionalFormatting>
  <conditionalFormatting sqref="AG228">
    <cfRule type="dataBar" priority="26">
      <dataBar>
        <cfvo type="min"/>
        <cfvo type="max"/>
        <color rgb="FF63C384"/>
      </dataBar>
    </cfRule>
  </conditionalFormatting>
  <conditionalFormatting sqref="Q229">
    <cfRule type="cellIs" priority="25" operator="equal" dxfId="2034">
      <formula>"ja"</formula>
    </cfRule>
  </conditionalFormatting>
  <conditionalFormatting sqref="AA229">
    <cfRule type="expression" priority="24" dxfId="2">
      <formula>AND(AND($W229&lt;TODAY(),$W229&lt;&gt;""),$X229="")</formula>
    </cfRule>
  </conditionalFormatting>
  <conditionalFormatting sqref="AG229">
    <cfRule type="dataBar" priority="23">
      <dataBar>
        <cfvo type="min"/>
        <cfvo type="max"/>
        <color rgb="FF63C384"/>
      </dataBar>
    </cfRule>
    <cfRule type="dataBar" priority="22">
      <dataBar>
        <cfvo type="min"/>
        <cfvo type="max"/>
        <color rgb="FF63C384"/>
      </dataBar>
    </cfRule>
  </conditionalFormatting>
  <conditionalFormatting sqref="AA230">
    <cfRule type="expression" priority="21" dxfId="2">
      <formula>AND(AND($W230&lt;TODAY(),$W230&lt;&gt;""),$X230="")</formula>
    </cfRule>
  </conditionalFormatting>
  <conditionalFormatting sqref="AG230">
    <cfRule type="dataBar" priority="20">
      <dataBar>
        <cfvo type="min"/>
        <cfvo type="max"/>
        <color rgb="FF63C384"/>
      </dataBar>
    </cfRule>
    <cfRule type="dataBar" priority="19">
      <dataBar>
        <cfvo type="min"/>
        <cfvo type="max"/>
        <color rgb="FF63C384"/>
      </dataBar>
    </cfRule>
  </conditionalFormatting>
  <conditionalFormatting sqref="AA231">
    <cfRule type="expression" priority="18" dxfId="2">
      <formula>AND(AND($W231&lt;TODAY(),$W231&lt;&gt;""),$X231="")</formula>
    </cfRule>
  </conditionalFormatting>
  <conditionalFormatting sqref="Q231">
    <cfRule type="cellIs" priority="17" operator="equal" dxfId="2034">
      <formula>"ja"</formula>
    </cfRule>
  </conditionalFormatting>
  <conditionalFormatting sqref="AG231">
    <cfRule type="dataBar" priority="16">
      <dataBar>
        <cfvo type="min"/>
        <cfvo type="max"/>
        <color rgb="FF63C384"/>
      </dataBar>
    </cfRule>
    <cfRule type="dataBar" priority="15">
      <dataBar>
        <cfvo type="min"/>
        <cfvo type="max"/>
        <color rgb="FF63C384"/>
      </dataBar>
    </cfRule>
  </conditionalFormatting>
  <conditionalFormatting sqref="Q232:Q233">
    <cfRule type="cellIs" priority="14" operator="equal" dxfId="2034">
      <formula>"ja"</formula>
    </cfRule>
  </conditionalFormatting>
  <conditionalFormatting sqref="AA232">
    <cfRule type="expression" priority="13" dxfId="2">
      <formula>AND(AND($W232&lt;TODAY(),$W232&lt;&gt;""),$X232="")</formula>
    </cfRule>
  </conditionalFormatting>
  <conditionalFormatting sqref="AG232">
    <cfRule type="dataBar" priority="12">
      <dataBar>
        <cfvo type="min"/>
        <cfvo type="max"/>
        <color rgb="FF63C384"/>
      </dataBar>
    </cfRule>
    <cfRule type="dataBar" priority="11">
      <dataBar>
        <cfvo type="min"/>
        <cfvo type="max"/>
        <color rgb="FF63C384"/>
      </dataBar>
    </cfRule>
  </conditionalFormatting>
  <conditionalFormatting sqref="Q234:Q235">
    <cfRule type="cellIs" priority="10" operator="equal" dxfId="2034">
      <formula>"ja"</formula>
    </cfRule>
  </conditionalFormatting>
  <conditionalFormatting sqref="AA234">
    <cfRule type="expression" priority="9" dxfId="2">
      <formula>AND(AND($W234&lt;TODAY(),$W234&lt;&gt;""),$X234="")</formula>
    </cfRule>
  </conditionalFormatting>
  <conditionalFormatting sqref="AG234">
    <cfRule type="dataBar" priority="8">
      <dataBar>
        <cfvo type="min"/>
        <cfvo type="max"/>
        <color rgb="FF63C384"/>
      </dataBar>
    </cfRule>
    <cfRule type="dataBar" priority="7">
      <dataBar>
        <cfvo type="min"/>
        <cfvo type="max"/>
        <color rgb="FF63C384"/>
      </dataBar>
    </cfRule>
  </conditionalFormatting>
  <conditionalFormatting sqref="AA233">
    <cfRule type="expression" priority="6" dxfId="2">
      <formula>AND(AND($W233&lt;TODAY(),$W233&lt;&gt;""),$X233="")</formula>
    </cfRule>
  </conditionalFormatting>
  <conditionalFormatting sqref="AG233">
    <cfRule type="dataBar" priority="5">
      <dataBar>
        <cfvo type="min"/>
        <cfvo type="max"/>
        <color rgb="FF63C384"/>
      </dataBar>
    </cfRule>
    <cfRule type="dataBar" priority="4">
      <dataBar>
        <cfvo type="min"/>
        <cfvo type="max"/>
        <color rgb="FF63C384"/>
      </dataBar>
    </cfRule>
  </conditionalFormatting>
  <conditionalFormatting sqref="AA235">
    <cfRule type="expression" priority="3" dxfId="2">
      <formula>AND(AND($W235&lt;TODAY(),$W235&lt;&gt;""),$X235="")</formula>
    </cfRule>
  </conditionalFormatting>
  <conditionalFormatting sqref="AG235">
    <cfRule type="dataBar" priority="2">
      <dataBar>
        <cfvo type="min"/>
        <cfvo type="max"/>
        <color rgb="FF63C384"/>
      </dataBar>
    </cfRule>
    <cfRule type="dataBar" priority="1">
      <dataBar>
        <cfvo type="min"/>
        <cfvo type="max"/>
        <color rgb="FF63C384"/>
      </dataBar>
    </cfRule>
  </conditionalFormatting>
  <dataValidations count="3">
    <dataValidation sqref="L2:L235" showDropDown="0" showInputMessage="1" showErrorMessage="1" allowBlank="1" type="list">
      <formula1>Spesenart</formula1>
    </dataValidation>
    <dataValidation sqref="K109 K148 K150 K162:K163 K184 K199" showDropDown="0" showInputMessage="1" showErrorMessage="1" allowBlank="1" type="list">
      <formula1>"Einnahmen,Ausgaben"</formula1>
    </dataValidation>
    <dataValidation sqref="Q3 Q40 Q78 Q104 Q117 Q128 Q142 Q157 Q168 Q172 Q187 Q203 Q221" showDropDown="0" showInputMessage="1" showErrorMessage="1" allowBlank="1" type="list">
      <formula1>"Weiterverkauf,"</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23.xml><?xml version="1.0" encoding="utf-8"?>
<worksheet xmlns="http://schemas.openxmlformats.org/spreadsheetml/2006/main">
  <sheetPr codeName="Tabelle21" filterMode="1">
    <outlinePr summaryBelow="1" summaryRight="1"/>
    <pageSetUpPr/>
  </sheetPr>
  <dimension ref="A1:XEK239"/>
  <sheetViews>
    <sheetView workbookViewId="0">
      <selection activeCell="A1" sqref="A1:XEK239"/>
    </sheetView>
  </sheetViews>
  <sheetFormatPr baseColWidth="10" defaultRowHeight="15"/>
  <cols>
    <col width="11.42578125" customWidth="1" style="1" min="2" max="2"/>
    <col width="11.42578125" customWidth="1" style="214" min="6" max="6"/>
  </cols>
  <sheetData>
    <row r="1">
      <c r="A1" s="63" t="inlineStr">
        <is>
          <t>lfd. Nr.</t>
        </is>
      </c>
      <c r="B1" s="96" t="inlineStr">
        <is>
          <t>Datum</t>
        </is>
      </c>
      <c r="C1" s="63" t="inlineStr">
        <is>
          <t>Text</t>
        </is>
      </c>
      <c r="D1" s="63" t="inlineStr">
        <is>
          <t>Kategorie</t>
        </is>
      </c>
      <c r="E1" s="63" t="inlineStr">
        <is>
          <t>Spesenart</t>
        </is>
      </c>
      <c r="F1" s="235" t="inlineStr">
        <is>
          <t>Bruttobetrag</t>
        </is>
      </c>
      <c r="G1" s="63" t="inlineStr">
        <is>
          <t>Steuersatz</t>
        </is>
      </c>
      <c r="H1" s="87" t="n"/>
      <c r="I1" s="87" t="n"/>
      <c r="J1" s="87" t="n"/>
      <c r="K1" s="87" t="n"/>
      <c r="L1" s="87" t="n"/>
      <c r="M1" s="87" t="n"/>
      <c r="N1" s="87" t="n"/>
      <c r="O1" s="87" t="n"/>
      <c r="P1" s="87" t="n"/>
      <c r="Q1" s="87" t="n"/>
      <c r="R1" s="87" t="n"/>
      <c r="S1" s="87" t="n"/>
      <c r="T1" s="87" t="n"/>
      <c r="U1" s="87" t="n"/>
      <c r="V1" s="87" t="n"/>
      <c r="W1" s="87" t="n"/>
      <c r="X1" s="87" t="n"/>
      <c r="Y1" s="87" t="n"/>
      <c r="Z1" s="87" t="n"/>
      <c r="AA1" s="87" t="n"/>
      <c r="AB1" s="87" t="n"/>
      <c r="AC1" s="87" t="n"/>
      <c r="AD1" s="87" t="n"/>
      <c r="AE1" s="87" t="n"/>
      <c r="AF1" s="87" t="n"/>
      <c r="AG1" s="87" t="n"/>
      <c r="AH1" s="87" t="n"/>
      <c r="AI1" s="87" t="n"/>
      <c r="AJ1" s="87" t="n"/>
      <c r="AK1" s="87" t="n"/>
      <c r="AL1" s="87" t="n"/>
      <c r="AM1" s="87" t="n"/>
      <c r="AN1" s="87" t="n"/>
      <c r="AO1" s="87" t="n"/>
      <c r="AP1" s="87" t="n"/>
      <c r="AQ1" s="87" t="n"/>
      <c r="AR1" s="87" t="n"/>
      <c r="AS1" s="87" t="n"/>
      <c r="AT1" s="87" t="n"/>
      <c r="AU1" s="87" t="n"/>
      <c r="AV1" s="87" t="n"/>
      <c r="AW1" s="87" t="n"/>
      <c r="AX1" s="87" t="n"/>
      <c r="AY1" s="87" t="n"/>
      <c r="AZ1" s="87" t="n"/>
      <c r="BA1" s="87" t="n"/>
      <c r="BB1" s="87" t="n"/>
      <c r="BC1" s="87" t="n"/>
      <c r="BD1" s="87" t="n"/>
      <c r="BE1" s="87" t="n"/>
      <c r="BF1" s="87" t="n"/>
      <c r="BG1" s="87" t="n"/>
      <c r="BH1" s="87" t="n"/>
      <c r="BI1" s="87" t="n"/>
      <c r="BJ1" s="87" t="n"/>
      <c r="BK1" s="87" t="n"/>
      <c r="BL1" s="87" t="n"/>
      <c r="BM1" s="87" t="n"/>
      <c r="BN1" s="87" t="n"/>
      <c r="BO1" s="87" t="n"/>
      <c r="BP1" s="87" t="n"/>
      <c r="BQ1" s="87" t="n"/>
      <c r="BR1" s="87" t="n"/>
      <c r="BS1" s="87" t="n"/>
      <c r="BT1" s="87" t="n"/>
      <c r="BU1" s="87" t="n"/>
      <c r="BV1" s="87" t="n"/>
      <c r="BW1" s="87" t="n"/>
      <c r="BX1" s="87" t="n"/>
      <c r="BY1" s="87" t="n"/>
      <c r="BZ1" s="87" t="n"/>
      <c r="CA1" s="87" t="n"/>
      <c r="CB1" s="87" t="n"/>
      <c r="CC1" s="87" t="n"/>
      <c r="CD1" s="87" t="n"/>
      <c r="CE1" s="87" t="n"/>
      <c r="CF1" s="87" t="n"/>
      <c r="CG1" s="87" t="n"/>
      <c r="CH1" s="87" t="n"/>
      <c r="CI1" s="87" t="n"/>
      <c r="CJ1" s="87" t="n"/>
      <c r="CK1" s="87" t="n"/>
      <c r="CL1" s="87" t="n"/>
      <c r="CM1" s="87" t="n"/>
      <c r="CN1" s="87" t="n"/>
      <c r="CO1" s="87" t="n"/>
      <c r="CP1" s="87" t="n"/>
      <c r="CQ1" s="87" t="n"/>
      <c r="CR1" s="87" t="n"/>
      <c r="CS1" s="87" t="n"/>
      <c r="CT1" s="87" t="n"/>
      <c r="CU1" s="87" t="n"/>
      <c r="CV1" s="87" t="n"/>
      <c r="CW1" s="87" t="n"/>
      <c r="CX1" s="87" t="n"/>
      <c r="CY1" s="87" t="n"/>
      <c r="CZ1" s="87" t="n"/>
      <c r="DA1" s="87" t="n"/>
      <c r="DB1" s="87" t="n"/>
      <c r="DC1" s="87" t="n"/>
      <c r="DD1" s="87" t="n"/>
      <c r="DE1" s="87" t="n"/>
      <c r="DF1" s="87" t="n"/>
      <c r="DG1" s="87" t="n"/>
      <c r="DH1" s="87" t="n"/>
      <c r="DI1" s="87" t="n"/>
      <c r="DJ1" s="87" t="n"/>
      <c r="DK1" s="87" t="n"/>
      <c r="DL1" s="87" t="n"/>
      <c r="DM1" s="87" t="n"/>
      <c r="DN1" s="87" t="n"/>
      <c r="DO1" s="87" t="n"/>
      <c r="DP1" s="87" t="n"/>
      <c r="DQ1" s="87" t="n"/>
      <c r="DR1" s="87" t="n"/>
      <c r="DS1" s="87" t="n"/>
      <c r="DT1" s="87" t="n"/>
      <c r="DU1" s="87" t="n"/>
      <c r="DV1" s="87" t="n"/>
      <c r="DW1" s="87" t="n"/>
      <c r="DX1" s="87" t="n"/>
      <c r="DY1" s="87" t="n"/>
      <c r="DZ1" s="87" t="n"/>
      <c r="EA1" s="87" t="n"/>
      <c r="EB1" s="87" t="n"/>
      <c r="EC1" s="87" t="n"/>
      <c r="ED1" s="87" t="n"/>
      <c r="EE1" s="87" t="n"/>
      <c r="EF1" s="87" t="n"/>
      <c r="EG1" s="87" t="n"/>
      <c r="EH1" s="87" t="n"/>
      <c r="EI1" s="87" t="n"/>
      <c r="EJ1" s="87" t="n"/>
      <c r="EK1" s="87" t="n"/>
      <c r="EL1" s="87" t="n"/>
      <c r="EM1" s="87" t="n"/>
      <c r="EN1" s="87" t="n"/>
      <c r="EO1" s="87" t="n"/>
      <c r="EP1" s="87" t="n"/>
      <c r="EQ1" s="87" t="n"/>
      <c r="ER1" s="87" t="n"/>
      <c r="ES1" s="87" t="n"/>
      <c r="ET1" s="87" t="n"/>
      <c r="EU1" s="87" t="n"/>
      <c r="EV1" s="87" t="n"/>
      <c r="EW1" s="87" t="n"/>
      <c r="EX1" s="87" t="n"/>
      <c r="EY1" s="87" t="n"/>
      <c r="EZ1" s="87" t="n"/>
      <c r="FA1" s="87" t="n"/>
      <c r="FB1" s="87" t="n"/>
      <c r="FC1" s="87" t="n"/>
      <c r="FD1" s="87" t="n"/>
      <c r="FE1" s="87" t="n"/>
      <c r="FF1" s="87" t="n"/>
      <c r="FG1" s="87" t="n"/>
      <c r="FH1" s="87" t="n"/>
      <c r="FI1" s="87" t="n"/>
      <c r="FJ1" s="87" t="n"/>
      <c r="FK1" s="87" t="n"/>
      <c r="FL1" s="87" t="n"/>
      <c r="FM1" s="87" t="n"/>
      <c r="FN1" s="87" t="n"/>
      <c r="FO1" s="87" t="n"/>
      <c r="FP1" s="87" t="n"/>
      <c r="FQ1" s="87" t="n"/>
      <c r="FR1" s="87" t="n"/>
      <c r="FS1" s="87" t="n"/>
      <c r="FT1" s="87" t="n"/>
      <c r="FU1" s="87" t="n"/>
      <c r="FV1" s="87" t="n"/>
      <c r="FW1" s="87" t="n"/>
      <c r="FX1" s="87" t="n"/>
      <c r="FY1" s="87" t="n"/>
      <c r="FZ1" s="87" t="n"/>
      <c r="GA1" s="87" t="n"/>
      <c r="GB1" s="87" t="n"/>
      <c r="GC1" s="87" t="n"/>
      <c r="GD1" s="87" t="n"/>
      <c r="GE1" s="87" t="n"/>
      <c r="GF1" s="87" t="n"/>
      <c r="GG1" s="87" t="n"/>
      <c r="GH1" s="87" t="n"/>
      <c r="GI1" s="87" t="n"/>
      <c r="GJ1" s="87" t="n"/>
      <c r="GK1" s="87" t="n"/>
      <c r="GL1" s="87" t="n"/>
      <c r="GM1" s="87" t="n"/>
      <c r="GN1" s="87" t="n"/>
      <c r="GO1" s="87" t="n"/>
      <c r="GP1" s="87" t="n"/>
      <c r="GQ1" s="87" t="n"/>
      <c r="GR1" s="87" t="n"/>
      <c r="GS1" s="87" t="n"/>
      <c r="GT1" s="87" t="n"/>
      <c r="GU1" s="87" t="n"/>
      <c r="GV1" s="87" t="n"/>
      <c r="GW1" s="87" t="n"/>
      <c r="GX1" s="87" t="n"/>
      <c r="GY1" s="87" t="n"/>
      <c r="GZ1" s="87" t="n"/>
      <c r="HA1" s="87" t="n"/>
      <c r="HB1" s="87" t="n"/>
      <c r="HC1" s="87" t="n"/>
      <c r="HD1" s="87" t="n"/>
      <c r="HE1" s="87" t="n"/>
      <c r="HF1" s="87" t="n"/>
      <c r="HG1" s="87" t="n"/>
      <c r="HH1" s="87" t="n"/>
      <c r="HI1" s="87" t="n"/>
      <c r="HJ1" s="87" t="n"/>
      <c r="HK1" s="87" t="n"/>
      <c r="HL1" s="87" t="n"/>
      <c r="HM1" s="87" t="n"/>
      <c r="HN1" s="87" t="n"/>
      <c r="HO1" s="87" t="n"/>
      <c r="HP1" s="87" t="n"/>
      <c r="HQ1" s="87" t="n"/>
      <c r="HR1" s="87" t="n"/>
      <c r="HS1" s="87" t="n"/>
      <c r="HT1" s="87" t="n"/>
      <c r="HU1" s="87" t="n"/>
      <c r="HV1" s="87" t="n"/>
      <c r="HW1" s="87" t="n"/>
      <c r="HX1" s="87" t="n"/>
      <c r="HY1" s="87" t="n"/>
      <c r="HZ1" s="87" t="n"/>
      <c r="IA1" s="87" t="n"/>
      <c r="IB1" s="87" t="n"/>
      <c r="IC1" s="87" t="n"/>
      <c r="ID1" s="87" t="n"/>
      <c r="IE1" s="87" t="n"/>
      <c r="IF1" s="87" t="n"/>
      <c r="IG1" s="87" t="n"/>
      <c r="IH1" s="87" t="n"/>
      <c r="II1" s="87" t="n"/>
      <c r="IJ1" s="87" t="n"/>
      <c r="IK1" s="87" t="n"/>
      <c r="IL1" s="87" t="n"/>
      <c r="IM1" s="87" t="n"/>
      <c r="IN1" s="87" t="n"/>
      <c r="IO1" s="87" t="n"/>
      <c r="IP1" s="87" t="n"/>
      <c r="IQ1" s="87" t="n"/>
      <c r="IR1" s="87" t="n"/>
      <c r="IS1" s="87" t="n"/>
      <c r="IT1" s="87" t="n"/>
      <c r="IU1" s="87" t="n"/>
      <c r="IV1" s="87" t="n"/>
      <c r="IW1" s="87" t="n"/>
      <c r="IX1" s="87" t="n"/>
      <c r="IY1" s="87" t="n"/>
      <c r="IZ1" s="87" t="n"/>
      <c r="JA1" s="87" t="n"/>
      <c r="JB1" s="87" t="n"/>
      <c r="JC1" s="87" t="n"/>
      <c r="JD1" s="87" t="n"/>
      <c r="JE1" s="87" t="n"/>
      <c r="JF1" s="87" t="n"/>
      <c r="JG1" s="87" t="n"/>
      <c r="JH1" s="87" t="n"/>
      <c r="JI1" s="87" t="n"/>
      <c r="JJ1" s="87" t="n"/>
      <c r="JK1" s="87" t="n"/>
      <c r="JL1" s="87" t="n"/>
      <c r="JM1" s="87" t="n"/>
      <c r="JN1" s="87" t="n"/>
      <c r="JO1" s="87" t="n"/>
      <c r="JP1" s="87" t="n"/>
      <c r="JQ1" s="87" t="n"/>
      <c r="JR1" s="87" t="n"/>
      <c r="JS1" s="87" t="n"/>
      <c r="JT1" s="87" t="n"/>
      <c r="JU1" s="87" t="n"/>
      <c r="JV1" s="87" t="n"/>
      <c r="JW1" s="87" t="n"/>
      <c r="JX1" s="87" t="n"/>
      <c r="JY1" s="87" t="n"/>
      <c r="JZ1" s="87" t="n"/>
      <c r="KA1" s="87" t="n"/>
      <c r="KB1" s="87" t="n"/>
      <c r="KC1" s="87" t="n"/>
      <c r="KD1" s="87" t="n"/>
      <c r="KE1" s="87" t="n"/>
      <c r="KF1" s="87" t="n"/>
      <c r="KG1" s="87" t="n"/>
      <c r="KH1" s="87" t="n"/>
      <c r="KI1" s="87" t="n"/>
      <c r="KJ1" s="87" t="n"/>
      <c r="KK1" s="87" t="n"/>
      <c r="KL1" s="87" t="n"/>
      <c r="KM1" s="87" t="n"/>
      <c r="KN1" s="87" t="n"/>
      <c r="KO1" s="87" t="n"/>
      <c r="KP1" s="87" t="n"/>
      <c r="KQ1" s="87" t="n"/>
      <c r="KR1" s="87" t="n"/>
      <c r="KS1" s="87" t="n"/>
      <c r="KT1" s="87" t="n"/>
      <c r="KU1" s="87" t="n"/>
      <c r="KV1" s="87" t="n"/>
      <c r="KW1" s="87" t="n"/>
      <c r="KX1" s="87" t="n"/>
      <c r="KY1" s="87" t="n"/>
      <c r="KZ1" s="87" t="n"/>
      <c r="LA1" s="87" t="n"/>
      <c r="LB1" s="87" t="n"/>
      <c r="LC1" s="87" t="n"/>
      <c r="LD1" s="87" t="n"/>
      <c r="LE1" s="87" t="n"/>
      <c r="LF1" s="87" t="n"/>
      <c r="LG1" s="87" t="n"/>
      <c r="LH1" s="87" t="n"/>
      <c r="LI1" s="87" t="n"/>
      <c r="LJ1" s="87" t="n"/>
      <c r="LK1" s="87" t="n"/>
      <c r="LL1" s="87" t="n"/>
      <c r="LM1" s="87" t="n"/>
      <c r="LN1" s="87" t="n"/>
      <c r="LO1" s="87" t="n"/>
      <c r="LP1" s="87" t="n"/>
      <c r="LQ1" s="87" t="n"/>
      <c r="LR1" s="87" t="n"/>
      <c r="LS1" s="87" t="n"/>
      <c r="LT1" s="87" t="n"/>
      <c r="LU1" s="87" t="n"/>
      <c r="LV1" s="87" t="n"/>
      <c r="LW1" s="87" t="n"/>
      <c r="LX1" s="87" t="n"/>
      <c r="LY1" s="87" t="n"/>
      <c r="LZ1" s="87" t="n"/>
      <c r="MA1" s="87" t="n"/>
      <c r="MB1" s="87" t="n"/>
      <c r="MC1" s="87" t="n"/>
      <c r="MD1" s="87" t="n"/>
      <c r="ME1" s="87" t="n"/>
      <c r="MF1" s="87" t="n"/>
      <c r="MG1" s="87" t="n"/>
      <c r="MH1" s="87" t="n"/>
      <c r="MI1" s="87" t="n"/>
      <c r="MJ1" s="87" t="n"/>
      <c r="MK1" s="87" t="n"/>
      <c r="ML1" s="87" t="n"/>
      <c r="MM1" s="87" t="n"/>
      <c r="MN1" s="87" t="n"/>
      <c r="MO1" s="87" t="n"/>
      <c r="MP1" s="87" t="n"/>
      <c r="MQ1" s="87" t="n"/>
      <c r="MR1" s="87" t="n"/>
      <c r="MS1" s="87" t="n"/>
      <c r="MT1" s="87" t="n"/>
      <c r="MU1" s="87" t="n"/>
      <c r="MV1" s="87" t="n"/>
      <c r="MW1" s="87" t="n"/>
      <c r="MX1" s="87" t="n"/>
      <c r="MY1" s="87" t="n"/>
      <c r="MZ1" s="87" t="n"/>
      <c r="NA1" s="87" t="n"/>
      <c r="NB1" s="87" t="n"/>
      <c r="NC1" s="87" t="n"/>
      <c r="ND1" s="87" t="n"/>
      <c r="NE1" s="87" t="n"/>
      <c r="NF1" s="87" t="n"/>
      <c r="NG1" s="87" t="n"/>
      <c r="NH1" s="87" t="n"/>
      <c r="NI1" s="87" t="n"/>
      <c r="NJ1" s="87" t="n"/>
      <c r="NK1" s="87" t="n"/>
      <c r="NL1" s="87" t="n"/>
      <c r="NM1" s="87" t="n"/>
      <c r="NN1" s="87" t="n"/>
      <c r="NO1" s="87" t="n"/>
      <c r="NP1" s="87" t="n"/>
      <c r="NQ1" s="87" t="n"/>
      <c r="NR1" s="87" t="n"/>
      <c r="NS1" s="87" t="n"/>
      <c r="NT1" s="87" t="n"/>
      <c r="NU1" s="87" t="n"/>
      <c r="NV1" s="87" t="n"/>
      <c r="NW1" s="87" t="n"/>
      <c r="NX1" s="87" t="n"/>
      <c r="NY1" s="87" t="n"/>
      <c r="NZ1" s="87" t="n"/>
      <c r="OA1" s="87" t="n"/>
      <c r="OB1" s="87" t="n"/>
      <c r="OC1" s="87" t="n"/>
      <c r="OD1" s="87" t="n"/>
      <c r="OE1" s="87" t="n"/>
      <c r="OF1" s="87" t="n"/>
      <c r="OG1" s="87" t="n"/>
      <c r="OH1" s="87" t="n"/>
      <c r="OI1" s="87" t="n"/>
      <c r="OJ1" s="87" t="n"/>
      <c r="OK1" s="87" t="n"/>
      <c r="OL1" s="87" t="n"/>
      <c r="OM1" s="87" t="n"/>
      <c r="ON1" s="87" t="n"/>
      <c r="OO1" s="87" t="n"/>
      <c r="OP1" s="87" t="n"/>
      <c r="OQ1" s="87" t="n"/>
      <c r="OR1" s="87" t="n"/>
      <c r="OS1" s="87" t="n"/>
      <c r="OT1" s="87" t="n"/>
      <c r="OU1" s="87" t="n"/>
      <c r="OV1" s="87" t="n"/>
      <c r="OW1" s="87" t="n"/>
      <c r="OX1" s="87" t="n"/>
      <c r="OY1" s="87" t="n"/>
      <c r="OZ1" s="87" t="n"/>
      <c r="PA1" s="87" t="n"/>
      <c r="PB1" s="87" t="n"/>
      <c r="PC1" s="87" t="n"/>
      <c r="PD1" s="87" t="n"/>
      <c r="PE1" s="87" t="n"/>
      <c r="PF1" s="87" t="n"/>
      <c r="PG1" s="87" t="n"/>
      <c r="PH1" s="87" t="n"/>
      <c r="PI1" s="87" t="n"/>
      <c r="PJ1" s="87" t="n"/>
      <c r="PK1" s="87" t="n"/>
      <c r="PL1" s="87" t="n"/>
      <c r="PM1" s="87" t="n"/>
      <c r="PN1" s="87" t="n"/>
      <c r="PO1" s="87" t="n"/>
      <c r="PP1" s="87" t="n"/>
      <c r="PQ1" s="87" t="n"/>
      <c r="PR1" s="87" t="n"/>
      <c r="PS1" s="87" t="n"/>
      <c r="PT1" s="87" t="n"/>
      <c r="PU1" s="87" t="n"/>
      <c r="PV1" s="87" t="n"/>
      <c r="PW1" s="87" t="n"/>
      <c r="PX1" s="87" t="n"/>
      <c r="PY1" s="87" t="n"/>
      <c r="PZ1" s="87" t="n"/>
      <c r="QA1" s="87" t="n"/>
      <c r="QB1" s="87" t="n"/>
      <c r="QC1" s="87" t="n"/>
      <c r="QD1" s="87" t="n"/>
      <c r="QE1" s="87" t="n"/>
      <c r="QF1" s="87" t="n"/>
      <c r="QG1" s="87" t="n"/>
      <c r="QH1" s="87" t="n"/>
      <c r="QI1" s="87" t="n"/>
      <c r="QJ1" s="87" t="n"/>
      <c r="QK1" s="87" t="n"/>
      <c r="QL1" s="87" t="n"/>
      <c r="QM1" s="87" t="n"/>
      <c r="QN1" s="87" t="n"/>
      <c r="QO1" s="87" t="n"/>
      <c r="QP1" s="87" t="n"/>
      <c r="QQ1" s="87" t="n"/>
      <c r="QR1" s="87" t="n"/>
      <c r="QS1" s="87" t="n"/>
      <c r="QT1" s="87" t="n"/>
      <c r="QU1" s="87" t="n"/>
      <c r="QV1" s="87" t="n"/>
      <c r="QW1" s="87" t="n"/>
      <c r="QX1" s="87" t="n"/>
      <c r="QY1" s="87" t="n"/>
      <c r="QZ1" s="87" t="n"/>
      <c r="RA1" s="87" t="n"/>
      <c r="RB1" s="87" t="n"/>
      <c r="RC1" s="87" t="n"/>
      <c r="RD1" s="87" t="n"/>
      <c r="RE1" s="87" t="n"/>
      <c r="RF1" s="87" t="n"/>
      <c r="RG1" s="87" t="n"/>
      <c r="RH1" s="87" t="n"/>
      <c r="RI1" s="87" t="n"/>
      <c r="RJ1" s="87" t="n"/>
      <c r="RK1" s="87" t="n"/>
      <c r="RL1" s="87" t="n"/>
      <c r="RM1" s="87" t="n"/>
      <c r="RN1" s="87" t="n"/>
      <c r="RO1" s="87" t="n"/>
      <c r="RP1" s="87" t="n"/>
      <c r="RQ1" s="87" t="n"/>
      <c r="RR1" s="87" t="n"/>
      <c r="RS1" s="87" t="n"/>
      <c r="RT1" s="87" t="n"/>
      <c r="RU1" s="87" t="n"/>
      <c r="RV1" s="87" t="n"/>
      <c r="RW1" s="87" t="n"/>
      <c r="RX1" s="87" t="n"/>
      <c r="RY1" s="87" t="n"/>
      <c r="RZ1" s="87" t="n"/>
      <c r="SA1" s="87" t="n"/>
      <c r="SB1" s="87" t="n"/>
      <c r="SC1" s="87" t="n"/>
      <c r="SD1" s="87" t="n"/>
      <c r="SE1" s="87" t="n"/>
      <c r="SF1" s="87" t="n"/>
      <c r="SG1" s="87" t="n"/>
      <c r="SH1" s="87" t="n"/>
      <c r="SI1" s="87" t="n"/>
      <c r="SJ1" s="87" t="n"/>
      <c r="SK1" s="87" t="n"/>
      <c r="SL1" s="87" t="n"/>
      <c r="SM1" s="87" t="n"/>
      <c r="SN1" s="87" t="n"/>
      <c r="SO1" s="87" t="n"/>
      <c r="SP1" s="87" t="n"/>
      <c r="SQ1" s="87" t="n"/>
      <c r="SR1" s="87" t="n"/>
      <c r="SS1" s="87" t="n"/>
      <c r="ST1" s="87" t="n"/>
      <c r="SU1" s="87" t="n"/>
      <c r="SV1" s="87" t="n"/>
      <c r="SW1" s="87" t="n"/>
      <c r="SX1" s="87" t="n"/>
      <c r="SY1" s="87" t="n"/>
      <c r="SZ1" s="87" t="n"/>
      <c r="TA1" s="87" t="n"/>
      <c r="TB1" s="87" t="n"/>
      <c r="TC1" s="87" t="n"/>
      <c r="TD1" s="87" t="n"/>
      <c r="TE1" s="87" t="n"/>
      <c r="TF1" s="87" t="n"/>
      <c r="TG1" s="87" t="n"/>
      <c r="TH1" s="87" t="n"/>
      <c r="TI1" s="87" t="n"/>
      <c r="TJ1" s="87" t="n"/>
      <c r="TK1" s="87" t="n"/>
      <c r="TL1" s="87" t="n"/>
      <c r="TM1" s="87" t="n"/>
      <c r="TN1" s="87" t="n"/>
      <c r="TO1" s="87" t="n"/>
      <c r="TP1" s="87" t="n"/>
      <c r="TQ1" s="87" t="n"/>
      <c r="TR1" s="87" t="n"/>
      <c r="TS1" s="87" t="n"/>
      <c r="TT1" s="87" t="n"/>
      <c r="TU1" s="87" t="n"/>
      <c r="TV1" s="87" t="n"/>
      <c r="TW1" s="87" t="n"/>
      <c r="TX1" s="87" t="n"/>
      <c r="TY1" s="87" t="n"/>
      <c r="TZ1" s="87" t="n"/>
      <c r="UA1" s="87" t="n"/>
      <c r="UB1" s="87" t="n"/>
      <c r="UC1" s="87" t="n"/>
      <c r="UD1" s="87" t="n"/>
      <c r="UE1" s="87" t="n"/>
      <c r="UF1" s="87" t="n"/>
      <c r="UG1" s="87" t="n"/>
      <c r="UH1" s="87" t="n"/>
      <c r="UI1" s="87" t="n"/>
      <c r="UJ1" s="87" t="n"/>
      <c r="UK1" s="87" t="n"/>
      <c r="UL1" s="87" t="n"/>
      <c r="UM1" s="87" t="n"/>
      <c r="UN1" s="87" t="n"/>
      <c r="UO1" s="87" t="n"/>
      <c r="UP1" s="87" t="n"/>
      <c r="UQ1" s="87" t="n"/>
      <c r="UR1" s="87" t="n"/>
      <c r="US1" s="87" t="n"/>
      <c r="UT1" s="87" t="n"/>
      <c r="UU1" s="87" t="n"/>
      <c r="UV1" s="87" t="n"/>
      <c r="UW1" s="87" t="n"/>
      <c r="UX1" s="87" t="n"/>
      <c r="UY1" s="87" t="n"/>
      <c r="UZ1" s="87" t="n"/>
      <c r="VA1" s="87" t="n"/>
      <c r="VB1" s="87" t="n"/>
      <c r="VC1" s="87" t="n"/>
      <c r="VD1" s="87" t="n"/>
      <c r="VE1" s="87" t="n"/>
      <c r="VF1" s="87" t="n"/>
      <c r="VG1" s="87" t="n"/>
      <c r="VH1" s="87" t="n"/>
      <c r="VI1" s="87" t="n"/>
      <c r="VJ1" s="87" t="n"/>
      <c r="VK1" s="87" t="n"/>
      <c r="VL1" s="87" t="n"/>
      <c r="VM1" s="87" t="n"/>
      <c r="VN1" s="87" t="n"/>
      <c r="VO1" s="87" t="n"/>
      <c r="VP1" s="87" t="n"/>
      <c r="VQ1" s="87" t="n"/>
      <c r="VR1" s="87" t="n"/>
      <c r="VS1" s="87" t="n"/>
      <c r="VT1" s="87" t="n"/>
      <c r="VU1" s="87" t="n"/>
      <c r="VV1" s="87" t="n"/>
      <c r="VW1" s="87" t="n"/>
      <c r="VX1" s="87" t="n"/>
      <c r="VY1" s="87" t="n"/>
      <c r="VZ1" s="87" t="n"/>
      <c r="WA1" s="87" t="n"/>
      <c r="WB1" s="87" t="n"/>
      <c r="WC1" s="87" t="n"/>
      <c r="WD1" s="87" t="n"/>
      <c r="WE1" s="87" t="n"/>
      <c r="WF1" s="87" t="n"/>
      <c r="WG1" s="87" t="n"/>
      <c r="WH1" s="87" t="n"/>
      <c r="WI1" s="87" t="n"/>
      <c r="WJ1" s="87" t="n"/>
      <c r="WK1" s="87" t="n"/>
      <c r="WL1" s="87" t="n"/>
      <c r="WM1" s="87" t="n"/>
      <c r="WN1" s="87" t="n"/>
      <c r="WO1" s="87" t="n"/>
      <c r="WP1" s="87" t="n"/>
      <c r="WQ1" s="87" t="n"/>
      <c r="WR1" s="87" t="n"/>
      <c r="WS1" s="87" t="n"/>
      <c r="WT1" s="87" t="n"/>
      <c r="WU1" s="87" t="n"/>
      <c r="WV1" s="87" t="n"/>
      <c r="WW1" s="87" t="n"/>
      <c r="WX1" s="87" t="n"/>
      <c r="WY1" s="87" t="n"/>
      <c r="WZ1" s="87" t="n"/>
      <c r="XA1" s="87" t="n"/>
      <c r="XB1" s="87" t="n"/>
      <c r="XC1" s="87" t="n"/>
      <c r="XD1" s="87" t="n"/>
      <c r="XE1" s="87" t="n"/>
      <c r="XF1" s="87" t="n"/>
      <c r="XG1" s="87" t="n"/>
      <c r="XH1" s="87" t="n"/>
      <c r="XI1" s="87" t="n"/>
      <c r="XJ1" s="87" t="n"/>
      <c r="XK1" s="87" t="n"/>
      <c r="XL1" s="87" t="n"/>
      <c r="XM1" s="87" t="n"/>
      <c r="XN1" s="87" t="n"/>
      <c r="XO1" s="87" t="n"/>
      <c r="XP1" s="87" t="n"/>
      <c r="XQ1" s="87" t="n"/>
      <c r="XR1" s="87" t="n"/>
      <c r="XS1" s="87" t="n"/>
      <c r="XT1" s="87" t="n"/>
      <c r="XU1" s="87" t="n"/>
      <c r="XV1" s="87" t="n"/>
      <c r="XW1" s="87" t="n"/>
      <c r="XX1" s="87" t="n"/>
      <c r="XY1" s="87" t="n"/>
      <c r="XZ1" s="87" t="n"/>
      <c r="YA1" s="87" t="n"/>
      <c r="YB1" s="87" t="n"/>
      <c r="YC1" s="87" t="n"/>
      <c r="YD1" s="87" t="n"/>
      <c r="YE1" s="87" t="n"/>
      <c r="YF1" s="87" t="n"/>
      <c r="YG1" s="87" t="n"/>
      <c r="YH1" s="87" t="n"/>
      <c r="YI1" s="87" t="n"/>
      <c r="YJ1" s="87" t="n"/>
      <c r="YK1" s="87" t="n"/>
      <c r="YL1" s="87" t="n"/>
      <c r="YM1" s="87" t="n"/>
      <c r="YN1" s="87" t="n"/>
      <c r="YO1" s="87" t="n"/>
      <c r="YP1" s="87" t="n"/>
      <c r="YQ1" s="87" t="n"/>
      <c r="YR1" s="87" t="n"/>
      <c r="YS1" s="87" t="n"/>
      <c r="YT1" s="87" t="n"/>
      <c r="YU1" s="87" t="n"/>
      <c r="YV1" s="87" t="n"/>
      <c r="YW1" s="87" t="n"/>
      <c r="YX1" s="87" t="n"/>
      <c r="YY1" s="87" t="n"/>
      <c r="YZ1" s="87" t="n"/>
      <c r="ZA1" s="87" t="n"/>
      <c r="ZB1" s="87" t="n"/>
      <c r="ZC1" s="87" t="n"/>
      <c r="ZD1" s="87" t="n"/>
      <c r="ZE1" s="87" t="n"/>
      <c r="ZF1" s="87" t="n"/>
      <c r="ZG1" s="87" t="n"/>
      <c r="ZH1" s="87" t="n"/>
      <c r="ZI1" s="87" t="n"/>
      <c r="ZJ1" s="87" t="n"/>
      <c r="ZK1" s="87" t="n"/>
      <c r="ZL1" s="87" t="n"/>
      <c r="ZM1" s="87" t="n"/>
      <c r="ZN1" s="87" t="n"/>
      <c r="ZO1" s="87" t="n"/>
      <c r="ZP1" s="87" t="n"/>
      <c r="ZQ1" s="87" t="n"/>
      <c r="ZR1" s="87" t="n"/>
      <c r="ZS1" s="87" t="n"/>
      <c r="ZT1" s="87" t="n"/>
      <c r="ZU1" s="87" t="n"/>
      <c r="ZV1" s="87" t="n"/>
      <c r="ZW1" s="87" t="n"/>
      <c r="ZX1" s="87" t="n"/>
      <c r="ZY1" s="87" t="n"/>
      <c r="ZZ1" s="87" t="n"/>
      <c r="AAA1" s="87" t="n"/>
      <c r="AAB1" s="87" t="n"/>
      <c r="AAC1" s="87" t="n"/>
      <c r="AAD1" s="87" t="n"/>
      <c r="AAE1" s="87" t="n"/>
      <c r="AAF1" s="87" t="n"/>
      <c r="AAG1" s="87" t="n"/>
      <c r="AAH1" s="87" t="n"/>
      <c r="AAI1" s="87" t="n"/>
      <c r="AAJ1" s="87" t="n"/>
      <c r="AAK1" s="87" t="n"/>
      <c r="AAL1" s="87" t="n"/>
      <c r="AAM1" s="87" t="n"/>
      <c r="AAN1" s="87" t="n"/>
      <c r="AAO1" s="87" t="n"/>
      <c r="AAP1" s="87" t="n"/>
      <c r="AAQ1" s="87" t="n"/>
      <c r="AAR1" s="87" t="n"/>
      <c r="AAS1" s="87" t="n"/>
      <c r="AAT1" s="87" t="n"/>
      <c r="AAU1" s="87" t="n"/>
      <c r="AAV1" s="87" t="n"/>
      <c r="AAW1" s="87" t="n"/>
      <c r="AAX1" s="87" t="n"/>
      <c r="AAY1" s="87" t="n"/>
      <c r="AAZ1" s="87" t="n"/>
      <c r="ABA1" s="87" t="n"/>
      <c r="ABB1" s="87" t="n"/>
      <c r="ABC1" s="87" t="n"/>
      <c r="ABD1" s="87" t="n"/>
      <c r="ABE1" s="87" t="n"/>
      <c r="ABF1" s="87" t="n"/>
      <c r="ABG1" s="87" t="n"/>
      <c r="ABH1" s="87" t="n"/>
      <c r="ABI1" s="87" t="n"/>
      <c r="ABJ1" s="87" t="n"/>
      <c r="ABK1" s="87" t="n"/>
      <c r="ABL1" s="87" t="n"/>
      <c r="ABM1" s="87" t="n"/>
      <c r="ABN1" s="87" t="n"/>
      <c r="ABO1" s="87" t="n"/>
      <c r="ABP1" s="87" t="n"/>
      <c r="ABQ1" s="87" t="n"/>
      <c r="ABR1" s="87" t="n"/>
      <c r="ABS1" s="87" t="n"/>
      <c r="ABT1" s="87" t="n"/>
      <c r="ABU1" s="87" t="n"/>
      <c r="ABV1" s="87" t="n"/>
      <c r="ABW1" s="87" t="n"/>
      <c r="ABX1" s="87" t="n"/>
      <c r="ABY1" s="87" t="n"/>
      <c r="ABZ1" s="87" t="n"/>
      <c r="ACA1" s="87" t="n"/>
      <c r="ACB1" s="87" t="n"/>
      <c r="ACC1" s="87" t="n"/>
      <c r="ACD1" s="87" t="n"/>
      <c r="ACE1" s="87" t="n"/>
      <c r="ACF1" s="87" t="n"/>
      <c r="ACG1" s="87" t="n"/>
      <c r="ACH1" s="87" t="n"/>
      <c r="ACI1" s="87" t="n"/>
      <c r="ACJ1" s="87" t="n"/>
      <c r="ACK1" s="87" t="n"/>
      <c r="ACL1" s="87" t="n"/>
      <c r="ACM1" s="87" t="n"/>
      <c r="ACN1" s="87" t="n"/>
      <c r="ACO1" s="87" t="n"/>
      <c r="ACP1" s="87" t="n"/>
      <c r="ACQ1" s="87" t="n"/>
      <c r="ACR1" s="87" t="n"/>
      <c r="ACS1" s="87" t="n"/>
      <c r="ACT1" s="87" t="n"/>
      <c r="ACU1" s="87" t="n"/>
      <c r="ACV1" s="87" t="n"/>
      <c r="ACW1" s="87" t="n"/>
      <c r="ACX1" s="87" t="n"/>
      <c r="ACY1" s="87" t="n"/>
      <c r="ACZ1" s="87" t="n"/>
      <c r="ADA1" s="87" t="n"/>
      <c r="ADB1" s="87" t="n"/>
      <c r="ADC1" s="87" t="n"/>
      <c r="ADD1" s="87" t="n"/>
      <c r="ADE1" s="87" t="n"/>
      <c r="ADF1" s="87" t="n"/>
      <c r="ADG1" s="87" t="n"/>
      <c r="ADH1" s="87" t="n"/>
      <c r="ADI1" s="87" t="n"/>
      <c r="ADJ1" s="87" t="n"/>
      <c r="ADK1" s="87" t="n"/>
      <c r="ADL1" s="87" t="n"/>
      <c r="ADM1" s="87" t="n"/>
      <c r="ADN1" s="87" t="n"/>
      <c r="ADO1" s="87" t="n"/>
      <c r="ADP1" s="87" t="n"/>
      <c r="ADQ1" s="87" t="n"/>
      <c r="ADR1" s="87" t="n"/>
      <c r="ADS1" s="87" t="n"/>
      <c r="ADT1" s="87" t="n"/>
      <c r="ADU1" s="87" t="n"/>
      <c r="ADV1" s="87" t="n"/>
      <c r="ADW1" s="87" t="n"/>
      <c r="ADX1" s="87" t="n"/>
      <c r="ADY1" s="87" t="n"/>
      <c r="ADZ1" s="87" t="n"/>
      <c r="AEA1" s="87" t="n"/>
      <c r="AEB1" s="87" t="n"/>
      <c r="AEC1" s="87" t="n"/>
      <c r="AED1" s="87" t="n"/>
      <c r="AEE1" s="87" t="n"/>
      <c r="AEF1" s="87" t="n"/>
      <c r="AEG1" s="87" t="n"/>
      <c r="AEH1" s="87" t="n"/>
      <c r="AEI1" s="87" t="n"/>
      <c r="AEJ1" s="87" t="n"/>
      <c r="AEK1" s="87" t="n"/>
      <c r="AEL1" s="87" t="n"/>
      <c r="AEM1" s="87" t="n"/>
      <c r="AEN1" s="87" t="n"/>
      <c r="AEO1" s="87" t="n"/>
      <c r="AEP1" s="87" t="n"/>
      <c r="AEQ1" s="87" t="n"/>
      <c r="AER1" s="87" t="n"/>
      <c r="AES1" s="87" t="n"/>
      <c r="AET1" s="87" t="n"/>
      <c r="AEU1" s="87" t="n"/>
      <c r="AEV1" s="87" t="n"/>
      <c r="AEW1" s="87" t="n"/>
      <c r="AEX1" s="87" t="n"/>
      <c r="AEY1" s="87" t="n"/>
      <c r="AEZ1" s="87" t="n"/>
      <c r="AFA1" s="87" t="n"/>
      <c r="AFB1" s="87" t="n"/>
      <c r="AFC1" s="87" t="n"/>
      <c r="AFD1" s="87" t="n"/>
      <c r="AFE1" s="87" t="n"/>
      <c r="AFF1" s="87" t="n"/>
      <c r="AFG1" s="87" t="n"/>
      <c r="AFH1" s="87" t="n"/>
      <c r="AFI1" s="87" t="n"/>
      <c r="AFJ1" s="87" t="n"/>
      <c r="AFK1" s="87" t="n"/>
      <c r="AFL1" s="87" t="n"/>
      <c r="AFM1" s="87" t="n"/>
      <c r="AFN1" s="87" t="n"/>
      <c r="AFO1" s="87" t="n"/>
      <c r="AFP1" s="87" t="n"/>
      <c r="AFQ1" s="87" t="n"/>
      <c r="AFR1" s="87" t="n"/>
      <c r="AFS1" s="87" t="n"/>
      <c r="AFT1" s="87" t="n"/>
      <c r="AFU1" s="87" t="n"/>
      <c r="AFV1" s="87" t="n"/>
      <c r="AFW1" s="87" t="n"/>
      <c r="AFX1" s="87" t="n"/>
      <c r="AFY1" s="87" t="n"/>
      <c r="AFZ1" s="87" t="n"/>
      <c r="AGA1" s="87" t="n"/>
      <c r="AGB1" s="87" t="n"/>
      <c r="AGC1" s="87" t="n"/>
      <c r="AGD1" s="87" t="n"/>
      <c r="AGE1" s="87" t="n"/>
      <c r="AGF1" s="87" t="n"/>
      <c r="AGG1" s="87" t="n"/>
      <c r="AGH1" s="87" t="n"/>
      <c r="AGI1" s="87" t="n"/>
      <c r="AGJ1" s="87" t="n"/>
      <c r="AGK1" s="87" t="n"/>
      <c r="AGL1" s="87" t="n"/>
      <c r="AGM1" s="87" t="n"/>
      <c r="AGN1" s="87" t="n"/>
      <c r="AGO1" s="87" t="n"/>
      <c r="AGP1" s="87" t="n"/>
      <c r="AGQ1" s="87" t="n"/>
      <c r="AGR1" s="87" t="n"/>
      <c r="AGS1" s="87" t="n"/>
      <c r="AGT1" s="87" t="n"/>
      <c r="AGU1" s="87" t="n"/>
      <c r="AGV1" s="87" t="n"/>
      <c r="AGW1" s="87" t="n"/>
      <c r="AGX1" s="87" t="n"/>
      <c r="AGY1" s="87" t="n"/>
      <c r="AGZ1" s="87" t="n"/>
      <c r="AHA1" s="87" t="n"/>
      <c r="AHB1" s="87" t="n"/>
      <c r="AHC1" s="87" t="n"/>
      <c r="AHD1" s="87" t="n"/>
      <c r="AHE1" s="87" t="n"/>
      <c r="AHF1" s="87" t="n"/>
      <c r="AHG1" s="87" t="n"/>
      <c r="AHH1" s="87" t="n"/>
      <c r="AHI1" s="87" t="n"/>
      <c r="AHJ1" s="87" t="n"/>
      <c r="AHK1" s="87" t="n"/>
      <c r="AHL1" s="87" t="n"/>
      <c r="AHM1" s="87" t="n"/>
      <c r="AHN1" s="87" t="n"/>
      <c r="AHO1" s="87" t="n"/>
      <c r="AHP1" s="87" t="n"/>
      <c r="AHQ1" s="87" t="n"/>
      <c r="AHR1" s="87" t="n"/>
      <c r="AHS1" s="87" t="n"/>
      <c r="AHT1" s="87" t="n"/>
      <c r="AHU1" s="87" t="n"/>
      <c r="AHV1" s="87" t="n"/>
      <c r="AHW1" s="87" t="n"/>
      <c r="AHX1" s="87" t="n"/>
      <c r="AHY1" s="87" t="n"/>
      <c r="AHZ1" s="87" t="n"/>
      <c r="AIA1" s="87" t="n"/>
      <c r="AIB1" s="87" t="n"/>
      <c r="AIC1" s="87" t="n"/>
      <c r="AID1" s="87" t="n"/>
      <c r="AIE1" s="87" t="n"/>
      <c r="AIF1" s="87" t="n"/>
      <c r="AIG1" s="87" t="n"/>
      <c r="AIH1" s="87" t="n"/>
      <c r="AII1" s="87" t="n"/>
      <c r="AIJ1" s="87" t="n"/>
      <c r="AIK1" s="87" t="n"/>
      <c r="AIL1" s="87" t="n"/>
      <c r="AIM1" s="87" t="n"/>
      <c r="AIN1" s="87" t="n"/>
      <c r="AIO1" s="87" t="n"/>
      <c r="AIP1" s="87" t="n"/>
      <c r="AIQ1" s="87" t="n"/>
      <c r="AIR1" s="87" t="n"/>
      <c r="AIS1" s="87" t="n"/>
      <c r="AIT1" s="87" t="n"/>
      <c r="AIU1" s="87" t="n"/>
      <c r="AIV1" s="87" t="n"/>
      <c r="AIW1" s="87" t="n"/>
      <c r="AIX1" s="87" t="n"/>
      <c r="AIY1" s="87" t="n"/>
      <c r="AIZ1" s="87" t="n"/>
      <c r="AJA1" s="87" t="n"/>
      <c r="AJB1" s="87" t="n"/>
      <c r="AJC1" s="87" t="n"/>
      <c r="AJD1" s="87" t="n"/>
      <c r="AJE1" s="87" t="n"/>
      <c r="AJF1" s="87" t="n"/>
      <c r="AJG1" s="87" t="n"/>
      <c r="AJH1" s="87" t="n"/>
      <c r="AJI1" s="87" t="n"/>
      <c r="AJJ1" s="87" t="n"/>
      <c r="AJK1" s="87" t="n"/>
      <c r="AJL1" s="87" t="n"/>
      <c r="AJM1" s="87" t="n"/>
      <c r="AJN1" s="87" t="n"/>
      <c r="AJO1" s="87" t="n"/>
      <c r="AJP1" s="87" t="n"/>
      <c r="AJQ1" s="87" t="n"/>
      <c r="AJR1" s="87" t="n"/>
      <c r="AJS1" s="87" t="n"/>
      <c r="AJT1" s="87" t="n"/>
      <c r="AJU1" s="87" t="n"/>
      <c r="AJV1" s="87" t="n"/>
      <c r="AJW1" s="87" t="n"/>
      <c r="AJX1" s="87" t="n"/>
      <c r="AJY1" s="87" t="n"/>
      <c r="AJZ1" s="87" t="n"/>
      <c r="AKA1" s="87" t="n"/>
      <c r="AKB1" s="87" t="n"/>
      <c r="AKC1" s="87" t="n"/>
      <c r="AKD1" s="87" t="n"/>
      <c r="AKE1" s="87" t="n"/>
      <c r="AKF1" s="87" t="n"/>
      <c r="AKG1" s="87" t="n"/>
      <c r="AKH1" s="87" t="n"/>
      <c r="AKI1" s="87" t="n"/>
      <c r="AKJ1" s="87" t="n"/>
      <c r="AKK1" s="87" t="n"/>
      <c r="AKL1" s="87" t="n"/>
      <c r="AKM1" s="87" t="n"/>
      <c r="AKN1" s="87" t="n"/>
      <c r="AKO1" s="87" t="n"/>
      <c r="AKP1" s="87" t="n"/>
      <c r="AKQ1" s="87" t="n"/>
      <c r="AKR1" s="87" t="n"/>
      <c r="AKS1" s="87" t="n"/>
      <c r="AKT1" s="87" t="n"/>
      <c r="AKU1" s="87" t="n"/>
      <c r="AKV1" s="87" t="n"/>
      <c r="AKW1" s="87" t="n"/>
      <c r="AKX1" s="87" t="n"/>
      <c r="AKY1" s="87" t="n"/>
      <c r="AKZ1" s="87" t="n"/>
      <c r="ALA1" s="87" t="n"/>
      <c r="ALB1" s="87" t="n"/>
      <c r="ALC1" s="87" t="n"/>
      <c r="ALD1" s="87" t="n"/>
      <c r="ALE1" s="87" t="n"/>
      <c r="ALF1" s="87" t="n"/>
      <c r="ALG1" s="87" t="n"/>
      <c r="ALH1" s="87" t="n"/>
      <c r="ALI1" s="87" t="n"/>
      <c r="ALJ1" s="87" t="n"/>
      <c r="ALK1" s="87" t="n"/>
      <c r="ALL1" s="87" t="n"/>
      <c r="ALM1" s="87" t="n"/>
      <c r="ALN1" s="87" t="n"/>
      <c r="ALO1" s="87" t="n"/>
      <c r="ALP1" s="87" t="n"/>
      <c r="ALQ1" s="87" t="n"/>
      <c r="ALR1" s="87" t="n"/>
      <c r="ALS1" s="87" t="n"/>
      <c r="ALT1" s="87" t="n"/>
      <c r="ALU1" s="87" t="n"/>
      <c r="ALV1" s="87" t="n"/>
      <c r="ALW1" s="87" t="n"/>
      <c r="ALX1" s="87" t="n"/>
      <c r="ALY1" s="87" t="n"/>
      <c r="ALZ1" s="87" t="n"/>
      <c r="AMA1" s="87" t="n"/>
      <c r="AMB1" s="87" t="n"/>
      <c r="AMC1" s="87" t="n"/>
      <c r="AMD1" s="87" t="n"/>
      <c r="AME1" s="87" t="n"/>
      <c r="AMF1" s="87" t="n"/>
      <c r="AMG1" s="87" t="n"/>
      <c r="AMH1" s="87" t="n"/>
      <c r="AMI1" s="87" t="n"/>
      <c r="AMJ1" s="87" t="n"/>
      <c r="AMK1" s="87" t="n"/>
      <c r="AML1" s="87" t="n"/>
      <c r="AMM1" s="87" t="n"/>
      <c r="AMN1" s="87" t="n"/>
      <c r="AMO1" s="87" t="n"/>
      <c r="AMP1" s="87" t="n"/>
      <c r="AMQ1" s="87" t="n"/>
      <c r="AMR1" s="87" t="n"/>
      <c r="AMS1" s="87" t="n"/>
      <c r="AMT1" s="87" t="n"/>
      <c r="AMU1" s="87" t="n"/>
      <c r="AMV1" s="87" t="n"/>
      <c r="AMW1" s="87" t="n"/>
      <c r="AMX1" s="87" t="n"/>
      <c r="AMY1" s="87" t="n"/>
      <c r="AMZ1" s="87" t="n"/>
      <c r="ANA1" s="87" t="n"/>
      <c r="ANB1" s="87" t="n"/>
      <c r="ANC1" s="87" t="n"/>
      <c r="AND1" s="87" t="n"/>
      <c r="ANE1" s="87" t="n"/>
      <c r="ANF1" s="87" t="n"/>
      <c r="ANG1" s="87" t="n"/>
      <c r="ANH1" s="87" t="n"/>
      <c r="ANI1" s="87" t="n"/>
      <c r="ANJ1" s="87" t="n"/>
      <c r="ANK1" s="87" t="n"/>
      <c r="ANL1" s="87" t="n"/>
      <c r="ANM1" s="87" t="n"/>
      <c r="ANN1" s="87" t="n"/>
      <c r="ANO1" s="87" t="n"/>
      <c r="ANP1" s="87" t="n"/>
      <c r="ANQ1" s="87" t="n"/>
      <c r="ANR1" s="87" t="n"/>
      <c r="ANS1" s="87" t="n"/>
      <c r="ANT1" s="87" t="n"/>
      <c r="ANU1" s="87" t="n"/>
      <c r="ANV1" s="87" t="n"/>
      <c r="ANW1" s="87" t="n"/>
      <c r="ANX1" s="87" t="n"/>
      <c r="ANY1" s="87" t="n"/>
      <c r="ANZ1" s="87" t="n"/>
      <c r="AOA1" s="87" t="n"/>
      <c r="AOB1" s="87" t="n"/>
      <c r="AOC1" s="87" t="n"/>
      <c r="AOD1" s="87" t="n"/>
      <c r="AOE1" s="87" t="n"/>
      <c r="AOF1" s="87" t="n"/>
      <c r="AOG1" s="87" t="n"/>
      <c r="AOH1" s="87" t="n"/>
      <c r="AOI1" s="87" t="n"/>
      <c r="AOJ1" s="87" t="n"/>
      <c r="AOK1" s="87" t="n"/>
      <c r="AOL1" s="87" t="n"/>
      <c r="AOM1" s="87" t="n"/>
      <c r="AON1" s="87" t="n"/>
      <c r="AOO1" s="87" t="n"/>
      <c r="AOP1" s="87" t="n"/>
      <c r="AOQ1" s="87" t="n"/>
      <c r="AOR1" s="87" t="n"/>
      <c r="AOS1" s="87" t="n"/>
      <c r="AOT1" s="87" t="n"/>
      <c r="AOU1" s="87" t="n"/>
      <c r="AOV1" s="87" t="n"/>
      <c r="AOW1" s="87" t="n"/>
      <c r="AOX1" s="87" t="n"/>
      <c r="AOY1" s="87" t="n"/>
      <c r="AOZ1" s="87" t="n"/>
      <c r="APA1" s="87" t="n"/>
      <c r="APB1" s="87" t="n"/>
      <c r="APC1" s="87" t="n"/>
      <c r="APD1" s="87" t="n"/>
      <c r="APE1" s="87" t="n"/>
      <c r="APF1" s="87" t="n"/>
      <c r="APG1" s="87" t="n"/>
      <c r="APH1" s="87" t="n"/>
      <c r="API1" s="87" t="n"/>
      <c r="APJ1" s="87" t="n"/>
      <c r="APK1" s="87" t="n"/>
      <c r="APL1" s="87" t="n"/>
      <c r="APM1" s="87" t="n"/>
      <c r="APN1" s="87" t="n"/>
      <c r="APO1" s="87" t="n"/>
      <c r="APP1" s="87" t="n"/>
      <c r="APQ1" s="87" t="n"/>
      <c r="APR1" s="87" t="n"/>
      <c r="APS1" s="87" t="n"/>
      <c r="APT1" s="87" t="n"/>
      <c r="APU1" s="87" t="n"/>
      <c r="APV1" s="87" t="n"/>
      <c r="APW1" s="87" t="n"/>
      <c r="APX1" s="87" t="n"/>
      <c r="APY1" s="87" t="n"/>
      <c r="APZ1" s="87" t="n"/>
      <c r="AQA1" s="87" t="n"/>
      <c r="AQB1" s="87" t="n"/>
      <c r="AQC1" s="87" t="n"/>
      <c r="AQD1" s="87" t="n"/>
      <c r="AQE1" s="87" t="n"/>
      <c r="AQF1" s="87" t="n"/>
      <c r="AQG1" s="87" t="n"/>
      <c r="AQH1" s="87" t="n"/>
      <c r="AQI1" s="87" t="n"/>
      <c r="AQJ1" s="87" t="n"/>
      <c r="AQK1" s="87" t="n"/>
      <c r="AQL1" s="87" t="n"/>
      <c r="AQM1" s="87" t="n"/>
      <c r="AQN1" s="87" t="n"/>
      <c r="AQO1" s="87" t="n"/>
      <c r="AQP1" s="87" t="n"/>
      <c r="AQQ1" s="87" t="n"/>
      <c r="AQR1" s="87" t="n"/>
      <c r="AQS1" s="87" t="n"/>
      <c r="AQT1" s="87" t="n"/>
      <c r="AQU1" s="87" t="n"/>
      <c r="AQV1" s="87" t="n"/>
      <c r="AQW1" s="87" t="n"/>
      <c r="AQX1" s="87" t="n"/>
      <c r="AQY1" s="87" t="n"/>
      <c r="AQZ1" s="87" t="n"/>
      <c r="ARA1" s="87" t="n"/>
      <c r="ARB1" s="87" t="n"/>
      <c r="ARC1" s="87" t="n"/>
      <c r="ARD1" s="87" t="n"/>
      <c r="ARE1" s="87" t="n"/>
      <c r="ARF1" s="87" t="n"/>
      <c r="ARG1" s="87" t="n"/>
      <c r="ARH1" s="87" t="n"/>
      <c r="ARI1" s="87" t="n"/>
      <c r="ARJ1" s="87" t="n"/>
      <c r="ARK1" s="87" t="n"/>
      <c r="ARL1" s="87" t="n"/>
      <c r="ARM1" s="87" t="n"/>
      <c r="ARN1" s="87" t="n"/>
      <c r="ARO1" s="87" t="n"/>
      <c r="ARP1" s="87" t="n"/>
      <c r="ARQ1" s="87" t="n"/>
      <c r="ARR1" s="87" t="n"/>
      <c r="ARS1" s="87" t="n"/>
      <c r="ART1" s="87" t="n"/>
      <c r="ARU1" s="87" t="n"/>
      <c r="ARV1" s="87" t="n"/>
      <c r="ARW1" s="87" t="n"/>
      <c r="ARX1" s="87" t="n"/>
      <c r="ARY1" s="87" t="n"/>
      <c r="ARZ1" s="87" t="n"/>
      <c r="ASA1" s="87" t="n"/>
      <c r="ASB1" s="87" t="n"/>
      <c r="ASC1" s="87" t="n"/>
      <c r="ASD1" s="87" t="n"/>
      <c r="ASE1" s="87" t="n"/>
      <c r="ASF1" s="87" t="n"/>
      <c r="ASG1" s="87" t="n"/>
      <c r="ASH1" s="87" t="n"/>
      <c r="ASI1" s="87" t="n"/>
      <c r="ASJ1" s="87" t="n"/>
      <c r="ASK1" s="87" t="n"/>
      <c r="ASL1" s="87" t="n"/>
      <c r="ASM1" s="87" t="n"/>
      <c r="ASN1" s="87" t="n"/>
      <c r="ASO1" s="87" t="n"/>
      <c r="ASP1" s="87" t="n"/>
      <c r="ASQ1" s="87" t="n"/>
      <c r="ASR1" s="87" t="n"/>
      <c r="ASS1" s="87" t="n"/>
      <c r="AST1" s="87" t="n"/>
      <c r="ASU1" s="87" t="n"/>
      <c r="ASV1" s="87" t="n"/>
      <c r="ASW1" s="87" t="n"/>
      <c r="ASX1" s="87" t="n"/>
      <c r="ASY1" s="87" t="n"/>
      <c r="ASZ1" s="87" t="n"/>
      <c r="ATA1" s="87" t="n"/>
      <c r="ATB1" s="87" t="n"/>
      <c r="ATC1" s="87" t="n"/>
      <c r="ATD1" s="87" t="n"/>
      <c r="ATE1" s="87" t="n"/>
      <c r="ATF1" s="87" t="n"/>
      <c r="ATG1" s="87" t="n"/>
      <c r="ATH1" s="87" t="n"/>
      <c r="ATI1" s="87" t="n"/>
      <c r="ATJ1" s="87" t="n"/>
      <c r="ATK1" s="87" t="n"/>
      <c r="ATL1" s="87" t="n"/>
      <c r="ATM1" s="87" t="n"/>
      <c r="ATN1" s="87" t="n"/>
      <c r="ATO1" s="87" t="n"/>
      <c r="ATP1" s="87" t="n"/>
      <c r="ATQ1" s="87" t="n"/>
      <c r="ATR1" s="87" t="n"/>
      <c r="ATS1" s="87" t="n"/>
      <c r="ATT1" s="87" t="n"/>
      <c r="ATU1" s="87" t="n"/>
      <c r="ATV1" s="87" t="n"/>
      <c r="ATW1" s="87" t="n"/>
      <c r="ATX1" s="87" t="n"/>
      <c r="ATY1" s="87" t="n"/>
      <c r="ATZ1" s="87" t="n"/>
      <c r="AUA1" s="87" t="n"/>
      <c r="AUB1" s="87" t="n"/>
      <c r="AUC1" s="87" t="n"/>
      <c r="AUD1" s="87" t="n"/>
      <c r="AUE1" s="87" t="n"/>
      <c r="AUF1" s="87" t="n"/>
      <c r="AUG1" s="87" t="n"/>
      <c r="AUH1" s="87" t="n"/>
      <c r="AUI1" s="87" t="n"/>
      <c r="AUJ1" s="87" t="n"/>
      <c r="AUK1" s="87" t="n"/>
      <c r="AUL1" s="87" t="n"/>
      <c r="AUM1" s="87" t="n"/>
      <c r="AUN1" s="87" t="n"/>
      <c r="AUO1" s="87" t="n"/>
      <c r="AUP1" s="87" t="n"/>
      <c r="AUQ1" s="87" t="n"/>
      <c r="AUR1" s="87" t="n"/>
      <c r="AUS1" s="87" t="n"/>
      <c r="AUT1" s="87" t="n"/>
      <c r="AUU1" s="87" t="n"/>
      <c r="AUV1" s="87" t="n"/>
      <c r="AUW1" s="87" t="n"/>
      <c r="AUX1" s="87" t="n"/>
      <c r="AUY1" s="87" t="n"/>
      <c r="AUZ1" s="87" t="n"/>
      <c r="AVA1" s="87" t="n"/>
      <c r="AVB1" s="87" t="n"/>
      <c r="AVC1" s="87" t="n"/>
      <c r="AVD1" s="87" t="n"/>
      <c r="AVE1" s="87" t="n"/>
      <c r="AVF1" s="87" t="n"/>
      <c r="AVG1" s="87" t="n"/>
      <c r="AVH1" s="87" t="n"/>
      <c r="AVI1" s="87" t="n"/>
      <c r="AVJ1" s="87" t="n"/>
      <c r="AVK1" s="87" t="n"/>
      <c r="AVL1" s="87" t="n"/>
      <c r="AVM1" s="87" t="n"/>
      <c r="AVN1" s="87" t="n"/>
      <c r="AVO1" s="87" t="n"/>
      <c r="AVP1" s="87" t="n"/>
      <c r="AVQ1" s="87" t="n"/>
      <c r="AVR1" s="87" t="n"/>
      <c r="AVS1" s="87" t="n"/>
      <c r="AVT1" s="87" t="n"/>
      <c r="AVU1" s="87" t="n"/>
      <c r="AVV1" s="87" t="n"/>
      <c r="AVW1" s="87" t="n"/>
      <c r="AVX1" s="87" t="n"/>
      <c r="AVY1" s="87" t="n"/>
      <c r="AVZ1" s="87" t="n"/>
      <c r="AWA1" s="87" t="n"/>
      <c r="AWB1" s="87" t="n"/>
      <c r="AWC1" s="87" t="n"/>
      <c r="AWD1" s="87" t="n"/>
      <c r="AWE1" s="87" t="n"/>
      <c r="AWF1" s="87" t="n"/>
      <c r="AWG1" s="87" t="n"/>
      <c r="AWH1" s="87" t="n"/>
      <c r="AWI1" s="87" t="n"/>
      <c r="AWJ1" s="87" t="n"/>
      <c r="AWK1" s="87" t="n"/>
      <c r="AWL1" s="87" t="n"/>
      <c r="AWM1" s="87" t="n"/>
      <c r="AWN1" s="87" t="n"/>
      <c r="AWO1" s="87" t="n"/>
      <c r="AWP1" s="87" t="n"/>
      <c r="AWQ1" s="87" t="n"/>
      <c r="AWR1" s="87" t="n"/>
      <c r="AWS1" s="87" t="n"/>
      <c r="AWT1" s="87" t="n"/>
      <c r="AWU1" s="87" t="n"/>
      <c r="AWV1" s="87" t="n"/>
      <c r="AWW1" s="87" t="n"/>
      <c r="AWX1" s="87" t="n"/>
      <c r="AWY1" s="87" t="n"/>
      <c r="AWZ1" s="87" t="n"/>
      <c r="AXA1" s="87" t="n"/>
      <c r="AXB1" s="87" t="n"/>
      <c r="AXC1" s="87" t="n"/>
      <c r="AXD1" s="87" t="n"/>
      <c r="AXE1" s="87" t="n"/>
      <c r="AXF1" s="87" t="n"/>
      <c r="AXG1" s="87" t="n"/>
      <c r="AXH1" s="87" t="n"/>
      <c r="AXI1" s="87" t="n"/>
      <c r="AXJ1" s="87" t="n"/>
      <c r="AXK1" s="87" t="n"/>
      <c r="AXL1" s="87" t="n"/>
      <c r="AXM1" s="87" t="n"/>
      <c r="AXN1" s="87" t="n"/>
      <c r="AXO1" s="87" t="n"/>
      <c r="AXP1" s="87" t="n"/>
      <c r="AXQ1" s="87" t="n"/>
      <c r="AXR1" s="87" t="n"/>
      <c r="AXS1" s="87" t="n"/>
      <c r="AXT1" s="87" t="n"/>
      <c r="AXU1" s="87" t="n"/>
      <c r="AXV1" s="87" t="n"/>
      <c r="AXW1" s="87" t="n"/>
      <c r="AXX1" s="87" t="n"/>
      <c r="AXY1" s="87" t="n"/>
      <c r="AXZ1" s="87" t="n"/>
      <c r="AYA1" s="87" t="n"/>
      <c r="AYB1" s="87" t="n"/>
      <c r="AYC1" s="87" t="n"/>
      <c r="AYD1" s="87" t="n"/>
      <c r="AYE1" s="87" t="n"/>
      <c r="AYF1" s="87" t="n"/>
      <c r="AYG1" s="87" t="n"/>
      <c r="AYH1" s="87" t="n"/>
      <c r="AYI1" s="87" t="n"/>
      <c r="AYJ1" s="87" t="n"/>
      <c r="AYK1" s="87" t="n"/>
      <c r="AYL1" s="87" t="n"/>
      <c r="AYM1" s="87" t="n"/>
      <c r="AYN1" s="87" t="n"/>
      <c r="AYO1" s="87" t="n"/>
      <c r="AYP1" s="87" t="n"/>
      <c r="AYQ1" s="87" t="n"/>
      <c r="AYR1" s="87" t="n"/>
      <c r="AYS1" s="87" t="n"/>
      <c r="AYT1" s="87" t="n"/>
      <c r="AYU1" s="87" t="n"/>
      <c r="AYV1" s="87" t="n"/>
      <c r="AYW1" s="87" t="n"/>
      <c r="AYX1" s="87" t="n"/>
      <c r="AYY1" s="87" t="n"/>
      <c r="AYZ1" s="87" t="n"/>
      <c r="AZA1" s="87" t="n"/>
      <c r="AZB1" s="87" t="n"/>
      <c r="AZC1" s="87" t="n"/>
      <c r="AZD1" s="87" t="n"/>
      <c r="AZE1" s="87" t="n"/>
      <c r="AZF1" s="87" t="n"/>
      <c r="AZG1" s="87" t="n"/>
      <c r="AZH1" s="87" t="n"/>
      <c r="AZI1" s="87" t="n"/>
      <c r="AZJ1" s="87" t="n"/>
      <c r="AZK1" s="87" t="n"/>
      <c r="AZL1" s="87" t="n"/>
      <c r="AZM1" s="87" t="n"/>
      <c r="AZN1" s="87" t="n"/>
      <c r="AZO1" s="87" t="n"/>
      <c r="AZP1" s="87" t="n"/>
      <c r="AZQ1" s="87" t="n"/>
      <c r="AZR1" s="87" t="n"/>
      <c r="AZS1" s="87" t="n"/>
      <c r="AZT1" s="87" t="n"/>
      <c r="AZU1" s="87" t="n"/>
      <c r="AZV1" s="87" t="n"/>
      <c r="AZW1" s="87" t="n"/>
      <c r="AZX1" s="87" t="n"/>
      <c r="AZY1" s="87" t="n"/>
      <c r="AZZ1" s="87" t="n"/>
      <c r="BAA1" s="87" t="n"/>
      <c r="BAB1" s="87" t="n"/>
      <c r="BAC1" s="87" t="n"/>
      <c r="BAD1" s="87" t="n"/>
      <c r="BAE1" s="87" t="n"/>
      <c r="BAF1" s="87" t="n"/>
      <c r="BAG1" s="87" t="n"/>
      <c r="BAH1" s="87" t="n"/>
      <c r="BAI1" s="87" t="n"/>
      <c r="BAJ1" s="87" t="n"/>
      <c r="BAK1" s="87" t="n"/>
      <c r="BAL1" s="87" t="n"/>
      <c r="BAM1" s="87" t="n"/>
      <c r="BAN1" s="87" t="n"/>
      <c r="BAO1" s="87" t="n"/>
      <c r="BAP1" s="87" t="n"/>
      <c r="BAQ1" s="87" t="n"/>
      <c r="BAR1" s="87" t="n"/>
      <c r="BAS1" s="87" t="n"/>
      <c r="BAT1" s="87" t="n"/>
      <c r="BAU1" s="87" t="n"/>
      <c r="BAV1" s="87" t="n"/>
      <c r="BAW1" s="87" t="n"/>
      <c r="BAX1" s="87" t="n"/>
      <c r="BAY1" s="87" t="n"/>
      <c r="BAZ1" s="87" t="n"/>
      <c r="BBA1" s="87" t="n"/>
      <c r="BBB1" s="87" t="n"/>
      <c r="BBC1" s="87" t="n"/>
      <c r="BBD1" s="87" t="n"/>
      <c r="BBE1" s="87" t="n"/>
      <c r="BBF1" s="87" t="n"/>
      <c r="BBG1" s="87" t="n"/>
      <c r="BBH1" s="87" t="n"/>
      <c r="BBI1" s="87" t="n"/>
      <c r="BBJ1" s="87" t="n"/>
      <c r="BBK1" s="87" t="n"/>
      <c r="BBL1" s="87" t="n"/>
      <c r="BBM1" s="87" t="n"/>
      <c r="BBN1" s="87" t="n"/>
      <c r="BBO1" s="87" t="n"/>
      <c r="BBP1" s="87" t="n"/>
      <c r="BBQ1" s="87" t="n"/>
      <c r="BBR1" s="87" t="n"/>
      <c r="BBS1" s="87" t="n"/>
      <c r="BBT1" s="87" t="n"/>
      <c r="BBU1" s="87" t="n"/>
      <c r="BBV1" s="87" t="n"/>
      <c r="BBW1" s="87" t="n"/>
      <c r="BBX1" s="87" t="n"/>
      <c r="BBY1" s="87" t="n"/>
      <c r="BBZ1" s="87" t="n"/>
      <c r="BCA1" s="87" t="n"/>
      <c r="BCB1" s="87" t="n"/>
      <c r="BCC1" s="87" t="n"/>
      <c r="BCD1" s="87" t="n"/>
      <c r="BCE1" s="87" t="n"/>
      <c r="BCF1" s="87" t="n"/>
      <c r="BCG1" s="87" t="n"/>
      <c r="BCH1" s="87" t="n"/>
      <c r="BCI1" s="87" t="n"/>
      <c r="BCJ1" s="87" t="n"/>
      <c r="BCK1" s="87" t="n"/>
      <c r="BCL1" s="87" t="n"/>
      <c r="BCM1" s="87" t="n"/>
      <c r="BCN1" s="87" t="n"/>
      <c r="BCO1" s="87" t="n"/>
      <c r="BCP1" s="87" t="n"/>
      <c r="BCQ1" s="87" t="n"/>
      <c r="BCR1" s="87" t="n"/>
      <c r="BCS1" s="87" t="n"/>
      <c r="BCT1" s="87" t="n"/>
      <c r="BCU1" s="87" t="n"/>
      <c r="BCV1" s="87" t="n"/>
      <c r="BCW1" s="87" t="n"/>
      <c r="BCX1" s="87" t="n"/>
      <c r="BCY1" s="87" t="n"/>
      <c r="BCZ1" s="87" t="n"/>
      <c r="BDA1" s="87" t="n"/>
      <c r="BDB1" s="87" t="n"/>
      <c r="BDC1" s="87" t="n"/>
      <c r="BDD1" s="87" t="n"/>
      <c r="BDE1" s="87" t="n"/>
      <c r="BDF1" s="87" t="n"/>
      <c r="BDG1" s="87" t="n"/>
      <c r="BDH1" s="87" t="n"/>
      <c r="BDI1" s="87" t="n"/>
      <c r="BDJ1" s="87" t="n"/>
      <c r="BDK1" s="87" t="n"/>
      <c r="BDL1" s="87" t="n"/>
      <c r="BDM1" s="87" t="n"/>
      <c r="BDN1" s="87" t="n"/>
      <c r="BDO1" s="87" t="n"/>
      <c r="BDP1" s="87" t="n"/>
      <c r="BDQ1" s="87" t="n"/>
      <c r="BDR1" s="87" t="n"/>
      <c r="BDS1" s="87" t="n"/>
      <c r="BDT1" s="87" t="n"/>
      <c r="BDU1" s="87" t="n"/>
      <c r="BDV1" s="87" t="n"/>
      <c r="BDW1" s="87" t="n"/>
      <c r="BDX1" s="87" t="n"/>
      <c r="BDY1" s="87" t="n"/>
      <c r="BDZ1" s="87" t="n"/>
      <c r="BEA1" s="87" t="n"/>
      <c r="BEB1" s="87" t="n"/>
      <c r="BEC1" s="87" t="n"/>
      <c r="BED1" s="87" t="n"/>
      <c r="BEE1" s="87" t="n"/>
      <c r="BEF1" s="87" t="n"/>
      <c r="BEG1" s="87" t="n"/>
      <c r="BEH1" s="87" t="n"/>
      <c r="BEI1" s="87" t="n"/>
      <c r="BEJ1" s="87" t="n"/>
      <c r="BEK1" s="87" t="n"/>
      <c r="BEL1" s="87" t="n"/>
      <c r="BEM1" s="87" t="n"/>
      <c r="BEN1" s="87" t="n"/>
      <c r="BEO1" s="87" t="n"/>
      <c r="BEP1" s="87" t="n"/>
      <c r="BEQ1" s="87" t="n"/>
      <c r="BER1" s="87" t="n"/>
      <c r="BES1" s="87" t="n"/>
      <c r="BET1" s="87" t="n"/>
      <c r="BEU1" s="87" t="n"/>
      <c r="BEV1" s="87" t="n"/>
      <c r="BEW1" s="87" t="n"/>
      <c r="BEX1" s="87" t="n"/>
      <c r="BEY1" s="87" t="n"/>
      <c r="BEZ1" s="87" t="n"/>
      <c r="BFA1" s="87" t="n"/>
      <c r="BFB1" s="87" t="n"/>
      <c r="BFC1" s="87" t="n"/>
      <c r="BFD1" s="87" t="n"/>
      <c r="BFE1" s="87" t="n"/>
      <c r="BFF1" s="87" t="n"/>
      <c r="BFG1" s="87" t="n"/>
      <c r="BFH1" s="87" t="n"/>
      <c r="BFI1" s="87" t="n"/>
      <c r="BFJ1" s="87" t="n"/>
      <c r="BFK1" s="87" t="n"/>
      <c r="BFL1" s="87" t="n"/>
      <c r="BFM1" s="87" t="n"/>
      <c r="BFN1" s="87" t="n"/>
      <c r="BFO1" s="87" t="n"/>
      <c r="BFP1" s="87" t="n"/>
      <c r="BFQ1" s="87" t="n"/>
      <c r="BFR1" s="87" t="n"/>
      <c r="BFS1" s="87" t="n"/>
      <c r="BFT1" s="87" t="n"/>
      <c r="BFU1" s="87" t="n"/>
      <c r="BFV1" s="87" t="n"/>
      <c r="BFW1" s="87" t="n"/>
      <c r="BFX1" s="87" t="n"/>
      <c r="BFY1" s="87" t="n"/>
      <c r="BFZ1" s="87" t="n"/>
      <c r="BGA1" s="87" t="n"/>
      <c r="BGB1" s="87" t="n"/>
      <c r="BGC1" s="87" t="n"/>
      <c r="BGD1" s="87" t="n"/>
      <c r="BGE1" s="87" t="n"/>
      <c r="BGF1" s="87" t="n"/>
      <c r="BGG1" s="87" t="n"/>
      <c r="BGH1" s="87" t="n"/>
      <c r="BGI1" s="87" t="n"/>
      <c r="BGJ1" s="87" t="n"/>
      <c r="BGK1" s="87" t="n"/>
      <c r="BGL1" s="87" t="n"/>
      <c r="BGM1" s="87" t="n"/>
      <c r="BGN1" s="87" t="n"/>
      <c r="BGO1" s="87" t="n"/>
      <c r="BGP1" s="87" t="n"/>
      <c r="BGQ1" s="87" t="n"/>
      <c r="BGR1" s="87" t="n"/>
      <c r="BGS1" s="87" t="n"/>
      <c r="BGT1" s="87" t="n"/>
      <c r="BGU1" s="87" t="n"/>
      <c r="BGV1" s="87" t="n"/>
      <c r="BGW1" s="87" t="n"/>
      <c r="BGX1" s="87" t="n"/>
      <c r="BGY1" s="87" t="n"/>
      <c r="BGZ1" s="87" t="n"/>
      <c r="BHA1" s="87" t="n"/>
      <c r="BHB1" s="87" t="n"/>
      <c r="BHC1" s="87" t="n"/>
      <c r="BHD1" s="87" t="n"/>
      <c r="BHE1" s="87" t="n"/>
      <c r="BHF1" s="87" t="n"/>
      <c r="BHG1" s="87" t="n"/>
      <c r="BHH1" s="87" t="n"/>
      <c r="BHI1" s="87" t="n"/>
      <c r="BHJ1" s="87" t="n"/>
      <c r="BHK1" s="87" t="n"/>
      <c r="BHL1" s="87" t="n"/>
      <c r="BHM1" s="87" t="n"/>
      <c r="BHN1" s="87" t="n"/>
      <c r="BHO1" s="87" t="n"/>
      <c r="BHP1" s="87" t="n"/>
      <c r="BHQ1" s="87" t="n"/>
      <c r="BHR1" s="87" t="n"/>
      <c r="BHS1" s="87" t="n"/>
      <c r="BHT1" s="87" t="n"/>
      <c r="BHU1" s="87" t="n"/>
      <c r="BHV1" s="87" t="n"/>
      <c r="BHW1" s="87" t="n"/>
      <c r="BHX1" s="87" t="n"/>
      <c r="BHY1" s="87" t="n"/>
      <c r="BHZ1" s="87" t="n"/>
      <c r="BIA1" s="87" t="n"/>
      <c r="BIB1" s="87" t="n"/>
      <c r="BIC1" s="87" t="n"/>
      <c r="BID1" s="87" t="n"/>
      <c r="BIE1" s="87" t="n"/>
      <c r="BIF1" s="87" t="n"/>
      <c r="BIG1" s="87" t="n"/>
      <c r="BIH1" s="87" t="n"/>
      <c r="BII1" s="87" t="n"/>
      <c r="BIJ1" s="87" t="n"/>
      <c r="BIK1" s="87" t="n"/>
      <c r="BIL1" s="87" t="n"/>
      <c r="BIM1" s="87" t="n"/>
      <c r="BIN1" s="87" t="n"/>
      <c r="BIO1" s="87" t="n"/>
      <c r="BIP1" s="87" t="n"/>
      <c r="BIQ1" s="87" t="n"/>
      <c r="BIR1" s="87" t="n"/>
      <c r="BIS1" s="87" t="n"/>
      <c r="BIT1" s="87" t="n"/>
      <c r="BIU1" s="87" t="n"/>
      <c r="BIV1" s="87" t="n"/>
      <c r="BIW1" s="87" t="n"/>
      <c r="BIX1" s="87" t="n"/>
      <c r="BIY1" s="87" t="n"/>
      <c r="BIZ1" s="87" t="n"/>
      <c r="BJA1" s="87" t="n"/>
      <c r="BJB1" s="87" t="n"/>
      <c r="BJC1" s="87" t="n"/>
      <c r="BJD1" s="87" t="n"/>
      <c r="BJE1" s="87" t="n"/>
      <c r="BJF1" s="87" t="n"/>
      <c r="BJG1" s="87" t="n"/>
      <c r="BJH1" s="87" t="n"/>
      <c r="BJI1" s="87" t="n"/>
      <c r="BJJ1" s="87" t="n"/>
      <c r="BJK1" s="87" t="n"/>
      <c r="BJL1" s="87" t="n"/>
      <c r="BJM1" s="87" t="n"/>
      <c r="BJN1" s="87" t="n"/>
      <c r="BJO1" s="87" t="n"/>
      <c r="BJP1" s="87" t="n"/>
      <c r="BJQ1" s="87" t="n"/>
      <c r="BJR1" s="87" t="n"/>
      <c r="BJS1" s="87" t="n"/>
      <c r="BJT1" s="87" t="n"/>
      <c r="BJU1" s="87" t="n"/>
      <c r="BJV1" s="87" t="n"/>
      <c r="BJW1" s="87" t="n"/>
      <c r="BJX1" s="87" t="n"/>
      <c r="BJY1" s="87" t="n"/>
      <c r="BJZ1" s="87" t="n"/>
      <c r="BKA1" s="87" t="n"/>
      <c r="BKB1" s="87" t="n"/>
      <c r="BKC1" s="87" t="n"/>
      <c r="BKD1" s="87" t="n"/>
      <c r="BKE1" s="87" t="n"/>
      <c r="BKF1" s="87" t="n"/>
      <c r="BKG1" s="87" t="n"/>
      <c r="BKH1" s="87" t="n"/>
      <c r="BKI1" s="87" t="n"/>
      <c r="BKJ1" s="87" t="n"/>
      <c r="BKK1" s="87" t="n"/>
      <c r="BKL1" s="87" t="n"/>
      <c r="BKM1" s="87" t="n"/>
      <c r="BKN1" s="87" t="n"/>
      <c r="BKO1" s="87" t="n"/>
      <c r="BKP1" s="87" t="n"/>
      <c r="BKQ1" s="87" t="n"/>
      <c r="BKR1" s="87" t="n"/>
      <c r="BKS1" s="87" t="n"/>
      <c r="BKT1" s="87" t="n"/>
      <c r="BKU1" s="87" t="n"/>
      <c r="BKV1" s="87" t="n"/>
      <c r="BKW1" s="87" t="n"/>
      <c r="BKX1" s="87" t="n"/>
      <c r="BKY1" s="87" t="n"/>
      <c r="BKZ1" s="87" t="n"/>
      <c r="BLA1" s="87" t="n"/>
      <c r="BLB1" s="87" t="n"/>
      <c r="BLC1" s="87" t="n"/>
      <c r="BLD1" s="87" t="n"/>
      <c r="BLE1" s="87" t="n"/>
      <c r="BLF1" s="87" t="n"/>
      <c r="BLG1" s="87" t="n"/>
      <c r="BLH1" s="87" t="n"/>
      <c r="BLI1" s="87" t="n"/>
      <c r="BLJ1" s="87" t="n"/>
      <c r="BLK1" s="87" t="n"/>
      <c r="BLL1" s="87" t="n"/>
      <c r="BLM1" s="87" t="n"/>
      <c r="BLN1" s="87" t="n"/>
      <c r="BLO1" s="87" t="n"/>
      <c r="BLP1" s="87" t="n"/>
      <c r="BLQ1" s="87" t="n"/>
      <c r="BLR1" s="87" t="n"/>
      <c r="BLS1" s="87" t="n"/>
      <c r="BLT1" s="87" t="n"/>
      <c r="BLU1" s="87" t="n"/>
      <c r="BLV1" s="87" t="n"/>
      <c r="BLW1" s="87" t="n"/>
      <c r="BLX1" s="87" t="n"/>
      <c r="BLY1" s="87" t="n"/>
      <c r="BLZ1" s="87" t="n"/>
      <c r="BMA1" s="87" t="n"/>
      <c r="BMB1" s="87" t="n"/>
      <c r="BMC1" s="87" t="n"/>
      <c r="BMD1" s="87" t="n"/>
      <c r="BME1" s="87" t="n"/>
      <c r="BMF1" s="87" t="n"/>
      <c r="BMG1" s="87" t="n"/>
      <c r="BMH1" s="87" t="n"/>
      <c r="BMI1" s="87" t="n"/>
      <c r="BMJ1" s="87" t="n"/>
      <c r="BMK1" s="87" t="n"/>
      <c r="BML1" s="87" t="n"/>
      <c r="BMM1" s="87" t="n"/>
      <c r="BMN1" s="87" t="n"/>
      <c r="BMO1" s="87" t="n"/>
      <c r="BMP1" s="87" t="n"/>
      <c r="BMQ1" s="87" t="n"/>
      <c r="BMR1" s="87" t="n"/>
      <c r="BMS1" s="87" t="n"/>
      <c r="BMT1" s="87" t="n"/>
      <c r="BMU1" s="87" t="n"/>
      <c r="BMV1" s="87" t="n"/>
      <c r="BMW1" s="87" t="n"/>
      <c r="BMX1" s="87" t="n"/>
      <c r="BMY1" s="87" t="n"/>
      <c r="BMZ1" s="87" t="n"/>
      <c r="BNA1" s="87" t="n"/>
      <c r="BNB1" s="87" t="n"/>
      <c r="BNC1" s="87" t="n"/>
      <c r="BND1" s="87" t="n"/>
      <c r="BNE1" s="87" t="n"/>
      <c r="BNF1" s="87" t="n"/>
      <c r="BNG1" s="87" t="n"/>
      <c r="BNH1" s="87" t="n"/>
      <c r="BNI1" s="87" t="n"/>
      <c r="BNJ1" s="87" t="n"/>
      <c r="BNK1" s="87" t="n"/>
      <c r="BNL1" s="87" t="n"/>
      <c r="BNM1" s="87" t="n"/>
      <c r="BNN1" s="87" t="n"/>
      <c r="BNO1" s="87" t="n"/>
      <c r="BNP1" s="87" t="n"/>
      <c r="BNQ1" s="87" t="n"/>
      <c r="BNR1" s="87" t="n"/>
      <c r="BNS1" s="87" t="n"/>
      <c r="BNT1" s="87" t="n"/>
      <c r="BNU1" s="87" t="n"/>
      <c r="BNV1" s="87" t="n"/>
      <c r="BNW1" s="87" t="n"/>
      <c r="BNX1" s="87" t="n"/>
      <c r="BNY1" s="87" t="n"/>
      <c r="BNZ1" s="87" t="n"/>
      <c r="BOA1" s="87" t="n"/>
      <c r="BOB1" s="87" t="n"/>
      <c r="BOC1" s="87" t="n"/>
      <c r="BOD1" s="87" t="n"/>
      <c r="BOE1" s="87" t="n"/>
      <c r="BOF1" s="87" t="n"/>
      <c r="BOG1" s="87" t="n"/>
      <c r="BOH1" s="87" t="n"/>
      <c r="BOI1" s="87" t="n"/>
      <c r="BOJ1" s="87" t="n"/>
      <c r="BOK1" s="87" t="n"/>
      <c r="BOL1" s="87" t="n"/>
      <c r="BOM1" s="87" t="n"/>
      <c r="BON1" s="87" t="n"/>
      <c r="BOO1" s="87" t="n"/>
      <c r="BOP1" s="87" t="n"/>
      <c r="BOQ1" s="87" t="n"/>
      <c r="BOR1" s="87" t="n"/>
      <c r="BOS1" s="87" t="n"/>
      <c r="BOT1" s="87" t="n"/>
      <c r="BOU1" s="87" t="n"/>
      <c r="BOV1" s="87" t="n"/>
      <c r="BOW1" s="87" t="n"/>
      <c r="BOX1" s="87" t="n"/>
      <c r="BOY1" s="87" t="n"/>
      <c r="BOZ1" s="87" t="n"/>
      <c r="BPA1" s="87" t="n"/>
      <c r="BPB1" s="87" t="n"/>
      <c r="BPC1" s="87" t="n"/>
      <c r="BPD1" s="87" t="n"/>
      <c r="BPE1" s="87" t="n"/>
      <c r="BPF1" s="87" t="n"/>
      <c r="BPG1" s="87" t="n"/>
      <c r="BPH1" s="87" t="n"/>
      <c r="BPI1" s="87" t="n"/>
      <c r="BPJ1" s="87" t="n"/>
      <c r="BPK1" s="87" t="n"/>
      <c r="BPL1" s="87" t="n"/>
      <c r="BPM1" s="87" t="n"/>
      <c r="BPN1" s="87" t="n"/>
      <c r="BPO1" s="87" t="n"/>
      <c r="BPP1" s="87" t="n"/>
      <c r="BPQ1" s="87" t="n"/>
      <c r="BPR1" s="87" t="n"/>
      <c r="BPS1" s="87" t="n"/>
      <c r="BPT1" s="87" t="n"/>
      <c r="BPU1" s="87" t="n"/>
      <c r="BPV1" s="87" t="n"/>
      <c r="BPW1" s="87" t="n"/>
      <c r="BPX1" s="87" t="n"/>
      <c r="BPY1" s="87" t="n"/>
      <c r="BPZ1" s="87" t="n"/>
      <c r="BQA1" s="87" t="n"/>
      <c r="BQB1" s="87" t="n"/>
      <c r="BQC1" s="87" t="n"/>
      <c r="BQD1" s="87" t="n"/>
      <c r="BQE1" s="87" t="n"/>
      <c r="BQF1" s="87" t="n"/>
      <c r="BQG1" s="87" t="n"/>
      <c r="BQH1" s="87" t="n"/>
      <c r="BQI1" s="87" t="n"/>
      <c r="BQJ1" s="87" t="n"/>
      <c r="BQK1" s="87" t="n"/>
      <c r="BQL1" s="87" t="n"/>
      <c r="BQM1" s="87" t="n"/>
      <c r="BQN1" s="87" t="n"/>
      <c r="BQO1" s="87" t="n"/>
      <c r="BQP1" s="87" t="n"/>
      <c r="BQQ1" s="87" t="n"/>
      <c r="BQR1" s="87" t="n"/>
      <c r="BQS1" s="87" t="n"/>
      <c r="BQT1" s="87" t="n"/>
      <c r="BQU1" s="87" t="n"/>
      <c r="BQV1" s="87" t="n"/>
      <c r="BQW1" s="87" t="n"/>
      <c r="BQX1" s="87" t="n"/>
      <c r="BQY1" s="87" t="n"/>
      <c r="BQZ1" s="87" t="n"/>
      <c r="BRA1" s="87" t="n"/>
      <c r="BRB1" s="87" t="n"/>
      <c r="BRC1" s="87" t="n"/>
      <c r="BRD1" s="87" t="n"/>
      <c r="BRE1" s="87" t="n"/>
      <c r="BRF1" s="87" t="n"/>
      <c r="BRG1" s="87" t="n"/>
      <c r="BRH1" s="87" t="n"/>
      <c r="BRI1" s="87" t="n"/>
      <c r="BRJ1" s="87" t="n"/>
      <c r="BRK1" s="87" t="n"/>
      <c r="BRL1" s="87" t="n"/>
      <c r="BRM1" s="87" t="n"/>
      <c r="BRN1" s="87" t="n"/>
      <c r="BRO1" s="87" t="n"/>
      <c r="BRP1" s="87" t="n"/>
      <c r="BRQ1" s="87" t="n"/>
      <c r="BRR1" s="87" t="n"/>
      <c r="BRS1" s="87" t="n"/>
      <c r="BRT1" s="87" t="n"/>
      <c r="BRU1" s="87" t="n"/>
      <c r="BRV1" s="87" t="n"/>
      <c r="BRW1" s="87" t="n"/>
      <c r="BRX1" s="87" t="n"/>
      <c r="BRY1" s="87" t="n"/>
      <c r="BRZ1" s="87" t="n"/>
      <c r="BSA1" s="87" t="n"/>
      <c r="BSB1" s="87" t="n"/>
      <c r="BSC1" s="87" t="n"/>
      <c r="BSD1" s="87" t="n"/>
      <c r="BSE1" s="87" t="n"/>
      <c r="BSF1" s="87" t="n"/>
      <c r="BSG1" s="87" t="n"/>
      <c r="BSH1" s="87" t="n"/>
      <c r="BSI1" s="87" t="n"/>
      <c r="BSJ1" s="87" t="n"/>
      <c r="BSK1" s="87" t="n"/>
      <c r="BSL1" s="87" t="n"/>
      <c r="BSM1" s="87" t="n"/>
      <c r="BSN1" s="87" t="n"/>
      <c r="BSO1" s="87" t="n"/>
      <c r="BSP1" s="87" t="n"/>
      <c r="BSQ1" s="87" t="n"/>
      <c r="BSR1" s="87" t="n"/>
      <c r="BSS1" s="87" t="n"/>
      <c r="BST1" s="87" t="n"/>
      <c r="BSU1" s="87" t="n"/>
      <c r="BSV1" s="87" t="n"/>
      <c r="BSW1" s="87" t="n"/>
      <c r="BSX1" s="87" t="n"/>
      <c r="BSY1" s="87" t="n"/>
      <c r="BSZ1" s="87" t="n"/>
      <c r="BTA1" s="87" t="n"/>
      <c r="BTB1" s="87" t="n"/>
      <c r="BTC1" s="87" t="n"/>
      <c r="BTD1" s="87" t="n"/>
      <c r="BTE1" s="87" t="n"/>
      <c r="BTF1" s="87" t="n"/>
      <c r="BTG1" s="87" t="n"/>
      <c r="BTH1" s="87" t="n"/>
      <c r="BTI1" s="87" t="n"/>
      <c r="BTJ1" s="87" t="n"/>
      <c r="BTK1" s="87" t="n"/>
      <c r="BTL1" s="87" t="n"/>
      <c r="BTM1" s="87" t="n"/>
      <c r="BTN1" s="87" t="n"/>
      <c r="BTO1" s="87" t="n"/>
      <c r="BTP1" s="87" t="n"/>
      <c r="BTQ1" s="87" t="n"/>
      <c r="BTR1" s="87" t="n"/>
      <c r="BTS1" s="87" t="n"/>
      <c r="BTT1" s="87" t="n"/>
      <c r="BTU1" s="87" t="n"/>
      <c r="BTV1" s="87" t="n"/>
      <c r="BTW1" s="87" t="n"/>
      <c r="BTX1" s="87" t="n"/>
      <c r="BTY1" s="87" t="n"/>
      <c r="BTZ1" s="87" t="n"/>
      <c r="BUA1" s="87" t="n"/>
      <c r="BUB1" s="87" t="n"/>
      <c r="BUC1" s="87" t="n"/>
      <c r="BUD1" s="87" t="n"/>
      <c r="BUE1" s="87" t="n"/>
      <c r="BUF1" s="87" t="n"/>
      <c r="BUG1" s="87" t="n"/>
      <c r="BUH1" s="87" t="n"/>
      <c r="BUI1" s="87" t="n"/>
      <c r="BUJ1" s="87" t="n"/>
      <c r="BUK1" s="87" t="n"/>
      <c r="BUL1" s="87" t="n"/>
      <c r="BUM1" s="87" t="n"/>
      <c r="BUN1" s="87" t="n"/>
      <c r="BUO1" s="87" t="n"/>
      <c r="BUP1" s="87" t="n"/>
      <c r="BUQ1" s="87" t="n"/>
      <c r="BUR1" s="87" t="n"/>
      <c r="BUS1" s="87" t="n"/>
      <c r="BUT1" s="87" t="n"/>
      <c r="BUU1" s="87" t="n"/>
      <c r="BUV1" s="87" t="n"/>
      <c r="BUW1" s="87" t="n"/>
      <c r="BUX1" s="87" t="n"/>
      <c r="BUY1" s="87" t="n"/>
      <c r="BUZ1" s="87" t="n"/>
      <c r="BVA1" s="87" t="n"/>
      <c r="BVB1" s="87" t="n"/>
      <c r="BVC1" s="87" t="n"/>
      <c r="BVD1" s="87" t="n"/>
      <c r="BVE1" s="87" t="n"/>
      <c r="BVF1" s="87" t="n"/>
      <c r="BVG1" s="87" t="n"/>
      <c r="BVH1" s="87" t="n"/>
      <c r="BVI1" s="87" t="n"/>
      <c r="BVJ1" s="87" t="n"/>
      <c r="BVK1" s="87" t="n"/>
      <c r="BVL1" s="87" t="n"/>
      <c r="BVM1" s="87" t="n"/>
      <c r="BVN1" s="87" t="n"/>
      <c r="BVO1" s="87" t="n"/>
      <c r="BVP1" s="87" t="n"/>
      <c r="BVQ1" s="87" t="n"/>
      <c r="BVR1" s="87" t="n"/>
      <c r="BVS1" s="87" t="n"/>
      <c r="BVT1" s="87" t="n"/>
      <c r="BVU1" s="87" t="n"/>
      <c r="BVV1" s="87" t="n"/>
      <c r="BVW1" s="87" t="n"/>
      <c r="BVX1" s="87" t="n"/>
      <c r="BVY1" s="87" t="n"/>
      <c r="BVZ1" s="87" t="n"/>
      <c r="BWA1" s="87" t="n"/>
      <c r="BWB1" s="87" t="n"/>
      <c r="BWC1" s="87" t="n"/>
      <c r="BWD1" s="87" t="n"/>
      <c r="BWE1" s="87" t="n"/>
      <c r="BWF1" s="87" t="n"/>
      <c r="BWG1" s="87" t="n"/>
      <c r="BWH1" s="87" t="n"/>
      <c r="BWI1" s="87" t="n"/>
      <c r="BWJ1" s="87" t="n"/>
      <c r="BWK1" s="87" t="n"/>
      <c r="BWL1" s="87" t="n"/>
      <c r="BWM1" s="87" t="n"/>
      <c r="BWN1" s="87" t="n"/>
      <c r="BWO1" s="87" t="n"/>
      <c r="BWP1" s="87" t="n"/>
      <c r="BWQ1" s="87" t="n"/>
      <c r="BWR1" s="87" t="n"/>
      <c r="BWS1" s="87" t="n"/>
      <c r="BWT1" s="87" t="n"/>
      <c r="BWU1" s="87" t="n"/>
      <c r="BWV1" s="87" t="n"/>
      <c r="BWW1" s="87" t="n"/>
      <c r="BWX1" s="87" t="n"/>
      <c r="BWY1" s="87" t="n"/>
      <c r="BWZ1" s="87" t="n"/>
      <c r="BXA1" s="87" t="n"/>
      <c r="BXB1" s="87" t="n"/>
      <c r="BXC1" s="87" t="n"/>
      <c r="BXD1" s="87" t="n"/>
      <c r="BXE1" s="87" t="n"/>
      <c r="BXF1" s="87" t="n"/>
      <c r="BXG1" s="87" t="n"/>
      <c r="BXH1" s="87" t="n"/>
      <c r="BXI1" s="87" t="n"/>
      <c r="BXJ1" s="87" t="n"/>
      <c r="BXK1" s="87" t="n"/>
      <c r="BXL1" s="87" t="n"/>
      <c r="BXM1" s="87" t="n"/>
      <c r="BXN1" s="87" t="n"/>
      <c r="BXO1" s="87" t="n"/>
      <c r="BXP1" s="87" t="n"/>
      <c r="BXQ1" s="87" t="n"/>
      <c r="BXR1" s="87" t="n"/>
      <c r="BXS1" s="87" t="n"/>
      <c r="BXT1" s="87" t="n"/>
      <c r="BXU1" s="87" t="n"/>
      <c r="BXV1" s="87" t="n"/>
      <c r="BXW1" s="87" t="n"/>
      <c r="BXX1" s="87" t="n"/>
      <c r="BXY1" s="87" t="n"/>
      <c r="BXZ1" s="87" t="n"/>
      <c r="BYA1" s="87" t="n"/>
      <c r="BYB1" s="87" t="n"/>
      <c r="BYC1" s="87" t="n"/>
      <c r="BYD1" s="87" t="n"/>
      <c r="BYE1" s="87" t="n"/>
      <c r="BYF1" s="87" t="n"/>
      <c r="BYG1" s="87" t="n"/>
      <c r="BYH1" s="87" t="n"/>
      <c r="BYI1" s="87" t="n"/>
      <c r="BYJ1" s="87" t="n"/>
      <c r="BYK1" s="87" t="n"/>
      <c r="BYL1" s="87" t="n"/>
      <c r="BYM1" s="87" t="n"/>
      <c r="BYN1" s="87" t="n"/>
      <c r="BYO1" s="87" t="n"/>
      <c r="BYP1" s="87" t="n"/>
      <c r="BYQ1" s="87" t="n"/>
      <c r="BYR1" s="87" t="n"/>
      <c r="BYS1" s="87" t="n"/>
      <c r="BYT1" s="87" t="n"/>
      <c r="BYU1" s="87" t="n"/>
      <c r="BYV1" s="87" t="n"/>
      <c r="BYW1" s="87" t="n"/>
      <c r="BYX1" s="87" t="n"/>
      <c r="BYY1" s="87" t="n"/>
      <c r="BYZ1" s="87" t="n"/>
      <c r="BZA1" s="87" t="n"/>
      <c r="BZB1" s="87" t="n"/>
      <c r="BZC1" s="87" t="n"/>
      <c r="BZD1" s="87" t="n"/>
      <c r="BZE1" s="87" t="n"/>
      <c r="BZF1" s="87" t="n"/>
      <c r="BZG1" s="87" t="n"/>
      <c r="BZH1" s="87" t="n"/>
      <c r="BZI1" s="87" t="n"/>
      <c r="BZJ1" s="87" t="n"/>
      <c r="BZK1" s="87" t="n"/>
      <c r="BZL1" s="87" t="n"/>
      <c r="BZM1" s="87" t="n"/>
      <c r="BZN1" s="87" t="n"/>
      <c r="BZO1" s="87" t="n"/>
      <c r="BZP1" s="87" t="n"/>
      <c r="BZQ1" s="87" t="n"/>
      <c r="BZR1" s="87" t="n"/>
      <c r="BZS1" s="87" t="n"/>
      <c r="BZT1" s="87" t="n"/>
      <c r="BZU1" s="87" t="n"/>
      <c r="BZV1" s="87" t="n"/>
      <c r="BZW1" s="87" t="n"/>
      <c r="BZX1" s="87" t="n"/>
      <c r="BZY1" s="87" t="n"/>
      <c r="BZZ1" s="87" t="n"/>
      <c r="CAA1" s="87" t="n"/>
      <c r="CAB1" s="87" t="n"/>
      <c r="CAC1" s="87" t="n"/>
      <c r="CAD1" s="87" t="n"/>
      <c r="CAE1" s="87" t="n"/>
      <c r="CAF1" s="87" t="n"/>
      <c r="CAG1" s="87" t="n"/>
      <c r="CAH1" s="87" t="n"/>
      <c r="CAI1" s="87" t="n"/>
      <c r="CAJ1" s="87" t="n"/>
      <c r="CAK1" s="87" t="n"/>
      <c r="CAL1" s="87" t="n"/>
      <c r="CAM1" s="87" t="n"/>
      <c r="CAN1" s="87" t="n"/>
      <c r="CAO1" s="87" t="n"/>
      <c r="CAP1" s="87" t="n"/>
      <c r="CAQ1" s="87" t="n"/>
      <c r="CAR1" s="87" t="n"/>
      <c r="CAS1" s="87" t="n"/>
      <c r="CAT1" s="87" t="n"/>
      <c r="CAU1" s="87" t="n"/>
      <c r="CAV1" s="87" t="n"/>
      <c r="CAW1" s="87" t="n"/>
      <c r="CAX1" s="87" t="n"/>
      <c r="CAY1" s="87" t="n"/>
      <c r="CAZ1" s="87" t="n"/>
      <c r="CBA1" s="87" t="n"/>
      <c r="CBB1" s="87" t="n"/>
      <c r="CBC1" s="87" t="n"/>
      <c r="CBD1" s="87" t="n"/>
      <c r="CBE1" s="87" t="n"/>
      <c r="CBF1" s="87" t="n"/>
      <c r="CBG1" s="87" t="n"/>
      <c r="CBH1" s="87" t="n"/>
      <c r="CBI1" s="87" t="n"/>
      <c r="CBJ1" s="87" t="n"/>
      <c r="CBK1" s="87" t="n"/>
      <c r="CBL1" s="87" t="n"/>
      <c r="CBM1" s="87" t="n"/>
      <c r="CBN1" s="87" t="n"/>
      <c r="CBO1" s="87" t="n"/>
      <c r="CBP1" s="87" t="n"/>
      <c r="CBQ1" s="87" t="n"/>
      <c r="CBR1" s="87" t="n"/>
      <c r="CBS1" s="87" t="n"/>
      <c r="CBT1" s="87" t="n"/>
      <c r="CBU1" s="87" t="n"/>
      <c r="CBV1" s="87" t="n"/>
      <c r="CBW1" s="87" t="n"/>
      <c r="CBX1" s="87" t="n"/>
      <c r="CBY1" s="87" t="n"/>
      <c r="CBZ1" s="87" t="n"/>
      <c r="CCA1" s="87" t="n"/>
      <c r="CCB1" s="87" t="n"/>
      <c r="CCC1" s="87" t="n"/>
      <c r="CCD1" s="87" t="n"/>
      <c r="CCE1" s="87" t="n"/>
      <c r="CCF1" s="87" t="n"/>
      <c r="CCG1" s="87" t="n"/>
      <c r="CCH1" s="87" t="n"/>
      <c r="CCI1" s="87" t="n"/>
      <c r="CCJ1" s="87" t="n"/>
      <c r="CCK1" s="87" t="n"/>
      <c r="CCL1" s="87" t="n"/>
      <c r="CCM1" s="87" t="n"/>
      <c r="CCN1" s="87" t="n"/>
      <c r="CCO1" s="87" t="n"/>
      <c r="CCP1" s="87" t="n"/>
      <c r="CCQ1" s="87" t="n"/>
      <c r="CCR1" s="87" t="n"/>
      <c r="CCS1" s="87" t="n"/>
      <c r="CCT1" s="87" t="n"/>
      <c r="CCU1" s="87" t="n"/>
      <c r="CCV1" s="87" t="n"/>
      <c r="CCW1" s="87" t="n"/>
      <c r="CCX1" s="87" t="n"/>
      <c r="CCY1" s="87" t="n"/>
      <c r="CCZ1" s="87" t="n"/>
      <c r="CDA1" s="87" t="n"/>
      <c r="CDB1" s="87" t="n"/>
      <c r="CDC1" s="87" t="n"/>
      <c r="CDD1" s="87" t="n"/>
      <c r="CDE1" s="87" t="n"/>
      <c r="CDF1" s="87" t="n"/>
      <c r="CDG1" s="87" t="n"/>
      <c r="CDH1" s="87" t="n"/>
      <c r="CDI1" s="87" t="n"/>
      <c r="CDJ1" s="87" t="n"/>
      <c r="CDK1" s="87" t="n"/>
      <c r="CDL1" s="87" t="n"/>
      <c r="CDM1" s="87" t="n"/>
      <c r="CDN1" s="87" t="n"/>
      <c r="CDO1" s="87" t="n"/>
      <c r="CDP1" s="87" t="n"/>
      <c r="CDQ1" s="87" t="n"/>
      <c r="CDR1" s="87" t="n"/>
      <c r="CDS1" s="87" t="n"/>
      <c r="CDT1" s="87" t="n"/>
      <c r="CDU1" s="87" t="n"/>
      <c r="CDV1" s="87" t="n"/>
      <c r="CDW1" s="87" t="n"/>
      <c r="CDX1" s="87" t="n"/>
      <c r="CDY1" s="87" t="n"/>
      <c r="CDZ1" s="87" t="n"/>
      <c r="CEA1" s="87" t="n"/>
      <c r="CEB1" s="87" t="n"/>
      <c r="CEC1" s="87" t="n"/>
      <c r="CED1" s="87" t="n"/>
      <c r="CEE1" s="87" t="n"/>
      <c r="CEF1" s="87" t="n"/>
      <c r="CEG1" s="87" t="n"/>
      <c r="CEH1" s="87" t="n"/>
      <c r="CEI1" s="87" t="n"/>
      <c r="CEJ1" s="87" t="n"/>
      <c r="CEK1" s="87" t="n"/>
      <c r="CEL1" s="87" t="n"/>
      <c r="CEM1" s="87" t="n"/>
      <c r="CEN1" s="87" t="n"/>
      <c r="CEO1" s="87" t="n"/>
      <c r="CEP1" s="87" t="n"/>
      <c r="CEQ1" s="87" t="n"/>
      <c r="CER1" s="87" t="n"/>
      <c r="CES1" s="87" t="n"/>
      <c r="CET1" s="87" t="n"/>
      <c r="CEU1" s="87" t="n"/>
      <c r="CEV1" s="87" t="n"/>
      <c r="CEW1" s="87" t="n"/>
      <c r="CEX1" s="87" t="n"/>
      <c r="CEY1" s="87" t="n"/>
      <c r="CEZ1" s="87" t="n"/>
      <c r="CFA1" s="87" t="n"/>
      <c r="CFB1" s="87" t="n"/>
      <c r="CFC1" s="87" t="n"/>
      <c r="CFD1" s="87" t="n"/>
      <c r="CFE1" s="87" t="n"/>
      <c r="CFF1" s="87" t="n"/>
      <c r="CFG1" s="87" t="n"/>
      <c r="CFH1" s="87" t="n"/>
      <c r="CFI1" s="87" t="n"/>
      <c r="CFJ1" s="87" t="n"/>
      <c r="CFK1" s="87" t="n"/>
      <c r="CFL1" s="87" t="n"/>
      <c r="CFM1" s="87" t="n"/>
      <c r="CFN1" s="87" t="n"/>
      <c r="CFO1" s="87" t="n"/>
      <c r="CFP1" s="87" t="n"/>
      <c r="CFQ1" s="87" t="n"/>
      <c r="CFR1" s="87" t="n"/>
      <c r="CFS1" s="87" t="n"/>
      <c r="CFT1" s="87" t="n"/>
      <c r="CFU1" s="87" t="n"/>
      <c r="CFV1" s="87" t="n"/>
      <c r="CFW1" s="87" t="n"/>
      <c r="CFX1" s="87" t="n"/>
      <c r="CFY1" s="87" t="n"/>
      <c r="CFZ1" s="87" t="n"/>
      <c r="CGA1" s="87" t="n"/>
      <c r="CGB1" s="87" t="n"/>
      <c r="CGC1" s="87" t="n"/>
      <c r="CGD1" s="87" t="n"/>
      <c r="CGE1" s="87" t="n"/>
      <c r="CGF1" s="87" t="n"/>
      <c r="CGG1" s="87" t="n"/>
      <c r="CGH1" s="87" t="n"/>
      <c r="CGI1" s="87" t="n"/>
      <c r="CGJ1" s="87" t="n"/>
      <c r="CGK1" s="87" t="n"/>
      <c r="CGL1" s="87" t="n"/>
      <c r="CGM1" s="87" t="n"/>
      <c r="CGN1" s="87" t="n"/>
      <c r="CGO1" s="87" t="n"/>
      <c r="CGP1" s="87" t="n"/>
      <c r="CGQ1" s="87" t="n"/>
      <c r="CGR1" s="87" t="n"/>
      <c r="CGS1" s="87" t="n"/>
      <c r="CGT1" s="87" t="n"/>
      <c r="CGU1" s="87" t="n"/>
      <c r="CGV1" s="87" t="n"/>
      <c r="CGW1" s="87" t="n"/>
      <c r="CGX1" s="87" t="n"/>
      <c r="CGY1" s="87" t="n"/>
      <c r="CGZ1" s="87" t="n"/>
      <c r="CHA1" s="87" t="n"/>
      <c r="CHB1" s="87" t="n"/>
      <c r="CHC1" s="87" t="n"/>
      <c r="CHD1" s="87" t="n"/>
      <c r="CHE1" s="87" t="n"/>
      <c r="CHF1" s="87" t="n"/>
      <c r="CHG1" s="87" t="n"/>
      <c r="CHH1" s="87" t="n"/>
      <c r="CHI1" s="87" t="n"/>
      <c r="CHJ1" s="87" t="n"/>
      <c r="CHK1" s="87" t="n"/>
      <c r="CHL1" s="87" t="n"/>
      <c r="CHM1" s="87" t="n"/>
      <c r="CHN1" s="87" t="n"/>
      <c r="CHO1" s="87" t="n"/>
      <c r="CHP1" s="87" t="n"/>
      <c r="CHQ1" s="87" t="n"/>
      <c r="CHR1" s="87" t="n"/>
      <c r="CHS1" s="87" t="n"/>
      <c r="CHT1" s="87" t="n"/>
      <c r="CHU1" s="87" t="n"/>
      <c r="CHV1" s="87" t="n"/>
      <c r="CHW1" s="87" t="n"/>
      <c r="CHX1" s="87" t="n"/>
      <c r="CHY1" s="87" t="n"/>
      <c r="CHZ1" s="87" t="n"/>
      <c r="CIA1" s="87" t="n"/>
      <c r="CIB1" s="87" t="n"/>
      <c r="CIC1" s="87" t="n"/>
      <c r="CID1" s="87" t="n"/>
      <c r="CIE1" s="87" t="n"/>
      <c r="CIF1" s="87" t="n"/>
      <c r="CIG1" s="87" t="n"/>
      <c r="CIH1" s="87" t="n"/>
      <c r="CII1" s="87" t="n"/>
      <c r="CIJ1" s="87" t="n"/>
      <c r="CIK1" s="87" t="n"/>
      <c r="CIL1" s="87" t="n"/>
      <c r="CIM1" s="87" t="n"/>
      <c r="CIN1" s="87" t="n"/>
      <c r="CIO1" s="87" t="n"/>
      <c r="CIP1" s="87" t="n"/>
      <c r="CIQ1" s="87" t="n"/>
      <c r="CIR1" s="87" t="n"/>
      <c r="CIS1" s="87" t="n"/>
      <c r="CIT1" s="87" t="n"/>
      <c r="CIU1" s="87" t="n"/>
      <c r="CIV1" s="87" t="n"/>
      <c r="CIW1" s="87" t="n"/>
      <c r="CIX1" s="87" t="n"/>
      <c r="CIY1" s="87" t="n"/>
      <c r="CIZ1" s="87" t="n"/>
      <c r="CJA1" s="87" t="n"/>
      <c r="CJB1" s="87" t="n"/>
      <c r="CJC1" s="87" t="n"/>
      <c r="CJD1" s="87" t="n"/>
      <c r="CJE1" s="87" t="n"/>
      <c r="CJF1" s="87" t="n"/>
      <c r="CJG1" s="87" t="n"/>
      <c r="CJH1" s="87" t="n"/>
      <c r="CJI1" s="87" t="n"/>
      <c r="CJJ1" s="87" t="n"/>
      <c r="CJK1" s="87" t="n"/>
      <c r="CJL1" s="87" t="n"/>
      <c r="CJM1" s="87" t="n"/>
      <c r="CJN1" s="87" t="n"/>
      <c r="CJO1" s="87" t="n"/>
      <c r="CJP1" s="87" t="n"/>
      <c r="CJQ1" s="87" t="n"/>
      <c r="CJR1" s="87" t="n"/>
      <c r="CJS1" s="87" t="n"/>
      <c r="CJT1" s="87" t="n"/>
      <c r="CJU1" s="87" t="n"/>
      <c r="CJV1" s="87" t="n"/>
      <c r="CJW1" s="87" t="n"/>
      <c r="CJX1" s="87" t="n"/>
      <c r="CJY1" s="87" t="n"/>
      <c r="CJZ1" s="87" t="n"/>
      <c r="CKA1" s="87" t="n"/>
      <c r="CKB1" s="87" t="n"/>
      <c r="CKC1" s="87" t="n"/>
      <c r="CKD1" s="87" t="n"/>
      <c r="CKE1" s="87" t="n"/>
      <c r="CKF1" s="87" t="n"/>
      <c r="CKG1" s="87" t="n"/>
      <c r="CKH1" s="87" t="n"/>
      <c r="CKI1" s="87" t="n"/>
      <c r="CKJ1" s="87" t="n"/>
      <c r="CKK1" s="87" t="n"/>
      <c r="CKL1" s="87" t="n"/>
      <c r="CKM1" s="87" t="n"/>
      <c r="CKN1" s="87" t="n"/>
      <c r="CKO1" s="87" t="n"/>
      <c r="CKP1" s="87" t="n"/>
      <c r="CKQ1" s="87" t="n"/>
      <c r="CKR1" s="87" t="n"/>
      <c r="CKS1" s="87" t="n"/>
      <c r="CKT1" s="87" t="n"/>
      <c r="CKU1" s="87" t="n"/>
      <c r="CKV1" s="87" t="n"/>
      <c r="CKW1" s="87" t="n"/>
      <c r="CKX1" s="87" t="n"/>
      <c r="CKY1" s="87" t="n"/>
      <c r="CKZ1" s="87" t="n"/>
      <c r="CLA1" s="87" t="n"/>
      <c r="CLB1" s="87" t="n"/>
      <c r="CLC1" s="87" t="n"/>
      <c r="CLD1" s="87" t="n"/>
      <c r="CLE1" s="87" t="n"/>
      <c r="CLF1" s="87" t="n"/>
      <c r="CLG1" s="87" t="n"/>
      <c r="CLH1" s="87" t="n"/>
      <c r="CLI1" s="87" t="n"/>
      <c r="CLJ1" s="87" t="n"/>
      <c r="CLK1" s="87" t="n"/>
      <c r="CLL1" s="87" t="n"/>
      <c r="CLM1" s="87" t="n"/>
      <c r="CLN1" s="87" t="n"/>
      <c r="CLO1" s="87" t="n"/>
      <c r="CLP1" s="87" t="n"/>
      <c r="CLQ1" s="87" t="n"/>
      <c r="CLR1" s="87" t="n"/>
      <c r="CLS1" s="87" t="n"/>
      <c r="CLT1" s="87" t="n"/>
      <c r="CLU1" s="87" t="n"/>
      <c r="CLV1" s="87" t="n"/>
      <c r="CLW1" s="87" t="n"/>
      <c r="CLX1" s="87" t="n"/>
      <c r="CLY1" s="87" t="n"/>
      <c r="CLZ1" s="87" t="n"/>
      <c r="CMA1" s="87" t="n"/>
      <c r="CMB1" s="87" t="n"/>
      <c r="CMC1" s="87" t="n"/>
      <c r="CMD1" s="87" t="n"/>
      <c r="CME1" s="87" t="n"/>
      <c r="CMF1" s="87" t="n"/>
      <c r="CMG1" s="87" t="n"/>
      <c r="CMH1" s="87" t="n"/>
      <c r="CMI1" s="87" t="n"/>
      <c r="CMJ1" s="87" t="n"/>
      <c r="CMK1" s="87" t="n"/>
      <c r="CML1" s="87" t="n"/>
      <c r="CMM1" s="87" t="n"/>
      <c r="CMN1" s="87" t="n"/>
      <c r="CMO1" s="87" t="n"/>
      <c r="CMP1" s="87" t="n"/>
      <c r="CMQ1" s="87" t="n"/>
      <c r="CMR1" s="87" t="n"/>
      <c r="CMS1" s="87" t="n"/>
      <c r="CMT1" s="87" t="n"/>
      <c r="CMU1" s="87" t="n"/>
      <c r="CMV1" s="87" t="n"/>
      <c r="CMW1" s="87" t="n"/>
      <c r="CMX1" s="87" t="n"/>
      <c r="CMY1" s="87" t="n"/>
      <c r="CMZ1" s="87" t="n"/>
      <c r="CNA1" s="87" t="n"/>
      <c r="CNB1" s="87" t="n"/>
      <c r="CNC1" s="87" t="n"/>
      <c r="CND1" s="87" t="n"/>
      <c r="CNE1" s="87" t="n"/>
      <c r="CNF1" s="87" t="n"/>
      <c r="CNG1" s="87" t="n"/>
      <c r="CNH1" s="87" t="n"/>
      <c r="CNI1" s="87" t="n"/>
      <c r="CNJ1" s="87" t="n"/>
      <c r="CNK1" s="87" t="n"/>
      <c r="CNL1" s="87" t="n"/>
      <c r="CNM1" s="87" t="n"/>
      <c r="CNN1" s="87" t="n"/>
      <c r="CNO1" s="87" t="n"/>
      <c r="CNP1" s="87" t="n"/>
      <c r="CNQ1" s="87" t="n"/>
      <c r="CNR1" s="87" t="n"/>
      <c r="CNS1" s="87" t="n"/>
      <c r="CNT1" s="87" t="n"/>
      <c r="CNU1" s="87" t="n"/>
      <c r="CNV1" s="87" t="n"/>
      <c r="CNW1" s="87" t="n"/>
      <c r="CNX1" s="87" t="n"/>
      <c r="CNY1" s="87" t="n"/>
      <c r="CNZ1" s="87" t="n"/>
      <c r="COA1" s="87" t="n"/>
      <c r="COB1" s="87" t="n"/>
      <c r="COC1" s="87" t="n"/>
      <c r="COD1" s="87" t="n"/>
      <c r="COE1" s="87" t="n"/>
      <c r="COF1" s="87" t="n"/>
      <c r="COG1" s="87" t="n"/>
      <c r="COH1" s="87" t="n"/>
      <c r="COI1" s="87" t="n"/>
      <c r="COJ1" s="87" t="n"/>
      <c r="COK1" s="87" t="n"/>
      <c r="COL1" s="87" t="n"/>
      <c r="COM1" s="87" t="n"/>
      <c r="CON1" s="87" t="n"/>
      <c r="COO1" s="87" t="n"/>
      <c r="COP1" s="87" t="n"/>
      <c r="COQ1" s="87" t="n"/>
      <c r="COR1" s="87" t="n"/>
      <c r="COS1" s="87" t="n"/>
      <c r="COT1" s="87" t="n"/>
      <c r="COU1" s="87" t="n"/>
      <c r="COV1" s="87" t="n"/>
      <c r="COW1" s="87" t="n"/>
      <c r="COX1" s="87" t="n"/>
      <c r="COY1" s="87" t="n"/>
      <c r="COZ1" s="87" t="n"/>
      <c r="CPA1" s="87" t="n"/>
      <c r="CPB1" s="87" t="n"/>
      <c r="CPC1" s="87" t="n"/>
      <c r="CPD1" s="87" t="n"/>
      <c r="CPE1" s="87" t="n"/>
      <c r="CPF1" s="87" t="n"/>
      <c r="CPG1" s="87" t="n"/>
      <c r="CPH1" s="87" t="n"/>
      <c r="CPI1" s="87" t="n"/>
      <c r="CPJ1" s="87" t="n"/>
      <c r="CPK1" s="87" t="n"/>
      <c r="CPL1" s="87" t="n"/>
      <c r="CPM1" s="87" t="n"/>
      <c r="CPN1" s="87" t="n"/>
      <c r="CPO1" s="87" t="n"/>
      <c r="CPP1" s="87" t="n"/>
      <c r="CPQ1" s="87" t="n"/>
      <c r="CPR1" s="87" t="n"/>
      <c r="CPS1" s="87" t="n"/>
      <c r="CPT1" s="87" t="n"/>
      <c r="CPU1" s="87" t="n"/>
      <c r="CPV1" s="87" t="n"/>
      <c r="CPW1" s="87" t="n"/>
      <c r="CPX1" s="87" t="n"/>
      <c r="CPY1" s="87" t="n"/>
      <c r="CPZ1" s="87" t="n"/>
      <c r="CQA1" s="87" t="n"/>
      <c r="CQB1" s="87" t="n"/>
      <c r="CQC1" s="87" t="n"/>
      <c r="CQD1" s="87" t="n"/>
      <c r="CQE1" s="87" t="n"/>
      <c r="CQF1" s="87" t="n"/>
      <c r="CQG1" s="87" t="n"/>
      <c r="CQH1" s="87" t="n"/>
      <c r="CQI1" s="87" t="n"/>
      <c r="CQJ1" s="87" t="n"/>
      <c r="CQK1" s="87" t="n"/>
      <c r="CQL1" s="87" t="n"/>
      <c r="CQM1" s="87" t="n"/>
      <c r="CQN1" s="87" t="n"/>
      <c r="CQO1" s="87" t="n"/>
      <c r="CQP1" s="87" t="n"/>
      <c r="CQQ1" s="87" t="n"/>
      <c r="CQR1" s="87" t="n"/>
      <c r="CQS1" s="87" t="n"/>
      <c r="CQT1" s="87" t="n"/>
      <c r="CQU1" s="87" t="n"/>
      <c r="CQV1" s="87" t="n"/>
      <c r="CQW1" s="87" t="n"/>
      <c r="CQX1" s="87" t="n"/>
      <c r="CQY1" s="87" t="n"/>
      <c r="CQZ1" s="87" t="n"/>
      <c r="CRA1" s="87" t="n"/>
      <c r="CRB1" s="87" t="n"/>
      <c r="CRC1" s="87" t="n"/>
      <c r="CRD1" s="87" t="n"/>
      <c r="CRE1" s="87" t="n"/>
      <c r="CRF1" s="87" t="n"/>
      <c r="CRG1" s="87" t="n"/>
      <c r="CRH1" s="87" t="n"/>
      <c r="CRI1" s="87" t="n"/>
      <c r="CRJ1" s="87" t="n"/>
      <c r="CRK1" s="87" t="n"/>
      <c r="CRL1" s="87" t="n"/>
      <c r="CRM1" s="87" t="n"/>
      <c r="CRN1" s="87" t="n"/>
      <c r="CRO1" s="87" t="n"/>
      <c r="CRP1" s="87" t="n"/>
      <c r="CRQ1" s="87" t="n"/>
      <c r="CRR1" s="87" t="n"/>
      <c r="CRS1" s="87" t="n"/>
      <c r="CRT1" s="87" t="n"/>
      <c r="CRU1" s="87" t="n"/>
      <c r="CRV1" s="87" t="n"/>
      <c r="CRW1" s="87" t="n"/>
      <c r="CRX1" s="87" t="n"/>
      <c r="CRY1" s="87" t="n"/>
      <c r="CRZ1" s="87" t="n"/>
      <c r="CSA1" s="87" t="n"/>
      <c r="CSB1" s="87" t="n"/>
      <c r="CSC1" s="87" t="n"/>
      <c r="CSD1" s="87" t="n"/>
      <c r="CSE1" s="87" t="n"/>
      <c r="CSF1" s="87" t="n"/>
      <c r="CSG1" s="87" t="n"/>
      <c r="CSH1" s="87" t="n"/>
      <c r="CSI1" s="87" t="n"/>
      <c r="CSJ1" s="87" t="n"/>
      <c r="CSK1" s="87" t="n"/>
      <c r="CSL1" s="87" t="n"/>
      <c r="CSM1" s="87" t="n"/>
      <c r="CSN1" s="87" t="n"/>
      <c r="CSO1" s="87" t="n"/>
      <c r="CSP1" s="87" t="n"/>
      <c r="CSQ1" s="87" t="n"/>
      <c r="CSR1" s="87" t="n"/>
      <c r="CSS1" s="87" t="n"/>
      <c r="CST1" s="87" t="n"/>
      <c r="CSU1" s="87" t="n"/>
      <c r="CSV1" s="87" t="n"/>
      <c r="CSW1" s="87" t="n"/>
      <c r="CSX1" s="87" t="n"/>
      <c r="CSY1" s="87" t="n"/>
      <c r="CSZ1" s="87" t="n"/>
      <c r="CTA1" s="87" t="n"/>
      <c r="CTB1" s="87" t="n"/>
      <c r="CTC1" s="87" t="n"/>
      <c r="CTD1" s="87" t="n"/>
      <c r="CTE1" s="87" t="n"/>
      <c r="CTF1" s="87" t="n"/>
      <c r="CTG1" s="87" t="n"/>
      <c r="CTH1" s="87" t="n"/>
      <c r="CTI1" s="87" t="n"/>
      <c r="CTJ1" s="87" t="n"/>
      <c r="CTK1" s="87" t="n"/>
      <c r="CTL1" s="87" t="n"/>
      <c r="CTM1" s="87" t="n"/>
      <c r="CTN1" s="87" t="n"/>
      <c r="CTO1" s="87" t="n"/>
      <c r="CTP1" s="87" t="n"/>
      <c r="CTQ1" s="87" t="n"/>
      <c r="CTR1" s="87" t="n"/>
      <c r="CTS1" s="87" t="n"/>
      <c r="CTT1" s="87" t="n"/>
      <c r="CTU1" s="87" t="n"/>
      <c r="CTV1" s="87" t="n"/>
      <c r="CTW1" s="87" t="n"/>
      <c r="CTX1" s="87" t="n"/>
      <c r="CTY1" s="87" t="n"/>
      <c r="CTZ1" s="87" t="n"/>
      <c r="CUA1" s="87" t="n"/>
      <c r="CUB1" s="87" t="n"/>
      <c r="CUC1" s="87" t="n"/>
      <c r="CUD1" s="87" t="n"/>
      <c r="CUE1" s="87" t="n"/>
      <c r="CUF1" s="87" t="n"/>
      <c r="CUG1" s="87" t="n"/>
      <c r="CUH1" s="87" t="n"/>
      <c r="CUI1" s="87" t="n"/>
      <c r="CUJ1" s="87" t="n"/>
      <c r="CUK1" s="87" t="n"/>
      <c r="CUL1" s="87" t="n"/>
      <c r="CUM1" s="87" t="n"/>
      <c r="CUN1" s="87" t="n"/>
      <c r="CUO1" s="87" t="n"/>
      <c r="CUP1" s="87" t="n"/>
      <c r="CUQ1" s="87" t="n"/>
      <c r="CUR1" s="87" t="n"/>
      <c r="CUS1" s="87" t="n"/>
      <c r="CUT1" s="87" t="n"/>
      <c r="CUU1" s="87" t="n"/>
      <c r="CUV1" s="87" t="n"/>
      <c r="CUW1" s="87" t="n"/>
      <c r="CUX1" s="87" t="n"/>
      <c r="CUY1" s="87" t="n"/>
      <c r="CUZ1" s="87" t="n"/>
      <c r="CVA1" s="87" t="n"/>
      <c r="CVB1" s="87" t="n"/>
      <c r="CVC1" s="87" t="n"/>
      <c r="CVD1" s="87" t="n"/>
      <c r="CVE1" s="87" t="n"/>
      <c r="CVF1" s="87" t="n"/>
      <c r="CVG1" s="87" t="n"/>
      <c r="CVH1" s="87" t="n"/>
      <c r="CVI1" s="87" t="n"/>
      <c r="CVJ1" s="87" t="n"/>
      <c r="CVK1" s="87" t="n"/>
      <c r="CVL1" s="87" t="n"/>
      <c r="CVM1" s="87" t="n"/>
      <c r="CVN1" s="87" t="n"/>
      <c r="CVO1" s="87" t="n"/>
      <c r="CVP1" s="87" t="n"/>
      <c r="CVQ1" s="87" t="n"/>
      <c r="CVR1" s="87" t="n"/>
      <c r="CVS1" s="87" t="n"/>
      <c r="CVT1" s="87" t="n"/>
      <c r="CVU1" s="87" t="n"/>
      <c r="CVV1" s="87" t="n"/>
      <c r="CVW1" s="87" t="n"/>
      <c r="CVX1" s="87" t="n"/>
      <c r="CVY1" s="87" t="n"/>
      <c r="CVZ1" s="87" t="n"/>
      <c r="CWA1" s="87" t="n"/>
      <c r="CWB1" s="87" t="n"/>
      <c r="CWC1" s="87" t="n"/>
      <c r="CWD1" s="87" t="n"/>
      <c r="CWE1" s="87" t="n"/>
      <c r="CWF1" s="87" t="n"/>
      <c r="CWG1" s="87" t="n"/>
      <c r="CWH1" s="87" t="n"/>
      <c r="CWI1" s="87" t="n"/>
      <c r="CWJ1" s="87" t="n"/>
      <c r="CWK1" s="87" t="n"/>
      <c r="CWL1" s="87" t="n"/>
      <c r="CWM1" s="87" t="n"/>
      <c r="CWN1" s="87" t="n"/>
      <c r="CWO1" s="87" t="n"/>
      <c r="CWP1" s="87" t="n"/>
      <c r="CWQ1" s="87" t="n"/>
      <c r="CWR1" s="87" t="n"/>
      <c r="CWS1" s="87" t="n"/>
      <c r="CWT1" s="87" t="n"/>
      <c r="CWU1" s="87" t="n"/>
      <c r="CWV1" s="87" t="n"/>
      <c r="CWW1" s="87" t="n"/>
      <c r="CWX1" s="87" t="n"/>
      <c r="CWY1" s="87" t="n"/>
      <c r="CWZ1" s="87" t="n"/>
      <c r="CXA1" s="87" t="n"/>
      <c r="CXB1" s="87" t="n"/>
      <c r="CXC1" s="87" t="n"/>
      <c r="CXD1" s="87" t="n"/>
      <c r="CXE1" s="87" t="n"/>
      <c r="CXF1" s="87" t="n"/>
      <c r="CXG1" s="87" t="n"/>
      <c r="CXH1" s="87" t="n"/>
      <c r="CXI1" s="87" t="n"/>
      <c r="CXJ1" s="87" t="n"/>
      <c r="CXK1" s="87" t="n"/>
      <c r="CXL1" s="87" t="n"/>
      <c r="CXM1" s="87" t="n"/>
      <c r="CXN1" s="87" t="n"/>
      <c r="CXO1" s="87" t="n"/>
      <c r="CXP1" s="87" t="n"/>
      <c r="CXQ1" s="87" t="n"/>
      <c r="CXR1" s="87" t="n"/>
      <c r="CXS1" s="87" t="n"/>
      <c r="CXT1" s="87" t="n"/>
      <c r="CXU1" s="87" t="n"/>
      <c r="CXV1" s="87" t="n"/>
      <c r="CXW1" s="87" t="n"/>
      <c r="CXX1" s="87" t="n"/>
      <c r="CXY1" s="87" t="n"/>
      <c r="CXZ1" s="87" t="n"/>
      <c r="CYA1" s="87" t="n"/>
      <c r="CYB1" s="87" t="n"/>
      <c r="CYC1" s="87" t="n"/>
      <c r="CYD1" s="87" t="n"/>
      <c r="CYE1" s="87" t="n"/>
      <c r="CYF1" s="87" t="n"/>
      <c r="CYG1" s="87" t="n"/>
      <c r="CYH1" s="87" t="n"/>
      <c r="CYI1" s="87" t="n"/>
      <c r="CYJ1" s="87" t="n"/>
      <c r="CYK1" s="87" t="n"/>
      <c r="CYL1" s="87" t="n"/>
      <c r="CYM1" s="87" t="n"/>
      <c r="CYN1" s="87" t="n"/>
      <c r="CYO1" s="87" t="n"/>
      <c r="CYP1" s="87" t="n"/>
      <c r="CYQ1" s="87" t="n"/>
      <c r="CYR1" s="87" t="n"/>
      <c r="CYS1" s="87" t="n"/>
      <c r="CYT1" s="87" t="n"/>
      <c r="CYU1" s="87" t="n"/>
      <c r="CYV1" s="87" t="n"/>
      <c r="CYW1" s="87" t="n"/>
      <c r="CYX1" s="87" t="n"/>
      <c r="CYY1" s="87" t="n"/>
      <c r="CYZ1" s="87" t="n"/>
      <c r="CZA1" s="87" t="n"/>
      <c r="CZB1" s="87" t="n"/>
      <c r="CZC1" s="87" t="n"/>
      <c r="CZD1" s="87" t="n"/>
      <c r="CZE1" s="87" t="n"/>
      <c r="CZF1" s="87" t="n"/>
      <c r="CZG1" s="87" t="n"/>
      <c r="CZH1" s="87" t="n"/>
      <c r="CZI1" s="87" t="n"/>
      <c r="CZJ1" s="87" t="n"/>
      <c r="CZK1" s="87" t="n"/>
      <c r="CZL1" s="87" t="n"/>
      <c r="CZM1" s="87" t="n"/>
      <c r="CZN1" s="87" t="n"/>
      <c r="CZO1" s="87" t="n"/>
      <c r="CZP1" s="87" t="n"/>
      <c r="CZQ1" s="87" t="n"/>
      <c r="CZR1" s="87" t="n"/>
      <c r="CZS1" s="87" t="n"/>
      <c r="CZT1" s="87" t="n"/>
      <c r="CZU1" s="87" t="n"/>
      <c r="CZV1" s="87" t="n"/>
      <c r="CZW1" s="87" t="n"/>
      <c r="CZX1" s="87" t="n"/>
      <c r="CZY1" s="87" t="n"/>
      <c r="CZZ1" s="87" t="n"/>
      <c r="DAA1" s="87" t="n"/>
      <c r="DAB1" s="87" t="n"/>
      <c r="DAC1" s="87" t="n"/>
      <c r="DAD1" s="87" t="n"/>
      <c r="DAE1" s="87" t="n"/>
      <c r="DAF1" s="87" t="n"/>
      <c r="DAG1" s="87" t="n"/>
      <c r="DAH1" s="87" t="n"/>
      <c r="DAI1" s="87" t="n"/>
      <c r="DAJ1" s="87" t="n"/>
      <c r="DAK1" s="87" t="n"/>
      <c r="DAL1" s="87" t="n"/>
      <c r="DAM1" s="87" t="n"/>
      <c r="DAN1" s="87" t="n"/>
      <c r="DAO1" s="87" t="n"/>
      <c r="DAP1" s="87" t="n"/>
      <c r="DAQ1" s="87" t="n"/>
      <c r="DAR1" s="87" t="n"/>
      <c r="DAS1" s="87" t="n"/>
      <c r="DAT1" s="87" t="n"/>
      <c r="DAU1" s="87" t="n"/>
      <c r="DAV1" s="87" t="n"/>
      <c r="DAW1" s="87" t="n"/>
      <c r="DAX1" s="87" t="n"/>
      <c r="DAY1" s="87" t="n"/>
      <c r="DAZ1" s="87" t="n"/>
      <c r="DBA1" s="87" t="n"/>
      <c r="DBB1" s="87" t="n"/>
      <c r="DBC1" s="87" t="n"/>
      <c r="DBD1" s="87" t="n"/>
      <c r="DBE1" s="87" t="n"/>
      <c r="DBF1" s="87" t="n"/>
      <c r="DBG1" s="87" t="n"/>
      <c r="DBH1" s="87" t="n"/>
      <c r="DBI1" s="87" t="n"/>
      <c r="DBJ1" s="87" t="n"/>
      <c r="DBK1" s="87" t="n"/>
      <c r="DBL1" s="87" t="n"/>
      <c r="DBM1" s="87" t="n"/>
      <c r="DBN1" s="87" t="n"/>
      <c r="DBO1" s="87" t="n"/>
      <c r="DBP1" s="87" t="n"/>
      <c r="DBQ1" s="87" t="n"/>
      <c r="DBR1" s="87" t="n"/>
      <c r="DBS1" s="87" t="n"/>
      <c r="DBT1" s="87" t="n"/>
      <c r="DBU1" s="87" t="n"/>
      <c r="DBV1" s="87" t="n"/>
      <c r="DBW1" s="87" t="n"/>
      <c r="DBX1" s="87" t="n"/>
      <c r="DBY1" s="87" t="n"/>
      <c r="DBZ1" s="87" t="n"/>
      <c r="DCA1" s="87" t="n"/>
      <c r="DCB1" s="87" t="n"/>
      <c r="DCC1" s="87" t="n"/>
      <c r="DCD1" s="87" t="n"/>
      <c r="DCE1" s="87" t="n"/>
      <c r="DCF1" s="87" t="n"/>
      <c r="DCG1" s="87" t="n"/>
      <c r="DCH1" s="87" t="n"/>
      <c r="DCI1" s="87" t="n"/>
      <c r="DCJ1" s="87" t="n"/>
      <c r="DCK1" s="87" t="n"/>
      <c r="DCL1" s="87" t="n"/>
      <c r="DCM1" s="87" t="n"/>
      <c r="DCN1" s="87" t="n"/>
      <c r="DCO1" s="87" t="n"/>
      <c r="DCP1" s="87" t="n"/>
      <c r="DCQ1" s="87" t="n"/>
      <c r="DCR1" s="87" t="n"/>
      <c r="DCS1" s="87" t="n"/>
      <c r="DCT1" s="87" t="n"/>
      <c r="DCU1" s="87" t="n"/>
      <c r="DCV1" s="87" t="n"/>
      <c r="DCW1" s="87" t="n"/>
      <c r="DCX1" s="87" t="n"/>
      <c r="DCY1" s="87" t="n"/>
      <c r="DCZ1" s="87" t="n"/>
      <c r="DDA1" s="87" t="n"/>
      <c r="DDB1" s="87" t="n"/>
      <c r="DDC1" s="87" t="n"/>
      <c r="DDD1" s="87" t="n"/>
      <c r="DDE1" s="87" t="n"/>
      <c r="DDF1" s="87" t="n"/>
      <c r="DDG1" s="87" t="n"/>
      <c r="DDH1" s="87" t="n"/>
      <c r="DDI1" s="87" t="n"/>
      <c r="DDJ1" s="87" t="n"/>
      <c r="DDK1" s="87" t="n"/>
      <c r="DDL1" s="87" t="n"/>
      <c r="DDM1" s="87" t="n"/>
      <c r="DDN1" s="87" t="n"/>
      <c r="DDO1" s="87" t="n"/>
      <c r="DDP1" s="87" t="n"/>
      <c r="DDQ1" s="87" t="n"/>
      <c r="DDR1" s="87" t="n"/>
      <c r="DDS1" s="87" t="n"/>
      <c r="DDT1" s="87" t="n"/>
      <c r="DDU1" s="87" t="n"/>
      <c r="DDV1" s="87" t="n"/>
      <c r="DDW1" s="87" t="n"/>
      <c r="DDX1" s="87" t="n"/>
      <c r="DDY1" s="87" t="n"/>
      <c r="DDZ1" s="87" t="n"/>
      <c r="DEA1" s="87" t="n"/>
      <c r="DEB1" s="87" t="n"/>
      <c r="DEC1" s="87" t="n"/>
      <c r="DED1" s="87" t="n"/>
      <c r="DEE1" s="87" t="n"/>
      <c r="DEF1" s="87" t="n"/>
      <c r="DEG1" s="87" t="n"/>
      <c r="DEH1" s="87" t="n"/>
      <c r="DEI1" s="87" t="n"/>
      <c r="DEJ1" s="87" t="n"/>
      <c r="DEK1" s="87" t="n"/>
      <c r="DEL1" s="87" t="n"/>
      <c r="DEM1" s="87" t="n"/>
      <c r="DEN1" s="87" t="n"/>
      <c r="DEO1" s="87" t="n"/>
      <c r="DEP1" s="87" t="n"/>
      <c r="DEQ1" s="87" t="n"/>
      <c r="DER1" s="87" t="n"/>
      <c r="DES1" s="87" t="n"/>
      <c r="DET1" s="87" t="n"/>
      <c r="DEU1" s="87" t="n"/>
      <c r="DEV1" s="87" t="n"/>
      <c r="DEW1" s="87" t="n"/>
      <c r="DEX1" s="87" t="n"/>
      <c r="DEY1" s="87" t="n"/>
      <c r="DEZ1" s="87" t="n"/>
      <c r="DFA1" s="87" t="n"/>
      <c r="DFB1" s="87" t="n"/>
      <c r="DFC1" s="87" t="n"/>
      <c r="DFD1" s="87" t="n"/>
      <c r="DFE1" s="87" t="n"/>
      <c r="DFF1" s="87" t="n"/>
      <c r="DFG1" s="87" t="n"/>
      <c r="DFH1" s="87" t="n"/>
      <c r="DFI1" s="87" t="n"/>
      <c r="DFJ1" s="87" t="n"/>
      <c r="DFK1" s="87" t="n"/>
      <c r="DFL1" s="87" t="n"/>
      <c r="DFM1" s="87" t="n"/>
      <c r="DFN1" s="87" t="n"/>
      <c r="DFO1" s="87" t="n"/>
      <c r="DFP1" s="87" t="n"/>
      <c r="DFQ1" s="87" t="n"/>
      <c r="DFR1" s="87" t="n"/>
      <c r="DFS1" s="87" t="n"/>
      <c r="DFT1" s="87" t="n"/>
      <c r="DFU1" s="87" t="n"/>
      <c r="DFV1" s="87" t="n"/>
      <c r="DFW1" s="87" t="n"/>
      <c r="DFX1" s="87" t="n"/>
      <c r="DFY1" s="87" t="n"/>
      <c r="DFZ1" s="87" t="n"/>
      <c r="DGA1" s="87" t="n"/>
      <c r="DGB1" s="87" t="n"/>
      <c r="DGC1" s="87" t="n"/>
      <c r="DGD1" s="87" t="n"/>
      <c r="DGE1" s="87" t="n"/>
      <c r="DGF1" s="87" t="n"/>
      <c r="DGG1" s="87" t="n"/>
      <c r="DGH1" s="87" t="n"/>
      <c r="DGI1" s="87" t="n"/>
      <c r="DGJ1" s="87" t="n"/>
      <c r="DGK1" s="87" t="n"/>
      <c r="DGL1" s="87" t="n"/>
      <c r="DGM1" s="87" t="n"/>
      <c r="DGN1" s="87" t="n"/>
      <c r="DGO1" s="87" t="n"/>
      <c r="DGP1" s="87" t="n"/>
      <c r="DGQ1" s="87" t="n"/>
      <c r="DGR1" s="87" t="n"/>
      <c r="DGS1" s="87" t="n"/>
      <c r="DGT1" s="87" t="n"/>
      <c r="DGU1" s="87" t="n"/>
      <c r="DGV1" s="87" t="n"/>
      <c r="DGW1" s="87" t="n"/>
      <c r="DGX1" s="87" t="n"/>
      <c r="DGY1" s="87" t="n"/>
      <c r="DGZ1" s="87" t="n"/>
      <c r="DHA1" s="87" t="n"/>
      <c r="DHB1" s="87" t="n"/>
      <c r="DHC1" s="87" t="n"/>
      <c r="DHD1" s="87" t="n"/>
      <c r="DHE1" s="87" t="n"/>
      <c r="DHF1" s="87" t="n"/>
      <c r="DHG1" s="87" t="n"/>
      <c r="DHH1" s="87" t="n"/>
      <c r="DHI1" s="87" t="n"/>
      <c r="DHJ1" s="87" t="n"/>
      <c r="DHK1" s="87" t="n"/>
      <c r="DHL1" s="87" t="n"/>
      <c r="DHM1" s="87" t="n"/>
      <c r="DHN1" s="87" t="n"/>
      <c r="DHO1" s="87" t="n"/>
      <c r="DHP1" s="87" t="n"/>
      <c r="DHQ1" s="87" t="n"/>
      <c r="DHR1" s="87" t="n"/>
      <c r="DHS1" s="87" t="n"/>
      <c r="DHT1" s="87" t="n"/>
      <c r="DHU1" s="87" t="n"/>
      <c r="DHV1" s="87" t="n"/>
      <c r="DHW1" s="87" t="n"/>
      <c r="DHX1" s="87" t="n"/>
      <c r="DHY1" s="87" t="n"/>
      <c r="DHZ1" s="87" t="n"/>
      <c r="DIA1" s="87" t="n"/>
      <c r="DIB1" s="87" t="n"/>
      <c r="DIC1" s="87" t="n"/>
      <c r="DID1" s="87" t="n"/>
      <c r="DIE1" s="87" t="n"/>
      <c r="DIF1" s="87" t="n"/>
      <c r="DIG1" s="87" t="n"/>
      <c r="DIH1" s="87" t="n"/>
      <c r="DII1" s="87" t="n"/>
      <c r="DIJ1" s="87" t="n"/>
      <c r="DIK1" s="87" t="n"/>
      <c r="DIL1" s="87" t="n"/>
      <c r="DIM1" s="87" t="n"/>
      <c r="DIN1" s="87" t="n"/>
      <c r="DIO1" s="87" t="n"/>
      <c r="DIP1" s="87" t="n"/>
      <c r="DIQ1" s="87" t="n"/>
      <c r="DIR1" s="87" t="n"/>
      <c r="DIS1" s="87" t="n"/>
      <c r="DIT1" s="87" t="n"/>
      <c r="DIU1" s="87" t="n"/>
      <c r="DIV1" s="87" t="n"/>
      <c r="DIW1" s="87" t="n"/>
      <c r="DIX1" s="87" t="n"/>
      <c r="DIY1" s="87" t="n"/>
      <c r="DIZ1" s="87" t="n"/>
      <c r="DJA1" s="87" t="n"/>
      <c r="DJB1" s="87" t="n"/>
      <c r="DJC1" s="87" t="n"/>
      <c r="DJD1" s="87" t="n"/>
      <c r="DJE1" s="87" t="n"/>
      <c r="DJF1" s="87" t="n"/>
      <c r="DJG1" s="87" t="n"/>
      <c r="DJH1" s="87" t="n"/>
      <c r="DJI1" s="87" t="n"/>
      <c r="DJJ1" s="87" t="n"/>
      <c r="DJK1" s="87" t="n"/>
      <c r="DJL1" s="87" t="n"/>
      <c r="DJM1" s="87" t="n"/>
      <c r="DJN1" s="87" t="n"/>
      <c r="DJO1" s="87" t="n"/>
      <c r="DJP1" s="87" t="n"/>
      <c r="DJQ1" s="87" t="n"/>
      <c r="DJR1" s="87" t="n"/>
      <c r="DJS1" s="87" t="n"/>
      <c r="DJT1" s="87" t="n"/>
      <c r="DJU1" s="87" t="n"/>
      <c r="DJV1" s="87" t="n"/>
      <c r="DJW1" s="87" t="n"/>
      <c r="DJX1" s="87" t="n"/>
      <c r="DJY1" s="87" t="n"/>
      <c r="DJZ1" s="87" t="n"/>
      <c r="DKA1" s="87" t="n"/>
      <c r="DKB1" s="87" t="n"/>
      <c r="DKC1" s="87" t="n"/>
      <c r="DKD1" s="87" t="n"/>
      <c r="DKE1" s="87" t="n"/>
      <c r="DKF1" s="87" t="n"/>
      <c r="DKG1" s="87" t="n"/>
      <c r="DKH1" s="87" t="n"/>
      <c r="DKI1" s="87" t="n"/>
      <c r="DKJ1" s="87" t="n"/>
      <c r="DKK1" s="87" t="n"/>
      <c r="DKL1" s="87" t="n"/>
      <c r="DKM1" s="87" t="n"/>
      <c r="DKN1" s="87" t="n"/>
      <c r="DKO1" s="87" t="n"/>
      <c r="DKP1" s="87" t="n"/>
      <c r="DKQ1" s="87" t="n"/>
      <c r="DKR1" s="87" t="n"/>
      <c r="DKS1" s="87" t="n"/>
      <c r="DKT1" s="87" t="n"/>
      <c r="DKU1" s="87" t="n"/>
      <c r="DKV1" s="87" t="n"/>
      <c r="DKW1" s="87" t="n"/>
      <c r="DKX1" s="87" t="n"/>
      <c r="DKY1" s="87" t="n"/>
      <c r="DKZ1" s="87" t="n"/>
      <c r="DLA1" s="87" t="n"/>
      <c r="DLB1" s="87" t="n"/>
      <c r="DLC1" s="87" t="n"/>
      <c r="DLD1" s="87" t="n"/>
      <c r="DLE1" s="87" t="n"/>
      <c r="DLF1" s="87" t="n"/>
      <c r="DLG1" s="87" t="n"/>
      <c r="DLH1" s="87" t="n"/>
      <c r="DLI1" s="87" t="n"/>
      <c r="DLJ1" s="87" t="n"/>
      <c r="DLK1" s="87" t="n"/>
      <c r="DLL1" s="87" t="n"/>
      <c r="DLM1" s="87" t="n"/>
      <c r="DLN1" s="87" t="n"/>
      <c r="DLO1" s="87" t="n"/>
      <c r="DLP1" s="87" t="n"/>
      <c r="DLQ1" s="87" t="n"/>
      <c r="DLR1" s="87" t="n"/>
      <c r="DLS1" s="87" t="n"/>
      <c r="DLT1" s="87" t="n"/>
      <c r="DLU1" s="87" t="n"/>
      <c r="DLV1" s="87" t="n"/>
      <c r="DLW1" s="87" t="n"/>
      <c r="DLX1" s="87" t="n"/>
      <c r="DLY1" s="87" t="n"/>
      <c r="DLZ1" s="87" t="n"/>
      <c r="DMA1" s="87" t="n"/>
      <c r="DMB1" s="87" t="n"/>
      <c r="DMC1" s="87" t="n"/>
      <c r="DMD1" s="87" t="n"/>
      <c r="DME1" s="87" t="n"/>
      <c r="DMF1" s="87" t="n"/>
      <c r="DMG1" s="87" t="n"/>
      <c r="DMH1" s="87" t="n"/>
      <c r="DMI1" s="87" t="n"/>
      <c r="DMJ1" s="87" t="n"/>
      <c r="DMK1" s="87" t="n"/>
      <c r="DML1" s="87" t="n"/>
      <c r="DMM1" s="87" t="n"/>
      <c r="DMN1" s="87" t="n"/>
      <c r="DMO1" s="87" t="n"/>
      <c r="DMP1" s="87" t="n"/>
      <c r="DMQ1" s="87" t="n"/>
      <c r="DMR1" s="87" t="n"/>
      <c r="DMS1" s="87" t="n"/>
      <c r="DMT1" s="87" t="n"/>
      <c r="DMU1" s="87" t="n"/>
      <c r="DMV1" s="87" t="n"/>
      <c r="DMW1" s="87" t="n"/>
      <c r="DMX1" s="87" t="n"/>
      <c r="DMY1" s="87" t="n"/>
      <c r="DMZ1" s="87" t="n"/>
      <c r="DNA1" s="87" t="n"/>
      <c r="DNB1" s="87" t="n"/>
      <c r="DNC1" s="87" t="n"/>
      <c r="DND1" s="87" t="n"/>
      <c r="DNE1" s="87" t="n"/>
      <c r="DNF1" s="87" t="n"/>
      <c r="DNG1" s="87" t="n"/>
      <c r="DNH1" s="87" t="n"/>
      <c r="DNI1" s="87" t="n"/>
      <c r="DNJ1" s="87" t="n"/>
      <c r="DNK1" s="87" t="n"/>
      <c r="DNL1" s="87" t="n"/>
      <c r="DNM1" s="87" t="n"/>
      <c r="DNN1" s="87" t="n"/>
      <c r="DNO1" s="87" t="n"/>
      <c r="DNP1" s="87" t="n"/>
      <c r="DNQ1" s="87" t="n"/>
      <c r="DNR1" s="87" t="n"/>
      <c r="DNS1" s="87" t="n"/>
      <c r="DNT1" s="87" t="n"/>
      <c r="DNU1" s="87" t="n"/>
      <c r="DNV1" s="87" t="n"/>
      <c r="DNW1" s="87" t="n"/>
      <c r="DNX1" s="87" t="n"/>
      <c r="DNY1" s="87" t="n"/>
      <c r="DNZ1" s="87" t="n"/>
      <c r="DOA1" s="87" t="n"/>
      <c r="DOB1" s="87" t="n"/>
      <c r="DOC1" s="87" t="n"/>
      <c r="DOD1" s="87" t="n"/>
      <c r="DOE1" s="87" t="n"/>
      <c r="DOF1" s="87" t="n"/>
      <c r="DOG1" s="87" t="n"/>
      <c r="DOH1" s="87" t="n"/>
      <c r="DOI1" s="87" t="n"/>
      <c r="DOJ1" s="87" t="n"/>
      <c r="DOK1" s="87" t="n"/>
      <c r="DOL1" s="87" t="n"/>
      <c r="DOM1" s="87" t="n"/>
      <c r="DON1" s="87" t="n"/>
      <c r="DOO1" s="87" t="n"/>
      <c r="DOP1" s="87" t="n"/>
      <c r="DOQ1" s="87" t="n"/>
      <c r="DOR1" s="87" t="n"/>
      <c r="DOS1" s="87" t="n"/>
      <c r="DOT1" s="87" t="n"/>
      <c r="DOU1" s="87" t="n"/>
      <c r="DOV1" s="87" t="n"/>
      <c r="DOW1" s="87" t="n"/>
      <c r="DOX1" s="87" t="n"/>
      <c r="DOY1" s="87" t="n"/>
      <c r="DOZ1" s="87" t="n"/>
      <c r="DPA1" s="87" t="n"/>
      <c r="DPB1" s="87" t="n"/>
      <c r="DPC1" s="87" t="n"/>
      <c r="DPD1" s="87" t="n"/>
      <c r="DPE1" s="87" t="n"/>
      <c r="DPF1" s="87" t="n"/>
      <c r="DPG1" s="87" t="n"/>
      <c r="DPH1" s="87" t="n"/>
      <c r="DPI1" s="87" t="n"/>
      <c r="DPJ1" s="87" t="n"/>
      <c r="DPK1" s="87" t="n"/>
      <c r="DPL1" s="87" t="n"/>
      <c r="DPM1" s="87" t="n"/>
      <c r="DPN1" s="87" t="n"/>
      <c r="DPO1" s="87" t="n"/>
      <c r="DPP1" s="87" t="n"/>
      <c r="DPQ1" s="87" t="n"/>
      <c r="DPR1" s="87" t="n"/>
      <c r="DPS1" s="87" t="n"/>
      <c r="DPT1" s="87" t="n"/>
      <c r="DPU1" s="87" t="n"/>
      <c r="DPV1" s="87" t="n"/>
      <c r="DPW1" s="87" t="n"/>
      <c r="DPX1" s="87" t="n"/>
      <c r="DPY1" s="87" t="n"/>
      <c r="DPZ1" s="87" t="n"/>
      <c r="DQA1" s="87" t="n"/>
      <c r="DQB1" s="87" t="n"/>
      <c r="DQC1" s="87" t="n"/>
      <c r="DQD1" s="87" t="n"/>
      <c r="DQE1" s="87" t="n"/>
      <c r="DQF1" s="87" t="n"/>
      <c r="DQG1" s="87" t="n"/>
      <c r="DQH1" s="87" t="n"/>
      <c r="DQI1" s="87" t="n"/>
      <c r="DQJ1" s="87" t="n"/>
      <c r="DQK1" s="87" t="n"/>
      <c r="DQL1" s="87" t="n"/>
      <c r="DQM1" s="87" t="n"/>
      <c r="DQN1" s="87" t="n"/>
      <c r="DQO1" s="87" t="n"/>
      <c r="DQP1" s="87" t="n"/>
      <c r="DQQ1" s="87" t="n"/>
      <c r="DQR1" s="87" t="n"/>
      <c r="DQS1" s="87" t="n"/>
      <c r="DQT1" s="87" t="n"/>
      <c r="DQU1" s="87" t="n"/>
      <c r="DQV1" s="87" t="n"/>
      <c r="DQW1" s="87" t="n"/>
      <c r="DQX1" s="87" t="n"/>
      <c r="DQY1" s="87" t="n"/>
      <c r="DQZ1" s="87" t="n"/>
      <c r="DRA1" s="87" t="n"/>
      <c r="DRB1" s="87" t="n"/>
      <c r="DRC1" s="87" t="n"/>
      <c r="DRD1" s="87" t="n"/>
      <c r="DRE1" s="87" t="n"/>
      <c r="DRF1" s="87" t="n"/>
      <c r="DRG1" s="87" t="n"/>
      <c r="DRH1" s="87" t="n"/>
      <c r="DRI1" s="87" t="n"/>
      <c r="DRJ1" s="87" t="n"/>
      <c r="DRK1" s="87" t="n"/>
      <c r="DRL1" s="87" t="n"/>
      <c r="DRM1" s="87" t="n"/>
      <c r="DRN1" s="87" t="n"/>
      <c r="DRO1" s="87" t="n"/>
      <c r="DRP1" s="87" t="n"/>
      <c r="DRQ1" s="87" t="n"/>
      <c r="DRR1" s="87" t="n"/>
      <c r="DRS1" s="87" t="n"/>
      <c r="DRT1" s="87" t="n"/>
      <c r="DRU1" s="87" t="n"/>
      <c r="DRV1" s="87" t="n"/>
      <c r="DRW1" s="87" t="n"/>
      <c r="DRX1" s="87" t="n"/>
      <c r="DRY1" s="87" t="n"/>
      <c r="DRZ1" s="87" t="n"/>
      <c r="DSA1" s="87" t="n"/>
      <c r="DSB1" s="87" t="n"/>
      <c r="DSC1" s="87" t="n"/>
      <c r="DSD1" s="87" t="n"/>
      <c r="DSE1" s="87" t="n"/>
      <c r="DSF1" s="87" t="n"/>
      <c r="DSG1" s="87" t="n"/>
      <c r="DSH1" s="87" t="n"/>
      <c r="DSI1" s="87" t="n"/>
      <c r="DSJ1" s="87" t="n"/>
      <c r="DSK1" s="87" t="n"/>
      <c r="DSL1" s="87" t="n"/>
      <c r="DSM1" s="87" t="n"/>
      <c r="DSN1" s="87" t="n"/>
      <c r="DSO1" s="87" t="n"/>
      <c r="DSP1" s="87" t="n"/>
      <c r="DSQ1" s="87" t="n"/>
      <c r="DSR1" s="87" t="n"/>
      <c r="DSS1" s="87" t="n"/>
      <c r="DST1" s="87" t="n"/>
      <c r="DSU1" s="87" t="n"/>
      <c r="DSV1" s="87" t="n"/>
      <c r="DSW1" s="87" t="n"/>
      <c r="DSX1" s="87" t="n"/>
      <c r="DSY1" s="87" t="n"/>
      <c r="DSZ1" s="87" t="n"/>
      <c r="DTA1" s="87" t="n"/>
      <c r="DTB1" s="87" t="n"/>
      <c r="DTC1" s="87" t="n"/>
      <c r="DTD1" s="87" t="n"/>
      <c r="DTE1" s="87" t="n"/>
      <c r="DTF1" s="87" t="n"/>
      <c r="DTG1" s="87" t="n"/>
      <c r="DTH1" s="87" t="n"/>
      <c r="DTI1" s="87" t="n"/>
      <c r="DTJ1" s="87" t="n"/>
      <c r="DTK1" s="87" t="n"/>
      <c r="DTL1" s="87" t="n"/>
      <c r="DTM1" s="87" t="n"/>
      <c r="DTN1" s="87" t="n"/>
      <c r="DTO1" s="87" t="n"/>
      <c r="DTP1" s="87" t="n"/>
      <c r="DTQ1" s="87" t="n"/>
      <c r="DTR1" s="87" t="n"/>
      <c r="DTS1" s="87" t="n"/>
      <c r="DTT1" s="87" t="n"/>
      <c r="DTU1" s="87" t="n"/>
      <c r="DTV1" s="87" t="n"/>
      <c r="DTW1" s="87" t="n"/>
      <c r="DTX1" s="87" t="n"/>
      <c r="DTY1" s="87" t="n"/>
      <c r="DTZ1" s="87" t="n"/>
      <c r="DUA1" s="87" t="n"/>
      <c r="DUB1" s="87" t="n"/>
      <c r="DUC1" s="87" t="n"/>
      <c r="DUD1" s="87" t="n"/>
      <c r="DUE1" s="87" t="n"/>
      <c r="DUF1" s="87" t="n"/>
      <c r="DUG1" s="87" t="n"/>
      <c r="DUH1" s="87" t="n"/>
      <c r="DUI1" s="87" t="n"/>
      <c r="DUJ1" s="87" t="n"/>
      <c r="DUK1" s="87" t="n"/>
      <c r="DUL1" s="87" t="n"/>
      <c r="DUM1" s="87" t="n"/>
      <c r="DUN1" s="87" t="n"/>
      <c r="DUO1" s="87" t="n"/>
      <c r="DUP1" s="87" t="n"/>
      <c r="DUQ1" s="87" t="n"/>
      <c r="DUR1" s="87" t="n"/>
      <c r="DUS1" s="87" t="n"/>
      <c r="DUT1" s="87" t="n"/>
      <c r="DUU1" s="87" t="n"/>
      <c r="DUV1" s="87" t="n"/>
      <c r="DUW1" s="87" t="n"/>
      <c r="DUX1" s="87" t="n"/>
      <c r="DUY1" s="87" t="n"/>
      <c r="DUZ1" s="87" t="n"/>
      <c r="DVA1" s="87" t="n"/>
      <c r="DVB1" s="87" t="n"/>
      <c r="DVC1" s="87" t="n"/>
      <c r="DVD1" s="87" t="n"/>
      <c r="DVE1" s="87" t="n"/>
      <c r="DVF1" s="87" t="n"/>
      <c r="DVG1" s="87" t="n"/>
      <c r="DVH1" s="87" t="n"/>
      <c r="DVI1" s="87" t="n"/>
      <c r="DVJ1" s="87" t="n"/>
      <c r="DVK1" s="87" t="n"/>
      <c r="DVL1" s="87" t="n"/>
      <c r="DVM1" s="87" t="n"/>
      <c r="DVN1" s="87" t="n"/>
      <c r="DVO1" s="87" t="n"/>
      <c r="DVP1" s="87" t="n"/>
      <c r="DVQ1" s="87" t="n"/>
      <c r="DVR1" s="87" t="n"/>
      <c r="DVS1" s="87" t="n"/>
      <c r="DVT1" s="87" t="n"/>
      <c r="DVU1" s="87" t="n"/>
      <c r="DVV1" s="87" t="n"/>
      <c r="DVW1" s="87" t="n"/>
      <c r="DVX1" s="87" t="n"/>
      <c r="DVY1" s="87" t="n"/>
      <c r="DVZ1" s="87" t="n"/>
      <c r="DWA1" s="87" t="n"/>
      <c r="DWB1" s="87" t="n"/>
      <c r="DWC1" s="87" t="n"/>
      <c r="DWD1" s="87" t="n"/>
      <c r="DWE1" s="87" t="n"/>
      <c r="DWF1" s="87" t="n"/>
      <c r="DWG1" s="87" t="n"/>
      <c r="DWH1" s="87" t="n"/>
      <c r="DWI1" s="87" t="n"/>
      <c r="DWJ1" s="87" t="n"/>
      <c r="DWK1" s="87" t="n"/>
      <c r="DWL1" s="87" t="n"/>
      <c r="DWM1" s="87" t="n"/>
      <c r="DWN1" s="87" t="n"/>
      <c r="DWO1" s="87" t="n"/>
      <c r="DWP1" s="87" t="n"/>
      <c r="DWQ1" s="87" t="n"/>
      <c r="DWR1" s="87" t="n"/>
      <c r="DWS1" s="87" t="n"/>
      <c r="DWT1" s="87" t="n"/>
      <c r="DWU1" s="87" t="n"/>
      <c r="DWV1" s="87" t="n"/>
      <c r="DWW1" s="87" t="n"/>
      <c r="DWX1" s="87" t="n"/>
      <c r="DWY1" s="87" t="n"/>
      <c r="DWZ1" s="87" t="n"/>
      <c r="DXA1" s="87" t="n"/>
      <c r="DXB1" s="87" t="n"/>
      <c r="DXC1" s="87" t="n"/>
      <c r="DXD1" s="87" t="n"/>
      <c r="DXE1" s="87" t="n"/>
      <c r="DXF1" s="87" t="n"/>
      <c r="DXG1" s="87" t="n"/>
      <c r="DXH1" s="87" t="n"/>
      <c r="DXI1" s="87" t="n"/>
      <c r="DXJ1" s="87" t="n"/>
      <c r="DXK1" s="87" t="n"/>
      <c r="DXL1" s="87" t="n"/>
      <c r="DXM1" s="87" t="n"/>
      <c r="DXN1" s="87" t="n"/>
      <c r="DXO1" s="87" t="n"/>
      <c r="DXP1" s="87" t="n"/>
      <c r="DXQ1" s="87" t="n"/>
      <c r="DXR1" s="87" t="n"/>
      <c r="DXS1" s="87" t="n"/>
      <c r="DXT1" s="87" t="n"/>
      <c r="DXU1" s="87" t="n"/>
      <c r="DXV1" s="87" t="n"/>
      <c r="DXW1" s="87" t="n"/>
      <c r="DXX1" s="87" t="n"/>
      <c r="DXY1" s="87" t="n"/>
      <c r="DXZ1" s="87" t="n"/>
      <c r="DYA1" s="87" t="n"/>
      <c r="DYB1" s="87" t="n"/>
      <c r="DYC1" s="87" t="n"/>
      <c r="DYD1" s="87" t="n"/>
      <c r="DYE1" s="87" t="n"/>
      <c r="DYF1" s="87" t="n"/>
      <c r="DYG1" s="87" t="n"/>
      <c r="DYH1" s="87" t="n"/>
      <c r="DYI1" s="87" t="n"/>
      <c r="DYJ1" s="87" t="n"/>
      <c r="DYK1" s="87" t="n"/>
      <c r="DYL1" s="87" t="n"/>
      <c r="DYM1" s="87" t="n"/>
      <c r="DYN1" s="87" t="n"/>
      <c r="DYO1" s="87" t="n"/>
      <c r="DYP1" s="87" t="n"/>
      <c r="DYQ1" s="87" t="n"/>
      <c r="DYR1" s="87" t="n"/>
      <c r="DYS1" s="87" t="n"/>
      <c r="DYT1" s="87" t="n"/>
      <c r="DYU1" s="87" t="n"/>
      <c r="DYV1" s="87" t="n"/>
      <c r="DYW1" s="87" t="n"/>
      <c r="DYX1" s="87" t="n"/>
      <c r="DYY1" s="87" t="n"/>
      <c r="DYZ1" s="87" t="n"/>
      <c r="DZA1" s="87" t="n"/>
      <c r="DZB1" s="87" t="n"/>
      <c r="DZC1" s="87" t="n"/>
      <c r="DZD1" s="87" t="n"/>
      <c r="DZE1" s="87" t="n"/>
      <c r="DZF1" s="87" t="n"/>
      <c r="DZG1" s="87" t="n"/>
      <c r="DZH1" s="87" t="n"/>
      <c r="DZI1" s="87" t="n"/>
      <c r="DZJ1" s="87" t="n"/>
      <c r="DZK1" s="87" t="n"/>
      <c r="DZL1" s="87" t="n"/>
      <c r="DZM1" s="87" t="n"/>
      <c r="DZN1" s="87" t="n"/>
      <c r="DZO1" s="87" t="n"/>
      <c r="DZP1" s="87" t="n"/>
      <c r="DZQ1" s="87" t="n"/>
      <c r="DZR1" s="87" t="n"/>
      <c r="DZS1" s="87" t="n"/>
      <c r="DZT1" s="87" t="n"/>
      <c r="DZU1" s="87" t="n"/>
      <c r="DZV1" s="87" t="n"/>
      <c r="DZW1" s="87" t="n"/>
      <c r="DZX1" s="87" t="n"/>
      <c r="DZY1" s="87" t="n"/>
      <c r="DZZ1" s="87" t="n"/>
      <c r="EAA1" s="87" t="n"/>
      <c r="EAB1" s="87" t="n"/>
      <c r="EAC1" s="87" t="n"/>
      <c r="EAD1" s="87" t="n"/>
      <c r="EAE1" s="87" t="n"/>
      <c r="EAF1" s="87" t="n"/>
      <c r="EAG1" s="87" t="n"/>
      <c r="EAH1" s="87" t="n"/>
      <c r="EAI1" s="87" t="n"/>
      <c r="EAJ1" s="87" t="n"/>
      <c r="EAK1" s="87" t="n"/>
      <c r="EAL1" s="87" t="n"/>
      <c r="EAM1" s="87" t="n"/>
      <c r="EAN1" s="87" t="n"/>
      <c r="EAO1" s="87" t="n"/>
      <c r="EAP1" s="87" t="n"/>
      <c r="EAQ1" s="87" t="n"/>
      <c r="EAR1" s="87" t="n"/>
      <c r="EAS1" s="87" t="n"/>
      <c r="EAT1" s="87" t="n"/>
      <c r="EAU1" s="87" t="n"/>
      <c r="EAV1" s="87" t="n"/>
      <c r="EAW1" s="87" t="n"/>
      <c r="EAX1" s="87" t="n"/>
      <c r="EAY1" s="87" t="n"/>
      <c r="EAZ1" s="87" t="n"/>
      <c r="EBA1" s="87" t="n"/>
      <c r="EBB1" s="87" t="n"/>
      <c r="EBC1" s="87" t="n"/>
      <c r="EBD1" s="87" t="n"/>
      <c r="EBE1" s="87" t="n"/>
      <c r="EBF1" s="87" t="n"/>
      <c r="EBG1" s="87" t="n"/>
      <c r="EBH1" s="87" t="n"/>
      <c r="EBI1" s="87" t="n"/>
      <c r="EBJ1" s="87" t="n"/>
      <c r="EBK1" s="87" t="n"/>
      <c r="EBL1" s="87" t="n"/>
      <c r="EBM1" s="87" t="n"/>
      <c r="EBN1" s="87" t="n"/>
      <c r="EBO1" s="87" t="n"/>
      <c r="EBP1" s="87" t="n"/>
      <c r="EBQ1" s="87" t="n"/>
      <c r="EBR1" s="87" t="n"/>
      <c r="EBS1" s="87" t="n"/>
      <c r="EBT1" s="87" t="n"/>
      <c r="EBU1" s="87" t="n"/>
      <c r="EBV1" s="87" t="n"/>
      <c r="EBW1" s="87" t="n"/>
      <c r="EBX1" s="87" t="n"/>
      <c r="EBY1" s="87" t="n"/>
      <c r="EBZ1" s="87" t="n"/>
      <c r="ECA1" s="87" t="n"/>
      <c r="ECB1" s="87" t="n"/>
      <c r="ECC1" s="87" t="n"/>
      <c r="ECD1" s="87" t="n"/>
      <c r="ECE1" s="87" t="n"/>
      <c r="ECF1" s="87" t="n"/>
      <c r="ECG1" s="87" t="n"/>
      <c r="ECH1" s="87" t="n"/>
      <c r="ECI1" s="87" t="n"/>
      <c r="ECJ1" s="87" t="n"/>
      <c r="ECK1" s="87" t="n"/>
      <c r="ECL1" s="87" t="n"/>
      <c r="ECM1" s="87" t="n"/>
      <c r="ECN1" s="87" t="n"/>
      <c r="ECO1" s="87" t="n"/>
      <c r="ECP1" s="87" t="n"/>
      <c r="ECQ1" s="87" t="n"/>
      <c r="ECR1" s="87" t="n"/>
      <c r="ECS1" s="87" t="n"/>
      <c r="ECT1" s="87" t="n"/>
      <c r="ECU1" s="87" t="n"/>
      <c r="ECV1" s="87" t="n"/>
      <c r="ECW1" s="87" t="n"/>
      <c r="ECX1" s="87" t="n"/>
      <c r="ECY1" s="87" t="n"/>
      <c r="ECZ1" s="87" t="n"/>
      <c r="EDA1" s="87" t="n"/>
      <c r="EDB1" s="87" t="n"/>
      <c r="EDC1" s="87" t="n"/>
      <c r="EDD1" s="87" t="n"/>
      <c r="EDE1" s="87" t="n"/>
      <c r="EDF1" s="87" t="n"/>
      <c r="EDG1" s="87" t="n"/>
      <c r="EDH1" s="87" t="n"/>
      <c r="EDI1" s="87" t="n"/>
      <c r="EDJ1" s="87" t="n"/>
      <c r="EDK1" s="87" t="n"/>
      <c r="EDL1" s="87" t="n"/>
      <c r="EDM1" s="87" t="n"/>
      <c r="EDN1" s="87" t="n"/>
      <c r="EDO1" s="87" t="n"/>
      <c r="EDP1" s="87" t="n"/>
      <c r="EDQ1" s="87" t="n"/>
      <c r="EDR1" s="87" t="n"/>
      <c r="EDS1" s="87" t="n"/>
      <c r="EDT1" s="87" t="n"/>
      <c r="EDU1" s="87" t="n"/>
      <c r="EDV1" s="87" t="n"/>
      <c r="EDW1" s="87" t="n"/>
      <c r="EDX1" s="87" t="n"/>
      <c r="EDY1" s="87" t="n"/>
      <c r="EDZ1" s="87" t="n"/>
      <c r="EEA1" s="87" t="n"/>
      <c r="EEB1" s="87" t="n"/>
      <c r="EEC1" s="87" t="n"/>
      <c r="EED1" s="87" t="n"/>
      <c r="EEE1" s="87" t="n"/>
      <c r="EEF1" s="87" t="n"/>
      <c r="EEG1" s="87" t="n"/>
      <c r="EEH1" s="87" t="n"/>
      <c r="EEI1" s="87" t="n"/>
      <c r="EEJ1" s="87" t="n"/>
      <c r="EEK1" s="87" t="n"/>
      <c r="EEL1" s="87" t="n"/>
      <c r="EEM1" s="87" t="n"/>
      <c r="EEN1" s="87" t="n"/>
      <c r="EEO1" s="87" t="n"/>
      <c r="EEP1" s="87" t="n"/>
      <c r="EEQ1" s="87" t="n"/>
      <c r="EER1" s="87" t="n"/>
      <c r="EES1" s="87" t="n"/>
      <c r="EET1" s="87" t="n"/>
      <c r="EEU1" s="87" t="n"/>
      <c r="EEV1" s="87" t="n"/>
      <c r="EEW1" s="87" t="n"/>
      <c r="EEX1" s="87" t="n"/>
      <c r="EEY1" s="87" t="n"/>
      <c r="EEZ1" s="87" t="n"/>
      <c r="EFA1" s="87" t="n"/>
      <c r="EFB1" s="87" t="n"/>
      <c r="EFC1" s="87" t="n"/>
      <c r="EFD1" s="87" t="n"/>
      <c r="EFE1" s="87" t="n"/>
      <c r="EFF1" s="87" t="n"/>
      <c r="EFG1" s="87" t="n"/>
      <c r="EFH1" s="87" t="n"/>
      <c r="EFI1" s="87" t="n"/>
      <c r="EFJ1" s="87" t="n"/>
      <c r="EFK1" s="87" t="n"/>
      <c r="EFL1" s="87" t="n"/>
      <c r="EFM1" s="87" t="n"/>
      <c r="EFN1" s="87" t="n"/>
      <c r="EFO1" s="87" t="n"/>
      <c r="EFP1" s="87" t="n"/>
      <c r="EFQ1" s="87" t="n"/>
      <c r="EFR1" s="87" t="n"/>
      <c r="EFS1" s="87" t="n"/>
      <c r="EFT1" s="87" t="n"/>
      <c r="EFU1" s="87" t="n"/>
      <c r="EFV1" s="87" t="n"/>
      <c r="EFW1" s="87" t="n"/>
      <c r="EFX1" s="87" t="n"/>
      <c r="EFY1" s="87" t="n"/>
      <c r="EFZ1" s="87" t="n"/>
      <c r="EGA1" s="87" t="n"/>
      <c r="EGB1" s="87" t="n"/>
      <c r="EGC1" s="87" t="n"/>
      <c r="EGD1" s="87" t="n"/>
      <c r="EGE1" s="87" t="n"/>
      <c r="EGF1" s="87" t="n"/>
      <c r="EGG1" s="87" t="n"/>
      <c r="EGH1" s="87" t="n"/>
      <c r="EGI1" s="87" t="n"/>
      <c r="EGJ1" s="87" t="n"/>
      <c r="EGK1" s="87" t="n"/>
      <c r="EGL1" s="87" t="n"/>
      <c r="EGM1" s="87" t="n"/>
      <c r="EGN1" s="87" t="n"/>
      <c r="EGO1" s="87" t="n"/>
      <c r="EGP1" s="87" t="n"/>
      <c r="EGQ1" s="87" t="n"/>
      <c r="EGR1" s="87" t="n"/>
      <c r="EGS1" s="87" t="n"/>
      <c r="EGT1" s="87" t="n"/>
      <c r="EGU1" s="87" t="n"/>
      <c r="EGV1" s="87" t="n"/>
      <c r="EGW1" s="87" t="n"/>
      <c r="EGX1" s="87" t="n"/>
      <c r="EGY1" s="87" t="n"/>
      <c r="EGZ1" s="87" t="n"/>
      <c r="EHA1" s="87" t="n"/>
      <c r="EHB1" s="87" t="n"/>
      <c r="EHC1" s="87" t="n"/>
      <c r="EHD1" s="87" t="n"/>
      <c r="EHE1" s="87" t="n"/>
      <c r="EHF1" s="87" t="n"/>
      <c r="EHG1" s="87" t="n"/>
      <c r="EHH1" s="87" t="n"/>
      <c r="EHI1" s="87" t="n"/>
      <c r="EHJ1" s="87" t="n"/>
      <c r="EHK1" s="87" t="n"/>
      <c r="EHL1" s="87" t="n"/>
      <c r="EHM1" s="87" t="n"/>
      <c r="EHN1" s="87" t="n"/>
      <c r="EHO1" s="87" t="n"/>
      <c r="EHP1" s="87" t="n"/>
      <c r="EHQ1" s="87" t="n"/>
      <c r="EHR1" s="87" t="n"/>
      <c r="EHS1" s="87" t="n"/>
      <c r="EHT1" s="87" t="n"/>
      <c r="EHU1" s="87" t="n"/>
      <c r="EHV1" s="87" t="n"/>
      <c r="EHW1" s="87" t="n"/>
      <c r="EHX1" s="87" t="n"/>
      <c r="EHY1" s="87" t="n"/>
      <c r="EHZ1" s="87" t="n"/>
      <c r="EIA1" s="87" t="n"/>
      <c r="EIB1" s="87" t="n"/>
      <c r="EIC1" s="87" t="n"/>
      <c r="EID1" s="87" t="n"/>
      <c r="EIE1" s="87" t="n"/>
      <c r="EIF1" s="87" t="n"/>
      <c r="EIG1" s="87" t="n"/>
      <c r="EIH1" s="87" t="n"/>
      <c r="EII1" s="87" t="n"/>
      <c r="EIJ1" s="87" t="n"/>
      <c r="EIK1" s="87" t="n"/>
      <c r="EIL1" s="87" t="n"/>
      <c r="EIM1" s="87" t="n"/>
      <c r="EIN1" s="87" t="n"/>
      <c r="EIO1" s="87" t="n"/>
      <c r="EIP1" s="87" t="n"/>
      <c r="EIQ1" s="87" t="n"/>
      <c r="EIR1" s="87" t="n"/>
      <c r="EIS1" s="87" t="n"/>
      <c r="EIT1" s="87" t="n"/>
      <c r="EIU1" s="87" t="n"/>
      <c r="EIV1" s="87" t="n"/>
      <c r="EIW1" s="87" t="n"/>
      <c r="EIX1" s="87" t="n"/>
      <c r="EIY1" s="87" t="n"/>
      <c r="EIZ1" s="87" t="n"/>
      <c r="EJA1" s="87" t="n"/>
      <c r="EJB1" s="87" t="n"/>
      <c r="EJC1" s="87" t="n"/>
      <c r="EJD1" s="87" t="n"/>
      <c r="EJE1" s="87" t="n"/>
      <c r="EJF1" s="87" t="n"/>
      <c r="EJG1" s="87" t="n"/>
      <c r="EJH1" s="87" t="n"/>
      <c r="EJI1" s="87" t="n"/>
      <c r="EJJ1" s="87" t="n"/>
      <c r="EJK1" s="87" t="n"/>
      <c r="EJL1" s="87" t="n"/>
      <c r="EJM1" s="87" t="n"/>
      <c r="EJN1" s="87" t="n"/>
      <c r="EJO1" s="87" t="n"/>
      <c r="EJP1" s="87" t="n"/>
      <c r="EJQ1" s="87" t="n"/>
      <c r="EJR1" s="87" t="n"/>
      <c r="EJS1" s="87" t="n"/>
      <c r="EJT1" s="87" t="n"/>
      <c r="EJU1" s="87" t="n"/>
      <c r="EJV1" s="87" t="n"/>
      <c r="EJW1" s="87" t="n"/>
      <c r="EJX1" s="87" t="n"/>
      <c r="EJY1" s="87" t="n"/>
      <c r="EJZ1" s="87" t="n"/>
      <c r="EKA1" s="87" t="n"/>
      <c r="EKB1" s="87" t="n"/>
      <c r="EKC1" s="87" t="n"/>
      <c r="EKD1" s="87" t="n"/>
      <c r="EKE1" s="87" t="n"/>
      <c r="EKF1" s="87" t="n"/>
      <c r="EKG1" s="87" t="n"/>
      <c r="EKH1" s="87" t="n"/>
      <c r="EKI1" s="87" t="n"/>
      <c r="EKJ1" s="87" t="n"/>
      <c r="EKK1" s="87" t="n"/>
      <c r="EKL1" s="87" t="n"/>
      <c r="EKM1" s="87" t="n"/>
      <c r="EKN1" s="87" t="n"/>
      <c r="EKO1" s="87" t="n"/>
      <c r="EKP1" s="87" t="n"/>
      <c r="EKQ1" s="87" t="n"/>
      <c r="EKR1" s="87" t="n"/>
      <c r="EKS1" s="87" t="n"/>
      <c r="EKT1" s="87" t="n"/>
      <c r="EKU1" s="87" t="n"/>
      <c r="EKV1" s="87" t="n"/>
      <c r="EKW1" s="87" t="n"/>
      <c r="EKX1" s="87" t="n"/>
      <c r="EKY1" s="87" t="n"/>
      <c r="EKZ1" s="87" t="n"/>
      <c r="ELA1" s="87" t="n"/>
      <c r="ELB1" s="87" t="n"/>
      <c r="ELC1" s="87" t="n"/>
      <c r="ELD1" s="87" t="n"/>
      <c r="ELE1" s="87" t="n"/>
      <c r="ELF1" s="87" t="n"/>
      <c r="ELG1" s="87" t="n"/>
      <c r="ELH1" s="87" t="n"/>
      <c r="ELI1" s="87" t="n"/>
      <c r="ELJ1" s="87" t="n"/>
      <c r="ELK1" s="87" t="n"/>
      <c r="ELL1" s="87" t="n"/>
      <c r="ELM1" s="87" t="n"/>
      <c r="ELN1" s="87" t="n"/>
      <c r="ELO1" s="87" t="n"/>
      <c r="ELP1" s="87" t="n"/>
      <c r="ELQ1" s="87" t="n"/>
      <c r="ELR1" s="87" t="n"/>
      <c r="ELS1" s="87" t="n"/>
      <c r="ELT1" s="87" t="n"/>
      <c r="ELU1" s="87" t="n"/>
      <c r="ELV1" s="87" t="n"/>
      <c r="ELW1" s="87" t="n"/>
      <c r="ELX1" s="87" t="n"/>
      <c r="ELY1" s="87" t="n"/>
      <c r="ELZ1" s="87" t="n"/>
      <c r="EMA1" s="87" t="n"/>
      <c r="EMB1" s="87" t="n"/>
      <c r="EMC1" s="87" t="n"/>
      <c r="EMD1" s="87" t="n"/>
      <c r="EME1" s="87" t="n"/>
      <c r="EMF1" s="87" t="n"/>
      <c r="EMG1" s="87" t="n"/>
      <c r="EMH1" s="87" t="n"/>
      <c r="EMI1" s="87" t="n"/>
      <c r="EMJ1" s="87" t="n"/>
      <c r="EMK1" s="87" t="n"/>
      <c r="EML1" s="87" t="n"/>
      <c r="EMM1" s="87" t="n"/>
      <c r="EMN1" s="87" t="n"/>
      <c r="EMO1" s="87" t="n"/>
      <c r="EMP1" s="87" t="n"/>
      <c r="EMQ1" s="87" t="n"/>
      <c r="EMR1" s="87" t="n"/>
      <c r="EMS1" s="87" t="n"/>
      <c r="EMT1" s="87" t="n"/>
      <c r="EMU1" s="87" t="n"/>
      <c r="EMV1" s="87" t="n"/>
      <c r="EMW1" s="87" t="n"/>
      <c r="EMX1" s="87" t="n"/>
      <c r="EMY1" s="87" t="n"/>
      <c r="EMZ1" s="87" t="n"/>
      <c r="ENA1" s="87" t="n"/>
      <c r="ENB1" s="87" t="n"/>
      <c r="ENC1" s="87" t="n"/>
      <c r="END1" s="87" t="n"/>
      <c r="ENE1" s="87" t="n"/>
      <c r="ENF1" s="87" t="n"/>
      <c r="ENG1" s="87" t="n"/>
      <c r="ENH1" s="87" t="n"/>
      <c r="ENI1" s="87" t="n"/>
      <c r="ENJ1" s="87" t="n"/>
      <c r="ENK1" s="87" t="n"/>
      <c r="ENL1" s="87" t="n"/>
      <c r="ENM1" s="87" t="n"/>
      <c r="ENN1" s="87" t="n"/>
      <c r="ENO1" s="87" t="n"/>
      <c r="ENP1" s="87" t="n"/>
      <c r="ENQ1" s="87" t="n"/>
      <c r="ENR1" s="87" t="n"/>
      <c r="ENS1" s="87" t="n"/>
      <c r="ENT1" s="87" t="n"/>
      <c r="ENU1" s="87" t="n"/>
      <c r="ENV1" s="87" t="n"/>
      <c r="ENW1" s="87" t="n"/>
      <c r="ENX1" s="87" t="n"/>
      <c r="ENY1" s="87" t="n"/>
      <c r="ENZ1" s="87" t="n"/>
      <c r="EOA1" s="87" t="n"/>
      <c r="EOB1" s="87" t="n"/>
      <c r="EOC1" s="87" t="n"/>
      <c r="EOD1" s="87" t="n"/>
      <c r="EOE1" s="87" t="n"/>
      <c r="EOF1" s="87" t="n"/>
      <c r="EOG1" s="87" t="n"/>
      <c r="EOH1" s="87" t="n"/>
      <c r="EOI1" s="87" t="n"/>
      <c r="EOJ1" s="87" t="n"/>
      <c r="EOK1" s="87" t="n"/>
      <c r="EOL1" s="87" t="n"/>
      <c r="EOM1" s="87" t="n"/>
      <c r="EON1" s="87" t="n"/>
      <c r="EOO1" s="87" t="n"/>
      <c r="EOP1" s="87" t="n"/>
      <c r="EOQ1" s="87" t="n"/>
      <c r="EOR1" s="87" t="n"/>
      <c r="EOS1" s="87" t="n"/>
      <c r="EOT1" s="87" t="n"/>
      <c r="EOU1" s="87" t="n"/>
      <c r="EOV1" s="87" t="n"/>
      <c r="EOW1" s="87" t="n"/>
      <c r="EOX1" s="87" t="n"/>
      <c r="EOY1" s="87" t="n"/>
      <c r="EOZ1" s="87" t="n"/>
      <c r="EPA1" s="87" t="n"/>
      <c r="EPB1" s="87" t="n"/>
      <c r="EPC1" s="87" t="n"/>
      <c r="EPD1" s="87" t="n"/>
      <c r="EPE1" s="87" t="n"/>
      <c r="EPF1" s="87" t="n"/>
      <c r="EPG1" s="87" t="n"/>
      <c r="EPH1" s="87" t="n"/>
      <c r="EPI1" s="87" t="n"/>
      <c r="EPJ1" s="87" t="n"/>
      <c r="EPK1" s="87" t="n"/>
      <c r="EPL1" s="87" t="n"/>
      <c r="EPM1" s="87" t="n"/>
      <c r="EPN1" s="87" t="n"/>
      <c r="EPO1" s="87" t="n"/>
      <c r="EPP1" s="87" t="n"/>
      <c r="EPQ1" s="87" t="n"/>
      <c r="EPR1" s="87" t="n"/>
      <c r="EPS1" s="87" t="n"/>
      <c r="EPT1" s="87" t="n"/>
      <c r="EPU1" s="87" t="n"/>
      <c r="EPV1" s="87" t="n"/>
      <c r="EPW1" s="87" t="n"/>
      <c r="EPX1" s="87" t="n"/>
      <c r="EPY1" s="87" t="n"/>
      <c r="EPZ1" s="87" t="n"/>
      <c r="EQA1" s="87" t="n"/>
      <c r="EQB1" s="87" t="n"/>
      <c r="EQC1" s="87" t="n"/>
      <c r="EQD1" s="87" t="n"/>
      <c r="EQE1" s="87" t="n"/>
      <c r="EQF1" s="87" t="n"/>
      <c r="EQG1" s="87" t="n"/>
      <c r="EQH1" s="87" t="n"/>
      <c r="EQI1" s="87" t="n"/>
      <c r="EQJ1" s="87" t="n"/>
      <c r="EQK1" s="87" t="n"/>
      <c r="EQL1" s="87" t="n"/>
      <c r="EQM1" s="87" t="n"/>
      <c r="EQN1" s="87" t="n"/>
      <c r="EQO1" s="87" t="n"/>
      <c r="EQP1" s="87" t="n"/>
      <c r="EQQ1" s="87" t="n"/>
      <c r="EQR1" s="87" t="n"/>
      <c r="EQS1" s="87" t="n"/>
      <c r="EQT1" s="87" t="n"/>
      <c r="EQU1" s="87" t="n"/>
      <c r="EQV1" s="87" t="n"/>
      <c r="EQW1" s="87" t="n"/>
      <c r="EQX1" s="87" t="n"/>
      <c r="EQY1" s="87" t="n"/>
      <c r="EQZ1" s="87" t="n"/>
      <c r="ERA1" s="87" t="n"/>
      <c r="ERB1" s="87" t="n"/>
      <c r="ERC1" s="87" t="n"/>
      <c r="ERD1" s="87" t="n"/>
      <c r="ERE1" s="87" t="n"/>
      <c r="ERF1" s="87" t="n"/>
      <c r="ERG1" s="87" t="n"/>
      <c r="ERH1" s="87" t="n"/>
      <c r="ERI1" s="87" t="n"/>
      <c r="ERJ1" s="87" t="n"/>
      <c r="ERK1" s="87" t="n"/>
      <c r="ERL1" s="87" t="n"/>
      <c r="ERM1" s="87" t="n"/>
      <c r="ERN1" s="87" t="n"/>
      <c r="ERO1" s="87" t="n"/>
      <c r="ERP1" s="87" t="n"/>
      <c r="ERQ1" s="87" t="n"/>
      <c r="ERR1" s="87" t="n"/>
      <c r="ERS1" s="87" t="n"/>
      <c r="ERT1" s="87" t="n"/>
      <c r="ERU1" s="87" t="n"/>
      <c r="ERV1" s="87" t="n"/>
      <c r="ERW1" s="87" t="n"/>
      <c r="ERX1" s="87" t="n"/>
      <c r="ERY1" s="87" t="n"/>
      <c r="ERZ1" s="87" t="n"/>
      <c r="ESA1" s="87" t="n"/>
      <c r="ESB1" s="87" t="n"/>
      <c r="ESC1" s="87" t="n"/>
      <c r="ESD1" s="87" t="n"/>
      <c r="ESE1" s="87" t="n"/>
      <c r="ESF1" s="87" t="n"/>
      <c r="ESG1" s="87" t="n"/>
      <c r="ESH1" s="87" t="n"/>
      <c r="ESI1" s="87" t="n"/>
      <c r="ESJ1" s="87" t="n"/>
      <c r="ESK1" s="87" t="n"/>
      <c r="ESL1" s="87" t="n"/>
      <c r="ESM1" s="87" t="n"/>
      <c r="ESN1" s="87" t="n"/>
      <c r="ESO1" s="87" t="n"/>
      <c r="ESP1" s="87" t="n"/>
      <c r="ESQ1" s="87" t="n"/>
      <c r="ESR1" s="87" t="n"/>
      <c r="ESS1" s="87" t="n"/>
      <c r="EST1" s="87" t="n"/>
      <c r="ESU1" s="87" t="n"/>
      <c r="ESV1" s="87" t="n"/>
      <c r="ESW1" s="87" t="n"/>
      <c r="ESX1" s="87" t="n"/>
      <c r="ESY1" s="87" t="n"/>
      <c r="ESZ1" s="87" t="n"/>
      <c r="ETA1" s="87" t="n"/>
      <c r="ETB1" s="87" t="n"/>
      <c r="ETC1" s="87" t="n"/>
      <c r="ETD1" s="87" t="n"/>
      <c r="ETE1" s="87" t="n"/>
      <c r="ETF1" s="87" t="n"/>
      <c r="ETG1" s="87" t="n"/>
      <c r="ETH1" s="87" t="n"/>
      <c r="ETI1" s="87" t="n"/>
      <c r="ETJ1" s="87" t="n"/>
      <c r="ETK1" s="87" t="n"/>
      <c r="ETL1" s="87" t="n"/>
      <c r="ETM1" s="87" t="n"/>
      <c r="ETN1" s="87" t="n"/>
      <c r="ETO1" s="87" t="n"/>
      <c r="ETP1" s="87" t="n"/>
      <c r="ETQ1" s="87" t="n"/>
      <c r="ETR1" s="87" t="n"/>
      <c r="ETS1" s="87" t="n"/>
      <c r="ETT1" s="87" t="n"/>
      <c r="ETU1" s="87" t="n"/>
      <c r="ETV1" s="87" t="n"/>
      <c r="ETW1" s="87" t="n"/>
      <c r="ETX1" s="87" t="n"/>
      <c r="ETY1" s="87" t="n"/>
      <c r="ETZ1" s="87" t="n"/>
      <c r="EUA1" s="87" t="n"/>
      <c r="EUB1" s="87" t="n"/>
      <c r="EUC1" s="87" t="n"/>
      <c r="EUD1" s="87" t="n"/>
      <c r="EUE1" s="87" t="n"/>
      <c r="EUF1" s="87" t="n"/>
      <c r="EUG1" s="87" t="n"/>
      <c r="EUH1" s="87" t="n"/>
      <c r="EUI1" s="87" t="n"/>
      <c r="EUJ1" s="87" t="n"/>
      <c r="EUK1" s="87" t="n"/>
      <c r="EUL1" s="87" t="n"/>
      <c r="EUM1" s="87" t="n"/>
      <c r="EUN1" s="87" t="n"/>
      <c r="EUO1" s="87" t="n"/>
      <c r="EUP1" s="87" t="n"/>
      <c r="EUQ1" s="87" t="n"/>
      <c r="EUR1" s="87" t="n"/>
      <c r="EUS1" s="87" t="n"/>
      <c r="EUT1" s="87" t="n"/>
      <c r="EUU1" s="87" t="n"/>
      <c r="EUV1" s="87" t="n"/>
      <c r="EUW1" s="87" t="n"/>
      <c r="EUX1" s="87" t="n"/>
      <c r="EUY1" s="87" t="n"/>
      <c r="EUZ1" s="87" t="n"/>
      <c r="EVA1" s="87" t="n"/>
      <c r="EVB1" s="87" t="n"/>
      <c r="EVC1" s="87" t="n"/>
      <c r="EVD1" s="87" t="n"/>
      <c r="EVE1" s="87" t="n"/>
      <c r="EVF1" s="87" t="n"/>
      <c r="EVG1" s="87" t="n"/>
      <c r="EVH1" s="87" t="n"/>
      <c r="EVI1" s="87" t="n"/>
      <c r="EVJ1" s="87" t="n"/>
      <c r="EVK1" s="87" t="n"/>
      <c r="EVL1" s="87" t="n"/>
      <c r="EVM1" s="87" t="n"/>
      <c r="EVN1" s="87" t="n"/>
      <c r="EVO1" s="87" t="n"/>
      <c r="EVP1" s="87" t="n"/>
      <c r="EVQ1" s="87" t="n"/>
      <c r="EVR1" s="87" t="n"/>
      <c r="EVS1" s="87" t="n"/>
      <c r="EVT1" s="87" t="n"/>
      <c r="EVU1" s="87" t="n"/>
      <c r="EVV1" s="87" t="n"/>
      <c r="EVW1" s="87" t="n"/>
      <c r="EVX1" s="87" t="n"/>
      <c r="EVY1" s="87" t="n"/>
      <c r="EVZ1" s="87" t="n"/>
      <c r="EWA1" s="87" t="n"/>
      <c r="EWB1" s="87" t="n"/>
      <c r="EWC1" s="87" t="n"/>
      <c r="EWD1" s="87" t="n"/>
      <c r="EWE1" s="87" t="n"/>
      <c r="EWF1" s="87" t="n"/>
      <c r="EWG1" s="87" t="n"/>
      <c r="EWH1" s="87" t="n"/>
      <c r="EWI1" s="87" t="n"/>
      <c r="EWJ1" s="87" t="n"/>
      <c r="EWK1" s="87" t="n"/>
      <c r="EWL1" s="87" t="n"/>
      <c r="EWM1" s="87" t="n"/>
      <c r="EWN1" s="87" t="n"/>
      <c r="EWO1" s="87" t="n"/>
      <c r="EWP1" s="87" t="n"/>
      <c r="EWQ1" s="87" t="n"/>
      <c r="EWR1" s="87" t="n"/>
      <c r="EWS1" s="87" t="n"/>
      <c r="EWT1" s="87" t="n"/>
      <c r="EWU1" s="87" t="n"/>
      <c r="EWV1" s="87" t="n"/>
      <c r="EWW1" s="87" t="n"/>
      <c r="EWX1" s="87" t="n"/>
      <c r="EWY1" s="87" t="n"/>
      <c r="EWZ1" s="87" t="n"/>
      <c r="EXA1" s="87" t="n"/>
      <c r="EXB1" s="87" t="n"/>
      <c r="EXC1" s="87" t="n"/>
      <c r="EXD1" s="87" t="n"/>
      <c r="EXE1" s="87" t="n"/>
      <c r="EXF1" s="87" t="n"/>
      <c r="EXG1" s="87" t="n"/>
      <c r="EXH1" s="87" t="n"/>
      <c r="EXI1" s="87" t="n"/>
      <c r="EXJ1" s="87" t="n"/>
      <c r="EXK1" s="87" t="n"/>
      <c r="EXL1" s="87" t="n"/>
      <c r="EXM1" s="87" t="n"/>
      <c r="EXN1" s="87" t="n"/>
      <c r="EXO1" s="87" t="n"/>
      <c r="EXP1" s="87" t="n"/>
      <c r="EXQ1" s="87" t="n"/>
      <c r="EXR1" s="87" t="n"/>
      <c r="EXS1" s="87" t="n"/>
      <c r="EXT1" s="87" t="n"/>
      <c r="EXU1" s="87" t="n"/>
      <c r="EXV1" s="87" t="n"/>
      <c r="EXW1" s="87" t="n"/>
      <c r="EXX1" s="87" t="n"/>
      <c r="EXY1" s="87" t="n"/>
      <c r="EXZ1" s="87" t="n"/>
      <c r="EYA1" s="87" t="n"/>
      <c r="EYB1" s="87" t="n"/>
      <c r="EYC1" s="87" t="n"/>
      <c r="EYD1" s="87" t="n"/>
      <c r="EYE1" s="87" t="n"/>
      <c r="EYF1" s="87" t="n"/>
      <c r="EYG1" s="87" t="n"/>
      <c r="EYH1" s="87" t="n"/>
      <c r="EYI1" s="87" t="n"/>
      <c r="EYJ1" s="87" t="n"/>
      <c r="EYK1" s="87" t="n"/>
      <c r="EYL1" s="87" t="n"/>
      <c r="EYM1" s="87" t="n"/>
      <c r="EYN1" s="87" t="n"/>
      <c r="EYO1" s="87" t="n"/>
      <c r="EYP1" s="87" t="n"/>
      <c r="EYQ1" s="87" t="n"/>
      <c r="EYR1" s="87" t="n"/>
      <c r="EYS1" s="87" t="n"/>
      <c r="EYT1" s="87" t="n"/>
      <c r="EYU1" s="87" t="n"/>
      <c r="EYV1" s="87" t="n"/>
      <c r="EYW1" s="87" t="n"/>
      <c r="EYX1" s="87" t="n"/>
      <c r="EYY1" s="87" t="n"/>
      <c r="EYZ1" s="87" t="n"/>
      <c r="EZA1" s="87" t="n"/>
      <c r="EZB1" s="87" t="n"/>
      <c r="EZC1" s="87" t="n"/>
      <c r="EZD1" s="87" t="n"/>
      <c r="EZE1" s="87" t="n"/>
      <c r="EZF1" s="87" t="n"/>
      <c r="EZG1" s="87" t="n"/>
      <c r="EZH1" s="87" t="n"/>
      <c r="EZI1" s="87" t="n"/>
      <c r="EZJ1" s="87" t="n"/>
      <c r="EZK1" s="87" t="n"/>
      <c r="EZL1" s="87" t="n"/>
      <c r="EZM1" s="87" t="n"/>
      <c r="EZN1" s="87" t="n"/>
      <c r="EZO1" s="87" t="n"/>
      <c r="EZP1" s="87" t="n"/>
      <c r="EZQ1" s="87" t="n"/>
      <c r="EZR1" s="87" t="n"/>
      <c r="EZS1" s="87" t="n"/>
      <c r="EZT1" s="87" t="n"/>
      <c r="EZU1" s="87" t="n"/>
      <c r="EZV1" s="87" t="n"/>
      <c r="EZW1" s="87" t="n"/>
      <c r="EZX1" s="87" t="n"/>
      <c r="EZY1" s="87" t="n"/>
      <c r="EZZ1" s="87" t="n"/>
      <c r="FAA1" s="87" t="n"/>
      <c r="FAB1" s="87" t="n"/>
      <c r="FAC1" s="87" t="n"/>
      <c r="FAD1" s="87" t="n"/>
      <c r="FAE1" s="87" t="n"/>
      <c r="FAF1" s="87" t="n"/>
      <c r="FAG1" s="87" t="n"/>
      <c r="FAH1" s="87" t="n"/>
      <c r="FAI1" s="87" t="n"/>
      <c r="FAJ1" s="87" t="n"/>
      <c r="FAK1" s="87" t="n"/>
      <c r="FAL1" s="87" t="n"/>
      <c r="FAM1" s="87" t="n"/>
      <c r="FAN1" s="87" t="n"/>
      <c r="FAO1" s="87" t="n"/>
      <c r="FAP1" s="87" t="n"/>
      <c r="FAQ1" s="87" t="n"/>
      <c r="FAR1" s="87" t="n"/>
      <c r="FAS1" s="87" t="n"/>
      <c r="FAT1" s="87" t="n"/>
      <c r="FAU1" s="87" t="n"/>
      <c r="FAV1" s="87" t="n"/>
      <c r="FAW1" s="87" t="n"/>
      <c r="FAX1" s="87" t="n"/>
      <c r="FAY1" s="87" t="n"/>
      <c r="FAZ1" s="87" t="n"/>
      <c r="FBA1" s="87" t="n"/>
      <c r="FBB1" s="87" t="n"/>
      <c r="FBC1" s="87" t="n"/>
      <c r="FBD1" s="87" t="n"/>
      <c r="FBE1" s="87" t="n"/>
      <c r="FBF1" s="87" t="n"/>
      <c r="FBG1" s="87" t="n"/>
      <c r="FBH1" s="87" t="n"/>
      <c r="FBI1" s="87" t="n"/>
      <c r="FBJ1" s="87" t="n"/>
      <c r="FBK1" s="87" t="n"/>
      <c r="FBL1" s="87" t="n"/>
      <c r="FBM1" s="87" t="n"/>
      <c r="FBN1" s="87" t="n"/>
      <c r="FBO1" s="87" t="n"/>
      <c r="FBP1" s="87" t="n"/>
      <c r="FBQ1" s="87" t="n"/>
      <c r="FBR1" s="87" t="n"/>
      <c r="FBS1" s="87" t="n"/>
      <c r="FBT1" s="87" t="n"/>
      <c r="FBU1" s="87" t="n"/>
      <c r="FBV1" s="87" t="n"/>
      <c r="FBW1" s="87" t="n"/>
      <c r="FBX1" s="87" t="n"/>
      <c r="FBY1" s="87" t="n"/>
      <c r="FBZ1" s="87" t="n"/>
      <c r="FCA1" s="87" t="n"/>
      <c r="FCB1" s="87" t="n"/>
      <c r="FCC1" s="87" t="n"/>
      <c r="FCD1" s="87" t="n"/>
      <c r="FCE1" s="87" t="n"/>
      <c r="FCF1" s="87" t="n"/>
      <c r="FCG1" s="87" t="n"/>
      <c r="FCH1" s="87" t="n"/>
      <c r="FCI1" s="87" t="n"/>
      <c r="FCJ1" s="87" t="n"/>
      <c r="FCK1" s="87" t="n"/>
      <c r="FCL1" s="87" t="n"/>
      <c r="FCM1" s="87" t="n"/>
      <c r="FCN1" s="87" t="n"/>
      <c r="FCO1" s="87" t="n"/>
      <c r="FCP1" s="87" t="n"/>
      <c r="FCQ1" s="87" t="n"/>
      <c r="FCR1" s="87" t="n"/>
      <c r="FCS1" s="87" t="n"/>
      <c r="FCT1" s="87" t="n"/>
      <c r="FCU1" s="87" t="n"/>
      <c r="FCV1" s="87" t="n"/>
      <c r="FCW1" s="87" t="n"/>
      <c r="FCX1" s="87" t="n"/>
      <c r="FCY1" s="87" t="n"/>
      <c r="FCZ1" s="87" t="n"/>
      <c r="FDA1" s="87" t="n"/>
      <c r="FDB1" s="87" t="n"/>
      <c r="FDC1" s="87" t="n"/>
      <c r="FDD1" s="87" t="n"/>
      <c r="FDE1" s="87" t="n"/>
      <c r="FDF1" s="87" t="n"/>
      <c r="FDG1" s="87" t="n"/>
      <c r="FDH1" s="87" t="n"/>
      <c r="FDI1" s="87" t="n"/>
      <c r="FDJ1" s="87" t="n"/>
      <c r="FDK1" s="87" t="n"/>
      <c r="FDL1" s="87" t="n"/>
      <c r="FDM1" s="87" t="n"/>
      <c r="FDN1" s="87" t="n"/>
      <c r="FDO1" s="87" t="n"/>
      <c r="FDP1" s="87" t="n"/>
      <c r="FDQ1" s="87" t="n"/>
      <c r="FDR1" s="87" t="n"/>
      <c r="FDS1" s="87" t="n"/>
      <c r="FDT1" s="87" t="n"/>
      <c r="FDU1" s="87" t="n"/>
      <c r="FDV1" s="87" t="n"/>
      <c r="FDW1" s="87" t="n"/>
      <c r="FDX1" s="87" t="n"/>
      <c r="FDY1" s="87" t="n"/>
      <c r="FDZ1" s="87" t="n"/>
      <c r="FEA1" s="87" t="n"/>
      <c r="FEB1" s="87" t="n"/>
      <c r="FEC1" s="87" t="n"/>
      <c r="FED1" s="87" t="n"/>
      <c r="FEE1" s="87" t="n"/>
      <c r="FEF1" s="87" t="n"/>
      <c r="FEG1" s="87" t="n"/>
      <c r="FEH1" s="87" t="n"/>
      <c r="FEI1" s="87" t="n"/>
      <c r="FEJ1" s="87" t="n"/>
      <c r="FEK1" s="87" t="n"/>
      <c r="FEL1" s="87" t="n"/>
      <c r="FEM1" s="87" t="n"/>
      <c r="FEN1" s="87" t="n"/>
      <c r="FEO1" s="87" t="n"/>
      <c r="FEP1" s="87" t="n"/>
      <c r="FEQ1" s="87" t="n"/>
      <c r="FER1" s="87" t="n"/>
      <c r="FES1" s="87" t="n"/>
      <c r="FET1" s="87" t="n"/>
      <c r="FEU1" s="87" t="n"/>
      <c r="FEV1" s="87" t="n"/>
      <c r="FEW1" s="87" t="n"/>
      <c r="FEX1" s="87" t="n"/>
      <c r="FEY1" s="87" t="n"/>
      <c r="FEZ1" s="87" t="n"/>
      <c r="FFA1" s="87" t="n"/>
      <c r="FFB1" s="87" t="n"/>
      <c r="FFC1" s="87" t="n"/>
      <c r="FFD1" s="87" t="n"/>
      <c r="FFE1" s="87" t="n"/>
      <c r="FFF1" s="87" t="n"/>
      <c r="FFG1" s="87" t="n"/>
      <c r="FFH1" s="87" t="n"/>
      <c r="FFI1" s="87" t="n"/>
      <c r="FFJ1" s="87" t="n"/>
      <c r="FFK1" s="87" t="n"/>
      <c r="FFL1" s="87" t="n"/>
      <c r="FFM1" s="87" t="n"/>
      <c r="FFN1" s="87" t="n"/>
      <c r="FFO1" s="87" t="n"/>
      <c r="FFP1" s="87" t="n"/>
      <c r="FFQ1" s="87" t="n"/>
      <c r="FFR1" s="87" t="n"/>
      <c r="FFS1" s="87" t="n"/>
      <c r="FFT1" s="87" t="n"/>
      <c r="FFU1" s="87" t="n"/>
      <c r="FFV1" s="87" t="n"/>
      <c r="FFW1" s="87" t="n"/>
      <c r="FFX1" s="87" t="n"/>
      <c r="FFY1" s="87" t="n"/>
      <c r="FFZ1" s="87" t="n"/>
      <c r="FGA1" s="87" t="n"/>
      <c r="FGB1" s="87" t="n"/>
      <c r="FGC1" s="87" t="n"/>
      <c r="FGD1" s="87" t="n"/>
      <c r="FGE1" s="87" t="n"/>
      <c r="FGF1" s="87" t="n"/>
      <c r="FGG1" s="87" t="n"/>
      <c r="FGH1" s="87" t="n"/>
      <c r="FGI1" s="87" t="n"/>
      <c r="FGJ1" s="87" t="n"/>
      <c r="FGK1" s="87" t="n"/>
      <c r="FGL1" s="87" t="n"/>
      <c r="FGM1" s="87" t="n"/>
      <c r="FGN1" s="87" t="n"/>
      <c r="FGO1" s="87" t="n"/>
      <c r="FGP1" s="87" t="n"/>
      <c r="FGQ1" s="87" t="n"/>
      <c r="FGR1" s="87" t="n"/>
      <c r="FGS1" s="87" t="n"/>
      <c r="FGT1" s="87" t="n"/>
      <c r="FGU1" s="87" t="n"/>
      <c r="FGV1" s="87" t="n"/>
      <c r="FGW1" s="87" t="n"/>
      <c r="FGX1" s="87" t="n"/>
      <c r="FGY1" s="87" t="n"/>
      <c r="FGZ1" s="87" t="n"/>
      <c r="FHA1" s="87" t="n"/>
      <c r="FHB1" s="87" t="n"/>
      <c r="FHC1" s="87" t="n"/>
      <c r="FHD1" s="87" t="n"/>
      <c r="FHE1" s="87" t="n"/>
      <c r="FHF1" s="87" t="n"/>
      <c r="FHG1" s="87" t="n"/>
      <c r="FHH1" s="87" t="n"/>
      <c r="FHI1" s="87" t="n"/>
      <c r="FHJ1" s="87" t="n"/>
      <c r="FHK1" s="87" t="n"/>
      <c r="FHL1" s="87" t="n"/>
      <c r="FHM1" s="87" t="n"/>
      <c r="FHN1" s="87" t="n"/>
      <c r="FHO1" s="87" t="n"/>
      <c r="FHP1" s="87" t="n"/>
      <c r="FHQ1" s="87" t="n"/>
      <c r="FHR1" s="87" t="n"/>
      <c r="FHS1" s="87" t="n"/>
      <c r="FHT1" s="87" t="n"/>
      <c r="FHU1" s="87" t="n"/>
      <c r="FHV1" s="87" t="n"/>
      <c r="FHW1" s="87" t="n"/>
      <c r="FHX1" s="87" t="n"/>
      <c r="FHY1" s="87" t="n"/>
      <c r="FHZ1" s="87" t="n"/>
      <c r="FIA1" s="87" t="n"/>
      <c r="FIB1" s="87" t="n"/>
      <c r="FIC1" s="87" t="n"/>
      <c r="FID1" s="87" t="n"/>
      <c r="FIE1" s="87" t="n"/>
      <c r="FIF1" s="87" t="n"/>
      <c r="FIG1" s="87" t="n"/>
      <c r="FIH1" s="87" t="n"/>
      <c r="FII1" s="87" t="n"/>
      <c r="FIJ1" s="87" t="n"/>
      <c r="FIK1" s="87" t="n"/>
      <c r="FIL1" s="87" t="n"/>
      <c r="FIM1" s="87" t="n"/>
      <c r="FIN1" s="87" t="n"/>
      <c r="FIO1" s="87" t="n"/>
      <c r="FIP1" s="87" t="n"/>
      <c r="FIQ1" s="87" t="n"/>
      <c r="FIR1" s="87" t="n"/>
      <c r="FIS1" s="87" t="n"/>
      <c r="FIT1" s="87" t="n"/>
      <c r="FIU1" s="87" t="n"/>
      <c r="FIV1" s="87" t="n"/>
      <c r="FIW1" s="87" t="n"/>
      <c r="FIX1" s="87" t="n"/>
      <c r="FIY1" s="87" t="n"/>
      <c r="FIZ1" s="87" t="n"/>
      <c r="FJA1" s="87" t="n"/>
      <c r="FJB1" s="87" t="n"/>
      <c r="FJC1" s="87" t="n"/>
      <c r="FJD1" s="87" t="n"/>
      <c r="FJE1" s="87" t="n"/>
      <c r="FJF1" s="87" t="n"/>
      <c r="FJG1" s="87" t="n"/>
      <c r="FJH1" s="87" t="n"/>
      <c r="FJI1" s="87" t="n"/>
      <c r="FJJ1" s="87" t="n"/>
      <c r="FJK1" s="87" t="n"/>
      <c r="FJL1" s="87" t="n"/>
      <c r="FJM1" s="87" t="n"/>
      <c r="FJN1" s="87" t="n"/>
      <c r="FJO1" s="87" t="n"/>
      <c r="FJP1" s="87" t="n"/>
      <c r="FJQ1" s="87" t="n"/>
      <c r="FJR1" s="87" t="n"/>
      <c r="FJS1" s="87" t="n"/>
      <c r="FJT1" s="87" t="n"/>
      <c r="FJU1" s="87" t="n"/>
      <c r="FJV1" s="87" t="n"/>
      <c r="FJW1" s="87" t="n"/>
      <c r="FJX1" s="87" t="n"/>
      <c r="FJY1" s="87" t="n"/>
      <c r="FJZ1" s="87" t="n"/>
      <c r="FKA1" s="87" t="n"/>
      <c r="FKB1" s="87" t="n"/>
      <c r="FKC1" s="87" t="n"/>
      <c r="FKD1" s="87" t="n"/>
      <c r="FKE1" s="87" t="n"/>
      <c r="FKF1" s="87" t="n"/>
      <c r="FKG1" s="87" t="n"/>
      <c r="FKH1" s="87" t="n"/>
      <c r="FKI1" s="87" t="n"/>
      <c r="FKJ1" s="87" t="n"/>
      <c r="FKK1" s="87" t="n"/>
      <c r="FKL1" s="87" t="n"/>
      <c r="FKM1" s="87" t="n"/>
      <c r="FKN1" s="87" t="n"/>
      <c r="FKO1" s="87" t="n"/>
      <c r="FKP1" s="87" t="n"/>
      <c r="FKQ1" s="87" t="n"/>
      <c r="FKR1" s="87" t="n"/>
      <c r="FKS1" s="87" t="n"/>
      <c r="FKT1" s="87" t="n"/>
      <c r="FKU1" s="87" t="n"/>
      <c r="FKV1" s="87" t="n"/>
      <c r="FKW1" s="87" t="n"/>
      <c r="FKX1" s="87" t="n"/>
      <c r="FKY1" s="87" t="n"/>
      <c r="FKZ1" s="87" t="n"/>
      <c r="FLA1" s="87" t="n"/>
      <c r="FLB1" s="87" t="n"/>
      <c r="FLC1" s="87" t="n"/>
      <c r="FLD1" s="87" t="n"/>
      <c r="FLE1" s="87" t="n"/>
      <c r="FLF1" s="87" t="n"/>
      <c r="FLG1" s="87" t="n"/>
      <c r="FLH1" s="87" t="n"/>
      <c r="FLI1" s="87" t="n"/>
      <c r="FLJ1" s="87" t="n"/>
      <c r="FLK1" s="87" t="n"/>
      <c r="FLL1" s="87" t="n"/>
      <c r="FLM1" s="87" t="n"/>
      <c r="FLN1" s="87" t="n"/>
      <c r="FLO1" s="87" t="n"/>
      <c r="FLP1" s="87" t="n"/>
      <c r="FLQ1" s="87" t="n"/>
      <c r="FLR1" s="87" t="n"/>
      <c r="FLS1" s="87" t="n"/>
      <c r="FLT1" s="87" t="n"/>
      <c r="FLU1" s="87" t="n"/>
      <c r="FLV1" s="87" t="n"/>
      <c r="FLW1" s="87" t="n"/>
      <c r="FLX1" s="87" t="n"/>
      <c r="FLY1" s="87" t="n"/>
      <c r="FLZ1" s="87" t="n"/>
      <c r="FMA1" s="87" t="n"/>
      <c r="FMB1" s="87" t="n"/>
      <c r="FMC1" s="87" t="n"/>
      <c r="FMD1" s="87" t="n"/>
      <c r="FME1" s="87" t="n"/>
      <c r="FMF1" s="87" t="n"/>
      <c r="FMG1" s="87" t="n"/>
      <c r="FMH1" s="87" t="n"/>
      <c r="FMI1" s="87" t="n"/>
      <c r="FMJ1" s="87" t="n"/>
      <c r="FMK1" s="87" t="n"/>
      <c r="FML1" s="87" t="n"/>
      <c r="FMM1" s="87" t="n"/>
      <c r="FMN1" s="87" t="n"/>
      <c r="FMO1" s="87" t="n"/>
      <c r="FMP1" s="87" t="n"/>
      <c r="FMQ1" s="87" t="n"/>
      <c r="FMR1" s="87" t="n"/>
      <c r="FMS1" s="87" t="n"/>
      <c r="FMT1" s="87" t="n"/>
      <c r="FMU1" s="87" t="n"/>
      <c r="FMV1" s="87" t="n"/>
      <c r="FMW1" s="87" t="n"/>
      <c r="FMX1" s="87" t="n"/>
      <c r="FMY1" s="87" t="n"/>
      <c r="FMZ1" s="87" t="n"/>
      <c r="FNA1" s="87" t="n"/>
      <c r="FNB1" s="87" t="n"/>
      <c r="FNC1" s="87" t="n"/>
      <c r="FND1" s="87" t="n"/>
      <c r="FNE1" s="87" t="n"/>
      <c r="FNF1" s="87" t="n"/>
      <c r="FNG1" s="87" t="n"/>
      <c r="FNH1" s="87" t="n"/>
      <c r="FNI1" s="87" t="n"/>
      <c r="FNJ1" s="87" t="n"/>
      <c r="FNK1" s="87" t="n"/>
      <c r="FNL1" s="87" t="n"/>
      <c r="FNM1" s="87" t="n"/>
      <c r="FNN1" s="87" t="n"/>
      <c r="FNO1" s="87" t="n"/>
      <c r="FNP1" s="87" t="n"/>
      <c r="FNQ1" s="87" t="n"/>
      <c r="FNR1" s="87" t="n"/>
      <c r="FNS1" s="87" t="n"/>
      <c r="FNT1" s="87" t="n"/>
      <c r="FNU1" s="87" t="n"/>
      <c r="FNV1" s="87" t="n"/>
      <c r="FNW1" s="87" t="n"/>
      <c r="FNX1" s="87" t="n"/>
      <c r="FNY1" s="87" t="n"/>
      <c r="FNZ1" s="87" t="n"/>
      <c r="FOA1" s="87" t="n"/>
      <c r="FOB1" s="87" t="n"/>
      <c r="FOC1" s="87" t="n"/>
      <c r="FOD1" s="87" t="n"/>
      <c r="FOE1" s="87" t="n"/>
      <c r="FOF1" s="87" t="n"/>
      <c r="FOG1" s="87" t="n"/>
      <c r="FOH1" s="87" t="n"/>
      <c r="FOI1" s="87" t="n"/>
      <c r="FOJ1" s="87" t="n"/>
      <c r="FOK1" s="87" t="n"/>
      <c r="FOL1" s="87" t="n"/>
      <c r="FOM1" s="87" t="n"/>
      <c r="FON1" s="87" t="n"/>
      <c r="FOO1" s="87" t="n"/>
      <c r="FOP1" s="87" t="n"/>
      <c r="FOQ1" s="87" t="n"/>
      <c r="FOR1" s="87" t="n"/>
      <c r="FOS1" s="87" t="n"/>
      <c r="FOT1" s="87" t="n"/>
      <c r="FOU1" s="87" t="n"/>
      <c r="FOV1" s="87" t="n"/>
      <c r="FOW1" s="87" t="n"/>
      <c r="FOX1" s="87" t="n"/>
      <c r="FOY1" s="87" t="n"/>
      <c r="FOZ1" s="87" t="n"/>
      <c r="FPA1" s="87" t="n"/>
      <c r="FPB1" s="87" t="n"/>
      <c r="FPC1" s="87" t="n"/>
      <c r="FPD1" s="87" t="n"/>
      <c r="FPE1" s="87" t="n"/>
      <c r="FPF1" s="87" t="n"/>
      <c r="FPG1" s="87" t="n"/>
      <c r="FPH1" s="87" t="n"/>
      <c r="FPI1" s="87" t="n"/>
      <c r="FPJ1" s="87" t="n"/>
      <c r="FPK1" s="87" t="n"/>
      <c r="FPL1" s="87" t="n"/>
      <c r="FPM1" s="87" t="n"/>
      <c r="FPN1" s="87" t="n"/>
      <c r="FPO1" s="87" t="n"/>
      <c r="FPP1" s="87" t="n"/>
      <c r="FPQ1" s="87" t="n"/>
      <c r="FPR1" s="87" t="n"/>
      <c r="FPS1" s="87" t="n"/>
      <c r="FPT1" s="87" t="n"/>
      <c r="FPU1" s="87" t="n"/>
      <c r="FPV1" s="87" t="n"/>
      <c r="FPW1" s="87" t="n"/>
      <c r="FPX1" s="87" t="n"/>
      <c r="FPY1" s="87" t="n"/>
      <c r="FPZ1" s="87" t="n"/>
      <c r="FQA1" s="87" t="n"/>
      <c r="FQB1" s="87" t="n"/>
      <c r="FQC1" s="87" t="n"/>
      <c r="FQD1" s="87" t="n"/>
      <c r="FQE1" s="87" t="n"/>
      <c r="FQF1" s="87" t="n"/>
      <c r="FQG1" s="87" t="n"/>
      <c r="FQH1" s="87" t="n"/>
      <c r="FQI1" s="87" t="n"/>
      <c r="FQJ1" s="87" t="n"/>
      <c r="FQK1" s="87" t="n"/>
      <c r="FQL1" s="87" t="n"/>
      <c r="FQM1" s="87" t="n"/>
      <c r="FQN1" s="87" t="n"/>
      <c r="FQO1" s="87" t="n"/>
      <c r="FQP1" s="87" t="n"/>
      <c r="FQQ1" s="87" t="n"/>
      <c r="FQR1" s="87" t="n"/>
      <c r="FQS1" s="87" t="n"/>
      <c r="FQT1" s="87" t="n"/>
      <c r="FQU1" s="87" t="n"/>
      <c r="FQV1" s="87" t="n"/>
      <c r="FQW1" s="87" t="n"/>
      <c r="FQX1" s="87" t="n"/>
      <c r="FQY1" s="87" t="n"/>
      <c r="FQZ1" s="87" t="n"/>
      <c r="FRA1" s="87" t="n"/>
      <c r="FRB1" s="87" t="n"/>
      <c r="FRC1" s="87" t="n"/>
      <c r="FRD1" s="87" t="n"/>
      <c r="FRE1" s="87" t="n"/>
      <c r="FRF1" s="87" t="n"/>
      <c r="FRG1" s="87" t="n"/>
      <c r="FRH1" s="87" t="n"/>
      <c r="FRI1" s="87" t="n"/>
      <c r="FRJ1" s="87" t="n"/>
      <c r="FRK1" s="87" t="n"/>
      <c r="FRL1" s="87" t="n"/>
      <c r="FRM1" s="87" t="n"/>
      <c r="FRN1" s="87" t="n"/>
      <c r="FRO1" s="87" t="n"/>
      <c r="FRP1" s="87" t="n"/>
      <c r="FRQ1" s="87" t="n"/>
      <c r="FRR1" s="87" t="n"/>
      <c r="FRS1" s="87" t="n"/>
      <c r="FRT1" s="87" t="n"/>
      <c r="FRU1" s="87" t="n"/>
      <c r="FRV1" s="87" t="n"/>
      <c r="FRW1" s="87" t="n"/>
      <c r="FRX1" s="87" t="n"/>
      <c r="FRY1" s="87" t="n"/>
      <c r="FRZ1" s="87" t="n"/>
      <c r="FSA1" s="87" t="n"/>
      <c r="FSB1" s="87" t="n"/>
      <c r="FSC1" s="87" t="n"/>
      <c r="FSD1" s="87" t="n"/>
      <c r="FSE1" s="87" t="n"/>
      <c r="FSF1" s="87" t="n"/>
      <c r="FSG1" s="87" t="n"/>
      <c r="FSH1" s="87" t="n"/>
      <c r="FSI1" s="87" t="n"/>
      <c r="FSJ1" s="87" t="n"/>
      <c r="FSK1" s="87" t="n"/>
      <c r="FSL1" s="87" t="n"/>
      <c r="FSM1" s="87" t="n"/>
      <c r="FSN1" s="87" t="n"/>
      <c r="FSO1" s="87" t="n"/>
      <c r="FSP1" s="87" t="n"/>
      <c r="FSQ1" s="87" t="n"/>
      <c r="FSR1" s="87" t="n"/>
      <c r="FSS1" s="87" t="n"/>
      <c r="FST1" s="87" t="n"/>
      <c r="FSU1" s="87" t="n"/>
      <c r="FSV1" s="87" t="n"/>
      <c r="FSW1" s="87" t="n"/>
      <c r="FSX1" s="87" t="n"/>
      <c r="FSY1" s="87" t="n"/>
      <c r="FSZ1" s="87" t="n"/>
      <c r="FTA1" s="87" t="n"/>
      <c r="FTB1" s="87" t="n"/>
      <c r="FTC1" s="87" t="n"/>
      <c r="FTD1" s="87" t="n"/>
      <c r="FTE1" s="87" t="n"/>
      <c r="FTF1" s="87" t="n"/>
      <c r="FTG1" s="87" t="n"/>
      <c r="FTH1" s="87" t="n"/>
      <c r="FTI1" s="87" t="n"/>
      <c r="FTJ1" s="87" t="n"/>
      <c r="FTK1" s="87" t="n"/>
      <c r="FTL1" s="87" t="n"/>
      <c r="FTM1" s="87" t="n"/>
      <c r="FTN1" s="87" t="n"/>
      <c r="FTO1" s="87" t="n"/>
      <c r="FTP1" s="87" t="n"/>
      <c r="FTQ1" s="87" t="n"/>
      <c r="FTR1" s="87" t="n"/>
      <c r="FTS1" s="87" t="n"/>
      <c r="FTT1" s="87" t="n"/>
      <c r="FTU1" s="87" t="n"/>
      <c r="FTV1" s="87" t="n"/>
      <c r="FTW1" s="87" t="n"/>
      <c r="FTX1" s="87" t="n"/>
      <c r="FTY1" s="87" t="n"/>
      <c r="FTZ1" s="87" t="n"/>
      <c r="FUA1" s="87" t="n"/>
      <c r="FUB1" s="87" t="n"/>
      <c r="FUC1" s="87" t="n"/>
      <c r="FUD1" s="87" t="n"/>
      <c r="FUE1" s="87" t="n"/>
      <c r="FUF1" s="87" t="n"/>
      <c r="FUG1" s="87" t="n"/>
      <c r="FUH1" s="87" t="n"/>
      <c r="FUI1" s="87" t="n"/>
      <c r="FUJ1" s="87" t="n"/>
      <c r="FUK1" s="87" t="n"/>
      <c r="FUL1" s="87" t="n"/>
      <c r="FUM1" s="87" t="n"/>
      <c r="FUN1" s="87" t="n"/>
      <c r="FUO1" s="87" t="n"/>
      <c r="FUP1" s="87" t="n"/>
      <c r="FUQ1" s="87" t="n"/>
      <c r="FUR1" s="87" t="n"/>
      <c r="FUS1" s="87" t="n"/>
      <c r="FUT1" s="87" t="n"/>
      <c r="FUU1" s="87" t="n"/>
      <c r="FUV1" s="87" t="n"/>
      <c r="FUW1" s="87" t="n"/>
      <c r="FUX1" s="87" t="n"/>
      <c r="FUY1" s="87" t="n"/>
      <c r="FUZ1" s="87" t="n"/>
      <c r="FVA1" s="87" t="n"/>
      <c r="FVB1" s="87" t="n"/>
      <c r="FVC1" s="87" t="n"/>
      <c r="FVD1" s="87" t="n"/>
      <c r="FVE1" s="87" t="n"/>
      <c r="FVF1" s="87" t="n"/>
      <c r="FVG1" s="87" t="n"/>
      <c r="FVH1" s="87" t="n"/>
      <c r="FVI1" s="87" t="n"/>
      <c r="FVJ1" s="87" t="n"/>
      <c r="FVK1" s="87" t="n"/>
      <c r="FVL1" s="87" t="n"/>
      <c r="FVM1" s="87" t="n"/>
      <c r="FVN1" s="87" t="n"/>
      <c r="FVO1" s="87" t="n"/>
      <c r="FVP1" s="87" t="n"/>
      <c r="FVQ1" s="87" t="n"/>
      <c r="FVR1" s="87" t="n"/>
      <c r="FVS1" s="87" t="n"/>
      <c r="FVT1" s="87" t="n"/>
      <c r="FVU1" s="87" t="n"/>
      <c r="FVV1" s="87" t="n"/>
      <c r="FVW1" s="87" t="n"/>
      <c r="FVX1" s="87" t="n"/>
      <c r="FVY1" s="87" t="n"/>
      <c r="FVZ1" s="87" t="n"/>
      <c r="FWA1" s="87" t="n"/>
      <c r="FWB1" s="87" t="n"/>
      <c r="FWC1" s="87" t="n"/>
      <c r="FWD1" s="87" t="n"/>
      <c r="FWE1" s="87" t="n"/>
      <c r="FWF1" s="87" t="n"/>
      <c r="FWG1" s="87" t="n"/>
      <c r="FWH1" s="87" t="n"/>
      <c r="FWI1" s="87" t="n"/>
      <c r="FWJ1" s="87" t="n"/>
      <c r="FWK1" s="87" t="n"/>
      <c r="FWL1" s="87" t="n"/>
      <c r="FWM1" s="87" t="n"/>
      <c r="FWN1" s="87" t="n"/>
      <c r="FWO1" s="87" t="n"/>
      <c r="FWP1" s="87" t="n"/>
      <c r="FWQ1" s="87" t="n"/>
      <c r="FWR1" s="87" t="n"/>
      <c r="FWS1" s="87" t="n"/>
      <c r="FWT1" s="87" t="n"/>
      <c r="FWU1" s="87" t="n"/>
      <c r="FWV1" s="87" t="n"/>
      <c r="FWW1" s="87" t="n"/>
      <c r="FWX1" s="87" t="n"/>
      <c r="FWY1" s="87" t="n"/>
      <c r="FWZ1" s="87" t="n"/>
      <c r="FXA1" s="87" t="n"/>
      <c r="FXB1" s="87" t="n"/>
      <c r="FXC1" s="87" t="n"/>
      <c r="FXD1" s="87" t="n"/>
      <c r="FXE1" s="87" t="n"/>
      <c r="FXF1" s="87" t="n"/>
      <c r="FXG1" s="87" t="n"/>
      <c r="FXH1" s="87" t="n"/>
      <c r="FXI1" s="87" t="n"/>
      <c r="FXJ1" s="87" t="n"/>
      <c r="FXK1" s="87" t="n"/>
      <c r="FXL1" s="87" t="n"/>
      <c r="FXM1" s="87" t="n"/>
      <c r="FXN1" s="87" t="n"/>
      <c r="FXO1" s="87" t="n"/>
      <c r="FXP1" s="87" t="n"/>
      <c r="FXQ1" s="87" t="n"/>
      <c r="FXR1" s="87" t="n"/>
      <c r="FXS1" s="87" t="n"/>
      <c r="FXT1" s="87" t="n"/>
      <c r="FXU1" s="87" t="n"/>
      <c r="FXV1" s="87" t="n"/>
      <c r="FXW1" s="87" t="n"/>
      <c r="FXX1" s="87" t="n"/>
      <c r="FXY1" s="87" t="n"/>
      <c r="FXZ1" s="87" t="n"/>
      <c r="FYA1" s="87" t="n"/>
      <c r="FYB1" s="87" t="n"/>
      <c r="FYC1" s="87" t="n"/>
      <c r="FYD1" s="87" t="n"/>
      <c r="FYE1" s="87" t="n"/>
      <c r="FYF1" s="87" t="n"/>
      <c r="FYG1" s="87" t="n"/>
      <c r="FYH1" s="87" t="n"/>
      <c r="FYI1" s="87" t="n"/>
      <c r="FYJ1" s="87" t="n"/>
      <c r="FYK1" s="87" t="n"/>
      <c r="FYL1" s="87" t="n"/>
      <c r="FYM1" s="87" t="n"/>
      <c r="FYN1" s="87" t="n"/>
      <c r="FYO1" s="87" t="n"/>
      <c r="FYP1" s="87" t="n"/>
      <c r="FYQ1" s="87" t="n"/>
      <c r="FYR1" s="87" t="n"/>
      <c r="FYS1" s="87" t="n"/>
      <c r="FYT1" s="87" t="n"/>
      <c r="FYU1" s="87" t="n"/>
      <c r="FYV1" s="87" t="n"/>
      <c r="FYW1" s="87" t="n"/>
      <c r="FYX1" s="87" t="n"/>
      <c r="FYY1" s="87" t="n"/>
      <c r="FYZ1" s="87" t="n"/>
      <c r="FZA1" s="87" t="n"/>
      <c r="FZB1" s="87" t="n"/>
      <c r="FZC1" s="87" t="n"/>
      <c r="FZD1" s="87" t="n"/>
      <c r="FZE1" s="87" t="n"/>
      <c r="FZF1" s="87" t="n"/>
      <c r="FZG1" s="87" t="n"/>
      <c r="FZH1" s="87" t="n"/>
      <c r="FZI1" s="87" t="n"/>
      <c r="FZJ1" s="87" t="n"/>
      <c r="FZK1" s="87" t="n"/>
      <c r="FZL1" s="87" t="n"/>
      <c r="FZM1" s="87" t="n"/>
      <c r="FZN1" s="87" t="n"/>
      <c r="FZO1" s="87" t="n"/>
      <c r="FZP1" s="87" t="n"/>
      <c r="FZQ1" s="87" t="n"/>
      <c r="FZR1" s="87" t="n"/>
      <c r="FZS1" s="87" t="n"/>
      <c r="FZT1" s="87" t="n"/>
      <c r="FZU1" s="87" t="n"/>
      <c r="FZV1" s="87" t="n"/>
      <c r="FZW1" s="87" t="n"/>
      <c r="FZX1" s="87" t="n"/>
      <c r="FZY1" s="87" t="n"/>
      <c r="FZZ1" s="87" t="n"/>
      <c r="GAA1" s="87" t="n"/>
      <c r="GAB1" s="87" t="n"/>
      <c r="GAC1" s="87" t="n"/>
      <c r="GAD1" s="87" t="n"/>
      <c r="GAE1" s="87" t="n"/>
      <c r="GAF1" s="87" t="n"/>
      <c r="GAG1" s="87" t="n"/>
      <c r="GAH1" s="87" t="n"/>
      <c r="GAI1" s="87" t="n"/>
      <c r="GAJ1" s="87" t="n"/>
      <c r="GAK1" s="87" t="n"/>
      <c r="GAL1" s="87" t="n"/>
      <c r="GAM1" s="87" t="n"/>
      <c r="GAN1" s="87" t="n"/>
      <c r="GAO1" s="87" t="n"/>
      <c r="GAP1" s="87" t="n"/>
      <c r="GAQ1" s="87" t="n"/>
      <c r="GAR1" s="87" t="n"/>
      <c r="GAS1" s="87" t="n"/>
      <c r="GAT1" s="87" t="n"/>
      <c r="GAU1" s="87" t="n"/>
      <c r="GAV1" s="87" t="n"/>
      <c r="GAW1" s="87" t="n"/>
      <c r="GAX1" s="87" t="n"/>
      <c r="GAY1" s="87" t="n"/>
      <c r="GAZ1" s="87" t="n"/>
      <c r="GBA1" s="87" t="n"/>
      <c r="GBB1" s="87" t="n"/>
      <c r="GBC1" s="87" t="n"/>
      <c r="GBD1" s="87" t="n"/>
      <c r="GBE1" s="87" t="n"/>
      <c r="GBF1" s="87" t="n"/>
      <c r="GBG1" s="87" t="n"/>
      <c r="GBH1" s="87" t="n"/>
      <c r="GBI1" s="87" t="n"/>
      <c r="GBJ1" s="87" t="n"/>
      <c r="GBK1" s="87" t="n"/>
      <c r="GBL1" s="87" t="n"/>
      <c r="GBM1" s="87" t="n"/>
      <c r="GBN1" s="87" t="n"/>
      <c r="GBO1" s="87" t="n"/>
      <c r="GBP1" s="87" t="n"/>
      <c r="GBQ1" s="87" t="n"/>
      <c r="GBR1" s="87" t="n"/>
      <c r="GBS1" s="87" t="n"/>
      <c r="GBT1" s="87" t="n"/>
      <c r="GBU1" s="87" t="n"/>
      <c r="GBV1" s="87" t="n"/>
      <c r="GBW1" s="87" t="n"/>
      <c r="GBX1" s="87" t="n"/>
      <c r="GBY1" s="87" t="n"/>
      <c r="GBZ1" s="87" t="n"/>
      <c r="GCA1" s="87" t="n"/>
      <c r="GCB1" s="87" t="n"/>
      <c r="GCC1" s="87" t="n"/>
      <c r="GCD1" s="87" t="n"/>
      <c r="GCE1" s="87" t="n"/>
      <c r="GCF1" s="87" t="n"/>
      <c r="GCG1" s="87" t="n"/>
      <c r="GCH1" s="87" t="n"/>
      <c r="GCI1" s="87" t="n"/>
      <c r="GCJ1" s="87" t="n"/>
      <c r="GCK1" s="87" t="n"/>
      <c r="GCL1" s="87" t="n"/>
      <c r="GCM1" s="87" t="n"/>
      <c r="GCN1" s="87" t="n"/>
      <c r="GCO1" s="87" t="n"/>
      <c r="GCP1" s="87" t="n"/>
      <c r="GCQ1" s="87" t="n"/>
      <c r="GCR1" s="87" t="n"/>
      <c r="GCS1" s="87" t="n"/>
      <c r="GCT1" s="87" t="n"/>
      <c r="GCU1" s="87" t="n"/>
      <c r="GCV1" s="87" t="n"/>
      <c r="GCW1" s="87" t="n"/>
      <c r="GCX1" s="87" t="n"/>
      <c r="GCY1" s="87" t="n"/>
      <c r="GCZ1" s="87" t="n"/>
      <c r="GDA1" s="87" t="n"/>
      <c r="GDB1" s="87" t="n"/>
      <c r="GDC1" s="87" t="n"/>
      <c r="GDD1" s="87" t="n"/>
      <c r="GDE1" s="87" t="n"/>
      <c r="GDF1" s="87" t="n"/>
      <c r="GDG1" s="87" t="n"/>
      <c r="GDH1" s="87" t="n"/>
      <c r="GDI1" s="87" t="n"/>
      <c r="GDJ1" s="87" t="n"/>
      <c r="GDK1" s="87" t="n"/>
      <c r="GDL1" s="87" t="n"/>
      <c r="GDM1" s="87" t="n"/>
      <c r="GDN1" s="87" t="n"/>
      <c r="GDO1" s="87" t="n"/>
      <c r="GDP1" s="87" t="n"/>
      <c r="GDQ1" s="87" t="n"/>
      <c r="GDR1" s="87" t="n"/>
      <c r="GDS1" s="87" t="n"/>
      <c r="GDT1" s="87" t="n"/>
      <c r="GDU1" s="87" t="n"/>
      <c r="GDV1" s="87" t="n"/>
      <c r="GDW1" s="87" t="n"/>
      <c r="GDX1" s="87" t="n"/>
      <c r="GDY1" s="87" t="n"/>
      <c r="GDZ1" s="87" t="n"/>
      <c r="GEA1" s="87" t="n"/>
      <c r="GEB1" s="87" t="n"/>
      <c r="GEC1" s="87" t="n"/>
      <c r="GED1" s="87" t="n"/>
      <c r="GEE1" s="87" t="n"/>
      <c r="GEF1" s="87" t="n"/>
      <c r="GEG1" s="87" t="n"/>
      <c r="GEH1" s="87" t="n"/>
      <c r="GEI1" s="87" t="n"/>
      <c r="GEJ1" s="87" t="n"/>
      <c r="GEK1" s="87" t="n"/>
      <c r="GEL1" s="87" t="n"/>
      <c r="GEM1" s="87" t="n"/>
      <c r="GEN1" s="87" t="n"/>
      <c r="GEO1" s="87" t="n"/>
      <c r="GEP1" s="87" t="n"/>
      <c r="GEQ1" s="87" t="n"/>
      <c r="GER1" s="87" t="n"/>
      <c r="GES1" s="87" t="n"/>
      <c r="GET1" s="87" t="n"/>
      <c r="GEU1" s="87" t="n"/>
      <c r="GEV1" s="87" t="n"/>
      <c r="GEW1" s="87" t="n"/>
      <c r="GEX1" s="87" t="n"/>
      <c r="GEY1" s="87" t="n"/>
      <c r="GEZ1" s="87" t="n"/>
      <c r="GFA1" s="87" t="n"/>
      <c r="GFB1" s="87" t="n"/>
      <c r="GFC1" s="87" t="n"/>
      <c r="GFD1" s="87" t="n"/>
      <c r="GFE1" s="87" t="n"/>
      <c r="GFF1" s="87" t="n"/>
      <c r="GFG1" s="87" t="n"/>
      <c r="GFH1" s="87" t="n"/>
      <c r="GFI1" s="87" t="n"/>
      <c r="GFJ1" s="87" t="n"/>
      <c r="GFK1" s="87" t="n"/>
      <c r="GFL1" s="87" t="n"/>
      <c r="GFM1" s="87" t="n"/>
      <c r="GFN1" s="87" t="n"/>
      <c r="GFO1" s="87" t="n"/>
      <c r="GFP1" s="87" t="n"/>
      <c r="GFQ1" s="87" t="n"/>
      <c r="GFR1" s="87" t="n"/>
      <c r="GFS1" s="87" t="n"/>
      <c r="GFT1" s="87" t="n"/>
      <c r="GFU1" s="87" t="n"/>
      <c r="GFV1" s="87" t="n"/>
      <c r="GFW1" s="87" t="n"/>
      <c r="GFX1" s="87" t="n"/>
      <c r="GFY1" s="87" t="n"/>
      <c r="GFZ1" s="87" t="n"/>
      <c r="GGA1" s="87" t="n"/>
      <c r="GGB1" s="87" t="n"/>
      <c r="GGC1" s="87" t="n"/>
      <c r="GGD1" s="87" t="n"/>
      <c r="GGE1" s="87" t="n"/>
      <c r="GGF1" s="87" t="n"/>
      <c r="GGG1" s="87" t="n"/>
      <c r="GGH1" s="87" t="n"/>
      <c r="GGI1" s="87" t="n"/>
      <c r="GGJ1" s="87" t="n"/>
      <c r="GGK1" s="87" t="n"/>
      <c r="GGL1" s="87" t="n"/>
      <c r="GGM1" s="87" t="n"/>
      <c r="GGN1" s="87" t="n"/>
      <c r="GGO1" s="87" t="n"/>
      <c r="GGP1" s="87" t="n"/>
      <c r="GGQ1" s="87" t="n"/>
      <c r="GGR1" s="87" t="n"/>
      <c r="GGS1" s="87" t="n"/>
      <c r="GGT1" s="87" t="n"/>
      <c r="GGU1" s="87" t="n"/>
      <c r="GGV1" s="87" t="n"/>
      <c r="GGW1" s="87" t="n"/>
      <c r="GGX1" s="87" t="n"/>
      <c r="GGY1" s="87" t="n"/>
      <c r="GGZ1" s="87" t="n"/>
      <c r="GHA1" s="87" t="n"/>
      <c r="GHB1" s="87" t="n"/>
      <c r="GHC1" s="87" t="n"/>
      <c r="GHD1" s="87" t="n"/>
      <c r="GHE1" s="87" t="n"/>
      <c r="GHF1" s="87" t="n"/>
      <c r="GHG1" s="87" t="n"/>
      <c r="GHH1" s="87" t="n"/>
      <c r="GHI1" s="87" t="n"/>
      <c r="GHJ1" s="87" t="n"/>
      <c r="GHK1" s="87" t="n"/>
      <c r="GHL1" s="87" t="n"/>
      <c r="GHM1" s="87" t="n"/>
      <c r="GHN1" s="87" t="n"/>
      <c r="GHO1" s="87" t="n"/>
      <c r="GHP1" s="87" t="n"/>
      <c r="GHQ1" s="87" t="n"/>
      <c r="GHR1" s="87" t="n"/>
      <c r="GHS1" s="87" t="n"/>
      <c r="GHT1" s="87" t="n"/>
      <c r="GHU1" s="87" t="n"/>
      <c r="GHV1" s="87" t="n"/>
      <c r="GHW1" s="87" t="n"/>
      <c r="GHX1" s="87" t="n"/>
      <c r="GHY1" s="87" t="n"/>
      <c r="GHZ1" s="87" t="n"/>
      <c r="GIA1" s="87" t="n"/>
      <c r="GIB1" s="87" t="n"/>
      <c r="GIC1" s="87" t="n"/>
      <c r="GID1" s="87" t="n"/>
      <c r="GIE1" s="87" t="n"/>
      <c r="GIF1" s="87" t="n"/>
      <c r="GIG1" s="87" t="n"/>
      <c r="GIH1" s="87" t="n"/>
      <c r="GII1" s="87" t="n"/>
      <c r="GIJ1" s="87" t="n"/>
      <c r="GIK1" s="87" t="n"/>
      <c r="GIL1" s="87" t="n"/>
      <c r="GIM1" s="87" t="n"/>
      <c r="GIN1" s="87" t="n"/>
      <c r="GIO1" s="87" t="n"/>
      <c r="GIP1" s="87" t="n"/>
      <c r="GIQ1" s="87" t="n"/>
      <c r="GIR1" s="87" t="n"/>
      <c r="GIS1" s="87" t="n"/>
      <c r="GIT1" s="87" t="n"/>
      <c r="GIU1" s="87" t="n"/>
      <c r="GIV1" s="87" t="n"/>
      <c r="GIW1" s="87" t="n"/>
      <c r="GIX1" s="87" t="n"/>
      <c r="GIY1" s="87" t="n"/>
      <c r="GIZ1" s="87" t="n"/>
      <c r="GJA1" s="87" t="n"/>
      <c r="GJB1" s="87" t="n"/>
      <c r="GJC1" s="87" t="n"/>
      <c r="GJD1" s="87" t="n"/>
      <c r="GJE1" s="87" t="n"/>
      <c r="GJF1" s="87" t="n"/>
      <c r="GJG1" s="87" t="n"/>
      <c r="GJH1" s="87" t="n"/>
      <c r="GJI1" s="87" t="n"/>
      <c r="GJJ1" s="87" t="n"/>
      <c r="GJK1" s="87" t="n"/>
      <c r="GJL1" s="87" t="n"/>
      <c r="GJM1" s="87" t="n"/>
      <c r="GJN1" s="87" t="n"/>
      <c r="GJO1" s="87" t="n"/>
      <c r="GJP1" s="87" t="n"/>
      <c r="GJQ1" s="87" t="n"/>
      <c r="GJR1" s="87" t="n"/>
      <c r="GJS1" s="87" t="n"/>
      <c r="GJT1" s="87" t="n"/>
      <c r="GJU1" s="87" t="n"/>
      <c r="GJV1" s="87" t="n"/>
      <c r="GJW1" s="87" t="n"/>
      <c r="GJX1" s="87" t="n"/>
      <c r="GJY1" s="87" t="n"/>
      <c r="GJZ1" s="87" t="n"/>
      <c r="GKA1" s="87" t="n"/>
      <c r="GKB1" s="87" t="n"/>
      <c r="GKC1" s="87" t="n"/>
      <c r="GKD1" s="87" t="n"/>
      <c r="GKE1" s="87" t="n"/>
      <c r="GKF1" s="87" t="n"/>
      <c r="GKG1" s="87" t="n"/>
      <c r="GKH1" s="87" t="n"/>
      <c r="GKI1" s="87" t="n"/>
      <c r="GKJ1" s="87" t="n"/>
      <c r="GKK1" s="87" t="n"/>
      <c r="GKL1" s="87" t="n"/>
      <c r="GKM1" s="87" t="n"/>
      <c r="GKN1" s="87" t="n"/>
      <c r="GKO1" s="87" t="n"/>
      <c r="GKP1" s="87" t="n"/>
      <c r="GKQ1" s="87" t="n"/>
      <c r="GKR1" s="87" t="n"/>
      <c r="GKS1" s="87" t="n"/>
      <c r="GKT1" s="87" t="n"/>
      <c r="GKU1" s="87" t="n"/>
      <c r="GKV1" s="87" t="n"/>
      <c r="GKW1" s="87" t="n"/>
      <c r="GKX1" s="87" t="n"/>
      <c r="GKY1" s="87" t="n"/>
      <c r="GKZ1" s="87" t="n"/>
      <c r="GLA1" s="87" t="n"/>
      <c r="GLB1" s="87" t="n"/>
      <c r="GLC1" s="87" t="n"/>
      <c r="GLD1" s="87" t="n"/>
      <c r="GLE1" s="87" t="n"/>
      <c r="GLF1" s="87" t="n"/>
      <c r="GLG1" s="87" t="n"/>
      <c r="GLH1" s="87" t="n"/>
      <c r="GLI1" s="87" t="n"/>
      <c r="GLJ1" s="87" t="n"/>
      <c r="GLK1" s="87" t="n"/>
      <c r="GLL1" s="87" t="n"/>
      <c r="GLM1" s="87" t="n"/>
      <c r="GLN1" s="87" t="n"/>
      <c r="GLO1" s="87" t="n"/>
      <c r="GLP1" s="87" t="n"/>
      <c r="GLQ1" s="87" t="n"/>
      <c r="GLR1" s="87" t="n"/>
      <c r="GLS1" s="87" t="n"/>
      <c r="GLT1" s="87" t="n"/>
      <c r="GLU1" s="87" t="n"/>
      <c r="GLV1" s="87" t="n"/>
      <c r="GLW1" s="87" t="n"/>
      <c r="GLX1" s="87" t="n"/>
      <c r="GLY1" s="87" t="n"/>
      <c r="GLZ1" s="87" t="n"/>
      <c r="GMA1" s="87" t="n"/>
      <c r="GMB1" s="87" t="n"/>
      <c r="GMC1" s="87" t="n"/>
      <c r="GMD1" s="87" t="n"/>
      <c r="GME1" s="87" t="n"/>
      <c r="GMF1" s="87" t="n"/>
      <c r="GMG1" s="87" t="n"/>
      <c r="GMH1" s="87" t="n"/>
      <c r="GMI1" s="87" t="n"/>
      <c r="GMJ1" s="87" t="n"/>
      <c r="GMK1" s="87" t="n"/>
      <c r="GML1" s="87" t="n"/>
      <c r="GMM1" s="87" t="n"/>
      <c r="GMN1" s="87" t="n"/>
      <c r="GMO1" s="87" t="n"/>
      <c r="GMP1" s="87" t="n"/>
      <c r="GMQ1" s="87" t="n"/>
      <c r="GMR1" s="87" t="n"/>
      <c r="GMS1" s="87" t="n"/>
      <c r="GMT1" s="87" t="n"/>
      <c r="GMU1" s="87" t="n"/>
      <c r="GMV1" s="87" t="n"/>
      <c r="GMW1" s="87" t="n"/>
      <c r="GMX1" s="87" t="n"/>
      <c r="GMY1" s="87" t="n"/>
      <c r="GMZ1" s="87" t="n"/>
      <c r="GNA1" s="87" t="n"/>
      <c r="GNB1" s="87" t="n"/>
      <c r="GNC1" s="87" t="n"/>
      <c r="GND1" s="87" t="n"/>
      <c r="GNE1" s="87" t="n"/>
      <c r="GNF1" s="87" t="n"/>
      <c r="GNG1" s="87" t="n"/>
      <c r="GNH1" s="87" t="n"/>
      <c r="GNI1" s="87" t="n"/>
      <c r="GNJ1" s="87" t="n"/>
      <c r="GNK1" s="87" t="n"/>
      <c r="GNL1" s="87" t="n"/>
      <c r="GNM1" s="87" t="n"/>
      <c r="GNN1" s="87" t="n"/>
      <c r="GNO1" s="87" t="n"/>
      <c r="GNP1" s="87" t="n"/>
      <c r="GNQ1" s="87" t="n"/>
      <c r="GNR1" s="87" t="n"/>
      <c r="GNS1" s="87" t="n"/>
      <c r="GNT1" s="87" t="n"/>
      <c r="GNU1" s="87" t="n"/>
      <c r="GNV1" s="87" t="n"/>
      <c r="GNW1" s="87" t="n"/>
      <c r="GNX1" s="87" t="n"/>
      <c r="GNY1" s="87" t="n"/>
      <c r="GNZ1" s="87" t="n"/>
      <c r="GOA1" s="87" t="n"/>
      <c r="GOB1" s="87" t="n"/>
      <c r="GOC1" s="87" t="n"/>
      <c r="GOD1" s="87" t="n"/>
      <c r="GOE1" s="87" t="n"/>
      <c r="GOF1" s="87" t="n"/>
      <c r="GOG1" s="87" t="n"/>
      <c r="GOH1" s="87" t="n"/>
      <c r="GOI1" s="87" t="n"/>
      <c r="GOJ1" s="87" t="n"/>
      <c r="GOK1" s="87" t="n"/>
      <c r="GOL1" s="87" t="n"/>
      <c r="GOM1" s="87" t="n"/>
      <c r="GON1" s="87" t="n"/>
      <c r="GOO1" s="87" t="n"/>
      <c r="GOP1" s="87" t="n"/>
      <c r="GOQ1" s="87" t="n"/>
      <c r="GOR1" s="87" t="n"/>
      <c r="GOS1" s="87" t="n"/>
      <c r="GOT1" s="87" t="n"/>
      <c r="GOU1" s="87" t="n"/>
      <c r="GOV1" s="87" t="n"/>
      <c r="GOW1" s="87" t="n"/>
      <c r="GOX1" s="87" t="n"/>
      <c r="GOY1" s="87" t="n"/>
      <c r="GOZ1" s="87" t="n"/>
      <c r="GPA1" s="87" t="n"/>
      <c r="GPB1" s="87" t="n"/>
      <c r="GPC1" s="87" t="n"/>
      <c r="GPD1" s="87" t="n"/>
      <c r="GPE1" s="87" t="n"/>
      <c r="GPF1" s="87" t="n"/>
      <c r="GPG1" s="87" t="n"/>
      <c r="GPH1" s="87" t="n"/>
      <c r="GPI1" s="87" t="n"/>
      <c r="GPJ1" s="87" t="n"/>
      <c r="GPK1" s="87" t="n"/>
      <c r="GPL1" s="87" t="n"/>
      <c r="GPM1" s="87" t="n"/>
      <c r="GPN1" s="87" t="n"/>
      <c r="GPO1" s="87" t="n"/>
      <c r="GPP1" s="87" t="n"/>
      <c r="GPQ1" s="87" t="n"/>
      <c r="GPR1" s="87" t="n"/>
      <c r="GPS1" s="87" t="n"/>
      <c r="GPT1" s="87" t="n"/>
      <c r="GPU1" s="87" t="n"/>
      <c r="GPV1" s="87" t="n"/>
      <c r="GPW1" s="87" t="n"/>
      <c r="GPX1" s="87" t="n"/>
      <c r="GPY1" s="87" t="n"/>
      <c r="GPZ1" s="87" t="n"/>
      <c r="GQA1" s="87" t="n"/>
      <c r="GQB1" s="87" t="n"/>
      <c r="GQC1" s="87" t="n"/>
      <c r="GQD1" s="87" t="n"/>
      <c r="GQE1" s="87" t="n"/>
      <c r="GQF1" s="87" t="n"/>
      <c r="GQG1" s="87" t="n"/>
      <c r="GQH1" s="87" t="n"/>
      <c r="GQI1" s="87" t="n"/>
      <c r="GQJ1" s="87" t="n"/>
      <c r="GQK1" s="87" t="n"/>
      <c r="GQL1" s="87" t="n"/>
      <c r="GQM1" s="87" t="n"/>
      <c r="GQN1" s="87" t="n"/>
      <c r="GQO1" s="87" t="n"/>
      <c r="GQP1" s="87" t="n"/>
      <c r="GQQ1" s="87" t="n"/>
      <c r="GQR1" s="87" t="n"/>
      <c r="GQS1" s="87" t="n"/>
      <c r="GQT1" s="87" t="n"/>
      <c r="GQU1" s="87" t="n"/>
      <c r="GQV1" s="87" t="n"/>
      <c r="GQW1" s="87" t="n"/>
      <c r="GQX1" s="87" t="n"/>
      <c r="GQY1" s="87" t="n"/>
      <c r="GQZ1" s="87" t="n"/>
      <c r="GRA1" s="87" t="n"/>
      <c r="GRB1" s="87" t="n"/>
      <c r="GRC1" s="87" t="n"/>
      <c r="GRD1" s="87" t="n"/>
      <c r="GRE1" s="87" t="n"/>
      <c r="GRF1" s="87" t="n"/>
      <c r="GRG1" s="87" t="n"/>
      <c r="GRH1" s="87" t="n"/>
      <c r="GRI1" s="87" t="n"/>
      <c r="GRJ1" s="87" t="n"/>
      <c r="GRK1" s="87" t="n"/>
      <c r="GRL1" s="87" t="n"/>
      <c r="GRM1" s="87" t="n"/>
      <c r="GRN1" s="87" t="n"/>
      <c r="GRO1" s="87" t="n"/>
      <c r="GRP1" s="87" t="n"/>
      <c r="GRQ1" s="87" t="n"/>
      <c r="GRR1" s="87" t="n"/>
      <c r="GRS1" s="87" t="n"/>
      <c r="GRT1" s="87" t="n"/>
      <c r="GRU1" s="87" t="n"/>
      <c r="GRV1" s="87" t="n"/>
      <c r="GRW1" s="87" t="n"/>
      <c r="GRX1" s="87" t="n"/>
      <c r="GRY1" s="87" t="n"/>
      <c r="GRZ1" s="87" t="n"/>
      <c r="GSA1" s="87" t="n"/>
      <c r="GSB1" s="87" t="n"/>
      <c r="GSC1" s="87" t="n"/>
      <c r="GSD1" s="87" t="n"/>
      <c r="GSE1" s="87" t="n"/>
      <c r="GSF1" s="87" t="n"/>
      <c r="GSG1" s="87" t="n"/>
      <c r="GSH1" s="87" t="n"/>
      <c r="GSI1" s="87" t="n"/>
      <c r="GSJ1" s="87" t="n"/>
      <c r="GSK1" s="87" t="n"/>
      <c r="GSL1" s="87" t="n"/>
      <c r="GSM1" s="87" t="n"/>
      <c r="GSN1" s="87" t="n"/>
      <c r="GSO1" s="87" t="n"/>
      <c r="GSP1" s="87" t="n"/>
      <c r="GSQ1" s="87" t="n"/>
      <c r="GSR1" s="87" t="n"/>
      <c r="GSS1" s="87" t="n"/>
      <c r="GST1" s="87" t="n"/>
      <c r="GSU1" s="87" t="n"/>
      <c r="GSV1" s="87" t="n"/>
      <c r="GSW1" s="87" t="n"/>
      <c r="GSX1" s="87" t="n"/>
      <c r="GSY1" s="87" t="n"/>
      <c r="GSZ1" s="87" t="n"/>
      <c r="GTA1" s="87" t="n"/>
      <c r="GTB1" s="87" t="n"/>
      <c r="GTC1" s="87" t="n"/>
      <c r="GTD1" s="87" t="n"/>
      <c r="GTE1" s="87" t="n"/>
      <c r="GTF1" s="87" t="n"/>
      <c r="GTG1" s="87" t="n"/>
      <c r="GTH1" s="87" t="n"/>
      <c r="GTI1" s="87" t="n"/>
      <c r="GTJ1" s="87" t="n"/>
      <c r="GTK1" s="87" t="n"/>
      <c r="GTL1" s="87" t="n"/>
      <c r="GTM1" s="87" t="n"/>
      <c r="GTN1" s="87" t="n"/>
      <c r="GTO1" s="87" t="n"/>
      <c r="GTP1" s="87" t="n"/>
      <c r="GTQ1" s="87" t="n"/>
      <c r="GTR1" s="87" t="n"/>
      <c r="GTS1" s="87" t="n"/>
      <c r="GTT1" s="87" t="n"/>
      <c r="GTU1" s="87" t="n"/>
      <c r="GTV1" s="87" t="n"/>
      <c r="GTW1" s="87" t="n"/>
      <c r="GTX1" s="87" t="n"/>
      <c r="GTY1" s="87" t="n"/>
      <c r="GTZ1" s="87" t="n"/>
      <c r="GUA1" s="87" t="n"/>
      <c r="GUB1" s="87" t="n"/>
      <c r="GUC1" s="87" t="n"/>
      <c r="GUD1" s="87" t="n"/>
      <c r="GUE1" s="87" t="n"/>
      <c r="GUF1" s="87" t="n"/>
      <c r="GUG1" s="87" t="n"/>
      <c r="GUH1" s="87" t="n"/>
      <c r="GUI1" s="87" t="n"/>
      <c r="GUJ1" s="87" t="n"/>
      <c r="GUK1" s="87" t="n"/>
      <c r="GUL1" s="87" t="n"/>
      <c r="GUM1" s="87" t="n"/>
      <c r="GUN1" s="87" t="n"/>
      <c r="GUO1" s="87" t="n"/>
      <c r="GUP1" s="87" t="n"/>
      <c r="GUQ1" s="87" t="n"/>
      <c r="GUR1" s="87" t="n"/>
      <c r="GUS1" s="87" t="n"/>
      <c r="GUT1" s="87" t="n"/>
      <c r="GUU1" s="87" t="n"/>
      <c r="GUV1" s="87" t="n"/>
      <c r="GUW1" s="87" t="n"/>
      <c r="GUX1" s="87" t="n"/>
      <c r="GUY1" s="87" t="n"/>
      <c r="GUZ1" s="87" t="n"/>
      <c r="GVA1" s="87" t="n"/>
      <c r="GVB1" s="87" t="n"/>
      <c r="GVC1" s="87" t="n"/>
      <c r="GVD1" s="87" t="n"/>
      <c r="GVE1" s="87" t="n"/>
      <c r="GVF1" s="87" t="n"/>
      <c r="GVG1" s="87" t="n"/>
      <c r="GVH1" s="87" t="n"/>
      <c r="GVI1" s="87" t="n"/>
      <c r="GVJ1" s="87" t="n"/>
      <c r="GVK1" s="87" t="n"/>
      <c r="GVL1" s="87" t="n"/>
      <c r="GVM1" s="87" t="n"/>
      <c r="GVN1" s="87" t="n"/>
      <c r="GVO1" s="87" t="n"/>
      <c r="GVP1" s="87" t="n"/>
      <c r="GVQ1" s="87" t="n"/>
      <c r="GVR1" s="87" t="n"/>
      <c r="GVS1" s="87" t="n"/>
      <c r="GVT1" s="87" t="n"/>
      <c r="GVU1" s="87" t="n"/>
      <c r="GVV1" s="87" t="n"/>
      <c r="GVW1" s="87" t="n"/>
      <c r="GVX1" s="87" t="n"/>
      <c r="GVY1" s="87" t="n"/>
      <c r="GVZ1" s="87" t="n"/>
      <c r="GWA1" s="87" t="n"/>
      <c r="GWB1" s="87" t="n"/>
      <c r="GWC1" s="87" t="n"/>
      <c r="GWD1" s="87" t="n"/>
      <c r="GWE1" s="87" t="n"/>
      <c r="GWF1" s="87" t="n"/>
      <c r="GWG1" s="87" t="n"/>
      <c r="GWH1" s="87" t="n"/>
      <c r="GWI1" s="87" t="n"/>
      <c r="GWJ1" s="87" t="n"/>
      <c r="GWK1" s="87" t="n"/>
      <c r="GWL1" s="87" t="n"/>
      <c r="GWM1" s="87" t="n"/>
      <c r="GWN1" s="87" t="n"/>
      <c r="GWO1" s="87" t="n"/>
      <c r="GWP1" s="87" t="n"/>
      <c r="GWQ1" s="87" t="n"/>
      <c r="GWR1" s="87" t="n"/>
      <c r="GWS1" s="87" t="n"/>
      <c r="GWT1" s="87" t="n"/>
      <c r="GWU1" s="87" t="n"/>
      <c r="GWV1" s="87" t="n"/>
      <c r="GWW1" s="87" t="n"/>
      <c r="GWX1" s="87" t="n"/>
      <c r="GWY1" s="87" t="n"/>
      <c r="GWZ1" s="87" t="n"/>
      <c r="GXA1" s="87" t="n"/>
      <c r="GXB1" s="87" t="n"/>
      <c r="GXC1" s="87" t="n"/>
      <c r="GXD1" s="87" t="n"/>
      <c r="GXE1" s="87" t="n"/>
      <c r="GXF1" s="87" t="n"/>
      <c r="GXG1" s="87" t="n"/>
      <c r="GXH1" s="87" t="n"/>
      <c r="GXI1" s="87" t="n"/>
      <c r="GXJ1" s="87" t="n"/>
      <c r="GXK1" s="87" t="n"/>
      <c r="GXL1" s="87" t="n"/>
      <c r="GXM1" s="87" t="n"/>
      <c r="GXN1" s="87" t="n"/>
      <c r="GXO1" s="87" t="n"/>
      <c r="GXP1" s="87" t="n"/>
      <c r="GXQ1" s="87" t="n"/>
      <c r="GXR1" s="87" t="n"/>
      <c r="GXS1" s="87" t="n"/>
      <c r="GXT1" s="87" t="n"/>
      <c r="GXU1" s="87" t="n"/>
      <c r="GXV1" s="87" t="n"/>
      <c r="GXW1" s="87" t="n"/>
      <c r="GXX1" s="87" t="n"/>
      <c r="GXY1" s="87" t="n"/>
      <c r="GXZ1" s="87" t="n"/>
      <c r="GYA1" s="87" t="n"/>
      <c r="GYB1" s="87" t="n"/>
      <c r="GYC1" s="87" t="n"/>
      <c r="GYD1" s="87" t="n"/>
      <c r="GYE1" s="87" t="n"/>
      <c r="GYF1" s="87" t="n"/>
      <c r="GYG1" s="87" t="n"/>
      <c r="GYH1" s="87" t="n"/>
      <c r="GYI1" s="87" t="n"/>
      <c r="GYJ1" s="87" t="n"/>
      <c r="GYK1" s="87" t="n"/>
      <c r="GYL1" s="87" t="n"/>
      <c r="GYM1" s="87" t="n"/>
      <c r="GYN1" s="87" t="n"/>
      <c r="GYO1" s="87" t="n"/>
      <c r="GYP1" s="87" t="n"/>
      <c r="GYQ1" s="87" t="n"/>
      <c r="GYR1" s="87" t="n"/>
      <c r="GYS1" s="87" t="n"/>
      <c r="GYT1" s="87" t="n"/>
      <c r="GYU1" s="87" t="n"/>
      <c r="GYV1" s="87" t="n"/>
      <c r="GYW1" s="87" t="n"/>
      <c r="GYX1" s="87" t="n"/>
      <c r="GYY1" s="87" t="n"/>
      <c r="GYZ1" s="87" t="n"/>
      <c r="GZA1" s="87" t="n"/>
      <c r="GZB1" s="87" t="n"/>
      <c r="GZC1" s="87" t="n"/>
      <c r="GZD1" s="87" t="n"/>
      <c r="GZE1" s="87" t="n"/>
      <c r="GZF1" s="87" t="n"/>
      <c r="GZG1" s="87" t="n"/>
      <c r="GZH1" s="87" t="n"/>
      <c r="GZI1" s="87" t="n"/>
      <c r="GZJ1" s="87" t="n"/>
      <c r="GZK1" s="87" t="n"/>
      <c r="GZL1" s="87" t="n"/>
      <c r="GZM1" s="87" t="n"/>
      <c r="GZN1" s="87" t="n"/>
      <c r="GZO1" s="87" t="n"/>
      <c r="GZP1" s="87" t="n"/>
      <c r="GZQ1" s="87" t="n"/>
      <c r="GZR1" s="87" t="n"/>
      <c r="GZS1" s="87" t="n"/>
      <c r="GZT1" s="87" t="n"/>
      <c r="GZU1" s="87" t="n"/>
      <c r="GZV1" s="87" t="n"/>
      <c r="GZW1" s="87" t="n"/>
      <c r="GZX1" s="87" t="n"/>
      <c r="GZY1" s="87" t="n"/>
      <c r="GZZ1" s="87" t="n"/>
      <c r="HAA1" s="87" t="n"/>
      <c r="HAB1" s="87" t="n"/>
      <c r="HAC1" s="87" t="n"/>
      <c r="HAD1" s="87" t="n"/>
      <c r="HAE1" s="87" t="n"/>
      <c r="HAF1" s="87" t="n"/>
      <c r="HAG1" s="87" t="n"/>
      <c r="HAH1" s="87" t="n"/>
      <c r="HAI1" s="87" t="n"/>
      <c r="HAJ1" s="87" t="n"/>
      <c r="HAK1" s="87" t="n"/>
      <c r="HAL1" s="87" t="n"/>
      <c r="HAM1" s="87" t="n"/>
      <c r="HAN1" s="87" t="n"/>
      <c r="HAO1" s="87" t="n"/>
      <c r="HAP1" s="87" t="n"/>
      <c r="HAQ1" s="87" t="n"/>
      <c r="HAR1" s="87" t="n"/>
      <c r="HAS1" s="87" t="n"/>
      <c r="HAT1" s="87" t="n"/>
      <c r="HAU1" s="87" t="n"/>
      <c r="HAV1" s="87" t="n"/>
      <c r="HAW1" s="87" t="n"/>
      <c r="HAX1" s="87" t="n"/>
      <c r="HAY1" s="87" t="n"/>
      <c r="HAZ1" s="87" t="n"/>
      <c r="HBA1" s="87" t="n"/>
      <c r="HBB1" s="87" t="n"/>
      <c r="HBC1" s="87" t="n"/>
      <c r="HBD1" s="87" t="n"/>
      <c r="HBE1" s="87" t="n"/>
      <c r="HBF1" s="87" t="n"/>
      <c r="HBG1" s="87" t="n"/>
      <c r="HBH1" s="87" t="n"/>
      <c r="HBI1" s="87" t="n"/>
      <c r="HBJ1" s="87" t="n"/>
      <c r="HBK1" s="87" t="n"/>
      <c r="HBL1" s="87" t="n"/>
      <c r="HBM1" s="87" t="n"/>
      <c r="HBN1" s="87" t="n"/>
      <c r="HBO1" s="87" t="n"/>
      <c r="HBP1" s="87" t="n"/>
      <c r="HBQ1" s="87" t="n"/>
      <c r="HBR1" s="87" t="n"/>
      <c r="HBS1" s="87" t="n"/>
      <c r="HBT1" s="87" t="n"/>
      <c r="HBU1" s="87" t="n"/>
      <c r="HBV1" s="87" t="n"/>
      <c r="HBW1" s="87" t="n"/>
      <c r="HBX1" s="87" t="n"/>
      <c r="HBY1" s="87" t="n"/>
      <c r="HBZ1" s="87" t="n"/>
      <c r="HCA1" s="87" t="n"/>
      <c r="HCB1" s="87" t="n"/>
      <c r="HCC1" s="87" t="n"/>
      <c r="HCD1" s="87" t="n"/>
      <c r="HCE1" s="87" t="n"/>
      <c r="HCF1" s="87" t="n"/>
      <c r="HCG1" s="87" t="n"/>
      <c r="HCH1" s="87" t="n"/>
      <c r="HCI1" s="87" t="n"/>
      <c r="HCJ1" s="87" t="n"/>
      <c r="HCK1" s="87" t="n"/>
      <c r="HCL1" s="87" t="n"/>
      <c r="HCM1" s="87" t="n"/>
      <c r="HCN1" s="87" t="n"/>
      <c r="HCO1" s="87" t="n"/>
      <c r="HCP1" s="87" t="n"/>
      <c r="HCQ1" s="87" t="n"/>
      <c r="HCR1" s="87" t="n"/>
      <c r="HCS1" s="87" t="n"/>
      <c r="HCT1" s="87" t="n"/>
      <c r="HCU1" s="87" t="n"/>
      <c r="HCV1" s="87" t="n"/>
      <c r="HCW1" s="87" t="n"/>
      <c r="HCX1" s="87" t="n"/>
      <c r="HCY1" s="87" t="n"/>
      <c r="HCZ1" s="87" t="n"/>
      <c r="HDA1" s="87" t="n"/>
      <c r="HDB1" s="87" t="n"/>
      <c r="HDC1" s="87" t="n"/>
      <c r="HDD1" s="87" t="n"/>
      <c r="HDE1" s="87" t="n"/>
      <c r="HDF1" s="87" t="n"/>
      <c r="HDG1" s="87" t="n"/>
      <c r="HDH1" s="87" t="n"/>
      <c r="HDI1" s="87" t="n"/>
      <c r="HDJ1" s="87" t="n"/>
      <c r="HDK1" s="87" t="n"/>
      <c r="HDL1" s="87" t="n"/>
      <c r="HDM1" s="87" t="n"/>
      <c r="HDN1" s="87" t="n"/>
      <c r="HDO1" s="87" t="n"/>
      <c r="HDP1" s="87" t="n"/>
      <c r="HDQ1" s="87" t="n"/>
      <c r="HDR1" s="87" t="n"/>
      <c r="HDS1" s="87" t="n"/>
      <c r="HDT1" s="87" t="n"/>
      <c r="HDU1" s="87" t="n"/>
      <c r="HDV1" s="87" t="n"/>
      <c r="HDW1" s="87" t="n"/>
      <c r="HDX1" s="87" t="n"/>
      <c r="HDY1" s="87" t="n"/>
      <c r="HDZ1" s="87" t="n"/>
      <c r="HEA1" s="87" t="n"/>
      <c r="HEB1" s="87" t="n"/>
      <c r="HEC1" s="87" t="n"/>
      <c r="HED1" s="87" t="n"/>
      <c r="HEE1" s="87" t="n"/>
      <c r="HEF1" s="87" t="n"/>
      <c r="HEG1" s="87" t="n"/>
      <c r="HEH1" s="87" t="n"/>
      <c r="HEI1" s="87" t="n"/>
      <c r="HEJ1" s="87" t="n"/>
      <c r="HEK1" s="87" t="n"/>
      <c r="HEL1" s="87" t="n"/>
      <c r="HEM1" s="87" t="n"/>
      <c r="HEN1" s="87" t="n"/>
      <c r="HEO1" s="87" t="n"/>
      <c r="HEP1" s="87" t="n"/>
      <c r="HEQ1" s="87" t="n"/>
      <c r="HER1" s="87" t="n"/>
      <c r="HES1" s="87" t="n"/>
      <c r="HET1" s="87" t="n"/>
      <c r="HEU1" s="87" t="n"/>
      <c r="HEV1" s="87" t="n"/>
      <c r="HEW1" s="87" t="n"/>
      <c r="HEX1" s="87" t="n"/>
      <c r="HEY1" s="87" t="n"/>
      <c r="HEZ1" s="87" t="n"/>
      <c r="HFA1" s="87" t="n"/>
      <c r="HFB1" s="87" t="n"/>
      <c r="HFC1" s="87" t="n"/>
      <c r="HFD1" s="87" t="n"/>
      <c r="HFE1" s="87" t="n"/>
      <c r="HFF1" s="87" t="n"/>
      <c r="HFG1" s="87" t="n"/>
      <c r="HFH1" s="87" t="n"/>
      <c r="HFI1" s="87" t="n"/>
      <c r="HFJ1" s="87" t="n"/>
      <c r="HFK1" s="87" t="n"/>
      <c r="HFL1" s="87" t="n"/>
      <c r="HFM1" s="87" t="n"/>
      <c r="HFN1" s="87" t="n"/>
      <c r="HFO1" s="87" t="n"/>
      <c r="HFP1" s="87" t="n"/>
      <c r="HFQ1" s="87" t="n"/>
      <c r="HFR1" s="87" t="n"/>
      <c r="HFS1" s="87" t="n"/>
      <c r="HFT1" s="87" t="n"/>
      <c r="HFU1" s="87" t="n"/>
      <c r="HFV1" s="87" t="n"/>
      <c r="HFW1" s="87" t="n"/>
      <c r="HFX1" s="87" t="n"/>
      <c r="HFY1" s="87" t="n"/>
      <c r="HFZ1" s="87" t="n"/>
      <c r="HGA1" s="87" t="n"/>
      <c r="HGB1" s="87" t="n"/>
      <c r="HGC1" s="87" t="n"/>
      <c r="HGD1" s="87" t="n"/>
      <c r="HGE1" s="87" t="n"/>
      <c r="HGF1" s="87" t="n"/>
      <c r="HGG1" s="87" t="n"/>
      <c r="HGH1" s="87" t="n"/>
      <c r="HGI1" s="87" t="n"/>
      <c r="HGJ1" s="87" t="n"/>
      <c r="HGK1" s="87" t="n"/>
      <c r="HGL1" s="87" t="n"/>
      <c r="HGM1" s="87" t="n"/>
      <c r="HGN1" s="87" t="n"/>
      <c r="HGO1" s="87" t="n"/>
      <c r="HGP1" s="87" t="n"/>
      <c r="HGQ1" s="87" t="n"/>
      <c r="HGR1" s="87" t="n"/>
      <c r="HGS1" s="87" t="n"/>
      <c r="HGT1" s="87" t="n"/>
      <c r="HGU1" s="87" t="n"/>
      <c r="HGV1" s="87" t="n"/>
      <c r="HGW1" s="87" t="n"/>
      <c r="HGX1" s="87" t="n"/>
      <c r="HGY1" s="87" t="n"/>
      <c r="HGZ1" s="87" t="n"/>
      <c r="HHA1" s="87" t="n"/>
      <c r="HHB1" s="87" t="n"/>
      <c r="HHC1" s="87" t="n"/>
      <c r="HHD1" s="87" t="n"/>
      <c r="HHE1" s="87" t="n"/>
      <c r="HHF1" s="87" t="n"/>
      <c r="HHG1" s="87" t="n"/>
      <c r="HHH1" s="87" t="n"/>
      <c r="HHI1" s="87" t="n"/>
      <c r="HHJ1" s="87" t="n"/>
      <c r="HHK1" s="87" t="n"/>
      <c r="HHL1" s="87" t="n"/>
      <c r="HHM1" s="87" t="n"/>
      <c r="HHN1" s="87" t="n"/>
      <c r="HHO1" s="87" t="n"/>
      <c r="HHP1" s="87" t="n"/>
      <c r="HHQ1" s="87" t="n"/>
      <c r="HHR1" s="87" t="n"/>
      <c r="HHS1" s="87" t="n"/>
      <c r="HHT1" s="87" t="n"/>
      <c r="HHU1" s="87" t="n"/>
      <c r="HHV1" s="87" t="n"/>
      <c r="HHW1" s="87" t="n"/>
      <c r="HHX1" s="87" t="n"/>
      <c r="HHY1" s="87" t="n"/>
      <c r="HHZ1" s="87" t="n"/>
      <c r="HIA1" s="87" t="n"/>
      <c r="HIB1" s="87" t="n"/>
      <c r="HIC1" s="87" t="n"/>
      <c r="HID1" s="87" t="n"/>
      <c r="HIE1" s="87" t="n"/>
      <c r="HIF1" s="87" t="n"/>
      <c r="HIG1" s="87" t="n"/>
      <c r="HIH1" s="87" t="n"/>
      <c r="HII1" s="87" t="n"/>
      <c r="HIJ1" s="87" t="n"/>
      <c r="HIK1" s="87" t="n"/>
      <c r="HIL1" s="87" t="n"/>
      <c r="HIM1" s="87" t="n"/>
      <c r="HIN1" s="87" t="n"/>
      <c r="HIO1" s="87" t="n"/>
      <c r="HIP1" s="87" t="n"/>
      <c r="HIQ1" s="87" t="n"/>
      <c r="HIR1" s="87" t="n"/>
      <c r="HIS1" s="87" t="n"/>
      <c r="HIT1" s="87" t="n"/>
      <c r="HIU1" s="87" t="n"/>
      <c r="HIV1" s="87" t="n"/>
      <c r="HIW1" s="87" t="n"/>
      <c r="HIX1" s="87" t="n"/>
      <c r="HIY1" s="87" t="n"/>
      <c r="HIZ1" s="87" t="n"/>
      <c r="HJA1" s="87" t="n"/>
      <c r="HJB1" s="87" t="n"/>
      <c r="HJC1" s="87" t="n"/>
      <c r="HJD1" s="87" t="n"/>
      <c r="HJE1" s="87" t="n"/>
      <c r="HJF1" s="87" t="n"/>
      <c r="HJG1" s="87" t="n"/>
      <c r="HJH1" s="87" t="n"/>
      <c r="HJI1" s="87" t="n"/>
      <c r="HJJ1" s="87" t="n"/>
      <c r="HJK1" s="87" t="n"/>
      <c r="HJL1" s="87" t="n"/>
      <c r="HJM1" s="87" t="n"/>
      <c r="HJN1" s="87" t="n"/>
      <c r="HJO1" s="87" t="n"/>
      <c r="HJP1" s="87" t="n"/>
      <c r="HJQ1" s="87" t="n"/>
      <c r="HJR1" s="87" t="n"/>
      <c r="HJS1" s="87" t="n"/>
      <c r="HJT1" s="87" t="n"/>
      <c r="HJU1" s="87" t="n"/>
      <c r="HJV1" s="87" t="n"/>
      <c r="HJW1" s="87" t="n"/>
      <c r="HJX1" s="87" t="n"/>
      <c r="HJY1" s="87" t="n"/>
      <c r="HJZ1" s="87" t="n"/>
      <c r="HKA1" s="87" t="n"/>
      <c r="HKB1" s="87" t="n"/>
      <c r="HKC1" s="87" t="n"/>
      <c r="HKD1" s="87" t="n"/>
      <c r="HKE1" s="87" t="n"/>
      <c r="HKF1" s="87" t="n"/>
      <c r="HKG1" s="87" t="n"/>
      <c r="HKH1" s="87" t="n"/>
      <c r="HKI1" s="87" t="n"/>
      <c r="HKJ1" s="87" t="n"/>
      <c r="HKK1" s="87" t="n"/>
      <c r="HKL1" s="87" t="n"/>
      <c r="HKM1" s="87" t="n"/>
      <c r="HKN1" s="87" t="n"/>
      <c r="HKO1" s="87" t="n"/>
      <c r="HKP1" s="87" t="n"/>
      <c r="HKQ1" s="87" t="n"/>
      <c r="HKR1" s="87" t="n"/>
      <c r="HKS1" s="87" t="n"/>
      <c r="HKT1" s="87" t="n"/>
      <c r="HKU1" s="87" t="n"/>
      <c r="HKV1" s="87" t="n"/>
      <c r="HKW1" s="87" t="n"/>
      <c r="HKX1" s="87" t="n"/>
      <c r="HKY1" s="87" t="n"/>
      <c r="HKZ1" s="87" t="n"/>
      <c r="HLA1" s="87" t="n"/>
      <c r="HLB1" s="87" t="n"/>
      <c r="HLC1" s="87" t="n"/>
      <c r="HLD1" s="87" t="n"/>
      <c r="HLE1" s="87" t="n"/>
      <c r="HLF1" s="87" t="n"/>
      <c r="HLG1" s="87" t="n"/>
      <c r="HLH1" s="87" t="n"/>
      <c r="HLI1" s="87" t="n"/>
      <c r="HLJ1" s="87" t="n"/>
      <c r="HLK1" s="87" t="n"/>
      <c r="HLL1" s="87" t="n"/>
      <c r="HLM1" s="87" t="n"/>
      <c r="HLN1" s="87" t="n"/>
      <c r="HLO1" s="87" t="n"/>
      <c r="HLP1" s="87" t="n"/>
      <c r="HLQ1" s="87" t="n"/>
      <c r="HLR1" s="87" t="n"/>
      <c r="HLS1" s="87" t="n"/>
      <c r="HLT1" s="87" t="n"/>
      <c r="HLU1" s="87" t="n"/>
      <c r="HLV1" s="87" t="n"/>
      <c r="HLW1" s="87" t="n"/>
      <c r="HLX1" s="87" t="n"/>
      <c r="HLY1" s="87" t="n"/>
      <c r="HLZ1" s="87" t="n"/>
      <c r="HMA1" s="87" t="n"/>
      <c r="HMB1" s="87" t="n"/>
      <c r="HMC1" s="87" t="n"/>
      <c r="HMD1" s="87" t="n"/>
      <c r="HME1" s="87" t="n"/>
      <c r="HMF1" s="87" t="n"/>
      <c r="HMG1" s="87" t="n"/>
      <c r="HMH1" s="87" t="n"/>
      <c r="HMI1" s="87" t="n"/>
      <c r="HMJ1" s="87" t="n"/>
      <c r="HMK1" s="87" t="n"/>
      <c r="HML1" s="87" t="n"/>
      <c r="HMM1" s="87" t="n"/>
      <c r="HMN1" s="87" t="n"/>
      <c r="HMO1" s="87" t="n"/>
      <c r="HMP1" s="87" t="n"/>
      <c r="HMQ1" s="87" t="n"/>
      <c r="HMR1" s="87" t="n"/>
      <c r="HMS1" s="87" t="n"/>
      <c r="HMT1" s="87" t="n"/>
      <c r="HMU1" s="87" t="n"/>
      <c r="HMV1" s="87" t="n"/>
      <c r="HMW1" s="87" t="n"/>
      <c r="HMX1" s="87" t="n"/>
      <c r="HMY1" s="87" t="n"/>
      <c r="HMZ1" s="87" t="n"/>
      <c r="HNA1" s="87" t="n"/>
      <c r="HNB1" s="87" t="n"/>
      <c r="HNC1" s="87" t="n"/>
      <c r="HND1" s="87" t="n"/>
      <c r="HNE1" s="87" t="n"/>
      <c r="HNF1" s="87" t="n"/>
      <c r="HNG1" s="87" t="n"/>
      <c r="HNH1" s="87" t="n"/>
      <c r="HNI1" s="87" t="n"/>
      <c r="HNJ1" s="87" t="n"/>
      <c r="HNK1" s="87" t="n"/>
      <c r="HNL1" s="87" t="n"/>
      <c r="HNM1" s="87" t="n"/>
      <c r="HNN1" s="87" t="n"/>
      <c r="HNO1" s="87" t="n"/>
      <c r="HNP1" s="87" t="n"/>
      <c r="HNQ1" s="87" t="n"/>
      <c r="HNR1" s="87" t="n"/>
      <c r="HNS1" s="87" t="n"/>
      <c r="HNT1" s="87" t="n"/>
      <c r="HNU1" s="87" t="n"/>
      <c r="HNV1" s="87" t="n"/>
      <c r="HNW1" s="87" t="n"/>
      <c r="HNX1" s="87" t="n"/>
      <c r="HNY1" s="87" t="n"/>
      <c r="HNZ1" s="87" t="n"/>
      <c r="HOA1" s="87" t="n"/>
      <c r="HOB1" s="87" t="n"/>
      <c r="HOC1" s="87" t="n"/>
      <c r="HOD1" s="87" t="n"/>
      <c r="HOE1" s="87" t="n"/>
      <c r="HOF1" s="87" t="n"/>
      <c r="HOG1" s="87" t="n"/>
      <c r="HOH1" s="87" t="n"/>
      <c r="HOI1" s="87" t="n"/>
      <c r="HOJ1" s="87" t="n"/>
      <c r="HOK1" s="87" t="n"/>
      <c r="HOL1" s="87" t="n"/>
      <c r="HOM1" s="87" t="n"/>
      <c r="HON1" s="87" t="n"/>
      <c r="HOO1" s="87" t="n"/>
      <c r="HOP1" s="87" t="n"/>
      <c r="HOQ1" s="87" t="n"/>
      <c r="HOR1" s="87" t="n"/>
      <c r="HOS1" s="87" t="n"/>
      <c r="HOT1" s="87" t="n"/>
      <c r="HOU1" s="87" t="n"/>
      <c r="HOV1" s="87" t="n"/>
      <c r="HOW1" s="87" t="n"/>
      <c r="HOX1" s="87" t="n"/>
      <c r="HOY1" s="87" t="n"/>
      <c r="HOZ1" s="87" t="n"/>
      <c r="HPA1" s="87" t="n"/>
      <c r="HPB1" s="87" t="n"/>
      <c r="HPC1" s="87" t="n"/>
      <c r="HPD1" s="87" t="n"/>
      <c r="HPE1" s="87" t="n"/>
      <c r="HPF1" s="87" t="n"/>
      <c r="HPG1" s="87" t="n"/>
      <c r="HPH1" s="87" t="n"/>
      <c r="HPI1" s="87" t="n"/>
      <c r="HPJ1" s="87" t="n"/>
      <c r="HPK1" s="87" t="n"/>
      <c r="HPL1" s="87" t="n"/>
      <c r="HPM1" s="87" t="n"/>
      <c r="HPN1" s="87" t="n"/>
      <c r="HPO1" s="87" t="n"/>
      <c r="HPP1" s="87" t="n"/>
      <c r="HPQ1" s="87" t="n"/>
      <c r="HPR1" s="87" t="n"/>
      <c r="HPS1" s="87" t="n"/>
      <c r="HPT1" s="87" t="n"/>
      <c r="HPU1" s="87" t="n"/>
      <c r="HPV1" s="87" t="n"/>
      <c r="HPW1" s="87" t="n"/>
      <c r="HPX1" s="87" t="n"/>
      <c r="HPY1" s="87" t="n"/>
      <c r="HPZ1" s="87" t="n"/>
      <c r="HQA1" s="87" t="n"/>
      <c r="HQB1" s="87" t="n"/>
      <c r="HQC1" s="87" t="n"/>
      <c r="HQD1" s="87" t="n"/>
      <c r="HQE1" s="87" t="n"/>
      <c r="HQF1" s="87" t="n"/>
      <c r="HQG1" s="87" t="n"/>
      <c r="HQH1" s="87" t="n"/>
      <c r="HQI1" s="87" t="n"/>
      <c r="HQJ1" s="87" t="n"/>
      <c r="HQK1" s="87" t="n"/>
      <c r="HQL1" s="87" t="n"/>
      <c r="HQM1" s="87" t="n"/>
      <c r="HQN1" s="87" t="n"/>
      <c r="HQO1" s="87" t="n"/>
      <c r="HQP1" s="87" t="n"/>
      <c r="HQQ1" s="87" t="n"/>
      <c r="HQR1" s="87" t="n"/>
      <c r="HQS1" s="87" t="n"/>
      <c r="HQT1" s="87" t="n"/>
      <c r="HQU1" s="87" t="n"/>
      <c r="HQV1" s="87" t="n"/>
      <c r="HQW1" s="87" t="n"/>
      <c r="HQX1" s="87" t="n"/>
      <c r="HQY1" s="87" t="n"/>
      <c r="HQZ1" s="87" t="n"/>
      <c r="HRA1" s="87" t="n"/>
      <c r="HRB1" s="87" t="n"/>
      <c r="HRC1" s="87" t="n"/>
      <c r="HRD1" s="87" t="n"/>
      <c r="HRE1" s="87" t="n"/>
      <c r="HRF1" s="87" t="n"/>
      <c r="HRG1" s="87" t="n"/>
      <c r="HRH1" s="87" t="n"/>
      <c r="HRI1" s="87" t="n"/>
      <c r="HRJ1" s="87" t="n"/>
      <c r="HRK1" s="87" t="n"/>
      <c r="HRL1" s="87" t="n"/>
      <c r="HRM1" s="87" t="n"/>
      <c r="HRN1" s="87" t="n"/>
      <c r="HRO1" s="87" t="n"/>
      <c r="HRP1" s="87" t="n"/>
      <c r="HRQ1" s="87" t="n"/>
      <c r="HRR1" s="87" t="n"/>
      <c r="HRS1" s="87" t="n"/>
      <c r="HRT1" s="87" t="n"/>
      <c r="HRU1" s="87" t="n"/>
      <c r="HRV1" s="87" t="n"/>
      <c r="HRW1" s="87" t="n"/>
      <c r="HRX1" s="87" t="n"/>
      <c r="HRY1" s="87" t="n"/>
      <c r="HRZ1" s="87" t="n"/>
      <c r="HSA1" s="87" t="n"/>
      <c r="HSB1" s="87" t="n"/>
      <c r="HSC1" s="87" t="n"/>
      <c r="HSD1" s="87" t="n"/>
      <c r="HSE1" s="87" t="n"/>
      <c r="HSF1" s="87" t="n"/>
      <c r="HSG1" s="87" t="n"/>
      <c r="HSH1" s="87" t="n"/>
      <c r="HSI1" s="87" t="n"/>
      <c r="HSJ1" s="87" t="n"/>
      <c r="HSK1" s="87" t="n"/>
      <c r="HSL1" s="87" t="n"/>
      <c r="HSM1" s="87" t="n"/>
      <c r="HSN1" s="87" t="n"/>
      <c r="HSO1" s="87" t="n"/>
      <c r="HSP1" s="87" t="n"/>
      <c r="HSQ1" s="87" t="n"/>
      <c r="HSR1" s="87" t="n"/>
      <c r="HSS1" s="87" t="n"/>
      <c r="HST1" s="87" t="n"/>
      <c r="HSU1" s="87" t="n"/>
      <c r="HSV1" s="87" t="n"/>
      <c r="HSW1" s="87" t="n"/>
      <c r="HSX1" s="87" t="n"/>
      <c r="HSY1" s="87" t="n"/>
      <c r="HSZ1" s="87" t="n"/>
      <c r="HTA1" s="87" t="n"/>
      <c r="HTB1" s="87" t="n"/>
      <c r="HTC1" s="87" t="n"/>
      <c r="HTD1" s="87" t="n"/>
      <c r="HTE1" s="87" t="n"/>
      <c r="HTF1" s="87" t="n"/>
      <c r="HTG1" s="87" t="n"/>
      <c r="HTH1" s="87" t="n"/>
      <c r="HTI1" s="87" t="n"/>
      <c r="HTJ1" s="87" t="n"/>
      <c r="HTK1" s="87" t="n"/>
      <c r="HTL1" s="87" t="n"/>
      <c r="HTM1" s="87" t="n"/>
      <c r="HTN1" s="87" t="n"/>
      <c r="HTO1" s="87" t="n"/>
      <c r="HTP1" s="87" t="n"/>
      <c r="HTQ1" s="87" t="n"/>
      <c r="HTR1" s="87" t="n"/>
      <c r="HTS1" s="87" t="n"/>
      <c r="HTT1" s="87" t="n"/>
      <c r="HTU1" s="87" t="n"/>
      <c r="HTV1" s="87" t="n"/>
      <c r="HTW1" s="87" t="n"/>
      <c r="HTX1" s="87" t="n"/>
      <c r="HTY1" s="87" t="n"/>
      <c r="HTZ1" s="87" t="n"/>
      <c r="HUA1" s="87" t="n"/>
      <c r="HUB1" s="87" t="n"/>
      <c r="HUC1" s="87" t="n"/>
      <c r="HUD1" s="87" t="n"/>
      <c r="HUE1" s="87" t="n"/>
      <c r="HUF1" s="87" t="n"/>
      <c r="HUG1" s="87" t="n"/>
      <c r="HUH1" s="87" t="n"/>
      <c r="HUI1" s="87" t="n"/>
      <c r="HUJ1" s="87" t="n"/>
      <c r="HUK1" s="87" t="n"/>
      <c r="HUL1" s="87" t="n"/>
      <c r="HUM1" s="87" t="n"/>
      <c r="HUN1" s="87" t="n"/>
      <c r="HUO1" s="87" t="n"/>
      <c r="HUP1" s="87" t="n"/>
      <c r="HUQ1" s="87" t="n"/>
      <c r="HUR1" s="87" t="n"/>
      <c r="HUS1" s="87" t="n"/>
      <c r="HUT1" s="87" t="n"/>
      <c r="HUU1" s="87" t="n"/>
      <c r="HUV1" s="87" t="n"/>
      <c r="HUW1" s="87" t="n"/>
      <c r="HUX1" s="87" t="n"/>
      <c r="HUY1" s="87" t="n"/>
      <c r="HUZ1" s="87" t="n"/>
      <c r="HVA1" s="87" t="n"/>
      <c r="HVB1" s="87" t="n"/>
      <c r="HVC1" s="87" t="n"/>
      <c r="HVD1" s="87" t="n"/>
      <c r="HVE1" s="87" t="n"/>
      <c r="HVF1" s="87" t="n"/>
      <c r="HVG1" s="87" t="n"/>
      <c r="HVH1" s="87" t="n"/>
      <c r="HVI1" s="87" t="n"/>
      <c r="HVJ1" s="87" t="n"/>
      <c r="HVK1" s="87" t="n"/>
      <c r="HVL1" s="87" t="n"/>
      <c r="HVM1" s="87" t="n"/>
      <c r="HVN1" s="87" t="n"/>
      <c r="HVO1" s="87" t="n"/>
      <c r="HVP1" s="87" t="n"/>
      <c r="HVQ1" s="87" t="n"/>
      <c r="HVR1" s="87" t="n"/>
      <c r="HVS1" s="87" t="n"/>
      <c r="HVT1" s="87" t="n"/>
      <c r="HVU1" s="87" t="n"/>
      <c r="HVV1" s="87" t="n"/>
      <c r="HVW1" s="87" t="n"/>
      <c r="HVX1" s="87" t="n"/>
      <c r="HVY1" s="87" t="n"/>
      <c r="HVZ1" s="87" t="n"/>
      <c r="HWA1" s="87" t="n"/>
      <c r="HWB1" s="87" t="n"/>
      <c r="HWC1" s="87" t="n"/>
      <c r="HWD1" s="87" t="n"/>
      <c r="HWE1" s="87" t="n"/>
      <c r="HWF1" s="87" t="n"/>
      <c r="HWG1" s="87" t="n"/>
      <c r="HWH1" s="87" t="n"/>
      <c r="HWI1" s="87" t="n"/>
      <c r="HWJ1" s="87" t="n"/>
      <c r="HWK1" s="87" t="n"/>
      <c r="HWL1" s="87" t="n"/>
      <c r="HWM1" s="87" t="n"/>
      <c r="HWN1" s="87" t="n"/>
      <c r="HWO1" s="87" t="n"/>
      <c r="HWP1" s="87" t="n"/>
      <c r="HWQ1" s="87" t="n"/>
      <c r="HWR1" s="87" t="n"/>
      <c r="HWS1" s="87" t="n"/>
      <c r="HWT1" s="87" t="n"/>
      <c r="HWU1" s="87" t="n"/>
      <c r="HWV1" s="87" t="n"/>
      <c r="HWW1" s="87" t="n"/>
      <c r="HWX1" s="87" t="n"/>
      <c r="HWY1" s="87" t="n"/>
      <c r="HWZ1" s="87" t="n"/>
      <c r="HXA1" s="87" t="n"/>
      <c r="HXB1" s="87" t="n"/>
      <c r="HXC1" s="87" t="n"/>
      <c r="HXD1" s="87" t="n"/>
      <c r="HXE1" s="87" t="n"/>
      <c r="HXF1" s="87" t="n"/>
      <c r="HXG1" s="87" t="n"/>
      <c r="HXH1" s="87" t="n"/>
      <c r="HXI1" s="87" t="n"/>
      <c r="HXJ1" s="87" t="n"/>
      <c r="HXK1" s="87" t="n"/>
      <c r="HXL1" s="87" t="n"/>
      <c r="HXM1" s="87" t="n"/>
      <c r="HXN1" s="87" t="n"/>
      <c r="HXO1" s="87" t="n"/>
      <c r="HXP1" s="87" t="n"/>
      <c r="HXQ1" s="87" t="n"/>
      <c r="HXR1" s="87" t="n"/>
      <c r="HXS1" s="87" t="n"/>
      <c r="HXT1" s="87" t="n"/>
      <c r="HXU1" s="87" t="n"/>
      <c r="HXV1" s="87" t="n"/>
      <c r="HXW1" s="87" t="n"/>
      <c r="HXX1" s="87" t="n"/>
      <c r="HXY1" s="87" t="n"/>
      <c r="HXZ1" s="87" t="n"/>
      <c r="HYA1" s="87" t="n"/>
      <c r="HYB1" s="87" t="n"/>
      <c r="HYC1" s="87" t="n"/>
      <c r="HYD1" s="87" t="n"/>
      <c r="HYE1" s="87" t="n"/>
      <c r="HYF1" s="87" t="n"/>
      <c r="HYG1" s="87" t="n"/>
      <c r="HYH1" s="87" t="n"/>
      <c r="HYI1" s="87" t="n"/>
      <c r="HYJ1" s="87" t="n"/>
      <c r="HYK1" s="87" t="n"/>
      <c r="HYL1" s="87" t="n"/>
      <c r="HYM1" s="87" t="n"/>
      <c r="HYN1" s="87" t="n"/>
      <c r="HYO1" s="87" t="n"/>
      <c r="HYP1" s="87" t="n"/>
      <c r="HYQ1" s="87" t="n"/>
      <c r="HYR1" s="87" t="n"/>
      <c r="HYS1" s="87" t="n"/>
      <c r="HYT1" s="87" t="n"/>
      <c r="HYU1" s="87" t="n"/>
      <c r="HYV1" s="87" t="n"/>
      <c r="HYW1" s="87" t="n"/>
      <c r="HYX1" s="87" t="n"/>
      <c r="HYY1" s="87" t="n"/>
      <c r="HYZ1" s="87" t="n"/>
      <c r="HZA1" s="87" t="n"/>
      <c r="HZB1" s="87" t="n"/>
      <c r="HZC1" s="87" t="n"/>
      <c r="HZD1" s="87" t="n"/>
      <c r="HZE1" s="87" t="n"/>
      <c r="HZF1" s="87" t="n"/>
      <c r="HZG1" s="87" t="n"/>
      <c r="HZH1" s="87" t="n"/>
      <c r="HZI1" s="87" t="n"/>
      <c r="HZJ1" s="87" t="n"/>
      <c r="HZK1" s="87" t="n"/>
      <c r="HZL1" s="87" t="n"/>
      <c r="HZM1" s="87" t="n"/>
      <c r="HZN1" s="87" t="n"/>
      <c r="HZO1" s="87" t="n"/>
      <c r="HZP1" s="87" t="n"/>
      <c r="HZQ1" s="87" t="n"/>
      <c r="HZR1" s="87" t="n"/>
      <c r="HZS1" s="87" t="n"/>
      <c r="HZT1" s="87" t="n"/>
      <c r="HZU1" s="87" t="n"/>
      <c r="HZV1" s="87" t="n"/>
      <c r="HZW1" s="87" t="n"/>
      <c r="HZX1" s="87" t="n"/>
      <c r="HZY1" s="87" t="n"/>
      <c r="HZZ1" s="87" t="n"/>
      <c r="IAA1" s="87" t="n"/>
      <c r="IAB1" s="87" t="n"/>
      <c r="IAC1" s="87" t="n"/>
      <c r="IAD1" s="87" t="n"/>
      <c r="IAE1" s="87" t="n"/>
      <c r="IAF1" s="87" t="n"/>
      <c r="IAG1" s="87" t="n"/>
      <c r="IAH1" s="87" t="n"/>
      <c r="IAI1" s="87" t="n"/>
      <c r="IAJ1" s="87" t="n"/>
      <c r="IAK1" s="87" t="n"/>
      <c r="IAL1" s="87" t="n"/>
      <c r="IAM1" s="87" t="n"/>
      <c r="IAN1" s="87" t="n"/>
      <c r="IAO1" s="87" t="n"/>
      <c r="IAP1" s="87" t="n"/>
      <c r="IAQ1" s="87" t="n"/>
      <c r="IAR1" s="87" t="n"/>
      <c r="IAS1" s="87" t="n"/>
      <c r="IAT1" s="87" t="n"/>
      <c r="IAU1" s="87" t="n"/>
      <c r="IAV1" s="87" t="n"/>
      <c r="IAW1" s="87" t="n"/>
      <c r="IAX1" s="87" t="n"/>
      <c r="IAY1" s="87" t="n"/>
      <c r="IAZ1" s="87" t="n"/>
      <c r="IBA1" s="87" t="n"/>
      <c r="IBB1" s="87" t="n"/>
      <c r="IBC1" s="87" t="n"/>
      <c r="IBD1" s="87" t="n"/>
      <c r="IBE1" s="87" t="n"/>
      <c r="IBF1" s="87" t="n"/>
      <c r="IBG1" s="87" t="n"/>
      <c r="IBH1" s="87" t="n"/>
      <c r="IBI1" s="87" t="n"/>
      <c r="IBJ1" s="87" t="n"/>
      <c r="IBK1" s="87" t="n"/>
      <c r="IBL1" s="87" t="n"/>
      <c r="IBM1" s="87" t="n"/>
      <c r="IBN1" s="87" t="n"/>
      <c r="IBO1" s="87" t="n"/>
      <c r="IBP1" s="87" t="n"/>
      <c r="IBQ1" s="87" t="n"/>
      <c r="IBR1" s="87" t="n"/>
      <c r="IBS1" s="87" t="n"/>
      <c r="IBT1" s="87" t="n"/>
      <c r="IBU1" s="87" t="n"/>
      <c r="IBV1" s="87" t="n"/>
      <c r="IBW1" s="87" t="n"/>
      <c r="IBX1" s="87" t="n"/>
      <c r="IBY1" s="87" t="n"/>
      <c r="IBZ1" s="87" t="n"/>
      <c r="ICA1" s="87" t="n"/>
      <c r="ICB1" s="87" t="n"/>
      <c r="ICC1" s="87" t="n"/>
      <c r="ICD1" s="87" t="n"/>
      <c r="ICE1" s="87" t="n"/>
      <c r="ICF1" s="87" t="n"/>
      <c r="ICG1" s="87" t="n"/>
      <c r="ICH1" s="87" t="n"/>
      <c r="ICI1" s="87" t="n"/>
      <c r="ICJ1" s="87" t="n"/>
      <c r="ICK1" s="87" t="n"/>
      <c r="ICL1" s="87" t="n"/>
      <c r="ICM1" s="87" t="n"/>
      <c r="ICN1" s="87" t="n"/>
      <c r="ICO1" s="87" t="n"/>
      <c r="ICP1" s="87" t="n"/>
      <c r="ICQ1" s="87" t="n"/>
      <c r="ICR1" s="87" t="n"/>
      <c r="ICS1" s="87" t="n"/>
      <c r="ICT1" s="87" t="n"/>
      <c r="ICU1" s="87" t="n"/>
      <c r="ICV1" s="87" t="n"/>
      <c r="ICW1" s="87" t="n"/>
      <c r="ICX1" s="87" t="n"/>
      <c r="ICY1" s="87" t="n"/>
      <c r="ICZ1" s="87" t="n"/>
      <c r="IDA1" s="87" t="n"/>
      <c r="IDB1" s="87" t="n"/>
      <c r="IDC1" s="87" t="n"/>
      <c r="IDD1" s="87" t="n"/>
      <c r="IDE1" s="87" t="n"/>
      <c r="IDF1" s="87" t="n"/>
      <c r="IDG1" s="87" t="n"/>
      <c r="IDH1" s="87" t="n"/>
      <c r="IDI1" s="87" t="n"/>
      <c r="IDJ1" s="87" t="n"/>
      <c r="IDK1" s="87" t="n"/>
      <c r="IDL1" s="87" t="n"/>
      <c r="IDM1" s="87" t="n"/>
      <c r="IDN1" s="87" t="n"/>
      <c r="IDO1" s="87" t="n"/>
      <c r="IDP1" s="87" t="n"/>
      <c r="IDQ1" s="87" t="n"/>
      <c r="IDR1" s="87" t="n"/>
      <c r="IDS1" s="87" t="n"/>
      <c r="IDT1" s="87" t="n"/>
      <c r="IDU1" s="87" t="n"/>
      <c r="IDV1" s="87" t="n"/>
      <c r="IDW1" s="87" t="n"/>
      <c r="IDX1" s="87" t="n"/>
      <c r="IDY1" s="87" t="n"/>
      <c r="IDZ1" s="87" t="n"/>
      <c r="IEA1" s="87" t="n"/>
      <c r="IEB1" s="87" t="n"/>
      <c r="IEC1" s="87" t="n"/>
      <c r="IED1" s="87" t="n"/>
      <c r="IEE1" s="87" t="n"/>
      <c r="IEF1" s="87" t="n"/>
      <c r="IEG1" s="87" t="n"/>
      <c r="IEH1" s="87" t="n"/>
      <c r="IEI1" s="87" t="n"/>
      <c r="IEJ1" s="87" t="n"/>
      <c r="IEK1" s="87" t="n"/>
      <c r="IEL1" s="87" t="n"/>
      <c r="IEM1" s="87" t="n"/>
      <c r="IEN1" s="87" t="n"/>
      <c r="IEO1" s="87" t="n"/>
      <c r="IEP1" s="87" t="n"/>
      <c r="IEQ1" s="87" t="n"/>
      <c r="IER1" s="87" t="n"/>
      <c r="IES1" s="87" t="n"/>
      <c r="IET1" s="87" t="n"/>
      <c r="IEU1" s="87" t="n"/>
      <c r="IEV1" s="87" t="n"/>
      <c r="IEW1" s="87" t="n"/>
      <c r="IEX1" s="87" t="n"/>
      <c r="IEY1" s="87" t="n"/>
      <c r="IEZ1" s="87" t="n"/>
      <c r="IFA1" s="87" t="n"/>
      <c r="IFB1" s="87" t="n"/>
      <c r="IFC1" s="87" t="n"/>
      <c r="IFD1" s="87" t="n"/>
      <c r="IFE1" s="87" t="n"/>
      <c r="IFF1" s="87" t="n"/>
      <c r="IFG1" s="87" t="n"/>
      <c r="IFH1" s="87" t="n"/>
      <c r="IFI1" s="87" t="n"/>
      <c r="IFJ1" s="87" t="n"/>
      <c r="IFK1" s="87" t="n"/>
      <c r="IFL1" s="87" t="n"/>
      <c r="IFM1" s="87" t="n"/>
      <c r="IFN1" s="87" t="n"/>
      <c r="IFO1" s="87" t="n"/>
      <c r="IFP1" s="87" t="n"/>
      <c r="IFQ1" s="87" t="n"/>
      <c r="IFR1" s="87" t="n"/>
      <c r="IFS1" s="87" t="n"/>
      <c r="IFT1" s="87" t="n"/>
      <c r="IFU1" s="87" t="n"/>
      <c r="IFV1" s="87" t="n"/>
      <c r="IFW1" s="87" t="n"/>
      <c r="IFX1" s="87" t="n"/>
      <c r="IFY1" s="87" t="n"/>
      <c r="IFZ1" s="87" t="n"/>
      <c r="IGA1" s="87" t="n"/>
      <c r="IGB1" s="87" t="n"/>
      <c r="IGC1" s="87" t="n"/>
      <c r="IGD1" s="87" t="n"/>
      <c r="IGE1" s="87" t="n"/>
      <c r="IGF1" s="87" t="n"/>
      <c r="IGG1" s="87" t="n"/>
      <c r="IGH1" s="87" t="n"/>
      <c r="IGI1" s="87" t="n"/>
      <c r="IGJ1" s="87" t="n"/>
      <c r="IGK1" s="87" t="n"/>
      <c r="IGL1" s="87" t="n"/>
      <c r="IGM1" s="87" t="n"/>
      <c r="IGN1" s="87" t="n"/>
      <c r="IGO1" s="87" t="n"/>
      <c r="IGP1" s="87" t="n"/>
      <c r="IGQ1" s="87" t="n"/>
      <c r="IGR1" s="87" t="n"/>
      <c r="IGS1" s="87" t="n"/>
      <c r="IGT1" s="87" t="n"/>
      <c r="IGU1" s="87" t="n"/>
      <c r="IGV1" s="87" t="n"/>
      <c r="IGW1" s="87" t="n"/>
      <c r="IGX1" s="87" t="n"/>
      <c r="IGY1" s="87" t="n"/>
      <c r="IGZ1" s="87" t="n"/>
      <c r="IHA1" s="87" t="n"/>
      <c r="IHB1" s="87" t="n"/>
      <c r="IHC1" s="87" t="n"/>
      <c r="IHD1" s="87" t="n"/>
      <c r="IHE1" s="87" t="n"/>
      <c r="IHF1" s="87" t="n"/>
      <c r="IHG1" s="87" t="n"/>
      <c r="IHH1" s="87" t="n"/>
      <c r="IHI1" s="87" t="n"/>
      <c r="IHJ1" s="87" t="n"/>
      <c r="IHK1" s="87" t="n"/>
      <c r="IHL1" s="87" t="n"/>
      <c r="IHM1" s="87" t="n"/>
      <c r="IHN1" s="87" t="n"/>
      <c r="IHO1" s="87" t="n"/>
      <c r="IHP1" s="87" t="n"/>
      <c r="IHQ1" s="87" t="n"/>
      <c r="IHR1" s="87" t="n"/>
      <c r="IHS1" s="87" t="n"/>
      <c r="IHT1" s="87" t="n"/>
      <c r="IHU1" s="87" t="n"/>
      <c r="IHV1" s="87" t="n"/>
      <c r="IHW1" s="87" t="n"/>
      <c r="IHX1" s="87" t="n"/>
      <c r="IHY1" s="87" t="n"/>
      <c r="IHZ1" s="87" t="n"/>
      <c r="IIA1" s="87" t="n"/>
      <c r="IIB1" s="87" t="n"/>
      <c r="IIC1" s="87" t="n"/>
      <c r="IID1" s="87" t="n"/>
      <c r="IIE1" s="87" t="n"/>
      <c r="IIF1" s="87" t="n"/>
      <c r="IIG1" s="87" t="n"/>
      <c r="IIH1" s="87" t="n"/>
      <c r="III1" s="87" t="n"/>
      <c r="IIJ1" s="87" t="n"/>
      <c r="IIK1" s="87" t="n"/>
      <c r="IIL1" s="87" t="n"/>
      <c r="IIM1" s="87" t="n"/>
      <c r="IIN1" s="87" t="n"/>
      <c r="IIO1" s="87" t="n"/>
      <c r="IIP1" s="87" t="n"/>
      <c r="IIQ1" s="87" t="n"/>
      <c r="IIR1" s="87" t="n"/>
      <c r="IIS1" s="87" t="n"/>
      <c r="IIT1" s="87" t="n"/>
      <c r="IIU1" s="87" t="n"/>
      <c r="IIV1" s="87" t="n"/>
      <c r="IIW1" s="87" t="n"/>
      <c r="IIX1" s="87" t="n"/>
      <c r="IIY1" s="87" t="n"/>
      <c r="IIZ1" s="87" t="n"/>
      <c r="IJA1" s="87" t="n"/>
      <c r="IJB1" s="87" t="n"/>
      <c r="IJC1" s="87" t="n"/>
      <c r="IJD1" s="87" t="n"/>
      <c r="IJE1" s="87" t="n"/>
      <c r="IJF1" s="87" t="n"/>
      <c r="IJG1" s="87" t="n"/>
      <c r="IJH1" s="87" t="n"/>
      <c r="IJI1" s="87" t="n"/>
      <c r="IJJ1" s="87" t="n"/>
      <c r="IJK1" s="87" t="n"/>
      <c r="IJL1" s="87" t="n"/>
      <c r="IJM1" s="87" t="n"/>
      <c r="IJN1" s="87" t="n"/>
      <c r="IJO1" s="87" t="n"/>
      <c r="IJP1" s="87" t="n"/>
      <c r="IJQ1" s="87" t="n"/>
      <c r="IJR1" s="87" t="n"/>
      <c r="IJS1" s="87" t="n"/>
      <c r="IJT1" s="87" t="n"/>
      <c r="IJU1" s="87" t="n"/>
      <c r="IJV1" s="87" t="n"/>
      <c r="IJW1" s="87" t="n"/>
      <c r="IJX1" s="87" t="n"/>
      <c r="IJY1" s="87" t="n"/>
      <c r="IJZ1" s="87" t="n"/>
      <c r="IKA1" s="87" t="n"/>
      <c r="IKB1" s="87" t="n"/>
      <c r="IKC1" s="87" t="n"/>
      <c r="IKD1" s="87" t="n"/>
      <c r="IKE1" s="87" t="n"/>
      <c r="IKF1" s="87" t="n"/>
      <c r="IKG1" s="87" t="n"/>
      <c r="IKH1" s="87" t="n"/>
      <c r="IKI1" s="87" t="n"/>
      <c r="IKJ1" s="87" t="n"/>
      <c r="IKK1" s="87" t="n"/>
      <c r="IKL1" s="87" t="n"/>
      <c r="IKM1" s="87" t="n"/>
      <c r="IKN1" s="87" t="n"/>
      <c r="IKO1" s="87" t="n"/>
      <c r="IKP1" s="87" t="n"/>
      <c r="IKQ1" s="87" t="n"/>
      <c r="IKR1" s="87" t="n"/>
      <c r="IKS1" s="87" t="n"/>
      <c r="IKT1" s="87" t="n"/>
      <c r="IKU1" s="87" t="n"/>
      <c r="IKV1" s="87" t="n"/>
      <c r="IKW1" s="87" t="n"/>
      <c r="IKX1" s="87" t="n"/>
      <c r="IKY1" s="87" t="n"/>
      <c r="IKZ1" s="87" t="n"/>
      <c r="ILA1" s="87" t="n"/>
      <c r="ILB1" s="87" t="n"/>
      <c r="ILC1" s="87" t="n"/>
      <c r="ILD1" s="87" t="n"/>
      <c r="ILE1" s="87" t="n"/>
      <c r="ILF1" s="87" t="n"/>
      <c r="ILG1" s="87" t="n"/>
      <c r="ILH1" s="87" t="n"/>
      <c r="ILI1" s="87" t="n"/>
      <c r="ILJ1" s="87" t="n"/>
      <c r="ILK1" s="87" t="n"/>
      <c r="ILL1" s="87" t="n"/>
      <c r="ILM1" s="87" t="n"/>
      <c r="ILN1" s="87" t="n"/>
      <c r="ILO1" s="87" t="n"/>
      <c r="ILP1" s="87" t="n"/>
      <c r="ILQ1" s="87" t="n"/>
      <c r="ILR1" s="87" t="n"/>
      <c r="ILS1" s="87" t="n"/>
      <c r="ILT1" s="87" t="n"/>
      <c r="ILU1" s="87" t="n"/>
      <c r="ILV1" s="87" t="n"/>
      <c r="ILW1" s="87" t="n"/>
      <c r="ILX1" s="87" t="n"/>
      <c r="ILY1" s="87" t="n"/>
      <c r="ILZ1" s="87" t="n"/>
      <c r="IMA1" s="87" t="n"/>
      <c r="IMB1" s="87" t="n"/>
      <c r="IMC1" s="87" t="n"/>
      <c r="IMD1" s="87" t="n"/>
      <c r="IME1" s="87" t="n"/>
      <c r="IMF1" s="87" t="n"/>
      <c r="IMG1" s="87" t="n"/>
      <c r="IMH1" s="87" t="n"/>
      <c r="IMI1" s="87" t="n"/>
      <c r="IMJ1" s="87" t="n"/>
      <c r="IMK1" s="87" t="n"/>
      <c r="IML1" s="87" t="n"/>
      <c r="IMM1" s="87" t="n"/>
      <c r="IMN1" s="87" t="n"/>
      <c r="IMO1" s="87" t="n"/>
      <c r="IMP1" s="87" t="n"/>
      <c r="IMQ1" s="87" t="n"/>
      <c r="IMR1" s="87" t="n"/>
      <c r="IMS1" s="87" t="n"/>
      <c r="IMT1" s="87" t="n"/>
      <c r="IMU1" s="87" t="n"/>
      <c r="IMV1" s="87" t="n"/>
      <c r="IMW1" s="87" t="n"/>
      <c r="IMX1" s="87" t="n"/>
      <c r="IMY1" s="87" t="n"/>
      <c r="IMZ1" s="87" t="n"/>
      <c r="INA1" s="87" t="n"/>
      <c r="INB1" s="87" t="n"/>
      <c r="INC1" s="87" t="n"/>
      <c r="IND1" s="87" t="n"/>
      <c r="INE1" s="87" t="n"/>
      <c r="INF1" s="87" t="n"/>
      <c r="ING1" s="87" t="n"/>
      <c r="INH1" s="87" t="n"/>
      <c r="INI1" s="87" t="n"/>
      <c r="INJ1" s="87" t="n"/>
      <c r="INK1" s="87" t="n"/>
      <c r="INL1" s="87" t="n"/>
      <c r="INM1" s="87" t="n"/>
      <c r="INN1" s="87" t="n"/>
      <c r="INO1" s="87" t="n"/>
      <c r="INP1" s="87" t="n"/>
      <c r="INQ1" s="87" t="n"/>
      <c r="INR1" s="87" t="n"/>
      <c r="INS1" s="87" t="n"/>
      <c r="INT1" s="87" t="n"/>
      <c r="INU1" s="87" t="n"/>
      <c r="INV1" s="87" t="n"/>
      <c r="INW1" s="87" t="n"/>
      <c r="INX1" s="87" t="n"/>
      <c r="INY1" s="87" t="n"/>
      <c r="INZ1" s="87" t="n"/>
      <c r="IOA1" s="87" t="n"/>
      <c r="IOB1" s="87" t="n"/>
      <c r="IOC1" s="87" t="n"/>
      <c r="IOD1" s="87" t="n"/>
      <c r="IOE1" s="87" t="n"/>
      <c r="IOF1" s="87" t="n"/>
      <c r="IOG1" s="87" t="n"/>
      <c r="IOH1" s="87" t="n"/>
      <c r="IOI1" s="87" t="n"/>
      <c r="IOJ1" s="87" t="n"/>
      <c r="IOK1" s="87" t="n"/>
      <c r="IOL1" s="87" t="n"/>
      <c r="IOM1" s="87" t="n"/>
      <c r="ION1" s="87" t="n"/>
      <c r="IOO1" s="87" t="n"/>
      <c r="IOP1" s="87" t="n"/>
      <c r="IOQ1" s="87" t="n"/>
      <c r="IOR1" s="87" t="n"/>
      <c r="IOS1" s="87" t="n"/>
      <c r="IOT1" s="87" t="n"/>
      <c r="IOU1" s="87" t="n"/>
      <c r="IOV1" s="87" t="n"/>
      <c r="IOW1" s="87" t="n"/>
      <c r="IOX1" s="87" t="n"/>
      <c r="IOY1" s="87" t="n"/>
      <c r="IOZ1" s="87" t="n"/>
      <c r="IPA1" s="87" t="n"/>
      <c r="IPB1" s="87" t="n"/>
      <c r="IPC1" s="87" t="n"/>
      <c r="IPD1" s="87" t="n"/>
      <c r="IPE1" s="87" t="n"/>
      <c r="IPF1" s="87" t="n"/>
      <c r="IPG1" s="87" t="n"/>
      <c r="IPH1" s="87" t="n"/>
      <c r="IPI1" s="87" t="n"/>
      <c r="IPJ1" s="87" t="n"/>
      <c r="IPK1" s="87" t="n"/>
      <c r="IPL1" s="87" t="n"/>
      <c r="IPM1" s="87" t="n"/>
      <c r="IPN1" s="87" t="n"/>
      <c r="IPO1" s="87" t="n"/>
      <c r="IPP1" s="87" t="n"/>
      <c r="IPQ1" s="87" t="n"/>
      <c r="IPR1" s="87" t="n"/>
      <c r="IPS1" s="87" t="n"/>
      <c r="IPT1" s="87" t="n"/>
      <c r="IPU1" s="87" t="n"/>
      <c r="IPV1" s="87" t="n"/>
      <c r="IPW1" s="87" t="n"/>
      <c r="IPX1" s="87" t="n"/>
      <c r="IPY1" s="87" t="n"/>
      <c r="IPZ1" s="87" t="n"/>
      <c r="IQA1" s="87" t="n"/>
      <c r="IQB1" s="87" t="n"/>
      <c r="IQC1" s="87" t="n"/>
      <c r="IQD1" s="87" t="n"/>
      <c r="IQE1" s="87" t="n"/>
      <c r="IQF1" s="87" t="n"/>
      <c r="IQG1" s="87" t="n"/>
      <c r="IQH1" s="87" t="n"/>
      <c r="IQI1" s="87" t="n"/>
      <c r="IQJ1" s="87" t="n"/>
      <c r="IQK1" s="87" t="n"/>
      <c r="IQL1" s="87" t="n"/>
      <c r="IQM1" s="87" t="n"/>
      <c r="IQN1" s="87" t="n"/>
      <c r="IQO1" s="87" t="n"/>
      <c r="IQP1" s="87" t="n"/>
      <c r="IQQ1" s="87" t="n"/>
      <c r="IQR1" s="87" t="n"/>
      <c r="IQS1" s="87" t="n"/>
      <c r="IQT1" s="87" t="n"/>
      <c r="IQU1" s="87" t="n"/>
      <c r="IQV1" s="87" t="n"/>
      <c r="IQW1" s="87" t="n"/>
      <c r="IQX1" s="87" t="n"/>
      <c r="IQY1" s="87" t="n"/>
      <c r="IQZ1" s="87" t="n"/>
      <c r="IRA1" s="87" t="n"/>
      <c r="IRB1" s="87" t="n"/>
      <c r="IRC1" s="87" t="n"/>
      <c r="IRD1" s="87" t="n"/>
      <c r="IRE1" s="87" t="n"/>
      <c r="IRF1" s="87" t="n"/>
      <c r="IRG1" s="87" t="n"/>
      <c r="IRH1" s="87" t="n"/>
      <c r="IRI1" s="87" t="n"/>
      <c r="IRJ1" s="87" t="n"/>
      <c r="IRK1" s="87" t="n"/>
      <c r="IRL1" s="87" t="n"/>
      <c r="IRM1" s="87" t="n"/>
      <c r="IRN1" s="87" t="n"/>
      <c r="IRO1" s="87" t="n"/>
      <c r="IRP1" s="87" t="n"/>
      <c r="IRQ1" s="87" t="n"/>
      <c r="IRR1" s="87" t="n"/>
      <c r="IRS1" s="87" t="n"/>
      <c r="IRT1" s="87" t="n"/>
      <c r="IRU1" s="87" t="n"/>
      <c r="IRV1" s="87" t="n"/>
      <c r="IRW1" s="87" t="n"/>
      <c r="IRX1" s="87" t="n"/>
      <c r="IRY1" s="87" t="n"/>
      <c r="IRZ1" s="87" t="n"/>
      <c r="ISA1" s="87" t="n"/>
      <c r="ISB1" s="87" t="n"/>
      <c r="ISC1" s="87" t="n"/>
      <c r="ISD1" s="87" t="n"/>
      <c r="ISE1" s="87" t="n"/>
      <c r="ISF1" s="87" t="n"/>
      <c r="ISG1" s="87" t="n"/>
      <c r="ISH1" s="87" t="n"/>
      <c r="ISI1" s="87" t="n"/>
      <c r="ISJ1" s="87" t="n"/>
      <c r="ISK1" s="87" t="n"/>
      <c r="ISL1" s="87" t="n"/>
      <c r="ISM1" s="87" t="n"/>
      <c r="ISN1" s="87" t="n"/>
      <c r="ISO1" s="87" t="n"/>
      <c r="ISP1" s="87" t="n"/>
      <c r="ISQ1" s="87" t="n"/>
      <c r="ISR1" s="87" t="n"/>
      <c r="ISS1" s="87" t="n"/>
      <c r="IST1" s="87" t="n"/>
      <c r="ISU1" s="87" t="n"/>
      <c r="ISV1" s="87" t="n"/>
      <c r="ISW1" s="87" t="n"/>
      <c r="ISX1" s="87" t="n"/>
      <c r="ISY1" s="87" t="n"/>
      <c r="ISZ1" s="87" t="n"/>
      <c r="ITA1" s="87" t="n"/>
      <c r="ITB1" s="87" t="n"/>
      <c r="ITC1" s="87" t="n"/>
      <c r="ITD1" s="87" t="n"/>
      <c r="ITE1" s="87" t="n"/>
      <c r="ITF1" s="87" t="n"/>
      <c r="ITG1" s="87" t="n"/>
      <c r="ITH1" s="87" t="n"/>
      <c r="ITI1" s="87" t="n"/>
      <c r="ITJ1" s="87" t="n"/>
      <c r="ITK1" s="87" t="n"/>
      <c r="ITL1" s="87" t="n"/>
      <c r="ITM1" s="87" t="n"/>
      <c r="ITN1" s="87" t="n"/>
      <c r="ITO1" s="87" t="n"/>
      <c r="ITP1" s="87" t="n"/>
      <c r="ITQ1" s="87" t="n"/>
      <c r="ITR1" s="87" t="n"/>
      <c r="ITS1" s="87" t="n"/>
      <c r="ITT1" s="87" t="n"/>
      <c r="ITU1" s="87" t="n"/>
      <c r="ITV1" s="87" t="n"/>
      <c r="ITW1" s="87" t="n"/>
      <c r="ITX1" s="87" t="n"/>
      <c r="ITY1" s="87" t="n"/>
      <c r="ITZ1" s="87" t="n"/>
      <c r="IUA1" s="87" t="n"/>
      <c r="IUB1" s="87" t="n"/>
      <c r="IUC1" s="87" t="n"/>
      <c r="IUD1" s="87" t="n"/>
      <c r="IUE1" s="87" t="n"/>
      <c r="IUF1" s="87" t="n"/>
      <c r="IUG1" s="87" t="n"/>
      <c r="IUH1" s="87" t="n"/>
      <c r="IUI1" s="87" t="n"/>
      <c r="IUJ1" s="87" t="n"/>
      <c r="IUK1" s="87" t="n"/>
      <c r="IUL1" s="87" t="n"/>
      <c r="IUM1" s="87" t="n"/>
      <c r="IUN1" s="87" t="n"/>
      <c r="IUO1" s="87" t="n"/>
      <c r="IUP1" s="87" t="n"/>
      <c r="IUQ1" s="87" t="n"/>
      <c r="IUR1" s="87" t="n"/>
      <c r="IUS1" s="87" t="n"/>
      <c r="IUT1" s="87" t="n"/>
      <c r="IUU1" s="87" t="n"/>
      <c r="IUV1" s="87" t="n"/>
      <c r="IUW1" s="87" t="n"/>
      <c r="IUX1" s="87" t="n"/>
      <c r="IUY1" s="87" t="n"/>
      <c r="IUZ1" s="87" t="n"/>
      <c r="IVA1" s="87" t="n"/>
      <c r="IVB1" s="87" t="n"/>
      <c r="IVC1" s="87" t="n"/>
      <c r="IVD1" s="87" t="n"/>
      <c r="IVE1" s="87" t="n"/>
      <c r="IVF1" s="87" t="n"/>
      <c r="IVG1" s="87" t="n"/>
      <c r="IVH1" s="87" t="n"/>
      <c r="IVI1" s="87" t="n"/>
      <c r="IVJ1" s="87" t="n"/>
      <c r="IVK1" s="87" t="n"/>
      <c r="IVL1" s="87" t="n"/>
      <c r="IVM1" s="87" t="n"/>
      <c r="IVN1" s="87" t="n"/>
      <c r="IVO1" s="87" t="n"/>
      <c r="IVP1" s="87" t="n"/>
      <c r="IVQ1" s="87" t="n"/>
      <c r="IVR1" s="87" t="n"/>
      <c r="IVS1" s="87" t="n"/>
      <c r="IVT1" s="87" t="n"/>
      <c r="IVU1" s="87" t="n"/>
      <c r="IVV1" s="87" t="n"/>
      <c r="IVW1" s="87" t="n"/>
      <c r="IVX1" s="87" t="n"/>
      <c r="IVY1" s="87" t="n"/>
      <c r="IVZ1" s="87" t="n"/>
      <c r="IWA1" s="87" t="n"/>
      <c r="IWB1" s="87" t="n"/>
      <c r="IWC1" s="87" t="n"/>
      <c r="IWD1" s="87" t="n"/>
      <c r="IWE1" s="87" t="n"/>
      <c r="IWF1" s="87" t="n"/>
      <c r="IWG1" s="87" t="n"/>
      <c r="IWH1" s="87" t="n"/>
      <c r="IWI1" s="87" t="n"/>
      <c r="IWJ1" s="87" t="n"/>
      <c r="IWK1" s="87" t="n"/>
      <c r="IWL1" s="87" t="n"/>
      <c r="IWM1" s="87" t="n"/>
      <c r="IWN1" s="87" t="n"/>
      <c r="IWO1" s="87" t="n"/>
      <c r="IWP1" s="87" t="n"/>
      <c r="IWQ1" s="87" t="n"/>
      <c r="IWR1" s="87" t="n"/>
      <c r="IWS1" s="87" t="n"/>
      <c r="IWT1" s="87" t="n"/>
      <c r="IWU1" s="87" t="n"/>
      <c r="IWV1" s="87" t="n"/>
      <c r="IWW1" s="87" t="n"/>
      <c r="IWX1" s="87" t="n"/>
      <c r="IWY1" s="87" t="n"/>
      <c r="IWZ1" s="87" t="n"/>
      <c r="IXA1" s="87" t="n"/>
      <c r="IXB1" s="87" t="n"/>
      <c r="IXC1" s="87" t="n"/>
      <c r="IXD1" s="87" t="n"/>
      <c r="IXE1" s="87" t="n"/>
      <c r="IXF1" s="87" t="n"/>
      <c r="IXG1" s="87" t="n"/>
      <c r="IXH1" s="87" t="n"/>
      <c r="IXI1" s="87" t="n"/>
      <c r="IXJ1" s="87" t="n"/>
      <c r="IXK1" s="87" t="n"/>
      <c r="IXL1" s="87" t="n"/>
      <c r="IXM1" s="87" t="n"/>
      <c r="IXN1" s="87" t="n"/>
      <c r="IXO1" s="87" t="n"/>
      <c r="IXP1" s="87" t="n"/>
      <c r="IXQ1" s="87" t="n"/>
      <c r="IXR1" s="87" t="n"/>
      <c r="IXS1" s="87" t="n"/>
      <c r="IXT1" s="87" t="n"/>
      <c r="IXU1" s="87" t="n"/>
      <c r="IXV1" s="87" t="n"/>
      <c r="IXW1" s="87" t="n"/>
      <c r="IXX1" s="87" t="n"/>
      <c r="IXY1" s="87" t="n"/>
      <c r="IXZ1" s="87" t="n"/>
      <c r="IYA1" s="87" t="n"/>
      <c r="IYB1" s="87" t="n"/>
      <c r="IYC1" s="87" t="n"/>
      <c r="IYD1" s="87" t="n"/>
      <c r="IYE1" s="87" t="n"/>
      <c r="IYF1" s="87" t="n"/>
      <c r="IYG1" s="87" t="n"/>
      <c r="IYH1" s="87" t="n"/>
      <c r="IYI1" s="87" t="n"/>
      <c r="IYJ1" s="87" t="n"/>
      <c r="IYK1" s="87" t="n"/>
      <c r="IYL1" s="87" t="n"/>
      <c r="IYM1" s="87" t="n"/>
      <c r="IYN1" s="87" t="n"/>
      <c r="IYO1" s="87" t="n"/>
      <c r="IYP1" s="87" t="n"/>
      <c r="IYQ1" s="87" t="n"/>
      <c r="IYR1" s="87" t="n"/>
      <c r="IYS1" s="87" t="n"/>
      <c r="IYT1" s="87" t="n"/>
      <c r="IYU1" s="87" t="n"/>
      <c r="IYV1" s="87" t="n"/>
      <c r="IYW1" s="87" t="n"/>
      <c r="IYX1" s="87" t="n"/>
      <c r="IYY1" s="87" t="n"/>
      <c r="IYZ1" s="87" t="n"/>
      <c r="IZA1" s="87" t="n"/>
      <c r="IZB1" s="87" t="n"/>
      <c r="IZC1" s="87" t="n"/>
      <c r="IZD1" s="87" t="n"/>
      <c r="IZE1" s="87" t="n"/>
      <c r="IZF1" s="87" t="n"/>
      <c r="IZG1" s="87" t="n"/>
      <c r="IZH1" s="87" t="n"/>
      <c r="IZI1" s="87" t="n"/>
      <c r="IZJ1" s="87" t="n"/>
      <c r="IZK1" s="87" t="n"/>
      <c r="IZL1" s="87" t="n"/>
      <c r="IZM1" s="87" t="n"/>
      <c r="IZN1" s="87" t="n"/>
      <c r="IZO1" s="87" t="n"/>
      <c r="IZP1" s="87" t="n"/>
      <c r="IZQ1" s="87" t="n"/>
      <c r="IZR1" s="87" t="n"/>
      <c r="IZS1" s="87" t="n"/>
      <c r="IZT1" s="87" t="n"/>
      <c r="IZU1" s="87" t="n"/>
      <c r="IZV1" s="87" t="n"/>
      <c r="IZW1" s="87" t="n"/>
      <c r="IZX1" s="87" t="n"/>
      <c r="IZY1" s="87" t="n"/>
      <c r="IZZ1" s="87" t="n"/>
      <c r="JAA1" s="87" t="n"/>
      <c r="JAB1" s="87" t="n"/>
      <c r="JAC1" s="87" t="n"/>
      <c r="JAD1" s="87" t="n"/>
      <c r="JAE1" s="87" t="n"/>
      <c r="JAF1" s="87" t="n"/>
      <c r="JAG1" s="87" t="n"/>
      <c r="JAH1" s="87" t="n"/>
      <c r="JAI1" s="87" t="n"/>
      <c r="JAJ1" s="87" t="n"/>
      <c r="JAK1" s="87" t="n"/>
      <c r="JAL1" s="87" t="n"/>
      <c r="JAM1" s="87" t="n"/>
      <c r="JAN1" s="87" t="n"/>
      <c r="JAO1" s="87" t="n"/>
      <c r="JAP1" s="87" t="n"/>
      <c r="JAQ1" s="87" t="n"/>
      <c r="JAR1" s="87" t="n"/>
      <c r="JAS1" s="87" t="n"/>
      <c r="JAT1" s="87" t="n"/>
      <c r="JAU1" s="87" t="n"/>
      <c r="JAV1" s="87" t="n"/>
      <c r="JAW1" s="87" t="n"/>
      <c r="JAX1" s="87" t="n"/>
      <c r="JAY1" s="87" t="n"/>
      <c r="JAZ1" s="87" t="n"/>
      <c r="JBA1" s="87" t="n"/>
      <c r="JBB1" s="87" t="n"/>
      <c r="JBC1" s="87" t="n"/>
      <c r="JBD1" s="87" t="n"/>
      <c r="JBE1" s="87" t="n"/>
      <c r="JBF1" s="87" t="n"/>
      <c r="JBG1" s="87" t="n"/>
      <c r="JBH1" s="87" t="n"/>
      <c r="JBI1" s="87" t="n"/>
      <c r="JBJ1" s="87" t="n"/>
      <c r="JBK1" s="87" t="n"/>
      <c r="JBL1" s="87" t="n"/>
      <c r="JBM1" s="87" t="n"/>
      <c r="JBN1" s="87" t="n"/>
      <c r="JBO1" s="87" t="n"/>
      <c r="JBP1" s="87" t="n"/>
      <c r="JBQ1" s="87" t="n"/>
      <c r="JBR1" s="87" t="n"/>
      <c r="JBS1" s="87" t="n"/>
      <c r="JBT1" s="87" t="n"/>
      <c r="JBU1" s="87" t="n"/>
      <c r="JBV1" s="87" t="n"/>
      <c r="JBW1" s="87" t="n"/>
      <c r="JBX1" s="87" t="n"/>
      <c r="JBY1" s="87" t="n"/>
      <c r="JBZ1" s="87" t="n"/>
      <c r="JCA1" s="87" t="n"/>
      <c r="JCB1" s="87" t="n"/>
      <c r="JCC1" s="87" t="n"/>
      <c r="JCD1" s="87" t="n"/>
      <c r="JCE1" s="87" t="n"/>
      <c r="JCF1" s="87" t="n"/>
      <c r="JCG1" s="87" t="n"/>
      <c r="JCH1" s="87" t="n"/>
      <c r="JCI1" s="87" t="n"/>
      <c r="JCJ1" s="87" t="n"/>
      <c r="JCK1" s="87" t="n"/>
      <c r="JCL1" s="87" t="n"/>
      <c r="JCM1" s="87" t="n"/>
      <c r="JCN1" s="87" t="n"/>
      <c r="JCO1" s="87" t="n"/>
      <c r="JCP1" s="87" t="n"/>
      <c r="JCQ1" s="87" t="n"/>
      <c r="JCR1" s="87" t="n"/>
      <c r="JCS1" s="87" t="n"/>
      <c r="JCT1" s="87" t="n"/>
      <c r="JCU1" s="87" t="n"/>
      <c r="JCV1" s="87" t="n"/>
      <c r="JCW1" s="87" t="n"/>
      <c r="JCX1" s="87" t="n"/>
      <c r="JCY1" s="87" t="n"/>
      <c r="JCZ1" s="87" t="n"/>
      <c r="JDA1" s="87" t="n"/>
      <c r="JDB1" s="87" t="n"/>
      <c r="JDC1" s="87" t="n"/>
      <c r="JDD1" s="87" t="n"/>
      <c r="JDE1" s="87" t="n"/>
      <c r="JDF1" s="87" t="n"/>
      <c r="JDG1" s="87" t="n"/>
      <c r="JDH1" s="87" t="n"/>
      <c r="JDI1" s="87" t="n"/>
      <c r="JDJ1" s="87" t="n"/>
      <c r="JDK1" s="87" t="n"/>
      <c r="JDL1" s="87" t="n"/>
      <c r="JDM1" s="87" t="n"/>
      <c r="JDN1" s="87" t="n"/>
      <c r="JDO1" s="87" t="n"/>
      <c r="JDP1" s="87" t="n"/>
      <c r="JDQ1" s="87" t="n"/>
      <c r="JDR1" s="87" t="n"/>
      <c r="JDS1" s="87" t="n"/>
      <c r="JDT1" s="87" t="n"/>
      <c r="JDU1" s="87" t="n"/>
      <c r="JDV1" s="87" t="n"/>
      <c r="JDW1" s="87" t="n"/>
      <c r="JDX1" s="87" t="n"/>
      <c r="JDY1" s="87" t="n"/>
      <c r="JDZ1" s="87" t="n"/>
      <c r="JEA1" s="87" t="n"/>
      <c r="JEB1" s="87" t="n"/>
      <c r="JEC1" s="87" t="n"/>
      <c r="JED1" s="87" t="n"/>
      <c r="JEE1" s="87" t="n"/>
      <c r="JEF1" s="87" t="n"/>
      <c r="JEG1" s="87" t="n"/>
      <c r="JEH1" s="87" t="n"/>
      <c r="JEI1" s="87" t="n"/>
      <c r="JEJ1" s="87" t="n"/>
      <c r="JEK1" s="87" t="n"/>
      <c r="JEL1" s="87" t="n"/>
      <c r="JEM1" s="87" t="n"/>
      <c r="JEN1" s="87" t="n"/>
      <c r="JEO1" s="87" t="n"/>
      <c r="JEP1" s="87" t="n"/>
      <c r="JEQ1" s="87" t="n"/>
      <c r="JER1" s="87" t="n"/>
      <c r="JES1" s="87" t="n"/>
      <c r="JET1" s="87" t="n"/>
      <c r="JEU1" s="87" t="n"/>
      <c r="JEV1" s="87" t="n"/>
      <c r="JEW1" s="87" t="n"/>
      <c r="JEX1" s="87" t="n"/>
      <c r="JEY1" s="87" t="n"/>
      <c r="JEZ1" s="87" t="n"/>
      <c r="JFA1" s="87" t="n"/>
      <c r="JFB1" s="87" t="n"/>
      <c r="JFC1" s="87" t="n"/>
      <c r="JFD1" s="87" t="n"/>
      <c r="JFE1" s="87" t="n"/>
      <c r="JFF1" s="87" t="n"/>
      <c r="JFG1" s="87" t="n"/>
      <c r="JFH1" s="87" t="n"/>
      <c r="JFI1" s="87" t="n"/>
      <c r="JFJ1" s="87" t="n"/>
      <c r="JFK1" s="87" t="n"/>
      <c r="JFL1" s="87" t="n"/>
      <c r="JFM1" s="87" t="n"/>
      <c r="JFN1" s="87" t="n"/>
      <c r="JFO1" s="87" t="n"/>
      <c r="JFP1" s="87" t="n"/>
      <c r="JFQ1" s="87" t="n"/>
      <c r="JFR1" s="87" t="n"/>
      <c r="JFS1" s="87" t="n"/>
      <c r="JFT1" s="87" t="n"/>
      <c r="JFU1" s="87" t="n"/>
      <c r="JFV1" s="87" t="n"/>
      <c r="JFW1" s="87" t="n"/>
      <c r="JFX1" s="87" t="n"/>
      <c r="JFY1" s="87" t="n"/>
      <c r="JFZ1" s="87" t="n"/>
      <c r="JGA1" s="87" t="n"/>
      <c r="JGB1" s="87" t="n"/>
      <c r="JGC1" s="87" t="n"/>
      <c r="JGD1" s="87" t="n"/>
      <c r="JGE1" s="87" t="n"/>
      <c r="JGF1" s="87" t="n"/>
      <c r="JGG1" s="87" t="n"/>
      <c r="JGH1" s="87" t="n"/>
      <c r="JGI1" s="87" t="n"/>
      <c r="JGJ1" s="87" t="n"/>
      <c r="JGK1" s="87" t="n"/>
      <c r="JGL1" s="87" t="n"/>
      <c r="JGM1" s="87" t="n"/>
      <c r="JGN1" s="87" t="n"/>
      <c r="JGO1" s="87" t="n"/>
      <c r="JGP1" s="87" t="n"/>
      <c r="JGQ1" s="87" t="n"/>
      <c r="JGR1" s="87" t="n"/>
      <c r="JGS1" s="87" t="n"/>
      <c r="JGT1" s="87" t="n"/>
      <c r="JGU1" s="87" t="n"/>
      <c r="JGV1" s="87" t="n"/>
      <c r="JGW1" s="87" t="n"/>
      <c r="JGX1" s="87" t="n"/>
      <c r="JGY1" s="87" t="n"/>
      <c r="JGZ1" s="87" t="n"/>
      <c r="JHA1" s="87" t="n"/>
      <c r="JHB1" s="87" t="n"/>
      <c r="JHC1" s="87" t="n"/>
      <c r="JHD1" s="87" t="n"/>
      <c r="JHE1" s="87" t="n"/>
      <c r="JHF1" s="87" t="n"/>
      <c r="JHG1" s="87" t="n"/>
      <c r="JHH1" s="87" t="n"/>
      <c r="JHI1" s="87" t="n"/>
      <c r="JHJ1" s="87" t="n"/>
      <c r="JHK1" s="87" t="n"/>
      <c r="JHL1" s="87" t="n"/>
      <c r="JHM1" s="87" t="n"/>
      <c r="JHN1" s="87" t="n"/>
      <c r="JHO1" s="87" t="n"/>
      <c r="JHP1" s="87" t="n"/>
      <c r="JHQ1" s="87" t="n"/>
      <c r="JHR1" s="87" t="n"/>
      <c r="JHS1" s="87" t="n"/>
      <c r="JHT1" s="87" t="n"/>
      <c r="JHU1" s="87" t="n"/>
      <c r="JHV1" s="87" t="n"/>
      <c r="JHW1" s="87" t="n"/>
      <c r="JHX1" s="87" t="n"/>
      <c r="JHY1" s="87" t="n"/>
      <c r="JHZ1" s="87" t="n"/>
      <c r="JIA1" s="87" t="n"/>
      <c r="JIB1" s="87" t="n"/>
      <c r="JIC1" s="87" t="n"/>
      <c r="JID1" s="87" t="n"/>
      <c r="JIE1" s="87" t="n"/>
      <c r="JIF1" s="87" t="n"/>
      <c r="JIG1" s="87" t="n"/>
      <c r="JIH1" s="87" t="n"/>
      <c r="JII1" s="87" t="n"/>
      <c r="JIJ1" s="87" t="n"/>
      <c r="JIK1" s="87" t="n"/>
      <c r="JIL1" s="87" t="n"/>
      <c r="JIM1" s="87" t="n"/>
      <c r="JIN1" s="87" t="n"/>
      <c r="JIO1" s="87" t="n"/>
      <c r="JIP1" s="87" t="n"/>
      <c r="JIQ1" s="87" t="n"/>
      <c r="JIR1" s="87" t="n"/>
      <c r="JIS1" s="87" t="n"/>
      <c r="JIT1" s="87" t="n"/>
      <c r="JIU1" s="87" t="n"/>
      <c r="JIV1" s="87" t="n"/>
      <c r="JIW1" s="87" t="n"/>
      <c r="JIX1" s="87" t="n"/>
      <c r="JIY1" s="87" t="n"/>
      <c r="JIZ1" s="87" t="n"/>
      <c r="JJA1" s="87" t="n"/>
      <c r="JJB1" s="87" t="n"/>
      <c r="JJC1" s="87" t="n"/>
      <c r="JJD1" s="87" t="n"/>
      <c r="JJE1" s="87" t="n"/>
      <c r="JJF1" s="87" t="n"/>
      <c r="JJG1" s="87" t="n"/>
      <c r="JJH1" s="87" t="n"/>
      <c r="JJI1" s="87" t="n"/>
      <c r="JJJ1" s="87" t="n"/>
      <c r="JJK1" s="87" t="n"/>
      <c r="JJL1" s="87" t="n"/>
      <c r="JJM1" s="87" t="n"/>
      <c r="JJN1" s="87" t="n"/>
      <c r="JJO1" s="87" t="n"/>
      <c r="JJP1" s="87" t="n"/>
      <c r="JJQ1" s="87" t="n"/>
      <c r="JJR1" s="87" t="n"/>
      <c r="JJS1" s="87" t="n"/>
      <c r="JJT1" s="87" t="n"/>
      <c r="JJU1" s="87" t="n"/>
      <c r="JJV1" s="87" t="n"/>
      <c r="JJW1" s="87" t="n"/>
      <c r="JJX1" s="87" t="n"/>
      <c r="JJY1" s="87" t="n"/>
      <c r="JJZ1" s="87" t="n"/>
      <c r="JKA1" s="87" t="n"/>
      <c r="JKB1" s="87" t="n"/>
      <c r="JKC1" s="87" t="n"/>
      <c r="JKD1" s="87" t="n"/>
      <c r="JKE1" s="87" t="n"/>
      <c r="JKF1" s="87" t="n"/>
      <c r="JKG1" s="87" t="n"/>
      <c r="JKH1" s="87" t="n"/>
      <c r="JKI1" s="87" t="n"/>
      <c r="JKJ1" s="87" t="n"/>
      <c r="JKK1" s="87" t="n"/>
      <c r="JKL1" s="87" t="n"/>
      <c r="JKM1" s="87" t="n"/>
      <c r="JKN1" s="87" t="n"/>
      <c r="JKO1" s="87" t="n"/>
      <c r="JKP1" s="87" t="n"/>
      <c r="JKQ1" s="87" t="n"/>
      <c r="JKR1" s="87" t="n"/>
      <c r="JKS1" s="87" t="n"/>
      <c r="JKT1" s="87" t="n"/>
      <c r="JKU1" s="87" t="n"/>
      <c r="JKV1" s="87" t="n"/>
      <c r="JKW1" s="87" t="n"/>
      <c r="JKX1" s="87" t="n"/>
      <c r="JKY1" s="87" t="n"/>
      <c r="JKZ1" s="87" t="n"/>
      <c r="JLA1" s="87" t="n"/>
      <c r="JLB1" s="87" t="n"/>
      <c r="JLC1" s="87" t="n"/>
      <c r="JLD1" s="87" t="n"/>
      <c r="JLE1" s="87" t="n"/>
      <c r="JLF1" s="87" t="n"/>
      <c r="JLG1" s="87" t="n"/>
      <c r="JLH1" s="87" t="n"/>
      <c r="JLI1" s="87" t="n"/>
      <c r="JLJ1" s="87" t="n"/>
      <c r="JLK1" s="87" t="n"/>
      <c r="JLL1" s="87" t="n"/>
      <c r="JLM1" s="87" t="n"/>
      <c r="JLN1" s="87" t="n"/>
      <c r="JLO1" s="87" t="n"/>
      <c r="JLP1" s="87" t="n"/>
      <c r="JLQ1" s="87" t="n"/>
      <c r="JLR1" s="87" t="n"/>
      <c r="JLS1" s="87" t="n"/>
      <c r="JLT1" s="87" t="n"/>
      <c r="JLU1" s="87" t="n"/>
      <c r="JLV1" s="87" t="n"/>
      <c r="JLW1" s="87" t="n"/>
      <c r="JLX1" s="87" t="n"/>
      <c r="JLY1" s="87" t="n"/>
      <c r="JLZ1" s="87" t="n"/>
      <c r="JMA1" s="87" t="n"/>
      <c r="JMB1" s="87" t="n"/>
      <c r="JMC1" s="87" t="n"/>
      <c r="JMD1" s="87" t="n"/>
      <c r="JME1" s="87" t="n"/>
      <c r="JMF1" s="87" t="n"/>
      <c r="JMG1" s="87" t="n"/>
      <c r="JMH1" s="87" t="n"/>
      <c r="JMI1" s="87" t="n"/>
      <c r="JMJ1" s="87" t="n"/>
      <c r="JMK1" s="87" t="n"/>
      <c r="JML1" s="87" t="n"/>
      <c r="JMM1" s="87" t="n"/>
      <c r="JMN1" s="87" t="n"/>
      <c r="JMO1" s="87" t="n"/>
      <c r="JMP1" s="87" t="n"/>
      <c r="JMQ1" s="87" t="n"/>
      <c r="JMR1" s="87" t="n"/>
      <c r="JMS1" s="87" t="n"/>
      <c r="JMT1" s="87" t="n"/>
      <c r="JMU1" s="87" t="n"/>
      <c r="JMV1" s="87" t="n"/>
      <c r="JMW1" s="87" t="n"/>
      <c r="JMX1" s="87" t="n"/>
      <c r="JMY1" s="87" t="n"/>
      <c r="JMZ1" s="87" t="n"/>
      <c r="JNA1" s="87" t="n"/>
      <c r="JNB1" s="87" t="n"/>
      <c r="JNC1" s="87" t="n"/>
      <c r="JND1" s="87" t="n"/>
      <c r="JNE1" s="87" t="n"/>
      <c r="JNF1" s="87" t="n"/>
      <c r="JNG1" s="87" t="n"/>
      <c r="JNH1" s="87" t="n"/>
      <c r="JNI1" s="87" t="n"/>
      <c r="JNJ1" s="87" t="n"/>
      <c r="JNK1" s="87" t="n"/>
      <c r="JNL1" s="87" t="n"/>
      <c r="JNM1" s="87" t="n"/>
      <c r="JNN1" s="87" t="n"/>
      <c r="JNO1" s="87" t="n"/>
      <c r="JNP1" s="87" t="n"/>
      <c r="JNQ1" s="87" t="n"/>
      <c r="JNR1" s="87" t="n"/>
      <c r="JNS1" s="87" t="n"/>
      <c r="JNT1" s="87" t="n"/>
      <c r="JNU1" s="87" t="n"/>
      <c r="JNV1" s="87" t="n"/>
      <c r="JNW1" s="87" t="n"/>
      <c r="JNX1" s="87" t="n"/>
      <c r="JNY1" s="87" t="n"/>
      <c r="JNZ1" s="87" t="n"/>
      <c r="JOA1" s="87" t="n"/>
      <c r="JOB1" s="87" t="n"/>
      <c r="JOC1" s="87" t="n"/>
      <c r="JOD1" s="87" t="n"/>
      <c r="JOE1" s="87" t="n"/>
      <c r="JOF1" s="87" t="n"/>
      <c r="JOG1" s="87" t="n"/>
      <c r="JOH1" s="87" t="n"/>
      <c r="JOI1" s="87" t="n"/>
      <c r="JOJ1" s="87" t="n"/>
      <c r="JOK1" s="87" t="n"/>
      <c r="JOL1" s="87" t="n"/>
      <c r="JOM1" s="87" t="n"/>
      <c r="JON1" s="87" t="n"/>
      <c r="JOO1" s="87" t="n"/>
      <c r="JOP1" s="87" t="n"/>
      <c r="JOQ1" s="87" t="n"/>
      <c r="JOR1" s="87" t="n"/>
      <c r="JOS1" s="87" t="n"/>
      <c r="JOT1" s="87" t="n"/>
      <c r="JOU1" s="87" t="n"/>
      <c r="JOV1" s="87" t="n"/>
      <c r="JOW1" s="87" t="n"/>
      <c r="JOX1" s="87" t="n"/>
      <c r="JOY1" s="87" t="n"/>
      <c r="JOZ1" s="87" t="n"/>
      <c r="JPA1" s="87" t="n"/>
      <c r="JPB1" s="87" t="n"/>
      <c r="JPC1" s="87" t="n"/>
      <c r="JPD1" s="87" t="n"/>
      <c r="JPE1" s="87" t="n"/>
      <c r="JPF1" s="87" t="n"/>
      <c r="JPG1" s="87" t="n"/>
      <c r="JPH1" s="87" t="n"/>
      <c r="JPI1" s="87" t="n"/>
      <c r="JPJ1" s="87" t="n"/>
      <c r="JPK1" s="87" t="n"/>
      <c r="JPL1" s="87" t="n"/>
      <c r="JPM1" s="87" t="n"/>
      <c r="JPN1" s="87" t="n"/>
      <c r="JPO1" s="87" t="n"/>
      <c r="JPP1" s="87" t="n"/>
      <c r="JPQ1" s="87" t="n"/>
      <c r="JPR1" s="87" t="n"/>
      <c r="JPS1" s="87" t="n"/>
      <c r="JPT1" s="87" t="n"/>
      <c r="JPU1" s="87" t="n"/>
      <c r="JPV1" s="87" t="n"/>
      <c r="JPW1" s="87" t="n"/>
      <c r="JPX1" s="87" t="n"/>
      <c r="JPY1" s="87" t="n"/>
      <c r="JPZ1" s="87" t="n"/>
      <c r="JQA1" s="87" t="n"/>
      <c r="JQB1" s="87" t="n"/>
      <c r="JQC1" s="87" t="n"/>
      <c r="JQD1" s="87" t="n"/>
      <c r="JQE1" s="87" t="n"/>
      <c r="JQF1" s="87" t="n"/>
      <c r="JQG1" s="87" t="n"/>
      <c r="JQH1" s="87" t="n"/>
      <c r="JQI1" s="87" t="n"/>
      <c r="JQJ1" s="87" t="n"/>
      <c r="JQK1" s="87" t="n"/>
      <c r="JQL1" s="87" t="n"/>
      <c r="JQM1" s="87" t="n"/>
      <c r="JQN1" s="87" t="n"/>
      <c r="JQO1" s="87" t="n"/>
      <c r="JQP1" s="87" t="n"/>
      <c r="JQQ1" s="87" t="n"/>
      <c r="JQR1" s="87" t="n"/>
      <c r="JQS1" s="87" t="n"/>
      <c r="JQT1" s="87" t="n"/>
      <c r="JQU1" s="87" t="n"/>
      <c r="JQV1" s="87" t="n"/>
      <c r="JQW1" s="87" t="n"/>
      <c r="JQX1" s="87" t="n"/>
      <c r="JQY1" s="87" t="n"/>
      <c r="JQZ1" s="87" t="n"/>
      <c r="JRA1" s="87" t="n"/>
      <c r="JRB1" s="87" t="n"/>
      <c r="JRC1" s="87" t="n"/>
      <c r="JRD1" s="87" t="n"/>
      <c r="JRE1" s="87" t="n"/>
      <c r="JRF1" s="87" t="n"/>
      <c r="JRG1" s="87" t="n"/>
      <c r="JRH1" s="87" t="n"/>
      <c r="JRI1" s="87" t="n"/>
      <c r="JRJ1" s="87" t="n"/>
      <c r="JRK1" s="87" t="n"/>
      <c r="JRL1" s="87" t="n"/>
      <c r="JRM1" s="87" t="n"/>
      <c r="JRN1" s="87" t="n"/>
      <c r="JRO1" s="87" t="n"/>
      <c r="JRP1" s="87" t="n"/>
      <c r="JRQ1" s="87" t="n"/>
      <c r="JRR1" s="87" t="n"/>
      <c r="JRS1" s="87" t="n"/>
      <c r="JRT1" s="87" t="n"/>
      <c r="JRU1" s="87" t="n"/>
      <c r="JRV1" s="87" t="n"/>
      <c r="JRW1" s="87" t="n"/>
      <c r="JRX1" s="87" t="n"/>
      <c r="JRY1" s="87" t="n"/>
      <c r="JRZ1" s="87" t="n"/>
      <c r="JSA1" s="87" t="n"/>
      <c r="JSB1" s="87" t="n"/>
      <c r="JSC1" s="87" t="n"/>
      <c r="JSD1" s="87" t="n"/>
      <c r="JSE1" s="87" t="n"/>
      <c r="JSF1" s="87" t="n"/>
      <c r="JSG1" s="87" t="n"/>
      <c r="JSH1" s="87" t="n"/>
      <c r="JSI1" s="87" t="n"/>
      <c r="JSJ1" s="87" t="n"/>
      <c r="JSK1" s="87" t="n"/>
      <c r="JSL1" s="87" t="n"/>
      <c r="JSM1" s="87" t="n"/>
      <c r="JSN1" s="87" t="n"/>
      <c r="JSO1" s="87" t="n"/>
      <c r="JSP1" s="87" t="n"/>
      <c r="JSQ1" s="87" t="n"/>
      <c r="JSR1" s="87" t="n"/>
      <c r="JSS1" s="87" t="n"/>
      <c r="JST1" s="87" t="n"/>
      <c r="JSU1" s="87" t="n"/>
      <c r="JSV1" s="87" t="n"/>
      <c r="JSW1" s="87" t="n"/>
      <c r="JSX1" s="87" t="n"/>
      <c r="JSY1" s="87" t="n"/>
      <c r="JSZ1" s="87" t="n"/>
      <c r="JTA1" s="87" t="n"/>
      <c r="JTB1" s="87" t="n"/>
      <c r="JTC1" s="87" t="n"/>
      <c r="JTD1" s="87" t="n"/>
      <c r="JTE1" s="87" t="n"/>
      <c r="JTF1" s="87" t="n"/>
      <c r="JTG1" s="87" t="n"/>
      <c r="JTH1" s="87" t="n"/>
      <c r="JTI1" s="87" t="n"/>
      <c r="JTJ1" s="87" t="n"/>
      <c r="JTK1" s="87" t="n"/>
      <c r="JTL1" s="87" t="n"/>
      <c r="JTM1" s="87" t="n"/>
      <c r="JTN1" s="87" t="n"/>
      <c r="JTO1" s="87" t="n"/>
      <c r="JTP1" s="87" t="n"/>
      <c r="JTQ1" s="87" t="n"/>
      <c r="JTR1" s="87" t="n"/>
      <c r="JTS1" s="87" t="n"/>
      <c r="JTT1" s="87" t="n"/>
      <c r="JTU1" s="87" t="n"/>
      <c r="JTV1" s="87" t="n"/>
      <c r="JTW1" s="87" t="n"/>
      <c r="JTX1" s="87" t="n"/>
      <c r="JTY1" s="87" t="n"/>
      <c r="JTZ1" s="87" t="n"/>
      <c r="JUA1" s="87" t="n"/>
      <c r="JUB1" s="87" t="n"/>
      <c r="JUC1" s="87" t="n"/>
      <c r="JUD1" s="87" t="n"/>
      <c r="JUE1" s="87" t="n"/>
      <c r="JUF1" s="87" t="n"/>
      <c r="JUG1" s="87" t="n"/>
      <c r="JUH1" s="87" t="n"/>
      <c r="JUI1" s="87" t="n"/>
      <c r="JUJ1" s="87" t="n"/>
      <c r="JUK1" s="87" t="n"/>
      <c r="JUL1" s="87" t="n"/>
      <c r="JUM1" s="87" t="n"/>
      <c r="JUN1" s="87" t="n"/>
      <c r="JUO1" s="87" t="n"/>
      <c r="JUP1" s="87" t="n"/>
      <c r="JUQ1" s="87" t="n"/>
      <c r="JUR1" s="87" t="n"/>
      <c r="JUS1" s="87" t="n"/>
      <c r="JUT1" s="87" t="n"/>
      <c r="JUU1" s="87" t="n"/>
      <c r="JUV1" s="87" t="n"/>
      <c r="JUW1" s="87" t="n"/>
      <c r="JUX1" s="87" t="n"/>
      <c r="JUY1" s="87" t="n"/>
      <c r="JUZ1" s="87" t="n"/>
      <c r="JVA1" s="87" t="n"/>
      <c r="JVB1" s="87" t="n"/>
      <c r="JVC1" s="87" t="n"/>
      <c r="JVD1" s="87" t="n"/>
      <c r="JVE1" s="87" t="n"/>
      <c r="JVF1" s="87" t="n"/>
      <c r="JVG1" s="87" t="n"/>
      <c r="JVH1" s="87" t="n"/>
      <c r="JVI1" s="87" t="n"/>
      <c r="JVJ1" s="87" t="n"/>
      <c r="JVK1" s="87" t="n"/>
      <c r="JVL1" s="87" t="n"/>
      <c r="JVM1" s="87" t="n"/>
      <c r="JVN1" s="87" t="n"/>
      <c r="JVO1" s="87" t="n"/>
      <c r="JVP1" s="87" t="n"/>
      <c r="JVQ1" s="87" t="n"/>
      <c r="JVR1" s="87" t="n"/>
      <c r="JVS1" s="87" t="n"/>
      <c r="JVT1" s="87" t="n"/>
      <c r="JVU1" s="87" t="n"/>
      <c r="JVV1" s="87" t="n"/>
      <c r="JVW1" s="87" t="n"/>
      <c r="JVX1" s="87" t="n"/>
      <c r="JVY1" s="87" t="n"/>
      <c r="JVZ1" s="87" t="n"/>
      <c r="JWA1" s="87" t="n"/>
      <c r="JWB1" s="87" t="n"/>
      <c r="JWC1" s="87" t="n"/>
      <c r="JWD1" s="87" t="n"/>
      <c r="JWE1" s="87" t="n"/>
      <c r="JWF1" s="87" t="n"/>
      <c r="JWG1" s="87" t="n"/>
      <c r="JWH1" s="87" t="n"/>
      <c r="JWI1" s="87" t="n"/>
      <c r="JWJ1" s="87" t="n"/>
      <c r="JWK1" s="87" t="n"/>
      <c r="JWL1" s="87" t="n"/>
      <c r="JWM1" s="87" t="n"/>
      <c r="JWN1" s="87" t="n"/>
      <c r="JWO1" s="87" t="n"/>
      <c r="JWP1" s="87" t="n"/>
      <c r="JWQ1" s="87" t="n"/>
      <c r="JWR1" s="87" t="n"/>
      <c r="JWS1" s="87" t="n"/>
      <c r="JWT1" s="87" t="n"/>
      <c r="JWU1" s="87" t="n"/>
      <c r="JWV1" s="87" t="n"/>
      <c r="JWW1" s="87" t="n"/>
      <c r="JWX1" s="87" t="n"/>
      <c r="JWY1" s="87" t="n"/>
      <c r="JWZ1" s="87" t="n"/>
      <c r="JXA1" s="87" t="n"/>
      <c r="JXB1" s="87" t="n"/>
      <c r="JXC1" s="87" t="n"/>
      <c r="JXD1" s="87" t="n"/>
      <c r="JXE1" s="87" t="n"/>
      <c r="JXF1" s="87" t="n"/>
      <c r="JXG1" s="87" t="n"/>
      <c r="JXH1" s="87" t="n"/>
      <c r="JXI1" s="87" t="n"/>
      <c r="JXJ1" s="87" t="n"/>
      <c r="JXK1" s="87" t="n"/>
      <c r="JXL1" s="87" t="n"/>
      <c r="JXM1" s="87" t="n"/>
      <c r="JXN1" s="87" t="n"/>
      <c r="JXO1" s="87" t="n"/>
      <c r="JXP1" s="87" t="n"/>
      <c r="JXQ1" s="87" t="n"/>
      <c r="JXR1" s="87" t="n"/>
      <c r="JXS1" s="87" t="n"/>
      <c r="JXT1" s="87" t="n"/>
      <c r="JXU1" s="87" t="n"/>
      <c r="JXV1" s="87" t="n"/>
      <c r="JXW1" s="87" t="n"/>
      <c r="JXX1" s="87" t="n"/>
      <c r="JXY1" s="87" t="n"/>
      <c r="JXZ1" s="87" t="n"/>
      <c r="JYA1" s="87" t="n"/>
      <c r="JYB1" s="87" t="n"/>
      <c r="JYC1" s="87" t="n"/>
      <c r="JYD1" s="87" t="n"/>
      <c r="JYE1" s="87" t="n"/>
      <c r="JYF1" s="87" t="n"/>
      <c r="JYG1" s="87" t="n"/>
      <c r="JYH1" s="87" t="n"/>
      <c r="JYI1" s="87" t="n"/>
      <c r="JYJ1" s="87" t="n"/>
      <c r="JYK1" s="87" t="n"/>
      <c r="JYL1" s="87" t="n"/>
      <c r="JYM1" s="87" t="n"/>
      <c r="JYN1" s="87" t="n"/>
      <c r="JYO1" s="87" t="n"/>
      <c r="JYP1" s="87" t="n"/>
      <c r="JYQ1" s="87" t="n"/>
      <c r="JYR1" s="87" t="n"/>
      <c r="JYS1" s="87" t="n"/>
      <c r="JYT1" s="87" t="n"/>
      <c r="JYU1" s="87" t="n"/>
      <c r="JYV1" s="87" t="n"/>
      <c r="JYW1" s="87" t="n"/>
      <c r="JYX1" s="87" t="n"/>
      <c r="JYY1" s="87" t="n"/>
      <c r="JYZ1" s="87" t="n"/>
      <c r="JZA1" s="87" t="n"/>
      <c r="JZB1" s="87" t="n"/>
      <c r="JZC1" s="87" t="n"/>
      <c r="JZD1" s="87" t="n"/>
      <c r="JZE1" s="87" t="n"/>
      <c r="JZF1" s="87" t="n"/>
      <c r="JZG1" s="87" t="n"/>
      <c r="JZH1" s="87" t="n"/>
      <c r="JZI1" s="87" t="n"/>
      <c r="JZJ1" s="87" t="n"/>
      <c r="JZK1" s="87" t="n"/>
      <c r="JZL1" s="87" t="n"/>
      <c r="JZM1" s="87" t="n"/>
      <c r="JZN1" s="87" t="n"/>
      <c r="JZO1" s="87" t="n"/>
      <c r="JZP1" s="87" t="n"/>
      <c r="JZQ1" s="87" t="n"/>
      <c r="JZR1" s="87" t="n"/>
      <c r="JZS1" s="87" t="n"/>
      <c r="JZT1" s="87" t="n"/>
      <c r="JZU1" s="87" t="n"/>
      <c r="JZV1" s="87" t="n"/>
      <c r="JZW1" s="87" t="n"/>
      <c r="JZX1" s="87" t="n"/>
      <c r="JZY1" s="87" t="n"/>
      <c r="JZZ1" s="87" t="n"/>
      <c r="KAA1" s="87" t="n"/>
      <c r="KAB1" s="87" t="n"/>
      <c r="KAC1" s="87" t="n"/>
      <c r="KAD1" s="87" t="n"/>
      <c r="KAE1" s="87" t="n"/>
      <c r="KAF1" s="87" t="n"/>
      <c r="KAG1" s="87" t="n"/>
      <c r="KAH1" s="87" t="n"/>
      <c r="KAI1" s="87" t="n"/>
      <c r="KAJ1" s="87" t="n"/>
      <c r="KAK1" s="87" t="n"/>
      <c r="KAL1" s="87" t="n"/>
      <c r="KAM1" s="87" t="n"/>
      <c r="KAN1" s="87" t="n"/>
      <c r="KAO1" s="87" t="n"/>
      <c r="KAP1" s="87" t="n"/>
      <c r="KAQ1" s="87" t="n"/>
      <c r="KAR1" s="87" t="n"/>
      <c r="KAS1" s="87" t="n"/>
      <c r="KAT1" s="87" t="n"/>
      <c r="KAU1" s="87" t="n"/>
      <c r="KAV1" s="87" t="n"/>
      <c r="KAW1" s="87" t="n"/>
      <c r="KAX1" s="87" t="n"/>
      <c r="KAY1" s="87" t="n"/>
      <c r="KAZ1" s="87" t="n"/>
      <c r="KBA1" s="87" t="n"/>
      <c r="KBB1" s="87" t="n"/>
      <c r="KBC1" s="87" t="n"/>
      <c r="KBD1" s="87" t="n"/>
      <c r="KBE1" s="87" t="n"/>
      <c r="KBF1" s="87" t="n"/>
      <c r="KBG1" s="87" t="n"/>
      <c r="KBH1" s="87" t="n"/>
      <c r="KBI1" s="87" t="n"/>
      <c r="KBJ1" s="87" t="n"/>
      <c r="KBK1" s="87" t="n"/>
      <c r="KBL1" s="87" t="n"/>
      <c r="KBM1" s="87" t="n"/>
      <c r="KBN1" s="87" t="n"/>
      <c r="KBO1" s="87" t="n"/>
      <c r="KBP1" s="87" t="n"/>
      <c r="KBQ1" s="87" t="n"/>
      <c r="KBR1" s="87" t="n"/>
      <c r="KBS1" s="87" t="n"/>
      <c r="KBT1" s="87" t="n"/>
      <c r="KBU1" s="87" t="n"/>
      <c r="KBV1" s="87" t="n"/>
      <c r="KBW1" s="87" t="n"/>
      <c r="KBX1" s="87" t="n"/>
      <c r="KBY1" s="87" t="n"/>
      <c r="KBZ1" s="87" t="n"/>
      <c r="KCA1" s="87" t="n"/>
      <c r="KCB1" s="87" t="n"/>
      <c r="KCC1" s="87" t="n"/>
      <c r="KCD1" s="87" t="n"/>
      <c r="KCE1" s="87" t="n"/>
      <c r="KCF1" s="87" t="n"/>
      <c r="KCG1" s="87" t="n"/>
      <c r="KCH1" s="87" t="n"/>
      <c r="KCI1" s="87" t="n"/>
      <c r="KCJ1" s="87" t="n"/>
      <c r="KCK1" s="87" t="n"/>
      <c r="KCL1" s="87" t="n"/>
      <c r="KCM1" s="87" t="n"/>
      <c r="KCN1" s="87" t="n"/>
      <c r="KCO1" s="87" t="n"/>
      <c r="KCP1" s="87" t="n"/>
      <c r="KCQ1" s="87" t="n"/>
      <c r="KCR1" s="87" t="n"/>
      <c r="KCS1" s="87" t="n"/>
      <c r="KCT1" s="87" t="n"/>
      <c r="KCU1" s="87" t="n"/>
      <c r="KCV1" s="87" t="n"/>
      <c r="KCW1" s="87" t="n"/>
      <c r="KCX1" s="87" t="n"/>
      <c r="KCY1" s="87" t="n"/>
      <c r="KCZ1" s="87" t="n"/>
      <c r="KDA1" s="87" t="n"/>
      <c r="KDB1" s="87" t="n"/>
      <c r="KDC1" s="87" t="n"/>
      <c r="KDD1" s="87" t="n"/>
      <c r="KDE1" s="87" t="n"/>
      <c r="KDF1" s="87" t="n"/>
      <c r="KDG1" s="87" t="n"/>
      <c r="KDH1" s="87" t="n"/>
      <c r="KDI1" s="87" t="n"/>
      <c r="KDJ1" s="87" t="n"/>
      <c r="KDK1" s="87" t="n"/>
      <c r="KDL1" s="87" t="n"/>
      <c r="KDM1" s="87" t="n"/>
      <c r="KDN1" s="87" t="n"/>
      <c r="KDO1" s="87" t="n"/>
      <c r="KDP1" s="87" t="n"/>
      <c r="KDQ1" s="87" t="n"/>
      <c r="KDR1" s="87" t="n"/>
      <c r="KDS1" s="87" t="n"/>
      <c r="KDT1" s="87" t="n"/>
      <c r="KDU1" s="87" t="n"/>
      <c r="KDV1" s="87" t="n"/>
      <c r="KDW1" s="87" t="n"/>
      <c r="KDX1" s="87" t="n"/>
      <c r="KDY1" s="87" t="n"/>
      <c r="KDZ1" s="87" t="n"/>
      <c r="KEA1" s="87" t="n"/>
      <c r="KEB1" s="87" t="n"/>
      <c r="KEC1" s="87" t="n"/>
      <c r="KED1" s="87" t="n"/>
      <c r="KEE1" s="87" t="n"/>
      <c r="KEF1" s="87" t="n"/>
      <c r="KEG1" s="87" t="n"/>
      <c r="KEH1" s="87" t="n"/>
      <c r="KEI1" s="87" t="n"/>
      <c r="KEJ1" s="87" t="n"/>
      <c r="KEK1" s="87" t="n"/>
      <c r="KEL1" s="87" t="n"/>
      <c r="KEM1" s="87" t="n"/>
      <c r="KEN1" s="87" t="n"/>
      <c r="KEO1" s="87" t="n"/>
      <c r="KEP1" s="87" t="n"/>
      <c r="KEQ1" s="87" t="n"/>
      <c r="KER1" s="87" t="n"/>
      <c r="KES1" s="87" t="n"/>
      <c r="KET1" s="87" t="n"/>
      <c r="KEU1" s="87" t="n"/>
      <c r="KEV1" s="87" t="n"/>
      <c r="KEW1" s="87" t="n"/>
      <c r="KEX1" s="87" t="n"/>
      <c r="KEY1" s="87" t="n"/>
      <c r="KEZ1" s="87" t="n"/>
      <c r="KFA1" s="87" t="n"/>
      <c r="KFB1" s="87" t="n"/>
      <c r="KFC1" s="87" t="n"/>
      <c r="KFD1" s="87" t="n"/>
      <c r="KFE1" s="87" t="n"/>
      <c r="KFF1" s="87" t="n"/>
      <c r="KFG1" s="87" t="n"/>
      <c r="KFH1" s="87" t="n"/>
      <c r="KFI1" s="87" t="n"/>
      <c r="KFJ1" s="87" t="n"/>
      <c r="KFK1" s="87" t="n"/>
      <c r="KFL1" s="87" t="n"/>
      <c r="KFM1" s="87" t="n"/>
      <c r="KFN1" s="87" t="n"/>
      <c r="KFO1" s="87" t="n"/>
      <c r="KFP1" s="87" t="n"/>
      <c r="KFQ1" s="87" t="n"/>
      <c r="KFR1" s="87" t="n"/>
      <c r="KFS1" s="87" t="n"/>
      <c r="KFT1" s="87" t="n"/>
      <c r="KFU1" s="87" t="n"/>
      <c r="KFV1" s="87" t="n"/>
      <c r="KFW1" s="87" t="n"/>
      <c r="KFX1" s="87" t="n"/>
      <c r="KFY1" s="87" t="n"/>
      <c r="KFZ1" s="87" t="n"/>
      <c r="KGA1" s="87" t="n"/>
      <c r="KGB1" s="87" t="n"/>
      <c r="KGC1" s="87" t="n"/>
      <c r="KGD1" s="87" t="n"/>
      <c r="KGE1" s="87" t="n"/>
      <c r="KGF1" s="87" t="n"/>
      <c r="KGG1" s="87" t="n"/>
      <c r="KGH1" s="87" t="n"/>
      <c r="KGI1" s="87" t="n"/>
      <c r="KGJ1" s="87" t="n"/>
      <c r="KGK1" s="87" t="n"/>
      <c r="KGL1" s="87" t="n"/>
      <c r="KGM1" s="87" t="n"/>
      <c r="KGN1" s="87" t="n"/>
      <c r="KGO1" s="87" t="n"/>
      <c r="KGP1" s="87" t="n"/>
      <c r="KGQ1" s="87" t="n"/>
      <c r="KGR1" s="87" t="n"/>
      <c r="KGS1" s="87" t="n"/>
      <c r="KGT1" s="87" t="n"/>
      <c r="KGU1" s="87" t="n"/>
      <c r="KGV1" s="87" t="n"/>
      <c r="KGW1" s="87" t="n"/>
      <c r="KGX1" s="87" t="n"/>
      <c r="KGY1" s="87" t="n"/>
      <c r="KGZ1" s="87" t="n"/>
      <c r="KHA1" s="87" t="n"/>
      <c r="KHB1" s="87" t="n"/>
      <c r="KHC1" s="87" t="n"/>
      <c r="KHD1" s="87" t="n"/>
      <c r="KHE1" s="87" t="n"/>
      <c r="KHF1" s="87" t="n"/>
      <c r="KHG1" s="87" t="n"/>
      <c r="KHH1" s="87" t="n"/>
      <c r="KHI1" s="87" t="n"/>
      <c r="KHJ1" s="87" t="n"/>
      <c r="KHK1" s="87" t="n"/>
      <c r="KHL1" s="87" t="n"/>
      <c r="KHM1" s="87" t="n"/>
      <c r="KHN1" s="87" t="n"/>
      <c r="KHO1" s="87" t="n"/>
      <c r="KHP1" s="87" t="n"/>
      <c r="KHQ1" s="87" t="n"/>
      <c r="KHR1" s="87" t="n"/>
      <c r="KHS1" s="87" t="n"/>
      <c r="KHT1" s="87" t="n"/>
      <c r="KHU1" s="87" t="n"/>
      <c r="KHV1" s="87" t="n"/>
      <c r="KHW1" s="87" t="n"/>
      <c r="KHX1" s="87" t="n"/>
      <c r="KHY1" s="87" t="n"/>
      <c r="KHZ1" s="87" t="n"/>
      <c r="KIA1" s="87" t="n"/>
      <c r="KIB1" s="87" t="n"/>
      <c r="KIC1" s="87" t="n"/>
      <c r="KID1" s="87" t="n"/>
      <c r="KIE1" s="87" t="n"/>
      <c r="KIF1" s="87" t="n"/>
      <c r="KIG1" s="87" t="n"/>
      <c r="KIH1" s="87" t="n"/>
      <c r="KII1" s="87" t="n"/>
      <c r="KIJ1" s="87" t="n"/>
      <c r="KIK1" s="87" t="n"/>
      <c r="KIL1" s="87" t="n"/>
      <c r="KIM1" s="87" t="n"/>
      <c r="KIN1" s="87" t="n"/>
      <c r="KIO1" s="87" t="n"/>
      <c r="KIP1" s="87" t="n"/>
      <c r="KIQ1" s="87" t="n"/>
      <c r="KIR1" s="87" t="n"/>
      <c r="KIS1" s="87" t="n"/>
      <c r="KIT1" s="87" t="n"/>
      <c r="KIU1" s="87" t="n"/>
      <c r="KIV1" s="87" t="n"/>
      <c r="KIW1" s="87" t="n"/>
      <c r="KIX1" s="87" t="n"/>
      <c r="KIY1" s="87" t="n"/>
      <c r="KIZ1" s="87" t="n"/>
      <c r="KJA1" s="87" t="n"/>
      <c r="KJB1" s="87" t="n"/>
      <c r="KJC1" s="87" t="n"/>
      <c r="KJD1" s="87" t="n"/>
      <c r="KJE1" s="87" t="n"/>
      <c r="KJF1" s="87" t="n"/>
      <c r="KJG1" s="87" t="n"/>
      <c r="KJH1" s="87" t="n"/>
      <c r="KJI1" s="87" t="n"/>
      <c r="KJJ1" s="87" t="n"/>
      <c r="KJK1" s="87" t="n"/>
      <c r="KJL1" s="87" t="n"/>
      <c r="KJM1" s="87" t="n"/>
      <c r="KJN1" s="87" t="n"/>
      <c r="KJO1" s="87" t="n"/>
      <c r="KJP1" s="87" t="n"/>
      <c r="KJQ1" s="87" t="n"/>
      <c r="KJR1" s="87" t="n"/>
      <c r="KJS1" s="87" t="n"/>
      <c r="KJT1" s="87" t="n"/>
      <c r="KJU1" s="87" t="n"/>
      <c r="KJV1" s="87" t="n"/>
      <c r="KJW1" s="87" t="n"/>
      <c r="KJX1" s="87" t="n"/>
      <c r="KJY1" s="87" t="n"/>
      <c r="KJZ1" s="87" t="n"/>
      <c r="KKA1" s="87" t="n"/>
      <c r="KKB1" s="87" t="n"/>
      <c r="KKC1" s="87" t="n"/>
      <c r="KKD1" s="87" t="n"/>
      <c r="KKE1" s="87" t="n"/>
      <c r="KKF1" s="87" t="n"/>
      <c r="KKG1" s="87" t="n"/>
      <c r="KKH1" s="87" t="n"/>
      <c r="KKI1" s="87" t="n"/>
      <c r="KKJ1" s="87" t="n"/>
      <c r="KKK1" s="87" t="n"/>
      <c r="KKL1" s="87" t="n"/>
      <c r="KKM1" s="87" t="n"/>
      <c r="KKN1" s="87" t="n"/>
      <c r="KKO1" s="87" t="n"/>
      <c r="KKP1" s="87" t="n"/>
      <c r="KKQ1" s="87" t="n"/>
      <c r="KKR1" s="87" t="n"/>
      <c r="KKS1" s="87" t="n"/>
      <c r="KKT1" s="87" t="n"/>
      <c r="KKU1" s="87" t="n"/>
      <c r="KKV1" s="87" t="n"/>
      <c r="KKW1" s="87" t="n"/>
      <c r="KKX1" s="87" t="n"/>
      <c r="KKY1" s="87" t="n"/>
      <c r="KKZ1" s="87" t="n"/>
      <c r="KLA1" s="87" t="n"/>
      <c r="KLB1" s="87" t="n"/>
      <c r="KLC1" s="87" t="n"/>
      <c r="KLD1" s="87" t="n"/>
      <c r="KLE1" s="87" t="n"/>
      <c r="KLF1" s="87" t="n"/>
      <c r="KLG1" s="87" t="n"/>
      <c r="KLH1" s="87" t="n"/>
      <c r="KLI1" s="87" t="n"/>
      <c r="KLJ1" s="87" t="n"/>
      <c r="KLK1" s="87" t="n"/>
      <c r="KLL1" s="87" t="n"/>
      <c r="KLM1" s="87" t="n"/>
      <c r="KLN1" s="87" t="n"/>
      <c r="KLO1" s="87" t="n"/>
      <c r="KLP1" s="87" t="n"/>
      <c r="KLQ1" s="87" t="n"/>
      <c r="KLR1" s="87" t="n"/>
      <c r="KLS1" s="87" t="n"/>
      <c r="KLT1" s="87" t="n"/>
      <c r="KLU1" s="87" t="n"/>
      <c r="KLV1" s="87" t="n"/>
      <c r="KLW1" s="87" t="n"/>
      <c r="KLX1" s="87" t="n"/>
      <c r="KLY1" s="87" t="n"/>
      <c r="KLZ1" s="87" t="n"/>
      <c r="KMA1" s="87" t="n"/>
      <c r="KMB1" s="87" t="n"/>
      <c r="KMC1" s="87" t="n"/>
      <c r="KMD1" s="87" t="n"/>
      <c r="KME1" s="87" t="n"/>
      <c r="KMF1" s="87" t="n"/>
      <c r="KMG1" s="87" t="n"/>
      <c r="KMH1" s="87" t="n"/>
      <c r="KMI1" s="87" t="n"/>
      <c r="KMJ1" s="87" t="n"/>
      <c r="KMK1" s="87" t="n"/>
      <c r="KML1" s="87" t="n"/>
      <c r="KMM1" s="87" t="n"/>
      <c r="KMN1" s="87" t="n"/>
      <c r="KMO1" s="87" t="n"/>
      <c r="KMP1" s="87" t="n"/>
      <c r="KMQ1" s="87" t="n"/>
      <c r="KMR1" s="87" t="n"/>
      <c r="KMS1" s="87" t="n"/>
      <c r="KMT1" s="87" t="n"/>
      <c r="KMU1" s="87" t="n"/>
      <c r="KMV1" s="87" t="n"/>
      <c r="KMW1" s="87" t="n"/>
      <c r="KMX1" s="87" t="n"/>
      <c r="KMY1" s="87" t="n"/>
      <c r="KMZ1" s="87" t="n"/>
      <c r="KNA1" s="87" t="n"/>
      <c r="KNB1" s="87" t="n"/>
      <c r="KNC1" s="87" t="n"/>
      <c r="KND1" s="87" t="n"/>
      <c r="KNE1" s="87" t="n"/>
      <c r="KNF1" s="87" t="n"/>
      <c r="KNG1" s="87" t="n"/>
      <c r="KNH1" s="87" t="n"/>
      <c r="KNI1" s="87" t="n"/>
      <c r="KNJ1" s="87" t="n"/>
      <c r="KNK1" s="87" t="n"/>
      <c r="KNL1" s="87" t="n"/>
      <c r="KNM1" s="87" t="n"/>
      <c r="KNN1" s="87" t="n"/>
      <c r="KNO1" s="87" t="n"/>
      <c r="KNP1" s="87" t="n"/>
      <c r="KNQ1" s="87" t="n"/>
      <c r="KNR1" s="87" t="n"/>
      <c r="KNS1" s="87" t="n"/>
      <c r="KNT1" s="87" t="n"/>
      <c r="KNU1" s="87" t="n"/>
      <c r="KNV1" s="87" t="n"/>
      <c r="KNW1" s="87" t="n"/>
      <c r="KNX1" s="87" t="n"/>
      <c r="KNY1" s="87" t="n"/>
      <c r="KNZ1" s="87" t="n"/>
      <c r="KOA1" s="87" t="n"/>
      <c r="KOB1" s="87" t="n"/>
      <c r="KOC1" s="87" t="n"/>
      <c r="KOD1" s="87" t="n"/>
      <c r="KOE1" s="87" t="n"/>
      <c r="KOF1" s="87" t="n"/>
      <c r="KOG1" s="87" t="n"/>
      <c r="KOH1" s="87" t="n"/>
      <c r="KOI1" s="87" t="n"/>
      <c r="KOJ1" s="87" t="n"/>
      <c r="KOK1" s="87" t="n"/>
      <c r="KOL1" s="87" t="n"/>
      <c r="KOM1" s="87" t="n"/>
      <c r="KON1" s="87" t="n"/>
      <c r="KOO1" s="87" t="n"/>
      <c r="KOP1" s="87" t="n"/>
      <c r="KOQ1" s="87" t="n"/>
      <c r="KOR1" s="87" t="n"/>
      <c r="KOS1" s="87" t="n"/>
      <c r="KOT1" s="87" t="n"/>
      <c r="KOU1" s="87" t="n"/>
      <c r="KOV1" s="87" t="n"/>
      <c r="KOW1" s="87" t="n"/>
      <c r="KOX1" s="87" t="n"/>
      <c r="KOY1" s="87" t="n"/>
      <c r="KOZ1" s="87" t="n"/>
      <c r="KPA1" s="87" t="n"/>
      <c r="KPB1" s="87" t="n"/>
      <c r="KPC1" s="87" t="n"/>
      <c r="KPD1" s="87" t="n"/>
      <c r="KPE1" s="87" t="n"/>
      <c r="KPF1" s="87" t="n"/>
      <c r="KPG1" s="87" t="n"/>
      <c r="KPH1" s="87" t="n"/>
      <c r="KPI1" s="87" t="n"/>
      <c r="KPJ1" s="87" t="n"/>
      <c r="KPK1" s="87" t="n"/>
      <c r="KPL1" s="87" t="n"/>
      <c r="KPM1" s="87" t="n"/>
      <c r="KPN1" s="87" t="n"/>
      <c r="KPO1" s="87" t="n"/>
      <c r="KPP1" s="87" t="n"/>
      <c r="KPQ1" s="87" t="n"/>
      <c r="KPR1" s="87" t="n"/>
      <c r="KPS1" s="87" t="n"/>
      <c r="KPT1" s="87" t="n"/>
      <c r="KPU1" s="87" t="n"/>
      <c r="KPV1" s="87" t="n"/>
      <c r="KPW1" s="87" t="n"/>
      <c r="KPX1" s="87" t="n"/>
      <c r="KPY1" s="87" t="n"/>
      <c r="KPZ1" s="87" t="n"/>
      <c r="KQA1" s="87" t="n"/>
      <c r="KQB1" s="87" t="n"/>
      <c r="KQC1" s="87" t="n"/>
      <c r="KQD1" s="87" t="n"/>
      <c r="KQE1" s="87" t="n"/>
      <c r="KQF1" s="87" t="n"/>
      <c r="KQG1" s="87" t="n"/>
      <c r="KQH1" s="87" t="n"/>
      <c r="KQI1" s="87" t="n"/>
      <c r="KQJ1" s="87" t="n"/>
      <c r="KQK1" s="87" t="n"/>
      <c r="KQL1" s="87" t="n"/>
      <c r="KQM1" s="87" t="n"/>
      <c r="KQN1" s="87" t="n"/>
      <c r="KQO1" s="87" t="n"/>
      <c r="KQP1" s="87" t="n"/>
      <c r="KQQ1" s="87" t="n"/>
      <c r="KQR1" s="87" t="n"/>
      <c r="KQS1" s="87" t="n"/>
      <c r="KQT1" s="87" t="n"/>
      <c r="KQU1" s="87" t="n"/>
      <c r="KQV1" s="87" t="n"/>
      <c r="KQW1" s="87" t="n"/>
      <c r="KQX1" s="87" t="n"/>
      <c r="KQY1" s="87" t="n"/>
      <c r="KQZ1" s="87" t="n"/>
      <c r="KRA1" s="87" t="n"/>
      <c r="KRB1" s="87" t="n"/>
      <c r="KRC1" s="87" t="n"/>
      <c r="KRD1" s="87" t="n"/>
      <c r="KRE1" s="87" t="n"/>
      <c r="KRF1" s="87" t="n"/>
      <c r="KRG1" s="87" t="n"/>
      <c r="KRH1" s="87" t="n"/>
      <c r="KRI1" s="87" t="n"/>
      <c r="KRJ1" s="87" t="n"/>
      <c r="KRK1" s="87" t="n"/>
      <c r="KRL1" s="87" t="n"/>
      <c r="KRM1" s="87" t="n"/>
      <c r="KRN1" s="87" t="n"/>
      <c r="KRO1" s="87" t="n"/>
      <c r="KRP1" s="87" t="n"/>
      <c r="KRQ1" s="87" t="n"/>
      <c r="KRR1" s="87" t="n"/>
      <c r="KRS1" s="87" t="n"/>
      <c r="KRT1" s="87" t="n"/>
      <c r="KRU1" s="87" t="n"/>
      <c r="KRV1" s="87" t="n"/>
      <c r="KRW1" s="87" t="n"/>
      <c r="KRX1" s="87" t="n"/>
      <c r="KRY1" s="87" t="n"/>
      <c r="KRZ1" s="87" t="n"/>
      <c r="KSA1" s="87" t="n"/>
      <c r="KSB1" s="87" t="n"/>
      <c r="KSC1" s="87" t="n"/>
      <c r="KSD1" s="87" t="n"/>
      <c r="KSE1" s="87" t="n"/>
      <c r="KSF1" s="87" t="n"/>
      <c r="KSG1" s="87" t="n"/>
      <c r="KSH1" s="87" t="n"/>
      <c r="KSI1" s="87" t="n"/>
      <c r="KSJ1" s="87" t="n"/>
      <c r="KSK1" s="87" t="n"/>
      <c r="KSL1" s="87" t="n"/>
      <c r="KSM1" s="87" t="n"/>
      <c r="KSN1" s="87" t="n"/>
      <c r="KSO1" s="87" t="n"/>
      <c r="KSP1" s="87" t="n"/>
      <c r="KSQ1" s="87" t="n"/>
      <c r="KSR1" s="87" t="n"/>
      <c r="KSS1" s="87" t="n"/>
      <c r="KST1" s="87" t="n"/>
      <c r="KSU1" s="87" t="n"/>
      <c r="KSV1" s="87" t="n"/>
      <c r="KSW1" s="87" t="n"/>
      <c r="KSX1" s="87" t="n"/>
      <c r="KSY1" s="87" t="n"/>
      <c r="KSZ1" s="87" t="n"/>
      <c r="KTA1" s="87" t="n"/>
      <c r="KTB1" s="87" t="n"/>
      <c r="KTC1" s="87" t="n"/>
      <c r="KTD1" s="87" t="n"/>
      <c r="KTE1" s="87" t="n"/>
      <c r="KTF1" s="87" t="n"/>
      <c r="KTG1" s="87" t="n"/>
      <c r="KTH1" s="87" t="n"/>
      <c r="KTI1" s="87" t="n"/>
      <c r="KTJ1" s="87" t="n"/>
      <c r="KTK1" s="87" t="n"/>
      <c r="KTL1" s="87" t="n"/>
      <c r="KTM1" s="87" t="n"/>
      <c r="KTN1" s="87" t="n"/>
      <c r="KTO1" s="87" t="n"/>
      <c r="KTP1" s="87" t="n"/>
      <c r="KTQ1" s="87" t="n"/>
      <c r="KTR1" s="87" t="n"/>
      <c r="KTS1" s="87" t="n"/>
      <c r="KTT1" s="87" t="n"/>
      <c r="KTU1" s="87" t="n"/>
      <c r="KTV1" s="87" t="n"/>
      <c r="KTW1" s="87" t="n"/>
      <c r="KTX1" s="87" t="n"/>
      <c r="KTY1" s="87" t="n"/>
      <c r="KTZ1" s="87" t="n"/>
      <c r="KUA1" s="87" t="n"/>
      <c r="KUB1" s="87" t="n"/>
      <c r="KUC1" s="87" t="n"/>
      <c r="KUD1" s="87" t="n"/>
      <c r="KUE1" s="87" t="n"/>
      <c r="KUF1" s="87" t="n"/>
      <c r="KUG1" s="87" t="n"/>
      <c r="KUH1" s="87" t="n"/>
      <c r="KUI1" s="87" t="n"/>
      <c r="KUJ1" s="87" t="n"/>
      <c r="KUK1" s="87" t="n"/>
      <c r="KUL1" s="87" t="n"/>
      <c r="KUM1" s="87" t="n"/>
      <c r="KUN1" s="87" t="n"/>
      <c r="KUO1" s="87" t="n"/>
      <c r="KUP1" s="87" t="n"/>
      <c r="KUQ1" s="87" t="n"/>
      <c r="KUR1" s="87" t="n"/>
      <c r="KUS1" s="87" t="n"/>
      <c r="KUT1" s="87" t="n"/>
      <c r="KUU1" s="87" t="n"/>
      <c r="KUV1" s="87" t="n"/>
      <c r="KUW1" s="87" t="n"/>
      <c r="KUX1" s="87" t="n"/>
      <c r="KUY1" s="87" t="n"/>
      <c r="KUZ1" s="87" t="n"/>
      <c r="KVA1" s="87" t="n"/>
      <c r="KVB1" s="87" t="n"/>
      <c r="KVC1" s="87" t="n"/>
      <c r="KVD1" s="87" t="n"/>
      <c r="KVE1" s="87" t="n"/>
      <c r="KVF1" s="87" t="n"/>
      <c r="KVG1" s="87" t="n"/>
      <c r="KVH1" s="87" t="n"/>
      <c r="KVI1" s="87" t="n"/>
      <c r="KVJ1" s="87" t="n"/>
      <c r="KVK1" s="87" t="n"/>
      <c r="KVL1" s="87" t="n"/>
      <c r="KVM1" s="87" t="n"/>
      <c r="KVN1" s="87" t="n"/>
      <c r="KVO1" s="87" t="n"/>
      <c r="KVP1" s="87" t="n"/>
      <c r="KVQ1" s="87" t="n"/>
      <c r="KVR1" s="87" t="n"/>
      <c r="KVS1" s="87" t="n"/>
      <c r="KVT1" s="87" t="n"/>
      <c r="KVU1" s="87" t="n"/>
      <c r="KVV1" s="87" t="n"/>
      <c r="KVW1" s="87" t="n"/>
      <c r="KVX1" s="87" t="n"/>
      <c r="KVY1" s="87" t="n"/>
      <c r="KVZ1" s="87" t="n"/>
      <c r="KWA1" s="87" t="n"/>
      <c r="KWB1" s="87" t="n"/>
      <c r="KWC1" s="87" t="n"/>
      <c r="KWD1" s="87" t="n"/>
      <c r="KWE1" s="87" t="n"/>
      <c r="KWF1" s="87" t="n"/>
      <c r="KWG1" s="87" t="n"/>
      <c r="KWH1" s="87" t="n"/>
      <c r="KWI1" s="87" t="n"/>
      <c r="KWJ1" s="87" t="n"/>
      <c r="KWK1" s="87" t="n"/>
      <c r="KWL1" s="87" t="n"/>
      <c r="KWM1" s="87" t="n"/>
      <c r="KWN1" s="87" t="n"/>
      <c r="KWO1" s="87" t="n"/>
      <c r="KWP1" s="87" t="n"/>
      <c r="KWQ1" s="87" t="n"/>
      <c r="KWR1" s="87" t="n"/>
      <c r="KWS1" s="87" t="n"/>
      <c r="KWT1" s="87" t="n"/>
      <c r="KWU1" s="87" t="n"/>
      <c r="KWV1" s="87" t="n"/>
      <c r="KWW1" s="87" t="n"/>
      <c r="KWX1" s="87" t="n"/>
      <c r="KWY1" s="87" t="n"/>
      <c r="KWZ1" s="87" t="n"/>
      <c r="KXA1" s="87" t="n"/>
      <c r="KXB1" s="87" t="n"/>
      <c r="KXC1" s="87" t="n"/>
      <c r="KXD1" s="87" t="n"/>
      <c r="KXE1" s="87" t="n"/>
      <c r="KXF1" s="87" t="n"/>
      <c r="KXG1" s="87" t="n"/>
      <c r="KXH1" s="87" t="n"/>
      <c r="KXI1" s="87" t="n"/>
      <c r="KXJ1" s="87" t="n"/>
      <c r="KXK1" s="87" t="n"/>
      <c r="KXL1" s="87" t="n"/>
      <c r="KXM1" s="87" t="n"/>
      <c r="KXN1" s="87" t="n"/>
      <c r="KXO1" s="87" t="n"/>
      <c r="KXP1" s="87" t="n"/>
      <c r="KXQ1" s="87" t="n"/>
      <c r="KXR1" s="87" t="n"/>
      <c r="KXS1" s="87" t="n"/>
      <c r="KXT1" s="87" t="n"/>
      <c r="KXU1" s="87" t="n"/>
      <c r="KXV1" s="87" t="n"/>
      <c r="KXW1" s="87" t="n"/>
      <c r="KXX1" s="87" t="n"/>
      <c r="KXY1" s="87" t="n"/>
      <c r="KXZ1" s="87" t="n"/>
      <c r="KYA1" s="87" t="n"/>
      <c r="KYB1" s="87" t="n"/>
      <c r="KYC1" s="87" t="n"/>
      <c r="KYD1" s="87" t="n"/>
      <c r="KYE1" s="87" t="n"/>
      <c r="KYF1" s="87" t="n"/>
      <c r="KYG1" s="87" t="n"/>
      <c r="KYH1" s="87" t="n"/>
      <c r="KYI1" s="87" t="n"/>
      <c r="KYJ1" s="87" t="n"/>
      <c r="KYK1" s="87" t="n"/>
      <c r="KYL1" s="87" t="n"/>
      <c r="KYM1" s="87" t="n"/>
      <c r="KYN1" s="87" t="n"/>
      <c r="KYO1" s="87" t="n"/>
      <c r="KYP1" s="87" t="n"/>
      <c r="KYQ1" s="87" t="n"/>
      <c r="KYR1" s="87" t="n"/>
      <c r="KYS1" s="87" t="n"/>
      <c r="KYT1" s="87" t="n"/>
      <c r="KYU1" s="87" t="n"/>
      <c r="KYV1" s="87" t="n"/>
      <c r="KYW1" s="87" t="n"/>
      <c r="KYX1" s="87" t="n"/>
      <c r="KYY1" s="87" t="n"/>
      <c r="KYZ1" s="87" t="n"/>
      <c r="KZA1" s="87" t="n"/>
      <c r="KZB1" s="87" t="n"/>
      <c r="KZC1" s="87" t="n"/>
      <c r="KZD1" s="87" t="n"/>
      <c r="KZE1" s="87" t="n"/>
      <c r="KZF1" s="87" t="n"/>
      <c r="KZG1" s="87" t="n"/>
      <c r="KZH1" s="87" t="n"/>
      <c r="KZI1" s="87" t="n"/>
      <c r="KZJ1" s="87" t="n"/>
      <c r="KZK1" s="87" t="n"/>
      <c r="KZL1" s="87" t="n"/>
      <c r="KZM1" s="87" t="n"/>
      <c r="KZN1" s="87" t="n"/>
      <c r="KZO1" s="87" t="n"/>
      <c r="KZP1" s="87" t="n"/>
      <c r="KZQ1" s="87" t="n"/>
      <c r="KZR1" s="87" t="n"/>
      <c r="KZS1" s="87" t="n"/>
      <c r="KZT1" s="87" t="n"/>
      <c r="KZU1" s="87" t="n"/>
      <c r="KZV1" s="87" t="n"/>
      <c r="KZW1" s="87" t="n"/>
      <c r="KZX1" s="87" t="n"/>
      <c r="KZY1" s="87" t="n"/>
      <c r="KZZ1" s="87" t="n"/>
      <c r="LAA1" s="87" t="n"/>
      <c r="LAB1" s="87" t="n"/>
      <c r="LAC1" s="87" t="n"/>
      <c r="LAD1" s="87" t="n"/>
      <c r="LAE1" s="87" t="n"/>
      <c r="LAF1" s="87" t="n"/>
      <c r="LAG1" s="87" t="n"/>
      <c r="LAH1" s="87" t="n"/>
      <c r="LAI1" s="87" t="n"/>
      <c r="LAJ1" s="87" t="n"/>
      <c r="LAK1" s="87" t="n"/>
      <c r="LAL1" s="87" t="n"/>
      <c r="LAM1" s="87" t="n"/>
      <c r="LAN1" s="87" t="n"/>
      <c r="LAO1" s="87" t="n"/>
      <c r="LAP1" s="87" t="n"/>
      <c r="LAQ1" s="87" t="n"/>
      <c r="LAR1" s="87" t="n"/>
      <c r="LAS1" s="87" t="n"/>
      <c r="LAT1" s="87" t="n"/>
      <c r="LAU1" s="87" t="n"/>
      <c r="LAV1" s="87" t="n"/>
      <c r="LAW1" s="87" t="n"/>
      <c r="LAX1" s="87" t="n"/>
      <c r="LAY1" s="87" t="n"/>
      <c r="LAZ1" s="87" t="n"/>
      <c r="LBA1" s="87" t="n"/>
      <c r="LBB1" s="87" t="n"/>
      <c r="LBC1" s="87" t="n"/>
      <c r="LBD1" s="87" t="n"/>
      <c r="LBE1" s="87" t="n"/>
      <c r="LBF1" s="87" t="n"/>
      <c r="LBG1" s="87" t="n"/>
      <c r="LBH1" s="87" t="n"/>
      <c r="LBI1" s="87" t="n"/>
      <c r="LBJ1" s="87" t="n"/>
      <c r="LBK1" s="87" t="n"/>
      <c r="LBL1" s="87" t="n"/>
      <c r="LBM1" s="87" t="n"/>
      <c r="LBN1" s="87" t="n"/>
      <c r="LBO1" s="87" t="n"/>
      <c r="LBP1" s="87" t="n"/>
      <c r="LBQ1" s="87" t="n"/>
      <c r="LBR1" s="87" t="n"/>
      <c r="LBS1" s="87" t="n"/>
      <c r="LBT1" s="87" t="n"/>
      <c r="LBU1" s="87" t="n"/>
      <c r="LBV1" s="87" t="n"/>
      <c r="LBW1" s="87" t="n"/>
      <c r="LBX1" s="87" t="n"/>
      <c r="LBY1" s="87" t="n"/>
      <c r="LBZ1" s="87" t="n"/>
      <c r="LCA1" s="87" t="n"/>
      <c r="LCB1" s="87" t="n"/>
      <c r="LCC1" s="87" t="n"/>
      <c r="LCD1" s="87" t="n"/>
      <c r="LCE1" s="87" t="n"/>
      <c r="LCF1" s="87" t="n"/>
      <c r="LCG1" s="87" t="n"/>
      <c r="LCH1" s="87" t="n"/>
      <c r="LCI1" s="87" t="n"/>
      <c r="LCJ1" s="87" t="n"/>
      <c r="LCK1" s="87" t="n"/>
      <c r="LCL1" s="87" t="n"/>
      <c r="LCM1" s="87" t="n"/>
      <c r="LCN1" s="87" t="n"/>
      <c r="LCO1" s="87" t="n"/>
      <c r="LCP1" s="87" t="n"/>
      <c r="LCQ1" s="87" t="n"/>
      <c r="LCR1" s="87" t="n"/>
      <c r="LCS1" s="87" t="n"/>
      <c r="LCT1" s="87" t="n"/>
      <c r="LCU1" s="87" t="n"/>
      <c r="LCV1" s="87" t="n"/>
      <c r="LCW1" s="87" t="n"/>
      <c r="LCX1" s="87" t="n"/>
      <c r="LCY1" s="87" t="n"/>
      <c r="LCZ1" s="87" t="n"/>
      <c r="LDA1" s="87" t="n"/>
      <c r="LDB1" s="87" t="n"/>
      <c r="LDC1" s="87" t="n"/>
      <c r="LDD1" s="87" t="n"/>
      <c r="LDE1" s="87" t="n"/>
      <c r="LDF1" s="87" t="n"/>
      <c r="LDG1" s="87" t="n"/>
      <c r="LDH1" s="87" t="n"/>
      <c r="LDI1" s="87" t="n"/>
      <c r="LDJ1" s="87" t="n"/>
      <c r="LDK1" s="87" t="n"/>
      <c r="LDL1" s="87" t="n"/>
      <c r="LDM1" s="87" t="n"/>
      <c r="LDN1" s="87" t="n"/>
      <c r="LDO1" s="87" t="n"/>
      <c r="LDP1" s="87" t="n"/>
      <c r="LDQ1" s="87" t="n"/>
      <c r="LDR1" s="87" t="n"/>
      <c r="LDS1" s="87" t="n"/>
      <c r="LDT1" s="87" t="n"/>
      <c r="LDU1" s="87" t="n"/>
      <c r="LDV1" s="87" t="n"/>
      <c r="LDW1" s="87" t="n"/>
      <c r="LDX1" s="87" t="n"/>
      <c r="LDY1" s="87" t="n"/>
      <c r="LDZ1" s="87" t="n"/>
      <c r="LEA1" s="87" t="n"/>
      <c r="LEB1" s="87" t="n"/>
      <c r="LEC1" s="87" t="n"/>
      <c r="LED1" s="87" t="n"/>
      <c r="LEE1" s="87" t="n"/>
      <c r="LEF1" s="87" t="n"/>
      <c r="LEG1" s="87" t="n"/>
      <c r="LEH1" s="87" t="n"/>
      <c r="LEI1" s="87" t="n"/>
      <c r="LEJ1" s="87" t="n"/>
      <c r="LEK1" s="87" t="n"/>
      <c r="LEL1" s="87" t="n"/>
      <c r="LEM1" s="87" t="n"/>
      <c r="LEN1" s="87" t="n"/>
      <c r="LEO1" s="87" t="n"/>
      <c r="LEP1" s="87" t="n"/>
      <c r="LEQ1" s="87" t="n"/>
      <c r="LER1" s="87" t="n"/>
      <c r="LES1" s="87" t="n"/>
      <c r="LET1" s="87" t="n"/>
      <c r="LEU1" s="87" t="n"/>
      <c r="LEV1" s="87" t="n"/>
      <c r="LEW1" s="87" t="n"/>
      <c r="LEX1" s="87" t="n"/>
      <c r="LEY1" s="87" t="n"/>
      <c r="LEZ1" s="87" t="n"/>
      <c r="LFA1" s="87" t="n"/>
      <c r="LFB1" s="87" t="n"/>
      <c r="LFC1" s="87" t="n"/>
      <c r="LFD1" s="87" t="n"/>
      <c r="LFE1" s="87" t="n"/>
      <c r="LFF1" s="87" t="n"/>
      <c r="LFG1" s="87" t="n"/>
      <c r="LFH1" s="87" t="n"/>
      <c r="LFI1" s="87" t="n"/>
      <c r="LFJ1" s="87" t="n"/>
      <c r="LFK1" s="87" t="n"/>
      <c r="LFL1" s="87" t="n"/>
      <c r="LFM1" s="87" t="n"/>
      <c r="LFN1" s="87" t="n"/>
      <c r="LFO1" s="87" t="n"/>
      <c r="LFP1" s="87" t="n"/>
      <c r="LFQ1" s="87" t="n"/>
      <c r="LFR1" s="87" t="n"/>
      <c r="LFS1" s="87" t="n"/>
      <c r="LFT1" s="87" t="n"/>
      <c r="LFU1" s="87" t="n"/>
      <c r="LFV1" s="87" t="n"/>
      <c r="LFW1" s="87" t="n"/>
      <c r="LFX1" s="87" t="n"/>
      <c r="LFY1" s="87" t="n"/>
      <c r="LFZ1" s="87" t="n"/>
      <c r="LGA1" s="87" t="n"/>
      <c r="LGB1" s="87" t="n"/>
      <c r="LGC1" s="87" t="n"/>
      <c r="LGD1" s="87" t="n"/>
      <c r="LGE1" s="87" t="n"/>
      <c r="LGF1" s="87" t="n"/>
      <c r="LGG1" s="87" t="n"/>
      <c r="LGH1" s="87" t="n"/>
      <c r="LGI1" s="87" t="n"/>
      <c r="LGJ1" s="87" t="n"/>
      <c r="LGK1" s="87" t="n"/>
      <c r="LGL1" s="87" t="n"/>
      <c r="LGM1" s="87" t="n"/>
      <c r="LGN1" s="87" t="n"/>
      <c r="LGO1" s="87" t="n"/>
      <c r="LGP1" s="87" t="n"/>
      <c r="LGQ1" s="87" t="n"/>
      <c r="LGR1" s="87" t="n"/>
      <c r="LGS1" s="87" t="n"/>
      <c r="LGT1" s="87" t="n"/>
      <c r="LGU1" s="87" t="n"/>
      <c r="LGV1" s="87" t="n"/>
      <c r="LGW1" s="87" t="n"/>
      <c r="LGX1" s="87" t="n"/>
      <c r="LGY1" s="87" t="n"/>
      <c r="LGZ1" s="87" t="n"/>
      <c r="LHA1" s="87" t="n"/>
      <c r="LHB1" s="87" t="n"/>
      <c r="LHC1" s="87" t="n"/>
      <c r="LHD1" s="87" t="n"/>
      <c r="LHE1" s="87" t="n"/>
      <c r="LHF1" s="87" t="n"/>
      <c r="LHG1" s="87" t="n"/>
      <c r="LHH1" s="87" t="n"/>
      <c r="LHI1" s="87" t="n"/>
      <c r="LHJ1" s="87" t="n"/>
      <c r="LHK1" s="87" t="n"/>
      <c r="LHL1" s="87" t="n"/>
      <c r="LHM1" s="87" t="n"/>
      <c r="LHN1" s="87" t="n"/>
      <c r="LHO1" s="87" t="n"/>
      <c r="LHP1" s="87" t="n"/>
      <c r="LHQ1" s="87" t="n"/>
      <c r="LHR1" s="87" t="n"/>
      <c r="LHS1" s="87" t="n"/>
      <c r="LHT1" s="87" t="n"/>
      <c r="LHU1" s="87" t="n"/>
      <c r="LHV1" s="87" t="n"/>
      <c r="LHW1" s="87" t="n"/>
      <c r="LHX1" s="87" t="n"/>
      <c r="LHY1" s="87" t="n"/>
      <c r="LHZ1" s="87" t="n"/>
      <c r="LIA1" s="87" t="n"/>
      <c r="LIB1" s="87" t="n"/>
      <c r="LIC1" s="87" t="n"/>
      <c r="LID1" s="87" t="n"/>
      <c r="LIE1" s="87" t="n"/>
      <c r="LIF1" s="87" t="n"/>
      <c r="LIG1" s="87" t="n"/>
      <c r="LIH1" s="87" t="n"/>
      <c r="LII1" s="87" t="n"/>
      <c r="LIJ1" s="87" t="n"/>
      <c r="LIK1" s="87" t="n"/>
      <c r="LIL1" s="87" t="n"/>
      <c r="LIM1" s="87" t="n"/>
      <c r="LIN1" s="87" t="n"/>
      <c r="LIO1" s="87" t="n"/>
      <c r="LIP1" s="87" t="n"/>
      <c r="LIQ1" s="87" t="n"/>
      <c r="LIR1" s="87" t="n"/>
      <c r="LIS1" s="87" t="n"/>
      <c r="LIT1" s="87" t="n"/>
      <c r="LIU1" s="87" t="n"/>
      <c r="LIV1" s="87" t="n"/>
      <c r="LIW1" s="87" t="n"/>
      <c r="LIX1" s="87" t="n"/>
      <c r="LIY1" s="87" t="n"/>
      <c r="LIZ1" s="87" t="n"/>
      <c r="LJA1" s="87" t="n"/>
      <c r="LJB1" s="87" t="n"/>
      <c r="LJC1" s="87" t="n"/>
      <c r="LJD1" s="87" t="n"/>
      <c r="LJE1" s="87" t="n"/>
      <c r="LJF1" s="87" t="n"/>
      <c r="LJG1" s="87" t="n"/>
      <c r="LJH1" s="87" t="n"/>
      <c r="LJI1" s="87" t="n"/>
      <c r="LJJ1" s="87" t="n"/>
      <c r="LJK1" s="87" t="n"/>
      <c r="LJL1" s="87" t="n"/>
      <c r="LJM1" s="87" t="n"/>
      <c r="LJN1" s="87" t="n"/>
      <c r="LJO1" s="87" t="n"/>
      <c r="LJP1" s="87" t="n"/>
      <c r="LJQ1" s="87" t="n"/>
      <c r="LJR1" s="87" t="n"/>
      <c r="LJS1" s="87" t="n"/>
      <c r="LJT1" s="87" t="n"/>
      <c r="LJU1" s="87" t="n"/>
      <c r="LJV1" s="87" t="n"/>
      <c r="LJW1" s="87" t="n"/>
      <c r="LJX1" s="87" t="n"/>
      <c r="LJY1" s="87" t="n"/>
      <c r="LJZ1" s="87" t="n"/>
      <c r="LKA1" s="87" t="n"/>
      <c r="LKB1" s="87" t="n"/>
      <c r="LKC1" s="87" t="n"/>
      <c r="LKD1" s="87" t="n"/>
      <c r="LKE1" s="87" t="n"/>
      <c r="LKF1" s="87" t="n"/>
      <c r="LKG1" s="87" t="n"/>
      <c r="LKH1" s="87" t="n"/>
      <c r="LKI1" s="87" t="n"/>
      <c r="LKJ1" s="87" t="n"/>
      <c r="LKK1" s="87" t="n"/>
      <c r="LKL1" s="87" t="n"/>
      <c r="LKM1" s="87" t="n"/>
      <c r="LKN1" s="87" t="n"/>
      <c r="LKO1" s="87" t="n"/>
      <c r="LKP1" s="87" t="n"/>
      <c r="LKQ1" s="87" t="n"/>
      <c r="LKR1" s="87" t="n"/>
      <c r="LKS1" s="87" t="n"/>
      <c r="LKT1" s="87" t="n"/>
      <c r="LKU1" s="87" t="n"/>
      <c r="LKV1" s="87" t="n"/>
      <c r="LKW1" s="87" t="n"/>
      <c r="LKX1" s="87" t="n"/>
      <c r="LKY1" s="87" t="n"/>
      <c r="LKZ1" s="87" t="n"/>
      <c r="LLA1" s="87" t="n"/>
      <c r="LLB1" s="87" t="n"/>
      <c r="LLC1" s="87" t="n"/>
      <c r="LLD1" s="87" t="n"/>
      <c r="LLE1" s="87" t="n"/>
      <c r="LLF1" s="87" t="n"/>
      <c r="LLG1" s="87" t="n"/>
      <c r="LLH1" s="87" t="n"/>
      <c r="LLI1" s="87" t="n"/>
      <c r="LLJ1" s="87" t="n"/>
      <c r="LLK1" s="87" t="n"/>
      <c r="LLL1" s="87" t="n"/>
      <c r="LLM1" s="87" t="n"/>
      <c r="LLN1" s="87" t="n"/>
      <c r="LLO1" s="87" t="n"/>
      <c r="LLP1" s="87" t="n"/>
      <c r="LLQ1" s="87" t="n"/>
      <c r="LLR1" s="87" t="n"/>
      <c r="LLS1" s="87" t="n"/>
      <c r="LLT1" s="87" t="n"/>
      <c r="LLU1" s="87" t="n"/>
      <c r="LLV1" s="87" t="n"/>
      <c r="LLW1" s="87" t="n"/>
      <c r="LLX1" s="87" t="n"/>
      <c r="LLY1" s="87" t="n"/>
      <c r="LLZ1" s="87" t="n"/>
      <c r="LMA1" s="87" t="n"/>
      <c r="LMB1" s="87" t="n"/>
      <c r="LMC1" s="87" t="n"/>
      <c r="LMD1" s="87" t="n"/>
      <c r="LME1" s="87" t="n"/>
      <c r="LMF1" s="87" t="n"/>
      <c r="LMG1" s="87" t="n"/>
      <c r="LMH1" s="87" t="n"/>
      <c r="LMI1" s="87" t="n"/>
      <c r="LMJ1" s="87" t="n"/>
      <c r="LMK1" s="87" t="n"/>
      <c r="LML1" s="87" t="n"/>
      <c r="LMM1" s="87" t="n"/>
      <c r="LMN1" s="87" t="n"/>
      <c r="LMO1" s="87" t="n"/>
      <c r="LMP1" s="87" t="n"/>
      <c r="LMQ1" s="87" t="n"/>
      <c r="LMR1" s="87" t="n"/>
      <c r="LMS1" s="87" t="n"/>
      <c r="LMT1" s="87" t="n"/>
      <c r="LMU1" s="87" t="n"/>
      <c r="LMV1" s="87" t="n"/>
      <c r="LMW1" s="87" t="n"/>
      <c r="LMX1" s="87" t="n"/>
      <c r="LMY1" s="87" t="n"/>
      <c r="LMZ1" s="87" t="n"/>
      <c r="LNA1" s="87" t="n"/>
      <c r="LNB1" s="87" t="n"/>
      <c r="LNC1" s="87" t="n"/>
      <c r="LND1" s="87" t="n"/>
      <c r="LNE1" s="87" t="n"/>
      <c r="LNF1" s="87" t="n"/>
      <c r="LNG1" s="87" t="n"/>
      <c r="LNH1" s="87" t="n"/>
      <c r="LNI1" s="87" t="n"/>
      <c r="LNJ1" s="87" t="n"/>
      <c r="LNK1" s="87" t="n"/>
      <c r="LNL1" s="87" t="n"/>
      <c r="LNM1" s="87" t="n"/>
      <c r="LNN1" s="87" t="n"/>
      <c r="LNO1" s="87" t="n"/>
      <c r="LNP1" s="87" t="n"/>
      <c r="LNQ1" s="87" t="n"/>
      <c r="LNR1" s="87" t="n"/>
      <c r="LNS1" s="87" t="n"/>
      <c r="LNT1" s="87" t="n"/>
      <c r="LNU1" s="87" t="n"/>
      <c r="LNV1" s="87" t="n"/>
      <c r="LNW1" s="87" t="n"/>
      <c r="LNX1" s="87" t="n"/>
      <c r="LNY1" s="87" t="n"/>
      <c r="LNZ1" s="87" t="n"/>
      <c r="LOA1" s="87" t="n"/>
      <c r="LOB1" s="87" t="n"/>
      <c r="LOC1" s="87" t="n"/>
      <c r="LOD1" s="87" t="n"/>
      <c r="LOE1" s="87" t="n"/>
      <c r="LOF1" s="87" t="n"/>
      <c r="LOG1" s="87" t="n"/>
      <c r="LOH1" s="87" t="n"/>
      <c r="LOI1" s="87" t="n"/>
      <c r="LOJ1" s="87" t="n"/>
      <c r="LOK1" s="87" t="n"/>
      <c r="LOL1" s="87" t="n"/>
      <c r="LOM1" s="87" t="n"/>
      <c r="LON1" s="87" t="n"/>
      <c r="LOO1" s="87" t="n"/>
      <c r="LOP1" s="87" t="n"/>
      <c r="LOQ1" s="87" t="n"/>
      <c r="LOR1" s="87" t="n"/>
      <c r="LOS1" s="87" t="n"/>
      <c r="LOT1" s="87" t="n"/>
      <c r="LOU1" s="87" t="n"/>
      <c r="LOV1" s="87" t="n"/>
      <c r="LOW1" s="87" t="n"/>
      <c r="LOX1" s="87" t="n"/>
      <c r="LOY1" s="87" t="n"/>
      <c r="LOZ1" s="87" t="n"/>
      <c r="LPA1" s="87" t="n"/>
      <c r="LPB1" s="87" t="n"/>
      <c r="LPC1" s="87" t="n"/>
      <c r="LPD1" s="87" t="n"/>
      <c r="LPE1" s="87" t="n"/>
      <c r="LPF1" s="87" t="n"/>
      <c r="LPG1" s="87" t="n"/>
      <c r="LPH1" s="87" t="n"/>
      <c r="LPI1" s="87" t="n"/>
      <c r="LPJ1" s="87" t="n"/>
      <c r="LPK1" s="87" t="n"/>
      <c r="LPL1" s="87" t="n"/>
      <c r="LPM1" s="87" t="n"/>
      <c r="LPN1" s="87" t="n"/>
      <c r="LPO1" s="87" t="n"/>
      <c r="LPP1" s="87" t="n"/>
      <c r="LPQ1" s="87" t="n"/>
      <c r="LPR1" s="87" t="n"/>
      <c r="LPS1" s="87" t="n"/>
      <c r="LPT1" s="87" t="n"/>
      <c r="LPU1" s="87" t="n"/>
      <c r="LPV1" s="87" t="n"/>
      <c r="LPW1" s="87" t="n"/>
      <c r="LPX1" s="87" t="n"/>
      <c r="LPY1" s="87" t="n"/>
      <c r="LPZ1" s="87" t="n"/>
      <c r="LQA1" s="87" t="n"/>
      <c r="LQB1" s="87" t="n"/>
      <c r="LQC1" s="87" t="n"/>
      <c r="LQD1" s="87" t="n"/>
      <c r="LQE1" s="87" t="n"/>
      <c r="LQF1" s="87" t="n"/>
      <c r="LQG1" s="87" t="n"/>
      <c r="LQH1" s="87" t="n"/>
      <c r="LQI1" s="87" t="n"/>
      <c r="LQJ1" s="87" t="n"/>
      <c r="LQK1" s="87" t="n"/>
      <c r="LQL1" s="87" t="n"/>
      <c r="LQM1" s="87" t="n"/>
      <c r="LQN1" s="87" t="n"/>
      <c r="LQO1" s="87" t="n"/>
      <c r="LQP1" s="87" t="n"/>
      <c r="LQQ1" s="87" t="n"/>
      <c r="LQR1" s="87" t="n"/>
      <c r="LQS1" s="87" t="n"/>
      <c r="LQT1" s="87" t="n"/>
      <c r="LQU1" s="87" t="n"/>
      <c r="LQV1" s="87" t="n"/>
      <c r="LQW1" s="87" t="n"/>
      <c r="LQX1" s="87" t="n"/>
      <c r="LQY1" s="87" t="n"/>
      <c r="LQZ1" s="87" t="n"/>
      <c r="LRA1" s="87" t="n"/>
      <c r="LRB1" s="87" t="n"/>
      <c r="LRC1" s="87" t="n"/>
      <c r="LRD1" s="87" t="n"/>
      <c r="LRE1" s="87" t="n"/>
      <c r="LRF1" s="87" t="n"/>
      <c r="LRG1" s="87" t="n"/>
      <c r="LRH1" s="87" t="n"/>
      <c r="LRI1" s="87" t="n"/>
      <c r="LRJ1" s="87" t="n"/>
      <c r="LRK1" s="87" t="n"/>
      <c r="LRL1" s="87" t="n"/>
      <c r="LRM1" s="87" t="n"/>
      <c r="LRN1" s="87" t="n"/>
      <c r="LRO1" s="87" t="n"/>
      <c r="LRP1" s="87" t="n"/>
      <c r="LRQ1" s="87" t="n"/>
      <c r="LRR1" s="87" t="n"/>
      <c r="LRS1" s="87" t="n"/>
      <c r="LRT1" s="87" t="n"/>
      <c r="LRU1" s="87" t="n"/>
      <c r="LRV1" s="87" t="n"/>
      <c r="LRW1" s="87" t="n"/>
      <c r="LRX1" s="87" t="n"/>
      <c r="LRY1" s="87" t="n"/>
      <c r="LRZ1" s="87" t="n"/>
      <c r="LSA1" s="87" t="n"/>
      <c r="LSB1" s="87" t="n"/>
      <c r="LSC1" s="87" t="n"/>
      <c r="LSD1" s="87" t="n"/>
      <c r="LSE1" s="87" t="n"/>
      <c r="LSF1" s="87" t="n"/>
      <c r="LSG1" s="87" t="n"/>
      <c r="LSH1" s="87" t="n"/>
      <c r="LSI1" s="87" t="n"/>
      <c r="LSJ1" s="87" t="n"/>
      <c r="LSK1" s="87" t="n"/>
      <c r="LSL1" s="87" t="n"/>
      <c r="LSM1" s="87" t="n"/>
      <c r="LSN1" s="87" t="n"/>
      <c r="LSO1" s="87" t="n"/>
      <c r="LSP1" s="87" t="n"/>
      <c r="LSQ1" s="87" t="n"/>
      <c r="LSR1" s="87" t="n"/>
      <c r="LSS1" s="87" t="n"/>
      <c r="LST1" s="87" t="n"/>
      <c r="LSU1" s="87" t="n"/>
      <c r="LSV1" s="87" t="n"/>
      <c r="LSW1" s="87" t="n"/>
      <c r="LSX1" s="87" t="n"/>
      <c r="LSY1" s="87" t="n"/>
      <c r="LSZ1" s="87" t="n"/>
      <c r="LTA1" s="87" t="n"/>
      <c r="LTB1" s="87" t="n"/>
      <c r="LTC1" s="87" t="n"/>
      <c r="LTD1" s="87" t="n"/>
      <c r="LTE1" s="87" t="n"/>
      <c r="LTF1" s="87" t="n"/>
      <c r="LTG1" s="87" t="n"/>
      <c r="LTH1" s="87" t="n"/>
      <c r="LTI1" s="87" t="n"/>
      <c r="LTJ1" s="87" t="n"/>
      <c r="LTK1" s="87" t="n"/>
      <c r="LTL1" s="87" t="n"/>
      <c r="LTM1" s="87" t="n"/>
      <c r="LTN1" s="87" t="n"/>
      <c r="LTO1" s="87" t="n"/>
      <c r="LTP1" s="87" t="n"/>
      <c r="LTQ1" s="87" t="n"/>
      <c r="LTR1" s="87" t="n"/>
      <c r="LTS1" s="87" t="n"/>
      <c r="LTT1" s="87" t="n"/>
      <c r="LTU1" s="87" t="n"/>
      <c r="LTV1" s="87" t="n"/>
      <c r="LTW1" s="87" t="n"/>
      <c r="LTX1" s="87" t="n"/>
      <c r="LTY1" s="87" t="n"/>
      <c r="LTZ1" s="87" t="n"/>
      <c r="LUA1" s="87" t="n"/>
      <c r="LUB1" s="87" t="n"/>
      <c r="LUC1" s="87" t="n"/>
      <c r="LUD1" s="87" t="n"/>
      <c r="LUE1" s="87" t="n"/>
      <c r="LUF1" s="87" t="n"/>
      <c r="LUG1" s="87" t="n"/>
      <c r="LUH1" s="87" t="n"/>
      <c r="LUI1" s="87" t="n"/>
      <c r="LUJ1" s="87" t="n"/>
      <c r="LUK1" s="87" t="n"/>
      <c r="LUL1" s="87" t="n"/>
      <c r="LUM1" s="87" t="n"/>
      <c r="LUN1" s="87" t="n"/>
      <c r="LUO1" s="87" t="n"/>
      <c r="LUP1" s="87" t="n"/>
      <c r="LUQ1" s="87" t="n"/>
      <c r="LUR1" s="87" t="n"/>
      <c r="LUS1" s="87" t="n"/>
      <c r="LUT1" s="87" t="n"/>
      <c r="LUU1" s="87" t="n"/>
      <c r="LUV1" s="87" t="n"/>
      <c r="LUW1" s="87" t="n"/>
      <c r="LUX1" s="87" t="n"/>
      <c r="LUY1" s="87" t="n"/>
      <c r="LUZ1" s="87" t="n"/>
      <c r="LVA1" s="87" t="n"/>
      <c r="LVB1" s="87" t="n"/>
      <c r="LVC1" s="87" t="n"/>
      <c r="LVD1" s="87" t="n"/>
      <c r="LVE1" s="87" t="n"/>
      <c r="LVF1" s="87" t="n"/>
      <c r="LVG1" s="87" t="n"/>
      <c r="LVH1" s="87" t="n"/>
      <c r="LVI1" s="87" t="n"/>
      <c r="LVJ1" s="87" t="n"/>
      <c r="LVK1" s="87" t="n"/>
      <c r="LVL1" s="87" t="n"/>
      <c r="LVM1" s="87" t="n"/>
      <c r="LVN1" s="87" t="n"/>
      <c r="LVO1" s="87" t="n"/>
      <c r="LVP1" s="87" t="n"/>
      <c r="LVQ1" s="87" t="n"/>
      <c r="LVR1" s="87" t="n"/>
      <c r="LVS1" s="87" t="n"/>
      <c r="LVT1" s="87" t="n"/>
      <c r="LVU1" s="87" t="n"/>
      <c r="LVV1" s="87" t="n"/>
      <c r="LVW1" s="87" t="n"/>
      <c r="LVX1" s="87" t="n"/>
      <c r="LVY1" s="87" t="n"/>
      <c r="LVZ1" s="87" t="n"/>
      <c r="LWA1" s="87" t="n"/>
      <c r="LWB1" s="87" t="n"/>
      <c r="LWC1" s="87" t="n"/>
      <c r="LWD1" s="87" t="n"/>
      <c r="LWE1" s="87" t="n"/>
      <c r="LWF1" s="87" t="n"/>
      <c r="LWG1" s="87" t="n"/>
      <c r="LWH1" s="87" t="n"/>
      <c r="LWI1" s="87" t="n"/>
      <c r="LWJ1" s="87" t="n"/>
      <c r="LWK1" s="87" t="n"/>
      <c r="LWL1" s="87" t="n"/>
      <c r="LWM1" s="87" t="n"/>
      <c r="LWN1" s="87" t="n"/>
      <c r="LWO1" s="87" t="n"/>
      <c r="LWP1" s="87" t="n"/>
      <c r="LWQ1" s="87" t="n"/>
      <c r="LWR1" s="87" t="n"/>
      <c r="LWS1" s="87" t="n"/>
      <c r="LWT1" s="87" t="n"/>
      <c r="LWU1" s="87" t="n"/>
      <c r="LWV1" s="87" t="n"/>
      <c r="LWW1" s="87" t="n"/>
      <c r="LWX1" s="87" t="n"/>
      <c r="LWY1" s="87" t="n"/>
      <c r="LWZ1" s="87" t="n"/>
      <c r="LXA1" s="87" t="n"/>
      <c r="LXB1" s="87" t="n"/>
      <c r="LXC1" s="87" t="n"/>
      <c r="LXD1" s="87" t="n"/>
      <c r="LXE1" s="87" t="n"/>
      <c r="LXF1" s="87" t="n"/>
      <c r="LXG1" s="87" t="n"/>
      <c r="LXH1" s="87" t="n"/>
      <c r="LXI1" s="87" t="n"/>
      <c r="LXJ1" s="87" t="n"/>
      <c r="LXK1" s="87" t="n"/>
      <c r="LXL1" s="87" t="n"/>
      <c r="LXM1" s="87" t="n"/>
      <c r="LXN1" s="87" t="n"/>
      <c r="LXO1" s="87" t="n"/>
      <c r="LXP1" s="87" t="n"/>
      <c r="LXQ1" s="87" t="n"/>
      <c r="LXR1" s="87" t="n"/>
      <c r="LXS1" s="87" t="n"/>
      <c r="LXT1" s="87" t="n"/>
      <c r="LXU1" s="87" t="n"/>
      <c r="LXV1" s="87" t="n"/>
      <c r="LXW1" s="87" t="n"/>
      <c r="LXX1" s="87" t="n"/>
      <c r="LXY1" s="87" t="n"/>
      <c r="LXZ1" s="87" t="n"/>
      <c r="LYA1" s="87" t="n"/>
      <c r="LYB1" s="87" t="n"/>
      <c r="LYC1" s="87" t="n"/>
      <c r="LYD1" s="87" t="n"/>
      <c r="LYE1" s="87" t="n"/>
      <c r="LYF1" s="87" t="n"/>
      <c r="LYG1" s="87" t="n"/>
      <c r="LYH1" s="87" t="n"/>
      <c r="LYI1" s="87" t="n"/>
      <c r="LYJ1" s="87" t="n"/>
      <c r="LYK1" s="87" t="n"/>
      <c r="LYL1" s="87" t="n"/>
      <c r="LYM1" s="87" t="n"/>
      <c r="LYN1" s="87" t="n"/>
      <c r="LYO1" s="87" t="n"/>
      <c r="LYP1" s="87" t="n"/>
      <c r="LYQ1" s="87" t="n"/>
      <c r="LYR1" s="87" t="n"/>
      <c r="LYS1" s="87" t="n"/>
      <c r="LYT1" s="87" t="n"/>
      <c r="LYU1" s="87" t="n"/>
      <c r="LYV1" s="87" t="n"/>
      <c r="LYW1" s="87" t="n"/>
      <c r="LYX1" s="87" t="n"/>
      <c r="LYY1" s="87" t="n"/>
      <c r="LYZ1" s="87" t="n"/>
      <c r="LZA1" s="87" t="n"/>
      <c r="LZB1" s="87" t="n"/>
      <c r="LZC1" s="87" t="n"/>
      <c r="LZD1" s="87" t="n"/>
      <c r="LZE1" s="87" t="n"/>
      <c r="LZF1" s="87" t="n"/>
      <c r="LZG1" s="87" t="n"/>
      <c r="LZH1" s="87" t="n"/>
      <c r="LZI1" s="87" t="n"/>
      <c r="LZJ1" s="87" t="n"/>
      <c r="LZK1" s="87" t="n"/>
      <c r="LZL1" s="87" t="n"/>
      <c r="LZM1" s="87" t="n"/>
      <c r="LZN1" s="87" t="n"/>
      <c r="LZO1" s="87" t="n"/>
      <c r="LZP1" s="87" t="n"/>
      <c r="LZQ1" s="87" t="n"/>
      <c r="LZR1" s="87" t="n"/>
      <c r="LZS1" s="87" t="n"/>
      <c r="LZT1" s="87" t="n"/>
      <c r="LZU1" s="87" t="n"/>
      <c r="LZV1" s="87" t="n"/>
      <c r="LZW1" s="87" t="n"/>
      <c r="LZX1" s="87" t="n"/>
      <c r="LZY1" s="87" t="n"/>
      <c r="LZZ1" s="87" t="n"/>
      <c r="MAA1" s="87" t="n"/>
      <c r="MAB1" s="87" t="n"/>
      <c r="MAC1" s="87" t="n"/>
      <c r="MAD1" s="87" t="n"/>
      <c r="MAE1" s="87" t="n"/>
      <c r="MAF1" s="87" t="n"/>
      <c r="MAG1" s="87" t="n"/>
      <c r="MAH1" s="87" t="n"/>
      <c r="MAI1" s="87" t="n"/>
      <c r="MAJ1" s="87" t="n"/>
      <c r="MAK1" s="87" t="n"/>
      <c r="MAL1" s="87" t="n"/>
      <c r="MAM1" s="87" t="n"/>
      <c r="MAN1" s="87" t="n"/>
      <c r="MAO1" s="87" t="n"/>
      <c r="MAP1" s="87" t="n"/>
      <c r="MAQ1" s="87" t="n"/>
      <c r="MAR1" s="87" t="n"/>
      <c r="MAS1" s="87" t="n"/>
      <c r="MAT1" s="87" t="n"/>
      <c r="MAU1" s="87" t="n"/>
      <c r="MAV1" s="87" t="n"/>
      <c r="MAW1" s="87" t="n"/>
      <c r="MAX1" s="87" t="n"/>
      <c r="MAY1" s="87" t="n"/>
      <c r="MAZ1" s="87" t="n"/>
      <c r="MBA1" s="87" t="n"/>
      <c r="MBB1" s="87" t="n"/>
      <c r="MBC1" s="87" t="n"/>
      <c r="MBD1" s="87" t="n"/>
      <c r="MBE1" s="87" t="n"/>
      <c r="MBF1" s="87" t="n"/>
      <c r="MBG1" s="87" t="n"/>
      <c r="MBH1" s="87" t="n"/>
      <c r="MBI1" s="87" t="n"/>
      <c r="MBJ1" s="87" t="n"/>
      <c r="MBK1" s="87" t="n"/>
      <c r="MBL1" s="87" t="n"/>
      <c r="MBM1" s="87" t="n"/>
      <c r="MBN1" s="87" t="n"/>
      <c r="MBO1" s="87" t="n"/>
      <c r="MBP1" s="87" t="n"/>
      <c r="MBQ1" s="87" t="n"/>
      <c r="MBR1" s="87" t="n"/>
      <c r="MBS1" s="87" t="n"/>
      <c r="MBT1" s="87" t="n"/>
      <c r="MBU1" s="87" t="n"/>
      <c r="MBV1" s="87" t="n"/>
      <c r="MBW1" s="87" t="n"/>
      <c r="MBX1" s="87" t="n"/>
      <c r="MBY1" s="87" t="n"/>
      <c r="MBZ1" s="87" t="n"/>
      <c r="MCA1" s="87" t="n"/>
      <c r="MCB1" s="87" t="n"/>
      <c r="MCC1" s="87" t="n"/>
      <c r="MCD1" s="87" t="n"/>
      <c r="MCE1" s="87" t="n"/>
      <c r="MCF1" s="87" t="n"/>
      <c r="MCG1" s="87" t="n"/>
      <c r="MCH1" s="87" t="n"/>
      <c r="MCI1" s="87" t="n"/>
      <c r="MCJ1" s="87" t="n"/>
      <c r="MCK1" s="87" t="n"/>
      <c r="MCL1" s="87" t="n"/>
      <c r="MCM1" s="87" t="n"/>
      <c r="MCN1" s="87" t="n"/>
      <c r="MCO1" s="87" t="n"/>
      <c r="MCP1" s="87" t="n"/>
      <c r="MCQ1" s="87" t="n"/>
      <c r="MCR1" s="87" t="n"/>
      <c r="MCS1" s="87" t="n"/>
      <c r="MCT1" s="87" t="n"/>
      <c r="MCU1" s="87" t="n"/>
      <c r="MCV1" s="87" t="n"/>
      <c r="MCW1" s="87" t="n"/>
      <c r="MCX1" s="87" t="n"/>
      <c r="MCY1" s="87" t="n"/>
      <c r="MCZ1" s="87" t="n"/>
      <c r="MDA1" s="87" t="n"/>
      <c r="MDB1" s="87" t="n"/>
      <c r="MDC1" s="87" t="n"/>
      <c r="MDD1" s="87" t="n"/>
      <c r="MDE1" s="87" t="n"/>
      <c r="MDF1" s="87" t="n"/>
      <c r="MDG1" s="87" t="n"/>
      <c r="MDH1" s="87" t="n"/>
      <c r="MDI1" s="87" t="n"/>
      <c r="MDJ1" s="87" t="n"/>
      <c r="MDK1" s="87" t="n"/>
      <c r="MDL1" s="87" t="n"/>
      <c r="MDM1" s="87" t="n"/>
      <c r="MDN1" s="87" t="n"/>
      <c r="MDO1" s="87" t="n"/>
      <c r="MDP1" s="87" t="n"/>
      <c r="MDQ1" s="87" t="n"/>
      <c r="MDR1" s="87" t="n"/>
      <c r="MDS1" s="87" t="n"/>
      <c r="MDT1" s="87" t="n"/>
      <c r="MDU1" s="87" t="n"/>
      <c r="MDV1" s="87" t="n"/>
      <c r="MDW1" s="87" t="n"/>
      <c r="MDX1" s="87" t="n"/>
      <c r="MDY1" s="87" t="n"/>
      <c r="MDZ1" s="87" t="n"/>
      <c r="MEA1" s="87" t="n"/>
      <c r="MEB1" s="87" t="n"/>
      <c r="MEC1" s="87" t="n"/>
      <c r="MED1" s="87" t="n"/>
      <c r="MEE1" s="87" t="n"/>
      <c r="MEF1" s="87" t="n"/>
      <c r="MEG1" s="87" t="n"/>
      <c r="MEH1" s="87" t="n"/>
      <c r="MEI1" s="87" t="n"/>
      <c r="MEJ1" s="87" t="n"/>
      <c r="MEK1" s="87" t="n"/>
      <c r="MEL1" s="87" t="n"/>
      <c r="MEM1" s="87" t="n"/>
      <c r="MEN1" s="87" t="n"/>
      <c r="MEO1" s="87" t="n"/>
      <c r="MEP1" s="87" t="n"/>
      <c r="MEQ1" s="87" t="n"/>
      <c r="MER1" s="87" t="n"/>
      <c r="MES1" s="87" t="n"/>
      <c r="MET1" s="87" t="n"/>
      <c r="MEU1" s="87" t="n"/>
      <c r="MEV1" s="87" t="n"/>
      <c r="MEW1" s="87" t="n"/>
      <c r="MEX1" s="87" t="n"/>
      <c r="MEY1" s="87" t="n"/>
      <c r="MEZ1" s="87" t="n"/>
      <c r="MFA1" s="87" t="n"/>
      <c r="MFB1" s="87" t="n"/>
      <c r="MFC1" s="87" t="n"/>
      <c r="MFD1" s="87" t="n"/>
      <c r="MFE1" s="87" t="n"/>
      <c r="MFF1" s="87" t="n"/>
      <c r="MFG1" s="87" t="n"/>
      <c r="MFH1" s="87" t="n"/>
      <c r="MFI1" s="87" t="n"/>
      <c r="MFJ1" s="87" t="n"/>
      <c r="MFK1" s="87" t="n"/>
      <c r="MFL1" s="87" t="n"/>
      <c r="MFM1" s="87" t="n"/>
      <c r="MFN1" s="87" t="n"/>
      <c r="MFO1" s="87" t="n"/>
      <c r="MFP1" s="87" t="n"/>
      <c r="MFQ1" s="87" t="n"/>
      <c r="MFR1" s="87" t="n"/>
      <c r="MFS1" s="87" t="n"/>
      <c r="MFT1" s="87" t="n"/>
      <c r="MFU1" s="87" t="n"/>
      <c r="MFV1" s="87" t="n"/>
      <c r="MFW1" s="87" t="n"/>
      <c r="MFX1" s="87" t="n"/>
      <c r="MFY1" s="87" t="n"/>
      <c r="MFZ1" s="87" t="n"/>
      <c r="MGA1" s="87" t="n"/>
      <c r="MGB1" s="87" t="n"/>
      <c r="MGC1" s="87" t="n"/>
      <c r="MGD1" s="87" t="n"/>
      <c r="MGE1" s="87" t="n"/>
      <c r="MGF1" s="87" t="n"/>
      <c r="MGG1" s="87" t="n"/>
      <c r="MGH1" s="87" t="n"/>
      <c r="MGI1" s="87" t="n"/>
      <c r="MGJ1" s="87" t="n"/>
      <c r="MGK1" s="87" t="n"/>
      <c r="MGL1" s="87" t="n"/>
      <c r="MGM1" s="87" t="n"/>
      <c r="MGN1" s="87" t="n"/>
      <c r="MGO1" s="87" t="n"/>
      <c r="MGP1" s="87" t="n"/>
      <c r="MGQ1" s="87" t="n"/>
      <c r="MGR1" s="87" t="n"/>
      <c r="MGS1" s="87" t="n"/>
      <c r="MGT1" s="87" t="n"/>
      <c r="MGU1" s="87" t="n"/>
      <c r="MGV1" s="87" t="n"/>
      <c r="MGW1" s="87" t="n"/>
      <c r="MGX1" s="87" t="n"/>
      <c r="MGY1" s="87" t="n"/>
      <c r="MGZ1" s="87" t="n"/>
      <c r="MHA1" s="87" t="n"/>
      <c r="MHB1" s="87" t="n"/>
      <c r="MHC1" s="87" t="n"/>
      <c r="MHD1" s="87" t="n"/>
      <c r="MHE1" s="87" t="n"/>
      <c r="MHF1" s="87" t="n"/>
      <c r="MHG1" s="87" t="n"/>
      <c r="MHH1" s="87" t="n"/>
      <c r="MHI1" s="87" t="n"/>
      <c r="MHJ1" s="87" t="n"/>
      <c r="MHK1" s="87" t="n"/>
      <c r="MHL1" s="87" t="n"/>
      <c r="MHM1" s="87" t="n"/>
      <c r="MHN1" s="87" t="n"/>
      <c r="MHO1" s="87" t="n"/>
      <c r="MHP1" s="87" t="n"/>
      <c r="MHQ1" s="87" t="n"/>
      <c r="MHR1" s="87" t="n"/>
      <c r="MHS1" s="87" t="n"/>
      <c r="MHT1" s="87" t="n"/>
      <c r="MHU1" s="87" t="n"/>
      <c r="MHV1" s="87" t="n"/>
      <c r="MHW1" s="87" t="n"/>
      <c r="MHX1" s="87" t="n"/>
      <c r="MHY1" s="87" t="n"/>
      <c r="MHZ1" s="87" t="n"/>
      <c r="MIA1" s="87" t="n"/>
      <c r="MIB1" s="87" t="n"/>
      <c r="MIC1" s="87" t="n"/>
      <c r="MID1" s="87" t="n"/>
      <c r="MIE1" s="87" t="n"/>
      <c r="MIF1" s="87" t="n"/>
      <c r="MIG1" s="87" t="n"/>
      <c r="MIH1" s="87" t="n"/>
      <c r="MII1" s="87" t="n"/>
      <c r="MIJ1" s="87" t="n"/>
      <c r="MIK1" s="87" t="n"/>
      <c r="MIL1" s="87" t="n"/>
      <c r="MIM1" s="87" t="n"/>
      <c r="MIN1" s="87" t="n"/>
      <c r="MIO1" s="87" t="n"/>
      <c r="MIP1" s="87" t="n"/>
      <c r="MIQ1" s="87" t="n"/>
      <c r="MIR1" s="87" t="n"/>
      <c r="MIS1" s="87" t="n"/>
      <c r="MIT1" s="87" t="n"/>
      <c r="MIU1" s="87" t="n"/>
      <c r="MIV1" s="87" t="n"/>
      <c r="MIW1" s="87" t="n"/>
      <c r="MIX1" s="87" t="n"/>
      <c r="MIY1" s="87" t="n"/>
      <c r="MIZ1" s="87" t="n"/>
      <c r="MJA1" s="87" t="n"/>
      <c r="MJB1" s="87" t="n"/>
      <c r="MJC1" s="87" t="n"/>
      <c r="MJD1" s="87" t="n"/>
      <c r="MJE1" s="87" t="n"/>
      <c r="MJF1" s="87" t="n"/>
      <c r="MJG1" s="87" t="n"/>
      <c r="MJH1" s="87" t="n"/>
      <c r="MJI1" s="87" t="n"/>
      <c r="MJJ1" s="87" t="n"/>
      <c r="MJK1" s="87" t="n"/>
      <c r="MJL1" s="87" t="n"/>
      <c r="MJM1" s="87" t="n"/>
      <c r="MJN1" s="87" t="n"/>
      <c r="MJO1" s="87" t="n"/>
      <c r="MJP1" s="87" t="n"/>
      <c r="MJQ1" s="87" t="n"/>
      <c r="MJR1" s="87" t="n"/>
      <c r="MJS1" s="87" t="n"/>
      <c r="MJT1" s="87" t="n"/>
      <c r="MJU1" s="87" t="n"/>
      <c r="MJV1" s="87" t="n"/>
      <c r="MJW1" s="87" t="n"/>
      <c r="MJX1" s="87" t="n"/>
      <c r="MJY1" s="87" t="n"/>
      <c r="MJZ1" s="87" t="n"/>
      <c r="MKA1" s="87" t="n"/>
      <c r="MKB1" s="87" t="n"/>
      <c r="MKC1" s="87" t="n"/>
      <c r="MKD1" s="87" t="n"/>
      <c r="MKE1" s="87" t="n"/>
      <c r="MKF1" s="87" t="n"/>
      <c r="MKG1" s="87" t="n"/>
      <c r="MKH1" s="87" t="n"/>
      <c r="MKI1" s="87" t="n"/>
      <c r="MKJ1" s="87" t="n"/>
      <c r="MKK1" s="87" t="n"/>
      <c r="MKL1" s="87" t="n"/>
      <c r="MKM1" s="87" t="n"/>
      <c r="MKN1" s="87" t="n"/>
      <c r="MKO1" s="87" t="n"/>
      <c r="MKP1" s="87" t="n"/>
      <c r="MKQ1" s="87" t="n"/>
      <c r="MKR1" s="87" t="n"/>
      <c r="MKS1" s="87" t="n"/>
      <c r="MKT1" s="87" t="n"/>
      <c r="MKU1" s="87" t="n"/>
      <c r="MKV1" s="87" t="n"/>
      <c r="MKW1" s="87" t="n"/>
      <c r="MKX1" s="87" t="n"/>
      <c r="MKY1" s="87" t="n"/>
      <c r="MKZ1" s="87" t="n"/>
      <c r="MLA1" s="87" t="n"/>
      <c r="MLB1" s="87" t="n"/>
      <c r="MLC1" s="87" t="n"/>
      <c r="MLD1" s="87" t="n"/>
      <c r="MLE1" s="87" t="n"/>
      <c r="MLF1" s="87" t="n"/>
      <c r="MLG1" s="87" t="n"/>
      <c r="MLH1" s="87" t="n"/>
      <c r="MLI1" s="87" t="n"/>
      <c r="MLJ1" s="87" t="n"/>
      <c r="MLK1" s="87" t="n"/>
      <c r="MLL1" s="87" t="n"/>
      <c r="MLM1" s="87" t="n"/>
      <c r="MLN1" s="87" t="n"/>
      <c r="MLO1" s="87" t="n"/>
      <c r="MLP1" s="87" t="n"/>
      <c r="MLQ1" s="87" t="n"/>
      <c r="MLR1" s="87" t="n"/>
      <c r="MLS1" s="87" t="n"/>
      <c r="MLT1" s="87" t="n"/>
      <c r="MLU1" s="87" t="n"/>
      <c r="MLV1" s="87" t="n"/>
      <c r="MLW1" s="87" t="n"/>
      <c r="MLX1" s="87" t="n"/>
      <c r="MLY1" s="87" t="n"/>
      <c r="MLZ1" s="87" t="n"/>
      <c r="MMA1" s="87" t="n"/>
      <c r="MMB1" s="87" t="n"/>
      <c r="MMC1" s="87" t="n"/>
      <c r="MMD1" s="87" t="n"/>
      <c r="MME1" s="87" t="n"/>
      <c r="MMF1" s="87" t="n"/>
      <c r="MMG1" s="87" t="n"/>
      <c r="MMH1" s="87" t="n"/>
      <c r="MMI1" s="87" t="n"/>
      <c r="MMJ1" s="87" t="n"/>
      <c r="MMK1" s="87" t="n"/>
      <c r="MML1" s="87" t="n"/>
      <c r="MMM1" s="87" t="n"/>
      <c r="MMN1" s="87" t="n"/>
      <c r="MMO1" s="87" t="n"/>
      <c r="MMP1" s="87" t="n"/>
      <c r="MMQ1" s="87" t="n"/>
      <c r="MMR1" s="87" t="n"/>
      <c r="MMS1" s="87" t="n"/>
      <c r="MMT1" s="87" t="n"/>
      <c r="MMU1" s="87" t="n"/>
      <c r="MMV1" s="87" t="n"/>
      <c r="MMW1" s="87" t="n"/>
      <c r="MMX1" s="87" t="n"/>
      <c r="MMY1" s="87" t="n"/>
      <c r="MMZ1" s="87" t="n"/>
      <c r="MNA1" s="87" t="n"/>
      <c r="MNB1" s="87" t="n"/>
      <c r="MNC1" s="87" t="n"/>
      <c r="MND1" s="87" t="n"/>
      <c r="MNE1" s="87" t="n"/>
      <c r="MNF1" s="87" t="n"/>
      <c r="MNG1" s="87" t="n"/>
      <c r="MNH1" s="87" t="n"/>
      <c r="MNI1" s="87" t="n"/>
      <c r="MNJ1" s="87" t="n"/>
      <c r="MNK1" s="87" t="n"/>
      <c r="MNL1" s="87" t="n"/>
      <c r="MNM1" s="87" t="n"/>
      <c r="MNN1" s="87" t="n"/>
      <c r="MNO1" s="87" t="n"/>
      <c r="MNP1" s="87" t="n"/>
      <c r="MNQ1" s="87" t="n"/>
      <c r="MNR1" s="87" t="n"/>
      <c r="MNS1" s="87" t="n"/>
      <c r="MNT1" s="87" t="n"/>
      <c r="MNU1" s="87" t="n"/>
      <c r="MNV1" s="87" t="n"/>
      <c r="MNW1" s="87" t="n"/>
      <c r="MNX1" s="87" t="n"/>
      <c r="MNY1" s="87" t="n"/>
      <c r="MNZ1" s="87" t="n"/>
      <c r="MOA1" s="87" t="n"/>
      <c r="MOB1" s="87" t="n"/>
      <c r="MOC1" s="87" t="n"/>
      <c r="MOD1" s="87" t="n"/>
      <c r="MOE1" s="87" t="n"/>
      <c r="MOF1" s="87" t="n"/>
      <c r="MOG1" s="87" t="n"/>
      <c r="MOH1" s="87" t="n"/>
      <c r="MOI1" s="87" t="n"/>
      <c r="MOJ1" s="87" t="n"/>
      <c r="MOK1" s="87" t="n"/>
      <c r="MOL1" s="87" t="n"/>
      <c r="MOM1" s="87" t="n"/>
      <c r="MON1" s="87" t="n"/>
      <c r="MOO1" s="87" t="n"/>
      <c r="MOP1" s="87" t="n"/>
      <c r="MOQ1" s="87" t="n"/>
      <c r="MOR1" s="87" t="n"/>
      <c r="MOS1" s="87" t="n"/>
      <c r="MOT1" s="87" t="n"/>
      <c r="MOU1" s="87" t="n"/>
      <c r="MOV1" s="87" t="n"/>
      <c r="MOW1" s="87" t="n"/>
      <c r="MOX1" s="87" t="n"/>
      <c r="MOY1" s="87" t="n"/>
      <c r="MOZ1" s="87" t="n"/>
      <c r="MPA1" s="87" t="n"/>
      <c r="MPB1" s="87" t="n"/>
      <c r="MPC1" s="87" t="n"/>
      <c r="MPD1" s="87" t="n"/>
      <c r="MPE1" s="87" t="n"/>
      <c r="MPF1" s="87" t="n"/>
      <c r="MPG1" s="87" t="n"/>
      <c r="MPH1" s="87" t="n"/>
      <c r="MPI1" s="87" t="n"/>
      <c r="MPJ1" s="87" t="n"/>
      <c r="MPK1" s="87" t="n"/>
      <c r="MPL1" s="87" t="n"/>
      <c r="MPM1" s="87" t="n"/>
      <c r="MPN1" s="87" t="n"/>
      <c r="MPO1" s="87" t="n"/>
      <c r="MPP1" s="87" t="n"/>
      <c r="MPQ1" s="87" t="n"/>
      <c r="MPR1" s="87" t="n"/>
      <c r="MPS1" s="87" t="n"/>
      <c r="MPT1" s="87" t="n"/>
      <c r="MPU1" s="87" t="n"/>
      <c r="MPV1" s="87" t="n"/>
      <c r="MPW1" s="87" t="n"/>
      <c r="MPX1" s="87" t="n"/>
      <c r="MPY1" s="87" t="n"/>
      <c r="MPZ1" s="87" t="n"/>
      <c r="MQA1" s="87" t="n"/>
      <c r="MQB1" s="87" t="n"/>
      <c r="MQC1" s="87" t="n"/>
      <c r="MQD1" s="87" t="n"/>
      <c r="MQE1" s="87" t="n"/>
      <c r="MQF1" s="87" t="n"/>
      <c r="MQG1" s="87" t="n"/>
      <c r="MQH1" s="87" t="n"/>
      <c r="MQI1" s="87" t="n"/>
      <c r="MQJ1" s="87" t="n"/>
      <c r="MQK1" s="87" t="n"/>
      <c r="MQL1" s="87" t="n"/>
      <c r="MQM1" s="87" t="n"/>
      <c r="MQN1" s="87" t="n"/>
      <c r="MQO1" s="87" t="n"/>
      <c r="MQP1" s="87" t="n"/>
      <c r="MQQ1" s="87" t="n"/>
      <c r="MQR1" s="87" t="n"/>
      <c r="MQS1" s="87" t="n"/>
      <c r="MQT1" s="87" t="n"/>
      <c r="MQU1" s="87" t="n"/>
      <c r="MQV1" s="87" t="n"/>
      <c r="MQW1" s="87" t="n"/>
      <c r="MQX1" s="87" t="n"/>
      <c r="MQY1" s="87" t="n"/>
      <c r="MQZ1" s="87" t="n"/>
      <c r="MRA1" s="87" t="n"/>
      <c r="MRB1" s="87" t="n"/>
      <c r="MRC1" s="87" t="n"/>
      <c r="MRD1" s="87" t="n"/>
      <c r="MRE1" s="87" t="n"/>
      <c r="MRF1" s="87" t="n"/>
      <c r="MRG1" s="87" t="n"/>
      <c r="MRH1" s="87" t="n"/>
      <c r="MRI1" s="87" t="n"/>
      <c r="MRJ1" s="87" t="n"/>
      <c r="MRK1" s="87" t="n"/>
      <c r="MRL1" s="87" t="n"/>
      <c r="MRM1" s="87" t="n"/>
      <c r="MRN1" s="87" t="n"/>
      <c r="MRO1" s="87" t="n"/>
      <c r="MRP1" s="87" t="n"/>
      <c r="MRQ1" s="87" t="n"/>
      <c r="MRR1" s="87" t="n"/>
      <c r="MRS1" s="87" t="n"/>
      <c r="MRT1" s="87" t="n"/>
      <c r="MRU1" s="87" t="n"/>
      <c r="MRV1" s="87" t="n"/>
      <c r="MRW1" s="87" t="n"/>
      <c r="MRX1" s="87" t="n"/>
      <c r="MRY1" s="87" t="n"/>
      <c r="MRZ1" s="87" t="n"/>
      <c r="MSA1" s="87" t="n"/>
      <c r="MSB1" s="87" t="n"/>
      <c r="MSC1" s="87" t="n"/>
      <c r="MSD1" s="87" t="n"/>
      <c r="MSE1" s="87" t="n"/>
      <c r="MSF1" s="87" t="n"/>
      <c r="MSG1" s="87" t="n"/>
      <c r="MSH1" s="87" t="n"/>
      <c r="MSI1" s="87" t="n"/>
      <c r="MSJ1" s="87" t="n"/>
      <c r="MSK1" s="87" t="n"/>
      <c r="MSL1" s="87" t="n"/>
      <c r="MSM1" s="87" t="n"/>
      <c r="MSN1" s="87" t="n"/>
      <c r="MSO1" s="87" t="n"/>
      <c r="MSP1" s="87" t="n"/>
      <c r="MSQ1" s="87" t="n"/>
      <c r="MSR1" s="87" t="n"/>
      <c r="MSS1" s="87" t="n"/>
      <c r="MST1" s="87" t="n"/>
      <c r="MSU1" s="87" t="n"/>
      <c r="MSV1" s="87" t="n"/>
      <c r="MSW1" s="87" t="n"/>
      <c r="MSX1" s="87" t="n"/>
      <c r="MSY1" s="87" t="n"/>
      <c r="MSZ1" s="87" t="n"/>
      <c r="MTA1" s="87" t="n"/>
      <c r="MTB1" s="87" t="n"/>
      <c r="MTC1" s="87" t="n"/>
      <c r="MTD1" s="87" t="n"/>
      <c r="MTE1" s="87" t="n"/>
      <c r="MTF1" s="87" t="n"/>
      <c r="MTG1" s="87" t="n"/>
      <c r="MTH1" s="87" t="n"/>
      <c r="MTI1" s="87" t="n"/>
      <c r="MTJ1" s="87" t="n"/>
      <c r="MTK1" s="87" t="n"/>
      <c r="MTL1" s="87" t="n"/>
      <c r="MTM1" s="87" t="n"/>
      <c r="MTN1" s="87" t="n"/>
      <c r="MTO1" s="87" t="n"/>
      <c r="MTP1" s="87" t="n"/>
      <c r="MTQ1" s="87" t="n"/>
      <c r="MTR1" s="87" t="n"/>
      <c r="MTS1" s="87" t="n"/>
      <c r="MTT1" s="87" t="n"/>
      <c r="MTU1" s="87" t="n"/>
      <c r="MTV1" s="87" t="n"/>
      <c r="MTW1" s="87" t="n"/>
      <c r="MTX1" s="87" t="n"/>
      <c r="MTY1" s="87" t="n"/>
      <c r="MTZ1" s="87" t="n"/>
      <c r="MUA1" s="87" t="n"/>
      <c r="MUB1" s="87" t="n"/>
      <c r="MUC1" s="87" t="n"/>
      <c r="MUD1" s="87" t="n"/>
      <c r="MUE1" s="87" t="n"/>
      <c r="MUF1" s="87" t="n"/>
      <c r="MUG1" s="87" t="n"/>
      <c r="MUH1" s="87" t="n"/>
      <c r="MUI1" s="87" t="n"/>
      <c r="MUJ1" s="87" t="n"/>
      <c r="MUK1" s="87" t="n"/>
      <c r="MUL1" s="87" t="n"/>
      <c r="MUM1" s="87" t="n"/>
      <c r="MUN1" s="87" t="n"/>
      <c r="MUO1" s="87" t="n"/>
      <c r="MUP1" s="87" t="n"/>
      <c r="MUQ1" s="87" t="n"/>
      <c r="MUR1" s="87" t="n"/>
      <c r="MUS1" s="87" t="n"/>
      <c r="MUT1" s="87" t="n"/>
      <c r="MUU1" s="87" t="n"/>
      <c r="MUV1" s="87" t="n"/>
      <c r="MUW1" s="87" t="n"/>
      <c r="MUX1" s="87" t="n"/>
      <c r="MUY1" s="87" t="n"/>
      <c r="MUZ1" s="87" t="n"/>
      <c r="MVA1" s="87" t="n"/>
      <c r="MVB1" s="87" t="n"/>
      <c r="MVC1" s="87" t="n"/>
      <c r="MVD1" s="87" t="n"/>
      <c r="MVE1" s="87" t="n"/>
      <c r="MVF1" s="87" t="n"/>
      <c r="MVG1" s="87" t="n"/>
      <c r="MVH1" s="87" t="n"/>
      <c r="MVI1" s="87" t="n"/>
      <c r="MVJ1" s="87" t="n"/>
      <c r="MVK1" s="87" t="n"/>
      <c r="MVL1" s="87" t="n"/>
      <c r="MVM1" s="87" t="n"/>
      <c r="MVN1" s="87" t="n"/>
      <c r="MVO1" s="87" t="n"/>
      <c r="MVP1" s="87" t="n"/>
      <c r="MVQ1" s="87" t="n"/>
      <c r="MVR1" s="87" t="n"/>
      <c r="MVS1" s="87" t="n"/>
      <c r="MVT1" s="87" t="n"/>
      <c r="MVU1" s="87" t="n"/>
      <c r="MVV1" s="87" t="n"/>
      <c r="MVW1" s="87" t="n"/>
      <c r="MVX1" s="87" t="n"/>
      <c r="MVY1" s="87" t="n"/>
      <c r="MVZ1" s="87" t="n"/>
      <c r="MWA1" s="87" t="n"/>
      <c r="MWB1" s="87" t="n"/>
      <c r="MWC1" s="87" t="n"/>
      <c r="MWD1" s="87" t="n"/>
      <c r="MWE1" s="87" t="n"/>
      <c r="MWF1" s="87" t="n"/>
      <c r="MWG1" s="87" t="n"/>
      <c r="MWH1" s="87" t="n"/>
      <c r="MWI1" s="87" t="n"/>
      <c r="MWJ1" s="87" t="n"/>
      <c r="MWK1" s="87" t="n"/>
      <c r="MWL1" s="87" t="n"/>
      <c r="MWM1" s="87" t="n"/>
      <c r="MWN1" s="87" t="n"/>
      <c r="MWO1" s="87" t="n"/>
      <c r="MWP1" s="87" t="n"/>
      <c r="MWQ1" s="87" t="n"/>
      <c r="MWR1" s="87" t="n"/>
      <c r="MWS1" s="87" t="n"/>
      <c r="MWT1" s="87" t="n"/>
      <c r="MWU1" s="87" t="n"/>
      <c r="MWV1" s="87" t="n"/>
      <c r="MWW1" s="87" t="n"/>
      <c r="MWX1" s="87" t="n"/>
      <c r="MWY1" s="87" t="n"/>
      <c r="MWZ1" s="87" t="n"/>
      <c r="MXA1" s="87" t="n"/>
      <c r="MXB1" s="87" t="n"/>
      <c r="MXC1" s="87" t="n"/>
      <c r="MXD1" s="87" t="n"/>
      <c r="MXE1" s="87" t="n"/>
      <c r="MXF1" s="87" t="n"/>
      <c r="MXG1" s="87" t="n"/>
      <c r="MXH1" s="87" t="n"/>
      <c r="MXI1" s="87" t="n"/>
      <c r="MXJ1" s="87" t="n"/>
      <c r="MXK1" s="87" t="n"/>
      <c r="MXL1" s="87" t="n"/>
      <c r="MXM1" s="87" t="n"/>
      <c r="MXN1" s="87" t="n"/>
      <c r="MXO1" s="87" t="n"/>
      <c r="MXP1" s="87" t="n"/>
      <c r="MXQ1" s="87" t="n"/>
      <c r="MXR1" s="87" t="n"/>
      <c r="MXS1" s="87" t="n"/>
      <c r="MXT1" s="87" t="n"/>
      <c r="MXU1" s="87" t="n"/>
      <c r="MXV1" s="87" t="n"/>
      <c r="MXW1" s="87" t="n"/>
      <c r="MXX1" s="87" t="n"/>
      <c r="MXY1" s="87" t="n"/>
      <c r="MXZ1" s="87" t="n"/>
      <c r="MYA1" s="87" t="n"/>
      <c r="MYB1" s="87" t="n"/>
      <c r="MYC1" s="87" t="n"/>
      <c r="MYD1" s="87" t="n"/>
      <c r="MYE1" s="87" t="n"/>
      <c r="MYF1" s="87" t="n"/>
      <c r="MYG1" s="87" t="n"/>
      <c r="MYH1" s="87" t="n"/>
      <c r="MYI1" s="87" t="n"/>
      <c r="MYJ1" s="87" t="n"/>
      <c r="MYK1" s="87" t="n"/>
      <c r="MYL1" s="87" t="n"/>
      <c r="MYM1" s="87" t="n"/>
      <c r="MYN1" s="87" t="n"/>
      <c r="MYO1" s="87" t="n"/>
      <c r="MYP1" s="87" t="n"/>
      <c r="MYQ1" s="87" t="n"/>
      <c r="MYR1" s="87" t="n"/>
      <c r="MYS1" s="87" t="n"/>
      <c r="MYT1" s="87" t="n"/>
      <c r="MYU1" s="87" t="n"/>
      <c r="MYV1" s="87" t="n"/>
      <c r="MYW1" s="87" t="n"/>
      <c r="MYX1" s="87" t="n"/>
      <c r="MYY1" s="87" t="n"/>
      <c r="MYZ1" s="87" t="n"/>
      <c r="MZA1" s="87" t="n"/>
      <c r="MZB1" s="87" t="n"/>
      <c r="MZC1" s="87" t="n"/>
      <c r="MZD1" s="87" t="n"/>
      <c r="MZE1" s="87" t="n"/>
      <c r="MZF1" s="87" t="n"/>
      <c r="MZG1" s="87" t="n"/>
      <c r="MZH1" s="87" t="n"/>
      <c r="MZI1" s="87" t="n"/>
      <c r="MZJ1" s="87" t="n"/>
      <c r="MZK1" s="87" t="n"/>
      <c r="MZL1" s="87" t="n"/>
      <c r="MZM1" s="87" t="n"/>
      <c r="MZN1" s="87" t="n"/>
      <c r="MZO1" s="87" t="n"/>
      <c r="MZP1" s="87" t="n"/>
      <c r="MZQ1" s="87" t="n"/>
      <c r="MZR1" s="87" t="n"/>
      <c r="MZS1" s="87" t="n"/>
      <c r="MZT1" s="87" t="n"/>
      <c r="MZU1" s="87" t="n"/>
      <c r="MZV1" s="87" t="n"/>
      <c r="MZW1" s="87" t="n"/>
      <c r="MZX1" s="87" t="n"/>
      <c r="MZY1" s="87" t="n"/>
      <c r="MZZ1" s="87" t="n"/>
      <c r="NAA1" s="87" t="n"/>
      <c r="NAB1" s="87" t="n"/>
      <c r="NAC1" s="87" t="n"/>
      <c r="NAD1" s="87" t="n"/>
      <c r="NAE1" s="87" t="n"/>
      <c r="NAF1" s="87" t="n"/>
      <c r="NAG1" s="87" t="n"/>
      <c r="NAH1" s="87" t="n"/>
      <c r="NAI1" s="87" t="n"/>
      <c r="NAJ1" s="87" t="n"/>
      <c r="NAK1" s="87" t="n"/>
      <c r="NAL1" s="87" t="n"/>
      <c r="NAM1" s="87" t="n"/>
      <c r="NAN1" s="87" t="n"/>
      <c r="NAO1" s="87" t="n"/>
      <c r="NAP1" s="87" t="n"/>
      <c r="NAQ1" s="87" t="n"/>
      <c r="NAR1" s="87" t="n"/>
      <c r="NAS1" s="87" t="n"/>
      <c r="NAT1" s="87" t="n"/>
      <c r="NAU1" s="87" t="n"/>
      <c r="NAV1" s="87" t="n"/>
      <c r="NAW1" s="87" t="n"/>
      <c r="NAX1" s="87" t="n"/>
      <c r="NAY1" s="87" t="n"/>
      <c r="NAZ1" s="87" t="n"/>
      <c r="NBA1" s="87" t="n"/>
      <c r="NBB1" s="87" t="n"/>
      <c r="NBC1" s="87" t="n"/>
      <c r="NBD1" s="87" t="n"/>
      <c r="NBE1" s="87" t="n"/>
      <c r="NBF1" s="87" t="n"/>
      <c r="NBG1" s="87" t="n"/>
      <c r="NBH1" s="87" t="n"/>
      <c r="NBI1" s="87" t="n"/>
      <c r="NBJ1" s="87" t="n"/>
      <c r="NBK1" s="87" t="n"/>
      <c r="NBL1" s="87" t="n"/>
      <c r="NBM1" s="87" t="n"/>
      <c r="NBN1" s="87" t="n"/>
      <c r="NBO1" s="87" t="n"/>
      <c r="NBP1" s="87" t="n"/>
      <c r="NBQ1" s="87" t="n"/>
      <c r="NBR1" s="87" t="n"/>
      <c r="NBS1" s="87" t="n"/>
      <c r="NBT1" s="87" t="n"/>
      <c r="NBU1" s="87" t="n"/>
      <c r="NBV1" s="87" t="n"/>
      <c r="NBW1" s="87" t="n"/>
      <c r="NBX1" s="87" t="n"/>
      <c r="NBY1" s="87" t="n"/>
      <c r="NBZ1" s="87" t="n"/>
      <c r="NCA1" s="87" t="n"/>
      <c r="NCB1" s="87" t="n"/>
      <c r="NCC1" s="87" t="n"/>
      <c r="NCD1" s="87" t="n"/>
      <c r="NCE1" s="87" t="n"/>
      <c r="NCF1" s="87" t="n"/>
      <c r="NCG1" s="87" t="n"/>
      <c r="NCH1" s="87" t="n"/>
      <c r="NCI1" s="87" t="n"/>
      <c r="NCJ1" s="87" t="n"/>
      <c r="NCK1" s="87" t="n"/>
      <c r="NCL1" s="87" t="n"/>
      <c r="NCM1" s="87" t="n"/>
      <c r="NCN1" s="87" t="n"/>
      <c r="NCO1" s="87" t="n"/>
      <c r="NCP1" s="87" t="n"/>
      <c r="NCQ1" s="87" t="n"/>
      <c r="NCR1" s="87" t="n"/>
      <c r="NCS1" s="87" t="n"/>
      <c r="NCT1" s="87" t="n"/>
      <c r="NCU1" s="87" t="n"/>
      <c r="NCV1" s="87" t="n"/>
      <c r="NCW1" s="87" t="n"/>
      <c r="NCX1" s="87" t="n"/>
      <c r="NCY1" s="87" t="n"/>
      <c r="NCZ1" s="87" t="n"/>
      <c r="NDA1" s="87" t="n"/>
      <c r="NDB1" s="87" t="n"/>
      <c r="NDC1" s="87" t="n"/>
      <c r="NDD1" s="87" t="n"/>
      <c r="NDE1" s="87" t="n"/>
      <c r="NDF1" s="87" t="n"/>
      <c r="NDG1" s="87" t="n"/>
      <c r="NDH1" s="87" t="n"/>
      <c r="NDI1" s="87" t="n"/>
      <c r="NDJ1" s="87" t="n"/>
      <c r="NDK1" s="87" t="n"/>
      <c r="NDL1" s="87" t="n"/>
      <c r="NDM1" s="87" t="n"/>
      <c r="NDN1" s="87" t="n"/>
      <c r="NDO1" s="87" t="n"/>
      <c r="NDP1" s="87" t="n"/>
      <c r="NDQ1" s="87" t="n"/>
      <c r="NDR1" s="87" t="n"/>
      <c r="NDS1" s="87" t="n"/>
      <c r="NDT1" s="87" t="n"/>
      <c r="NDU1" s="87" t="n"/>
      <c r="NDV1" s="87" t="n"/>
      <c r="NDW1" s="87" t="n"/>
      <c r="NDX1" s="87" t="n"/>
      <c r="NDY1" s="87" t="n"/>
      <c r="NDZ1" s="87" t="n"/>
      <c r="NEA1" s="87" t="n"/>
      <c r="NEB1" s="87" t="n"/>
      <c r="NEC1" s="87" t="n"/>
      <c r="NED1" s="87" t="n"/>
      <c r="NEE1" s="87" t="n"/>
      <c r="NEF1" s="87" t="n"/>
      <c r="NEG1" s="87" t="n"/>
      <c r="NEH1" s="87" t="n"/>
      <c r="NEI1" s="87" t="n"/>
      <c r="NEJ1" s="87" t="n"/>
      <c r="NEK1" s="87" t="n"/>
      <c r="NEL1" s="87" t="n"/>
      <c r="NEM1" s="87" t="n"/>
      <c r="NEN1" s="87" t="n"/>
      <c r="NEO1" s="87" t="n"/>
      <c r="NEP1" s="87" t="n"/>
      <c r="NEQ1" s="87" t="n"/>
      <c r="NER1" s="87" t="n"/>
      <c r="NES1" s="87" t="n"/>
      <c r="NET1" s="87" t="n"/>
      <c r="NEU1" s="87" t="n"/>
      <c r="NEV1" s="87" t="n"/>
      <c r="NEW1" s="87" t="n"/>
      <c r="NEX1" s="87" t="n"/>
      <c r="NEY1" s="87" t="n"/>
      <c r="NEZ1" s="87" t="n"/>
      <c r="NFA1" s="87" t="n"/>
      <c r="NFB1" s="87" t="n"/>
      <c r="NFC1" s="87" t="n"/>
      <c r="NFD1" s="87" t="n"/>
      <c r="NFE1" s="87" t="n"/>
      <c r="NFF1" s="87" t="n"/>
      <c r="NFG1" s="87" t="n"/>
      <c r="NFH1" s="87" t="n"/>
      <c r="NFI1" s="87" t="n"/>
      <c r="NFJ1" s="87" t="n"/>
      <c r="NFK1" s="87" t="n"/>
      <c r="NFL1" s="87" t="n"/>
      <c r="NFM1" s="87" t="n"/>
      <c r="NFN1" s="87" t="n"/>
      <c r="NFO1" s="87" t="n"/>
      <c r="NFP1" s="87" t="n"/>
      <c r="NFQ1" s="87" t="n"/>
      <c r="NFR1" s="87" t="n"/>
      <c r="NFS1" s="87" t="n"/>
      <c r="NFT1" s="87" t="n"/>
      <c r="NFU1" s="87" t="n"/>
      <c r="NFV1" s="87" t="n"/>
      <c r="NFW1" s="87" t="n"/>
      <c r="NFX1" s="87" t="n"/>
      <c r="NFY1" s="87" t="n"/>
      <c r="NFZ1" s="87" t="n"/>
      <c r="NGA1" s="87" t="n"/>
      <c r="NGB1" s="87" t="n"/>
      <c r="NGC1" s="87" t="n"/>
      <c r="NGD1" s="87" t="n"/>
      <c r="NGE1" s="87" t="n"/>
      <c r="NGF1" s="87" t="n"/>
      <c r="NGG1" s="87" t="n"/>
      <c r="NGH1" s="87" t="n"/>
      <c r="NGI1" s="87" t="n"/>
      <c r="NGJ1" s="87" t="n"/>
      <c r="NGK1" s="87" t="n"/>
      <c r="NGL1" s="87" t="n"/>
      <c r="NGM1" s="87" t="n"/>
      <c r="NGN1" s="87" t="n"/>
      <c r="NGO1" s="87" t="n"/>
      <c r="NGP1" s="87" t="n"/>
      <c r="NGQ1" s="87" t="n"/>
      <c r="NGR1" s="87" t="n"/>
      <c r="NGS1" s="87" t="n"/>
      <c r="NGT1" s="87" t="n"/>
      <c r="NGU1" s="87" t="n"/>
      <c r="NGV1" s="87" t="n"/>
      <c r="NGW1" s="87" t="n"/>
      <c r="NGX1" s="87" t="n"/>
      <c r="NGY1" s="87" t="n"/>
      <c r="NGZ1" s="87" t="n"/>
      <c r="NHA1" s="87" t="n"/>
      <c r="NHB1" s="87" t="n"/>
      <c r="NHC1" s="87" t="n"/>
      <c r="NHD1" s="87" t="n"/>
      <c r="NHE1" s="87" t="n"/>
      <c r="NHF1" s="87" t="n"/>
      <c r="NHG1" s="87" t="n"/>
      <c r="NHH1" s="87" t="n"/>
      <c r="NHI1" s="87" t="n"/>
      <c r="NHJ1" s="87" t="n"/>
      <c r="NHK1" s="87" t="n"/>
      <c r="NHL1" s="87" t="n"/>
      <c r="NHM1" s="87" t="n"/>
      <c r="NHN1" s="87" t="n"/>
      <c r="NHO1" s="87" t="n"/>
      <c r="NHP1" s="87" t="n"/>
      <c r="NHQ1" s="87" t="n"/>
      <c r="NHR1" s="87" t="n"/>
      <c r="NHS1" s="87" t="n"/>
      <c r="NHT1" s="87" t="n"/>
      <c r="NHU1" s="87" t="n"/>
      <c r="NHV1" s="87" t="n"/>
      <c r="NHW1" s="87" t="n"/>
      <c r="NHX1" s="87" t="n"/>
      <c r="NHY1" s="87" t="n"/>
      <c r="NHZ1" s="87" t="n"/>
      <c r="NIA1" s="87" t="n"/>
      <c r="NIB1" s="87" t="n"/>
      <c r="NIC1" s="87" t="n"/>
      <c r="NID1" s="87" t="n"/>
      <c r="NIE1" s="87" t="n"/>
      <c r="NIF1" s="87" t="n"/>
      <c r="NIG1" s="87" t="n"/>
      <c r="NIH1" s="87" t="n"/>
      <c r="NII1" s="87" t="n"/>
      <c r="NIJ1" s="87" t="n"/>
      <c r="NIK1" s="87" t="n"/>
      <c r="NIL1" s="87" t="n"/>
      <c r="NIM1" s="87" t="n"/>
      <c r="NIN1" s="87" t="n"/>
      <c r="NIO1" s="87" t="n"/>
      <c r="NIP1" s="87" t="n"/>
      <c r="NIQ1" s="87" t="n"/>
      <c r="NIR1" s="87" t="n"/>
      <c r="NIS1" s="87" t="n"/>
      <c r="NIT1" s="87" t="n"/>
      <c r="NIU1" s="87" t="n"/>
      <c r="NIV1" s="87" t="n"/>
      <c r="NIW1" s="87" t="n"/>
      <c r="NIX1" s="87" t="n"/>
      <c r="NIY1" s="87" t="n"/>
      <c r="NIZ1" s="87" t="n"/>
      <c r="NJA1" s="87" t="n"/>
      <c r="NJB1" s="87" t="n"/>
      <c r="NJC1" s="87" t="n"/>
      <c r="NJD1" s="87" t="n"/>
      <c r="NJE1" s="87" t="n"/>
      <c r="NJF1" s="87" t="n"/>
      <c r="NJG1" s="87" t="n"/>
      <c r="NJH1" s="87" t="n"/>
      <c r="NJI1" s="87" t="n"/>
      <c r="NJJ1" s="87" t="n"/>
      <c r="NJK1" s="87" t="n"/>
      <c r="NJL1" s="87" t="n"/>
      <c r="NJM1" s="87" t="n"/>
      <c r="NJN1" s="87" t="n"/>
      <c r="NJO1" s="87" t="n"/>
      <c r="NJP1" s="87" t="n"/>
      <c r="NJQ1" s="87" t="n"/>
      <c r="NJR1" s="87" t="n"/>
      <c r="NJS1" s="87" t="n"/>
      <c r="NJT1" s="87" t="n"/>
      <c r="NJU1" s="87" t="n"/>
      <c r="NJV1" s="87" t="n"/>
      <c r="NJW1" s="87" t="n"/>
      <c r="NJX1" s="87" t="n"/>
      <c r="NJY1" s="87" t="n"/>
      <c r="NJZ1" s="87" t="n"/>
      <c r="NKA1" s="87" t="n"/>
      <c r="NKB1" s="87" t="n"/>
      <c r="NKC1" s="87" t="n"/>
      <c r="NKD1" s="87" t="n"/>
      <c r="NKE1" s="87" t="n"/>
      <c r="NKF1" s="87" t="n"/>
      <c r="NKG1" s="87" t="n"/>
      <c r="NKH1" s="87" t="n"/>
      <c r="NKI1" s="87" t="n"/>
      <c r="NKJ1" s="87" t="n"/>
      <c r="NKK1" s="87" t="n"/>
      <c r="NKL1" s="87" t="n"/>
      <c r="NKM1" s="87" t="n"/>
      <c r="NKN1" s="87" t="n"/>
      <c r="NKO1" s="87" t="n"/>
      <c r="NKP1" s="87" t="n"/>
      <c r="NKQ1" s="87" t="n"/>
      <c r="NKR1" s="87" t="n"/>
      <c r="NKS1" s="87" t="n"/>
      <c r="NKT1" s="87" t="n"/>
      <c r="NKU1" s="87" t="n"/>
      <c r="NKV1" s="87" t="n"/>
      <c r="NKW1" s="87" t="n"/>
      <c r="NKX1" s="87" t="n"/>
      <c r="NKY1" s="87" t="n"/>
      <c r="NKZ1" s="87" t="n"/>
      <c r="NLA1" s="87" t="n"/>
      <c r="NLB1" s="87" t="n"/>
      <c r="NLC1" s="87" t="n"/>
      <c r="NLD1" s="87" t="n"/>
      <c r="NLE1" s="87" t="n"/>
      <c r="NLF1" s="87" t="n"/>
      <c r="NLG1" s="87" t="n"/>
      <c r="NLH1" s="87" t="n"/>
      <c r="NLI1" s="87" t="n"/>
      <c r="NLJ1" s="87" t="n"/>
      <c r="NLK1" s="87" t="n"/>
      <c r="NLL1" s="87" t="n"/>
      <c r="NLM1" s="87" t="n"/>
      <c r="NLN1" s="87" t="n"/>
      <c r="NLO1" s="87" t="n"/>
      <c r="NLP1" s="87" t="n"/>
      <c r="NLQ1" s="87" t="n"/>
      <c r="NLR1" s="87" t="n"/>
      <c r="NLS1" s="87" t="n"/>
      <c r="NLT1" s="87" t="n"/>
      <c r="NLU1" s="87" t="n"/>
      <c r="NLV1" s="87" t="n"/>
      <c r="NLW1" s="87" t="n"/>
      <c r="NLX1" s="87" t="n"/>
      <c r="NLY1" s="87" t="n"/>
      <c r="NLZ1" s="87" t="n"/>
      <c r="NMA1" s="87" t="n"/>
      <c r="NMB1" s="87" t="n"/>
      <c r="NMC1" s="87" t="n"/>
      <c r="NMD1" s="87" t="n"/>
      <c r="NME1" s="87" t="n"/>
      <c r="NMF1" s="87" t="n"/>
      <c r="NMG1" s="87" t="n"/>
      <c r="NMH1" s="87" t="n"/>
      <c r="NMI1" s="87" t="n"/>
      <c r="NMJ1" s="87" t="n"/>
      <c r="NMK1" s="87" t="n"/>
      <c r="NML1" s="87" t="n"/>
      <c r="NMM1" s="87" t="n"/>
      <c r="NMN1" s="87" t="n"/>
      <c r="NMO1" s="87" t="n"/>
      <c r="NMP1" s="87" t="n"/>
      <c r="NMQ1" s="87" t="n"/>
      <c r="NMR1" s="87" t="n"/>
      <c r="NMS1" s="87" t="n"/>
      <c r="NMT1" s="87" t="n"/>
      <c r="NMU1" s="87" t="n"/>
      <c r="NMV1" s="87" t="n"/>
      <c r="NMW1" s="87" t="n"/>
      <c r="NMX1" s="87" t="n"/>
      <c r="NMY1" s="87" t="n"/>
      <c r="NMZ1" s="87" t="n"/>
      <c r="NNA1" s="87" t="n"/>
      <c r="NNB1" s="87" t="n"/>
      <c r="NNC1" s="87" t="n"/>
      <c r="NND1" s="87" t="n"/>
      <c r="NNE1" s="87" t="n"/>
      <c r="NNF1" s="87" t="n"/>
      <c r="NNG1" s="87" t="n"/>
      <c r="NNH1" s="87" t="n"/>
      <c r="NNI1" s="87" t="n"/>
      <c r="NNJ1" s="87" t="n"/>
      <c r="NNK1" s="87" t="n"/>
      <c r="NNL1" s="87" t="n"/>
      <c r="NNM1" s="87" t="n"/>
      <c r="NNN1" s="87" t="n"/>
      <c r="NNO1" s="87" t="n"/>
      <c r="NNP1" s="87" t="n"/>
      <c r="NNQ1" s="87" t="n"/>
      <c r="NNR1" s="87" t="n"/>
      <c r="NNS1" s="87" t="n"/>
      <c r="NNT1" s="87" t="n"/>
      <c r="NNU1" s="87" t="n"/>
      <c r="NNV1" s="87" t="n"/>
      <c r="NNW1" s="87" t="n"/>
      <c r="NNX1" s="87" t="n"/>
      <c r="NNY1" s="87" t="n"/>
      <c r="NNZ1" s="87" t="n"/>
      <c r="NOA1" s="87" t="n"/>
      <c r="NOB1" s="87" t="n"/>
      <c r="NOC1" s="87" t="n"/>
      <c r="NOD1" s="87" t="n"/>
      <c r="NOE1" s="87" t="n"/>
      <c r="NOF1" s="87" t="n"/>
      <c r="NOG1" s="87" t="n"/>
      <c r="NOH1" s="87" t="n"/>
      <c r="NOI1" s="87" t="n"/>
      <c r="NOJ1" s="87" t="n"/>
      <c r="NOK1" s="87" t="n"/>
      <c r="NOL1" s="87" t="n"/>
      <c r="NOM1" s="87" t="n"/>
      <c r="NON1" s="87" t="n"/>
      <c r="NOO1" s="87" t="n"/>
      <c r="NOP1" s="87" t="n"/>
      <c r="NOQ1" s="87" t="n"/>
      <c r="NOR1" s="87" t="n"/>
      <c r="NOS1" s="87" t="n"/>
      <c r="NOT1" s="87" t="n"/>
      <c r="NOU1" s="87" t="n"/>
      <c r="NOV1" s="87" t="n"/>
      <c r="NOW1" s="87" t="n"/>
      <c r="NOX1" s="87" t="n"/>
      <c r="NOY1" s="87" t="n"/>
      <c r="NOZ1" s="87" t="n"/>
      <c r="NPA1" s="87" t="n"/>
      <c r="NPB1" s="87" t="n"/>
      <c r="NPC1" s="87" t="n"/>
      <c r="NPD1" s="87" t="n"/>
      <c r="NPE1" s="87" t="n"/>
      <c r="NPF1" s="87" t="n"/>
      <c r="NPG1" s="87" t="n"/>
      <c r="NPH1" s="87" t="n"/>
      <c r="NPI1" s="87" t="n"/>
      <c r="NPJ1" s="87" t="n"/>
      <c r="NPK1" s="87" t="n"/>
      <c r="NPL1" s="87" t="n"/>
      <c r="NPM1" s="87" t="n"/>
      <c r="NPN1" s="87" t="n"/>
      <c r="NPO1" s="87" t="n"/>
      <c r="NPP1" s="87" t="n"/>
      <c r="NPQ1" s="87" t="n"/>
      <c r="NPR1" s="87" t="n"/>
      <c r="NPS1" s="87" t="n"/>
      <c r="NPT1" s="87" t="n"/>
      <c r="NPU1" s="87" t="n"/>
      <c r="NPV1" s="87" t="n"/>
      <c r="NPW1" s="87" t="n"/>
      <c r="NPX1" s="87" t="n"/>
      <c r="NPY1" s="87" t="n"/>
      <c r="NPZ1" s="87" t="n"/>
      <c r="NQA1" s="87" t="n"/>
      <c r="NQB1" s="87" t="n"/>
      <c r="NQC1" s="87" t="n"/>
      <c r="NQD1" s="87" t="n"/>
      <c r="NQE1" s="87" t="n"/>
      <c r="NQF1" s="87" t="n"/>
      <c r="NQG1" s="87" t="n"/>
      <c r="NQH1" s="87" t="n"/>
      <c r="NQI1" s="87" t="n"/>
      <c r="NQJ1" s="87" t="n"/>
      <c r="NQK1" s="87" t="n"/>
      <c r="NQL1" s="87" t="n"/>
      <c r="NQM1" s="87" t="n"/>
      <c r="NQN1" s="87" t="n"/>
      <c r="NQO1" s="87" t="n"/>
      <c r="NQP1" s="87" t="n"/>
      <c r="NQQ1" s="87" t="n"/>
      <c r="NQR1" s="87" t="n"/>
      <c r="NQS1" s="87" t="n"/>
      <c r="NQT1" s="87" t="n"/>
      <c r="NQU1" s="87" t="n"/>
      <c r="NQV1" s="87" t="n"/>
      <c r="NQW1" s="87" t="n"/>
      <c r="NQX1" s="87" t="n"/>
      <c r="NQY1" s="87" t="n"/>
      <c r="NQZ1" s="87" t="n"/>
      <c r="NRA1" s="87" t="n"/>
      <c r="NRB1" s="87" t="n"/>
      <c r="NRC1" s="87" t="n"/>
      <c r="NRD1" s="87" t="n"/>
      <c r="NRE1" s="87" t="n"/>
      <c r="NRF1" s="87" t="n"/>
      <c r="NRG1" s="87" t="n"/>
      <c r="NRH1" s="87" t="n"/>
      <c r="NRI1" s="87" t="n"/>
      <c r="NRJ1" s="87" t="n"/>
      <c r="NRK1" s="87" t="n"/>
      <c r="NRL1" s="87" t="n"/>
      <c r="NRM1" s="87" t="n"/>
      <c r="NRN1" s="87" t="n"/>
      <c r="NRO1" s="87" t="n"/>
      <c r="NRP1" s="87" t="n"/>
      <c r="NRQ1" s="87" t="n"/>
      <c r="NRR1" s="87" t="n"/>
      <c r="NRS1" s="87" t="n"/>
      <c r="NRT1" s="87" t="n"/>
      <c r="NRU1" s="87" t="n"/>
      <c r="NRV1" s="87" t="n"/>
      <c r="NRW1" s="87" t="n"/>
      <c r="NRX1" s="87" t="n"/>
      <c r="NRY1" s="87" t="n"/>
      <c r="NRZ1" s="87" t="n"/>
      <c r="NSA1" s="87" t="n"/>
      <c r="NSB1" s="87" t="n"/>
      <c r="NSC1" s="87" t="n"/>
      <c r="NSD1" s="87" t="n"/>
      <c r="NSE1" s="87" t="n"/>
      <c r="NSF1" s="87" t="n"/>
      <c r="NSG1" s="87" t="n"/>
      <c r="NSH1" s="87" t="n"/>
      <c r="NSI1" s="87" t="n"/>
      <c r="NSJ1" s="87" t="n"/>
      <c r="NSK1" s="87" t="n"/>
      <c r="NSL1" s="87" t="n"/>
      <c r="NSM1" s="87" t="n"/>
      <c r="NSN1" s="87" t="n"/>
      <c r="NSO1" s="87" t="n"/>
      <c r="NSP1" s="87" t="n"/>
      <c r="NSQ1" s="87" t="n"/>
      <c r="NSR1" s="87" t="n"/>
      <c r="NSS1" s="87" t="n"/>
      <c r="NST1" s="87" t="n"/>
      <c r="NSU1" s="87" t="n"/>
      <c r="NSV1" s="87" t="n"/>
      <c r="NSW1" s="87" t="n"/>
      <c r="NSX1" s="87" t="n"/>
      <c r="NSY1" s="87" t="n"/>
      <c r="NSZ1" s="87" t="n"/>
      <c r="NTA1" s="87" t="n"/>
      <c r="NTB1" s="87" t="n"/>
      <c r="NTC1" s="87" t="n"/>
      <c r="NTD1" s="87" t="n"/>
      <c r="NTE1" s="87" t="n"/>
      <c r="NTF1" s="87" t="n"/>
      <c r="NTG1" s="87" t="n"/>
      <c r="NTH1" s="87" t="n"/>
      <c r="NTI1" s="87" t="n"/>
      <c r="NTJ1" s="87" t="n"/>
      <c r="NTK1" s="87" t="n"/>
      <c r="NTL1" s="87" t="n"/>
      <c r="NTM1" s="87" t="n"/>
      <c r="NTN1" s="87" t="n"/>
      <c r="NTO1" s="87" t="n"/>
      <c r="NTP1" s="87" t="n"/>
      <c r="NTQ1" s="87" t="n"/>
      <c r="NTR1" s="87" t="n"/>
      <c r="NTS1" s="87" t="n"/>
      <c r="NTT1" s="87" t="n"/>
      <c r="NTU1" s="87" t="n"/>
      <c r="NTV1" s="87" t="n"/>
      <c r="NTW1" s="87" t="n"/>
      <c r="NTX1" s="87" t="n"/>
      <c r="NTY1" s="87" t="n"/>
      <c r="NTZ1" s="87" t="n"/>
      <c r="NUA1" s="87" t="n"/>
      <c r="NUB1" s="87" t="n"/>
      <c r="NUC1" s="87" t="n"/>
      <c r="NUD1" s="87" t="n"/>
      <c r="NUE1" s="87" t="n"/>
      <c r="NUF1" s="87" t="n"/>
      <c r="NUG1" s="87" t="n"/>
      <c r="NUH1" s="87" t="n"/>
      <c r="NUI1" s="87" t="n"/>
      <c r="NUJ1" s="87" t="n"/>
      <c r="NUK1" s="87" t="n"/>
      <c r="NUL1" s="87" t="n"/>
      <c r="NUM1" s="87" t="n"/>
      <c r="NUN1" s="87" t="n"/>
      <c r="NUO1" s="87" t="n"/>
      <c r="NUP1" s="87" t="n"/>
      <c r="NUQ1" s="87" t="n"/>
      <c r="NUR1" s="87" t="n"/>
      <c r="NUS1" s="87" t="n"/>
      <c r="NUT1" s="87" t="n"/>
      <c r="NUU1" s="87" t="n"/>
      <c r="NUV1" s="87" t="n"/>
      <c r="NUW1" s="87" t="n"/>
      <c r="NUX1" s="87" t="n"/>
      <c r="NUY1" s="87" t="n"/>
      <c r="NUZ1" s="87" t="n"/>
      <c r="NVA1" s="87" t="n"/>
      <c r="NVB1" s="87" t="n"/>
      <c r="NVC1" s="87" t="n"/>
      <c r="NVD1" s="87" t="n"/>
      <c r="NVE1" s="87" t="n"/>
      <c r="NVF1" s="87" t="n"/>
      <c r="NVG1" s="87" t="n"/>
      <c r="NVH1" s="87" t="n"/>
      <c r="NVI1" s="87" t="n"/>
      <c r="NVJ1" s="87" t="n"/>
      <c r="NVK1" s="87" t="n"/>
      <c r="NVL1" s="87" t="n"/>
      <c r="NVM1" s="87" t="n"/>
      <c r="NVN1" s="87" t="n"/>
      <c r="NVO1" s="87" t="n"/>
      <c r="NVP1" s="87" t="n"/>
      <c r="NVQ1" s="87" t="n"/>
      <c r="NVR1" s="87" t="n"/>
      <c r="NVS1" s="87" t="n"/>
      <c r="NVT1" s="87" t="n"/>
      <c r="NVU1" s="87" t="n"/>
      <c r="NVV1" s="87" t="n"/>
      <c r="NVW1" s="87" t="n"/>
      <c r="NVX1" s="87" t="n"/>
      <c r="NVY1" s="87" t="n"/>
      <c r="NVZ1" s="87" t="n"/>
      <c r="NWA1" s="87" t="n"/>
      <c r="NWB1" s="87" t="n"/>
      <c r="NWC1" s="87" t="n"/>
      <c r="NWD1" s="87" t="n"/>
      <c r="NWE1" s="87" t="n"/>
      <c r="NWF1" s="87" t="n"/>
      <c r="NWG1" s="87" t="n"/>
      <c r="NWH1" s="87" t="n"/>
      <c r="NWI1" s="87" t="n"/>
      <c r="NWJ1" s="87" t="n"/>
      <c r="NWK1" s="87" t="n"/>
      <c r="NWL1" s="87" t="n"/>
      <c r="NWM1" s="87" t="n"/>
      <c r="NWN1" s="87" t="n"/>
      <c r="NWO1" s="87" t="n"/>
      <c r="NWP1" s="87" t="n"/>
      <c r="NWQ1" s="87" t="n"/>
      <c r="NWR1" s="87" t="n"/>
      <c r="NWS1" s="87" t="n"/>
      <c r="NWT1" s="87" t="n"/>
      <c r="NWU1" s="87" t="n"/>
      <c r="NWV1" s="87" t="n"/>
      <c r="NWW1" s="87" t="n"/>
      <c r="NWX1" s="87" t="n"/>
      <c r="NWY1" s="87" t="n"/>
      <c r="NWZ1" s="87" t="n"/>
      <c r="NXA1" s="87" t="n"/>
      <c r="NXB1" s="87" t="n"/>
      <c r="NXC1" s="87" t="n"/>
      <c r="NXD1" s="87" t="n"/>
      <c r="NXE1" s="87" t="n"/>
      <c r="NXF1" s="87" t="n"/>
      <c r="NXG1" s="87" t="n"/>
      <c r="NXH1" s="87" t="n"/>
      <c r="NXI1" s="87" t="n"/>
      <c r="NXJ1" s="87" t="n"/>
      <c r="NXK1" s="87" t="n"/>
      <c r="NXL1" s="87" t="n"/>
      <c r="NXM1" s="87" t="n"/>
      <c r="NXN1" s="87" t="n"/>
      <c r="NXO1" s="87" t="n"/>
      <c r="NXP1" s="87" t="n"/>
      <c r="NXQ1" s="87" t="n"/>
      <c r="NXR1" s="87" t="n"/>
      <c r="NXS1" s="87" t="n"/>
      <c r="NXT1" s="87" t="n"/>
      <c r="NXU1" s="87" t="n"/>
      <c r="NXV1" s="87" t="n"/>
      <c r="NXW1" s="87" t="n"/>
      <c r="NXX1" s="87" t="n"/>
      <c r="NXY1" s="87" t="n"/>
      <c r="NXZ1" s="87" t="n"/>
      <c r="NYA1" s="87" t="n"/>
      <c r="NYB1" s="87" t="n"/>
      <c r="NYC1" s="87" t="n"/>
      <c r="NYD1" s="87" t="n"/>
      <c r="NYE1" s="87" t="n"/>
      <c r="NYF1" s="87" t="n"/>
      <c r="NYG1" s="87" t="n"/>
      <c r="NYH1" s="87" t="n"/>
      <c r="NYI1" s="87" t="n"/>
      <c r="NYJ1" s="87" t="n"/>
      <c r="NYK1" s="87" t="n"/>
      <c r="NYL1" s="87" t="n"/>
      <c r="NYM1" s="87" t="n"/>
      <c r="NYN1" s="87" t="n"/>
      <c r="NYO1" s="87" t="n"/>
      <c r="NYP1" s="87" t="n"/>
      <c r="NYQ1" s="87" t="n"/>
      <c r="NYR1" s="87" t="n"/>
      <c r="NYS1" s="87" t="n"/>
      <c r="NYT1" s="87" t="n"/>
      <c r="NYU1" s="87" t="n"/>
      <c r="NYV1" s="87" t="n"/>
      <c r="NYW1" s="87" t="n"/>
      <c r="NYX1" s="87" t="n"/>
      <c r="NYY1" s="87" t="n"/>
      <c r="NYZ1" s="87" t="n"/>
      <c r="NZA1" s="87" t="n"/>
      <c r="NZB1" s="87" t="n"/>
      <c r="NZC1" s="87" t="n"/>
      <c r="NZD1" s="87" t="n"/>
      <c r="NZE1" s="87" t="n"/>
      <c r="NZF1" s="87" t="n"/>
      <c r="NZG1" s="87" t="n"/>
      <c r="NZH1" s="87" t="n"/>
      <c r="NZI1" s="87" t="n"/>
      <c r="NZJ1" s="87" t="n"/>
      <c r="NZK1" s="87" t="n"/>
      <c r="NZL1" s="87" t="n"/>
      <c r="NZM1" s="87" t="n"/>
      <c r="NZN1" s="87" t="n"/>
      <c r="NZO1" s="87" t="n"/>
      <c r="NZP1" s="87" t="n"/>
      <c r="NZQ1" s="87" t="n"/>
      <c r="NZR1" s="87" t="n"/>
      <c r="NZS1" s="87" t="n"/>
      <c r="NZT1" s="87" t="n"/>
      <c r="NZU1" s="87" t="n"/>
      <c r="NZV1" s="87" t="n"/>
      <c r="NZW1" s="87" t="n"/>
      <c r="NZX1" s="87" t="n"/>
      <c r="NZY1" s="87" t="n"/>
      <c r="NZZ1" s="87" t="n"/>
      <c r="OAA1" s="87" t="n"/>
      <c r="OAB1" s="87" t="n"/>
      <c r="OAC1" s="87" t="n"/>
      <c r="OAD1" s="87" t="n"/>
      <c r="OAE1" s="87" t="n"/>
      <c r="OAF1" s="87" t="n"/>
      <c r="OAG1" s="87" t="n"/>
      <c r="OAH1" s="87" t="n"/>
      <c r="OAI1" s="87" t="n"/>
      <c r="OAJ1" s="87" t="n"/>
      <c r="OAK1" s="87" t="n"/>
      <c r="OAL1" s="87" t="n"/>
      <c r="OAM1" s="87" t="n"/>
      <c r="OAN1" s="87" t="n"/>
      <c r="OAO1" s="87" t="n"/>
      <c r="OAP1" s="87" t="n"/>
      <c r="OAQ1" s="87" t="n"/>
      <c r="OAR1" s="87" t="n"/>
      <c r="OAS1" s="87" t="n"/>
      <c r="OAT1" s="87" t="n"/>
      <c r="OAU1" s="87" t="n"/>
      <c r="OAV1" s="87" t="n"/>
      <c r="OAW1" s="87" t="n"/>
      <c r="OAX1" s="87" t="n"/>
      <c r="OAY1" s="87" t="n"/>
      <c r="OAZ1" s="87" t="n"/>
      <c r="OBA1" s="87" t="n"/>
      <c r="OBB1" s="87" t="n"/>
      <c r="OBC1" s="87" t="n"/>
      <c r="OBD1" s="87" t="n"/>
      <c r="OBE1" s="87" t="n"/>
      <c r="OBF1" s="87" t="n"/>
      <c r="OBG1" s="87" t="n"/>
      <c r="OBH1" s="87" t="n"/>
      <c r="OBI1" s="87" t="n"/>
      <c r="OBJ1" s="87" t="n"/>
      <c r="OBK1" s="87" t="n"/>
      <c r="OBL1" s="87" t="n"/>
      <c r="OBM1" s="87" t="n"/>
      <c r="OBN1" s="87" t="n"/>
      <c r="OBO1" s="87" t="n"/>
      <c r="OBP1" s="87" t="n"/>
      <c r="OBQ1" s="87" t="n"/>
      <c r="OBR1" s="87" t="n"/>
      <c r="OBS1" s="87" t="n"/>
      <c r="OBT1" s="87" t="n"/>
      <c r="OBU1" s="87" t="n"/>
      <c r="OBV1" s="87" t="n"/>
      <c r="OBW1" s="87" t="n"/>
      <c r="OBX1" s="87" t="n"/>
      <c r="OBY1" s="87" t="n"/>
      <c r="OBZ1" s="87" t="n"/>
      <c r="OCA1" s="87" t="n"/>
      <c r="OCB1" s="87" t="n"/>
      <c r="OCC1" s="87" t="n"/>
      <c r="OCD1" s="87" t="n"/>
      <c r="OCE1" s="87" t="n"/>
      <c r="OCF1" s="87" t="n"/>
      <c r="OCG1" s="87" t="n"/>
      <c r="OCH1" s="87" t="n"/>
      <c r="OCI1" s="87" t="n"/>
      <c r="OCJ1" s="87" t="n"/>
      <c r="OCK1" s="87" t="n"/>
      <c r="OCL1" s="87" t="n"/>
      <c r="OCM1" s="87" t="n"/>
      <c r="OCN1" s="87" t="n"/>
      <c r="OCO1" s="87" t="n"/>
      <c r="OCP1" s="87" t="n"/>
      <c r="OCQ1" s="87" t="n"/>
      <c r="OCR1" s="87" t="n"/>
      <c r="OCS1" s="87" t="n"/>
      <c r="OCT1" s="87" t="n"/>
      <c r="OCU1" s="87" t="n"/>
      <c r="OCV1" s="87" t="n"/>
      <c r="OCW1" s="87" t="n"/>
      <c r="OCX1" s="87" t="n"/>
      <c r="OCY1" s="87" t="n"/>
      <c r="OCZ1" s="87" t="n"/>
      <c r="ODA1" s="87" t="n"/>
      <c r="ODB1" s="87" t="n"/>
      <c r="ODC1" s="87" t="n"/>
      <c r="ODD1" s="87" t="n"/>
      <c r="ODE1" s="87" t="n"/>
      <c r="ODF1" s="87" t="n"/>
      <c r="ODG1" s="87" t="n"/>
      <c r="ODH1" s="87" t="n"/>
      <c r="ODI1" s="87" t="n"/>
      <c r="ODJ1" s="87" t="n"/>
      <c r="ODK1" s="87" t="n"/>
      <c r="ODL1" s="87" t="n"/>
      <c r="ODM1" s="87" t="n"/>
      <c r="ODN1" s="87" t="n"/>
      <c r="ODO1" s="87" t="n"/>
      <c r="ODP1" s="87" t="n"/>
      <c r="ODQ1" s="87" t="n"/>
      <c r="ODR1" s="87" t="n"/>
      <c r="ODS1" s="87" t="n"/>
      <c r="ODT1" s="87" t="n"/>
      <c r="ODU1" s="87" t="n"/>
      <c r="ODV1" s="87" t="n"/>
      <c r="ODW1" s="87" t="n"/>
      <c r="ODX1" s="87" t="n"/>
      <c r="ODY1" s="87" t="n"/>
      <c r="ODZ1" s="87" t="n"/>
      <c r="OEA1" s="87" t="n"/>
      <c r="OEB1" s="87" t="n"/>
      <c r="OEC1" s="87" t="n"/>
      <c r="OED1" s="87" t="n"/>
      <c r="OEE1" s="87" t="n"/>
      <c r="OEF1" s="87" t="n"/>
      <c r="OEG1" s="87" t="n"/>
      <c r="OEH1" s="87" t="n"/>
      <c r="OEI1" s="87" t="n"/>
      <c r="OEJ1" s="87" t="n"/>
      <c r="OEK1" s="87" t="n"/>
      <c r="OEL1" s="87" t="n"/>
      <c r="OEM1" s="87" t="n"/>
      <c r="OEN1" s="87" t="n"/>
      <c r="OEO1" s="87" t="n"/>
      <c r="OEP1" s="87" t="n"/>
      <c r="OEQ1" s="87" t="n"/>
      <c r="OER1" s="87" t="n"/>
      <c r="OES1" s="87" t="n"/>
      <c r="OET1" s="87" t="n"/>
      <c r="OEU1" s="87" t="n"/>
      <c r="OEV1" s="87" t="n"/>
      <c r="OEW1" s="87" t="n"/>
      <c r="OEX1" s="87" t="n"/>
      <c r="OEY1" s="87" t="n"/>
      <c r="OEZ1" s="87" t="n"/>
      <c r="OFA1" s="87" t="n"/>
      <c r="OFB1" s="87" t="n"/>
      <c r="OFC1" s="87" t="n"/>
      <c r="OFD1" s="87" t="n"/>
      <c r="OFE1" s="87" t="n"/>
      <c r="OFF1" s="87" t="n"/>
      <c r="OFG1" s="87" t="n"/>
      <c r="OFH1" s="87" t="n"/>
      <c r="OFI1" s="87" t="n"/>
      <c r="OFJ1" s="87" t="n"/>
      <c r="OFK1" s="87" t="n"/>
      <c r="OFL1" s="87" t="n"/>
      <c r="OFM1" s="87" t="n"/>
      <c r="OFN1" s="87" t="n"/>
      <c r="OFO1" s="87" t="n"/>
      <c r="OFP1" s="87" t="n"/>
      <c r="OFQ1" s="87" t="n"/>
      <c r="OFR1" s="87" t="n"/>
      <c r="OFS1" s="87" t="n"/>
      <c r="OFT1" s="87" t="n"/>
      <c r="OFU1" s="87" t="n"/>
      <c r="OFV1" s="87" t="n"/>
      <c r="OFW1" s="87" t="n"/>
      <c r="OFX1" s="87" t="n"/>
      <c r="OFY1" s="87" t="n"/>
      <c r="OFZ1" s="87" t="n"/>
      <c r="OGA1" s="87" t="n"/>
      <c r="OGB1" s="87" t="n"/>
      <c r="OGC1" s="87" t="n"/>
      <c r="OGD1" s="87" t="n"/>
      <c r="OGE1" s="87" t="n"/>
      <c r="OGF1" s="87" t="n"/>
      <c r="OGG1" s="87" t="n"/>
      <c r="OGH1" s="87" t="n"/>
      <c r="OGI1" s="87" t="n"/>
      <c r="OGJ1" s="87" t="n"/>
      <c r="OGK1" s="87" t="n"/>
      <c r="OGL1" s="87" t="n"/>
      <c r="OGM1" s="87" t="n"/>
      <c r="OGN1" s="87" t="n"/>
      <c r="OGO1" s="87" t="n"/>
      <c r="OGP1" s="87" t="n"/>
      <c r="OGQ1" s="87" t="n"/>
      <c r="OGR1" s="87" t="n"/>
      <c r="OGS1" s="87" t="n"/>
      <c r="OGT1" s="87" t="n"/>
      <c r="OGU1" s="87" t="n"/>
      <c r="OGV1" s="87" t="n"/>
      <c r="OGW1" s="87" t="n"/>
      <c r="OGX1" s="87" t="n"/>
      <c r="OGY1" s="87" t="n"/>
      <c r="OGZ1" s="87" t="n"/>
      <c r="OHA1" s="87" t="n"/>
      <c r="OHB1" s="87" t="n"/>
      <c r="OHC1" s="87" t="n"/>
      <c r="OHD1" s="87" t="n"/>
      <c r="OHE1" s="87" t="n"/>
      <c r="OHF1" s="87" t="n"/>
      <c r="OHG1" s="87" t="n"/>
      <c r="OHH1" s="87" t="n"/>
      <c r="OHI1" s="87" t="n"/>
      <c r="OHJ1" s="87" t="n"/>
      <c r="OHK1" s="87" t="n"/>
      <c r="OHL1" s="87" t="n"/>
      <c r="OHM1" s="87" t="n"/>
      <c r="OHN1" s="87" t="n"/>
      <c r="OHO1" s="87" t="n"/>
      <c r="OHP1" s="87" t="n"/>
      <c r="OHQ1" s="87" t="n"/>
      <c r="OHR1" s="87" t="n"/>
      <c r="OHS1" s="87" t="n"/>
      <c r="OHT1" s="87" t="n"/>
      <c r="OHU1" s="87" t="n"/>
      <c r="OHV1" s="87" t="n"/>
      <c r="OHW1" s="87" t="n"/>
      <c r="OHX1" s="87" t="n"/>
      <c r="OHY1" s="87" t="n"/>
      <c r="OHZ1" s="87" t="n"/>
      <c r="OIA1" s="87" t="n"/>
      <c r="OIB1" s="87" t="n"/>
      <c r="OIC1" s="87" t="n"/>
      <c r="OID1" s="87" t="n"/>
      <c r="OIE1" s="87" t="n"/>
      <c r="OIF1" s="87" t="n"/>
      <c r="OIG1" s="87" t="n"/>
      <c r="OIH1" s="87" t="n"/>
      <c r="OII1" s="87" t="n"/>
      <c r="OIJ1" s="87" t="n"/>
      <c r="OIK1" s="87" t="n"/>
      <c r="OIL1" s="87" t="n"/>
      <c r="OIM1" s="87" t="n"/>
      <c r="OIN1" s="87" t="n"/>
      <c r="OIO1" s="87" t="n"/>
      <c r="OIP1" s="87" t="n"/>
      <c r="OIQ1" s="87" t="n"/>
      <c r="OIR1" s="87" t="n"/>
      <c r="OIS1" s="87" t="n"/>
      <c r="OIT1" s="87" t="n"/>
      <c r="OIU1" s="87" t="n"/>
      <c r="OIV1" s="87" t="n"/>
      <c r="OIW1" s="87" t="n"/>
      <c r="OIX1" s="87" t="n"/>
      <c r="OIY1" s="87" t="n"/>
      <c r="OIZ1" s="87" t="n"/>
      <c r="OJA1" s="87" t="n"/>
      <c r="OJB1" s="87" t="n"/>
      <c r="OJC1" s="87" t="n"/>
      <c r="OJD1" s="87" t="n"/>
      <c r="OJE1" s="87" t="n"/>
      <c r="OJF1" s="87" t="n"/>
      <c r="OJG1" s="87" t="n"/>
      <c r="OJH1" s="87" t="n"/>
      <c r="OJI1" s="87" t="n"/>
      <c r="OJJ1" s="87" t="n"/>
      <c r="OJK1" s="87" t="n"/>
      <c r="OJL1" s="87" t="n"/>
      <c r="OJM1" s="87" t="n"/>
      <c r="OJN1" s="87" t="n"/>
      <c r="OJO1" s="87" t="n"/>
      <c r="OJP1" s="87" t="n"/>
      <c r="OJQ1" s="87" t="n"/>
      <c r="OJR1" s="87" t="n"/>
      <c r="OJS1" s="87" t="n"/>
      <c r="OJT1" s="87" t="n"/>
      <c r="OJU1" s="87" t="n"/>
      <c r="OJV1" s="87" t="n"/>
      <c r="OJW1" s="87" t="n"/>
      <c r="OJX1" s="87" t="n"/>
      <c r="OJY1" s="87" t="n"/>
      <c r="OJZ1" s="87" t="n"/>
      <c r="OKA1" s="87" t="n"/>
      <c r="OKB1" s="87" t="n"/>
      <c r="OKC1" s="87" t="n"/>
      <c r="OKD1" s="87" t="n"/>
      <c r="OKE1" s="87" t="n"/>
      <c r="OKF1" s="87" t="n"/>
      <c r="OKG1" s="87" t="n"/>
      <c r="OKH1" s="87" t="n"/>
      <c r="OKI1" s="87" t="n"/>
      <c r="OKJ1" s="87" t="n"/>
      <c r="OKK1" s="87" t="n"/>
      <c r="OKL1" s="87" t="n"/>
      <c r="OKM1" s="87" t="n"/>
      <c r="OKN1" s="87" t="n"/>
      <c r="OKO1" s="87" t="n"/>
      <c r="OKP1" s="87" t="n"/>
      <c r="OKQ1" s="87" t="n"/>
      <c r="OKR1" s="87" t="n"/>
      <c r="OKS1" s="87" t="n"/>
      <c r="OKT1" s="87" t="n"/>
      <c r="OKU1" s="87" t="n"/>
      <c r="OKV1" s="87" t="n"/>
      <c r="OKW1" s="87" t="n"/>
      <c r="OKX1" s="87" t="n"/>
      <c r="OKY1" s="87" t="n"/>
      <c r="OKZ1" s="87" t="n"/>
      <c r="OLA1" s="87" t="n"/>
      <c r="OLB1" s="87" t="n"/>
      <c r="OLC1" s="87" t="n"/>
      <c r="OLD1" s="87" t="n"/>
      <c r="OLE1" s="87" t="n"/>
      <c r="OLF1" s="87" t="n"/>
      <c r="OLG1" s="87" t="n"/>
      <c r="OLH1" s="87" t="n"/>
      <c r="OLI1" s="87" t="n"/>
      <c r="OLJ1" s="87" t="n"/>
      <c r="OLK1" s="87" t="n"/>
      <c r="OLL1" s="87" t="n"/>
      <c r="OLM1" s="87" t="n"/>
      <c r="OLN1" s="87" t="n"/>
      <c r="OLO1" s="87" t="n"/>
      <c r="OLP1" s="87" t="n"/>
      <c r="OLQ1" s="87" t="n"/>
      <c r="OLR1" s="87" t="n"/>
      <c r="OLS1" s="87" t="n"/>
      <c r="OLT1" s="87" t="n"/>
      <c r="OLU1" s="87" t="n"/>
      <c r="OLV1" s="87" t="n"/>
      <c r="OLW1" s="87" t="n"/>
      <c r="OLX1" s="87" t="n"/>
      <c r="OLY1" s="87" t="n"/>
      <c r="OLZ1" s="87" t="n"/>
      <c r="OMA1" s="87" t="n"/>
      <c r="OMB1" s="87" t="n"/>
      <c r="OMC1" s="87" t="n"/>
      <c r="OMD1" s="87" t="n"/>
      <c r="OME1" s="87" t="n"/>
      <c r="OMF1" s="87" t="n"/>
      <c r="OMG1" s="87" t="n"/>
      <c r="OMH1" s="87" t="n"/>
      <c r="OMI1" s="87" t="n"/>
      <c r="OMJ1" s="87" t="n"/>
      <c r="OMK1" s="87" t="n"/>
      <c r="OML1" s="87" t="n"/>
      <c r="OMM1" s="87" t="n"/>
      <c r="OMN1" s="87" t="n"/>
      <c r="OMO1" s="87" t="n"/>
      <c r="OMP1" s="87" t="n"/>
      <c r="OMQ1" s="87" t="n"/>
      <c r="OMR1" s="87" t="n"/>
      <c r="OMS1" s="87" t="n"/>
      <c r="OMT1" s="87" t="n"/>
      <c r="OMU1" s="87" t="n"/>
      <c r="OMV1" s="87" t="n"/>
      <c r="OMW1" s="87" t="n"/>
      <c r="OMX1" s="87" t="n"/>
      <c r="OMY1" s="87" t="n"/>
      <c r="OMZ1" s="87" t="n"/>
      <c r="ONA1" s="87" t="n"/>
      <c r="ONB1" s="87" t="n"/>
      <c r="ONC1" s="87" t="n"/>
      <c r="OND1" s="87" t="n"/>
      <c r="ONE1" s="87" t="n"/>
      <c r="ONF1" s="87" t="n"/>
      <c r="ONG1" s="87" t="n"/>
      <c r="ONH1" s="87" t="n"/>
      <c r="ONI1" s="87" t="n"/>
      <c r="ONJ1" s="87" t="n"/>
      <c r="ONK1" s="87" t="n"/>
      <c r="ONL1" s="87" t="n"/>
      <c r="ONM1" s="87" t="n"/>
      <c r="ONN1" s="87" t="n"/>
      <c r="ONO1" s="87" t="n"/>
      <c r="ONP1" s="87" t="n"/>
      <c r="ONQ1" s="87" t="n"/>
      <c r="ONR1" s="87" t="n"/>
      <c r="ONS1" s="87" t="n"/>
      <c r="ONT1" s="87" t="n"/>
      <c r="ONU1" s="87" t="n"/>
      <c r="ONV1" s="87" t="n"/>
      <c r="ONW1" s="87" t="n"/>
      <c r="ONX1" s="87" t="n"/>
      <c r="ONY1" s="87" t="n"/>
      <c r="ONZ1" s="87" t="n"/>
      <c r="OOA1" s="87" t="n"/>
      <c r="OOB1" s="87" t="n"/>
      <c r="OOC1" s="87" t="n"/>
      <c r="OOD1" s="87" t="n"/>
      <c r="OOE1" s="87" t="n"/>
      <c r="OOF1" s="87" t="n"/>
      <c r="OOG1" s="87" t="n"/>
      <c r="OOH1" s="87" t="n"/>
      <c r="OOI1" s="87" t="n"/>
      <c r="OOJ1" s="87" t="n"/>
      <c r="OOK1" s="87" t="n"/>
      <c r="OOL1" s="87" t="n"/>
      <c r="OOM1" s="87" t="n"/>
      <c r="OON1" s="87" t="n"/>
      <c r="OOO1" s="87" t="n"/>
      <c r="OOP1" s="87" t="n"/>
      <c r="OOQ1" s="87" t="n"/>
      <c r="OOR1" s="87" t="n"/>
      <c r="OOS1" s="87" t="n"/>
      <c r="OOT1" s="87" t="n"/>
      <c r="OOU1" s="87" t="n"/>
      <c r="OOV1" s="87" t="n"/>
      <c r="OOW1" s="87" t="n"/>
      <c r="OOX1" s="87" t="n"/>
      <c r="OOY1" s="87" t="n"/>
      <c r="OOZ1" s="87" t="n"/>
      <c r="OPA1" s="87" t="n"/>
      <c r="OPB1" s="87" t="n"/>
      <c r="OPC1" s="87" t="n"/>
      <c r="OPD1" s="87" t="n"/>
      <c r="OPE1" s="87" t="n"/>
      <c r="OPF1" s="87" t="n"/>
      <c r="OPG1" s="87" t="n"/>
      <c r="OPH1" s="87" t="n"/>
      <c r="OPI1" s="87" t="n"/>
      <c r="OPJ1" s="87" t="n"/>
      <c r="OPK1" s="87" t="n"/>
      <c r="OPL1" s="87" t="n"/>
      <c r="OPM1" s="87" t="n"/>
      <c r="OPN1" s="87" t="n"/>
      <c r="OPO1" s="87" t="n"/>
      <c r="OPP1" s="87" t="n"/>
      <c r="OPQ1" s="87" t="n"/>
      <c r="OPR1" s="87" t="n"/>
      <c r="OPS1" s="87" t="n"/>
      <c r="OPT1" s="87" t="n"/>
      <c r="OPU1" s="87" t="n"/>
      <c r="OPV1" s="87" t="n"/>
      <c r="OPW1" s="87" t="n"/>
      <c r="OPX1" s="87" t="n"/>
      <c r="OPY1" s="87" t="n"/>
      <c r="OPZ1" s="87" t="n"/>
      <c r="OQA1" s="87" t="n"/>
      <c r="OQB1" s="87" t="n"/>
      <c r="OQC1" s="87" t="n"/>
      <c r="OQD1" s="87" t="n"/>
      <c r="OQE1" s="87" t="n"/>
      <c r="OQF1" s="87" t="n"/>
      <c r="OQG1" s="87" t="n"/>
      <c r="OQH1" s="87" t="n"/>
      <c r="OQI1" s="87" t="n"/>
      <c r="OQJ1" s="87" t="n"/>
      <c r="OQK1" s="87" t="n"/>
      <c r="OQL1" s="87" t="n"/>
      <c r="OQM1" s="87" t="n"/>
      <c r="OQN1" s="87" t="n"/>
      <c r="OQO1" s="87" t="n"/>
      <c r="OQP1" s="87" t="n"/>
      <c r="OQQ1" s="87" t="n"/>
      <c r="OQR1" s="87" t="n"/>
      <c r="OQS1" s="87" t="n"/>
      <c r="OQT1" s="87" t="n"/>
      <c r="OQU1" s="87" t="n"/>
      <c r="OQV1" s="87" t="n"/>
      <c r="OQW1" s="87" t="n"/>
      <c r="OQX1" s="87" t="n"/>
      <c r="OQY1" s="87" t="n"/>
      <c r="OQZ1" s="87" t="n"/>
      <c r="ORA1" s="87" t="n"/>
      <c r="ORB1" s="87" t="n"/>
      <c r="ORC1" s="87" t="n"/>
      <c r="ORD1" s="87" t="n"/>
      <c r="ORE1" s="87" t="n"/>
      <c r="ORF1" s="87" t="n"/>
      <c r="ORG1" s="87" t="n"/>
      <c r="ORH1" s="87" t="n"/>
      <c r="ORI1" s="87" t="n"/>
      <c r="ORJ1" s="87" t="n"/>
      <c r="ORK1" s="87" t="n"/>
      <c r="ORL1" s="87" t="n"/>
      <c r="ORM1" s="87" t="n"/>
      <c r="ORN1" s="87" t="n"/>
      <c r="ORO1" s="87" t="n"/>
      <c r="ORP1" s="87" t="n"/>
      <c r="ORQ1" s="87" t="n"/>
      <c r="ORR1" s="87" t="n"/>
      <c r="ORS1" s="87" t="n"/>
      <c r="ORT1" s="87" t="n"/>
      <c r="ORU1" s="87" t="n"/>
      <c r="ORV1" s="87" t="n"/>
      <c r="ORW1" s="87" t="n"/>
      <c r="ORX1" s="87" t="n"/>
      <c r="ORY1" s="87" t="n"/>
      <c r="ORZ1" s="87" t="n"/>
      <c r="OSA1" s="87" t="n"/>
      <c r="OSB1" s="87" t="n"/>
      <c r="OSC1" s="87" t="n"/>
      <c r="OSD1" s="87" t="n"/>
      <c r="OSE1" s="87" t="n"/>
      <c r="OSF1" s="87" t="n"/>
      <c r="OSG1" s="87" t="n"/>
      <c r="OSH1" s="87" t="n"/>
      <c r="OSI1" s="87" t="n"/>
      <c r="OSJ1" s="87" t="n"/>
      <c r="OSK1" s="87" t="n"/>
      <c r="OSL1" s="87" t="n"/>
      <c r="OSM1" s="87" t="n"/>
      <c r="OSN1" s="87" t="n"/>
      <c r="OSO1" s="87" t="n"/>
      <c r="OSP1" s="87" t="n"/>
      <c r="OSQ1" s="87" t="n"/>
      <c r="OSR1" s="87" t="n"/>
      <c r="OSS1" s="87" t="n"/>
      <c r="OST1" s="87" t="n"/>
      <c r="OSU1" s="87" t="n"/>
      <c r="OSV1" s="87" t="n"/>
      <c r="OSW1" s="87" t="n"/>
      <c r="OSX1" s="87" t="n"/>
      <c r="OSY1" s="87" t="n"/>
      <c r="OSZ1" s="87" t="n"/>
      <c r="OTA1" s="87" t="n"/>
      <c r="OTB1" s="87" t="n"/>
      <c r="OTC1" s="87" t="n"/>
      <c r="OTD1" s="87" t="n"/>
      <c r="OTE1" s="87" t="n"/>
      <c r="OTF1" s="87" t="n"/>
      <c r="OTG1" s="87" t="n"/>
      <c r="OTH1" s="87" t="n"/>
      <c r="OTI1" s="87" t="n"/>
      <c r="OTJ1" s="87" t="n"/>
      <c r="OTK1" s="87" t="n"/>
      <c r="OTL1" s="87" t="n"/>
      <c r="OTM1" s="87" t="n"/>
      <c r="OTN1" s="87" t="n"/>
      <c r="OTO1" s="87" t="n"/>
      <c r="OTP1" s="87" t="n"/>
      <c r="OTQ1" s="87" t="n"/>
      <c r="OTR1" s="87" t="n"/>
      <c r="OTS1" s="87" t="n"/>
      <c r="OTT1" s="87" t="n"/>
      <c r="OTU1" s="87" t="n"/>
      <c r="OTV1" s="87" t="n"/>
      <c r="OTW1" s="87" t="n"/>
      <c r="OTX1" s="87" t="n"/>
      <c r="OTY1" s="87" t="n"/>
      <c r="OTZ1" s="87" t="n"/>
      <c r="OUA1" s="87" t="n"/>
      <c r="OUB1" s="87" t="n"/>
      <c r="OUC1" s="87" t="n"/>
      <c r="OUD1" s="87" t="n"/>
      <c r="OUE1" s="87" t="n"/>
      <c r="OUF1" s="87" t="n"/>
      <c r="OUG1" s="87" t="n"/>
      <c r="OUH1" s="87" t="n"/>
      <c r="OUI1" s="87" t="n"/>
      <c r="OUJ1" s="87" t="n"/>
      <c r="OUK1" s="87" t="n"/>
      <c r="OUL1" s="87" t="n"/>
      <c r="OUM1" s="87" t="n"/>
      <c r="OUN1" s="87" t="n"/>
      <c r="OUO1" s="87" t="n"/>
      <c r="OUP1" s="87" t="n"/>
      <c r="OUQ1" s="87" t="n"/>
      <c r="OUR1" s="87" t="n"/>
      <c r="OUS1" s="87" t="n"/>
      <c r="OUT1" s="87" t="n"/>
      <c r="OUU1" s="87" t="n"/>
      <c r="OUV1" s="87" t="n"/>
      <c r="OUW1" s="87" t="n"/>
      <c r="OUX1" s="87" t="n"/>
      <c r="OUY1" s="87" t="n"/>
      <c r="OUZ1" s="87" t="n"/>
      <c r="OVA1" s="87" t="n"/>
      <c r="OVB1" s="87" t="n"/>
      <c r="OVC1" s="87" t="n"/>
      <c r="OVD1" s="87" t="n"/>
      <c r="OVE1" s="87" t="n"/>
      <c r="OVF1" s="87" t="n"/>
      <c r="OVG1" s="87" t="n"/>
      <c r="OVH1" s="87" t="n"/>
      <c r="OVI1" s="87" t="n"/>
      <c r="OVJ1" s="87" t="n"/>
      <c r="OVK1" s="87" t="n"/>
      <c r="OVL1" s="87" t="n"/>
      <c r="OVM1" s="87" t="n"/>
      <c r="OVN1" s="87" t="n"/>
      <c r="OVO1" s="87" t="n"/>
      <c r="OVP1" s="87" t="n"/>
      <c r="OVQ1" s="87" t="n"/>
      <c r="OVR1" s="87" t="n"/>
      <c r="OVS1" s="87" t="n"/>
      <c r="OVT1" s="87" t="n"/>
      <c r="OVU1" s="87" t="n"/>
      <c r="OVV1" s="87" t="n"/>
      <c r="OVW1" s="87" t="n"/>
      <c r="OVX1" s="87" t="n"/>
      <c r="OVY1" s="87" t="n"/>
      <c r="OVZ1" s="87" t="n"/>
      <c r="OWA1" s="87" t="n"/>
      <c r="OWB1" s="87" t="n"/>
      <c r="OWC1" s="87" t="n"/>
      <c r="OWD1" s="87" t="n"/>
      <c r="OWE1" s="87" t="n"/>
      <c r="OWF1" s="87" t="n"/>
      <c r="OWG1" s="87" t="n"/>
      <c r="OWH1" s="87" t="n"/>
      <c r="OWI1" s="87" t="n"/>
      <c r="OWJ1" s="87" t="n"/>
      <c r="OWK1" s="87" t="n"/>
      <c r="OWL1" s="87" t="n"/>
      <c r="OWM1" s="87" t="n"/>
      <c r="OWN1" s="87" t="n"/>
      <c r="OWO1" s="87" t="n"/>
      <c r="OWP1" s="87" t="n"/>
      <c r="OWQ1" s="87" t="n"/>
      <c r="OWR1" s="87" t="n"/>
      <c r="OWS1" s="87" t="n"/>
      <c r="OWT1" s="87" t="n"/>
      <c r="OWU1" s="87" t="n"/>
      <c r="OWV1" s="87" t="n"/>
      <c r="OWW1" s="87" t="n"/>
      <c r="OWX1" s="87" t="n"/>
      <c r="OWY1" s="87" t="n"/>
      <c r="OWZ1" s="87" t="n"/>
      <c r="OXA1" s="87" t="n"/>
      <c r="OXB1" s="87" t="n"/>
      <c r="OXC1" s="87" t="n"/>
      <c r="OXD1" s="87" t="n"/>
      <c r="OXE1" s="87" t="n"/>
      <c r="OXF1" s="87" t="n"/>
      <c r="OXG1" s="87" t="n"/>
      <c r="OXH1" s="87" t="n"/>
      <c r="OXI1" s="87" t="n"/>
      <c r="OXJ1" s="87" t="n"/>
      <c r="OXK1" s="87" t="n"/>
      <c r="OXL1" s="87" t="n"/>
      <c r="OXM1" s="87" t="n"/>
      <c r="OXN1" s="87" t="n"/>
      <c r="OXO1" s="87" t="n"/>
      <c r="OXP1" s="87" t="n"/>
      <c r="OXQ1" s="87" t="n"/>
      <c r="OXR1" s="87" t="n"/>
      <c r="OXS1" s="87" t="n"/>
      <c r="OXT1" s="87" t="n"/>
      <c r="OXU1" s="87" t="n"/>
      <c r="OXV1" s="87" t="n"/>
      <c r="OXW1" s="87" t="n"/>
      <c r="OXX1" s="87" t="n"/>
      <c r="OXY1" s="87" t="n"/>
      <c r="OXZ1" s="87" t="n"/>
      <c r="OYA1" s="87" t="n"/>
      <c r="OYB1" s="87" t="n"/>
      <c r="OYC1" s="87" t="n"/>
      <c r="OYD1" s="87" t="n"/>
      <c r="OYE1" s="87" t="n"/>
      <c r="OYF1" s="87" t="n"/>
      <c r="OYG1" s="87" t="n"/>
      <c r="OYH1" s="87" t="n"/>
      <c r="OYI1" s="87" t="n"/>
      <c r="OYJ1" s="87" t="n"/>
      <c r="OYK1" s="87" t="n"/>
      <c r="OYL1" s="87" t="n"/>
      <c r="OYM1" s="87" t="n"/>
      <c r="OYN1" s="87" t="n"/>
      <c r="OYO1" s="87" t="n"/>
      <c r="OYP1" s="87" t="n"/>
      <c r="OYQ1" s="87" t="n"/>
      <c r="OYR1" s="87" t="n"/>
      <c r="OYS1" s="87" t="n"/>
      <c r="OYT1" s="87" t="n"/>
      <c r="OYU1" s="87" t="n"/>
      <c r="OYV1" s="87" t="n"/>
      <c r="OYW1" s="87" t="n"/>
      <c r="OYX1" s="87" t="n"/>
      <c r="OYY1" s="87" t="n"/>
      <c r="OYZ1" s="87" t="n"/>
      <c r="OZA1" s="87" t="n"/>
      <c r="OZB1" s="87" t="n"/>
      <c r="OZC1" s="87" t="n"/>
      <c r="OZD1" s="87" t="n"/>
      <c r="OZE1" s="87" t="n"/>
      <c r="OZF1" s="87" t="n"/>
      <c r="OZG1" s="87" t="n"/>
      <c r="OZH1" s="87" t="n"/>
      <c r="OZI1" s="87" t="n"/>
      <c r="OZJ1" s="87" t="n"/>
      <c r="OZK1" s="87" t="n"/>
      <c r="OZL1" s="87" t="n"/>
      <c r="OZM1" s="87" t="n"/>
      <c r="OZN1" s="87" t="n"/>
      <c r="OZO1" s="87" t="n"/>
      <c r="OZP1" s="87" t="n"/>
      <c r="OZQ1" s="87" t="n"/>
      <c r="OZR1" s="87" t="n"/>
      <c r="OZS1" s="87" t="n"/>
      <c r="OZT1" s="87" t="n"/>
      <c r="OZU1" s="87" t="n"/>
      <c r="OZV1" s="87" t="n"/>
      <c r="OZW1" s="87" t="n"/>
      <c r="OZX1" s="87" t="n"/>
      <c r="OZY1" s="87" t="n"/>
      <c r="OZZ1" s="87" t="n"/>
      <c r="PAA1" s="87" t="n"/>
      <c r="PAB1" s="87" t="n"/>
      <c r="PAC1" s="87" t="n"/>
      <c r="PAD1" s="87" t="n"/>
      <c r="PAE1" s="87" t="n"/>
      <c r="PAF1" s="87" t="n"/>
      <c r="PAG1" s="87" t="n"/>
      <c r="PAH1" s="87" t="n"/>
      <c r="PAI1" s="87" t="n"/>
      <c r="PAJ1" s="87" t="n"/>
      <c r="PAK1" s="87" t="n"/>
      <c r="PAL1" s="87" t="n"/>
      <c r="PAM1" s="87" t="n"/>
      <c r="PAN1" s="87" t="n"/>
      <c r="PAO1" s="87" t="n"/>
      <c r="PAP1" s="87" t="n"/>
      <c r="PAQ1" s="87" t="n"/>
      <c r="PAR1" s="87" t="n"/>
      <c r="PAS1" s="87" t="n"/>
      <c r="PAT1" s="87" t="n"/>
      <c r="PAU1" s="87" t="n"/>
      <c r="PAV1" s="87" t="n"/>
      <c r="PAW1" s="87" t="n"/>
      <c r="PAX1" s="87" t="n"/>
      <c r="PAY1" s="87" t="n"/>
      <c r="PAZ1" s="87" t="n"/>
      <c r="PBA1" s="87" t="n"/>
      <c r="PBB1" s="87" t="n"/>
      <c r="PBC1" s="87" t="n"/>
      <c r="PBD1" s="87" t="n"/>
      <c r="PBE1" s="87" t="n"/>
      <c r="PBF1" s="87" t="n"/>
      <c r="PBG1" s="87" t="n"/>
      <c r="PBH1" s="87" t="n"/>
      <c r="PBI1" s="87" t="n"/>
      <c r="PBJ1" s="87" t="n"/>
      <c r="PBK1" s="87" t="n"/>
      <c r="PBL1" s="87" t="n"/>
      <c r="PBM1" s="87" t="n"/>
      <c r="PBN1" s="87" t="n"/>
      <c r="PBO1" s="87" t="n"/>
      <c r="PBP1" s="87" t="n"/>
      <c r="PBQ1" s="87" t="n"/>
      <c r="PBR1" s="87" t="n"/>
      <c r="PBS1" s="87" t="n"/>
      <c r="PBT1" s="87" t="n"/>
      <c r="PBU1" s="87" t="n"/>
      <c r="PBV1" s="87" t="n"/>
      <c r="PBW1" s="87" t="n"/>
      <c r="PBX1" s="87" t="n"/>
      <c r="PBY1" s="87" t="n"/>
      <c r="PBZ1" s="87" t="n"/>
      <c r="PCA1" s="87" t="n"/>
      <c r="PCB1" s="87" t="n"/>
      <c r="PCC1" s="87" t="n"/>
      <c r="PCD1" s="87" t="n"/>
      <c r="PCE1" s="87" t="n"/>
      <c r="PCF1" s="87" t="n"/>
      <c r="PCG1" s="87" t="n"/>
      <c r="PCH1" s="87" t="n"/>
      <c r="PCI1" s="87" t="n"/>
      <c r="PCJ1" s="87" t="n"/>
      <c r="PCK1" s="87" t="n"/>
      <c r="PCL1" s="87" t="n"/>
      <c r="PCM1" s="87" t="n"/>
      <c r="PCN1" s="87" t="n"/>
      <c r="PCO1" s="87" t="n"/>
      <c r="PCP1" s="87" t="n"/>
      <c r="PCQ1" s="87" t="n"/>
      <c r="PCR1" s="87" t="n"/>
      <c r="PCS1" s="87" t="n"/>
      <c r="PCT1" s="87" t="n"/>
      <c r="PCU1" s="87" t="n"/>
      <c r="PCV1" s="87" t="n"/>
      <c r="PCW1" s="87" t="n"/>
      <c r="PCX1" s="87" t="n"/>
      <c r="PCY1" s="87" t="n"/>
      <c r="PCZ1" s="87" t="n"/>
      <c r="PDA1" s="87" t="n"/>
      <c r="PDB1" s="87" t="n"/>
      <c r="PDC1" s="87" t="n"/>
      <c r="PDD1" s="87" t="n"/>
      <c r="PDE1" s="87" t="n"/>
      <c r="PDF1" s="87" t="n"/>
      <c r="PDG1" s="87" t="n"/>
      <c r="PDH1" s="87" t="n"/>
      <c r="PDI1" s="87" t="n"/>
      <c r="PDJ1" s="87" t="n"/>
      <c r="PDK1" s="87" t="n"/>
      <c r="PDL1" s="87" t="n"/>
      <c r="PDM1" s="87" t="n"/>
      <c r="PDN1" s="87" t="n"/>
      <c r="PDO1" s="87" t="n"/>
      <c r="PDP1" s="87" t="n"/>
      <c r="PDQ1" s="87" t="n"/>
      <c r="PDR1" s="87" t="n"/>
      <c r="PDS1" s="87" t="n"/>
      <c r="PDT1" s="87" t="n"/>
      <c r="PDU1" s="87" t="n"/>
      <c r="PDV1" s="87" t="n"/>
      <c r="PDW1" s="87" t="n"/>
      <c r="PDX1" s="87" t="n"/>
      <c r="PDY1" s="87" t="n"/>
      <c r="PDZ1" s="87" t="n"/>
      <c r="PEA1" s="87" t="n"/>
      <c r="PEB1" s="87" t="n"/>
      <c r="PEC1" s="87" t="n"/>
      <c r="PED1" s="87" t="n"/>
      <c r="PEE1" s="87" t="n"/>
      <c r="PEF1" s="87" t="n"/>
      <c r="PEG1" s="87" t="n"/>
      <c r="PEH1" s="87" t="n"/>
      <c r="PEI1" s="87" t="n"/>
      <c r="PEJ1" s="87" t="n"/>
      <c r="PEK1" s="87" t="n"/>
      <c r="PEL1" s="87" t="n"/>
      <c r="PEM1" s="87" t="n"/>
      <c r="PEN1" s="87" t="n"/>
      <c r="PEO1" s="87" t="n"/>
      <c r="PEP1" s="87" t="n"/>
      <c r="PEQ1" s="87" t="n"/>
      <c r="PER1" s="87" t="n"/>
      <c r="PES1" s="87" t="n"/>
      <c r="PET1" s="87" t="n"/>
      <c r="PEU1" s="87" t="n"/>
      <c r="PEV1" s="87" t="n"/>
      <c r="PEW1" s="87" t="n"/>
      <c r="PEX1" s="87" t="n"/>
      <c r="PEY1" s="87" t="n"/>
      <c r="PEZ1" s="87" t="n"/>
      <c r="PFA1" s="87" t="n"/>
      <c r="PFB1" s="87" t="n"/>
      <c r="PFC1" s="87" t="n"/>
      <c r="PFD1" s="87" t="n"/>
      <c r="PFE1" s="87" t="n"/>
      <c r="PFF1" s="87" t="n"/>
      <c r="PFG1" s="87" t="n"/>
      <c r="PFH1" s="87" t="n"/>
      <c r="PFI1" s="87" t="n"/>
      <c r="PFJ1" s="87" t="n"/>
      <c r="PFK1" s="87" t="n"/>
      <c r="PFL1" s="87" t="n"/>
      <c r="PFM1" s="87" t="n"/>
      <c r="PFN1" s="87" t="n"/>
      <c r="PFO1" s="87" t="n"/>
      <c r="PFP1" s="87" t="n"/>
      <c r="PFQ1" s="87" t="n"/>
      <c r="PFR1" s="87" t="n"/>
      <c r="PFS1" s="87" t="n"/>
      <c r="PFT1" s="87" t="n"/>
      <c r="PFU1" s="87" t="n"/>
      <c r="PFV1" s="87" t="n"/>
      <c r="PFW1" s="87" t="n"/>
      <c r="PFX1" s="87" t="n"/>
      <c r="PFY1" s="87" t="n"/>
      <c r="PFZ1" s="87" t="n"/>
      <c r="PGA1" s="87" t="n"/>
      <c r="PGB1" s="87" t="n"/>
      <c r="PGC1" s="87" t="n"/>
      <c r="PGD1" s="87" t="n"/>
      <c r="PGE1" s="87" t="n"/>
      <c r="PGF1" s="87" t="n"/>
      <c r="PGG1" s="87" t="n"/>
      <c r="PGH1" s="87" t="n"/>
      <c r="PGI1" s="87" t="n"/>
      <c r="PGJ1" s="87" t="n"/>
      <c r="PGK1" s="87" t="n"/>
      <c r="PGL1" s="87" t="n"/>
      <c r="PGM1" s="87" t="n"/>
      <c r="PGN1" s="87" t="n"/>
      <c r="PGO1" s="87" t="n"/>
      <c r="PGP1" s="87" t="n"/>
      <c r="PGQ1" s="87" t="n"/>
      <c r="PGR1" s="87" t="n"/>
      <c r="PGS1" s="87" t="n"/>
      <c r="PGT1" s="87" t="n"/>
      <c r="PGU1" s="87" t="n"/>
      <c r="PGV1" s="87" t="n"/>
      <c r="PGW1" s="87" t="n"/>
      <c r="PGX1" s="87" t="n"/>
      <c r="PGY1" s="87" t="n"/>
      <c r="PGZ1" s="87" t="n"/>
      <c r="PHA1" s="87" t="n"/>
      <c r="PHB1" s="87" t="n"/>
      <c r="PHC1" s="87" t="n"/>
      <c r="PHD1" s="87" t="n"/>
      <c r="PHE1" s="87" t="n"/>
      <c r="PHF1" s="87" t="n"/>
      <c r="PHG1" s="87" t="n"/>
      <c r="PHH1" s="87" t="n"/>
      <c r="PHI1" s="87" t="n"/>
      <c r="PHJ1" s="87" t="n"/>
      <c r="PHK1" s="87" t="n"/>
      <c r="PHL1" s="87" t="n"/>
      <c r="PHM1" s="87" t="n"/>
      <c r="PHN1" s="87" t="n"/>
      <c r="PHO1" s="87" t="n"/>
      <c r="PHP1" s="87" t="n"/>
      <c r="PHQ1" s="87" t="n"/>
      <c r="PHR1" s="87" t="n"/>
      <c r="PHS1" s="87" t="n"/>
      <c r="PHT1" s="87" t="n"/>
      <c r="PHU1" s="87" t="n"/>
      <c r="PHV1" s="87" t="n"/>
      <c r="PHW1" s="87" t="n"/>
      <c r="PHX1" s="87" t="n"/>
      <c r="PHY1" s="87" t="n"/>
      <c r="PHZ1" s="87" t="n"/>
      <c r="PIA1" s="87" t="n"/>
      <c r="PIB1" s="87" t="n"/>
      <c r="PIC1" s="87" t="n"/>
      <c r="PID1" s="87" t="n"/>
      <c r="PIE1" s="87" t="n"/>
      <c r="PIF1" s="87" t="n"/>
      <c r="PIG1" s="87" t="n"/>
      <c r="PIH1" s="87" t="n"/>
      <c r="PII1" s="87" t="n"/>
      <c r="PIJ1" s="87" t="n"/>
      <c r="PIK1" s="87" t="n"/>
      <c r="PIL1" s="87" t="n"/>
      <c r="PIM1" s="87" t="n"/>
      <c r="PIN1" s="87" t="n"/>
      <c r="PIO1" s="87" t="n"/>
      <c r="PIP1" s="87" t="n"/>
      <c r="PIQ1" s="87" t="n"/>
      <c r="PIR1" s="87" t="n"/>
      <c r="PIS1" s="87" t="n"/>
      <c r="PIT1" s="87" t="n"/>
      <c r="PIU1" s="87" t="n"/>
      <c r="PIV1" s="87" t="n"/>
      <c r="PIW1" s="87" t="n"/>
      <c r="PIX1" s="87" t="n"/>
      <c r="PIY1" s="87" t="n"/>
      <c r="PIZ1" s="87" t="n"/>
      <c r="PJA1" s="87" t="n"/>
      <c r="PJB1" s="87" t="n"/>
      <c r="PJC1" s="87" t="n"/>
      <c r="PJD1" s="87" t="n"/>
      <c r="PJE1" s="87" t="n"/>
      <c r="PJF1" s="87" t="n"/>
      <c r="PJG1" s="87" t="n"/>
      <c r="PJH1" s="87" t="n"/>
      <c r="PJI1" s="87" t="n"/>
      <c r="PJJ1" s="87" t="n"/>
      <c r="PJK1" s="87" t="n"/>
      <c r="PJL1" s="87" t="n"/>
      <c r="PJM1" s="87" t="n"/>
      <c r="PJN1" s="87" t="n"/>
      <c r="PJO1" s="87" t="n"/>
      <c r="PJP1" s="87" t="n"/>
      <c r="PJQ1" s="87" t="n"/>
      <c r="PJR1" s="87" t="n"/>
      <c r="PJS1" s="87" t="n"/>
      <c r="PJT1" s="87" t="n"/>
      <c r="PJU1" s="87" t="n"/>
      <c r="PJV1" s="87" t="n"/>
      <c r="PJW1" s="87" t="n"/>
      <c r="PJX1" s="87" t="n"/>
      <c r="PJY1" s="87" t="n"/>
      <c r="PJZ1" s="87" t="n"/>
      <c r="PKA1" s="87" t="n"/>
      <c r="PKB1" s="87" t="n"/>
      <c r="PKC1" s="87" t="n"/>
      <c r="PKD1" s="87" t="n"/>
      <c r="PKE1" s="87" t="n"/>
      <c r="PKF1" s="87" t="n"/>
      <c r="PKG1" s="87" t="n"/>
      <c r="PKH1" s="87" t="n"/>
      <c r="PKI1" s="87" t="n"/>
      <c r="PKJ1" s="87" t="n"/>
      <c r="PKK1" s="87" t="n"/>
      <c r="PKL1" s="87" t="n"/>
      <c r="PKM1" s="87" t="n"/>
      <c r="PKN1" s="87" t="n"/>
      <c r="PKO1" s="87" t="n"/>
      <c r="PKP1" s="87" t="n"/>
      <c r="PKQ1" s="87" t="n"/>
      <c r="PKR1" s="87" t="n"/>
      <c r="PKS1" s="87" t="n"/>
      <c r="PKT1" s="87" t="n"/>
      <c r="PKU1" s="87" t="n"/>
      <c r="PKV1" s="87" t="n"/>
      <c r="PKW1" s="87" t="n"/>
      <c r="PKX1" s="87" t="n"/>
      <c r="PKY1" s="87" t="n"/>
      <c r="PKZ1" s="87" t="n"/>
      <c r="PLA1" s="87" t="n"/>
      <c r="PLB1" s="87" t="n"/>
      <c r="PLC1" s="87" t="n"/>
      <c r="PLD1" s="87" t="n"/>
      <c r="PLE1" s="87" t="n"/>
      <c r="PLF1" s="87" t="n"/>
      <c r="PLG1" s="87" t="n"/>
      <c r="PLH1" s="87" t="n"/>
      <c r="PLI1" s="87" t="n"/>
      <c r="PLJ1" s="87" t="n"/>
      <c r="PLK1" s="87" t="n"/>
      <c r="PLL1" s="87" t="n"/>
      <c r="PLM1" s="87" t="n"/>
      <c r="PLN1" s="87" t="n"/>
      <c r="PLO1" s="87" t="n"/>
      <c r="PLP1" s="87" t="n"/>
      <c r="PLQ1" s="87" t="n"/>
      <c r="PLR1" s="87" t="n"/>
      <c r="PLS1" s="87" t="n"/>
      <c r="PLT1" s="87" t="n"/>
      <c r="PLU1" s="87" t="n"/>
      <c r="PLV1" s="87" t="n"/>
      <c r="PLW1" s="87" t="n"/>
      <c r="PLX1" s="87" t="n"/>
      <c r="PLY1" s="87" t="n"/>
      <c r="PLZ1" s="87" t="n"/>
      <c r="PMA1" s="87" t="n"/>
      <c r="PMB1" s="87" t="n"/>
      <c r="PMC1" s="87" t="n"/>
      <c r="PMD1" s="87" t="n"/>
      <c r="PME1" s="87" t="n"/>
      <c r="PMF1" s="87" t="n"/>
      <c r="PMG1" s="87" t="n"/>
      <c r="PMH1" s="87" t="n"/>
      <c r="PMI1" s="87" t="n"/>
      <c r="PMJ1" s="87" t="n"/>
      <c r="PMK1" s="87" t="n"/>
      <c r="PML1" s="87" t="n"/>
      <c r="PMM1" s="87" t="n"/>
      <c r="PMN1" s="87" t="n"/>
      <c r="PMO1" s="87" t="n"/>
      <c r="PMP1" s="87" t="n"/>
      <c r="PMQ1" s="87" t="n"/>
      <c r="PMR1" s="87" t="n"/>
      <c r="PMS1" s="87" t="n"/>
      <c r="PMT1" s="87" t="n"/>
      <c r="PMU1" s="87" t="n"/>
      <c r="PMV1" s="87" t="n"/>
      <c r="PMW1" s="87" t="n"/>
      <c r="PMX1" s="87" t="n"/>
      <c r="PMY1" s="87" t="n"/>
      <c r="PMZ1" s="87" t="n"/>
      <c r="PNA1" s="87" t="n"/>
      <c r="PNB1" s="87" t="n"/>
      <c r="PNC1" s="87" t="n"/>
      <c r="PND1" s="87" t="n"/>
      <c r="PNE1" s="87" t="n"/>
      <c r="PNF1" s="87" t="n"/>
      <c r="PNG1" s="87" t="n"/>
      <c r="PNH1" s="87" t="n"/>
      <c r="PNI1" s="87" t="n"/>
      <c r="PNJ1" s="87" t="n"/>
      <c r="PNK1" s="87" t="n"/>
      <c r="PNL1" s="87" t="n"/>
      <c r="PNM1" s="87" t="n"/>
      <c r="PNN1" s="87" t="n"/>
      <c r="PNO1" s="87" t="n"/>
      <c r="PNP1" s="87" t="n"/>
      <c r="PNQ1" s="87" t="n"/>
      <c r="PNR1" s="87" t="n"/>
      <c r="PNS1" s="87" t="n"/>
      <c r="PNT1" s="87" t="n"/>
      <c r="PNU1" s="87" t="n"/>
      <c r="PNV1" s="87" t="n"/>
      <c r="PNW1" s="87" t="n"/>
      <c r="PNX1" s="87" t="n"/>
      <c r="PNY1" s="87" t="n"/>
      <c r="PNZ1" s="87" t="n"/>
      <c r="POA1" s="87" t="n"/>
      <c r="POB1" s="87" t="n"/>
      <c r="POC1" s="87" t="n"/>
      <c r="POD1" s="87" t="n"/>
      <c r="POE1" s="87" t="n"/>
      <c r="POF1" s="87" t="n"/>
      <c r="POG1" s="87" t="n"/>
      <c r="POH1" s="87" t="n"/>
      <c r="POI1" s="87" t="n"/>
      <c r="POJ1" s="87" t="n"/>
      <c r="POK1" s="87" t="n"/>
      <c r="POL1" s="87" t="n"/>
      <c r="POM1" s="87" t="n"/>
      <c r="PON1" s="87" t="n"/>
      <c r="POO1" s="87" t="n"/>
      <c r="POP1" s="87" t="n"/>
      <c r="POQ1" s="87" t="n"/>
      <c r="POR1" s="87" t="n"/>
      <c r="POS1" s="87" t="n"/>
      <c r="POT1" s="87" t="n"/>
      <c r="POU1" s="87" t="n"/>
      <c r="POV1" s="87" t="n"/>
      <c r="POW1" s="87" t="n"/>
      <c r="POX1" s="87" t="n"/>
      <c r="POY1" s="87" t="n"/>
      <c r="POZ1" s="87" t="n"/>
      <c r="PPA1" s="87" t="n"/>
      <c r="PPB1" s="87" t="n"/>
      <c r="PPC1" s="87" t="n"/>
      <c r="PPD1" s="87" t="n"/>
      <c r="PPE1" s="87" t="n"/>
      <c r="PPF1" s="87" t="n"/>
      <c r="PPG1" s="87" t="n"/>
      <c r="PPH1" s="87" t="n"/>
      <c r="PPI1" s="87" t="n"/>
      <c r="PPJ1" s="87" t="n"/>
      <c r="PPK1" s="87" t="n"/>
      <c r="PPL1" s="87" t="n"/>
      <c r="PPM1" s="87" t="n"/>
      <c r="PPN1" s="87" t="n"/>
      <c r="PPO1" s="87" t="n"/>
      <c r="PPP1" s="87" t="n"/>
      <c r="PPQ1" s="87" t="n"/>
      <c r="PPR1" s="87" t="n"/>
      <c r="PPS1" s="87" t="n"/>
      <c r="PPT1" s="87" t="n"/>
      <c r="PPU1" s="87" t="n"/>
      <c r="PPV1" s="87" t="n"/>
      <c r="PPW1" s="87" t="n"/>
      <c r="PPX1" s="87" t="n"/>
      <c r="PPY1" s="87" t="n"/>
      <c r="PPZ1" s="87" t="n"/>
      <c r="PQA1" s="87" t="n"/>
      <c r="PQB1" s="87" t="n"/>
      <c r="PQC1" s="87" t="n"/>
      <c r="PQD1" s="87" t="n"/>
      <c r="PQE1" s="87" t="n"/>
      <c r="PQF1" s="87" t="n"/>
      <c r="PQG1" s="87" t="n"/>
      <c r="PQH1" s="87" t="n"/>
      <c r="PQI1" s="87" t="n"/>
      <c r="PQJ1" s="87" t="n"/>
      <c r="PQK1" s="87" t="n"/>
      <c r="PQL1" s="87" t="n"/>
      <c r="PQM1" s="87" t="n"/>
      <c r="PQN1" s="87" t="n"/>
      <c r="PQO1" s="87" t="n"/>
      <c r="PQP1" s="87" t="n"/>
      <c r="PQQ1" s="87" t="n"/>
      <c r="PQR1" s="87" t="n"/>
      <c r="PQS1" s="87" t="n"/>
      <c r="PQT1" s="87" t="n"/>
      <c r="PQU1" s="87" t="n"/>
      <c r="PQV1" s="87" t="n"/>
      <c r="PQW1" s="87" t="n"/>
      <c r="PQX1" s="87" t="n"/>
      <c r="PQY1" s="87" t="n"/>
      <c r="PQZ1" s="87" t="n"/>
      <c r="PRA1" s="87" t="n"/>
      <c r="PRB1" s="87" t="n"/>
      <c r="PRC1" s="87" t="n"/>
      <c r="PRD1" s="87" t="n"/>
      <c r="PRE1" s="87" t="n"/>
      <c r="PRF1" s="87" t="n"/>
      <c r="PRG1" s="87" t="n"/>
      <c r="PRH1" s="87" t="n"/>
      <c r="PRI1" s="87" t="n"/>
      <c r="PRJ1" s="87" t="n"/>
      <c r="PRK1" s="87" t="n"/>
      <c r="PRL1" s="87" t="n"/>
      <c r="PRM1" s="87" t="n"/>
      <c r="PRN1" s="87" t="n"/>
      <c r="PRO1" s="87" t="n"/>
      <c r="PRP1" s="87" t="n"/>
      <c r="PRQ1" s="87" t="n"/>
      <c r="PRR1" s="87" t="n"/>
      <c r="PRS1" s="87" t="n"/>
      <c r="PRT1" s="87" t="n"/>
      <c r="PRU1" s="87" t="n"/>
      <c r="PRV1" s="87" t="n"/>
      <c r="PRW1" s="87" t="n"/>
      <c r="PRX1" s="87" t="n"/>
      <c r="PRY1" s="87" t="n"/>
      <c r="PRZ1" s="87" t="n"/>
      <c r="PSA1" s="87" t="n"/>
      <c r="PSB1" s="87" t="n"/>
      <c r="PSC1" s="87" t="n"/>
      <c r="PSD1" s="87" t="n"/>
      <c r="PSE1" s="87" t="n"/>
      <c r="PSF1" s="87" t="n"/>
      <c r="PSG1" s="87" t="n"/>
      <c r="PSH1" s="87" t="n"/>
      <c r="PSI1" s="87" t="n"/>
      <c r="PSJ1" s="87" t="n"/>
      <c r="PSK1" s="87" t="n"/>
      <c r="PSL1" s="87" t="n"/>
      <c r="PSM1" s="87" t="n"/>
      <c r="PSN1" s="87" t="n"/>
      <c r="PSO1" s="87" t="n"/>
      <c r="PSP1" s="87" t="n"/>
      <c r="PSQ1" s="87" t="n"/>
      <c r="PSR1" s="87" t="n"/>
      <c r="PSS1" s="87" t="n"/>
      <c r="PST1" s="87" t="n"/>
      <c r="PSU1" s="87" t="n"/>
      <c r="PSV1" s="87" t="n"/>
      <c r="PSW1" s="87" t="n"/>
      <c r="PSX1" s="87" t="n"/>
      <c r="PSY1" s="87" t="n"/>
      <c r="PSZ1" s="87" t="n"/>
      <c r="PTA1" s="87" t="n"/>
      <c r="PTB1" s="87" t="n"/>
      <c r="PTC1" s="87" t="n"/>
      <c r="PTD1" s="87" t="n"/>
      <c r="PTE1" s="87" t="n"/>
      <c r="PTF1" s="87" t="n"/>
      <c r="PTG1" s="87" t="n"/>
      <c r="PTH1" s="87" t="n"/>
      <c r="PTI1" s="87" t="n"/>
      <c r="PTJ1" s="87" t="n"/>
      <c r="PTK1" s="87" t="n"/>
      <c r="PTL1" s="87" t="n"/>
      <c r="PTM1" s="87" t="n"/>
      <c r="PTN1" s="87" t="n"/>
      <c r="PTO1" s="87" t="n"/>
      <c r="PTP1" s="87" t="n"/>
      <c r="PTQ1" s="87" t="n"/>
      <c r="PTR1" s="87" t="n"/>
      <c r="PTS1" s="87" t="n"/>
      <c r="PTT1" s="87" t="n"/>
      <c r="PTU1" s="87" t="n"/>
      <c r="PTV1" s="87" t="n"/>
      <c r="PTW1" s="87" t="n"/>
      <c r="PTX1" s="87" t="n"/>
      <c r="PTY1" s="87" t="n"/>
      <c r="PTZ1" s="87" t="n"/>
      <c r="PUA1" s="87" t="n"/>
      <c r="PUB1" s="87" t="n"/>
      <c r="PUC1" s="87" t="n"/>
      <c r="PUD1" s="87" t="n"/>
      <c r="PUE1" s="87" t="n"/>
      <c r="PUF1" s="87" t="n"/>
      <c r="PUG1" s="87" t="n"/>
      <c r="PUH1" s="87" t="n"/>
      <c r="PUI1" s="87" t="n"/>
      <c r="PUJ1" s="87" t="n"/>
      <c r="PUK1" s="87" t="n"/>
      <c r="PUL1" s="87" t="n"/>
      <c r="PUM1" s="87" t="n"/>
      <c r="PUN1" s="87" t="n"/>
      <c r="PUO1" s="87" t="n"/>
      <c r="PUP1" s="87" t="n"/>
      <c r="PUQ1" s="87" t="n"/>
      <c r="PUR1" s="87" t="n"/>
      <c r="PUS1" s="87" t="n"/>
      <c r="PUT1" s="87" t="n"/>
      <c r="PUU1" s="87" t="n"/>
      <c r="PUV1" s="87" t="n"/>
      <c r="PUW1" s="87" t="n"/>
      <c r="PUX1" s="87" t="n"/>
      <c r="PUY1" s="87" t="n"/>
      <c r="PUZ1" s="87" t="n"/>
      <c r="PVA1" s="87" t="n"/>
      <c r="PVB1" s="87" t="n"/>
      <c r="PVC1" s="87" t="n"/>
      <c r="PVD1" s="87" t="n"/>
      <c r="PVE1" s="87" t="n"/>
      <c r="PVF1" s="87" t="n"/>
      <c r="PVG1" s="87" t="n"/>
      <c r="PVH1" s="87" t="n"/>
      <c r="PVI1" s="87" t="n"/>
      <c r="PVJ1" s="87" t="n"/>
      <c r="PVK1" s="87" t="n"/>
      <c r="PVL1" s="87" t="n"/>
      <c r="PVM1" s="87" t="n"/>
      <c r="PVN1" s="87" t="n"/>
      <c r="PVO1" s="87" t="n"/>
      <c r="PVP1" s="87" t="n"/>
      <c r="PVQ1" s="87" t="n"/>
      <c r="PVR1" s="87" t="n"/>
      <c r="PVS1" s="87" t="n"/>
      <c r="PVT1" s="87" t="n"/>
      <c r="PVU1" s="87" t="n"/>
      <c r="PVV1" s="87" t="n"/>
      <c r="PVW1" s="87" t="n"/>
      <c r="PVX1" s="87" t="n"/>
      <c r="PVY1" s="87" t="n"/>
      <c r="PVZ1" s="87" t="n"/>
      <c r="PWA1" s="87" t="n"/>
      <c r="PWB1" s="87" t="n"/>
      <c r="PWC1" s="87" t="n"/>
      <c r="PWD1" s="87" t="n"/>
      <c r="PWE1" s="87" t="n"/>
      <c r="PWF1" s="87" t="n"/>
      <c r="PWG1" s="87" t="n"/>
      <c r="PWH1" s="87" t="n"/>
      <c r="PWI1" s="87" t="n"/>
      <c r="PWJ1" s="87" t="n"/>
      <c r="PWK1" s="87" t="n"/>
      <c r="PWL1" s="87" t="n"/>
      <c r="PWM1" s="87" t="n"/>
      <c r="PWN1" s="87" t="n"/>
      <c r="PWO1" s="87" t="n"/>
      <c r="PWP1" s="87" t="n"/>
      <c r="PWQ1" s="87" t="n"/>
      <c r="PWR1" s="87" t="n"/>
      <c r="PWS1" s="87" t="n"/>
      <c r="PWT1" s="87" t="n"/>
      <c r="PWU1" s="87" t="n"/>
      <c r="PWV1" s="87" t="n"/>
      <c r="PWW1" s="87" t="n"/>
      <c r="PWX1" s="87" t="n"/>
      <c r="PWY1" s="87" t="n"/>
      <c r="PWZ1" s="87" t="n"/>
      <c r="PXA1" s="87" t="n"/>
      <c r="PXB1" s="87" t="n"/>
      <c r="PXC1" s="87" t="n"/>
      <c r="PXD1" s="87" t="n"/>
      <c r="PXE1" s="87" t="n"/>
      <c r="PXF1" s="87" t="n"/>
      <c r="PXG1" s="87" t="n"/>
      <c r="PXH1" s="87" t="n"/>
      <c r="PXI1" s="87" t="n"/>
      <c r="PXJ1" s="87" t="n"/>
      <c r="PXK1" s="87" t="n"/>
      <c r="PXL1" s="87" t="n"/>
      <c r="PXM1" s="87" t="n"/>
      <c r="PXN1" s="87" t="n"/>
      <c r="PXO1" s="87" t="n"/>
      <c r="PXP1" s="87" t="n"/>
      <c r="PXQ1" s="87" t="n"/>
      <c r="PXR1" s="87" t="n"/>
      <c r="PXS1" s="87" t="n"/>
      <c r="PXT1" s="87" t="n"/>
      <c r="PXU1" s="87" t="n"/>
      <c r="PXV1" s="87" t="n"/>
      <c r="PXW1" s="87" t="n"/>
      <c r="PXX1" s="87" t="n"/>
      <c r="PXY1" s="87" t="n"/>
      <c r="PXZ1" s="87" t="n"/>
      <c r="PYA1" s="87" t="n"/>
      <c r="PYB1" s="87" t="n"/>
      <c r="PYC1" s="87" t="n"/>
      <c r="PYD1" s="87" t="n"/>
      <c r="PYE1" s="87" t="n"/>
      <c r="PYF1" s="87" t="n"/>
      <c r="PYG1" s="87" t="n"/>
      <c r="PYH1" s="87" t="n"/>
      <c r="PYI1" s="87" t="n"/>
      <c r="PYJ1" s="87" t="n"/>
      <c r="PYK1" s="87" t="n"/>
      <c r="PYL1" s="87" t="n"/>
      <c r="PYM1" s="87" t="n"/>
      <c r="PYN1" s="87" t="n"/>
      <c r="PYO1" s="87" t="n"/>
      <c r="PYP1" s="87" t="n"/>
      <c r="PYQ1" s="87" t="n"/>
      <c r="PYR1" s="87" t="n"/>
      <c r="PYS1" s="87" t="n"/>
      <c r="PYT1" s="87" t="n"/>
      <c r="PYU1" s="87" t="n"/>
      <c r="PYV1" s="87" t="n"/>
      <c r="PYW1" s="87" t="n"/>
      <c r="PYX1" s="87" t="n"/>
      <c r="PYY1" s="87" t="n"/>
      <c r="PYZ1" s="87" t="n"/>
      <c r="PZA1" s="87" t="n"/>
      <c r="PZB1" s="87" t="n"/>
      <c r="PZC1" s="87" t="n"/>
      <c r="PZD1" s="87" t="n"/>
      <c r="PZE1" s="87" t="n"/>
      <c r="PZF1" s="87" t="n"/>
      <c r="PZG1" s="87" t="n"/>
      <c r="PZH1" s="87" t="n"/>
      <c r="PZI1" s="87" t="n"/>
      <c r="PZJ1" s="87" t="n"/>
      <c r="PZK1" s="87" t="n"/>
      <c r="PZL1" s="87" t="n"/>
      <c r="PZM1" s="87" t="n"/>
      <c r="PZN1" s="87" t="n"/>
      <c r="PZO1" s="87" t="n"/>
      <c r="PZP1" s="87" t="n"/>
      <c r="PZQ1" s="87" t="n"/>
      <c r="PZR1" s="87" t="n"/>
      <c r="PZS1" s="87" t="n"/>
      <c r="PZT1" s="87" t="n"/>
      <c r="PZU1" s="87" t="n"/>
      <c r="PZV1" s="87" t="n"/>
      <c r="PZW1" s="87" t="n"/>
      <c r="PZX1" s="87" t="n"/>
      <c r="PZY1" s="87" t="n"/>
      <c r="PZZ1" s="87" t="n"/>
      <c r="QAA1" s="87" t="n"/>
      <c r="QAB1" s="87" t="n"/>
      <c r="QAC1" s="87" t="n"/>
      <c r="QAD1" s="87" t="n"/>
      <c r="QAE1" s="87" t="n"/>
      <c r="QAF1" s="87" t="n"/>
      <c r="QAG1" s="87" t="n"/>
      <c r="QAH1" s="87" t="n"/>
      <c r="QAI1" s="87" t="n"/>
      <c r="QAJ1" s="87" t="n"/>
      <c r="QAK1" s="87" t="n"/>
      <c r="QAL1" s="87" t="n"/>
      <c r="QAM1" s="87" t="n"/>
      <c r="QAN1" s="87" t="n"/>
      <c r="QAO1" s="87" t="n"/>
      <c r="QAP1" s="87" t="n"/>
      <c r="QAQ1" s="87" t="n"/>
      <c r="QAR1" s="87" t="n"/>
      <c r="QAS1" s="87" t="n"/>
      <c r="QAT1" s="87" t="n"/>
      <c r="QAU1" s="87" t="n"/>
      <c r="QAV1" s="87" t="n"/>
      <c r="QAW1" s="87" t="n"/>
      <c r="QAX1" s="87" t="n"/>
      <c r="QAY1" s="87" t="n"/>
      <c r="QAZ1" s="87" t="n"/>
      <c r="QBA1" s="87" t="n"/>
      <c r="QBB1" s="87" t="n"/>
      <c r="QBC1" s="87" t="n"/>
      <c r="QBD1" s="87" t="n"/>
      <c r="QBE1" s="87" t="n"/>
      <c r="QBF1" s="87" t="n"/>
      <c r="QBG1" s="87" t="n"/>
      <c r="QBH1" s="87" t="n"/>
      <c r="QBI1" s="87" t="n"/>
      <c r="QBJ1" s="87" t="n"/>
      <c r="QBK1" s="87" t="n"/>
      <c r="QBL1" s="87" t="n"/>
      <c r="QBM1" s="87" t="n"/>
      <c r="QBN1" s="87" t="n"/>
      <c r="QBO1" s="87" t="n"/>
      <c r="QBP1" s="87" t="n"/>
      <c r="QBQ1" s="87" t="n"/>
      <c r="QBR1" s="87" t="n"/>
      <c r="QBS1" s="87" t="n"/>
      <c r="QBT1" s="87" t="n"/>
      <c r="QBU1" s="87" t="n"/>
      <c r="QBV1" s="87" t="n"/>
      <c r="QBW1" s="87" t="n"/>
      <c r="QBX1" s="87" t="n"/>
      <c r="QBY1" s="87" t="n"/>
      <c r="QBZ1" s="87" t="n"/>
      <c r="QCA1" s="87" t="n"/>
      <c r="QCB1" s="87" t="n"/>
      <c r="QCC1" s="87" t="n"/>
      <c r="QCD1" s="87" t="n"/>
      <c r="QCE1" s="87" t="n"/>
      <c r="QCF1" s="87" t="n"/>
      <c r="QCG1" s="87" t="n"/>
      <c r="QCH1" s="87" t="n"/>
      <c r="QCI1" s="87" t="n"/>
      <c r="QCJ1" s="87" t="n"/>
      <c r="QCK1" s="87" t="n"/>
      <c r="QCL1" s="87" t="n"/>
      <c r="QCM1" s="87" t="n"/>
      <c r="QCN1" s="87" t="n"/>
      <c r="QCO1" s="87" t="n"/>
      <c r="QCP1" s="87" t="n"/>
      <c r="QCQ1" s="87" t="n"/>
      <c r="QCR1" s="87" t="n"/>
      <c r="QCS1" s="87" t="n"/>
      <c r="QCT1" s="87" t="n"/>
      <c r="QCU1" s="87" t="n"/>
      <c r="QCV1" s="87" t="n"/>
      <c r="QCW1" s="87" t="n"/>
      <c r="QCX1" s="87" t="n"/>
      <c r="QCY1" s="87" t="n"/>
      <c r="QCZ1" s="87" t="n"/>
      <c r="QDA1" s="87" t="n"/>
      <c r="QDB1" s="87" t="n"/>
      <c r="QDC1" s="87" t="n"/>
      <c r="QDD1" s="87" t="n"/>
      <c r="QDE1" s="87" t="n"/>
      <c r="QDF1" s="87" t="n"/>
      <c r="QDG1" s="87" t="n"/>
      <c r="QDH1" s="87" t="n"/>
      <c r="QDI1" s="87" t="n"/>
      <c r="QDJ1" s="87" t="n"/>
      <c r="QDK1" s="87" t="n"/>
      <c r="QDL1" s="87" t="n"/>
      <c r="QDM1" s="87" t="n"/>
      <c r="QDN1" s="87" t="n"/>
      <c r="QDO1" s="87" t="n"/>
      <c r="QDP1" s="87" t="n"/>
      <c r="QDQ1" s="87" t="n"/>
      <c r="QDR1" s="87" t="n"/>
      <c r="QDS1" s="87" t="n"/>
      <c r="QDT1" s="87" t="n"/>
      <c r="QDU1" s="87" t="n"/>
      <c r="QDV1" s="87" t="n"/>
      <c r="QDW1" s="87" t="n"/>
      <c r="QDX1" s="87" t="n"/>
      <c r="QDY1" s="87" t="n"/>
      <c r="QDZ1" s="87" t="n"/>
      <c r="QEA1" s="87" t="n"/>
      <c r="QEB1" s="87" t="n"/>
      <c r="QEC1" s="87" t="n"/>
      <c r="QED1" s="87" t="n"/>
      <c r="QEE1" s="87" t="n"/>
      <c r="QEF1" s="87" t="n"/>
      <c r="QEG1" s="87" t="n"/>
      <c r="QEH1" s="87" t="n"/>
      <c r="QEI1" s="87" t="n"/>
      <c r="QEJ1" s="87" t="n"/>
      <c r="QEK1" s="87" t="n"/>
      <c r="QEL1" s="87" t="n"/>
      <c r="QEM1" s="87" t="n"/>
      <c r="QEN1" s="87" t="n"/>
      <c r="QEO1" s="87" t="n"/>
      <c r="QEP1" s="87" t="n"/>
      <c r="QEQ1" s="87" t="n"/>
      <c r="QER1" s="87" t="n"/>
      <c r="QES1" s="87" t="n"/>
      <c r="QET1" s="87" t="n"/>
      <c r="QEU1" s="87" t="n"/>
      <c r="QEV1" s="87" t="n"/>
      <c r="QEW1" s="87" t="n"/>
      <c r="QEX1" s="87" t="n"/>
      <c r="QEY1" s="87" t="n"/>
      <c r="QEZ1" s="87" t="n"/>
      <c r="QFA1" s="87" t="n"/>
      <c r="QFB1" s="87" t="n"/>
      <c r="QFC1" s="87" t="n"/>
      <c r="QFD1" s="87" t="n"/>
      <c r="QFE1" s="87" t="n"/>
      <c r="QFF1" s="87" t="n"/>
      <c r="QFG1" s="87" t="n"/>
      <c r="QFH1" s="87" t="n"/>
      <c r="QFI1" s="87" t="n"/>
      <c r="QFJ1" s="87" t="n"/>
      <c r="QFK1" s="87" t="n"/>
      <c r="QFL1" s="87" t="n"/>
      <c r="QFM1" s="87" t="n"/>
      <c r="QFN1" s="87" t="n"/>
      <c r="QFO1" s="87" t="n"/>
      <c r="QFP1" s="87" t="n"/>
      <c r="QFQ1" s="87" t="n"/>
      <c r="QFR1" s="87" t="n"/>
      <c r="QFS1" s="87" t="n"/>
      <c r="QFT1" s="87" t="n"/>
      <c r="QFU1" s="87" t="n"/>
      <c r="QFV1" s="87" t="n"/>
      <c r="QFW1" s="87" t="n"/>
      <c r="QFX1" s="87" t="n"/>
      <c r="QFY1" s="87" t="n"/>
      <c r="QFZ1" s="87" t="n"/>
      <c r="QGA1" s="87" t="n"/>
      <c r="QGB1" s="87" t="n"/>
      <c r="QGC1" s="87" t="n"/>
      <c r="QGD1" s="87" t="n"/>
      <c r="QGE1" s="87" t="n"/>
      <c r="QGF1" s="87" t="n"/>
      <c r="QGG1" s="87" t="n"/>
      <c r="QGH1" s="87" t="n"/>
      <c r="QGI1" s="87" t="n"/>
      <c r="QGJ1" s="87" t="n"/>
      <c r="QGK1" s="87" t="n"/>
      <c r="QGL1" s="87" t="n"/>
      <c r="QGM1" s="87" t="n"/>
      <c r="QGN1" s="87" t="n"/>
      <c r="QGO1" s="87" t="n"/>
      <c r="QGP1" s="87" t="n"/>
      <c r="QGQ1" s="87" t="n"/>
      <c r="QGR1" s="87" t="n"/>
      <c r="QGS1" s="87" t="n"/>
      <c r="QGT1" s="87" t="n"/>
      <c r="QGU1" s="87" t="n"/>
      <c r="QGV1" s="87" t="n"/>
      <c r="QGW1" s="87" t="n"/>
      <c r="QGX1" s="87" t="n"/>
      <c r="QGY1" s="87" t="n"/>
      <c r="QGZ1" s="87" t="n"/>
      <c r="QHA1" s="87" t="n"/>
      <c r="QHB1" s="87" t="n"/>
      <c r="QHC1" s="87" t="n"/>
      <c r="QHD1" s="87" t="n"/>
      <c r="QHE1" s="87" t="n"/>
      <c r="QHF1" s="87" t="n"/>
      <c r="QHG1" s="87" t="n"/>
      <c r="QHH1" s="87" t="n"/>
      <c r="QHI1" s="87" t="n"/>
      <c r="QHJ1" s="87" t="n"/>
      <c r="QHK1" s="87" t="n"/>
      <c r="QHL1" s="87" t="n"/>
      <c r="QHM1" s="87" t="n"/>
      <c r="QHN1" s="87" t="n"/>
      <c r="QHO1" s="87" t="n"/>
      <c r="QHP1" s="87" t="n"/>
      <c r="QHQ1" s="87" t="n"/>
      <c r="QHR1" s="87" t="n"/>
      <c r="QHS1" s="87" t="n"/>
      <c r="QHT1" s="87" t="n"/>
      <c r="QHU1" s="87" t="n"/>
      <c r="QHV1" s="87" t="n"/>
      <c r="QHW1" s="87" t="n"/>
      <c r="QHX1" s="87" t="n"/>
      <c r="QHY1" s="87" t="n"/>
      <c r="QHZ1" s="87" t="n"/>
      <c r="QIA1" s="87" t="n"/>
      <c r="QIB1" s="87" t="n"/>
      <c r="QIC1" s="87" t="n"/>
      <c r="QID1" s="87" t="n"/>
      <c r="QIE1" s="87" t="n"/>
      <c r="QIF1" s="87" t="n"/>
      <c r="QIG1" s="87" t="n"/>
      <c r="QIH1" s="87" t="n"/>
      <c r="QII1" s="87" t="n"/>
      <c r="QIJ1" s="87" t="n"/>
      <c r="QIK1" s="87" t="n"/>
      <c r="QIL1" s="87" t="n"/>
      <c r="QIM1" s="87" t="n"/>
      <c r="QIN1" s="87" t="n"/>
      <c r="QIO1" s="87" t="n"/>
      <c r="QIP1" s="87" t="n"/>
      <c r="QIQ1" s="87" t="n"/>
      <c r="QIR1" s="87" t="n"/>
      <c r="QIS1" s="87" t="n"/>
      <c r="QIT1" s="87" t="n"/>
      <c r="QIU1" s="87" t="n"/>
      <c r="QIV1" s="87" t="n"/>
      <c r="QIW1" s="87" t="n"/>
      <c r="QIX1" s="87" t="n"/>
      <c r="QIY1" s="87" t="n"/>
      <c r="QIZ1" s="87" t="n"/>
      <c r="QJA1" s="87" t="n"/>
      <c r="QJB1" s="87" t="n"/>
      <c r="QJC1" s="87" t="n"/>
      <c r="QJD1" s="87" t="n"/>
      <c r="QJE1" s="87" t="n"/>
      <c r="QJF1" s="87" t="n"/>
      <c r="QJG1" s="87" t="n"/>
      <c r="QJH1" s="87" t="n"/>
      <c r="QJI1" s="87" t="n"/>
      <c r="QJJ1" s="87" t="n"/>
      <c r="QJK1" s="87" t="n"/>
      <c r="QJL1" s="87" t="n"/>
      <c r="QJM1" s="87" t="n"/>
      <c r="QJN1" s="87" t="n"/>
      <c r="QJO1" s="87" t="n"/>
      <c r="QJP1" s="87" t="n"/>
      <c r="QJQ1" s="87" t="n"/>
      <c r="QJR1" s="87" t="n"/>
      <c r="QJS1" s="87" t="n"/>
      <c r="QJT1" s="87" t="n"/>
      <c r="QJU1" s="87" t="n"/>
      <c r="QJV1" s="87" t="n"/>
      <c r="QJW1" s="87" t="n"/>
      <c r="QJX1" s="87" t="n"/>
      <c r="QJY1" s="87" t="n"/>
      <c r="QJZ1" s="87" t="n"/>
      <c r="QKA1" s="87" t="n"/>
      <c r="QKB1" s="87" t="n"/>
      <c r="QKC1" s="87" t="n"/>
      <c r="QKD1" s="87" t="n"/>
      <c r="QKE1" s="87" t="n"/>
      <c r="QKF1" s="87" t="n"/>
      <c r="QKG1" s="87" t="n"/>
      <c r="QKH1" s="87" t="n"/>
      <c r="QKI1" s="87" t="n"/>
      <c r="QKJ1" s="87" t="n"/>
      <c r="QKK1" s="87" t="n"/>
      <c r="QKL1" s="87" t="n"/>
      <c r="QKM1" s="87" t="n"/>
      <c r="QKN1" s="87" t="n"/>
      <c r="QKO1" s="87" t="n"/>
      <c r="QKP1" s="87" t="n"/>
      <c r="QKQ1" s="87" t="n"/>
      <c r="QKR1" s="87" t="n"/>
      <c r="QKS1" s="87" t="n"/>
      <c r="QKT1" s="87" t="n"/>
      <c r="QKU1" s="87" t="n"/>
      <c r="QKV1" s="87" t="n"/>
      <c r="QKW1" s="87" t="n"/>
      <c r="QKX1" s="87" t="n"/>
      <c r="QKY1" s="87" t="n"/>
      <c r="QKZ1" s="87" t="n"/>
      <c r="QLA1" s="87" t="n"/>
      <c r="QLB1" s="87" t="n"/>
      <c r="QLC1" s="87" t="n"/>
      <c r="QLD1" s="87" t="n"/>
      <c r="QLE1" s="87" t="n"/>
      <c r="QLF1" s="87" t="n"/>
      <c r="QLG1" s="87" t="n"/>
      <c r="QLH1" s="87" t="n"/>
      <c r="QLI1" s="87" t="n"/>
      <c r="QLJ1" s="87" t="n"/>
      <c r="QLK1" s="87" t="n"/>
      <c r="QLL1" s="87" t="n"/>
      <c r="QLM1" s="87" t="n"/>
      <c r="QLN1" s="87" t="n"/>
      <c r="QLO1" s="87" t="n"/>
      <c r="QLP1" s="87" t="n"/>
      <c r="QLQ1" s="87" t="n"/>
      <c r="QLR1" s="87" t="n"/>
      <c r="QLS1" s="87" t="n"/>
      <c r="QLT1" s="87" t="n"/>
      <c r="QLU1" s="87" t="n"/>
      <c r="QLV1" s="87" t="n"/>
      <c r="QLW1" s="87" t="n"/>
      <c r="QLX1" s="87" t="n"/>
      <c r="QLY1" s="87" t="n"/>
      <c r="QLZ1" s="87" t="n"/>
      <c r="QMA1" s="87" t="n"/>
      <c r="QMB1" s="87" t="n"/>
      <c r="QMC1" s="87" t="n"/>
      <c r="QMD1" s="87" t="n"/>
      <c r="QME1" s="87" t="n"/>
      <c r="QMF1" s="87" t="n"/>
      <c r="QMG1" s="87" t="n"/>
      <c r="QMH1" s="87" t="n"/>
      <c r="QMI1" s="87" t="n"/>
      <c r="QMJ1" s="87" t="n"/>
      <c r="QMK1" s="87" t="n"/>
      <c r="QML1" s="87" t="n"/>
      <c r="QMM1" s="87" t="n"/>
      <c r="QMN1" s="87" t="n"/>
      <c r="QMO1" s="87" t="n"/>
      <c r="QMP1" s="87" t="n"/>
      <c r="QMQ1" s="87" t="n"/>
      <c r="QMR1" s="87" t="n"/>
      <c r="QMS1" s="87" t="n"/>
      <c r="QMT1" s="87" t="n"/>
      <c r="QMU1" s="87" t="n"/>
      <c r="QMV1" s="87" t="n"/>
      <c r="QMW1" s="87" t="n"/>
      <c r="QMX1" s="87" t="n"/>
      <c r="QMY1" s="87" t="n"/>
      <c r="QMZ1" s="87" t="n"/>
      <c r="QNA1" s="87" t="n"/>
      <c r="QNB1" s="87" t="n"/>
      <c r="QNC1" s="87" t="n"/>
      <c r="QND1" s="87" t="n"/>
      <c r="QNE1" s="87" t="n"/>
      <c r="QNF1" s="87" t="n"/>
      <c r="QNG1" s="87" t="n"/>
      <c r="QNH1" s="87" t="n"/>
      <c r="QNI1" s="87" t="n"/>
      <c r="QNJ1" s="87" t="n"/>
      <c r="QNK1" s="87" t="n"/>
      <c r="QNL1" s="87" t="n"/>
      <c r="QNM1" s="87" t="n"/>
      <c r="QNN1" s="87" t="n"/>
      <c r="QNO1" s="87" t="n"/>
      <c r="QNP1" s="87" t="n"/>
      <c r="QNQ1" s="87" t="n"/>
      <c r="QNR1" s="87" t="n"/>
      <c r="QNS1" s="87" t="n"/>
      <c r="QNT1" s="87" t="n"/>
      <c r="QNU1" s="87" t="n"/>
      <c r="QNV1" s="87" t="n"/>
      <c r="QNW1" s="87" t="n"/>
      <c r="QNX1" s="87" t="n"/>
      <c r="QNY1" s="87" t="n"/>
      <c r="QNZ1" s="87" t="n"/>
      <c r="QOA1" s="87" t="n"/>
      <c r="QOB1" s="87" t="n"/>
      <c r="QOC1" s="87" t="n"/>
      <c r="QOD1" s="87" t="n"/>
      <c r="QOE1" s="87" t="n"/>
      <c r="QOF1" s="87" t="n"/>
      <c r="QOG1" s="87" t="n"/>
      <c r="QOH1" s="87" t="n"/>
      <c r="QOI1" s="87" t="n"/>
      <c r="QOJ1" s="87" t="n"/>
      <c r="QOK1" s="87" t="n"/>
      <c r="QOL1" s="87" t="n"/>
      <c r="QOM1" s="87" t="n"/>
      <c r="QON1" s="87" t="n"/>
      <c r="QOO1" s="87" t="n"/>
      <c r="QOP1" s="87" t="n"/>
      <c r="QOQ1" s="87" t="n"/>
      <c r="QOR1" s="87" t="n"/>
      <c r="QOS1" s="87" t="n"/>
      <c r="QOT1" s="87" t="n"/>
      <c r="QOU1" s="87" t="n"/>
      <c r="QOV1" s="87" t="n"/>
      <c r="QOW1" s="87" t="n"/>
      <c r="QOX1" s="87" t="n"/>
      <c r="QOY1" s="87" t="n"/>
      <c r="QOZ1" s="87" t="n"/>
      <c r="QPA1" s="87" t="n"/>
      <c r="QPB1" s="87" t="n"/>
      <c r="QPC1" s="87" t="n"/>
      <c r="QPD1" s="87" t="n"/>
      <c r="QPE1" s="87" t="n"/>
      <c r="QPF1" s="87" t="n"/>
      <c r="QPG1" s="87" t="n"/>
      <c r="QPH1" s="87" t="n"/>
      <c r="QPI1" s="87" t="n"/>
      <c r="QPJ1" s="87" t="n"/>
      <c r="QPK1" s="87" t="n"/>
      <c r="QPL1" s="87" t="n"/>
      <c r="QPM1" s="87" t="n"/>
      <c r="QPN1" s="87" t="n"/>
      <c r="QPO1" s="87" t="n"/>
      <c r="QPP1" s="87" t="n"/>
      <c r="QPQ1" s="87" t="n"/>
      <c r="QPR1" s="87" t="n"/>
      <c r="QPS1" s="87" t="n"/>
      <c r="QPT1" s="87" t="n"/>
      <c r="QPU1" s="87" t="n"/>
      <c r="QPV1" s="87" t="n"/>
      <c r="QPW1" s="87" t="n"/>
      <c r="QPX1" s="87" t="n"/>
      <c r="QPY1" s="87" t="n"/>
      <c r="QPZ1" s="87" t="n"/>
      <c r="QQA1" s="87" t="n"/>
      <c r="QQB1" s="87" t="n"/>
      <c r="QQC1" s="87" t="n"/>
      <c r="QQD1" s="87" t="n"/>
      <c r="QQE1" s="87" t="n"/>
      <c r="QQF1" s="87" t="n"/>
      <c r="QQG1" s="87" t="n"/>
      <c r="QQH1" s="87" t="n"/>
      <c r="QQI1" s="87" t="n"/>
      <c r="QQJ1" s="87" t="n"/>
      <c r="QQK1" s="87" t="n"/>
      <c r="QQL1" s="87" t="n"/>
      <c r="QQM1" s="87" t="n"/>
      <c r="QQN1" s="87" t="n"/>
      <c r="QQO1" s="87" t="n"/>
      <c r="QQP1" s="87" t="n"/>
      <c r="QQQ1" s="87" t="n"/>
      <c r="QQR1" s="87" t="n"/>
      <c r="QQS1" s="87" t="n"/>
      <c r="QQT1" s="87" t="n"/>
      <c r="QQU1" s="87" t="n"/>
      <c r="QQV1" s="87" t="n"/>
      <c r="QQW1" s="87" t="n"/>
      <c r="QQX1" s="87" t="n"/>
      <c r="QQY1" s="87" t="n"/>
      <c r="QQZ1" s="87" t="n"/>
      <c r="QRA1" s="87" t="n"/>
      <c r="QRB1" s="87" t="n"/>
      <c r="QRC1" s="87" t="n"/>
      <c r="QRD1" s="87" t="n"/>
      <c r="QRE1" s="87" t="n"/>
      <c r="QRF1" s="87" t="n"/>
      <c r="QRG1" s="87" t="n"/>
      <c r="QRH1" s="87" t="n"/>
      <c r="QRI1" s="87" t="n"/>
      <c r="QRJ1" s="87" t="n"/>
      <c r="QRK1" s="87" t="n"/>
      <c r="QRL1" s="87" t="n"/>
      <c r="QRM1" s="87" t="n"/>
      <c r="QRN1" s="87" t="n"/>
      <c r="QRO1" s="87" t="n"/>
      <c r="QRP1" s="87" t="n"/>
      <c r="QRQ1" s="87" t="n"/>
      <c r="QRR1" s="87" t="n"/>
      <c r="QRS1" s="87" t="n"/>
      <c r="QRT1" s="87" t="n"/>
      <c r="QRU1" s="87" t="n"/>
      <c r="QRV1" s="87" t="n"/>
      <c r="QRW1" s="87" t="n"/>
      <c r="QRX1" s="87" t="n"/>
      <c r="QRY1" s="87" t="n"/>
      <c r="QRZ1" s="87" t="n"/>
      <c r="QSA1" s="87" t="n"/>
      <c r="QSB1" s="87" t="n"/>
      <c r="QSC1" s="87" t="n"/>
      <c r="QSD1" s="87" t="n"/>
      <c r="QSE1" s="87" t="n"/>
      <c r="QSF1" s="87" t="n"/>
      <c r="QSG1" s="87" t="n"/>
      <c r="QSH1" s="87" t="n"/>
      <c r="QSI1" s="87" t="n"/>
      <c r="QSJ1" s="87" t="n"/>
      <c r="QSK1" s="87" t="n"/>
      <c r="QSL1" s="87" t="n"/>
      <c r="QSM1" s="87" t="n"/>
      <c r="QSN1" s="87" t="n"/>
      <c r="QSO1" s="87" t="n"/>
      <c r="QSP1" s="87" t="n"/>
      <c r="QSQ1" s="87" t="n"/>
      <c r="QSR1" s="87" t="n"/>
      <c r="QSS1" s="87" t="n"/>
      <c r="QST1" s="87" t="n"/>
      <c r="QSU1" s="87" t="n"/>
      <c r="QSV1" s="87" t="n"/>
      <c r="QSW1" s="87" t="n"/>
      <c r="QSX1" s="87" t="n"/>
      <c r="QSY1" s="87" t="n"/>
      <c r="QSZ1" s="87" t="n"/>
      <c r="QTA1" s="87" t="n"/>
      <c r="QTB1" s="87" t="n"/>
      <c r="QTC1" s="87" t="n"/>
      <c r="QTD1" s="87" t="n"/>
      <c r="QTE1" s="87" t="n"/>
      <c r="QTF1" s="87" t="n"/>
      <c r="QTG1" s="87" t="n"/>
      <c r="QTH1" s="87" t="n"/>
      <c r="QTI1" s="87" t="n"/>
      <c r="QTJ1" s="87" t="n"/>
      <c r="QTK1" s="87" t="n"/>
      <c r="QTL1" s="87" t="n"/>
      <c r="QTM1" s="87" t="n"/>
      <c r="QTN1" s="87" t="n"/>
      <c r="QTO1" s="87" t="n"/>
      <c r="QTP1" s="87" t="n"/>
      <c r="QTQ1" s="87" t="n"/>
      <c r="QTR1" s="87" t="n"/>
      <c r="QTS1" s="87" t="n"/>
      <c r="QTT1" s="87" t="n"/>
      <c r="QTU1" s="87" t="n"/>
      <c r="QTV1" s="87" t="n"/>
      <c r="QTW1" s="87" t="n"/>
      <c r="QTX1" s="87" t="n"/>
      <c r="QTY1" s="87" t="n"/>
      <c r="QTZ1" s="87" t="n"/>
      <c r="QUA1" s="87" t="n"/>
      <c r="QUB1" s="87" t="n"/>
      <c r="QUC1" s="87" t="n"/>
      <c r="QUD1" s="87" t="n"/>
      <c r="QUE1" s="87" t="n"/>
      <c r="QUF1" s="87" t="n"/>
      <c r="QUG1" s="87" t="n"/>
      <c r="QUH1" s="87" t="n"/>
      <c r="QUI1" s="87" t="n"/>
      <c r="QUJ1" s="87" t="n"/>
      <c r="QUK1" s="87" t="n"/>
      <c r="QUL1" s="87" t="n"/>
      <c r="QUM1" s="87" t="n"/>
      <c r="QUN1" s="87" t="n"/>
      <c r="QUO1" s="87" t="n"/>
      <c r="QUP1" s="87" t="n"/>
      <c r="QUQ1" s="87" t="n"/>
      <c r="QUR1" s="87" t="n"/>
      <c r="QUS1" s="87" t="n"/>
      <c r="QUT1" s="87" t="n"/>
      <c r="QUU1" s="87" t="n"/>
      <c r="QUV1" s="87" t="n"/>
      <c r="QUW1" s="87" t="n"/>
      <c r="QUX1" s="87" t="n"/>
      <c r="QUY1" s="87" t="n"/>
      <c r="QUZ1" s="87" t="n"/>
      <c r="QVA1" s="87" t="n"/>
      <c r="QVB1" s="87" t="n"/>
      <c r="QVC1" s="87" t="n"/>
      <c r="QVD1" s="87" t="n"/>
      <c r="QVE1" s="87" t="n"/>
      <c r="QVF1" s="87" t="n"/>
      <c r="QVG1" s="87" t="n"/>
      <c r="QVH1" s="87" t="n"/>
      <c r="QVI1" s="87" t="n"/>
      <c r="QVJ1" s="87" t="n"/>
      <c r="QVK1" s="87" t="n"/>
      <c r="QVL1" s="87" t="n"/>
      <c r="QVM1" s="87" t="n"/>
      <c r="QVN1" s="87" t="n"/>
      <c r="QVO1" s="87" t="n"/>
      <c r="QVP1" s="87" t="n"/>
      <c r="QVQ1" s="87" t="n"/>
      <c r="QVR1" s="87" t="n"/>
      <c r="QVS1" s="87" t="n"/>
      <c r="QVT1" s="87" t="n"/>
      <c r="QVU1" s="87" t="n"/>
      <c r="QVV1" s="87" t="n"/>
      <c r="QVW1" s="87" t="n"/>
      <c r="QVX1" s="87" t="n"/>
      <c r="QVY1" s="87" t="n"/>
      <c r="QVZ1" s="87" t="n"/>
      <c r="QWA1" s="87" t="n"/>
      <c r="QWB1" s="87" t="n"/>
      <c r="QWC1" s="87" t="n"/>
      <c r="QWD1" s="87" t="n"/>
      <c r="QWE1" s="87" t="n"/>
      <c r="QWF1" s="87" t="n"/>
      <c r="QWG1" s="87" t="n"/>
      <c r="QWH1" s="87" t="n"/>
      <c r="QWI1" s="87" t="n"/>
      <c r="QWJ1" s="87" t="n"/>
      <c r="QWK1" s="87" t="n"/>
      <c r="QWL1" s="87" t="n"/>
      <c r="QWM1" s="87" t="n"/>
      <c r="QWN1" s="87" t="n"/>
      <c r="QWO1" s="87" t="n"/>
      <c r="QWP1" s="87" t="n"/>
      <c r="QWQ1" s="87" t="n"/>
      <c r="QWR1" s="87" t="n"/>
      <c r="QWS1" s="87" t="n"/>
      <c r="QWT1" s="87" t="n"/>
      <c r="QWU1" s="87" t="n"/>
      <c r="QWV1" s="87" t="n"/>
      <c r="QWW1" s="87" t="n"/>
      <c r="QWX1" s="87" t="n"/>
      <c r="QWY1" s="87" t="n"/>
      <c r="QWZ1" s="87" t="n"/>
      <c r="QXA1" s="87" t="n"/>
      <c r="QXB1" s="87" t="n"/>
      <c r="QXC1" s="87" t="n"/>
      <c r="QXD1" s="87" t="n"/>
      <c r="QXE1" s="87" t="n"/>
      <c r="QXF1" s="87" t="n"/>
      <c r="QXG1" s="87" t="n"/>
      <c r="QXH1" s="87" t="n"/>
      <c r="QXI1" s="87" t="n"/>
      <c r="QXJ1" s="87" t="n"/>
      <c r="QXK1" s="87" t="n"/>
      <c r="QXL1" s="87" t="n"/>
      <c r="QXM1" s="87" t="n"/>
      <c r="QXN1" s="87" t="n"/>
      <c r="QXO1" s="87" t="n"/>
      <c r="QXP1" s="87" t="n"/>
      <c r="QXQ1" s="87" t="n"/>
      <c r="QXR1" s="87" t="n"/>
      <c r="QXS1" s="87" t="n"/>
      <c r="QXT1" s="87" t="n"/>
      <c r="QXU1" s="87" t="n"/>
      <c r="QXV1" s="87" t="n"/>
      <c r="QXW1" s="87" t="n"/>
      <c r="QXX1" s="87" t="n"/>
      <c r="QXY1" s="87" t="n"/>
      <c r="QXZ1" s="87" t="n"/>
      <c r="QYA1" s="87" t="n"/>
      <c r="QYB1" s="87" t="n"/>
      <c r="QYC1" s="87" t="n"/>
      <c r="QYD1" s="87" t="n"/>
      <c r="QYE1" s="87" t="n"/>
      <c r="QYF1" s="87" t="n"/>
      <c r="QYG1" s="87" t="n"/>
      <c r="QYH1" s="87" t="n"/>
      <c r="QYI1" s="87" t="n"/>
      <c r="QYJ1" s="87" t="n"/>
      <c r="QYK1" s="87" t="n"/>
      <c r="QYL1" s="87" t="n"/>
      <c r="QYM1" s="87" t="n"/>
      <c r="QYN1" s="87" t="n"/>
      <c r="QYO1" s="87" t="n"/>
      <c r="QYP1" s="87" t="n"/>
      <c r="QYQ1" s="87" t="n"/>
      <c r="QYR1" s="87" t="n"/>
      <c r="QYS1" s="87" t="n"/>
      <c r="QYT1" s="87" t="n"/>
      <c r="QYU1" s="87" t="n"/>
      <c r="QYV1" s="87" t="n"/>
      <c r="QYW1" s="87" t="n"/>
      <c r="QYX1" s="87" t="n"/>
      <c r="QYY1" s="87" t="n"/>
      <c r="QYZ1" s="87" t="n"/>
      <c r="QZA1" s="87" t="n"/>
      <c r="QZB1" s="87" t="n"/>
      <c r="QZC1" s="87" t="n"/>
      <c r="QZD1" s="87" t="n"/>
      <c r="QZE1" s="87" t="n"/>
      <c r="QZF1" s="87" t="n"/>
      <c r="QZG1" s="87" t="n"/>
      <c r="QZH1" s="87" t="n"/>
      <c r="QZI1" s="87" t="n"/>
      <c r="QZJ1" s="87" t="n"/>
      <c r="QZK1" s="87" t="n"/>
      <c r="QZL1" s="87" t="n"/>
      <c r="QZM1" s="87" t="n"/>
      <c r="QZN1" s="87" t="n"/>
      <c r="QZO1" s="87" t="n"/>
      <c r="QZP1" s="87" t="n"/>
      <c r="QZQ1" s="87" t="n"/>
      <c r="QZR1" s="87" t="n"/>
      <c r="QZS1" s="87" t="n"/>
      <c r="QZT1" s="87" t="n"/>
      <c r="QZU1" s="87" t="n"/>
      <c r="QZV1" s="87" t="n"/>
      <c r="QZW1" s="87" t="n"/>
      <c r="QZX1" s="87" t="n"/>
      <c r="QZY1" s="87" t="n"/>
      <c r="QZZ1" s="87" t="n"/>
      <c r="RAA1" s="87" t="n"/>
      <c r="RAB1" s="87" t="n"/>
      <c r="RAC1" s="87" t="n"/>
      <c r="RAD1" s="87" t="n"/>
      <c r="RAE1" s="87" t="n"/>
      <c r="RAF1" s="87" t="n"/>
      <c r="RAG1" s="87" t="n"/>
      <c r="RAH1" s="87" t="n"/>
      <c r="RAI1" s="87" t="n"/>
      <c r="RAJ1" s="87" t="n"/>
      <c r="RAK1" s="87" t="n"/>
      <c r="RAL1" s="87" t="n"/>
      <c r="RAM1" s="87" t="n"/>
      <c r="RAN1" s="87" t="n"/>
      <c r="RAO1" s="87" t="n"/>
      <c r="RAP1" s="87" t="n"/>
      <c r="RAQ1" s="87" t="n"/>
      <c r="RAR1" s="87" t="n"/>
      <c r="RAS1" s="87" t="n"/>
      <c r="RAT1" s="87" t="n"/>
      <c r="RAU1" s="87" t="n"/>
      <c r="RAV1" s="87" t="n"/>
      <c r="RAW1" s="87" t="n"/>
      <c r="RAX1" s="87" t="n"/>
      <c r="RAY1" s="87" t="n"/>
      <c r="RAZ1" s="87" t="n"/>
      <c r="RBA1" s="87" t="n"/>
      <c r="RBB1" s="87" t="n"/>
      <c r="RBC1" s="87" t="n"/>
      <c r="RBD1" s="87" t="n"/>
      <c r="RBE1" s="87" t="n"/>
      <c r="RBF1" s="87" t="n"/>
      <c r="RBG1" s="87" t="n"/>
      <c r="RBH1" s="87" t="n"/>
      <c r="RBI1" s="87" t="n"/>
      <c r="RBJ1" s="87" t="n"/>
      <c r="RBK1" s="87" t="n"/>
      <c r="RBL1" s="87" t="n"/>
      <c r="RBM1" s="87" t="n"/>
      <c r="RBN1" s="87" t="n"/>
      <c r="RBO1" s="87" t="n"/>
      <c r="RBP1" s="87" t="n"/>
      <c r="RBQ1" s="87" t="n"/>
      <c r="RBR1" s="87" t="n"/>
      <c r="RBS1" s="87" t="n"/>
      <c r="RBT1" s="87" t="n"/>
      <c r="RBU1" s="87" t="n"/>
      <c r="RBV1" s="87" t="n"/>
      <c r="RBW1" s="87" t="n"/>
      <c r="RBX1" s="87" t="n"/>
      <c r="RBY1" s="87" t="n"/>
      <c r="RBZ1" s="87" t="n"/>
      <c r="RCA1" s="87" t="n"/>
      <c r="RCB1" s="87" t="n"/>
      <c r="RCC1" s="87" t="n"/>
      <c r="RCD1" s="87" t="n"/>
      <c r="RCE1" s="87" t="n"/>
      <c r="RCF1" s="87" t="n"/>
      <c r="RCG1" s="87" t="n"/>
      <c r="RCH1" s="87" t="n"/>
      <c r="RCI1" s="87" t="n"/>
      <c r="RCJ1" s="87" t="n"/>
      <c r="RCK1" s="87" t="n"/>
      <c r="RCL1" s="87" t="n"/>
      <c r="RCM1" s="87" t="n"/>
      <c r="RCN1" s="87" t="n"/>
      <c r="RCO1" s="87" t="n"/>
      <c r="RCP1" s="87" t="n"/>
      <c r="RCQ1" s="87" t="n"/>
      <c r="RCR1" s="87" t="n"/>
      <c r="RCS1" s="87" t="n"/>
      <c r="RCT1" s="87" t="n"/>
      <c r="RCU1" s="87" t="n"/>
      <c r="RCV1" s="87" t="n"/>
      <c r="RCW1" s="87" t="n"/>
      <c r="RCX1" s="87" t="n"/>
      <c r="RCY1" s="87" t="n"/>
      <c r="RCZ1" s="87" t="n"/>
      <c r="RDA1" s="87" t="n"/>
      <c r="RDB1" s="87" t="n"/>
      <c r="RDC1" s="87" t="n"/>
      <c r="RDD1" s="87" t="n"/>
      <c r="RDE1" s="87" t="n"/>
      <c r="RDF1" s="87" t="n"/>
      <c r="RDG1" s="87" t="n"/>
      <c r="RDH1" s="87" t="n"/>
      <c r="RDI1" s="87" t="n"/>
      <c r="RDJ1" s="87" t="n"/>
      <c r="RDK1" s="87" t="n"/>
      <c r="RDL1" s="87" t="n"/>
      <c r="RDM1" s="87" t="n"/>
      <c r="RDN1" s="87" t="n"/>
      <c r="RDO1" s="87" t="n"/>
      <c r="RDP1" s="87" t="n"/>
      <c r="RDQ1" s="87" t="n"/>
      <c r="RDR1" s="87" t="n"/>
      <c r="RDS1" s="87" t="n"/>
      <c r="RDT1" s="87" t="n"/>
      <c r="RDU1" s="87" t="n"/>
      <c r="RDV1" s="87" t="n"/>
      <c r="RDW1" s="87" t="n"/>
      <c r="RDX1" s="87" t="n"/>
      <c r="RDY1" s="87" t="n"/>
      <c r="RDZ1" s="87" t="n"/>
      <c r="REA1" s="87" t="n"/>
      <c r="REB1" s="87" t="n"/>
      <c r="REC1" s="87" t="n"/>
      <c r="RED1" s="87" t="n"/>
      <c r="REE1" s="87" t="n"/>
      <c r="REF1" s="87" t="n"/>
      <c r="REG1" s="87" t="n"/>
      <c r="REH1" s="87" t="n"/>
      <c r="REI1" s="87" t="n"/>
      <c r="REJ1" s="87" t="n"/>
      <c r="REK1" s="87" t="n"/>
      <c r="REL1" s="87" t="n"/>
      <c r="REM1" s="87" t="n"/>
      <c r="REN1" s="87" t="n"/>
      <c r="REO1" s="87" t="n"/>
      <c r="REP1" s="87" t="n"/>
      <c r="REQ1" s="87" t="n"/>
      <c r="RER1" s="87" t="n"/>
      <c r="RES1" s="87" t="n"/>
      <c r="RET1" s="87" t="n"/>
      <c r="REU1" s="87" t="n"/>
      <c r="REV1" s="87" t="n"/>
      <c r="REW1" s="87" t="n"/>
      <c r="REX1" s="87" t="n"/>
      <c r="REY1" s="87" t="n"/>
      <c r="REZ1" s="87" t="n"/>
      <c r="RFA1" s="87" t="n"/>
      <c r="RFB1" s="87" t="n"/>
      <c r="RFC1" s="87" t="n"/>
      <c r="RFD1" s="87" t="n"/>
      <c r="RFE1" s="87" t="n"/>
      <c r="RFF1" s="87" t="n"/>
      <c r="RFG1" s="87" t="n"/>
      <c r="RFH1" s="87" t="n"/>
      <c r="RFI1" s="87" t="n"/>
      <c r="RFJ1" s="87" t="n"/>
      <c r="RFK1" s="87" t="n"/>
      <c r="RFL1" s="87" t="n"/>
      <c r="RFM1" s="87" t="n"/>
      <c r="RFN1" s="87" t="n"/>
      <c r="RFO1" s="87" t="n"/>
      <c r="RFP1" s="87" t="n"/>
      <c r="RFQ1" s="87" t="n"/>
      <c r="RFR1" s="87" t="n"/>
      <c r="RFS1" s="87" t="n"/>
      <c r="RFT1" s="87" t="n"/>
      <c r="RFU1" s="87" t="n"/>
      <c r="RFV1" s="87" t="n"/>
      <c r="RFW1" s="87" t="n"/>
      <c r="RFX1" s="87" t="n"/>
      <c r="RFY1" s="87" t="n"/>
      <c r="RFZ1" s="87" t="n"/>
      <c r="RGA1" s="87" t="n"/>
      <c r="RGB1" s="87" t="n"/>
      <c r="RGC1" s="87" t="n"/>
      <c r="RGD1" s="87" t="n"/>
      <c r="RGE1" s="87" t="n"/>
      <c r="RGF1" s="87" t="n"/>
      <c r="RGG1" s="87" t="n"/>
      <c r="RGH1" s="87" t="n"/>
      <c r="RGI1" s="87" t="n"/>
      <c r="RGJ1" s="87" t="n"/>
      <c r="RGK1" s="87" t="n"/>
      <c r="RGL1" s="87" t="n"/>
      <c r="RGM1" s="87" t="n"/>
      <c r="RGN1" s="87" t="n"/>
      <c r="RGO1" s="87" t="n"/>
      <c r="RGP1" s="87" t="n"/>
      <c r="RGQ1" s="87" t="n"/>
      <c r="RGR1" s="87" t="n"/>
      <c r="RGS1" s="87" t="n"/>
      <c r="RGT1" s="87" t="n"/>
      <c r="RGU1" s="87" t="n"/>
      <c r="RGV1" s="87" t="n"/>
      <c r="RGW1" s="87" t="n"/>
      <c r="RGX1" s="87" t="n"/>
      <c r="RGY1" s="87" t="n"/>
      <c r="RGZ1" s="87" t="n"/>
      <c r="RHA1" s="87" t="n"/>
      <c r="RHB1" s="87" t="n"/>
      <c r="RHC1" s="87" t="n"/>
      <c r="RHD1" s="87" t="n"/>
      <c r="RHE1" s="87" t="n"/>
      <c r="RHF1" s="87" t="n"/>
      <c r="RHG1" s="87" t="n"/>
      <c r="RHH1" s="87" t="n"/>
      <c r="RHI1" s="87" t="n"/>
      <c r="RHJ1" s="87" t="n"/>
      <c r="RHK1" s="87" t="n"/>
      <c r="RHL1" s="87" t="n"/>
      <c r="RHM1" s="87" t="n"/>
      <c r="RHN1" s="87" t="n"/>
      <c r="RHO1" s="87" t="n"/>
      <c r="RHP1" s="87" t="n"/>
      <c r="RHQ1" s="87" t="n"/>
      <c r="RHR1" s="87" t="n"/>
      <c r="RHS1" s="87" t="n"/>
      <c r="RHT1" s="87" t="n"/>
      <c r="RHU1" s="87" t="n"/>
      <c r="RHV1" s="87" t="n"/>
      <c r="RHW1" s="87" t="n"/>
      <c r="RHX1" s="87" t="n"/>
      <c r="RHY1" s="87" t="n"/>
      <c r="RHZ1" s="87" t="n"/>
      <c r="RIA1" s="87" t="n"/>
      <c r="RIB1" s="87" t="n"/>
      <c r="RIC1" s="87" t="n"/>
      <c r="RID1" s="87" t="n"/>
      <c r="RIE1" s="87" t="n"/>
      <c r="RIF1" s="87" t="n"/>
      <c r="RIG1" s="87" t="n"/>
      <c r="RIH1" s="87" t="n"/>
      <c r="RII1" s="87" t="n"/>
      <c r="RIJ1" s="87" t="n"/>
      <c r="RIK1" s="87" t="n"/>
      <c r="RIL1" s="87" t="n"/>
      <c r="RIM1" s="87" t="n"/>
      <c r="RIN1" s="87" t="n"/>
      <c r="RIO1" s="87" t="n"/>
      <c r="RIP1" s="87" t="n"/>
      <c r="RIQ1" s="87" t="n"/>
      <c r="RIR1" s="87" t="n"/>
      <c r="RIS1" s="87" t="n"/>
      <c r="RIT1" s="87" t="n"/>
      <c r="RIU1" s="87" t="n"/>
      <c r="RIV1" s="87" t="n"/>
      <c r="RIW1" s="87" t="n"/>
      <c r="RIX1" s="87" t="n"/>
      <c r="RIY1" s="87" t="n"/>
      <c r="RIZ1" s="87" t="n"/>
      <c r="RJA1" s="87" t="n"/>
      <c r="RJB1" s="87" t="n"/>
      <c r="RJC1" s="87" t="n"/>
      <c r="RJD1" s="87" t="n"/>
      <c r="RJE1" s="87" t="n"/>
      <c r="RJF1" s="87" t="n"/>
      <c r="RJG1" s="87" t="n"/>
      <c r="RJH1" s="87" t="n"/>
      <c r="RJI1" s="87" t="n"/>
      <c r="RJJ1" s="87" t="n"/>
      <c r="RJK1" s="87" t="n"/>
      <c r="RJL1" s="87" t="n"/>
      <c r="RJM1" s="87" t="n"/>
      <c r="RJN1" s="87" t="n"/>
      <c r="RJO1" s="87" t="n"/>
      <c r="RJP1" s="87" t="n"/>
      <c r="RJQ1" s="87" t="n"/>
      <c r="RJR1" s="87" t="n"/>
      <c r="RJS1" s="87" t="n"/>
      <c r="RJT1" s="87" t="n"/>
      <c r="RJU1" s="87" t="n"/>
      <c r="RJV1" s="87" t="n"/>
      <c r="RJW1" s="87" t="n"/>
      <c r="RJX1" s="87" t="n"/>
      <c r="RJY1" s="87" t="n"/>
      <c r="RJZ1" s="87" t="n"/>
      <c r="RKA1" s="87" t="n"/>
      <c r="RKB1" s="87" t="n"/>
      <c r="RKC1" s="87" t="n"/>
      <c r="RKD1" s="87" t="n"/>
      <c r="RKE1" s="87" t="n"/>
      <c r="RKF1" s="87" t="n"/>
      <c r="RKG1" s="87" t="n"/>
      <c r="RKH1" s="87" t="n"/>
      <c r="RKI1" s="87" t="n"/>
      <c r="RKJ1" s="87" t="n"/>
      <c r="RKK1" s="87" t="n"/>
      <c r="RKL1" s="87" t="n"/>
      <c r="RKM1" s="87" t="n"/>
      <c r="RKN1" s="87" t="n"/>
      <c r="RKO1" s="87" t="n"/>
      <c r="RKP1" s="87" t="n"/>
      <c r="RKQ1" s="87" t="n"/>
      <c r="RKR1" s="87" t="n"/>
      <c r="RKS1" s="87" t="n"/>
      <c r="RKT1" s="87" t="n"/>
      <c r="RKU1" s="87" t="n"/>
      <c r="RKV1" s="87" t="n"/>
      <c r="RKW1" s="87" t="n"/>
      <c r="RKX1" s="87" t="n"/>
      <c r="RKY1" s="87" t="n"/>
      <c r="RKZ1" s="87" t="n"/>
      <c r="RLA1" s="87" t="n"/>
      <c r="RLB1" s="87" t="n"/>
      <c r="RLC1" s="87" t="n"/>
      <c r="RLD1" s="87" t="n"/>
      <c r="RLE1" s="87" t="n"/>
      <c r="RLF1" s="87" t="n"/>
      <c r="RLG1" s="87" t="n"/>
      <c r="RLH1" s="87" t="n"/>
      <c r="RLI1" s="87" t="n"/>
      <c r="RLJ1" s="87" t="n"/>
      <c r="RLK1" s="87" t="n"/>
      <c r="RLL1" s="87" t="n"/>
      <c r="RLM1" s="87" t="n"/>
      <c r="RLN1" s="87" t="n"/>
      <c r="RLO1" s="87" t="n"/>
      <c r="RLP1" s="87" t="n"/>
      <c r="RLQ1" s="87" t="n"/>
      <c r="RLR1" s="87" t="n"/>
      <c r="RLS1" s="87" t="n"/>
      <c r="RLT1" s="87" t="n"/>
      <c r="RLU1" s="87" t="n"/>
      <c r="RLV1" s="87" t="n"/>
      <c r="RLW1" s="87" t="n"/>
      <c r="RLX1" s="87" t="n"/>
      <c r="RLY1" s="87" t="n"/>
      <c r="RLZ1" s="87" t="n"/>
      <c r="RMA1" s="87" t="n"/>
      <c r="RMB1" s="87" t="n"/>
      <c r="RMC1" s="87" t="n"/>
      <c r="RMD1" s="87" t="n"/>
      <c r="RME1" s="87" t="n"/>
      <c r="RMF1" s="87" t="n"/>
      <c r="RMG1" s="87" t="n"/>
      <c r="RMH1" s="87" t="n"/>
      <c r="RMI1" s="87" t="n"/>
      <c r="RMJ1" s="87" t="n"/>
      <c r="RMK1" s="87" t="n"/>
      <c r="RML1" s="87" t="n"/>
      <c r="RMM1" s="87" t="n"/>
      <c r="RMN1" s="87" t="n"/>
      <c r="RMO1" s="87" t="n"/>
      <c r="RMP1" s="87" t="n"/>
      <c r="RMQ1" s="87" t="n"/>
      <c r="RMR1" s="87" t="n"/>
      <c r="RMS1" s="87" t="n"/>
      <c r="RMT1" s="87" t="n"/>
      <c r="RMU1" s="87" t="n"/>
      <c r="RMV1" s="87" t="n"/>
      <c r="RMW1" s="87" t="n"/>
      <c r="RMX1" s="87" t="n"/>
      <c r="RMY1" s="87" t="n"/>
      <c r="RMZ1" s="87" t="n"/>
      <c r="RNA1" s="87" t="n"/>
      <c r="RNB1" s="87" t="n"/>
      <c r="RNC1" s="87" t="n"/>
      <c r="RND1" s="87" t="n"/>
      <c r="RNE1" s="87" t="n"/>
      <c r="RNF1" s="87" t="n"/>
      <c r="RNG1" s="87" t="n"/>
      <c r="RNH1" s="87" t="n"/>
      <c r="RNI1" s="87" t="n"/>
      <c r="RNJ1" s="87" t="n"/>
      <c r="RNK1" s="87" t="n"/>
      <c r="RNL1" s="87" t="n"/>
      <c r="RNM1" s="87" t="n"/>
      <c r="RNN1" s="87" t="n"/>
      <c r="RNO1" s="87" t="n"/>
      <c r="RNP1" s="87" t="n"/>
      <c r="RNQ1" s="87" t="n"/>
      <c r="RNR1" s="87" t="n"/>
      <c r="RNS1" s="87" t="n"/>
      <c r="RNT1" s="87" t="n"/>
      <c r="RNU1" s="87" t="n"/>
      <c r="RNV1" s="87" t="n"/>
      <c r="RNW1" s="87" t="n"/>
      <c r="RNX1" s="87" t="n"/>
      <c r="RNY1" s="87" t="n"/>
      <c r="RNZ1" s="87" t="n"/>
      <c r="ROA1" s="87" t="n"/>
      <c r="ROB1" s="87" t="n"/>
      <c r="ROC1" s="87" t="n"/>
      <c r="ROD1" s="87" t="n"/>
      <c r="ROE1" s="87" t="n"/>
      <c r="ROF1" s="87" t="n"/>
      <c r="ROG1" s="87" t="n"/>
      <c r="ROH1" s="87" t="n"/>
      <c r="ROI1" s="87" t="n"/>
      <c r="ROJ1" s="87" t="n"/>
      <c r="ROK1" s="87" t="n"/>
      <c r="ROL1" s="87" t="n"/>
      <c r="ROM1" s="87" t="n"/>
      <c r="RON1" s="87" t="n"/>
      <c r="ROO1" s="87" t="n"/>
      <c r="ROP1" s="87" t="n"/>
      <c r="ROQ1" s="87" t="n"/>
      <c r="ROR1" s="87" t="n"/>
      <c r="ROS1" s="87" t="n"/>
      <c r="ROT1" s="87" t="n"/>
      <c r="ROU1" s="87" t="n"/>
      <c r="ROV1" s="87" t="n"/>
      <c r="ROW1" s="87" t="n"/>
      <c r="ROX1" s="87" t="n"/>
      <c r="ROY1" s="87" t="n"/>
      <c r="ROZ1" s="87" t="n"/>
      <c r="RPA1" s="87" t="n"/>
      <c r="RPB1" s="87" t="n"/>
      <c r="RPC1" s="87" t="n"/>
      <c r="RPD1" s="87" t="n"/>
      <c r="RPE1" s="87" t="n"/>
      <c r="RPF1" s="87" t="n"/>
      <c r="RPG1" s="87" t="n"/>
      <c r="RPH1" s="87" t="n"/>
      <c r="RPI1" s="87" t="n"/>
      <c r="RPJ1" s="87" t="n"/>
      <c r="RPK1" s="87" t="n"/>
      <c r="RPL1" s="87" t="n"/>
      <c r="RPM1" s="87" t="n"/>
      <c r="RPN1" s="87" t="n"/>
      <c r="RPO1" s="87" t="n"/>
      <c r="RPP1" s="87" t="n"/>
      <c r="RPQ1" s="87" t="n"/>
      <c r="RPR1" s="87" t="n"/>
      <c r="RPS1" s="87" t="n"/>
      <c r="RPT1" s="87" t="n"/>
      <c r="RPU1" s="87" t="n"/>
      <c r="RPV1" s="87" t="n"/>
      <c r="RPW1" s="87" t="n"/>
      <c r="RPX1" s="87" t="n"/>
      <c r="RPY1" s="87" t="n"/>
      <c r="RPZ1" s="87" t="n"/>
      <c r="RQA1" s="87" t="n"/>
      <c r="RQB1" s="87" t="n"/>
      <c r="RQC1" s="87" t="n"/>
      <c r="RQD1" s="87" t="n"/>
      <c r="RQE1" s="87" t="n"/>
      <c r="RQF1" s="87" t="n"/>
      <c r="RQG1" s="87" t="n"/>
      <c r="RQH1" s="87" t="n"/>
      <c r="RQI1" s="87" t="n"/>
      <c r="RQJ1" s="87" t="n"/>
      <c r="RQK1" s="87" t="n"/>
      <c r="RQL1" s="87" t="n"/>
      <c r="RQM1" s="87" t="n"/>
      <c r="RQN1" s="87" t="n"/>
      <c r="RQO1" s="87" t="n"/>
      <c r="RQP1" s="87" t="n"/>
      <c r="RQQ1" s="87" t="n"/>
      <c r="RQR1" s="87" t="n"/>
      <c r="RQS1" s="87" t="n"/>
      <c r="RQT1" s="87" t="n"/>
      <c r="RQU1" s="87" t="n"/>
      <c r="RQV1" s="87" t="n"/>
      <c r="RQW1" s="87" t="n"/>
      <c r="RQX1" s="87" t="n"/>
      <c r="RQY1" s="87" t="n"/>
      <c r="RQZ1" s="87" t="n"/>
      <c r="RRA1" s="87" t="n"/>
      <c r="RRB1" s="87" t="n"/>
      <c r="RRC1" s="87" t="n"/>
      <c r="RRD1" s="87" t="n"/>
      <c r="RRE1" s="87" t="n"/>
      <c r="RRF1" s="87" t="n"/>
      <c r="RRG1" s="87" t="n"/>
      <c r="RRH1" s="87" t="n"/>
      <c r="RRI1" s="87" t="n"/>
      <c r="RRJ1" s="87" t="n"/>
      <c r="RRK1" s="87" t="n"/>
      <c r="RRL1" s="87" t="n"/>
      <c r="RRM1" s="87" t="n"/>
      <c r="RRN1" s="87" t="n"/>
      <c r="RRO1" s="87" t="n"/>
      <c r="RRP1" s="87" t="n"/>
      <c r="RRQ1" s="87" t="n"/>
      <c r="RRR1" s="87" t="n"/>
      <c r="RRS1" s="87" t="n"/>
      <c r="RRT1" s="87" t="n"/>
      <c r="RRU1" s="87" t="n"/>
      <c r="RRV1" s="87" t="n"/>
      <c r="RRW1" s="87" t="n"/>
      <c r="RRX1" s="87" t="n"/>
      <c r="RRY1" s="87" t="n"/>
      <c r="RRZ1" s="87" t="n"/>
      <c r="RSA1" s="87" t="n"/>
      <c r="RSB1" s="87" t="n"/>
      <c r="RSC1" s="87" t="n"/>
      <c r="RSD1" s="87" t="n"/>
      <c r="RSE1" s="87" t="n"/>
      <c r="RSF1" s="87" t="n"/>
      <c r="RSG1" s="87" t="n"/>
      <c r="RSH1" s="87" t="n"/>
      <c r="RSI1" s="87" t="n"/>
      <c r="RSJ1" s="87" t="n"/>
      <c r="RSK1" s="87" t="n"/>
      <c r="RSL1" s="87" t="n"/>
      <c r="RSM1" s="87" t="n"/>
      <c r="RSN1" s="87" t="n"/>
      <c r="RSO1" s="87" t="n"/>
      <c r="RSP1" s="87" t="n"/>
      <c r="RSQ1" s="87" t="n"/>
      <c r="RSR1" s="87" t="n"/>
      <c r="RSS1" s="87" t="n"/>
      <c r="RST1" s="87" t="n"/>
      <c r="RSU1" s="87" t="n"/>
      <c r="RSV1" s="87" t="n"/>
      <c r="RSW1" s="87" t="n"/>
      <c r="RSX1" s="87" t="n"/>
      <c r="RSY1" s="87" t="n"/>
      <c r="RSZ1" s="87" t="n"/>
      <c r="RTA1" s="87" t="n"/>
      <c r="RTB1" s="87" t="n"/>
      <c r="RTC1" s="87" t="n"/>
      <c r="RTD1" s="87" t="n"/>
      <c r="RTE1" s="87" t="n"/>
      <c r="RTF1" s="87" t="n"/>
      <c r="RTG1" s="87" t="n"/>
      <c r="RTH1" s="87" t="n"/>
      <c r="RTI1" s="87" t="n"/>
      <c r="RTJ1" s="87" t="n"/>
      <c r="RTK1" s="87" t="n"/>
      <c r="RTL1" s="87" t="n"/>
      <c r="RTM1" s="87" t="n"/>
      <c r="RTN1" s="87" t="n"/>
      <c r="RTO1" s="87" t="n"/>
      <c r="RTP1" s="87" t="n"/>
      <c r="RTQ1" s="87" t="n"/>
      <c r="RTR1" s="87" t="n"/>
      <c r="RTS1" s="87" t="n"/>
      <c r="RTT1" s="87" t="n"/>
      <c r="RTU1" s="87" t="n"/>
      <c r="RTV1" s="87" t="n"/>
      <c r="RTW1" s="87" t="n"/>
      <c r="RTX1" s="87" t="n"/>
      <c r="RTY1" s="87" t="n"/>
      <c r="RTZ1" s="87" t="n"/>
      <c r="RUA1" s="87" t="n"/>
      <c r="RUB1" s="87" t="n"/>
      <c r="RUC1" s="87" t="n"/>
      <c r="RUD1" s="87" t="n"/>
      <c r="RUE1" s="87" t="n"/>
      <c r="RUF1" s="87" t="n"/>
      <c r="RUG1" s="87" t="n"/>
      <c r="RUH1" s="87" t="n"/>
      <c r="RUI1" s="87" t="n"/>
      <c r="RUJ1" s="87" t="n"/>
      <c r="RUK1" s="87" t="n"/>
      <c r="RUL1" s="87" t="n"/>
      <c r="RUM1" s="87" t="n"/>
      <c r="RUN1" s="87" t="n"/>
      <c r="RUO1" s="87" t="n"/>
      <c r="RUP1" s="87" t="n"/>
      <c r="RUQ1" s="87" t="n"/>
      <c r="RUR1" s="87" t="n"/>
      <c r="RUS1" s="87" t="n"/>
      <c r="RUT1" s="87" t="n"/>
      <c r="RUU1" s="87" t="n"/>
      <c r="RUV1" s="87" t="n"/>
      <c r="RUW1" s="87" t="n"/>
      <c r="RUX1" s="87" t="n"/>
      <c r="RUY1" s="87" t="n"/>
      <c r="RUZ1" s="87" t="n"/>
      <c r="RVA1" s="87" t="n"/>
      <c r="RVB1" s="87" t="n"/>
      <c r="RVC1" s="87" t="n"/>
      <c r="RVD1" s="87" t="n"/>
      <c r="RVE1" s="87" t="n"/>
      <c r="RVF1" s="87" t="n"/>
      <c r="RVG1" s="87" t="n"/>
      <c r="RVH1" s="87" t="n"/>
      <c r="RVI1" s="87" t="n"/>
      <c r="RVJ1" s="87" t="n"/>
      <c r="RVK1" s="87" t="n"/>
      <c r="RVL1" s="87" t="n"/>
      <c r="RVM1" s="87" t="n"/>
      <c r="RVN1" s="87" t="n"/>
      <c r="RVO1" s="87" t="n"/>
      <c r="RVP1" s="87" t="n"/>
      <c r="RVQ1" s="87" t="n"/>
      <c r="RVR1" s="87" t="n"/>
      <c r="RVS1" s="87" t="n"/>
      <c r="RVT1" s="87" t="n"/>
      <c r="RVU1" s="87" t="n"/>
      <c r="RVV1" s="87" t="n"/>
      <c r="RVW1" s="87" t="n"/>
      <c r="RVX1" s="87" t="n"/>
      <c r="RVY1" s="87" t="n"/>
      <c r="RVZ1" s="87" t="n"/>
      <c r="RWA1" s="87" t="n"/>
      <c r="RWB1" s="87" t="n"/>
      <c r="RWC1" s="87" t="n"/>
      <c r="RWD1" s="87" t="n"/>
      <c r="RWE1" s="87" t="n"/>
      <c r="RWF1" s="87" t="n"/>
      <c r="RWG1" s="87" t="n"/>
      <c r="RWH1" s="87" t="n"/>
      <c r="RWI1" s="87" t="n"/>
      <c r="RWJ1" s="87" t="n"/>
      <c r="RWK1" s="87" t="n"/>
      <c r="RWL1" s="87" t="n"/>
      <c r="RWM1" s="87" t="n"/>
      <c r="RWN1" s="87" t="n"/>
      <c r="RWO1" s="87" t="n"/>
      <c r="RWP1" s="87" t="n"/>
      <c r="RWQ1" s="87" t="n"/>
      <c r="RWR1" s="87" t="n"/>
      <c r="RWS1" s="87" t="n"/>
      <c r="RWT1" s="87" t="n"/>
      <c r="RWU1" s="87" t="n"/>
      <c r="RWV1" s="87" t="n"/>
      <c r="RWW1" s="87" t="n"/>
      <c r="RWX1" s="87" t="n"/>
      <c r="RWY1" s="87" t="n"/>
      <c r="RWZ1" s="87" t="n"/>
      <c r="RXA1" s="87" t="n"/>
      <c r="RXB1" s="87" t="n"/>
      <c r="RXC1" s="87" t="n"/>
      <c r="RXD1" s="87" t="n"/>
      <c r="RXE1" s="87" t="n"/>
      <c r="RXF1" s="87" t="n"/>
      <c r="RXG1" s="87" t="n"/>
      <c r="RXH1" s="87" t="n"/>
      <c r="RXI1" s="87" t="n"/>
      <c r="RXJ1" s="87" t="n"/>
      <c r="RXK1" s="87" t="n"/>
      <c r="RXL1" s="87" t="n"/>
      <c r="RXM1" s="87" t="n"/>
      <c r="RXN1" s="87" t="n"/>
      <c r="RXO1" s="87" t="n"/>
      <c r="RXP1" s="87" t="n"/>
      <c r="RXQ1" s="87" t="n"/>
      <c r="RXR1" s="87" t="n"/>
      <c r="RXS1" s="87" t="n"/>
      <c r="RXT1" s="87" t="n"/>
      <c r="RXU1" s="87" t="n"/>
      <c r="RXV1" s="87" t="n"/>
      <c r="RXW1" s="87" t="n"/>
      <c r="RXX1" s="87" t="n"/>
      <c r="RXY1" s="87" t="n"/>
      <c r="RXZ1" s="87" t="n"/>
      <c r="RYA1" s="87" t="n"/>
      <c r="RYB1" s="87" t="n"/>
      <c r="RYC1" s="87" t="n"/>
      <c r="RYD1" s="87" t="n"/>
      <c r="RYE1" s="87" t="n"/>
      <c r="RYF1" s="87" t="n"/>
      <c r="RYG1" s="87" t="n"/>
      <c r="RYH1" s="87" t="n"/>
      <c r="RYI1" s="87" t="n"/>
      <c r="RYJ1" s="87" t="n"/>
      <c r="RYK1" s="87" t="n"/>
      <c r="RYL1" s="87" t="n"/>
      <c r="RYM1" s="87" t="n"/>
      <c r="RYN1" s="87" t="n"/>
      <c r="RYO1" s="87" t="n"/>
      <c r="RYP1" s="87" t="n"/>
      <c r="RYQ1" s="87" t="n"/>
      <c r="RYR1" s="87" t="n"/>
      <c r="RYS1" s="87" t="n"/>
      <c r="RYT1" s="87" t="n"/>
      <c r="RYU1" s="87" t="n"/>
      <c r="RYV1" s="87" t="n"/>
      <c r="RYW1" s="87" t="n"/>
      <c r="RYX1" s="87" t="n"/>
      <c r="RYY1" s="87" t="n"/>
      <c r="RYZ1" s="87" t="n"/>
      <c r="RZA1" s="87" t="n"/>
      <c r="RZB1" s="87" t="n"/>
      <c r="RZC1" s="87" t="n"/>
      <c r="RZD1" s="87" t="n"/>
      <c r="RZE1" s="87" t="n"/>
      <c r="RZF1" s="87" t="n"/>
      <c r="RZG1" s="87" t="n"/>
      <c r="RZH1" s="87" t="n"/>
      <c r="RZI1" s="87" t="n"/>
      <c r="RZJ1" s="87" t="n"/>
      <c r="RZK1" s="87" t="n"/>
      <c r="RZL1" s="87" t="n"/>
      <c r="RZM1" s="87" t="n"/>
      <c r="RZN1" s="87" t="n"/>
      <c r="RZO1" s="87" t="n"/>
      <c r="RZP1" s="87" t="n"/>
      <c r="RZQ1" s="87" t="n"/>
      <c r="RZR1" s="87" t="n"/>
      <c r="RZS1" s="87" t="n"/>
      <c r="RZT1" s="87" t="n"/>
      <c r="RZU1" s="87" t="n"/>
      <c r="RZV1" s="87" t="n"/>
      <c r="RZW1" s="87" t="n"/>
      <c r="RZX1" s="87" t="n"/>
      <c r="RZY1" s="87" t="n"/>
      <c r="RZZ1" s="87" t="n"/>
      <c r="SAA1" s="87" t="n"/>
      <c r="SAB1" s="87" t="n"/>
      <c r="SAC1" s="87" t="n"/>
      <c r="SAD1" s="87" t="n"/>
      <c r="SAE1" s="87" t="n"/>
      <c r="SAF1" s="87" t="n"/>
      <c r="SAG1" s="87" t="n"/>
      <c r="SAH1" s="87" t="n"/>
      <c r="SAI1" s="87" t="n"/>
      <c r="SAJ1" s="87" t="n"/>
      <c r="SAK1" s="87" t="n"/>
      <c r="SAL1" s="87" t="n"/>
      <c r="SAM1" s="87" t="n"/>
      <c r="SAN1" s="87" t="n"/>
      <c r="SAO1" s="87" t="n"/>
      <c r="SAP1" s="87" t="n"/>
      <c r="SAQ1" s="87" t="n"/>
      <c r="SAR1" s="87" t="n"/>
      <c r="SAS1" s="87" t="n"/>
      <c r="SAT1" s="87" t="n"/>
      <c r="SAU1" s="87" t="n"/>
      <c r="SAV1" s="87" t="n"/>
      <c r="SAW1" s="87" t="n"/>
      <c r="SAX1" s="87" t="n"/>
      <c r="SAY1" s="87" t="n"/>
      <c r="SAZ1" s="87" t="n"/>
      <c r="SBA1" s="87" t="n"/>
      <c r="SBB1" s="87" t="n"/>
      <c r="SBC1" s="87" t="n"/>
      <c r="SBD1" s="87" t="n"/>
      <c r="SBE1" s="87" t="n"/>
      <c r="SBF1" s="87" t="n"/>
      <c r="SBG1" s="87" t="n"/>
      <c r="SBH1" s="87" t="n"/>
      <c r="SBI1" s="87" t="n"/>
      <c r="SBJ1" s="87" t="n"/>
      <c r="SBK1" s="87" t="n"/>
      <c r="SBL1" s="87" t="n"/>
      <c r="SBM1" s="87" t="n"/>
      <c r="SBN1" s="87" t="n"/>
      <c r="SBO1" s="87" t="n"/>
      <c r="SBP1" s="87" t="n"/>
      <c r="SBQ1" s="87" t="n"/>
      <c r="SBR1" s="87" t="n"/>
      <c r="SBS1" s="87" t="n"/>
      <c r="SBT1" s="87" t="n"/>
      <c r="SBU1" s="87" t="n"/>
      <c r="SBV1" s="87" t="n"/>
      <c r="SBW1" s="87" t="n"/>
      <c r="SBX1" s="87" t="n"/>
      <c r="SBY1" s="87" t="n"/>
      <c r="SBZ1" s="87" t="n"/>
      <c r="SCA1" s="87" t="n"/>
      <c r="SCB1" s="87" t="n"/>
      <c r="SCC1" s="87" t="n"/>
      <c r="SCD1" s="87" t="n"/>
      <c r="SCE1" s="87" t="n"/>
      <c r="SCF1" s="87" t="n"/>
      <c r="SCG1" s="87" t="n"/>
      <c r="SCH1" s="87" t="n"/>
      <c r="SCI1" s="87" t="n"/>
      <c r="SCJ1" s="87" t="n"/>
      <c r="SCK1" s="87" t="n"/>
      <c r="SCL1" s="87" t="n"/>
      <c r="SCM1" s="87" t="n"/>
      <c r="SCN1" s="87" t="n"/>
      <c r="SCO1" s="87" t="n"/>
      <c r="SCP1" s="87" t="n"/>
      <c r="SCQ1" s="87" t="n"/>
      <c r="SCR1" s="87" t="n"/>
      <c r="SCS1" s="87" t="n"/>
      <c r="SCT1" s="87" t="n"/>
      <c r="SCU1" s="87" t="n"/>
      <c r="SCV1" s="87" t="n"/>
      <c r="SCW1" s="87" t="n"/>
      <c r="SCX1" s="87" t="n"/>
      <c r="SCY1" s="87" t="n"/>
      <c r="SCZ1" s="87" t="n"/>
      <c r="SDA1" s="87" t="n"/>
      <c r="SDB1" s="87" t="n"/>
      <c r="SDC1" s="87" t="n"/>
      <c r="SDD1" s="87" t="n"/>
      <c r="SDE1" s="87" t="n"/>
      <c r="SDF1" s="87" t="n"/>
      <c r="SDG1" s="87" t="n"/>
      <c r="SDH1" s="87" t="n"/>
      <c r="SDI1" s="87" t="n"/>
      <c r="SDJ1" s="87" t="n"/>
      <c r="SDK1" s="87" t="n"/>
      <c r="SDL1" s="87" t="n"/>
      <c r="SDM1" s="87" t="n"/>
      <c r="SDN1" s="87" t="n"/>
      <c r="SDO1" s="87" t="n"/>
      <c r="SDP1" s="87" t="n"/>
      <c r="SDQ1" s="87" t="n"/>
      <c r="SDR1" s="87" t="n"/>
      <c r="SDS1" s="87" t="n"/>
      <c r="SDT1" s="87" t="n"/>
      <c r="SDU1" s="87" t="n"/>
      <c r="SDV1" s="87" t="n"/>
      <c r="SDW1" s="87" t="n"/>
      <c r="SDX1" s="87" t="n"/>
      <c r="SDY1" s="87" t="n"/>
      <c r="SDZ1" s="87" t="n"/>
      <c r="SEA1" s="87" t="n"/>
      <c r="SEB1" s="87" t="n"/>
      <c r="SEC1" s="87" t="n"/>
      <c r="SED1" s="87" t="n"/>
      <c r="SEE1" s="87" t="n"/>
      <c r="SEF1" s="87" t="n"/>
      <c r="SEG1" s="87" t="n"/>
      <c r="SEH1" s="87" t="n"/>
      <c r="SEI1" s="87" t="n"/>
      <c r="SEJ1" s="87" t="n"/>
      <c r="SEK1" s="87" t="n"/>
      <c r="SEL1" s="87" t="n"/>
      <c r="SEM1" s="87" t="n"/>
      <c r="SEN1" s="87" t="n"/>
      <c r="SEO1" s="87" t="n"/>
      <c r="SEP1" s="87" t="n"/>
      <c r="SEQ1" s="87" t="n"/>
      <c r="SER1" s="87" t="n"/>
      <c r="SES1" s="87" t="n"/>
      <c r="SET1" s="87" t="n"/>
      <c r="SEU1" s="87" t="n"/>
      <c r="SEV1" s="87" t="n"/>
      <c r="SEW1" s="87" t="n"/>
      <c r="SEX1" s="87" t="n"/>
      <c r="SEY1" s="87" t="n"/>
      <c r="SEZ1" s="87" t="n"/>
      <c r="SFA1" s="87" t="n"/>
      <c r="SFB1" s="87" t="n"/>
      <c r="SFC1" s="87" t="n"/>
      <c r="SFD1" s="87" t="n"/>
      <c r="SFE1" s="87" t="n"/>
      <c r="SFF1" s="87" t="n"/>
      <c r="SFG1" s="87" t="n"/>
      <c r="SFH1" s="87" t="n"/>
      <c r="SFI1" s="87" t="n"/>
      <c r="SFJ1" s="87" t="n"/>
      <c r="SFK1" s="87" t="n"/>
      <c r="SFL1" s="87" t="n"/>
      <c r="SFM1" s="87" t="n"/>
      <c r="SFN1" s="87" t="n"/>
      <c r="SFO1" s="87" t="n"/>
      <c r="SFP1" s="87" t="n"/>
      <c r="SFQ1" s="87" t="n"/>
      <c r="SFR1" s="87" t="n"/>
      <c r="SFS1" s="87" t="n"/>
      <c r="SFT1" s="87" t="n"/>
      <c r="SFU1" s="87" t="n"/>
      <c r="SFV1" s="87" t="n"/>
      <c r="SFW1" s="87" t="n"/>
      <c r="SFX1" s="87" t="n"/>
      <c r="SFY1" s="87" t="n"/>
      <c r="SFZ1" s="87" t="n"/>
      <c r="SGA1" s="87" t="n"/>
      <c r="SGB1" s="87" t="n"/>
      <c r="SGC1" s="87" t="n"/>
      <c r="SGD1" s="87" t="n"/>
      <c r="SGE1" s="87" t="n"/>
      <c r="SGF1" s="87" t="n"/>
      <c r="SGG1" s="87" t="n"/>
      <c r="SGH1" s="87" t="n"/>
      <c r="SGI1" s="87" t="n"/>
      <c r="SGJ1" s="87" t="n"/>
      <c r="SGK1" s="87" t="n"/>
      <c r="SGL1" s="87" t="n"/>
      <c r="SGM1" s="87" t="n"/>
      <c r="SGN1" s="87" t="n"/>
      <c r="SGO1" s="87" t="n"/>
      <c r="SGP1" s="87" t="n"/>
      <c r="SGQ1" s="87" t="n"/>
      <c r="SGR1" s="87" t="n"/>
      <c r="SGS1" s="87" t="n"/>
      <c r="SGT1" s="87" t="n"/>
      <c r="SGU1" s="87" t="n"/>
      <c r="SGV1" s="87" t="n"/>
      <c r="SGW1" s="87" t="n"/>
      <c r="SGX1" s="87" t="n"/>
      <c r="SGY1" s="87" t="n"/>
      <c r="SGZ1" s="87" t="n"/>
      <c r="SHA1" s="87" t="n"/>
      <c r="SHB1" s="87" t="n"/>
      <c r="SHC1" s="87" t="n"/>
      <c r="SHD1" s="87" t="n"/>
      <c r="SHE1" s="87" t="n"/>
      <c r="SHF1" s="87" t="n"/>
      <c r="SHG1" s="87" t="n"/>
      <c r="SHH1" s="87" t="n"/>
      <c r="SHI1" s="87" t="n"/>
      <c r="SHJ1" s="87" t="n"/>
      <c r="SHK1" s="87" t="n"/>
      <c r="SHL1" s="87" t="n"/>
      <c r="SHM1" s="87" t="n"/>
      <c r="SHN1" s="87" t="n"/>
      <c r="SHO1" s="87" t="n"/>
      <c r="SHP1" s="87" t="n"/>
      <c r="SHQ1" s="87" t="n"/>
      <c r="SHR1" s="87" t="n"/>
      <c r="SHS1" s="87" t="n"/>
      <c r="SHT1" s="87" t="n"/>
      <c r="SHU1" s="87" t="n"/>
      <c r="SHV1" s="87" t="n"/>
      <c r="SHW1" s="87" t="n"/>
      <c r="SHX1" s="87" t="n"/>
      <c r="SHY1" s="87" t="n"/>
      <c r="SHZ1" s="87" t="n"/>
      <c r="SIA1" s="87" t="n"/>
      <c r="SIB1" s="87" t="n"/>
      <c r="SIC1" s="87" t="n"/>
      <c r="SID1" s="87" t="n"/>
      <c r="SIE1" s="87" t="n"/>
      <c r="SIF1" s="87" t="n"/>
      <c r="SIG1" s="87" t="n"/>
      <c r="SIH1" s="87" t="n"/>
      <c r="SII1" s="87" t="n"/>
      <c r="SIJ1" s="87" t="n"/>
      <c r="SIK1" s="87" t="n"/>
      <c r="SIL1" s="87" t="n"/>
      <c r="SIM1" s="87" t="n"/>
      <c r="SIN1" s="87" t="n"/>
      <c r="SIO1" s="87" t="n"/>
      <c r="SIP1" s="87" t="n"/>
      <c r="SIQ1" s="87" t="n"/>
      <c r="SIR1" s="87" t="n"/>
      <c r="SIS1" s="87" t="n"/>
      <c r="SIT1" s="87" t="n"/>
      <c r="SIU1" s="87" t="n"/>
      <c r="SIV1" s="87" t="n"/>
      <c r="SIW1" s="87" t="n"/>
      <c r="SIX1" s="87" t="n"/>
      <c r="SIY1" s="87" t="n"/>
      <c r="SIZ1" s="87" t="n"/>
      <c r="SJA1" s="87" t="n"/>
      <c r="SJB1" s="87" t="n"/>
      <c r="SJC1" s="87" t="n"/>
      <c r="SJD1" s="87" t="n"/>
      <c r="SJE1" s="87" t="n"/>
      <c r="SJF1" s="87" t="n"/>
      <c r="SJG1" s="87" t="n"/>
      <c r="SJH1" s="87" t="n"/>
      <c r="SJI1" s="87" t="n"/>
      <c r="SJJ1" s="87" t="n"/>
      <c r="SJK1" s="87" t="n"/>
      <c r="SJL1" s="87" t="n"/>
      <c r="SJM1" s="87" t="n"/>
      <c r="SJN1" s="87" t="n"/>
      <c r="SJO1" s="87" t="n"/>
      <c r="SJP1" s="87" t="n"/>
      <c r="SJQ1" s="87" t="n"/>
      <c r="SJR1" s="87" t="n"/>
      <c r="SJS1" s="87" t="n"/>
      <c r="SJT1" s="87" t="n"/>
      <c r="SJU1" s="87" t="n"/>
      <c r="SJV1" s="87" t="n"/>
      <c r="SJW1" s="87" t="n"/>
      <c r="SJX1" s="87" t="n"/>
      <c r="SJY1" s="87" t="n"/>
      <c r="SJZ1" s="87" t="n"/>
      <c r="SKA1" s="87" t="n"/>
      <c r="SKB1" s="87" t="n"/>
      <c r="SKC1" s="87" t="n"/>
      <c r="SKD1" s="87" t="n"/>
      <c r="SKE1" s="87" t="n"/>
      <c r="SKF1" s="87" t="n"/>
      <c r="SKG1" s="87" t="n"/>
      <c r="SKH1" s="87" t="n"/>
      <c r="SKI1" s="87" t="n"/>
      <c r="SKJ1" s="87" t="n"/>
      <c r="SKK1" s="87" t="n"/>
      <c r="SKL1" s="87" t="n"/>
      <c r="SKM1" s="87" t="n"/>
      <c r="SKN1" s="87" t="n"/>
      <c r="SKO1" s="87" t="n"/>
      <c r="SKP1" s="87" t="n"/>
      <c r="SKQ1" s="87" t="n"/>
      <c r="SKR1" s="87" t="n"/>
      <c r="SKS1" s="87" t="n"/>
      <c r="SKT1" s="87" t="n"/>
      <c r="SKU1" s="87" t="n"/>
      <c r="SKV1" s="87" t="n"/>
      <c r="SKW1" s="87" t="n"/>
      <c r="SKX1" s="87" t="n"/>
      <c r="SKY1" s="87" t="n"/>
      <c r="SKZ1" s="87" t="n"/>
      <c r="SLA1" s="87" t="n"/>
      <c r="SLB1" s="87" t="n"/>
      <c r="SLC1" s="87" t="n"/>
      <c r="SLD1" s="87" t="n"/>
      <c r="SLE1" s="87" t="n"/>
      <c r="SLF1" s="87" t="n"/>
      <c r="SLG1" s="87" t="n"/>
      <c r="SLH1" s="87" t="n"/>
      <c r="SLI1" s="87" t="n"/>
      <c r="SLJ1" s="87" t="n"/>
      <c r="SLK1" s="87" t="n"/>
      <c r="SLL1" s="87" t="n"/>
      <c r="SLM1" s="87" t="n"/>
      <c r="SLN1" s="87" t="n"/>
      <c r="SLO1" s="87" t="n"/>
      <c r="SLP1" s="87" t="n"/>
      <c r="SLQ1" s="87" t="n"/>
      <c r="SLR1" s="87" t="n"/>
      <c r="SLS1" s="87" t="n"/>
      <c r="SLT1" s="87" t="n"/>
      <c r="SLU1" s="87" t="n"/>
      <c r="SLV1" s="87" t="n"/>
      <c r="SLW1" s="87" t="n"/>
      <c r="SLX1" s="87" t="n"/>
      <c r="SLY1" s="87" t="n"/>
      <c r="SLZ1" s="87" t="n"/>
      <c r="SMA1" s="87" t="n"/>
      <c r="SMB1" s="87" t="n"/>
      <c r="SMC1" s="87" t="n"/>
      <c r="SMD1" s="87" t="n"/>
      <c r="SME1" s="87" t="n"/>
      <c r="SMF1" s="87" t="n"/>
      <c r="SMG1" s="87" t="n"/>
      <c r="SMH1" s="87" t="n"/>
      <c r="SMI1" s="87" t="n"/>
      <c r="SMJ1" s="87" t="n"/>
      <c r="SMK1" s="87" t="n"/>
      <c r="SML1" s="87" t="n"/>
      <c r="SMM1" s="87" t="n"/>
      <c r="SMN1" s="87" t="n"/>
      <c r="SMO1" s="87" t="n"/>
      <c r="SMP1" s="87" t="n"/>
      <c r="SMQ1" s="87" t="n"/>
      <c r="SMR1" s="87" t="n"/>
      <c r="SMS1" s="87" t="n"/>
      <c r="SMT1" s="87" t="n"/>
      <c r="SMU1" s="87" t="n"/>
      <c r="SMV1" s="87" t="n"/>
      <c r="SMW1" s="87" t="n"/>
      <c r="SMX1" s="87" t="n"/>
      <c r="SMY1" s="87" t="n"/>
      <c r="SMZ1" s="87" t="n"/>
      <c r="SNA1" s="87" t="n"/>
      <c r="SNB1" s="87" t="n"/>
      <c r="SNC1" s="87" t="n"/>
      <c r="SND1" s="87" t="n"/>
      <c r="SNE1" s="87" t="n"/>
      <c r="SNF1" s="87" t="n"/>
      <c r="SNG1" s="87" t="n"/>
      <c r="SNH1" s="87" t="n"/>
      <c r="SNI1" s="87" t="n"/>
      <c r="SNJ1" s="87" t="n"/>
      <c r="SNK1" s="87" t="n"/>
      <c r="SNL1" s="87" t="n"/>
      <c r="SNM1" s="87" t="n"/>
      <c r="SNN1" s="87" t="n"/>
      <c r="SNO1" s="87" t="n"/>
      <c r="SNP1" s="87" t="n"/>
      <c r="SNQ1" s="87" t="n"/>
      <c r="SNR1" s="87" t="n"/>
      <c r="SNS1" s="87" t="n"/>
      <c r="SNT1" s="87" t="n"/>
      <c r="SNU1" s="87" t="n"/>
      <c r="SNV1" s="87" t="n"/>
      <c r="SNW1" s="87" t="n"/>
      <c r="SNX1" s="87" t="n"/>
      <c r="SNY1" s="87" t="n"/>
      <c r="SNZ1" s="87" t="n"/>
      <c r="SOA1" s="87" t="n"/>
      <c r="SOB1" s="87" t="n"/>
      <c r="SOC1" s="87" t="n"/>
      <c r="SOD1" s="87" t="n"/>
      <c r="SOE1" s="87" t="n"/>
      <c r="SOF1" s="87" t="n"/>
      <c r="SOG1" s="87" t="n"/>
      <c r="SOH1" s="87" t="n"/>
      <c r="SOI1" s="87" t="n"/>
      <c r="SOJ1" s="87" t="n"/>
      <c r="SOK1" s="87" t="n"/>
      <c r="SOL1" s="87" t="n"/>
      <c r="SOM1" s="87" t="n"/>
      <c r="SON1" s="87" t="n"/>
      <c r="SOO1" s="87" t="n"/>
      <c r="SOP1" s="87" t="n"/>
      <c r="SOQ1" s="87" t="n"/>
      <c r="SOR1" s="87" t="n"/>
      <c r="SOS1" s="87" t="n"/>
      <c r="SOT1" s="87" t="n"/>
      <c r="SOU1" s="87" t="n"/>
      <c r="SOV1" s="87" t="n"/>
      <c r="SOW1" s="87" t="n"/>
      <c r="SOX1" s="87" t="n"/>
      <c r="SOY1" s="87" t="n"/>
      <c r="SOZ1" s="87" t="n"/>
      <c r="SPA1" s="87" t="n"/>
      <c r="SPB1" s="87" t="n"/>
      <c r="SPC1" s="87" t="n"/>
      <c r="SPD1" s="87" t="n"/>
      <c r="SPE1" s="87" t="n"/>
      <c r="SPF1" s="87" t="n"/>
      <c r="SPG1" s="87" t="n"/>
      <c r="SPH1" s="87" t="n"/>
      <c r="SPI1" s="87" t="n"/>
      <c r="SPJ1" s="87" t="n"/>
      <c r="SPK1" s="87" t="n"/>
      <c r="SPL1" s="87" t="n"/>
      <c r="SPM1" s="87" t="n"/>
      <c r="SPN1" s="87" t="n"/>
      <c r="SPO1" s="87" t="n"/>
      <c r="SPP1" s="87" t="n"/>
      <c r="SPQ1" s="87" t="n"/>
      <c r="SPR1" s="87" t="n"/>
      <c r="SPS1" s="87" t="n"/>
      <c r="SPT1" s="87" t="n"/>
      <c r="SPU1" s="87" t="n"/>
      <c r="SPV1" s="87" t="n"/>
      <c r="SPW1" s="87" t="n"/>
      <c r="SPX1" s="87" t="n"/>
      <c r="SPY1" s="87" t="n"/>
      <c r="SPZ1" s="87" t="n"/>
      <c r="SQA1" s="87" t="n"/>
      <c r="SQB1" s="87" t="n"/>
      <c r="SQC1" s="87" t="n"/>
      <c r="SQD1" s="87" t="n"/>
      <c r="SQE1" s="87" t="n"/>
      <c r="SQF1" s="87" t="n"/>
      <c r="SQG1" s="87" t="n"/>
      <c r="SQH1" s="87" t="n"/>
      <c r="SQI1" s="87" t="n"/>
      <c r="SQJ1" s="87" t="n"/>
      <c r="SQK1" s="87" t="n"/>
      <c r="SQL1" s="87" t="n"/>
      <c r="SQM1" s="87" t="n"/>
      <c r="SQN1" s="87" t="n"/>
      <c r="SQO1" s="87" t="n"/>
      <c r="SQP1" s="87" t="n"/>
      <c r="SQQ1" s="87" t="n"/>
      <c r="SQR1" s="87" t="n"/>
      <c r="SQS1" s="87" t="n"/>
      <c r="SQT1" s="87" t="n"/>
      <c r="SQU1" s="87" t="n"/>
      <c r="SQV1" s="87" t="n"/>
      <c r="SQW1" s="87" t="n"/>
      <c r="SQX1" s="87" t="n"/>
      <c r="SQY1" s="87" t="n"/>
      <c r="SQZ1" s="87" t="n"/>
      <c r="SRA1" s="87" t="n"/>
      <c r="SRB1" s="87" t="n"/>
      <c r="SRC1" s="87" t="n"/>
      <c r="SRD1" s="87" t="n"/>
      <c r="SRE1" s="87" t="n"/>
      <c r="SRF1" s="87" t="n"/>
      <c r="SRG1" s="87" t="n"/>
      <c r="SRH1" s="87" t="n"/>
      <c r="SRI1" s="87" t="n"/>
      <c r="SRJ1" s="87" t="n"/>
      <c r="SRK1" s="87" t="n"/>
      <c r="SRL1" s="87" t="n"/>
      <c r="SRM1" s="87" t="n"/>
      <c r="SRN1" s="87" t="n"/>
      <c r="SRO1" s="87" t="n"/>
      <c r="SRP1" s="87" t="n"/>
      <c r="SRQ1" s="87" t="n"/>
      <c r="SRR1" s="87" t="n"/>
      <c r="SRS1" s="87" t="n"/>
      <c r="SRT1" s="87" t="n"/>
      <c r="SRU1" s="87" t="n"/>
      <c r="SRV1" s="87" t="n"/>
      <c r="SRW1" s="87" t="n"/>
      <c r="SRX1" s="87" t="n"/>
      <c r="SRY1" s="87" t="n"/>
      <c r="SRZ1" s="87" t="n"/>
      <c r="SSA1" s="87" t="n"/>
      <c r="SSB1" s="87" t="n"/>
      <c r="SSC1" s="87" t="n"/>
      <c r="SSD1" s="87" t="n"/>
      <c r="SSE1" s="87" t="n"/>
      <c r="SSF1" s="87" t="n"/>
      <c r="SSG1" s="87" t="n"/>
      <c r="SSH1" s="87" t="n"/>
      <c r="SSI1" s="87" t="n"/>
      <c r="SSJ1" s="87" t="n"/>
      <c r="SSK1" s="87" t="n"/>
      <c r="SSL1" s="87" t="n"/>
      <c r="SSM1" s="87" t="n"/>
      <c r="SSN1" s="87" t="n"/>
      <c r="SSO1" s="87" t="n"/>
      <c r="SSP1" s="87" t="n"/>
      <c r="SSQ1" s="87" t="n"/>
      <c r="SSR1" s="87" t="n"/>
      <c r="SSS1" s="87" t="n"/>
      <c r="SST1" s="87" t="n"/>
      <c r="SSU1" s="87" t="n"/>
      <c r="SSV1" s="87" t="n"/>
      <c r="SSW1" s="87" t="n"/>
      <c r="SSX1" s="87" t="n"/>
      <c r="SSY1" s="87" t="n"/>
      <c r="SSZ1" s="87" t="n"/>
      <c r="STA1" s="87" t="n"/>
      <c r="STB1" s="87" t="n"/>
      <c r="STC1" s="87" t="n"/>
      <c r="STD1" s="87" t="n"/>
      <c r="STE1" s="87" t="n"/>
      <c r="STF1" s="87" t="n"/>
      <c r="STG1" s="87" t="n"/>
      <c r="STH1" s="87" t="n"/>
      <c r="STI1" s="87" t="n"/>
      <c r="STJ1" s="87" t="n"/>
      <c r="STK1" s="87" t="n"/>
      <c r="STL1" s="87" t="n"/>
      <c r="STM1" s="87" t="n"/>
      <c r="STN1" s="87" t="n"/>
      <c r="STO1" s="87" t="n"/>
      <c r="STP1" s="87" t="n"/>
      <c r="STQ1" s="87" t="n"/>
      <c r="STR1" s="87" t="n"/>
      <c r="STS1" s="87" t="n"/>
      <c r="STT1" s="87" t="n"/>
      <c r="STU1" s="87" t="n"/>
      <c r="STV1" s="87" t="n"/>
      <c r="STW1" s="87" t="n"/>
      <c r="STX1" s="87" t="n"/>
      <c r="STY1" s="87" t="n"/>
      <c r="STZ1" s="87" t="n"/>
      <c r="SUA1" s="87" t="n"/>
      <c r="SUB1" s="87" t="n"/>
      <c r="SUC1" s="87" t="n"/>
      <c r="SUD1" s="87" t="n"/>
      <c r="SUE1" s="87" t="n"/>
      <c r="SUF1" s="87" t="n"/>
      <c r="SUG1" s="87" t="n"/>
      <c r="SUH1" s="87" t="n"/>
      <c r="SUI1" s="87" t="n"/>
      <c r="SUJ1" s="87" t="n"/>
      <c r="SUK1" s="87" t="n"/>
      <c r="SUL1" s="87" t="n"/>
      <c r="SUM1" s="87" t="n"/>
      <c r="SUN1" s="87" t="n"/>
      <c r="SUO1" s="87" t="n"/>
      <c r="SUP1" s="87" t="n"/>
      <c r="SUQ1" s="87" t="n"/>
      <c r="SUR1" s="87" t="n"/>
      <c r="SUS1" s="87" t="n"/>
      <c r="SUT1" s="87" t="n"/>
      <c r="SUU1" s="87" t="n"/>
      <c r="SUV1" s="87" t="n"/>
      <c r="SUW1" s="87" t="n"/>
      <c r="SUX1" s="87" t="n"/>
      <c r="SUY1" s="87" t="n"/>
      <c r="SUZ1" s="87" t="n"/>
      <c r="SVA1" s="87" t="n"/>
      <c r="SVB1" s="87" t="n"/>
      <c r="SVC1" s="87" t="n"/>
      <c r="SVD1" s="87" t="n"/>
      <c r="SVE1" s="87" t="n"/>
      <c r="SVF1" s="87" t="n"/>
      <c r="SVG1" s="87" t="n"/>
      <c r="SVH1" s="87" t="n"/>
      <c r="SVI1" s="87" t="n"/>
      <c r="SVJ1" s="87" t="n"/>
      <c r="SVK1" s="87" t="n"/>
      <c r="SVL1" s="87" t="n"/>
      <c r="SVM1" s="87" t="n"/>
      <c r="SVN1" s="87" t="n"/>
      <c r="SVO1" s="87" t="n"/>
      <c r="SVP1" s="87" t="n"/>
      <c r="SVQ1" s="87" t="n"/>
      <c r="SVR1" s="87" t="n"/>
      <c r="SVS1" s="87" t="n"/>
      <c r="SVT1" s="87" t="n"/>
      <c r="SVU1" s="87" t="n"/>
      <c r="SVV1" s="87" t="n"/>
      <c r="SVW1" s="87" t="n"/>
      <c r="SVX1" s="87" t="n"/>
      <c r="SVY1" s="87" t="n"/>
      <c r="SVZ1" s="87" t="n"/>
      <c r="SWA1" s="87" t="n"/>
      <c r="SWB1" s="87" t="n"/>
      <c r="SWC1" s="87" t="n"/>
      <c r="SWD1" s="87" t="n"/>
      <c r="SWE1" s="87" t="n"/>
      <c r="SWF1" s="87" t="n"/>
      <c r="SWG1" s="87" t="n"/>
      <c r="SWH1" s="87" t="n"/>
      <c r="SWI1" s="87" t="n"/>
      <c r="SWJ1" s="87" t="n"/>
      <c r="SWK1" s="87" t="n"/>
      <c r="SWL1" s="87" t="n"/>
      <c r="SWM1" s="87" t="n"/>
      <c r="SWN1" s="87" t="n"/>
      <c r="SWO1" s="87" t="n"/>
      <c r="SWP1" s="87" t="n"/>
      <c r="SWQ1" s="87" t="n"/>
      <c r="SWR1" s="87" t="n"/>
      <c r="SWS1" s="87" t="n"/>
      <c r="SWT1" s="87" t="n"/>
      <c r="SWU1" s="87" t="n"/>
      <c r="SWV1" s="87" t="n"/>
      <c r="SWW1" s="87" t="n"/>
      <c r="SWX1" s="87" t="n"/>
      <c r="SWY1" s="87" t="n"/>
      <c r="SWZ1" s="87" t="n"/>
      <c r="SXA1" s="87" t="n"/>
      <c r="SXB1" s="87" t="n"/>
      <c r="SXC1" s="87" t="n"/>
      <c r="SXD1" s="87" t="n"/>
      <c r="SXE1" s="87" t="n"/>
      <c r="SXF1" s="87" t="n"/>
      <c r="SXG1" s="87" t="n"/>
      <c r="SXH1" s="87" t="n"/>
      <c r="SXI1" s="87" t="n"/>
      <c r="SXJ1" s="87" t="n"/>
      <c r="SXK1" s="87" t="n"/>
      <c r="SXL1" s="87" t="n"/>
      <c r="SXM1" s="87" t="n"/>
      <c r="SXN1" s="87" t="n"/>
      <c r="SXO1" s="87" t="n"/>
      <c r="SXP1" s="87" t="n"/>
      <c r="SXQ1" s="87" t="n"/>
      <c r="SXR1" s="87" t="n"/>
      <c r="SXS1" s="87" t="n"/>
      <c r="SXT1" s="87" t="n"/>
      <c r="SXU1" s="87" t="n"/>
      <c r="SXV1" s="87" t="n"/>
      <c r="SXW1" s="87" t="n"/>
      <c r="SXX1" s="87" t="n"/>
      <c r="SXY1" s="87" t="n"/>
      <c r="SXZ1" s="87" t="n"/>
      <c r="SYA1" s="87" t="n"/>
      <c r="SYB1" s="87" t="n"/>
      <c r="SYC1" s="87" t="n"/>
      <c r="SYD1" s="87" t="n"/>
      <c r="SYE1" s="87" t="n"/>
      <c r="SYF1" s="87" t="n"/>
      <c r="SYG1" s="87" t="n"/>
      <c r="SYH1" s="87" t="n"/>
      <c r="SYI1" s="87" t="n"/>
      <c r="SYJ1" s="87" t="n"/>
      <c r="SYK1" s="87" t="n"/>
      <c r="SYL1" s="87" t="n"/>
      <c r="SYM1" s="87" t="n"/>
      <c r="SYN1" s="87" t="n"/>
      <c r="SYO1" s="87" t="n"/>
      <c r="SYP1" s="87" t="n"/>
      <c r="SYQ1" s="87" t="n"/>
      <c r="SYR1" s="87" t="n"/>
      <c r="SYS1" s="87" t="n"/>
      <c r="SYT1" s="87" t="n"/>
      <c r="SYU1" s="87" t="n"/>
      <c r="SYV1" s="87" t="n"/>
      <c r="SYW1" s="87" t="n"/>
      <c r="SYX1" s="87" t="n"/>
      <c r="SYY1" s="87" t="n"/>
      <c r="SYZ1" s="87" t="n"/>
      <c r="SZA1" s="87" t="n"/>
      <c r="SZB1" s="87" t="n"/>
      <c r="SZC1" s="87" t="n"/>
      <c r="SZD1" s="87" t="n"/>
      <c r="SZE1" s="87" t="n"/>
      <c r="SZF1" s="87" t="n"/>
      <c r="SZG1" s="87" t="n"/>
      <c r="SZH1" s="87" t="n"/>
      <c r="SZI1" s="87" t="n"/>
      <c r="SZJ1" s="87" t="n"/>
      <c r="SZK1" s="87" t="n"/>
      <c r="SZL1" s="87" t="n"/>
      <c r="SZM1" s="87" t="n"/>
      <c r="SZN1" s="87" t="n"/>
      <c r="SZO1" s="87" t="n"/>
      <c r="SZP1" s="87" t="n"/>
      <c r="SZQ1" s="87" t="n"/>
      <c r="SZR1" s="87" t="n"/>
      <c r="SZS1" s="87" t="n"/>
      <c r="SZT1" s="87" t="n"/>
      <c r="SZU1" s="87" t="n"/>
      <c r="SZV1" s="87" t="n"/>
      <c r="SZW1" s="87" t="n"/>
      <c r="SZX1" s="87" t="n"/>
      <c r="SZY1" s="87" t="n"/>
      <c r="SZZ1" s="87" t="n"/>
      <c r="TAA1" s="87" t="n"/>
      <c r="TAB1" s="87" t="n"/>
      <c r="TAC1" s="87" t="n"/>
      <c r="TAD1" s="87" t="n"/>
      <c r="TAE1" s="87" t="n"/>
      <c r="TAF1" s="87" t="n"/>
      <c r="TAG1" s="87" t="n"/>
      <c r="TAH1" s="87" t="n"/>
      <c r="TAI1" s="87" t="n"/>
      <c r="TAJ1" s="87" t="n"/>
      <c r="TAK1" s="87" t="n"/>
      <c r="TAL1" s="87" t="n"/>
      <c r="TAM1" s="87" t="n"/>
      <c r="TAN1" s="87" t="n"/>
      <c r="TAO1" s="87" t="n"/>
      <c r="TAP1" s="87" t="n"/>
      <c r="TAQ1" s="87" t="n"/>
      <c r="TAR1" s="87" t="n"/>
      <c r="TAS1" s="87" t="n"/>
      <c r="TAT1" s="87" t="n"/>
      <c r="TAU1" s="87" t="n"/>
      <c r="TAV1" s="87" t="n"/>
      <c r="TAW1" s="87" t="n"/>
      <c r="TAX1" s="87" t="n"/>
      <c r="TAY1" s="87" t="n"/>
      <c r="TAZ1" s="87" t="n"/>
      <c r="TBA1" s="87" t="n"/>
      <c r="TBB1" s="87" t="n"/>
      <c r="TBC1" s="87" t="n"/>
      <c r="TBD1" s="87" t="n"/>
      <c r="TBE1" s="87" t="n"/>
      <c r="TBF1" s="87" t="n"/>
      <c r="TBG1" s="87" t="n"/>
      <c r="TBH1" s="87" t="n"/>
      <c r="TBI1" s="87" t="n"/>
      <c r="TBJ1" s="87" t="n"/>
      <c r="TBK1" s="87" t="n"/>
      <c r="TBL1" s="87" t="n"/>
      <c r="TBM1" s="87" t="n"/>
      <c r="TBN1" s="87" t="n"/>
      <c r="TBO1" s="87" t="n"/>
      <c r="TBP1" s="87" t="n"/>
      <c r="TBQ1" s="87" t="n"/>
      <c r="TBR1" s="87" t="n"/>
      <c r="TBS1" s="87" t="n"/>
      <c r="TBT1" s="87" t="n"/>
      <c r="TBU1" s="87" t="n"/>
      <c r="TBV1" s="87" t="n"/>
      <c r="TBW1" s="87" t="n"/>
      <c r="TBX1" s="87" t="n"/>
      <c r="TBY1" s="87" t="n"/>
      <c r="TBZ1" s="87" t="n"/>
      <c r="TCA1" s="87" t="n"/>
      <c r="TCB1" s="87" t="n"/>
      <c r="TCC1" s="87" t="n"/>
      <c r="TCD1" s="87" t="n"/>
      <c r="TCE1" s="87" t="n"/>
      <c r="TCF1" s="87" t="n"/>
      <c r="TCG1" s="87" t="n"/>
      <c r="TCH1" s="87" t="n"/>
      <c r="TCI1" s="87" t="n"/>
      <c r="TCJ1" s="87" t="n"/>
      <c r="TCK1" s="87" t="n"/>
      <c r="TCL1" s="87" t="n"/>
      <c r="TCM1" s="87" t="n"/>
      <c r="TCN1" s="87" t="n"/>
      <c r="TCO1" s="87" t="n"/>
      <c r="TCP1" s="87" t="n"/>
      <c r="TCQ1" s="87" t="n"/>
      <c r="TCR1" s="87" t="n"/>
      <c r="TCS1" s="87" t="n"/>
      <c r="TCT1" s="87" t="n"/>
      <c r="TCU1" s="87" t="n"/>
      <c r="TCV1" s="87" t="n"/>
      <c r="TCW1" s="87" t="n"/>
      <c r="TCX1" s="87" t="n"/>
      <c r="TCY1" s="87" t="n"/>
      <c r="TCZ1" s="87" t="n"/>
      <c r="TDA1" s="87" t="n"/>
      <c r="TDB1" s="87" t="n"/>
      <c r="TDC1" s="87" t="n"/>
      <c r="TDD1" s="87" t="n"/>
      <c r="TDE1" s="87" t="n"/>
      <c r="TDF1" s="87" t="n"/>
      <c r="TDG1" s="87" t="n"/>
      <c r="TDH1" s="87" t="n"/>
      <c r="TDI1" s="87" t="n"/>
      <c r="TDJ1" s="87" t="n"/>
      <c r="TDK1" s="87" t="n"/>
      <c r="TDL1" s="87" t="n"/>
      <c r="TDM1" s="87" t="n"/>
      <c r="TDN1" s="87" t="n"/>
      <c r="TDO1" s="87" t="n"/>
      <c r="TDP1" s="87" t="n"/>
      <c r="TDQ1" s="87" t="n"/>
      <c r="TDR1" s="87" t="n"/>
      <c r="TDS1" s="87" t="n"/>
      <c r="TDT1" s="87" t="n"/>
      <c r="TDU1" s="87" t="n"/>
      <c r="TDV1" s="87" t="n"/>
      <c r="TDW1" s="87" t="n"/>
      <c r="TDX1" s="87" t="n"/>
      <c r="TDY1" s="87" t="n"/>
      <c r="TDZ1" s="87" t="n"/>
      <c r="TEA1" s="87" t="n"/>
      <c r="TEB1" s="87" t="n"/>
      <c r="TEC1" s="87" t="n"/>
      <c r="TED1" s="87" t="n"/>
      <c r="TEE1" s="87" t="n"/>
      <c r="TEF1" s="87" t="n"/>
      <c r="TEG1" s="87" t="n"/>
      <c r="TEH1" s="87" t="n"/>
      <c r="TEI1" s="87" t="n"/>
      <c r="TEJ1" s="87" t="n"/>
      <c r="TEK1" s="87" t="n"/>
      <c r="TEL1" s="87" t="n"/>
      <c r="TEM1" s="87" t="n"/>
      <c r="TEN1" s="87" t="n"/>
      <c r="TEO1" s="87" t="n"/>
      <c r="TEP1" s="87" t="n"/>
      <c r="TEQ1" s="87" t="n"/>
      <c r="TER1" s="87" t="n"/>
      <c r="TES1" s="87" t="n"/>
      <c r="TET1" s="87" t="n"/>
      <c r="TEU1" s="87" t="n"/>
      <c r="TEV1" s="87" t="n"/>
      <c r="TEW1" s="87" t="n"/>
      <c r="TEX1" s="87" t="n"/>
      <c r="TEY1" s="87" t="n"/>
      <c r="TEZ1" s="87" t="n"/>
      <c r="TFA1" s="87" t="n"/>
      <c r="TFB1" s="87" t="n"/>
      <c r="TFC1" s="87" t="n"/>
      <c r="TFD1" s="87" t="n"/>
      <c r="TFE1" s="87" t="n"/>
      <c r="TFF1" s="87" t="n"/>
      <c r="TFG1" s="87" t="n"/>
      <c r="TFH1" s="87" t="n"/>
      <c r="TFI1" s="87" t="n"/>
      <c r="TFJ1" s="87" t="n"/>
      <c r="TFK1" s="87" t="n"/>
      <c r="TFL1" s="87" t="n"/>
      <c r="TFM1" s="87" t="n"/>
      <c r="TFN1" s="87" t="n"/>
      <c r="TFO1" s="87" t="n"/>
      <c r="TFP1" s="87" t="n"/>
      <c r="TFQ1" s="87" t="n"/>
      <c r="TFR1" s="87" t="n"/>
      <c r="TFS1" s="87" t="n"/>
      <c r="TFT1" s="87" t="n"/>
      <c r="TFU1" s="87" t="n"/>
      <c r="TFV1" s="87" t="n"/>
      <c r="TFW1" s="87" t="n"/>
      <c r="TFX1" s="87" t="n"/>
      <c r="TFY1" s="87" t="n"/>
      <c r="TFZ1" s="87" t="n"/>
      <c r="TGA1" s="87" t="n"/>
      <c r="TGB1" s="87" t="n"/>
      <c r="TGC1" s="87" t="n"/>
      <c r="TGD1" s="87" t="n"/>
      <c r="TGE1" s="87" t="n"/>
      <c r="TGF1" s="87" t="n"/>
      <c r="TGG1" s="87" t="n"/>
      <c r="TGH1" s="87" t="n"/>
      <c r="TGI1" s="87" t="n"/>
      <c r="TGJ1" s="87" t="n"/>
      <c r="TGK1" s="87" t="n"/>
      <c r="TGL1" s="87" t="n"/>
      <c r="TGM1" s="87" t="n"/>
      <c r="TGN1" s="87" t="n"/>
      <c r="TGO1" s="87" t="n"/>
      <c r="TGP1" s="87" t="n"/>
      <c r="TGQ1" s="87" t="n"/>
      <c r="TGR1" s="87" t="n"/>
      <c r="TGS1" s="87" t="n"/>
      <c r="TGT1" s="87" t="n"/>
      <c r="TGU1" s="87" t="n"/>
      <c r="TGV1" s="87" t="n"/>
      <c r="TGW1" s="87" t="n"/>
      <c r="TGX1" s="87" t="n"/>
      <c r="TGY1" s="87" t="n"/>
      <c r="TGZ1" s="87" t="n"/>
      <c r="THA1" s="87" t="n"/>
      <c r="THB1" s="87" t="n"/>
      <c r="THC1" s="87" t="n"/>
      <c r="THD1" s="87" t="n"/>
      <c r="THE1" s="87" t="n"/>
      <c r="THF1" s="87" t="n"/>
      <c r="THG1" s="87" t="n"/>
      <c r="THH1" s="87" t="n"/>
      <c r="THI1" s="87" t="n"/>
      <c r="THJ1" s="87" t="n"/>
      <c r="THK1" s="87" t="n"/>
      <c r="THL1" s="87" t="n"/>
      <c r="THM1" s="87" t="n"/>
      <c r="THN1" s="87" t="n"/>
      <c r="THO1" s="87" t="n"/>
      <c r="THP1" s="87" t="n"/>
      <c r="THQ1" s="87" t="n"/>
      <c r="THR1" s="87" t="n"/>
      <c r="THS1" s="87" t="n"/>
      <c r="THT1" s="87" t="n"/>
      <c r="THU1" s="87" t="n"/>
      <c r="THV1" s="87" t="n"/>
      <c r="THW1" s="87" t="n"/>
      <c r="THX1" s="87" t="n"/>
      <c r="THY1" s="87" t="n"/>
      <c r="THZ1" s="87" t="n"/>
      <c r="TIA1" s="87" t="n"/>
      <c r="TIB1" s="87" t="n"/>
      <c r="TIC1" s="87" t="n"/>
      <c r="TID1" s="87" t="n"/>
      <c r="TIE1" s="87" t="n"/>
      <c r="TIF1" s="87" t="n"/>
      <c r="TIG1" s="87" t="n"/>
      <c r="TIH1" s="87" t="n"/>
      <c r="TII1" s="87" t="n"/>
      <c r="TIJ1" s="87" t="n"/>
      <c r="TIK1" s="87" t="n"/>
      <c r="TIL1" s="87" t="n"/>
      <c r="TIM1" s="87" t="n"/>
      <c r="TIN1" s="87" t="n"/>
      <c r="TIO1" s="87" t="n"/>
      <c r="TIP1" s="87" t="n"/>
      <c r="TIQ1" s="87" t="n"/>
      <c r="TIR1" s="87" t="n"/>
      <c r="TIS1" s="87" t="n"/>
      <c r="TIT1" s="87" t="n"/>
      <c r="TIU1" s="87" t="n"/>
      <c r="TIV1" s="87" t="n"/>
      <c r="TIW1" s="87" t="n"/>
      <c r="TIX1" s="87" t="n"/>
      <c r="TIY1" s="87" t="n"/>
      <c r="TIZ1" s="87" t="n"/>
      <c r="TJA1" s="87" t="n"/>
      <c r="TJB1" s="87" t="n"/>
      <c r="TJC1" s="87" t="n"/>
      <c r="TJD1" s="87" t="n"/>
      <c r="TJE1" s="87" t="n"/>
      <c r="TJF1" s="87" t="n"/>
      <c r="TJG1" s="87" t="n"/>
      <c r="TJH1" s="87" t="n"/>
      <c r="TJI1" s="87" t="n"/>
      <c r="TJJ1" s="87" t="n"/>
      <c r="TJK1" s="87" t="n"/>
      <c r="TJL1" s="87" t="n"/>
      <c r="TJM1" s="87" t="n"/>
      <c r="TJN1" s="87" t="n"/>
      <c r="TJO1" s="87" t="n"/>
      <c r="TJP1" s="87" t="n"/>
      <c r="TJQ1" s="87" t="n"/>
      <c r="TJR1" s="87" t="n"/>
      <c r="TJS1" s="87" t="n"/>
      <c r="TJT1" s="87" t="n"/>
      <c r="TJU1" s="87" t="n"/>
      <c r="TJV1" s="87" t="n"/>
      <c r="TJW1" s="87" t="n"/>
      <c r="TJX1" s="87" t="n"/>
      <c r="TJY1" s="87" t="n"/>
      <c r="TJZ1" s="87" t="n"/>
      <c r="TKA1" s="87" t="n"/>
      <c r="TKB1" s="87" t="n"/>
      <c r="TKC1" s="87" t="n"/>
      <c r="TKD1" s="87" t="n"/>
      <c r="TKE1" s="87" t="n"/>
      <c r="TKF1" s="87" t="n"/>
      <c r="TKG1" s="87" t="n"/>
      <c r="TKH1" s="87" t="n"/>
      <c r="TKI1" s="87" t="n"/>
      <c r="TKJ1" s="87" t="n"/>
      <c r="TKK1" s="87" t="n"/>
      <c r="TKL1" s="87" t="n"/>
      <c r="TKM1" s="87" t="n"/>
      <c r="TKN1" s="87" t="n"/>
      <c r="TKO1" s="87" t="n"/>
      <c r="TKP1" s="87" t="n"/>
      <c r="TKQ1" s="87" t="n"/>
      <c r="TKR1" s="87" t="n"/>
      <c r="TKS1" s="87" t="n"/>
      <c r="TKT1" s="87" t="n"/>
      <c r="TKU1" s="87" t="n"/>
      <c r="TKV1" s="87" t="n"/>
      <c r="TKW1" s="87" t="n"/>
      <c r="TKX1" s="87" t="n"/>
      <c r="TKY1" s="87" t="n"/>
      <c r="TKZ1" s="87" t="n"/>
      <c r="TLA1" s="87" t="n"/>
      <c r="TLB1" s="87" t="n"/>
      <c r="TLC1" s="87" t="n"/>
      <c r="TLD1" s="87" t="n"/>
      <c r="TLE1" s="87" t="n"/>
      <c r="TLF1" s="87" t="n"/>
      <c r="TLG1" s="87" t="n"/>
      <c r="TLH1" s="87" t="n"/>
      <c r="TLI1" s="87" t="n"/>
      <c r="TLJ1" s="87" t="n"/>
      <c r="TLK1" s="87" t="n"/>
      <c r="TLL1" s="87" t="n"/>
      <c r="TLM1" s="87" t="n"/>
      <c r="TLN1" s="87" t="n"/>
      <c r="TLO1" s="87" t="n"/>
      <c r="TLP1" s="87" t="n"/>
      <c r="TLQ1" s="87" t="n"/>
      <c r="TLR1" s="87" t="n"/>
      <c r="TLS1" s="87" t="n"/>
      <c r="TLT1" s="87" t="n"/>
      <c r="TLU1" s="87" t="n"/>
      <c r="TLV1" s="87" t="n"/>
      <c r="TLW1" s="87" t="n"/>
      <c r="TLX1" s="87" t="n"/>
      <c r="TLY1" s="87" t="n"/>
      <c r="TLZ1" s="87" t="n"/>
      <c r="TMA1" s="87" t="n"/>
      <c r="TMB1" s="87" t="n"/>
      <c r="TMC1" s="87" t="n"/>
      <c r="TMD1" s="87" t="n"/>
      <c r="TME1" s="87" t="n"/>
      <c r="TMF1" s="87" t="n"/>
      <c r="TMG1" s="87" t="n"/>
      <c r="TMH1" s="87" t="n"/>
      <c r="TMI1" s="87" t="n"/>
      <c r="TMJ1" s="87" t="n"/>
      <c r="TMK1" s="87" t="n"/>
      <c r="TML1" s="87" t="n"/>
      <c r="TMM1" s="87" t="n"/>
      <c r="TMN1" s="87" t="n"/>
      <c r="TMO1" s="87" t="n"/>
      <c r="TMP1" s="87" t="n"/>
      <c r="TMQ1" s="87" t="n"/>
      <c r="TMR1" s="87" t="n"/>
      <c r="TMS1" s="87" t="n"/>
      <c r="TMT1" s="87" t="n"/>
      <c r="TMU1" s="87" t="n"/>
      <c r="TMV1" s="87" t="n"/>
      <c r="TMW1" s="87" t="n"/>
      <c r="TMX1" s="87" t="n"/>
      <c r="TMY1" s="87" t="n"/>
      <c r="TMZ1" s="87" t="n"/>
      <c r="TNA1" s="87" t="n"/>
      <c r="TNB1" s="87" t="n"/>
      <c r="TNC1" s="87" t="n"/>
      <c r="TND1" s="87" t="n"/>
      <c r="TNE1" s="87" t="n"/>
      <c r="TNF1" s="87" t="n"/>
      <c r="TNG1" s="87" t="n"/>
      <c r="TNH1" s="87" t="n"/>
      <c r="TNI1" s="87" t="n"/>
      <c r="TNJ1" s="87" t="n"/>
      <c r="TNK1" s="87" t="n"/>
      <c r="TNL1" s="87" t="n"/>
      <c r="TNM1" s="87" t="n"/>
      <c r="TNN1" s="87" t="n"/>
      <c r="TNO1" s="87" t="n"/>
      <c r="TNP1" s="87" t="n"/>
      <c r="TNQ1" s="87" t="n"/>
      <c r="TNR1" s="87" t="n"/>
      <c r="TNS1" s="87" t="n"/>
      <c r="TNT1" s="87" t="n"/>
      <c r="TNU1" s="87" t="n"/>
      <c r="TNV1" s="87" t="n"/>
      <c r="TNW1" s="87" t="n"/>
      <c r="TNX1" s="87" t="n"/>
      <c r="TNY1" s="87" t="n"/>
      <c r="TNZ1" s="87" t="n"/>
      <c r="TOA1" s="87" t="n"/>
      <c r="TOB1" s="87" t="n"/>
      <c r="TOC1" s="87" t="n"/>
      <c r="TOD1" s="87" t="n"/>
      <c r="TOE1" s="87" t="n"/>
      <c r="TOF1" s="87" t="n"/>
      <c r="TOG1" s="87" t="n"/>
      <c r="TOH1" s="87" t="n"/>
      <c r="TOI1" s="87" t="n"/>
      <c r="TOJ1" s="87" t="n"/>
      <c r="TOK1" s="87" t="n"/>
      <c r="TOL1" s="87" t="n"/>
      <c r="TOM1" s="87" t="n"/>
      <c r="TON1" s="87" t="n"/>
      <c r="TOO1" s="87" t="n"/>
      <c r="TOP1" s="87" t="n"/>
      <c r="TOQ1" s="87" t="n"/>
      <c r="TOR1" s="87" t="n"/>
      <c r="TOS1" s="87" t="n"/>
      <c r="TOT1" s="87" t="n"/>
      <c r="TOU1" s="87" t="n"/>
      <c r="TOV1" s="87" t="n"/>
      <c r="TOW1" s="87" t="n"/>
      <c r="TOX1" s="87" t="n"/>
      <c r="TOY1" s="87" t="n"/>
      <c r="TOZ1" s="87" t="n"/>
      <c r="TPA1" s="87" t="n"/>
      <c r="TPB1" s="87" t="n"/>
      <c r="TPC1" s="87" t="n"/>
      <c r="TPD1" s="87" t="n"/>
      <c r="TPE1" s="87" t="n"/>
      <c r="TPF1" s="87" t="n"/>
      <c r="TPG1" s="87" t="n"/>
      <c r="TPH1" s="87" t="n"/>
      <c r="TPI1" s="87" t="n"/>
      <c r="TPJ1" s="87" t="n"/>
      <c r="TPK1" s="87" t="n"/>
      <c r="TPL1" s="87" t="n"/>
      <c r="TPM1" s="87" t="n"/>
      <c r="TPN1" s="87" t="n"/>
      <c r="TPO1" s="87" t="n"/>
      <c r="TPP1" s="87" t="n"/>
      <c r="TPQ1" s="87" t="n"/>
      <c r="TPR1" s="87" t="n"/>
      <c r="TPS1" s="87" t="n"/>
      <c r="TPT1" s="87" t="n"/>
      <c r="TPU1" s="87" t="n"/>
      <c r="TPV1" s="87" t="n"/>
      <c r="TPW1" s="87" t="n"/>
      <c r="TPX1" s="87" t="n"/>
      <c r="TPY1" s="87" t="n"/>
      <c r="TPZ1" s="87" t="n"/>
      <c r="TQA1" s="87" t="n"/>
      <c r="TQB1" s="87" t="n"/>
      <c r="TQC1" s="87" t="n"/>
      <c r="TQD1" s="87" t="n"/>
      <c r="TQE1" s="87" t="n"/>
      <c r="TQF1" s="87" t="n"/>
      <c r="TQG1" s="87" t="n"/>
      <c r="TQH1" s="87" t="n"/>
      <c r="TQI1" s="87" t="n"/>
      <c r="TQJ1" s="87" t="n"/>
      <c r="TQK1" s="87" t="n"/>
      <c r="TQL1" s="87" t="n"/>
      <c r="TQM1" s="87" t="n"/>
      <c r="TQN1" s="87" t="n"/>
      <c r="TQO1" s="87" t="n"/>
      <c r="TQP1" s="87" t="n"/>
      <c r="TQQ1" s="87" t="n"/>
      <c r="TQR1" s="87" t="n"/>
      <c r="TQS1" s="87" t="n"/>
      <c r="TQT1" s="87" t="n"/>
      <c r="TQU1" s="87" t="n"/>
      <c r="TQV1" s="87" t="n"/>
      <c r="TQW1" s="87" t="n"/>
      <c r="TQX1" s="87" t="n"/>
      <c r="TQY1" s="87" t="n"/>
      <c r="TQZ1" s="87" t="n"/>
      <c r="TRA1" s="87" t="n"/>
      <c r="TRB1" s="87" t="n"/>
      <c r="TRC1" s="87" t="n"/>
      <c r="TRD1" s="87" t="n"/>
      <c r="TRE1" s="87" t="n"/>
      <c r="TRF1" s="87" t="n"/>
      <c r="TRG1" s="87" t="n"/>
      <c r="TRH1" s="87" t="n"/>
      <c r="TRI1" s="87" t="n"/>
      <c r="TRJ1" s="87" t="n"/>
      <c r="TRK1" s="87" t="n"/>
      <c r="TRL1" s="87" t="n"/>
      <c r="TRM1" s="87" t="n"/>
      <c r="TRN1" s="87" t="n"/>
      <c r="TRO1" s="87" t="n"/>
      <c r="TRP1" s="87" t="n"/>
      <c r="TRQ1" s="87" t="n"/>
      <c r="TRR1" s="87" t="n"/>
      <c r="TRS1" s="87" t="n"/>
      <c r="TRT1" s="87" t="n"/>
      <c r="TRU1" s="87" t="n"/>
      <c r="TRV1" s="87" t="n"/>
      <c r="TRW1" s="87" t="n"/>
      <c r="TRX1" s="87" t="n"/>
      <c r="TRY1" s="87" t="n"/>
      <c r="TRZ1" s="87" t="n"/>
      <c r="TSA1" s="87" t="n"/>
      <c r="TSB1" s="87" t="n"/>
      <c r="TSC1" s="87" t="n"/>
      <c r="TSD1" s="87" t="n"/>
      <c r="TSE1" s="87" t="n"/>
      <c r="TSF1" s="87" t="n"/>
      <c r="TSG1" s="87" t="n"/>
      <c r="TSH1" s="87" t="n"/>
      <c r="TSI1" s="87" t="n"/>
      <c r="TSJ1" s="87" t="n"/>
      <c r="TSK1" s="87" t="n"/>
      <c r="TSL1" s="87" t="n"/>
      <c r="TSM1" s="87" t="n"/>
      <c r="TSN1" s="87" t="n"/>
      <c r="TSO1" s="87" t="n"/>
      <c r="TSP1" s="87" t="n"/>
      <c r="TSQ1" s="87" t="n"/>
      <c r="TSR1" s="87" t="n"/>
      <c r="TSS1" s="87" t="n"/>
      <c r="TST1" s="87" t="n"/>
      <c r="TSU1" s="87" t="n"/>
      <c r="TSV1" s="87" t="n"/>
      <c r="TSW1" s="87" t="n"/>
      <c r="TSX1" s="87" t="n"/>
      <c r="TSY1" s="87" t="n"/>
      <c r="TSZ1" s="87" t="n"/>
      <c r="TTA1" s="87" t="n"/>
      <c r="TTB1" s="87" t="n"/>
      <c r="TTC1" s="87" t="n"/>
      <c r="TTD1" s="87" t="n"/>
      <c r="TTE1" s="87" t="n"/>
      <c r="TTF1" s="87" t="n"/>
      <c r="TTG1" s="87" t="n"/>
      <c r="TTH1" s="87" t="n"/>
      <c r="TTI1" s="87" t="n"/>
      <c r="TTJ1" s="87" t="n"/>
      <c r="TTK1" s="87" t="n"/>
      <c r="TTL1" s="87" t="n"/>
      <c r="TTM1" s="87" t="n"/>
      <c r="TTN1" s="87" t="n"/>
      <c r="TTO1" s="87" t="n"/>
      <c r="TTP1" s="87" t="n"/>
      <c r="TTQ1" s="87" t="n"/>
      <c r="TTR1" s="87" t="n"/>
      <c r="TTS1" s="87" t="n"/>
      <c r="TTT1" s="87" t="n"/>
      <c r="TTU1" s="87" t="n"/>
      <c r="TTV1" s="87" t="n"/>
      <c r="TTW1" s="87" t="n"/>
      <c r="TTX1" s="87" t="n"/>
      <c r="TTY1" s="87" t="n"/>
      <c r="TTZ1" s="87" t="n"/>
      <c r="TUA1" s="87" t="n"/>
      <c r="TUB1" s="87" t="n"/>
      <c r="TUC1" s="87" t="n"/>
      <c r="TUD1" s="87" t="n"/>
      <c r="TUE1" s="87" t="n"/>
      <c r="TUF1" s="87" t="n"/>
      <c r="TUG1" s="87" t="n"/>
      <c r="TUH1" s="87" t="n"/>
      <c r="TUI1" s="87" t="n"/>
      <c r="TUJ1" s="87" t="n"/>
      <c r="TUK1" s="87" t="n"/>
      <c r="TUL1" s="87" t="n"/>
      <c r="TUM1" s="87" t="n"/>
      <c r="TUN1" s="87" t="n"/>
      <c r="TUO1" s="87" t="n"/>
      <c r="TUP1" s="87" t="n"/>
      <c r="TUQ1" s="87" t="n"/>
      <c r="TUR1" s="87" t="n"/>
      <c r="TUS1" s="87" t="n"/>
      <c r="TUT1" s="87" t="n"/>
      <c r="TUU1" s="87" t="n"/>
      <c r="TUV1" s="87" t="n"/>
      <c r="TUW1" s="87" t="n"/>
      <c r="TUX1" s="87" t="n"/>
      <c r="TUY1" s="87" t="n"/>
      <c r="TUZ1" s="87" t="n"/>
      <c r="TVA1" s="87" t="n"/>
      <c r="TVB1" s="87" t="n"/>
      <c r="TVC1" s="87" t="n"/>
      <c r="TVD1" s="87" t="n"/>
      <c r="TVE1" s="87" t="n"/>
      <c r="TVF1" s="87" t="n"/>
      <c r="TVG1" s="87" t="n"/>
      <c r="TVH1" s="87" t="n"/>
      <c r="TVI1" s="87" t="n"/>
      <c r="TVJ1" s="87" t="n"/>
      <c r="TVK1" s="87" t="n"/>
      <c r="TVL1" s="87" t="n"/>
      <c r="TVM1" s="87" t="n"/>
      <c r="TVN1" s="87" t="n"/>
      <c r="TVO1" s="87" t="n"/>
      <c r="TVP1" s="87" t="n"/>
      <c r="TVQ1" s="87" t="n"/>
      <c r="TVR1" s="87" t="n"/>
      <c r="TVS1" s="87" t="n"/>
      <c r="TVT1" s="87" t="n"/>
      <c r="TVU1" s="87" t="n"/>
      <c r="TVV1" s="87" t="n"/>
      <c r="TVW1" s="87" t="n"/>
      <c r="TVX1" s="87" t="n"/>
      <c r="TVY1" s="87" t="n"/>
      <c r="TVZ1" s="87" t="n"/>
      <c r="TWA1" s="87" t="n"/>
      <c r="TWB1" s="87" t="n"/>
      <c r="TWC1" s="87" t="n"/>
      <c r="TWD1" s="87" t="n"/>
      <c r="TWE1" s="87" t="n"/>
      <c r="TWF1" s="87" t="n"/>
      <c r="TWG1" s="87" t="n"/>
      <c r="TWH1" s="87" t="n"/>
      <c r="TWI1" s="87" t="n"/>
      <c r="TWJ1" s="87" t="n"/>
      <c r="TWK1" s="87" t="n"/>
      <c r="TWL1" s="87" t="n"/>
      <c r="TWM1" s="87" t="n"/>
      <c r="TWN1" s="87" t="n"/>
      <c r="TWO1" s="87" t="n"/>
      <c r="TWP1" s="87" t="n"/>
      <c r="TWQ1" s="87" t="n"/>
      <c r="TWR1" s="87" t="n"/>
      <c r="TWS1" s="87" t="n"/>
      <c r="TWT1" s="87" t="n"/>
      <c r="TWU1" s="87" t="n"/>
      <c r="TWV1" s="87" t="n"/>
      <c r="TWW1" s="87" t="n"/>
      <c r="TWX1" s="87" t="n"/>
      <c r="TWY1" s="87" t="n"/>
      <c r="TWZ1" s="87" t="n"/>
      <c r="TXA1" s="87" t="n"/>
      <c r="TXB1" s="87" t="n"/>
      <c r="TXC1" s="87" t="n"/>
      <c r="TXD1" s="87" t="n"/>
      <c r="TXE1" s="87" t="n"/>
      <c r="TXF1" s="87" t="n"/>
      <c r="TXG1" s="87" t="n"/>
      <c r="TXH1" s="87" t="n"/>
      <c r="TXI1" s="87" t="n"/>
      <c r="TXJ1" s="87" t="n"/>
      <c r="TXK1" s="87" t="n"/>
      <c r="TXL1" s="87" t="n"/>
      <c r="TXM1" s="87" t="n"/>
      <c r="TXN1" s="87" t="n"/>
      <c r="TXO1" s="87" t="n"/>
      <c r="TXP1" s="87" t="n"/>
      <c r="TXQ1" s="87" t="n"/>
      <c r="TXR1" s="87" t="n"/>
      <c r="TXS1" s="87" t="n"/>
      <c r="TXT1" s="87" t="n"/>
      <c r="TXU1" s="87" t="n"/>
      <c r="TXV1" s="87" t="n"/>
      <c r="TXW1" s="87" t="n"/>
      <c r="TXX1" s="87" t="n"/>
      <c r="TXY1" s="87" t="n"/>
      <c r="TXZ1" s="87" t="n"/>
      <c r="TYA1" s="87" t="n"/>
      <c r="TYB1" s="87" t="n"/>
      <c r="TYC1" s="87" t="n"/>
      <c r="TYD1" s="87" t="n"/>
      <c r="TYE1" s="87" t="n"/>
      <c r="TYF1" s="87" t="n"/>
      <c r="TYG1" s="87" t="n"/>
      <c r="TYH1" s="87" t="n"/>
      <c r="TYI1" s="87" t="n"/>
      <c r="TYJ1" s="87" t="n"/>
      <c r="TYK1" s="87" t="n"/>
      <c r="TYL1" s="87" t="n"/>
      <c r="TYM1" s="87" t="n"/>
      <c r="TYN1" s="87" t="n"/>
      <c r="TYO1" s="87" t="n"/>
      <c r="TYP1" s="87" t="n"/>
      <c r="TYQ1" s="87" t="n"/>
      <c r="TYR1" s="87" t="n"/>
      <c r="TYS1" s="87" t="n"/>
      <c r="TYT1" s="87" t="n"/>
      <c r="TYU1" s="87" t="n"/>
      <c r="TYV1" s="87" t="n"/>
      <c r="TYW1" s="87" t="n"/>
      <c r="TYX1" s="87" t="n"/>
      <c r="TYY1" s="87" t="n"/>
      <c r="TYZ1" s="87" t="n"/>
      <c r="TZA1" s="87" t="n"/>
      <c r="TZB1" s="87" t="n"/>
      <c r="TZC1" s="87" t="n"/>
      <c r="TZD1" s="87" t="n"/>
      <c r="TZE1" s="87" t="n"/>
      <c r="TZF1" s="87" t="n"/>
      <c r="TZG1" s="87" t="n"/>
      <c r="TZH1" s="87" t="n"/>
      <c r="TZI1" s="87" t="n"/>
      <c r="TZJ1" s="87" t="n"/>
      <c r="TZK1" s="87" t="n"/>
      <c r="TZL1" s="87" t="n"/>
      <c r="TZM1" s="87" t="n"/>
      <c r="TZN1" s="87" t="n"/>
      <c r="TZO1" s="87" t="n"/>
      <c r="TZP1" s="87" t="n"/>
      <c r="TZQ1" s="87" t="n"/>
      <c r="TZR1" s="87" t="n"/>
      <c r="TZS1" s="87" t="n"/>
      <c r="TZT1" s="87" t="n"/>
      <c r="TZU1" s="87" t="n"/>
      <c r="TZV1" s="87" t="n"/>
      <c r="TZW1" s="87" t="n"/>
      <c r="TZX1" s="87" t="n"/>
      <c r="TZY1" s="87" t="n"/>
      <c r="TZZ1" s="87" t="n"/>
      <c r="UAA1" s="87" t="n"/>
      <c r="UAB1" s="87" t="n"/>
      <c r="UAC1" s="87" t="n"/>
      <c r="UAD1" s="87" t="n"/>
      <c r="UAE1" s="87" t="n"/>
      <c r="UAF1" s="87" t="n"/>
      <c r="UAG1" s="87" t="n"/>
      <c r="UAH1" s="87" t="n"/>
      <c r="UAI1" s="87" t="n"/>
      <c r="UAJ1" s="87" t="n"/>
      <c r="UAK1" s="87" t="n"/>
      <c r="UAL1" s="87" t="n"/>
      <c r="UAM1" s="87" t="n"/>
      <c r="UAN1" s="87" t="n"/>
      <c r="UAO1" s="87" t="n"/>
      <c r="UAP1" s="87" t="n"/>
      <c r="UAQ1" s="87" t="n"/>
      <c r="UAR1" s="87" t="n"/>
      <c r="UAS1" s="87" t="n"/>
      <c r="UAT1" s="87" t="n"/>
      <c r="UAU1" s="87" t="n"/>
      <c r="UAV1" s="87" t="n"/>
      <c r="UAW1" s="87" t="n"/>
      <c r="UAX1" s="87" t="n"/>
      <c r="UAY1" s="87" t="n"/>
      <c r="UAZ1" s="87" t="n"/>
      <c r="UBA1" s="87" t="n"/>
      <c r="UBB1" s="87" t="n"/>
      <c r="UBC1" s="87" t="n"/>
      <c r="UBD1" s="87" t="n"/>
      <c r="UBE1" s="87" t="n"/>
      <c r="UBF1" s="87" t="n"/>
      <c r="UBG1" s="87" t="n"/>
      <c r="UBH1" s="87" t="n"/>
      <c r="UBI1" s="87" t="n"/>
      <c r="UBJ1" s="87" t="n"/>
      <c r="UBK1" s="87" t="n"/>
      <c r="UBL1" s="87" t="n"/>
      <c r="UBM1" s="87" t="n"/>
      <c r="UBN1" s="87" t="n"/>
      <c r="UBO1" s="87" t="n"/>
      <c r="UBP1" s="87" t="n"/>
      <c r="UBQ1" s="87" t="n"/>
      <c r="UBR1" s="87" t="n"/>
      <c r="UBS1" s="87" t="n"/>
      <c r="UBT1" s="87" t="n"/>
      <c r="UBU1" s="87" t="n"/>
      <c r="UBV1" s="87" t="n"/>
      <c r="UBW1" s="87" t="n"/>
      <c r="UBX1" s="87" t="n"/>
      <c r="UBY1" s="87" t="n"/>
      <c r="UBZ1" s="87" t="n"/>
      <c r="UCA1" s="87" t="n"/>
      <c r="UCB1" s="87" t="n"/>
      <c r="UCC1" s="87" t="n"/>
      <c r="UCD1" s="87" t="n"/>
      <c r="UCE1" s="87" t="n"/>
      <c r="UCF1" s="87" t="n"/>
      <c r="UCG1" s="87" t="n"/>
      <c r="UCH1" s="87" t="n"/>
      <c r="UCI1" s="87" t="n"/>
      <c r="UCJ1" s="87" t="n"/>
      <c r="UCK1" s="87" t="n"/>
      <c r="UCL1" s="87" t="n"/>
      <c r="UCM1" s="87" t="n"/>
      <c r="UCN1" s="87" t="n"/>
      <c r="UCO1" s="87" t="n"/>
      <c r="UCP1" s="87" t="n"/>
      <c r="UCQ1" s="87" t="n"/>
      <c r="UCR1" s="87" t="n"/>
      <c r="UCS1" s="87" t="n"/>
      <c r="UCT1" s="87" t="n"/>
      <c r="UCU1" s="87" t="n"/>
      <c r="UCV1" s="87" t="n"/>
      <c r="UCW1" s="87" t="n"/>
      <c r="UCX1" s="87" t="n"/>
      <c r="UCY1" s="87" t="n"/>
      <c r="UCZ1" s="87" t="n"/>
      <c r="UDA1" s="87" t="n"/>
      <c r="UDB1" s="87" t="n"/>
      <c r="UDC1" s="87" t="n"/>
      <c r="UDD1" s="87" t="n"/>
      <c r="UDE1" s="87" t="n"/>
      <c r="UDF1" s="87" t="n"/>
      <c r="UDG1" s="87" t="n"/>
      <c r="UDH1" s="87" t="n"/>
      <c r="UDI1" s="87" t="n"/>
      <c r="UDJ1" s="87" t="n"/>
      <c r="UDK1" s="87" t="n"/>
      <c r="UDL1" s="87" t="n"/>
      <c r="UDM1" s="87" t="n"/>
      <c r="UDN1" s="87" t="n"/>
      <c r="UDO1" s="87" t="n"/>
      <c r="UDP1" s="87" t="n"/>
      <c r="UDQ1" s="87" t="n"/>
      <c r="UDR1" s="87" t="n"/>
      <c r="UDS1" s="87" t="n"/>
      <c r="UDT1" s="87" t="n"/>
      <c r="UDU1" s="87" t="n"/>
      <c r="UDV1" s="87" t="n"/>
      <c r="UDW1" s="87" t="n"/>
      <c r="UDX1" s="87" t="n"/>
      <c r="UDY1" s="87" t="n"/>
      <c r="UDZ1" s="87" t="n"/>
      <c r="UEA1" s="87" t="n"/>
      <c r="UEB1" s="87" t="n"/>
      <c r="UEC1" s="87" t="n"/>
      <c r="UED1" s="87" t="n"/>
      <c r="UEE1" s="87" t="n"/>
      <c r="UEF1" s="87" t="n"/>
      <c r="UEG1" s="87" t="n"/>
      <c r="UEH1" s="87" t="n"/>
      <c r="UEI1" s="87" t="n"/>
      <c r="UEJ1" s="87" t="n"/>
      <c r="UEK1" s="87" t="n"/>
      <c r="UEL1" s="87" t="n"/>
      <c r="UEM1" s="87" t="n"/>
      <c r="UEN1" s="87" t="n"/>
      <c r="UEO1" s="87" t="n"/>
      <c r="UEP1" s="87" t="n"/>
      <c r="UEQ1" s="87" t="n"/>
      <c r="UER1" s="87" t="n"/>
      <c r="UES1" s="87" t="n"/>
      <c r="UET1" s="87" t="n"/>
      <c r="UEU1" s="87" t="n"/>
      <c r="UEV1" s="87" t="n"/>
      <c r="UEW1" s="87" t="n"/>
      <c r="UEX1" s="87" t="n"/>
      <c r="UEY1" s="87" t="n"/>
      <c r="UEZ1" s="87" t="n"/>
      <c r="UFA1" s="87" t="n"/>
      <c r="UFB1" s="87" t="n"/>
      <c r="UFC1" s="87" t="n"/>
      <c r="UFD1" s="87" t="n"/>
      <c r="UFE1" s="87" t="n"/>
      <c r="UFF1" s="87" t="n"/>
      <c r="UFG1" s="87" t="n"/>
      <c r="UFH1" s="87" t="n"/>
      <c r="UFI1" s="87" t="n"/>
      <c r="UFJ1" s="87" t="n"/>
      <c r="UFK1" s="87" t="n"/>
      <c r="UFL1" s="87" t="n"/>
      <c r="UFM1" s="87" t="n"/>
      <c r="UFN1" s="87" t="n"/>
      <c r="UFO1" s="87" t="n"/>
      <c r="UFP1" s="87" t="n"/>
      <c r="UFQ1" s="87" t="n"/>
      <c r="UFR1" s="87" t="n"/>
      <c r="UFS1" s="87" t="n"/>
      <c r="UFT1" s="87" t="n"/>
      <c r="UFU1" s="87" t="n"/>
      <c r="UFV1" s="87" t="n"/>
      <c r="UFW1" s="87" t="n"/>
      <c r="UFX1" s="87" t="n"/>
      <c r="UFY1" s="87" t="n"/>
      <c r="UFZ1" s="87" t="n"/>
      <c r="UGA1" s="87" t="n"/>
      <c r="UGB1" s="87" t="n"/>
      <c r="UGC1" s="87" t="n"/>
      <c r="UGD1" s="87" t="n"/>
      <c r="UGE1" s="87" t="n"/>
      <c r="UGF1" s="87" t="n"/>
      <c r="UGG1" s="87" t="n"/>
      <c r="UGH1" s="87" t="n"/>
      <c r="UGI1" s="87" t="n"/>
      <c r="UGJ1" s="87" t="n"/>
      <c r="UGK1" s="87" t="n"/>
      <c r="UGL1" s="87" t="n"/>
      <c r="UGM1" s="87" t="n"/>
      <c r="UGN1" s="87" t="n"/>
      <c r="UGO1" s="87" t="n"/>
      <c r="UGP1" s="87" t="n"/>
      <c r="UGQ1" s="87" t="n"/>
      <c r="UGR1" s="87" t="n"/>
      <c r="UGS1" s="87" t="n"/>
      <c r="UGT1" s="87" t="n"/>
      <c r="UGU1" s="87" t="n"/>
      <c r="UGV1" s="87" t="n"/>
      <c r="UGW1" s="87" t="n"/>
      <c r="UGX1" s="87" t="n"/>
      <c r="UGY1" s="87" t="n"/>
      <c r="UGZ1" s="87" t="n"/>
      <c r="UHA1" s="87" t="n"/>
      <c r="UHB1" s="87" t="n"/>
      <c r="UHC1" s="87" t="n"/>
      <c r="UHD1" s="87" t="n"/>
      <c r="UHE1" s="87" t="n"/>
      <c r="UHF1" s="87" t="n"/>
      <c r="UHG1" s="87" t="n"/>
      <c r="UHH1" s="87" t="n"/>
      <c r="UHI1" s="87" t="n"/>
      <c r="UHJ1" s="87" t="n"/>
      <c r="UHK1" s="87" t="n"/>
      <c r="UHL1" s="87" t="n"/>
      <c r="UHM1" s="87" t="n"/>
      <c r="UHN1" s="87" t="n"/>
      <c r="UHO1" s="87" t="n"/>
      <c r="UHP1" s="87" t="n"/>
      <c r="UHQ1" s="87" t="n"/>
      <c r="UHR1" s="87" t="n"/>
      <c r="UHS1" s="87" t="n"/>
      <c r="UHT1" s="87" t="n"/>
      <c r="UHU1" s="87" t="n"/>
      <c r="UHV1" s="87" t="n"/>
      <c r="UHW1" s="87" t="n"/>
      <c r="UHX1" s="87" t="n"/>
      <c r="UHY1" s="87" t="n"/>
      <c r="UHZ1" s="87" t="n"/>
      <c r="UIA1" s="87" t="n"/>
      <c r="UIB1" s="87" t="n"/>
      <c r="UIC1" s="87" t="n"/>
      <c r="UID1" s="87" t="n"/>
      <c r="UIE1" s="87" t="n"/>
      <c r="UIF1" s="87" t="n"/>
      <c r="UIG1" s="87" t="n"/>
      <c r="UIH1" s="87" t="n"/>
      <c r="UII1" s="87" t="n"/>
      <c r="UIJ1" s="87" t="n"/>
      <c r="UIK1" s="87" t="n"/>
      <c r="UIL1" s="87" t="n"/>
      <c r="UIM1" s="87" t="n"/>
      <c r="UIN1" s="87" t="n"/>
      <c r="UIO1" s="87" t="n"/>
      <c r="UIP1" s="87" t="n"/>
      <c r="UIQ1" s="87" t="n"/>
      <c r="UIR1" s="87" t="n"/>
      <c r="UIS1" s="87" t="n"/>
      <c r="UIT1" s="87" t="n"/>
      <c r="UIU1" s="87" t="n"/>
      <c r="UIV1" s="87" t="n"/>
      <c r="UIW1" s="87" t="n"/>
      <c r="UIX1" s="87" t="n"/>
      <c r="UIY1" s="87" t="n"/>
      <c r="UIZ1" s="87" t="n"/>
      <c r="UJA1" s="87" t="n"/>
      <c r="UJB1" s="87" t="n"/>
      <c r="UJC1" s="87" t="n"/>
      <c r="UJD1" s="87" t="n"/>
      <c r="UJE1" s="87" t="n"/>
      <c r="UJF1" s="87" t="n"/>
      <c r="UJG1" s="87" t="n"/>
      <c r="UJH1" s="87" t="n"/>
      <c r="UJI1" s="87" t="n"/>
      <c r="UJJ1" s="87" t="n"/>
      <c r="UJK1" s="87" t="n"/>
      <c r="UJL1" s="87" t="n"/>
      <c r="UJM1" s="87" t="n"/>
      <c r="UJN1" s="87" t="n"/>
      <c r="UJO1" s="87" t="n"/>
      <c r="UJP1" s="87" t="n"/>
      <c r="UJQ1" s="87" t="n"/>
      <c r="UJR1" s="87" t="n"/>
      <c r="UJS1" s="87" t="n"/>
      <c r="UJT1" s="87" t="n"/>
      <c r="UJU1" s="87" t="n"/>
      <c r="UJV1" s="87" t="n"/>
      <c r="UJW1" s="87" t="n"/>
      <c r="UJX1" s="87" t="n"/>
      <c r="UJY1" s="87" t="n"/>
      <c r="UJZ1" s="87" t="n"/>
      <c r="UKA1" s="87" t="n"/>
      <c r="UKB1" s="87" t="n"/>
      <c r="UKC1" s="87" t="n"/>
      <c r="UKD1" s="87" t="n"/>
      <c r="UKE1" s="87" t="n"/>
      <c r="UKF1" s="87" t="n"/>
      <c r="UKG1" s="87" t="n"/>
      <c r="UKH1" s="87" t="n"/>
      <c r="UKI1" s="87" t="n"/>
      <c r="UKJ1" s="87" t="n"/>
      <c r="UKK1" s="87" t="n"/>
      <c r="UKL1" s="87" t="n"/>
      <c r="UKM1" s="87" t="n"/>
      <c r="UKN1" s="87" t="n"/>
      <c r="UKO1" s="87" t="n"/>
      <c r="UKP1" s="87" t="n"/>
      <c r="UKQ1" s="87" t="n"/>
      <c r="UKR1" s="87" t="n"/>
      <c r="UKS1" s="87" t="n"/>
      <c r="UKT1" s="87" t="n"/>
      <c r="UKU1" s="87" t="n"/>
      <c r="UKV1" s="87" t="n"/>
      <c r="UKW1" s="87" t="n"/>
      <c r="UKX1" s="87" t="n"/>
      <c r="UKY1" s="87" t="n"/>
      <c r="UKZ1" s="87" t="n"/>
      <c r="ULA1" s="87" t="n"/>
      <c r="ULB1" s="87" t="n"/>
      <c r="ULC1" s="87" t="n"/>
      <c r="ULD1" s="87" t="n"/>
      <c r="ULE1" s="87" t="n"/>
      <c r="ULF1" s="87" t="n"/>
      <c r="ULG1" s="87" t="n"/>
      <c r="ULH1" s="87" t="n"/>
      <c r="ULI1" s="87" t="n"/>
      <c r="ULJ1" s="87" t="n"/>
      <c r="ULK1" s="87" t="n"/>
      <c r="ULL1" s="87" t="n"/>
      <c r="ULM1" s="87" t="n"/>
      <c r="ULN1" s="87" t="n"/>
      <c r="ULO1" s="87" t="n"/>
      <c r="ULP1" s="87" t="n"/>
      <c r="ULQ1" s="87" t="n"/>
      <c r="ULR1" s="87" t="n"/>
      <c r="ULS1" s="87" t="n"/>
      <c r="ULT1" s="87" t="n"/>
      <c r="ULU1" s="87" t="n"/>
      <c r="ULV1" s="87" t="n"/>
      <c r="ULW1" s="87" t="n"/>
      <c r="ULX1" s="87" t="n"/>
      <c r="ULY1" s="87" t="n"/>
      <c r="ULZ1" s="87" t="n"/>
      <c r="UMA1" s="87" t="n"/>
      <c r="UMB1" s="87" t="n"/>
      <c r="UMC1" s="87" t="n"/>
      <c r="UMD1" s="87" t="n"/>
      <c r="UME1" s="87" t="n"/>
      <c r="UMF1" s="87" t="n"/>
      <c r="UMG1" s="87" t="n"/>
      <c r="UMH1" s="87" t="n"/>
      <c r="UMI1" s="87" t="n"/>
      <c r="UMJ1" s="87" t="n"/>
      <c r="UMK1" s="87" t="n"/>
      <c r="UML1" s="87" t="n"/>
      <c r="UMM1" s="87" t="n"/>
      <c r="UMN1" s="87" t="n"/>
      <c r="UMO1" s="87" t="n"/>
      <c r="UMP1" s="87" t="n"/>
      <c r="UMQ1" s="87" t="n"/>
      <c r="UMR1" s="87" t="n"/>
      <c r="UMS1" s="87" t="n"/>
      <c r="UMT1" s="87" t="n"/>
      <c r="UMU1" s="87" t="n"/>
      <c r="UMV1" s="87" t="n"/>
      <c r="UMW1" s="87" t="n"/>
      <c r="UMX1" s="87" t="n"/>
      <c r="UMY1" s="87" t="n"/>
      <c r="UMZ1" s="87" t="n"/>
      <c r="UNA1" s="87" t="n"/>
      <c r="UNB1" s="87" t="n"/>
      <c r="UNC1" s="87" t="n"/>
      <c r="UND1" s="87" t="n"/>
      <c r="UNE1" s="87" t="n"/>
      <c r="UNF1" s="87" t="n"/>
      <c r="UNG1" s="87" t="n"/>
      <c r="UNH1" s="87" t="n"/>
      <c r="UNI1" s="87" t="n"/>
      <c r="UNJ1" s="87" t="n"/>
      <c r="UNK1" s="87" t="n"/>
      <c r="UNL1" s="87" t="n"/>
      <c r="UNM1" s="87" t="n"/>
      <c r="UNN1" s="87" t="n"/>
      <c r="UNO1" s="87" t="n"/>
      <c r="UNP1" s="87" t="n"/>
      <c r="UNQ1" s="87" t="n"/>
      <c r="UNR1" s="87" t="n"/>
      <c r="UNS1" s="87" t="n"/>
      <c r="UNT1" s="87" t="n"/>
      <c r="UNU1" s="87" t="n"/>
      <c r="UNV1" s="87" t="n"/>
      <c r="UNW1" s="87" t="n"/>
      <c r="UNX1" s="87" t="n"/>
      <c r="UNY1" s="87" t="n"/>
      <c r="UNZ1" s="87" t="n"/>
      <c r="UOA1" s="87" t="n"/>
      <c r="UOB1" s="87" t="n"/>
      <c r="UOC1" s="87" t="n"/>
      <c r="UOD1" s="87" t="n"/>
      <c r="UOE1" s="87" t="n"/>
      <c r="UOF1" s="87" t="n"/>
      <c r="UOG1" s="87" t="n"/>
      <c r="UOH1" s="87" t="n"/>
      <c r="UOI1" s="87" t="n"/>
      <c r="UOJ1" s="87" t="n"/>
      <c r="UOK1" s="87" t="n"/>
      <c r="UOL1" s="87" t="n"/>
      <c r="UOM1" s="87" t="n"/>
      <c r="UON1" s="87" t="n"/>
      <c r="UOO1" s="87" t="n"/>
      <c r="UOP1" s="87" t="n"/>
      <c r="UOQ1" s="87" t="n"/>
      <c r="UOR1" s="87" t="n"/>
      <c r="UOS1" s="87" t="n"/>
      <c r="UOT1" s="87" t="n"/>
      <c r="UOU1" s="87" t="n"/>
      <c r="UOV1" s="87" t="n"/>
      <c r="UOW1" s="87" t="n"/>
      <c r="UOX1" s="87" t="n"/>
      <c r="UOY1" s="87" t="n"/>
      <c r="UOZ1" s="87" t="n"/>
      <c r="UPA1" s="87" t="n"/>
      <c r="UPB1" s="87" t="n"/>
      <c r="UPC1" s="87" t="n"/>
      <c r="UPD1" s="87" t="n"/>
      <c r="UPE1" s="87" t="n"/>
      <c r="UPF1" s="87" t="n"/>
      <c r="UPG1" s="87" t="n"/>
      <c r="UPH1" s="87" t="n"/>
      <c r="UPI1" s="87" t="n"/>
      <c r="UPJ1" s="87" t="n"/>
      <c r="UPK1" s="87" t="n"/>
      <c r="UPL1" s="87" t="n"/>
      <c r="UPM1" s="87" t="n"/>
      <c r="UPN1" s="87" t="n"/>
      <c r="UPO1" s="87" t="n"/>
      <c r="UPP1" s="87" t="n"/>
      <c r="UPQ1" s="87" t="n"/>
      <c r="UPR1" s="87" t="n"/>
      <c r="UPS1" s="87" t="n"/>
      <c r="UPT1" s="87" t="n"/>
      <c r="UPU1" s="87" t="n"/>
      <c r="UPV1" s="87" t="n"/>
      <c r="UPW1" s="87" t="n"/>
      <c r="UPX1" s="87" t="n"/>
      <c r="UPY1" s="87" t="n"/>
      <c r="UPZ1" s="87" t="n"/>
      <c r="UQA1" s="87" t="n"/>
      <c r="UQB1" s="87" t="n"/>
      <c r="UQC1" s="87" t="n"/>
      <c r="UQD1" s="87" t="n"/>
      <c r="UQE1" s="87" t="n"/>
      <c r="UQF1" s="87" t="n"/>
      <c r="UQG1" s="87" t="n"/>
      <c r="UQH1" s="87" t="n"/>
      <c r="UQI1" s="87" t="n"/>
      <c r="UQJ1" s="87" t="n"/>
      <c r="UQK1" s="87" t="n"/>
      <c r="UQL1" s="87" t="n"/>
      <c r="UQM1" s="87" t="n"/>
      <c r="UQN1" s="87" t="n"/>
      <c r="UQO1" s="87" t="n"/>
      <c r="UQP1" s="87" t="n"/>
      <c r="UQQ1" s="87" t="n"/>
      <c r="UQR1" s="87" t="n"/>
      <c r="UQS1" s="87" t="n"/>
      <c r="UQT1" s="87" t="n"/>
      <c r="UQU1" s="87" t="n"/>
      <c r="UQV1" s="87" t="n"/>
      <c r="UQW1" s="87" t="n"/>
      <c r="UQX1" s="87" t="n"/>
      <c r="UQY1" s="87" t="n"/>
      <c r="UQZ1" s="87" t="n"/>
      <c r="URA1" s="87" t="n"/>
      <c r="URB1" s="87" t="n"/>
      <c r="URC1" s="87" t="n"/>
      <c r="URD1" s="87" t="n"/>
      <c r="URE1" s="87" t="n"/>
      <c r="URF1" s="87" t="n"/>
      <c r="URG1" s="87" t="n"/>
      <c r="URH1" s="87" t="n"/>
      <c r="URI1" s="87" t="n"/>
      <c r="URJ1" s="87" t="n"/>
      <c r="URK1" s="87" t="n"/>
      <c r="URL1" s="87" t="n"/>
      <c r="URM1" s="87" t="n"/>
      <c r="URN1" s="87" t="n"/>
      <c r="URO1" s="87" t="n"/>
      <c r="URP1" s="87" t="n"/>
      <c r="URQ1" s="87" t="n"/>
      <c r="URR1" s="87" t="n"/>
      <c r="URS1" s="87" t="n"/>
      <c r="URT1" s="87" t="n"/>
      <c r="URU1" s="87" t="n"/>
      <c r="URV1" s="87" t="n"/>
      <c r="URW1" s="87" t="n"/>
      <c r="URX1" s="87" t="n"/>
      <c r="URY1" s="87" t="n"/>
      <c r="URZ1" s="87" t="n"/>
      <c r="USA1" s="87" t="n"/>
      <c r="USB1" s="87" t="n"/>
      <c r="USC1" s="87" t="n"/>
      <c r="USD1" s="87" t="n"/>
      <c r="USE1" s="87" t="n"/>
      <c r="USF1" s="87" t="n"/>
      <c r="USG1" s="87" t="n"/>
      <c r="USH1" s="87" t="n"/>
      <c r="USI1" s="87" t="n"/>
      <c r="USJ1" s="87" t="n"/>
      <c r="USK1" s="87" t="n"/>
      <c r="USL1" s="87" t="n"/>
      <c r="USM1" s="87" t="n"/>
      <c r="USN1" s="87" t="n"/>
      <c r="USO1" s="87" t="n"/>
      <c r="USP1" s="87" t="n"/>
      <c r="USQ1" s="87" t="n"/>
      <c r="USR1" s="87" t="n"/>
      <c r="USS1" s="87" t="n"/>
      <c r="UST1" s="87" t="n"/>
      <c r="USU1" s="87" t="n"/>
      <c r="USV1" s="87" t="n"/>
      <c r="USW1" s="87" t="n"/>
      <c r="USX1" s="87" t="n"/>
      <c r="USY1" s="87" t="n"/>
      <c r="USZ1" s="87" t="n"/>
      <c r="UTA1" s="87" t="n"/>
      <c r="UTB1" s="87" t="n"/>
      <c r="UTC1" s="87" t="n"/>
      <c r="UTD1" s="87" t="n"/>
      <c r="UTE1" s="87" t="n"/>
      <c r="UTF1" s="87" t="n"/>
      <c r="UTG1" s="87" t="n"/>
      <c r="UTH1" s="87" t="n"/>
      <c r="UTI1" s="87" t="n"/>
      <c r="UTJ1" s="87" t="n"/>
      <c r="UTK1" s="87" t="n"/>
      <c r="UTL1" s="87" t="n"/>
      <c r="UTM1" s="87" t="n"/>
      <c r="UTN1" s="87" t="n"/>
      <c r="UTO1" s="87" t="n"/>
      <c r="UTP1" s="87" t="n"/>
      <c r="UTQ1" s="87" t="n"/>
      <c r="UTR1" s="87" t="n"/>
      <c r="UTS1" s="87" t="n"/>
      <c r="UTT1" s="87" t="n"/>
      <c r="UTU1" s="87" t="n"/>
      <c r="UTV1" s="87" t="n"/>
      <c r="UTW1" s="87" t="n"/>
      <c r="UTX1" s="87" t="n"/>
      <c r="UTY1" s="87" t="n"/>
      <c r="UTZ1" s="87" t="n"/>
      <c r="UUA1" s="87" t="n"/>
      <c r="UUB1" s="87" t="n"/>
      <c r="UUC1" s="87" t="n"/>
      <c r="UUD1" s="87" t="n"/>
      <c r="UUE1" s="87" t="n"/>
      <c r="UUF1" s="87" t="n"/>
      <c r="UUG1" s="87" t="n"/>
      <c r="UUH1" s="87" t="n"/>
      <c r="UUI1" s="87" t="n"/>
      <c r="UUJ1" s="87" t="n"/>
      <c r="UUK1" s="87" t="n"/>
      <c r="UUL1" s="87" t="n"/>
      <c r="UUM1" s="87" t="n"/>
      <c r="UUN1" s="87" t="n"/>
      <c r="UUO1" s="87" t="n"/>
      <c r="UUP1" s="87" t="n"/>
      <c r="UUQ1" s="87" t="n"/>
      <c r="UUR1" s="87" t="n"/>
      <c r="UUS1" s="87" t="n"/>
      <c r="UUT1" s="87" t="n"/>
      <c r="UUU1" s="87" t="n"/>
      <c r="UUV1" s="87" t="n"/>
      <c r="UUW1" s="87" t="n"/>
      <c r="UUX1" s="87" t="n"/>
      <c r="UUY1" s="87" t="n"/>
      <c r="UUZ1" s="87" t="n"/>
      <c r="UVA1" s="87" t="n"/>
      <c r="UVB1" s="87" t="n"/>
      <c r="UVC1" s="87" t="n"/>
      <c r="UVD1" s="87" t="n"/>
      <c r="UVE1" s="87" t="n"/>
      <c r="UVF1" s="87" t="n"/>
      <c r="UVG1" s="87" t="n"/>
      <c r="UVH1" s="87" t="n"/>
      <c r="UVI1" s="87" t="n"/>
      <c r="UVJ1" s="87" t="n"/>
      <c r="UVK1" s="87" t="n"/>
      <c r="UVL1" s="87" t="n"/>
      <c r="UVM1" s="87" t="n"/>
      <c r="UVN1" s="87" t="n"/>
      <c r="UVO1" s="87" t="n"/>
      <c r="UVP1" s="87" t="n"/>
      <c r="UVQ1" s="87" t="n"/>
      <c r="UVR1" s="87" t="n"/>
      <c r="UVS1" s="87" t="n"/>
      <c r="UVT1" s="87" t="n"/>
      <c r="UVU1" s="87" t="n"/>
      <c r="UVV1" s="87" t="n"/>
      <c r="UVW1" s="87" t="n"/>
      <c r="UVX1" s="87" t="n"/>
      <c r="UVY1" s="87" t="n"/>
      <c r="UVZ1" s="87" t="n"/>
      <c r="UWA1" s="87" t="n"/>
      <c r="UWB1" s="87" t="n"/>
      <c r="UWC1" s="87" t="n"/>
      <c r="UWD1" s="87" t="n"/>
      <c r="UWE1" s="87" t="n"/>
      <c r="UWF1" s="87" t="n"/>
      <c r="UWG1" s="87" t="n"/>
      <c r="UWH1" s="87" t="n"/>
      <c r="UWI1" s="87" t="n"/>
      <c r="UWJ1" s="87" t="n"/>
      <c r="UWK1" s="87" t="n"/>
      <c r="UWL1" s="87" t="n"/>
      <c r="UWM1" s="87" t="n"/>
      <c r="UWN1" s="87" t="n"/>
      <c r="UWO1" s="87" t="n"/>
      <c r="UWP1" s="87" t="n"/>
      <c r="UWQ1" s="87" t="n"/>
      <c r="UWR1" s="87" t="n"/>
      <c r="UWS1" s="87" t="n"/>
      <c r="UWT1" s="87" t="n"/>
      <c r="UWU1" s="87" t="n"/>
      <c r="UWV1" s="87" t="n"/>
      <c r="UWW1" s="87" t="n"/>
      <c r="UWX1" s="87" t="n"/>
      <c r="UWY1" s="87" t="n"/>
      <c r="UWZ1" s="87" t="n"/>
      <c r="UXA1" s="87" t="n"/>
      <c r="UXB1" s="87" t="n"/>
      <c r="UXC1" s="87" t="n"/>
      <c r="UXD1" s="87" t="n"/>
      <c r="UXE1" s="87" t="n"/>
      <c r="UXF1" s="87" t="n"/>
      <c r="UXG1" s="87" t="n"/>
      <c r="UXH1" s="87" t="n"/>
      <c r="UXI1" s="87" t="n"/>
      <c r="UXJ1" s="87" t="n"/>
      <c r="UXK1" s="87" t="n"/>
      <c r="UXL1" s="87" t="n"/>
      <c r="UXM1" s="87" t="n"/>
      <c r="UXN1" s="87" t="n"/>
      <c r="UXO1" s="87" t="n"/>
      <c r="UXP1" s="87" t="n"/>
      <c r="UXQ1" s="87" t="n"/>
      <c r="UXR1" s="87" t="n"/>
      <c r="UXS1" s="87" t="n"/>
      <c r="UXT1" s="87" t="n"/>
      <c r="UXU1" s="87" t="n"/>
      <c r="UXV1" s="87" t="n"/>
      <c r="UXW1" s="87" t="n"/>
      <c r="UXX1" s="87" t="n"/>
      <c r="UXY1" s="87" t="n"/>
      <c r="UXZ1" s="87" t="n"/>
      <c r="UYA1" s="87" t="n"/>
      <c r="UYB1" s="87" t="n"/>
      <c r="UYC1" s="87" t="n"/>
      <c r="UYD1" s="87" t="n"/>
      <c r="UYE1" s="87" t="n"/>
      <c r="UYF1" s="87" t="n"/>
      <c r="UYG1" s="87" t="n"/>
      <c r="UYH1" s="87" t="n"/>
      <c r="UYI1" s="87" t="n"/>
      <c r="UYJ1" s="87" t="n"/>
      <c r="UYK1" s="87" t="n"/>
      <c r="UYL1" s="87" t="n"/>
      <c r="UYM1" s="87" t="n"/>
      <c r="UYN1" s="87" t="n"/>
      <c r="UYO1" s="87" t="n"/>
      <c r="UYP1" s="87" t="n"/>
      <c r="UYQ1" s="87" t="n"/>
      <c r="UYR1" s="87" t="n"/>
      <c r="UYS1" s="87" t="n"/>
      <c r="UYT1" s="87" t="n"/>
      <c r="UYU1" s="87" t="n"/>
      <c r="UYV1" s="87" t="n"/>
      <c r="UYW1" s="87" t="n"/>
      <c r="UYX1" s="87" t="n"/>
      <c r="UYY1" s="87" t="n"/>
      <c r="UYZ1" s="87" t="n"/>
      <c r="UZA1" s="87" t="n"/>
      <c r="UZB1" s="87" t="n"/>
      <c r="UZC1" s="87" t="n"/>
      <c r="UZD1" s="87" t="n"/>
      <c r="UZE1" s="87" t="n"/>
      <c r="UZF1" s="87" t="n"/>
      <c r="UZG1" s="87" t="n"/>
      <c r="UZH1" s="87" t="n"/>
      <c r="UZI1" s="87" t="n"/>
      <c r="UZJ1" s="87" t="n"/>
      <c r="UZK1" s="87" t="n"/>
      <c r="UZL1" s="87" t="n"/>
      <c r="UZM1" s="87" t="n"/>
      <c r="UZN1" s="87" t="n"/>
      <c r="UZO1" s="87" t="n"/>
      <c r="UZP1" s="87" t="n"/>
      <c r="UZQ1" s="87" t="n"/>
      <c r="UZR1" s="87" t="n"/>
      <c r="UZS1" s="87" t="n"/>
      <c r="UZT1" s="87" t="n"/>
      <c r="UZU1" s="87" t="n"/>
      <c r="UZV1" s="87" t="n"/>
      <c r="UZW1" s="87" t="n"/>
      <c r="UZX1" s="87" t="n"/>
      <c r="UZY1" s="87" t="n"/>
      <c r="UZZ1" s="87" t="n"/>
      <c r="VAA1" s="87" t="n"/>
      <c r="VAB1" s="87" t="n"/>
      <c r="VAC1" s="87" t="n"/>
      <c r="VAD1" s="87" t="n"/>
      <c r="VAE1" s="87" t="n"/>
      <c r="VAF1" s="87" t="n"/>
      <c r="VAG1" s="87" t="n"/>
      <c r="VAH1" s="87" t="n"/>
      <c r="VAI1" s="87" t="n"/>
      <c r="VAJ1" s="87" t="n"/>
      <c r="VAK1" s="87" t="n"/>
      <c r="VAL1" s="87" t="n"/>
      <c r="VAM1" s="87" t="n"/>
      <c r="VAN1" s="87" t="n"/>
      <c r="VAO1" s="87" t="n"/>
      <c r="VAP1" s="87" t="n"/>
      <c r="VAQ1" s="87" t="n"/>
      <c r="VAR1" s="87" t="n"/>
      <c r="VAS1" s="87" t="n"/>
      <c r="VAT1" s="87" t="n"/>
      <c r="VAU1" s="87" t="n"/>
      <c r="VAV1" s="87" t="n"/>
      <c r="VAW1" s="87" t="n"/>
      <c r="VAX1" s="87" t="n"/>
      <c r="VAY1" s="87" t="n"/>
      <c r="VAZ1" s="87" t="n"/>
      <c r="VBA1" s="87" t="n"/>
      <c r="VBB1" s="87" t="n"/>
      <c r="VBC1" s="87" t="n"/>
      <c r="VBD1" s="87" t="n"/>
      <c r="VBE1" s="87" t="n"/>
      <c r="VBF1" s="87" t="n"/>
      <c r="VBG1" s="87" t="n"/>
      <c r="VBH1" s="87" t="n"/>
      <c r="VBI1" s="87" t="n"/>
      <c r="VBJ1" s="87" t="n"/>
      <c r="VBK1" s="87" t="n"/>
      <c r="VBL1" s="87" t="n"/>
      <c r="VBM1" s="87" t="n"/>
      <c r="VBN1" s="87" t="n"/>
      <c r="VBO1" s="87" t="n"/>
      <c r="VBP1" s="87" t="n"/>
      <c r="VBQ1" s="87" t="n"/>
      <c r="VBR1" s="87" t="n"/>
      <c r="VBS1" s="87" t="n"/>
      <c r="VBT1" s="87" t="n"/>
      <c r="VBU1" s="87" t="n"/>
      <c r="VBV1" s="87" t="n"/>
      <c r="VBW1" s="87" t="n"/>
      <c r="VBX1" s="87" t="n"/>
      <c r="VBY1" s="87" t="n"/>
      <c r="VBZ1" s="87" t="n"/>
      <c r="VCA1" s="87" t="n"/>
      <c r="VCB1" s="87" t="n"/>
      <c r="VCC1" s="87" t="n"/>
      <c r="VCD1" s="87" t="n"/>
      <c r="VCE1" s="87" t="n"/>
      <c r="VCF1" s="87" t="n"/>
      <c r="VCG1" s="87" t="n"/>
      <c r="VCH1" s="87" t="n"/>
      <c r="VCI1" s="87" t="n"/>
      <c r="VCJ1" s="87" t="n"/>
      <c r="VCK1" s="87" t="n"/>
      <c r="VCL1" s="87" t="n"/>
      <c r="VCM1" s="87" t="n"/>
      <c r="VCN1" s="87" t="n"/>
      <c r="VCO1" s="87" t="n"/>
      <c r="VCP1" s="87" t="n"/>
      <c r="VCQ1" s="87" t="n"/>
      <c r="VCR1" s="87" t="n"/>
      <c r="VCS1" s="87" t="n"/>
      <c r="VCT1" s="87" t="n"/>
      <c r="VCU1" s="87" t="n"/>
      <c r="VCV1" s="87" t="n"/>
      <c r="VCW1" s="87" t="n"/>
      <c r="VCX1" s="87" t="n"/>
      <c r="VCY1" s="87" t="n"/>
      <c r="VCZ1" s="87" t="n"/>
      <c r="VDA1" s="87" t="n"/>
      <c r="VDB1" s="87" t="n"/>
      <c r="VDC1" s="87" t="n"/>
      <c r="VDD1" s="87" t="n"/>
      <c r="VDE1" s="87" t="n"/>
      <c r="VDF1" s="87" t="n"/>
      <c r="VDG1" s="87" t="n"/>
      <c r="VDH1" s="87" t="n"/>
      <c r="VDI1" s="87" t="n"/>
      <c r="VDJ1" s="87" t="n"/>
      <c r="VDK1" s="87" t="n"/>
      <c r="VDL1" s="87" t="n"/>
      <c r="VDM1" s="87" t="n"/>
      <c r="VDN1" s="87" t="n"/>
      <c r="VDO1" s="87" t="n"/>
      <c r="VDP1" s="87" t="n"/>
      <c r="VDQ1" s="87" t="n"/>
      <c r="VDR1" s="87" t="n"/>
      <c r="VDS1" s="87" t="n"/>
      <c r="VDT1" s="87" t="n"/>
      <c r="VDU1" s="87" t="n"/>
      <c r="VDV1" s="87" t="n"/>
      <c r="VDW1" s="87" t="n"/>
      <c r="VDX1" s="87" t="n"/>
      <c r="VDY1" s="87" t="n"/>
      <c r="VDZ1" s="87" t="n"/>
      <c r="VEA1" s="87" t="n"/>
      <c r="VEB1" s="87" t="n"/>
      <c r="VEC1" s="87" t="n"/>
      <c r="VED1" s="87" t="n"/>
      <c r="VEE1" s="87" t="n"/>
      <c r="VEF1" s="87" t="n"/>
      <c r="VEG1" s="87" t="n"/>
      <c r="VEH1" s="87" t="n"/>
      <c r="VEI1" s="87" t="n"/>
      <c r="VEJ1" s="87" t="n"/>
      <c r="VEK1" s="87" t="n"/>
      <c r="VEL1" s="87" t="n"/>
      <c r="VEM1" s="87" t="n"/>
      <c r="VEN1" s="87" t="n"/>
      <c r="VEO1" s="87" t="n"/>
      <c r="VEP1" s="87" t="n"/>
      <c r="VEQ1" s="87" t="n"/>
      <c r="VER1" s="87" t="n"/>
      <c r="VES1" s="87" t="n"/>
      <c r="VET1" s="87" t="n"/>
      <c r="VEU1" s="87" t="n"/>
      <c r="VEV1" s="87" t="n"/>
      <c r="VEW1" s="87" t="n"/>
      <c r="VEX1" s="87" t="n"/>
      <c r="VEY1" s="87" t="n"/>
      <c r="VEZ1" s="87" t="n"/>
      <c r="VFA1" s="87" t="n"/>
      <c r="VFB1" s="87" t="n"/>
      <c r="VFC1" s="87" t="n"/>
      <c r="VFD1" s="87" t="n"/>
      <c r="VFE1" s="87" t="n"/>
      <c r="VFF1" s="87" t="n"/>
      <c r="VFG1" s="87" t="n"/>
      <c r="VFH1" s="87" t="n"/>
      <c r="VFI1" s="87" t="n"/>
      <c r="VFJ1" s="87" t="n"/>
      <c r="VFK1" s="87" t="n"/>
      <c r="VFL1" s="87" t="n"/>
      <c r="VFM1" s="87" t="n"/>
      <c r="VFN1" s="87" t="n"/>
      <c r="VFO1" s="87" t="n"/>
      <c r="VFP1" s="87" t="n"/>
      <c r="VFQ1" s="87" t="n"/>
      <c r="VFR1" s="87" t="n"/>
      <c r="VFS1" s="87" t="n"/>
      <c r="VFT1" s="87" t="n"/>
      <c r="VFU1" s="87" t="n"/>
      <c r="VFV1" s="87" t="n"/>
      <c r="VFW1" s="87" t="n"/>
      <c r="VFX1" s="87" t="n"/>
      <c r="VFY1" s="87" t="n"/>
      <c r="VFZ1" s="87" t="n"/>
      <c r="VGA1" s="87" t="n"/>
      <c r="VGB1" s="87" t="n"/>
      <c r="VGC1" s="87" t="n"/>
      <c r="VGD1" s="87" t="n"/>
      <c r="VGE1" s="87" t="n"/>
      <c r="VGF1" s="87" t="n"/>
      <c r="VGG1" s="87" t="n"/>
      <c r="VGH1" s="87" t="n"/>
      <c r="VGI1" s="87" t="n"/>
      <c r="VGJ1" s="87" t="n"/>
      <c r="VGK1" s="87" t="n"/>
      <c r="VGL1" s="87" t="n"/>
      <c r="VGM1" s="87" t="n"/>
      <c r="VGN1" s="87" t="n"/>
      <c r="VGO1" s="87" t="n"/>
      <c r="VGP1" s="87" t="n"/>
      <c r="VGQ1" s="87" t="n"/>
      <c r="VGR1" s="87" t="n"/>
      <c r="VGS1" s="87" t="n"/>
      <c r="VGT1" s="87" t="n"/>
      <c r="VGU1" s="87" t="n"/>
      <c r="VGV1" s="87" t="n"/>
      <c r="VGW1" s="87" t="n"/>
      <c r="VGX1" s="87" t="n"/>
      <c r="VGY1" s="87" t="n"/>
      <c r="VGZ1" s="87" t="n"/>
      <c r="VHA1" s="87" t="n"/>
      <c r="VHB1" s="87" t="n"/>
      <c r="VHC1" s="87" t="n"/>
      <c r="VHD1" s="87" t="n"/>
      <c r="VHE1" s="87" t="n"/>
      <c r="VHF1" s="87" t="n"/>
      <c r="VHG1" s="87" t="n"/>
      <c r="VHH1" s="87" t="n"/>
      <c r="VHI1" s="87" t="n"/>
      <c r="VHJ1" s="87" t="n"/>
      <c r="VHK1" s="87" t="n"/>
      <c r="VHL1" s="87" t="n"/>
      <c r="VHM1" s="87" t="n"/>
      <c r="VHN1" s="87" t="n"/>
      <c r="VHO1" s="87" t="n"/>
      <c r="VHP1" s="87" t="n"/>
      <c r="VHQ1" s="87" t="n"/>
      <c r="VHR1" s="87" t="n"/>
      <c r="VHS1" s="87" t="n"/>
      <c r="VHT1" s="87" t="n"/>
      <c r="VHU1" s="87" t="n"/>
      <c r="VHV1" s="87" t="n"/>
      <c r="VHW1" s="87" t="n"/>
      <c r="VHX1" s="87" t="n"/>
      <c r="VHY1" s="87" t="n"/>
      <c r="VHZ1" s="87" t="n"/>
      <c r="VIA1" s="87" t="n"/>
      <c r="VIB1" s="87" t="n"/>
      <c r="VIC1" s="87" t="n"/>
      <c r="VID1" s="87" t="n"/>
      <c r="VIE1" s="87" t="n"/>
      <c r="VIF1" s="87" t="n"/>
      <c r="VIG1" s="87" t="n"/>
      <c r="VIH1" s="87" t="n"/>
      <c r="VII1" s="87" t="n"/>
      <c r="VIJ1" s="87" t="n"/>
      <c r="VIK1" s="87" t="n"/>
      <c r="VIL1" s="87" t="n"/>
      <c r="VIM1" s="87" t="n"/>
      <c r="VIN1" s="87" t="n"/>
      <c r="VIO1" s="87" t="n"/>
      <c r="VIP1" s="87" t="n"/>
      <c r="VIQ1" s="87" t="n"/>
      <c r="VIR1" s="87" t="n"/>
      <c r="VIS1" s="87" t="n"/>
      <c r="VIT1" s="87" t="n"/>
      <c r="VIU1" s="87" t="n"/>
      <c r="VIV1" s="87" t="n"/>
      <c r="VIW1" s="87" t="n"/>
      <c r="VIX1" s="87" t="n"/>
      <c r="VIY1" s="87" t="n"/>
      <c r="VIZ1" s="87" t="n"/>
      <c r="VJA1" s="87" t="n"/>
      <c r="VJB1" s="87" t="n"/>
      <c r="VJC1" s="87" t="n"/>
      <c r="VJD1" s="87" t="n"/>
      <c r="VJE1" s="87" t="n"/>
      <c r="VJF1" s="87" t="n"/>
      <c r="VJG1" s="87" t="n"/>
      <c r="VJH1" s="87" t="n"/>
      <c r="VJI1" s="87" t="n"/>
      <c r="VJJ1" s="87" t="n"/>
      <c r="VJK1" s="87" t="n"/>
      <c r="VJL1" s="87" t="n"/>
      <c r="VJM1" s="87" t="n"/>
      <c r="VJN1" s="87" t="n"/>
      <c r="VJO1" s="87" t="n"/>
      <c r="VJP1" s="87" t="n"/>
      <c r="VJQ1" s="87" t="n"/>
      <c r="VJR1" s="87" t="n"/>
      <c r="VJS1" s="87" t="n"/>
      <c r="VJT1" s="87" t="n"/>
      <c r="VJU1" s="87" t="n"/>
      <c r="VJV1" s="87" t="n"/>
      <c r="VJW1" s="87" t="n"/>
      <c r="VJX1" s="87" t="n"/>
      <c r="VJY1" s="87" t="n"/>
      <c r="VJZ1" s="87" t="n"/>
      <c r="VKA1" s="87" t="n"/>
      <c r="VKB1" s="87" t="n"/>
      <c r="VKC1" s="87" t="n"/>
      <c r="VKD1" s="87" t="n"/>
      <c r="VKE1" s="87" t="n"/>
      <c r="VKF1" s="87" t="n"/>
      <c r="VKG1" s="87" t="n"/>
      <c r="VKH1" s="87" t="n"/>
      <c r="VKI1" s="87" t="n"/>
      <c r="VKJ1" s="87" t="n"/>
      <c r="VKK1" s="87" t="n"/>
      <c r="VKL1" s="87" t="n"/>
      <c r="VKM1" s="87" t="n"/>
      <c r="VKN1" s="87" t="n"/>
      <c r="VKO1" s="87" t="n"/>
      <c r="VKP1" s="87" t="n"/>
      <c r="VKQ1" s="87" t="n"/>
      <c r="VKR1" s="87" t="n"/>
      <c r="VKS1" s="87" t="n"/>
      <c r="VKT1" s="87" t="n"/>
      <c r="VKU1" s="87" t="n"/>
      <c r="VKV1" s="87" t="n"/>
      <c r="VKW1" s="87" t="n"/>
      <c r="VKX1" s="87" t="n"/>
      <c r="VKY1" s="87" t="n"/>
      <c r="VKZ1" s="87" t="n"/>
      <c r="VLA1" s="87" t="n"/>
      <c r="VLB1" s="87" t="n"/>
      <c r="VLC1" s="87" t="n"/>
      <c r="VLD1" s="87" t="n"/>
      <c r="VLE1" s="87" t="n"/>
      <c r="VLF1" s="87" t="n"/>
      <c r="VLG1" s="87" t="n"/>
      <c r="VLH1" s="87" t="n"/>
      <c r="VLI1" s="87" t="n"/>
      <c r="VLJ1" s="87" t="n"/>
      <c r="VLK1" s="87" t="n"/>
      <c r="VLL1" s="87" t="n"/>
      <c r="VLM1" s="87" t="n"/>
      <c r="VLN1" s="87" t="n"/>
      <c r="VLO1" s="87" t="n"/>
      <c r="VLP1" s="87" t="n"/>
      <c r="VLQ1" s="87" t="n"/>
      <c r="VLR1" s="87" t="n"/>
      <c r="VLS1" s="87" t="n"/>
      <c r="VLT1" s="87" t="n"/>
      <c r="VLU1" s="87" t="n"/>
      <c r="VLV1" s="87" t="n"/>
      <c r="VLW1" s="87" t="n"/>
      <c r="VLX1" s="87" t="n"/>
      <c r="VLY1" s="87" t="n"/>
      <c r="VLZ1" s="87" t="n"/>
      <c r="VMA1" s="87" t="n"/>
      <c r="VMB1" s="87" t="n"/>
      <c r="VMC1" s="87" t="n"/>
      <c r="VMD1" s="87" t="n"/>
      <c r="VME1" s="87" t="n"/>
      <c r="VMF1" s="87" t="n"/>
      <c r="VMG1" s="87" t="n"/>
      <c r="VMH1" s="87" t="n"/>
      <c r="VMI1" s="87" t="n"/>
      <c r="VMJ1" s="87" t="n"/>
      <c r="VMK1" s="87" t="n"/>
      <c r="VML1" s="87" t="n"/>
      <c r="VMM1" s="87" t="n"/>
      <c r="VMN1" s="87" t="n"/>
      <c r="VMO1" s="87" t="n"/>
      <c r="VMP1" s="87" t="n"/>
      <c r="VMQ1" s="87" t="n"/>
      <c r="VMR1" s="87" t="n"/>
      <c r="VMS1" s="87" t="n"/>
      <c r="VMT1" s="87" t="n"/>
      <c r="VMU1" s="87" t="n"/>
      <c r="VMV1" s="87" t="n"/>
      <c r="VMW1" s="87" t="n"/>
      <c r="VMX1" s="87" t="n"/>
      <c r="VMY1" s="87" t="n"/>
      <c r="VMZ1" s="87" t="n"/>
      <c r="VNA1" s="87" t="n"/>
      <c r="VNB1" s="87" t="n"/>
      <c r="VNC1" s="87" t="n"/>
      <c r="VND1" s="87" t="n"/>
      <c r="VNE1" s="87" t="n"/>
      <c r="VNF1" s="87" t="n"/>
      <c r="VNG1" s="87" t="n"/>
      <c r="VNH1" s="87" t="n"/>
      <c r="VNI1" s="87" t="n"/>
      <c r="VNJ1" s="87" t="n"/>
      <c r="VNK1" s="87" t="n"/>
      <c r="VNL1" s="87" t="n"/>
      <c r="VNM1" s="87" t="n"/>
      <c r="VNN1" s="87" t="n"/>
      <c r="VNO1" s="87" t="n"/>
      <c r="VNP1" s="87" t="n"/>
      <c r="VNQ1" s="87" t="n"/>
      <c r="VNR1" s="87" t="n"/>
      <c r="VNS1" s="87" t="n"/>
      <c r="VNT1" s="87" t="n"/>
      <c r="VNU1" s="87" t="n"/>
      <c r="VNV1" s="87" t="n"/>
      <c r="VNW1" s="87" t="n"/>
      <c r="VNX1" s="87" t="n"/>
      <c r="VNY1" s="87" t="n"/>
      <c r="VNZ1" s="87" t="n"/>
      <c r="VOA1" s="87" t="n"/>
      <c r="VOB1" s="87" t="n"/>
      <c r="VOC1" s="87" t="n"/>
      <c r="VOD1" s="87" t="n"/>
      <c r="VOE1" s="87" t="n"/>
      <c r="VOF1" s="87" t="n"/>
      <c r="VOG1" s="87" t="n"/>
      <c r="VOH1" s="87" t="n"/>
      <c r="VOI1" s="87" t="n"/>
      <c r="VOJ1" s="87" t="n"/>
      <c r="VOK1" s="87" t="n"/>
      <c r="VOL1" s="87" t="n"/>
      <c r="VOM1" s="87" t="n"/>
      <c r="VON1" s="87" t="n"/>
      <c r="VOO1" s="87" t="n"/>
      <c r="VOP1" s="87" t="n"/>
      <c r="VOQ1" s="87" t="n"/>
      <c r="VOR1" s="87" t="n"/>
      <c r="VOS1" s="87" t="n"/>
      <c r="VOT1" s="87" t="n"/>
      <c r="VOU1" s="87" t="n"/>
      <c r="VOV1" s="87" t="n"/>
      <c r="VOW1" s="87" t="n"/>
      <c r="VOX1" s="87" t="n"/>
      <c r="VOY1" s="87" t="n"/>
      <c r="VOZ1" s="87" t="n"/>
      <c r="VPA1" s="87" t="n"/>
      <c r="VPB1" s="87" t="n"/>
      <c r="VPC1" s="87" t="n"/>
      <c r="VPD1" s="87" t="n"/>
      <c r="VPE1" s="87" t="n"/>
      <c r="VPF1" s="87" t="n"/>
      <c r="VPG1" s="87" t="n"/>
      <c r="VPH1" s="87" t="n"/>
      <c r="VPI1" s="87" t="n"/>
      <c r="VPJ1" s="87" t="n"/>
      <c r="VPK1" s="87" t="n"/>
      <c r="VPL1" s="87" t="n"/>
      <c r="VPM1" s="87" t="n"/>
      <c r="VPN1" s="87" t="n"/>
      <c r="VPO1" s="87" t="n"/>
      <c r="VPP1" s="87" t="n"/>
      <c r="VPQ1" s="87" t="n"/>
      <c r="VPR1" s="87" t="n"/>
      <c r="VPS1" s="87" t="n"/>
      <c r="VPT1" s="87" t="n"/>
      <c r="VPU1" s="87" t="n"/>
      <c r="VPV1" s="87" t="n"/>
      <c r="VPW1" s="87" t="n"/>
      <c r="VPX1" s="87" t="n"/>
      <c r="VPY1" s="87" t="n"/>
      <c r="VPZ1" s="87" t="n"/>
      <c r="VQA1" s="87" t="n"/>
      <c r="VQB1" s="87" t="n"/>
      <c r="VQC1" s="87" t="n"/>
      <c r="VQD1" s="87" t="n"/>
      <c r="VQE1" s="87" t="n"/>
      <c r="VQF1" s="87" t="n"/>
      <c r="VQG1" s="87" t="n"/>
      <c r="VQH1" s="87" t="n"/>
      <c r="VQI1" s="87" t="n"/>
      <c r="VQJ1" s="87" t="n"/>
      <c r="VQK1" s="87" t="n"/>
      <c r="VQL1" s="87" t="n"/>
      <c r="VQM1" s="87" t="n"/>
      <c r="VQN1" s="87" t="n"/>
      <c r="VQO1" s="87" t="n"/>
      <c r="VQP1" s="87" t="n"/>
      <c r="VQQ1" s="87" t="n"/>
      <c r="VQR1" s="87" t="n"/>
      <c r="VQS1" s="87" t="n"/>
      <c r="VQT1" s="87" t="n"/>
      <c r="VQU1" s="87" t="n"/>
      <c r="VQV1" s="87" t="n"/>
      <c r="VQW1" s="87" t="n"/>
      <c r="VQX1" s="87" t="n"/>
      <c r="VQY1" s="87" t="n"/>
      <c r="VQZ1" s="87" t="n"/>
      <c r="VRA1" s="87" t="n"/>
      <c r="VRB1" s="87" t="n"/>
      <c r="VRC1" s="87" t="n"/>
      <c r="VRD1" s="87" t="n"/>
      <c r="VRE1" s="87" t="n"/>
      <c r="VRF1" s="87" t="n"/>
      <c r="VRG1" s="87" t="n"/>
      <c r="VRH1" s="87" t="n"/>
      <c r="VRI1" s="87" t="n"/>
      <c r="VRJ1" s="87" t="n"/>
      <c r="VRK1" s="87" t="n"/>
      <c r="VRL1" s="87" t="n"/>
      <c r="VRM1" s="87" t="n"/>
      <c r="VRN1" s="87" t="n"/>
      <c r="VRO1" s="87" t="n"/>
      <c r="VRP1" s="87" t="n"/>
      <c r="VRQ1" s="87" t="n"/>
      <c r="VRR1" s="87" t="n"/>
      <c r="VRS1" s="87" t="n"/>
      <c r="VRT1" s="87" t="n"/>
      <c r="VRU1" s="87" t="n"/>
      <c r="VRV1" s="87" t="n"/>
      <c r="VRW1" s="87" t="n"/>
      <c r="VRX1" s="87" t="n"/>
      <c r="VRY1" s="87" t="n"/>
      <c r="VRZ1" s="87" t="n"/>
      <c r="VSA1" s="87" t="n"/>
      <c r="VSB1" s="87" t="n"/>
      <c r="VSC1" s="87" t="n"/>
      <c r="VSD1" s="87" t="n"/>
      <c r="VSE1" s="87" t="n"/>
      <c r="VSF1" s="87" t="n"/>
      <c r="VSG1" s="87" t="n"/>
      <c r="VSH1" s="87" t="n"/>
      <c r="VSI1" s="87" t="n"/>
      <c r="VSJ1" s="87" t="n"/>
      <c r="VSK1" s="87" t="n"/>
      <c r="VSL1" s="87" t="n"/>
      <c r="VSM1" s="87" t="n"/>
      <c r="VSN1" s="87" t="n"/>
      <c r="VSO1" s="87" t="n"/>
      <c r="VSP1" s="87" t="n"/>
      <c r="VSQ1" s="87" t="n"/>
      <c r="VSR1" s="87" t="n"/>
      <c r="VSS1" s="87" t="n"/>
      <c r="VST1" s="87" t="n"/>
      <c r="VSU1" s="87" t="n"/>
      <c r="VSV1" s="87" t="n"/>
      <c r="VSW1" s="87" t="n"/>
      <c r="VSX1" s="87" t="n"/>
      <c r="VSY1" s="87" t="n"/>
      <c r="VSZ1" s="87" t="n"/>
      <c r="VTA1" s="87" t="n"/>
      <c r="VTB1" s="87" t="n"/>
      <c r="VTC1" s="87" t="n"/>
      <c r="VTD1" s="87" t="n"/>
      <c r="VTE1" s="87" t="n"/>
      <c r="VTF1" s="87" t="n"/>
      <c r="VTG1" s="87" t="n"/>
      <c r="VTH1" s="87" t="n"/>
      <c r="VTI1" s="87" t="n"/>
      <c r="VTJ1" s="87" t="n"/>
      <c r="VTK1" s="87" t="n"/>
      <c r="VTL1" s="87" t="n"/>
      <c r="VTM1" s="87" t="n"/>
      <c r="VTN1" s="87" t="n"/>
      <c r="VTO1" s="87" t="n"/>
      <c r="VTP1" s="87" t="n"/>
      <c r="VTQ1" s="87" t="n"/>
      <c r="VTR1" s="87" t="n"/>
      <c r="VTS1" s="87" t="n"/>
      <c r="VTT1" s="87" t="n"/>
      <c r="VTU1" s="87" t="n"/>
      <c r="VTV1" s="87" t="n"/>
      <c r="VTW1" s="87" t="n"/>
      <c r="VTX1" s="87" t="n"/>
      <c r="VTY1" s="87" t="n"/>
      <c r="VTZ1" s="87" t="n"/>
      <c r="VUA1" s="87" t="n"/>
      <c r="VUB1" s="87" t="n"/>
      <c r="VUC1" s="87" t="n"/>
      <c r="VUD1" s="87" t="n"/>
      <c r="VUE1" s="87" t="n"/>
      <c r="VUF1" s="87" t="n"/>
      <c r="VUG1" s="87" t="n"/>
      <c r="VUH1" s="87" t="n"/>
      <c r="VUI1" s="87" t="n"/>
      <c r="VUJ1" s="87" t="n"/>
      <c r="VUK1" s="87" t="n"/>
      <c r="VUL1" s="87" t="n"/>
      <c r="VUM1" s="87" t="n"/>
      <c r="VUN1" s="87" t="n"/>
      <c r="VUO1" s="87" t="n"/>
      <c r="VUP1" s="87" t="n"/>
      <c r="VUQ1" s="87" t="n"/>
      <c r="VUR1" s="87" t="n"/>
      <c r="VUS1" s="87" t="n"/>
      <c r="VUT1" s="87" t="n"/>
      <c r="VUU1" s="87" t="n"/>
      <c r="VUV1" s="87" t="n"/>
      <c r="VUW1" s="87" t="n"/>
      <c r="VUX1" s="87" t="n"/>
      <c r="VUY1" s="87" t="n"/>
      <c r="VUZ1" s="87" t="n"/>
      <c r="VVA1" s="87" t="n"/>
      <c r="VVB1" s="87" t="n"/>
      <c r="VVC1" s="87" t="n"/>
      <c r="VVD1" s="87" t="n"/>
      <c r="VVE1" s="87" t="n"/>
      <c r="VVF1" s="87" t="n"/>
      <c r="VVG1" s="87" t="n"/>
      <c r="VVH1" s="87" t="n"/>
      <c r="VVI1" s="87" t="n"/>
      <c r="VVJ1" s="87" t="n"/>
      <c r="VVK1" s="87" t="n"/>
      <c r="VVL1" s="87" t="n"/>
      <c r="VVM1" s="87" t="n"/>
      <c r="VVN1" s="87" t="n"/>
      <c r="VVO1" s="87" t="n"/>
      <c r="VVP1" s="87" t="n"/>
      <c r="VVQ1" s="87" t="n"/>
      <c r="VVR1" s="87" t="n"/>
      <c r="VVS1" s="87" t="n"/>
      <c r="VVT1" s="87" t="n"/>
      <c r="VVU1" s="87" t="n"/>
      <c r="VVV1" s="87" t="n"/>
      <c r="VVW1" s="87" t="n"/>
      <c r="VVX1" s="87" t="n"/>
      <c r="VVY1" s="87" t="n"/>
      <c r="VVZ1" s="87" t="n"/>
      <c r="VWA1" s="87" t="n"/>
      <c r="VWB1" s="87" t="n"/>
      <c r="VWC1" s="87" t="n"/>
      <c r="VWD1" s="87" t="n"/>
      <c r="VWE1" s="87" t="n"/>
      <c r="VWF1" s="87" t="n"/>
      <c r="VWG1" s="87" t="n"/>
      <c r="VWH1" s="87" t="n"/>
      <c r="VWI1" s="87" t="n"/>
      <c r="VWJ1" s="87" t="n"/>
      <c r="VWK1" s="87" t="n"/>
      <c r="VWL1" s="87" t="n"/>
      <c r="VWM1" s="87" t="n"/>
      <c r="VWN1" s="87" t="n"/>
      <c r="VWO1" s="87" t="n"/>
      <c r="VWP1" s="87" t="n"/>
      <c r="VWQ1" s="87" t="n"/>
      <c r="VWR1" s="87" t="n"/>
      <c r="VWS1" s="87" t="n"/>
      <c r="VWT1" s="87" t="n"/>
      <c r="VWU1" s="87" t="n"/>
      <c r="VWV1" s="87" t="n"/>
      <c r="VWW1" s="87" t="n"/>
      <c r="VWX1" s="87" t="n"/>
      <c r="VWY1" s="87" t="n"/>
      <c r="VWZ1" s="87" t="n"/>
      <c r="VXA1" s="87" t="n"/>
      <c r="VXB1" s="87" t="n"/>
      <c r="VXC1" s="87" t="n"/>
      <c r="VXD1" s="87" t="n"/>
      <c r="VXE1" s="87" t="n"/>
      <c r="VXF1" s="87" t="n"/>
      <c r="VXG1" s="87" t="n"/>
      <c r="VXH1" s="87" t="n"/>
      <c r="VXI1" s="87" t="n"/>
      <c r="VXJ1" s="87" t="n"/>
      <c r="VXK1" s="87" t="n"/>
      <c r="VXL1" s="87" t="n"/>
      <c r="VXM1" s="87" t="n"/>
      <c r="VXN1" s="87" t="n"/>
      <c r="VXO1" s="87" t="n"/>
      <c r="VXP1" s="87" t="n"/>
      <c r="VXQ1" s="87" t="n"/>
      <c r="VXR1" s="87" t="n"/>
      <c r="VXS1" s="87" t="n"/>
      <c r="VXT1" s="87" t="n"/>
      <c r="VXU1" s="87" t="n"/>
      <c r="VXV1" s="87" t="n"/>
      <c r="VXW1" s="87" t="n"/>
      <c r="VXX1" s="87" t="n"/>
      <c r="VXY1" s="87" t="n"/>
      <c r="VXZ1" s="87" t="n"/>
      <c r="VYA1" s="87" t="n"/>
      <c r="VYB1" s="87" t="n"/>
      <c r="VYC1" s="87" t="n"/>
      <c r="VYD1" s="87" t="n"/>
      <c r="VYE1" s="87" t="n"/>
      <c r="VYF1" s="87" t="n"/>
      <c r="VYG1" s="87" t="n"/>
      <c r="VYH1" s="87" t="n"/>
      <c r="VYI1" s="87" t="n"/>
      <c r="VYJ1" s="87" t="n"/>
      <c r="VYK1" s="87" t="n"/>
      <c r="VYL1" s="87" t="n"/>
      <c r="VYM1" s="87" t="n"/>
      <c r="VYN1" s="87" t="n"/>
      <c r="VYO1" s="87" t="n"/>
      <c r="VYP1" s="87" t="n"/>
      <c r="VYQ1" s="87" t="n"/>
      <c r="VYR1" s="87" t="n"/>
      <c r="VYS1" s="87" t="n"/>
      <c r="VYT1" s="87" t="n"/>
      <c r="VYU1" s="87" t="n"/>
      <c r="VYV1" s="87" t="n"/>
      <c r="VYW1" s="87" t="n"/>
      <c r="VYX1" s="87" t="n"/>
      <c r="VYY1" s="87" t="n"/>
      <c r="VYZ1" s="87" t="n"/>
      <c r="VZA1" s="87" t="n"/>
      <c r="VZB1" s="87" t="n"/>
      <c r="VZC1" s="87" t="n"/>
      <c r="VZD1" s="87" t="n"/>
      <c r="VZE1" s="87" t="n"/>
      <c r="VZF1" s="87" t="n"/>
      <c r="VZG1" s="87" t="n"/>
      <c r="VZH1" s="87" t="n"/>
      <c r="VZI1" s="87" t="n"/>
      <c r="VZJ1" s="87" t="n"/>
      <c r="VZK1" s="87" t="n"/>
      <c r="VZL1" s="87" t="n"/>
      <c r="VZM1" s="87" t="n"/>
      <c r="VZN1" s="87" t="n"/>
      <c r="VZO1" s="87" t="n"/>
      <c r="VZP1" s="87" t="n"/>
      <c r="VZQ1" s="87" t="n"/>
      <c r="VZR1" s="87" t="n"/>
      <c r="VZS1" s="87" t="n"/>
      <c r="VZT1" s="87" t="n"/>
      <c r="VZU1" s="87" t="n"/>
      <c r="VZV1" s="87" t="n"/>
      <c r="VZW1" s="87" t="n"/>
      <c r="VZX1" s="87" t="n"/>
      <c r="VZY1" s="87" t="n"/>
      <c r="VZZ1" s="87" t="n"/>
      <c r="WAA1" s="87" t="n"/>
      <c r="WAB1" s="87" t="n"/>
      <c r="WAC1" s="87" t="n"/>
      <c r="WAD1" s="87" t="n"/>
      <c r="WAE1" s="87" t="n"/>
      <c r="WAF1" s="87" t="n"/>
      <c r="WAG1" s="87" t="n"/>
      <c r="WAH1" s="87" t="n"/>
      <c r="WAI1" s="87" t="n"/>
      <c r="WAJ1" s="87" t="n"/>
      <c r="WAK1" s="87" t="n"/>
      <c r="WAL1" s="87" t="n"/>
      <c r="WAM1" s="87" t="n"/>
      <c r="WAN1" s="87" t="n"/>
      <c r="WAO1" s="87" t="n"/>
      <c r="WAP1" s="87" t="n"/>
      <c r="WAQ1" s="87" t="n"/>
      <c r="WAR1" s="87" t="n"/>
      <c r="WAS1" s="87" t="n"/>
      <c r="WAT1" s="87" t="n"/>
      <c r="WAU1" s="87" t="n"/>
      <c r="WAV1" s="87" t="n"/>
      <c r="WAW1" s="87" t="n"/>
      <c r="WAX1" s="87" t="n"/>
      <c r="WAY1" s="87" t="n"/>
      <c r="WAZ1" s="87" t="n"/>
      <c r="WBA1" s="87" t="n"/>
      <c r="WBB1" s="87" t="n"/>
      <c r="WBC1" s="87" t="n"/>
      <c r="WBD1" s="87" t="n"/>
      <c r="WBE1" s="87" t="n"/>
      <c r="WBF1" s="87" t="n"/>
      <c r="WBG1" s="87" t="n"/>
      <c r="WBH1" s="87" t="n"/>
      <c r="WBI1" s="87" t="n"/>
      <c r="WBJ1" s="87" t="n"/>
      <c r="WBK1" s="87" t="n"/>
      <c r="WBL1" s="87" t="n"/>
      <c r="WBM1" s="87" t="n"/>
      <c r="WBN1" s="87" t="n"/>
      <c r="WBO1" s="87" t="n"/>
      <c r="WBP1" s="87" t="n"/>
      <c r="WBQ1" s="87" t="n"/>
      <c r="WBR1" s="87" t="n"/>
      <c r="WBS1" s="87" t="n"/>
      <c r="WBT1" s="87" t="n"/>
      <c r="WBU1" s="87" t="n"/>
      <c r="WBV1" s="87" t="n"/>
      <c r="WBW1" s="87" t="n"/>
      <c r="WBX1" s="87" t="n"/>
      <c r="WBY1" s="87" t="n"/>
      <c r="WBZ1" s="87" t="n"/>
      <c r="WCA1" s="87" t="n"/>
      <c r="WCB1" s="87" t="n"/>
      <c r="WCC1" s="87" t="n"/>
      <c r="WCD1" s="87" t="n"/>
      <c r="WCE1" s="87" t="n"/>
      <c r="WCF1" s="87" t="n"/>
      <c r="WCG1" s="87" t="n"/>
      <c r="WCH1" s="87" t="n"/>
      <c r="WCI1" s="87" t="n"/>
      <c r="WCJ1" s="87" t="n"/>
      <c r="WCK1" s="87" t="n"/>
      <c r="WCL1" s="87" t="n"/>
      <c r="WCM1" s="87" t="n"/>
      <c r="WCN1" s="87" t="n"/>
      <c r="WCO1" s="87" t="n"/>
      <c r="WCP1" s="87" t="n"/>
      <c r="WCQ1" s="87" t="n"/>
      <c r="WCR1" s="87" t="n"/>
      <c r="WCS1" s="87" t="n"/>
      <c r="WCT1" s="87" t="n"/>
      <c r="WCU1" s="87" t="n"/>
      <c r="WCV1" s="87" t="n"/>
      <c r="WCW1" s="87" t="n"/>
      <c r="WCX1" s="87" t="n"/>
      <c r="WCY1" s="87" t="n"/>
      <c r="WCZ1" s="87" t="n"/>
      <c r="WDA1" s="87" t="n"/>
      <c r="WDB1" s="87" t="n"/>
      <c r="WDC1" s="87" t="n"/>
      <c r="WDD1" s="87" t="n"/>
      <c r="WDE1" s="87" t="n"/>
      <c r="WDF1" s="87" t="n"/>
      <c r="WDG1" s="87" t="n"/>
      <c r="WDH1" s="87" t="n"/>
      <c r="WDI1" s="87" t="n"/>
      <c r="WDJ1" s="87" t="n"/>
      <c r="WDK1" s="87" t="n"/>
      <c r="WDL1" s="87" t="n"/>
      <c r="WDM1" s="87" t="n"/>
      <c r="WDN1" s="87" t="n"/>
      <c r="WDO1" s="87" t="n"/>
      <c r="WDP1" s="87" t="n"/>
      <c r="WDQ1" s="87" t="n"/>
      <c r="WDR1" s="87" t="n"/>
      <c r="WDS1" s="87" t="n"/>
      <c r="WDT1" s="87" t="n"/>
      <c r="WDU1" s="87" t="n"/>
      <c r="WDV1" s="87" t="n"/>
      <c r="WDW1" s="87" t="n"/>
      <c r="WDX1" s="87" t="n"/>
      <c r="WDY1" s="87" t="n"/>
      <c r="WDZ1" s="87" t="n"/>
      <c r="WEA1" s="87" t="n"/>
      <c r="WEB1" s="87" t="n"/>
      <c r="WEC1" s="87" t="n"/>
      <c r="WED1" s="87" t="n"/>
      <c r="WEE1" s="87" t="n"/>
      <c r="WEF1" s="87" t="n"/>
      <c r="WEG1" s="87" t="n"/>
      <c r="WEH1" s="87" t="n"/>
      <c r="WEI1" s="87" t="n"/>
      <c r="WEJ1" s="87" t="n"/>
      <c r="WEK1" s="87" t="n"/>
      <c r="WEL1" s="87" t="n"/>
      <c r="WEM1" s="87" t="n"/>
      <c r="WEN1" s="87" t="n"/>
      <c r="WEO1" s="87" t="n"/>
      <c r="WEP1" s="87" t="n"/>
      <c r="WEQ1" s="87" t="n"/>
      <c r="WER1" s="87" t="n"/>
      <c r="WES1" s="87" t="n"/>
      <c r="WET1" s="87" t="n"/>
      <c r="WEU1" s="87" t="n"/>
      <c r="WEV1" s="87" t="n"/>
      <c r="WEW1" s="87" t="n"/>
      <c r="WEX1" s="87" t="n"/>
      <c r="WEY1" s="87" t="n"/>
      <c r="WEZ1" s="87" t="n"/>
      <c r="WFA1" s="87" t="n"/>
      <c r="WFB1" s="87" t="n"/>
      <c r="WFC1" s="87" t="n"/>
      <c r="WFD1" s="87" t="n"/>
      <c r="WFE1" s="87" t="n"/>
      <c r="WFF1" s="87" t="n"/>
      <c r="WFG1" s="87" t="n"/>
      <c r="WFH1" s="87" t="n"/>
      <c r="WFI1" s="87" t="n"/>
      <c r="WFJ1" s="87" t="n"/>
      <c r="WFK1" s="87" t="n"/>
      <c r="WFL1" s="87" t="n"/>
      <c r="WFM1" s="87" t="n"/>
      <c r="WFN1" s="87" t="n"/>
      <c r="WFO1" s="87" t="n"/>
      <c r="WFP1" s="87" t="n"/>
      <c r="WFQ1" s="87" t="n"/>
      <c r="WFR1" s="87" t="n"/>
      <c r="WFS1" s="87" t="n"/>
      <c r="WFT1" s="87" t="n"/>
      <c r="WFU1" s="87" t="n"/>
      <c r="WFV1" s="87" t="n"/>
      <c r="WFW1" s="87" t="n"/>
      <c r="WFX1" s="87" t="n"/>
      <c r="WFY1" s="87" t="n"/>
      <c r="WFZ1" s="87" t="n"/>
      <c r="WGA1" s="87" t="n"/>
      <c r="WGB1" s="87" t="n"/>
      <c r="WGC1" s="87" t="n"/>
      <c r="WGD1" s="87" t="n"/>
      <c r="WGE1" s="87" t="n"/>
      <c r="WGF1" s="87" t="n"/>
      <c r="WGG1" s="87" t="n"/>
      <c r="WGH1" s="87" t="n"/>
      <c r="WGI1" s="87" t="n"/>
      <c r="WGJ1" s="87" t="n"/>
      <c r="WGK1" s="87" t="n"/>
      <c r="WGL1" s="87" t="n"/>
      <c r="WGM1" s="87" t="n"/>
      <c r="WGN1" s="87" t="n"/>
      <c r="WGO1" s="87" t="n"/>
      <c r="WGP1" s="87" t="n"/>
      <c r="WGQ1" s="87" t="n"/>
      <c r="WGR1" s="87" t="n"/>
      <c r="WGS1" s="87" t="n"/>
      <c r="WGT1" s="87" t="n"/>
      <c r="WGU1" s="87" t="n"/>
      <c r="WGV1" s="87" t="n"/>
      <c r="WGW1" s="87" t="n"/>
      <c r="WGX1" s="87" t="n"/>
      <c r="WGY1" s="87" t="n"/>
      <c r="WGZ1" s="87" t="n"/>
      <c r="WHA1" s="87" t="n"/>
      <c r="WHB1" s="87" t="n"/>
      <c r="WHC1" s="87" t="n"/>
      <c r="WHD1" s="87" t="n"/>
      <c r="WHE1" s="87" t="n"/>
      <c r="WHF1" s="87" t="n"/>
      <c r="WHG1" s="87" t="n"/>
      <c r="WHH1" s="87" t="n"/>
      <c r="WHI1" s="87" t="n"/>
      <c r="WHJ1" s="87" t="n"/>
      <c r="WHK1" s="87" t="n"/>
      <c r="WHL1" s="87" t="n"/>
      <c r="WHM1" s="87" t="n"/>
      <c r="WHN1" s="87" t="n"/>
      <c r="WHO1" s="87" t="n"/>
      <c r="WHP1" s="87" t="n"/>
      <c r="WHQ1" s="87" t="n"/>
      <c r="WHR1" s="87" t="n"/>
      <c r="WHS1" s="87" t="n"/>
      <c r="WHT1" s="87" t="n"/>
      <c r="WHU1" s="87" t="n"/>
      <c r="WHV1" s="87" t="n"/>
      <c r="WHW1" s="87" t="n"/>
      <c r="WHX1" s="87" t="n"/>
      <c r="WHY1" s="87" t="n"/>
      <c r="WHZ1" s="87" t="n"/>
      <c r="WIA1" s="87" t="n"/>
      <c r="WIB1" s="87" t="n"/>
      <c r="WIC1" s="87" t="n"/>
      <c r="WID1" s="87" t="n"/>
      <c r="WIE1" s="87" t="n"/>
      <c r="WIF1" s="87" t="n"/>
      <c r="WIG1" s="87" t="n"/>
      <c r="WIH1" s="87" t="n"/>
      <c r="WII1" s="87" t="n"/>
      <c r="WIJ1" s="87" t="n"/>
      <c r="WIK1" s="87" t="n"/>
      <c r="WIL1" s="87" t="n"/>
      <c r="WIM1" s="87" t="n"/>
      <c r="WIN1" s="87" t="n"/>
      <c r="WIO1" s="87" t="n"/>
      <c r="WIP1" s="87" t="n"/>
      <c r="WIQ1" s="87" t="n"/>
      <c r="WIR1" s="87" t="n"/>
      <c r="WIS1" s="87" t="n"/>
      <c r="WIT1" s="87" t="n"/>
      <c r="WIU1" s="87" t="n"/>
      <c r="WIV1" s="87" t="n"/>
      <c r="WIW1" s="87" t="n"/>
      <c r="WIX1" s="87" t="n"/>
      <c r="WIY1" s="87" t="n"/>
      <c r="WIZ1" s="87" t="n"/>
      <c r="WJA1" s="87" t="n"/>
      <c r="WJB1" s="87" t="n"/>
      <c r="WJC1" s="87" t="n"/>
      <c r="WJD1" s="87" t="n"/>
      <c r="WJE1" s="87" t="n"/>
      <c r="WJF1" s="87" t="n"/>
      <c r="WJG1" s="87" t="n"/>
      <c r="WJH1" s="87" t="n"/>
      <c r="WJI1" s="87" t="n"/>
      <c r="WJJ1" s="87" t="n"/>
      <c r="WJK1" s="87" t="n"/>
      <c r="WJL1" s="87" t="n"/>
      <c r="WJM1" s="87" t="n"/>
      <c r="WJN1" s="87" t="n"/>
      <c r="WJO1" s="87" t="n"/>
      <c r="WJP1" s="87" t="n"/>
      <c r="WJQ1" s="87" t="n"/>
      <c r="WJR1" s="87" t="n"/>
      <c r="WJS1" s="87" t="n"/>
      <c r="WJT1" s="87" t="n"/>
      <c r="WJU1" s="87" t="n"/>
      <c r="WJV1" s="87" t="n"/>
      <c r="WJW1" s="87" t="n"/>
      <c r="WJX1" s="87" t="n"/>
      <c r="WJY1" s="87" t="n"/>
      <c r="WJZ1" s="87" t="n"/>
      <c r="WKA1" s="87" t="n"/>
      <c r="WKB1" s="87" t="n"/>
      <c r="WKC1" s="87" t="n"/>
      <c r="WKD1" s="87" t="n"/>
      <c r="WKE1" s="87" t="n"/>
      <c r="WKF1" s="87" t="n"/>
      <c r="WKG1" s="87" t="n"/>
      <c r="WKH1" s="87" t="n"/>
      <c r="WKI1" s="87" t="n"/>
      <c r="WKJ1" s="87" t="n"/>
      <c r="WKK1" s="87" t="n"/>
      <c r="WKL1" s="87" t="n"/>
      <c r="WKM1" s="87" t="n"/>
      <c r="WKN1" s="87" t="n"/>
      <c r="WKO1" s="87" t="n"/>
      <c r="WKP1" s="87" t="n"/>
      <c r="WKQ1" s="87" t="n"/>
      <c r="WKR1" s="87" t="n"/>
      <c r="WKS1" s="87" t="n"/>
      <c r="WKT1" s="87" t="n"/>
      <c r="WKU1" s="87" t="n"/>
      <c r="WKV1" s="87" t="n"/>
      <c r="WKW1" s="87" t="n"/>
      <c r="WKX1" s="87" t="n"/>
      <c r="WKY1" s="87" t="n"/>
      <c r="WKZ1" s="87" t="n"/>
      <c r="WLA1" s="87" t="n"/>
      <c r="WLB1" s="87" t="n"/>
      <c r="WLC1" s="87" t="n"/>
      <c r="WLD1" s="87" t="n"/>
      <c r="WLE1" s="87" t="n"/>
      <c r="WLF1" s="87" t="n"/>
      <c r="WLG1" s="87" t="n"/>
      <c r="WLH1" s="87" t="n"/>
      <c r="WLI1" s="87" t="n"/>
      <c r="WLJ1" s="87" t="n"/>
      <c r="WLK1" s="87" t="n"/>
      <c r="WLL1" s="87" t="n"/>
      <c r="WLM1" s="87" t="n"/>
      <c r="WLN1" s="87" t="n"/>
      <c r="WLO1" s="87" t="n"/>
      <c r="WLP1" s="87" t="n"/>
      <c r="WLQ1" s="87" t="n"/>
      <c r="WLR1" s="87" t="n"/>
      <c r="WLS1" s="87" t="n"/>
      <c r="WLT1" s="87" t="n"/>
      <c r="WLU1" s="87" t="n"/>
      <c r="WLV1" s="87" t="n"/>
      <c r="WLW1" s="87" t="n"/>
      <c r="WLX1" s="87" t="n"/>
      <c r="WLY1" s="87" t="n"/>
      <c r="WLZ1" s="87" t="n"/>
      <c r="WMA1" s="87" t="n"/>
      <c r="WMB1" s="87" t="n"/>
      <c r="WMC1" s="87" t="n"/>
      <c r="WMD1" s="87" t="n"/>
      <c r="WME1" s="87" t="n"/>
      <c r="WMF1" s="87" t="n"/>
      <c r="WMG1" s="87" t="n"/>
      <c r="WMH1" s="87" t="n"/>
      <c r="WMI1" s="87" t="n"/>
      <c r="WMJ1" s="87" t="n"/>
      <c r="WMK1" s="87" t="n"/>
      <c r="WML1" s="87" t="n"/>
      <c r="WMM1" s="87" t="n"/>
      <c r="WMN1" s="87" t="n"/>
      <c r="WMO1" s="87" t="n"/>
      <c r="WMP1" s="87" t="n"/>
      <c r="WMQ1" s="87" t="n"/>
      <c r="WMR1" s="87" t="n"/>
      <c r="WMS1" s="87" t="n"/>
      <c r="WMT1" s="87" t="n"/>
      <c r="WMU1" s="87" t="n"/>
      <c r="WMV1" s="87" t="n"/>
      <c r="WMW1" s="87" t="n"/>
      <c r="WMX1" s="87" t="n"/>
      <c r="WMY1" s="87" t="n"/>
      <c r="WMZ1" s="87" t="n"/>
      <c r="WNA1" s="87" t="n"/>
      <c r="WNB1" s="87" t="n"/>
      <c r="WNC1" s="87" t="n"/>
      <c r="WND1" s="87" t="n"/>
      <c r="WNE1" s="87" t="n"/>
      <c r="WNF1" s="87" t="n"/>
      <c r="WNG1" s="87" t="n"/>
      <c r="WNH1" s="87" t="n"/>
      <c r="WNI1" s="87" t="n"/>
      <c r="WNJ1" s="87" t="n"/>
      <c r="WNK1" s="87" t="n"/>
      <c r="WNL1" s="87" t="n"/>
      <c r="WNM1" s="87" t="n"/>
      <c r="WNN1" s="87" t="n"/>
      <c r="WNO1" s="87" t="n"/>
      <c r="WNP1" s="87" t="n"/>
      <c r="WNQ1" s="87" t="n"/>
      <c r="WNR1" s="87" t="n"/>
      <c r="WNS1" s="87" t="n"/>
      <c r="WNT1" s="87" t="n"/>
      <c r="WNU1" s="87" t="n"/>
      <c r="WNV1" s="87" t="n"/>
      <c r="WNW1" s="87" t="n"/>
      <c r="WNX1" s="87" t="n"/>
      <c r="WNY1" s="87" t="n"/>
      <c r="WNZ1" s="87" t="n"/>
      <c r="WOA1" s="87" t="n"/>
      <c r="WOB1" s="87" t="n"/>
      <c r="WOC1" s="87" t="n"/>
      <c r="WOD1" s="87" t="n"/>
      <c r="WOE1" s="87" t="n"/>
      <c r="WOF1" s="87" t="n"/>
      <c r="WOG1" s="87" t="n"/>
      <c r="WOH1" s="87" t="n"/>
      <c r="WOI1" s="87" t="n"/>
      <c r="WOJ1" s="87" t="n"/>
      <c r="WOK1" s="87" t="n"/>
      <c r="WOL1" s="87" t="n"/>
      <c r="WOM1" s="87" t="n"/>
      <c r="WON1" s="87" t="n"/>
      <c r="WOO1" s="87" t="n"/>
      <c r="WOP1" s="87" t="n"/>
      <c r="WOQ1" s="87" t="n"/>
      <c r="WOR1" s="87" t="n"/>
      <c r="WOS1" s="87" t="n"/>
      <c r="WOT1" s="87" t="n"/>
      <c r="WOU1" s="87" t="n"/>
      <c r="WOV1" s="87" t="n"/>
      <c r="WOW1" s="87" t="n"/>
      <c r="WOX1" s="87" t="n"/>
      <c r="WOY1" s="87" t="n"/>
      <c r="WOZ1" s="87" t="n"/>
      <c r="WPA1" s="87" t="n"/>
      <c r="WPB1" s="87" t="n"/>
      <c r="WPC1" s="87" t="n"/>
      <c r="WPD1" s="87" t="n"/>
      <c r="WPE1" s="87" t="n"/>
      <c r="WPF1" s="87" t="n"/>
      <c r="WPG1" s="87" t="n"/>
      <c r="WPH1" s="87" t="n"/>
      <c r="WPI1" s="87" t="n"/>
      <c r="WPJ1" s="87" t="n"/>
      <c r="WPK1" s="87" t="n"/>
      <c r="WPL1" s="87" t="n"/>
      <c r="WPM1" s="87" t="n"/>
      <c r="WPN1" s="87" t="n"/>
      <c r="WPO1" s="87" t="n"/>
      <c r="WPP1" s="87" t="n"/>
      <c r="WPQ1" s="87" t="n"/>
      <c r="WPR1" s="87" t="n"/>
      <c r="WPS1" s="87" t="n"/>
      <c r="WPT1" s="87" t="n"/>
      <c r="WPU1" s="87" t="n"/>
      <c r="WPV1" s="87" t="n"/>
      <c r="WPW1" s="87" t="n"/>
      <c r="WPX1" s="87" t="n"/>
      <c r="WPY1" s="87" t="n"/>
      <c r="WPZ1" s="87" t="n"/>
      <c r="WQA1" s="87" t="n"/>
      <c r="WQB1" s="87" t="n"/>
      <c r="WQC1" s="87" t="n"/>
      <c r="WQD1" s="87" t="n"/>
      <c r="WQE1" s="87" t="n"/>
      <c r="WQF1" s="87" t="n"/>
      <c r="WQG1" s="87" t="n"/>
      <c r="WQH1" s="87" t="n"/>
      <c r="WQI1" s="87" t="n"/>
      <c r="WQJ1" s="87" t="n"/>
      <c r="WQK1" s="87" t="n"/>
      <c r="WQL1" s="87" t="n"/>
      <c r="WQM1" s="87" t="n"/>
      <c r="WQN1" s="87" t="n"/>
      <c r="WQO1" s="87" t="n"/>
      <c r="WQP1" s="87" t="n"/>
      <c r="WQQ1" s="87" t="n"/>
      <c r="WQR1" s="87" t="n"/>
      <c r="WQS1" s="87" t="n"/>
      <c r="WQT1" s="87" t="n"/>
      <c r="WQU1" s="87" t="n"/>
      <c r="WQV1" s="87" t="n"/>
      <c r="WQW1" s="87" t="n"/>
      <c r="WQX1" s="87" t="n"/>
      <c r="WQY1" s="87" t="n"/>
      <c r="WQZ1" s="87" t="n"/>
      <c r="WRA1" s="87" t="n"/>
      <c r="WRB1" s="87" t="n"/>
      <c r="WRC1" s="87" t="n"/>
      <c r="WRD1" s="87" t="n"/>
      <c r="WRE1" s="87" t="n"/>
      <c r="WRF1" s="87" t="n"/>
      <c r="WRG1" s="87" t="n"/>
      <c r="WRH1" s="87" t="n"/>
      <c r="WRI1" s="87" t="n"/>
      <c r="WRJ1" s="87" t="n"/>
      <c r="WRK1" s="87" t="n"/>
      <c r="WRL1" s="87" t="n"/>
      <c r="WRM1" s="87" t="n"/>
      <c r="WRN1" s="87" t="n"/>
      <c r="WRO1" s="87" t="n"/>
      <c r="WRP1" s="87" t="n"/>
      <c r="WRQ1" s="87" t="n"/>
      <c r="WRR1" s="87" t="n"/>
      <c r="WRS1" s="87" t="n"/>
      <c r="WRT1" s="87" t="n"/>
      <c r="WRU1" s="87" t="n"/>
      <c r="WRV1" s="87" t="n"/>
      <c r="WRW1" s="87" t="n"/>
      <c r="WRX1" s="87" t="n"/>
      <c r="WRY1" s="87" t="n"/>
      <c r="WRZ1" s="87" t="n"/>
      <c r="WSA1" s="87" t="n"/>
      <c r="WSB1" s="87" t="n"/>
      <c r="WSC1" s="87" t="n"/>
      <c r="WSD1" s="87" t="n"/>
      <c r="WSE1" s="87" t="n"/>
      <c r="WSF1" s="87" t="n"/>
      <c r="WSG1" s="87" t="n"/>
      <c r="WSH1" s="87" t="n"/>
      <c r="WSI1" s="87" t="n"/>
      <c r="WSJ1" s="87" t="n"/>
      <c r="WSK1" s="87" t="n"/>
      <c r="WSL1" s="87" t="n"/>
      <c r="WSM1" s="87" t="n"/>
      <c r="WSN1" s="87" t="n"/>
      <c r="WSO1" s="87" t="n"/>
      <c r="WSP1" s="87" t="n"/>
      <c r="WSQ1" s="87" t="n"/>
      <c r="WSR1" s="87" t="n"/>
      <c r="WSS1" s="87" t="n"/>
      <c r="WST1" s="87" t="n"/>
      <c r="WSU1" s="87" t="n"/>
      <c r="WSV1" s="87" t="n"/>
      <c r="WSW1" s="87" t="n"/>
      <c r="WSX1" s="87" t="n"/>
      <c r="WSY1" s="87" t="n"/>
      <c r="WSZ1" s="87" t="n"/>
      <c r="WTA1" s="87" t="n"/>
      <c r="WTB1" s="87" t="n"/>
      <c r="WTC1" s="87" t="n"/>
      <c r="WTD1" s="87" t="n"/>
      <c r="WTE1" s="87" t="n"/>
      <c r="WTF1" s="87" t="n"/>
      <c r="WTG1" s="87" t="n"/>
      <c r="WTH1" s="87" t="n"/>
      <c r="WTI1" s="87" t="n"/>
      <c r="WTJ1" s="87" t="n"/>
      <c r="WTK1" s="87" t="n"/>
      <c r="WTL1" s="87" t="n"/>
      <c r="WTM1" s="87" t="n"/>
      <c r="WTN1" s="87" t="n"/>
      <c r="WTO1" s="87" t="n"/>
      <c r="WTP1" s="87" t="n"/>
      <c r="WTQ1" s="87" t="n"/>
      <c r="WTR1" s="87" t="n"/>
      <c r="WTS1" s="87" t="n"/>
      <c r="WTT1" s="87" t="n"/>
      <c r="WTU1" s="87" t="n"/>
      <c r="WTV1" s="87" t="n"/>
      <c r="WTW1" s="87" t="n"/>
      <c r="WTX1" s="87" t="n"/>
      <c r="WTY1" s="87" t="n"/>
      <c r="WTZ1" s="87" t="n"/>
      <c r="WUA1" s="87" t="n"/>
      <c r="WUB1" s="87" t="n"/>
      <c r="WUC1" s="87" t="n"/>
      <c r="WUD1" s="87" t="n"/>
      <c r="WUE1" s="87" t="n"/>
      <c r="WUF1" s="87" t="n"/>
      <c r="WUG1" s="87" t="n"/>
      <c r="WUH1" s="87" t="n"/>
      <c r="WUI1" s="87" t="n"/>
      <c r="WUJ1" s="87" t="n"/>
      <c r="WUK1" s="87" t="n"/>
      <c r="WUL1" s="87" t="n"/>
      <c r="WUM1" s="87" t="n"/>
      <c r="WUN1" s="87" t="n"/>
      <c r="WUO1" s="87" t="n"/>
      <c r="WUP1" s="87" t="n"/>
      <c r="WUQ1" s="87" t="n"/>
      <c r="WUR1" s="87" t="n"/>
      <c r="WUS1" s="87" t="n"/>
      <c r="WUT1" s="87" t="n"/>
      <c r="WUU1" s="87" t="n"/>
      <c r="WUV1" s="87" t="n"/>
      <c r="WUW1" s="87" t="n"/>
      <c r="WUX1" s="87" t="n"/>
      <c r="WUY1" s="87" t="n"/>
      <c r="WUZ1" s="87" t="n"/>
      <c r="WVA1" s="87" t="n"/>
      <c r="WVB1" s="87" t="n"/>
      <c r="WVC1" s="87" t="n"/>
      <c r="WVD1" s="87" t="n"/>
      <c r="WVE1" s="87" t="n"/>
      <c r="WVF1" s="87" t="n"/>
      <c r="WVG1" s="87" t="n"/>
      <c r="WVH1" s="87" t="n"/>
      <c r="WVI1" s="87" t="n"/>
      <c r="WVJ1" s="87" t="n"/>
      <c r="WVK1" s="87" t="n"/>
      <c r="WVL1" s="87" t="n"/>
      <c r="WVM1" s="87" t="n"/>
      <c r="WVN1" s="87" t="n"/>
      <c r="WVO1" s="87" t="n"/>
      <c r="WVP1" s="87" t="n"/>
      <c r="WVQ1" s="87" t="n"/>
      <c r="WVR1" s="87" t="n"/>
      <c r="WVS1" s="87" t="n"/>
      <c r="WVT1" s="87" t="n"/>
      <c r="WVU1" s="87" t="n"/>
      <c r="WVV1" s="87" t="n"/>
      <c r="WVW1" s="87" t="n"/>
      <c r="WVX1" s="87" t="n"/>
      <c r="WVY1" s="87" t="n"/>
      <c r="WVZ1" s="87" t="n"/>
      <c r="WWA1" s="87" t="n"/>
      <c r="WWB1" s="87" t="n"/>
      <c r="WWC1" s="87" t="n"/>
      <c r="WWD1" s="87" t="n"/>
      <c r="WWE1" s="87" t="n"/>
      <c r="WWF1" s="87" t="n"/>
      <c r="WWG1" s="87" t="n"/>
      <c r="WWH1" s="87" t="n"/>
      <c r="WWI1" s="87" t="n"/>
      <c r="WWJ1" s="87" t="n"/>
      <c r="WWK1" s="87" t="n"/>
      <c r="WWL1" s="87" t="n"/>
      <c r="WWM1" s="87" t="n"/>
      <c r="WWN1" s="87" t="n"/>
      <c r="WWO1" s="87" t="n"/>
      <c r="WWP1" s="87" t="n"/>
      <c r="WWQ1" s="87" t="n"/>
      <c r="WWR1" s="87" t="n"/>
      <c r="WWS1" s="87" t="n"/>
      <c r="WWT1" s="87" t="n"/>
      <c r="WWU1" s="87" t="n"/>
      <c r="WWV1" s="87" t="n"/>
      <c r="WWW1" s="87" t="n"/>
      <c r="WWX1" s="87" t="n"/>
      <c r="WWY1" s="87" t="n"/>
      <c r="WWZ1" s="87" t="n"/>
      <c r="WXA1" s="87" t="n"/>
      <c r="WXB1" s="87" t="n"/>
      <c r="WXC1" s="87" t="n"/>
      <c r="WXD1" s="87" t="n"/>
      <c r="WXE1" s="87" t="n"/>
      <c r="WXF1" s="87" t="n"/>
      <c r="WXG1" s="87" t="n"/>
      <c r="WXH1" s="87" t="n"/>
      <c r="WXI1" s="87" t="n"/>
      <c r="WXJ1" s="87" t="n"/>
      <c r="WXK1" s="87" t="n"/>
      <c r="WXL1" s="87" t="n"/>
      <c r="WXM1" s="87" t="n"/>
      <c r="WXN1" s="87" t="n"/>
      <c r="WXO1" s="87" t="n"/>
      <c r="WXP1" s="87" t="n"/>
      <c r="WXQ1" s="87" t="n"/>
      <c r="WXR1" s="87" t="n"/>
      <c r="WXS1" s="87" t="n"/>
      <c r="WXT1" s="87" t="n"/>
      <c r="WXU1" s="87" t="n"/>
      <c r="WXV1" s="87" t="n"/>
      <c r="WXW1" s="87" t="n"/>
      <c r="WXX1" s="87" t="n"/>
      <c r="WXY1" s="87" t="n"/>
      <c r="WXZ1" s="87" t="n"/>
      <c r="WYA1" s="87" t="n"/>
      <c r="WYB1" s="87" t="n"/>
      <c r="WYC1" s="87" t="n"/>
      <c r="WYD1" s="87" t="n"/>
      <c r="WYE1" s="87" t="n"/>
      <c r="WYF1" s="87" t="n"/>
      <c r="WYG1" s="87" t="n"/>
      <c r="WYH1" s="87" t="n"/>
      <c r="WYI1" s="87" t="n"/>
      <c r="WYJ1" s="87" t="n"/>
      <c r="WYK1" s="87" t="n"/>
      <c r="WYL1" s="87" t="n"/>
      <c r="WYM1" s="87" t="n"/>
      <c r="WYN1" s="87" t="n"/>
      <c r="WYO1" s="87" t="n"/>
      <c r="WYP1" s="87" t="n"/>
      <c r="WYQ1" s="87" t="n"/>
      <c r="WYR1" s="87" t="n"/>
      <c r="WYS1" s="87" t="n"/>
      <c r="WYT1" s="87" t="n"/>
      <c r="WYU1" s="87" t="n"/>
      <c r="WYV1" s="87" t="n"/>
      <c r="WYW1" s="87" t="n"/>
      <c r="WYX1" s="87" t="n"/>
      <c r="WYY1" s="87" t="n"/>
      <c r="WYZ1" s="87" t="n"/>
      <c r="WZA1" s="87" t="n"/>
      <c r="WZB1" s="87" t="n"/>
      <c r="WZC1" s="87" t="n"/>
      <c r="WZD1" s="87" t="n"/>
      <c r="WZE1" s="87" t="n"/>
      <c r="WZF1" s="87" t="n"/>
      <c r="WZG1" s="87" t="n"/>
      <c r="WZH1" s="87" t="n"/>
      <c r="WZI1" s="87" t="n"/>
      <c r="WZJ1" s="87" t="n"/>
      <c r="WZK1" s="87" t="n"/>
      <c r="WZL1" s="87" t="n"/>
      <c r="WZM1" s="87" t="n"/>
      <c r="WZN1" s="87" t="n"/>
      <c r="WZO1" s="87" t="n"/>
      <c r="WZP1" s="87" t="n"/>
      <c r="WZQ1" s="87" t="n"/>
      <c r="WZR1" s="87" t="n"/>
      <c r="WZS1" s="87" t="n"/>
      <c r="WZT1" s="87" t="n"/>
      <c r="WZU1" s="87" t="n"/>
      <c r="WZV1" s="87" t="n"/>
      <c r="WZW1" s="87" t="n"/>
      <c r="WZX1" s="87" t="n"/>
      <c r="WZY1" s="87" t="n"/>
      <c r="WZZ1" s="87" t="n"/>
      <c r="XAA1" s="87" t="n"/>
      <c r="XAB1" s="87" t="n"/>
      <c r="XAC1" s="87" t="n"/>
      <c r="XAD1" s="87" t="n"/>
      <c r="XAE1" s="87" t="n"/>
      <c r="XAF1" s="87" t="n"/>
      <c r="XAG1" s="87" t="n"/>
      <c r="XAH1" s="87" t="n"/>
      <c r="XAI1" s="87" t="n"/>
      <c r="XAJ1" s="87" t="n"/>
      <c r="XAK1" s="87" t="n"/>
      <c r="XAL1" s="87" t="n"/>
      <c r="XAM1" s="87" t="n"/>
      <c r="XAN1" s="87" t="n"/>
      <c r="XAO1" s="87" t="n"/>
      <c r="XAP1" s="87" t="n"/>
      <c r="XAQ1" s="87" t="n"/>
      <c r="XAR1" s="87" t="n"/>
      <c r="XAS1" s="87" t="n"/>
      <c r="XAT1" s="87" t="n"/>
      <c r="XAU1" s="87" t="n"/>
      <c r="XAV1" s="87" t="n"/>
      <c r="XAW1" s="87" t="n"/>
      <c r="XAX1" s="87" t="n"/>
      <c r="XAY1" s="87" t="n"/>
      <c r="XAZ1" s="87" t="n"/>
      <c r="XBA1" s="87" t="n"/>
      <c r="XBB1" s="87" t="n"/>
      <c r="XBC1" s="87" t="n"/>
      <c r="XBD1" s="87" t="n"/>
      <c r="XBE1" s="87" t="n"/>
      <c r="XBF1" s="87" t="n"/>
      <c r="XBG1" s="87" t="n"/>
      <c r="XBH1" s="87" t="n"/>
      <c r="XBI1" s="87" t="n"/>
      <c r="XBJ1" s="87" t="n"/>
      <c r="XBK1" s="87" t="n"/>
      <c r="XBL1" s="87" t="n"/>
      <c r="XBM1" s="87" t="n"/>
      <c r="XBN1" s="87" t="n"/>
      <c r="XBO1" s="87" t="n"/>
      <c r="XBP1" s="87" t="n"/>
      <c r="XBQ1" s="87" t="n"/>
      <c r="XBR1" s="87" t="n"/>
      <c r="XBS1" s="87" t="n"/>
      <c r="XBT1" s="87" t="n"/>
      <c r="XBU1" s="87" t="n"/>
      <c r="XBV1" s="87" t="n"/>
      <c r="XBW1" s="87" t="n"/>
      <c r="XBX1" s="87" t="n"/>
      <c r="XBY1" s="87" t="n"/>
      <c r="XBZ1" s="87" t="n"/>
      <c r="XCA1" s="87" t="n"/>
      <c r="XCB1" s="87" t="n"/>
      <c r="XCC1" s="87" t="n"/>
      <c r="XCD1" s="87" t="n"/>
      <c r="XCE1" s="87" t="n"/>
      <c r="XCF1" s="87" t="n"/>
      <c r="XCG1" s="87" t="n"/>
      <c r="XCH1" s="87" t="n"/>
      <c r="XCI1" s="87" t="n"/>
      <c r="XCJ1" s="87" t="n"/>
      <c r="XCK1" s="87" t="n"/>
      <c r="XCL1" s="87" t="n"/>
      <c r="XCM1" s="87" t="n"/>
      <c r="XCN1" s="87" t="n"/>
      <c r="XCO1" s="87" t="n"/>
      <c r="XCP1" s="87" t="n"/>
      <c r="XCQ1" s="87" t="n"/>
      <c r="XCR1" s="87" t="n"/>
      <c r="XCS1" s="87" t="n"/>
      <c r="XCT1" s="87" t="n"/>
      <c r="XCU1" s="87" t="n"/>
      <c r="XCV1" s="87" t="n"/>
      <c r="XCW1" s="87" t="n"/>
      <c r="XCX1" s="87" t="n"/>
      <c r="XCY1" s="87" t="n"/>
      <c r="XCZ1" s="87" t="n"/>
      <c r="XDA1" s="87" t="n"/>
      <c r="XDB1" s="87" t="n"/>
      <c r="XDC1" s="87" t="n"/>
      <c r="XDD1" s="87" t="n"/>
      <c r="XDE1" s="87" t="n"/>
      <c r="XDF1" s="87" t="n"/>
      <c r="XDG1" s="87" t="n"/>
      <c r="XDH1" s="87" t="n"/>
      <c r="XDI1" s="87" t="n"/>
      <c r="XDJ1" s="87" t="n"/>
      <c r="XDK1" s="87" t="n"/>
      <c r="XDL1" s="87" t="n"/>
      <c r="XDM1" s="87" t="n"/>
      <c r="XDN1" s="87" t="n"/>
      <c r="XDO1" s="87" t="n"/>
      <c r="XDP1" s="87" t="n"/>
      <c r="XDQ1" s="87" t="n"/>
      <c r="XDR1" s="87" t="n"/>
      <c r="XDS1" s="87" t="n"/>
      <c r="XDT1" s="87" t="n"/>
      <c r="XDU1" s="87" t="n"/>
      <c r="XDV1" s="87" t="n"/>
      <c r="XDW1" s="87" t="n"/>
      <c r="XDX1" s="87" t="n"/>
      <c r="XDY1" s="87" t="n"/>
      <c r="XDZ1" s="87" t="n"/>
      <c r="XEA1" s="87" t="n"/>
      <c r="XEB1" s="87" t="n"/>
      <c r="XEC1" s="87" t="n"/>
      <c r="XED1" s="87" t="n"/>
      <c r="XEE1" s="87" t="n"/>
      <c r="XEF1" s="87" t="n"/>
      <c r="XEG1" s="87" t="n"/>
      <c r="XEH1" s="87" t="n"/>
      <c r="XEI1" s="87" t="n"/>
      <c r="XEJ1" s="87" t="n"/>
      <c r="XEK1" s="87" t="n"/>
    </row>
    <row r="2">
      <c r="A2" t="n">
        <v>1</v>
      </c>
      <c r="B2" s="1" t="n">
        <v>43472</v>
      </c>
      <c r="C2" t="inlineStr">
        <is>
          <t>Hutchison Drei Austria GmbH, Brünner Straße 52, 1210 Wien, Österreich</t>
        </is>
      </c>
      <c r="D2" t="inlineStr">
        <is>
          <t>Ausgaben</t>
        </is>
      </c>
      <c r="E2" t="inlineStr">
        <is>
          <t>Telefon/Internet</t>
        </is>
      </c>
      <c r="F2" s="214" t="n">
        <v>18.35</v>
      </c>
      <c r="G2" t="inlineStr">
        <is>
          <t>20%</t>
        </is>
      </c>
    </row>
    <row r="3">
      <c r="A3" t="n">
        <v>2</v>
      </c>
      <c r="B3" s="1" t="n">
        <v>43472</v>
      </c>
      <c r="C3" t="inlineStr">
        <is>
          <t>Lemon Technologies GmbH, Unterweißenbach 181, 7330 Feldbach: Google Pixel 2 Smartphone</t>
        </is>
      </c>
      <c r="D3" t="inlineStr">
        <is>
          <t>Ausgaben</t>
        </is>
      </c>
      <c r="E3" t="inlineStr">
        <is>
          <t>sonstige Betriebsausgaben</t>
        </is>
      </c>
      <c r="F3" s="214" t="n">
        <v>628.4280000000001</v>
      </c>
      <c r="G3" t="inlineStr">
        <is>
          <t>20%</t>
        </is>
      </c>
    </row>
    <row r="4" hidden="1">
      <c r="A4" t="n">
        <v>3</v>
      </c>
      <c r="B4" s="1" t="n">
        <v>43474</v>
      </c>
      <c r="C4" t="inlineStr">
        <is>
          <t>H. Jaros e.U., Kohlmarkt 16/2/2/15a, 1010 Wien</t>
        </is>
      </c>
      <c r="D4" t="inlineStr">
        <is>
          <t>Einnahmen</t>
        </is>
      </c>
      <c r="E4" t="inlineStr">
        <is>
          <t>Waren-/Leistungserlöse</t>
        </is>
      </c>
      <c r="F4" s="214" t="n">
        <v>674.2080000000001</v>
      </c>
      <c r="G4" t="inlineStr">
        <is>
          <t>20%</t>
        </is>
      </c>
    </row>
    <row r="5">
      <c r="A5" t="n">
        <v>4</v>
      </c>
      <c r="B5" s="1" t="n">
        <v>43474</v>
      </c>
      <c r="C5" t="inlineStr">
        <is>
          <t>Libro 1090</t>
        </is>
      </c>
      <c r="D5" t="inlineStr">
        <is>
          <t>Ausgaben</t>
        </is>
      </c>
      <c r="E5" t="inlineStr">
        <is>
          <t>Büromaterial</t>
        </is>
      </c>
      <c r="F5" s="214" t="n">
        <v>14.14</v>
      </c>
      <c r="G5" t="inlineStr">
        <is>
          <t>20%</t>
        </is>
      </c>
    </row>
    <row r="6">
      <c r="A6" t="n">
        <v>5</v>
      </c>
      <c r="B6" s="1" t="n">
        <v>43475</v>
      </c>
      <c r="C6" t="inlineStr">
        <is>
          <t>UPC Telekabel Wien GmbH</t>
        </is>
      </c>
      <c r="D6" t="inlineStr">
        <is>
          <t>Ausgaben</t>
        </is>
      </c>
      <c r="E6" t="inlineStr">
        <is>
          <t>Telefon/Internet</t>
        </is>
      </c>
      <c r="F6" s="214" t="n">
        <v>23.088</v>
      </c>
      <c r="G6" t="inlineStr">
        <is>
          <t>20%</t>
        </is>
      </c>
    </row>
    <row r="7" hidden="1">
      <c r="A7" t="n">
        <v>6</v>
      </c>
      <c r="B7" s="1" t="n">
        <v>43476</v>
      </c>
      <c r="C7" t="inlineStr">
        <is>
          <t>Stokol GmbH</t>
        </is>
      </c>
      <c r="D7" t="inlineStr">
        <is>
          <t>Einnahmen</t>
        </is>
      </c>
      <c r="E7" t="inlineStr">
        <is>
          <t>Waren-/Leistungserlöse</t>
        </is>
      </c>
      <c r="F7" s="214" t="n">
        <v>2045.856</v>
      </c>
      <c r="G7" t="inlineStr">
        <is>
          <t>20%</t>
        </is>
      </c>
    </row>
    <row r="8">
      <c r="A8" t="n">
        <v>7</v>
      </c>
      <c r="B8" s="1" t="n">
        <v>43476</v>
      </c>
      <c r="C8" t="inlineStr">
        <is>
          <t>Hetzner Online GmbH</t>
        </is>
      </c>
      <c r="D8" t="inlineStr">
        <is>
          <t>Ausgaben</t>
        </is>
      </c>
      <c r="E8" t="inlineStr">
        <is>
          <t>sonstige Betriebsausgaben</t>
        </is>
      </c>
      <c r="F8" s="214" t="n">
        <v>46.92</v>
      </c>
      <c r="G8" t="inlineStr">
        <is>
          <t>0%</t>
        </is>
      </c>
    </row>
    <row r="9">
      <c r="A9" t="n">
        <v>8</v>
      </c>
      <c r="B9" s="1" t="n">
        <v>43480</v>
      </c>
      <c r="C9" t="inlineStr">
        <is>
          <t>Montana Energie Handel AT GmbH</t>
        </is>
      </c>
      <c r="D9" t="inlineStr">
        <is>
          <t>Ausgaben</t>
        </is>
      </c>
      <c r="E9" t="inlineStr">
        <is>
          <t>sonstige Betriebsausgaben</t>
        </is>
      </c>
      <c r="F9" s="214" t="n">
        <v>25.68006289951419</v>
      </c>
      <c r="G9" t="inlineStr">
        <is>
          <t>20%</t>
        </is>
      </c>
    </row>
    <row r="10" hidden="1">
      <c r="A10" t="n">
        <v>9</v>
      </c>
      <c r="B10" s="1" t="n">
        <v>43481</v>
      </c>
      <c r="C10" t="inlineStr">
        <is>
          <t>Hays Österreich GmbH</t>
        </is>
      </c>
      <c r="D10" t="inlineStr">
        <is>
          <t>Einnahmen</t>
        </is>
      </c>
      <c r="E10" t="inlineStr">
        <is>
          <t>Waren-/Leistungserlöse</t>
        </is>
      </c>
      <c r="F10" s="214" t="n">
        <v>1805.4</v>
      </c>
      <c r="G10" t="inlineStr">
        <is>
          <t>20%</t>
        </is>
      </c>
    </row>
    <row r="11" hidden="1">
      <c r="A11" t="n">
        <v>10</v>
      </c>
      <c r="B11" s="1" t="n">
        <v>43482</v>
      </c>
      <c r="C11" t="inlineStr">
        <is>
          <t>Franz Hauer GmbH + Co KG</t>
        </is>
      </c>
      <c r="D11" t="inlineStr">
        <is>
          <t>Einnahmen</t>
        </is>
      </c>
      <c r="E11" t="inlineStr">
        <is>
          <t>Waren-/Leistungserlöse</t>
        </is>
      </c>
      <c r="F11" s="214" t="n">
        <v>2035.92</v>
      </c>
      <c r="G11" t="inlineStr">
        <is>
          <t>20%</t>
        </is>
      </c>
    </row>
    <row r="12">
      <c r="A12" t="n">
        <v>11</v>
      </c>
      <c r="B12" s="1" t="n">
        <v>43482</v>
      </c>
      <c r="C12" t="inlineStr">
        <is>
          <t>Aon Austria GmbH</t>
        </is>
      </c>
      <c r="D12" t="inlineStr">
        <is>
          <t>Ausgaben</t>
        </is>
      </c>
      <c r="E12" t="inlineStr">
        <is>
          <t>sonstige Betriebsausgaben</t>
        </is>
      </c>
      <c r="F12" s="214" t="n">
        <v>282.72</v>
      </c>
      <c r="G12" t="inlineStr">
        <is>
          <t>20%</t>
        </is>
      </c>
    </row>
    <row r="13" hidden="1">
      <c r="A13" t="n">
        <v>12</v>
      </c>
      <c r="B13" s="1" t="n">
        <v>43490</v>
      </c>
      <c r="C13" t="inlineStr">
        <is>
          <t>Hays Österreich GmbH</t>
        </is>
      </c>
      <c r="D13" t="inlineStr">
        <is>
          <t>Einnahmen</t>
        </is>
      </c>
      <c r="E13" t="inlineStr">
        <is>
          <t>Waren-/Leistungserlöse</t>
        </is>
      </c>
      <c r="F13" s="214" t="n">
        <v>3858.6</v>
      </c>
      <c r="G13" t="inlineStr">
        <is>
          <t>20%</t>
        </is>
      </c>
    </row>
    <row r="14">
      <c r="A14" t="n">
        <v>13</v>
      </c>
      <c r="B14" s="1" t="n">
        <v>43497</v>
      </c>
      <c r="C14" t="inlineStr">
        <is>
          <t>Hutchison Drei Austria GmbH, Brünner Straße 52, 1210 Wien, Österreich</t>
        </is>
      </c>
      <c r="D14" t="inlineStr">
        <is>
          <t>Ausgaben</t>
        </is>
      </c>
      <c r="E14" t="inlineStr">
        <is>
          <t>Telefon/Internet</t>
        </is>
      </c>
      <c r="F14" s="214" t="n">
        <v>18</v>
      </c>
      <c r="G14" t="inlineStr">
        <is>
          <t>20%</t>
        </is>
      </c>
    </row>
    <row r="15">
      <c r="A15" t="n">
        <v>14</v>
      </c>
      <c r="B15" s="1" t="n">
        <v>43502</v>
      </c>
      <c r="C15" t="inlineStr">
        <is>
          <t>UPC Telekabel Wien GmbH</t>
        </is>
      </c>
      <c r="D15" t="inlineStr">
        <is>
          <t>Ausgaben</t>
        </is>
      </c>
      <c r="E15" t="inlineStr">
        <is>
          <t>Telefon/Internet</t>
        </is>
      </c>
      <c r="F15" s="214" t="n">
        <v>23.088</v>
      </c>
      <c r="G15" t="inlineStr">
        <is>
          <t>20%</t>
        </is>
      </c>
    </row>
    <row r="16">
      <c r="A16" t="n">
        <v>15</v>
      </c>
      <c r="B16" s="1" t="n">
        <v>43490</v>
      </c>
      <c r="C16" t="inlineStr">
        <is>
          <t>easyname GmbH, Fernkorngasse 10/3/501, A-1100 Wien</t>
        </is>
      </c>
      <c r="D16" t="inlineStr">
        <is>
          <t>Ausgaben</t>
        </is>
      </c>
      <c r="E16" t="inlineStr">
        <is>
          <t>sonstige Betriebsausgaben</t>
        </is>
      </c>
      <c r="F16" s="214" t="n">
        <v>14.904</v>
      </c>
      <c r="G16" t="inlineStr">
        <is>
          <t>20%</t>
        </is>
      </c>
    </row>
    <row r="17">
      <c r="A17" t="n">
        <v>16</v>
      </c>
      <c r="B17" s="1" t="n">
        <v>43497</v>
      </c>
      <c r="C17" t="inlineStr">
        <is>
          <t>Fotostudio Nelson, Maria Nelson, Lederergasse 6, 1080 Wien</t>
        </is>
      </c>
      <c r="D17" t="inlineStr">
        <is>
          <t>Ausgaben</t>
        </is>
      </c>
      <c r="E17" t="inlineStr">
        <is>
          <t>sonstige Betriebsausgaben</t>
        </is>
      </c>
      <c r="F17" s="214" t="n">
        <v>116</v>
      </c>
      <c r="G17" t="inlineStr">
        <is>
          <t>20%</t>
        </is>
      </c>
    </row>
    <row r="18" hidden="1">
      <c r="A18" t="n">
        <v>17</v>
      </c>
      <c r="B18" s="1" t="n">
        <v>43509</v>
      </c>
      <c r="C18" t="inlineStr">
        <is>
          <t>Koltschik GmbH</t>
        </is>
      </c>
      <c r="D18" t="inlineStr">
        <is>
          <t>Einnahmen</t>
        </is>
      </c>
      <c r="E18" t="inlineStr">
        <is>
          <t>Waren-/Leistungserlöse</t>
        </is>
      </c>
      <c r="F18" s="214" t="n">
        <v>112.5</v>
      </c>
      <c r="G18" t="inlineStr">
        <is>
          <t>20%</t>
        </is>
      </c>
    </row>
    <row r="19">
      <c r="A19" t="n">
        <v>18</v>
      </c>
      <c r="B19" s="1" t="n">
        <v>43509</v>
      </c>
      <c r="C19" t="inlineStr">
        <is>
          <t>Hetzner Online GmbH</t>
        </is>
      </c>
      <c r="D19" t="inlineStr">
        <is>
          <t>Ausgaben</t>
        </is>
      </c>
      <c r="E19" t="inlineStr">
        <is>
          <t>sonstige Betriebsausgaben</t>
        </is>
      </c>
      <c r="F19" s="214" t="n">
        <v>46.92</v>
      </c>
      <c r="G19" t="inlineStr">
        <is>
          <t>0%</t>
        </is>
      </c>
    </row>
    <row r="20">
      <c r="A20" t="n">
        <v>19</v>
      </c>
      <c r="B20" s="1" t="n">
        <v>43511</v>
      </c>
      <c r="C20" t="inlineStr">
        <is>
          <t>Montana Energie Handel AT GmbH</t>
        </is>
      </c>
      <c r="D20" t="inlineStr">
        <is>
          <t>Ausgaben</t>
        </is>
      </c>
      <c r="E20" t="inlineStr">
        <is>
          <t>sonstige Betriebsausgaben</t>
        </is>
      </c>
      <c r="F20" s="214" t="n">
        <v>25.68006289951419</v>
      </c>
      <c r="G20" t="inlineStr">
        <is>
          <t>20%</t>
        </is>
      </c>
    </row>
    <row r="21">
      <c r="A21" t="n">
        <v>20</v>
      </c>
      <c r="B21" s="1" t="n">
        <v>43518</v>
      </c>
      <c r="C21" t="inlineStr">
        <is>
          <t>Österreichische Post AG</t>
        </is>
      </c>
      <c r="D21" t="inlineStr">
        <is>
          <t>Ausgaben</t>
        </is>
      </c>
      <c r="E21" t="inlineStr">
        <is>
          <t>Porto/Gebühren</t>
        </is>
      </c>
      <c r="F21" s="214" t="n">
        <v>16.2</v>
      </c>
      <c r="G21" t="inlineStr">
        <is>
          <t>0%</t>
        </is>
      </c>
    </row>
    <row r="22">
      <c r="A22" t="n">
        <v>21</v>
      </c>
      <c r="B22" s="1" t="n">
        <v>43490</v>
      </c>
      <c r="C22" t="inlineStr">
        <is>
          <t>Premium Laudongasse 58 GmbH &amp; Co KG</t>
        </is>
      </c>
      <c r="D22" t="inlineStr">
        <is>
          <t>Ausgaben</t>
        </is>
      </c>
      <c r="E22" t="inlineStr">
        <is>
          <t>Miet- und Pachtaufwand, Leasing</t>
        </is>
      </c>
      <c r="F22" s="214" t="n">
        <v>229.4321667092815</v>
      </c>
      <c r="G22" t="inlineStr">
        <is>
          <t>10%</t>
        </is>
      </c>
    </row>
    <row r="23">
      <c r="A23" t="n">
        <v>22</v>
      </c>
      <c r="B23" s="1" t="n">
        <v>43521</v>
      </c>
      <c r="C23" t="inlineStr">
        <is>
          <t>Premium Laudongasse 58 GmbH &amp; Co KG</t>
        </is>
      </c>
      <c r="D23" t="inlineStr">
        <is>
          <t>Ausgaben</t>
        </is>
      </c>
      <c r="E23" t="inlineStr">
        <is>
          <t>Miet- und Pachtaufwand, Leasing</t>
        </is>
      </c>
      <c r="F23" s="214" t="n">
        <v>229.4321667092815</v>
      </c>
      <c r="G23" t="inlineStr">
        <is>
          <t>10%</t>
        </is>
      </c>
    </row>
    <row r="24">
      <c r="A24" t="n">
        <v>23</v>
      </c>
      <c r="B24" s="1" t="n">
        <v>43522</v>
      </c>
      <c r="C24" t="inlineStr">
        <is>
          <t>Sozialversicherung der gewerblichen Wirtshaft</t>
        </is>
      </c>
      <c r="D24" t="inlineStr">
        <is>
          <t>Ausgaben</t>
        </is>
      </c>
      <c r="E24" t="inlineStr">
        <is>
          <t>Pflichversicherungsbeiträge</t>
        </is>
      </c>
      <c r="F24" s="214" t="n">
        <v>4752.06</v>
      </c>
      <c r="G24" t="inlineStr">
        <is>
          <t>0%</t>
        </is>
      </c>
    </row>
    <row r="25">
      <c r="A25" t="n">
        <v>24</v>
      </c>
      <c r="B25" s="1" t="n">
        <v>43528</v>
      </c>
      <c r="C25" t="inlineStr">
        <is>
          <t>Verbund AG, Postfach 8400, 1011 Wien, Österreich</t>
        </is>
      </c>
      <c r="D25" t="inlineStr">
        <is>
          <t>Ausgaben</t>
        </is>
      </c>
      <c r="E25" t="inlineStr">
        <is>
          <t>sonstige Betriebsausgaben</t>
        </is>
      </c>
      <c r="F25" s="214" t="n">
        <v>48.90457018665303</v>
      </c>
      <c r="G25" t="inlineStr">
        <is>
          <t>20%</t>
        </is>
      </c>
    </row>
    <row r="26">
      <c r="A26" t="n">
        <v>25</v>
      </c>
      <c r="B26" s="1" t="n">
        <v>43523</v>
      </c>
      <c r="C26" t="inlineStr">
        <is>
          <t>paybox Bank AG (Parkscheine)</t>
        </is>
      </c>
      <c r="D26" t="inlineStr">
        <is>
          <t>Ausgaben</t>
        </is>
      </c>
      <c r="E26" t="inlineStr">
        <is>
          <t>Reise- und Fahrtspesen inkl. Kilometergeld und Diäten</t>
        </is>
      </c>
      <c r="F26" s="214" t="n">
        <v>21</v>
      </c>
      <c r="G26" t="inlineStr">
        <is>
          <t>0%</t>
        </is>
      </c>
    </row>
    <row r="27">
      <c r="A27" t="n">
        <v>26</v>
      </c>
      <c r="B27" s="1" t="n">
        <v>43528</v>
      </c>
      <c r="C27" t="inlineStr">
        <is>
          <t>Amazon EU S. à r.l., 38 avenue John F. Kennedy, L-1855 Luxembourg</t>
        </is>
      </c>
      <c r="D27" t="inlineStr">
        <is>
          <t>Ausgaben</t>
        </is>
      </c>
      <c r="E27" t="inlineStr">
        <is>
          <t>Waren, Rohstoffe, Hilfsstoffe</t>
        </is>
      </c>
      <c r="F27" s="214" t="n">
        <v>60.408</v>
      </c>
      <c r="G27" t="inlineStr">
        <is>
          <t>20%</t>
        </is>
      </c>
    </row>
    <row r="28">
      <c r="A28" t="n">
        <v>27</v>
      </c>
      <c r="B28" s="1" t="n">
        <v>43529</v>
      </c>
      <c r="C28" t="inlineStr">
        <is>
          <t>Hutchison Drei Austria GmbH, Brünner Straße 52, 1210 Wien, Österreich</t>
        </is>
      </c>
      <c r="D28" t="inlineStr">
        <is>
          <t>Ausgaben</t>
        </is>
      </c>
      <c r="E28" t="inlineStr">
        <is>
          <t>Telefon/Internet</t>
        </is>
      </c>
      <c r="F28" s="214" t="n">
        <v>18</v>
      </c>
      <c r="G28" t="inlineStr">
        <is>
          <t>20%</t>
        </is>
      </c>
    </row>
    <row r="29">
      <c r="A29" t="n">
        <v>28</v>
      </c>
      <c r="B29" s="1" t="n">
        <v>43525</v>
      </c>
      <c r="C29" t="inlineStr">
        <is>
          <t>Xing SE, Dammtorstraße 30, 20354 Hamburg</t>
        </is>
      </c>
      <c r="D29" t="inlineStr">
        <is>
          <t>Ausgaben</t>
        </is>
      </c>
      <c r="E29" t="inlineStr">
        <is>
          <t>sonstige Betriebsausgaben</t>
        </is>
      </c>
      <c r="F29" s="214" t="n">
        <v>24.88</v>
      </c>
      <c r="G29" t="inlineStr">
        <is>
          <t>0%</t>
        </is>
      </c>
    </row>
    <row r="30">
      <c r="A30" t="n">
        <v>29</v>
      </c>
      <c r="B30" s="1" t="n">
        <v>43530</v>
      </c>
      <c r="C30" t="inlineStr">
        <is>
          <t>Wiener Linien GmbH &amp; Co KG</t>
        </is>
      </c>
      <c r="D30" t="inlineStr">
        <is>
          <t>Ausgaben</t>
        </is>
      </c>
      <c r="E30" t="inlineStr">
        <is>
          <t>Reise- und Fahrtspesen inkl. Kilometergeld und Diäten</t>
        </is>
      </c>
      <c r="F30" s="214" t="n">
        <v>365.002</v>
      </c>
      <c r="G30" t="inlineStr">
        <is>
          <t>10%</t>
        </is>
      </c>
    </row>
    <row r="31">
      <c r="A31" t="n">
        <v>30</v>
      </c>
      <c r="B31" s="1" t="n">
        <v>43531</v>
      </c>
      <c r="C31" t="inlineStr">
        <is>
          <t>UPC Telekabel Wien GmbH</t>
        </is>
      </c>
      <c r="D31" t="inlineStr">
        <is>
          <t>Ausgaben</t>
        </is>
      </c>
      <c r="E31" t="inlineStr">
        <is>
          <t>Telefon/Internet</t>
        </is>
      </c>
      <c r="F31" s="214" t="n">
        <v>23.088</v>
      </c>
      <c r="G31" t="inlineStr">
        <is>
          <t>20%</t>
        </is>
      </c>
    </row>
    <row r="32">
      <c r="A32" t="n">
        <v>31</v>
      </c>
      <c r="B32" s="1" t="n">
        <v>43535</v>
      </c>
      <c r="C32" t="inlineStr">
        <is>
          <t>Amazon EU S. à r.l., 38 avenue John F. Kennedy, L-1855 Luxembourg: HJEU: Xperia XZ2 Compact</t>
        </is>
      </c>
      <c r="D32" t="inlineStr">
        <is>
          <t>Ausgaben</t>
        </is>
      </c>
      <c r="E32" t="inlineStr">
        <is>
          <t>Waren, Rohstoffe, Hilfsstoffe</t>
        </is>
      </c>
      <c r="F32" s="214" t="n">
        <v>447.888</v>
      </c>
      <c r="G32" t="inlineStr">
        <is>
          <t>20%</t>
        </is>
      </c>
    </row>
    <row r="33">
      <c r="A33" t="n">
        <v>32</v>
      </c>
      <c r="B33" s="1" t="n">
        <v>43535</v>
      </c>
      <c r="C33" t="inlineStr">
        <is>
          <t>Hetzner Online GmbH</t>
        </is>
      </c>
      <c r="D33" t="inlineStr">
        <is>
          <t>Ausgaben</t>
        </is>
      </c>
      <c r="E33" t="inlineStr">
        <is>
          <t>sonstige Betriebsausgaben</t>
        </is>
      </c>
      <c r="F33" s="214" t="n">
        <v>46.92</v>
      </c>
      <c r="G33" t="inlineStr">
        <is>
          <t>0%</t>
        </is>
      </c>
    </row>
    <row r="34">
      <c r="A34" t="n">
        <v>33</v>
      </c>
      <c r="B34" s="1" t="n">
        <v>43539</v>
      </c>
      <c r="C34" t="inlineStr">
        <is>
          <t>Amazon EU S. à r.l., 38 avenue John F. Kennedy, L-1855 Luxembourg: HJEU: Sony 1312-4414</t>
        </is>
      </c>
      <c r="D34" t="inlineStr">
        <is>
          <t>Ausgaben</t>
        </is>
      </c>
      <c r="E34" t="inlineStr">
        <is>
          <t>Waren, Rohstoffe, Hilfsstoffe</t>
        </is>
      </c>
      <c r="F34" s="214" t="n">
        <v>29.988</v>
      </c>
      <c r="G34" t="inlineStr">
        <is>
          <t>20%</t>
        </is>
      </c>
    </row>
    <row r="35">
      <c r="A35" t="n">
        <v>34</v>
      </c>
      <c r="B35" s="1" t="n">
        <v>43539</v>
      </c>
      <c r="C35" t="inlineStr">
        <is>
          <t>Montana Energie Handel AT GmbH</t>
        </is>
      </c>
      <c r="D35" t="inlineStr">
        <is>
          <t>Ausgaben</t>
        </is>
      </c>
      <c r="E35" t="inlineStr">
        <is>
          <t>sonstige Betriebsausgaben</t>
        </is>
      </c>
      <c r="F35" s="214" t="n">
        <v>25.68006289951419</v>
      </c>
      <c r="G35" t="inlineStr">
        <is>
          <t>20%</t>
        </is>
      </c>
    </row>
    <row r="36">
      <c r="A36" t="n">
        <v>35</v>
      </c>
      <c r="B36" s="1" t="n">
        <v>43549</v>
      </c>
      <c r="C36" t="inlineStr">
        <is>
          <t>easyname GmbH, Fernkorngasse 10/3/501, A-1100 Wien</t>
        </is>
      </c>
      <c r="D36" t="inlineStr">
        <is>
          <t>Ausgaben</t>
        </is>
      </c>
      <c r="E36" t="inlineStr">
        <is>
          <t>sonstige Betriebsausgaben</t>
        </is>
      </c>
      <c r="F36" s="214" t="n">
        <v>14.904</v>
      </c>
      <c r="G36" t="inlineStr">
        <is>
          <t>20%</t>
        </is>
      </c>
    </row>
    <row r="37">
      <c r="A37" t="n">
        <v>36</v>
      </c>
      <c r="B37" s="1" t="n">
        <v>43549</v>
      </c>
      <c r="C37" t="inlineStr">
        <is>
          <t>Lemon Technologies GmbH, Unterweißenbach 181, 7330 Feldbach: Lenovo T580, Lenovo X1 Carbon etc.</t>
        </is>
      </c>
      <c r="D37" t="inlineStr">
        <is>
          <t>Ausgaben</t>
        </is>
      </c>
      <c r="E37" t="inlineStr">
        <is>
          <t>Waren, Rohstoffe, Hilfsstoffe</t>
        </is>
      </c>
      <c r="F37" s="214" t="n">
        <v>3511.66</v>
      </c>
      <c r="G37" t="inlineStr">
        <is>
          <t>20%</t>
        </is>
      </c>
    </row>
    <row r="38">
      <c r="A38" t="n">
        <v>37</v>
      </c>
      <c r="B38" s="1" t="n">
        <v>43549</v>
      </c>
      <c r="C38" t="inlineStr">
        <is>
          <t>Premium Laudongasse 58 GmbH &amp; Co KG</t>
        </is>
      </c>
      <c r="D38" t="inlineStr">
        <is>
          <t>Ausgaben</t>
        </is>
      </c>
      <c r="E38" t="inlineStr">
        <is>
          <t>Miet- und Pachtaufwand, Leasing</t>
        </is>
      </c>
      <c r="F38" s="214" t="n">
        <v>229.4321667092815</v>
      </c>
      <c r="G38" t="inlineStr">
        <is>
          <t>10%</t>
        </is>
      </c>
    </row>
    <row r="39">
      <c r="A39" t="n">
        <v>38</v>
      </c>
      <c r="B39" s="1" t="n">
        <v>43556</v>
      </c>
      <c r="C39" t="inlineStr">
        <is>
          <t>Hutchison Drei Austria GmbH, Brünner Straße 52, 1210 Wien, Österreich</t>
        </is>
      </c>
      <c r="D39" t="inlineStr">
        <is>
          <t>Ausgaben</t>
        </is>
      </c>
      <c r="E39" t="inlineStr">
        <is>
          <t>Telefon/Internet</t>
        </is>
      </c>
      <c r="F39" s="214" t="n">
        <v>20.436</v>
      </c>
      <c r="G39" t="inlineStr">
        <is>
          <t>20%</t>
        </is>
      </c>
    </row>
    <row r="40">
      <c r="A40" t="n">
        <v>39</v>
      </c>
      <c r="B40" s="1" t="n">
        <v>43553</v>
      </c>
      <c r="C40" t="inlineStr">
        <is>
          <t>car2go Österreich GmbH, Hintere Zollamtstraße 9, 1030 Wien</t>
        </is>
      </c>
      <c r="D40" t="inlineStr">
        <is>
          <t>Ausgaben</t>
        </is>
      </c>
      <c r="E40" t="inlineStr">
        <is>
          <t>Reise- und Fahrtspesen inkl. Kilometergeld und Diäten</t>
        </is>
      </c>
      <c r="F40" s="214" t="n">
        <v>5.268</v>
      </c>
      <c r="G40" t="inlineStr">
        <is>
          <t>20%</t>
        </is>
      </c>
    </row>
    <row r="41">
      <c r="A41" t="n">
        <v>40</v>
      </c>
      <c r="B41" s="1" t="n">
        <v>43553</v>
      </c>
      <c r="C41" t="inlineStr">
        <is>
          <t>Büroprofi Koch Papier GmbH, 1080 Wien, Josefstädter Str  87</t>
        </is>
      </c>
      <c r="D41" t="inlineStr">
        <is>
          <t>Ausgaben</t>
        </is>
      </c>
      <c r="E41" t="inlineStr">
        <is>
          <t>Büromaterial</t>
        </is>
      </c>
      <c r="F41" s="214" t="n">
        <v>23.18</v>
      </c>
      <c r="G41" t="inlineStr">
        <is>
          <t>20%</t>
        </is>
      </c>
    </row>
    <row r="42">
      <c r="A42" t="n">
        <v>41</v>
      </c>
      <c r="B42" s="1" t="n">
        <v>43558</v>
      </c>
      <c r="C42" t="inlineStr">
        <is>
          <t>Amazon EU S. à r.l., 38 avenue John F. Kennedy, L-1855 Luxembourg: HJEU: DVI-HDMI, Logitech Maus</t>
        </is>
      </c>
      <c r="D42" t="inlineStr">
        <is>
          <t>Ausgaben</t>
        </is>
      </c>
      <c r="E42" t="inlineStr">
        <is>
          <t>Waren, Rohstoffe, Hilfsstoffe</t>
        </is>
      </c>
      <c r="F42" s="214" t="n">
        <v>16.104</v>
      </c>
      <c r="G42" t="inlineStr">
        <is>
          <t>20%</t>
        </is>
      </c>
    </row>
    <row r="43">
      <c r="A43" t="n">
        <v>42</v>
      </c>
      <c r="B43" s="1" t="n">
        <v>43558</v>
      </c>
      <c r="C43" t="inlineStr">
        <is>
          <t>Shenzhen Link Dream Electronics Co., Ltd., Rm 510,5/F, Huafa Bld, Huafa North Rd, Futian Dist, Shenzhen, China</t>
        </is>
      </c>
      <c r="D43" t="inlineStr">
        <is>
          <t>Ausgaben</t>
        </is>
      </c>
      <c r="E43" t="inlineStr">
        <is>
          <t>Büromaterial</t>
        </is>
      </c>
      <c r="F43" s="214" t="n">
        <v>18.99</v>
      </c>
      <c r="G43" t="inlineStr">
        <is>
          <t>0%</t>
        </is>
      </c>
    </row>
    <row r="44" hidden="1">
      <c r="A44" t="n">
        <v>43</v>
      </c>
      <c r="B44" s="1" t="n">
        <v>43564</v>
      </c>
      <c r="C44" t="inlineStr">
        <is>
          <t>Stokol GmbH, Weiglg. 10/10d/11, 1150 Wien</t>
        </is>
      </c>
      <c r="D44" t="inlineStr">
        <is>
          <t>Einnahmen</t>
        </is>
      </c>
      <c r="E44" t="inlineStr">
        <is>
          <t>Waren-/Leistungserlöse</t>
        </is>
      </c>
      <c r="F44" s="214" t="n">
        <v>779.28</v>
      </c>
      <c r="G44" t="inlineStr">
        <is>
          <t>20%</t>
        </is>
      </c>
    </row>
    <row r="45" hidden="1">
      <c r="A45" t="n">
        <v>44</v>
      </c>
      <c r="B45" s="1" t="n">
        <v>43571</v>
      </c>
      <c r="C45" t="inlineStr">
        <is>
          <t>Schick Küchendesign e.U. Alexander Schick, Linzerstraße 247, 1140 Wien</t>
        </is>
      </c>
      <c r="D45" t="inlineStr">
        <is>
          <t>Einnahmen</t>
        </is>
      </c>
      <c r="E45" t="inlineStr">
        <is>
          <t>Waren-/Leistungserlöse</t>
        </is>
      </c>
      <c r="F45" s="214" t="n">
        <v>840.9</v>
      </c>
      <c r="G45" t="inlineStr">
        <is>
          <t>20%</t>
        </is>
      </c>
    </row>
    <row r="46" hidden="1">
      <c r="A46" t="n">
        <v>45</v>
      </c>
      <c r="B46" s="1" t="n">
        <v>43565</v>
      </c>
      <c r="C46" t="inlineStr">
        <is>
          <t>H. Jaros e.U., Fischhof 3/23, 1010 Wien, ATU 67698048</t>
        </is>
      </c>
      <c r="D46" t="inlineStr">
        <is>
          <t>Einnahmen</t>
        </is>
      </c>
      <c r="E46" t="inlineStr">
        <is>
          <t>Waren-/Leistungserlöse</t>
        </is>
      </c>
      <c r="F46" s="214" t="n">
        <v>6121.392</v>
      </c>
      <c r="G46" t="inlineStr">
        <is>
          <t>20%</t>
        </is>
      </c>
    </row>
    <row r="47">
      <c r="A47" t="n">
        <v>46</v>
      </c>
      <c r="B47" s="1" t="n">
        <v>43565</v>
      </c>
      <c r="C47" t="inlineStr">
        <is>
          <t>UPC Telekabel Wien GmbH</t>
        </is>
      </c>
      <c r="D47" t="inlineStr">
        <is>
          <t>Ausgaben</t>
        </is>
      </c>
      <c r="E47" t="inlineStr">
        <is>
          <t>Telefon/Internet</t>
        </is>
      </c>
      <c r="F47" s="214" t="n">
        <v>23.088</v>
      </c>
      <c r="G47" t="inlineStr">
        <is>
          <t>20%</t>
        </is>
      </c>
    </row>
    <row r="48">
      <c r="A48" t="n">
        <v>47</v>
      </c>
      <c r="B48" s="1" t="n">
        <v>43566</v>
      </c>
      <c r="C48" t="inlineStr">
        <is>
          <t>Hetzner Online GmbH</t>
        </is>
      </c>
      <c r="D48" t="inlineStr">
        <is>
          <t>Ausgaben</t>
        </is>
      </c>
      <c r="E48" t="inlineStr">
        <is>
          <t>sonstige Betriebsausgaben</t>
        </is>
      </c>
      <c r="F48" s="214" t="n">
        <v>46.92</v>
      </c>
      <c r="G48" t="inlineStr">
        <is>
          <t>0%</t>
        </is>
      </c>
    </row>
    <row r="49">
      <c r="A49" t="n">
        <v>48</v>
      </c>
      <c r="B49" s="1" t="n">
        <v>43566</v>
      </c>
      <c r="C49" t="inlineStr">
        <is>
          <t>Ryan Cramer Design, LLC, 204 Clarion Ave, Decatur, GA 30030, USA: ProcessWire ProDrafts Dev License</t>
        </is>
      </c>
      <c r="D49" t="inlineStr">
        <is>
          <t>Ausgaben</t>
        </is>
      </c>
      <c r="E49" t="inlineStr">
        <is>
          <t>Lizenzgebühren</t>
        </is>
      </c>
      <c r="F49" s="214" t="n">
        <v>80.28</v>
      </c>
      <c r="G49" t="inlineStr">
        <is>
          <t>0%</t>
        </is>
      </c>
    </row>
    <row r="50">
      <c r="A50" t="n">
        <v>49</v>
      </c>
      <c r="B50" s="1" t="n">
        <v>43570</v>
      </c>
      <c r="C50" t="inlineStr">
        <is>
          <t>Montana Energie Handel AT GmbH</t>
        </is>
      </c>
      <c r="D50" t="inlineStr">
        <is>
          <t>Ausgaben</t>
        </is>
      </c>
      <c r="E50" t="inlineStr">
        <is>
          <t>sonstige Betriebsausgaben</t>
        </is>
      </c>
      <c r="F50" s="214" t="n">
        <v>25.68006289951419</v>
      </c>
      <c r="G50" t="inlineStr">
        <is>
          <t>20%</t>
        </is>
      </c>
    </row>
    <row r="51">
      <c r="A51" t="n">
        <v>50</v>
      </c>
      <c r="B51" s="1" t="n">
        <v>43584</v>
      </c>
      <c r="C51" t="inlineStr">
        <is>
          <t>shen zhen shi ben fei mao yi you xdian gong si, nan guang jie  jia da sha 1328 shi, fu tian jie dao shen nan zhong lu 3037 hao, shezhen, 518000, CN, UID: DE311758738</t>
        </is>
      </c>
      <c r="D51" t="inlineStr">
        <is>
          <t>Ausgaben</t>
        </is>
      </c>
      <c r="E51" t="inlineStr">
        <is>
          <t>Waren, Rohstoffe, Hilfsstoffe</t>
        </is>
      </c>
      <c r="F51" s="214" t="n">
        <v>7.59</v>
      </c>
      <c r="G51" t="inlineStr">
        <is>
          <t>0%</t>
        </is>
      </c>
    </row>
    <row r="52">
      <c r="A52" t="n">
        <v>51</v>
      </c>
      <c r="B52" s="1" t="n">
        <v>43587</v>
      </c>
      <c r="C52" t="inlineStr">
        <is>
          <t>Amazon EU S. à r.l., 38 avenue John F. Kennedy, L-1855 Luxembourg: HJEU: DVI-HDMI, Logitech Maus</t>
        </is>
      </c>
      <c r="D52" t="inlineStr">
        <is>
          <t>Ausgaben</t>
        </is>
      </c>
      <c r="E52" t="inlineStr">
        <is>
          <t>Waren, Rohstoffe, Hilfsstoffe</t>
        </is>
      </c>
      <c r="F52" s="214" t="n">
        <v>46.884</v>
      </c>
      <c r="G52" t="inlineStr">
        <is>
          <t>20%</t>
        </is>
      </c>
    </row>
    <row r="53">
      <c r="A53" t="n">
        <v>52</v>
      </c>
      <c r="B53" s="1" t="n">
        <v>43591</v>
      </c>
      <c r="C53" t="inlineStr">
        <is>
          <t>car2go Österreich GmbH, Hintere Zollamtstraße 9, 1030 Wien</t>
        </is>
      </c>
      <c r="D53" t="inlineStr">
        <is>
          <t>Ausgaben</t>
        </is>
      </c>
      <c r="E53" t="inlineStr">
        <is>
          <t>Reise- und Fahrtspesen inkl. Kilometergeld und Diäten</t>
        </is>
      </c>
      <c r="F53" s="214" t="n">
        <v>8.74</v>
      </c>
      <c r="G53" t="inlineStr">
        <is>
          <t>20%</t>
        </is>
      </c>
    </row>
    <row r="54">
      <c r="A54" t="n">
        <v>53</v>
      </c>
      <c r="B54" s="1" t="n">
        <v>43591</v>
      </c>
      <c r="C54" t="inlineStr">
        <is>
          <t>car2go Österreich GmbH, Hintere Zollamtstraße 9, 1030 Wien</t>
        </is>
      </c>
      <c r="D54" t="inlineStr">
        <is>
          <t>Ausgaben</t>
        </is>
      </c>
      <c r="E54" t="inlineStr">
        <is>
          <t>Reise- und Fahrtspesen inkl. Kilometergeld und Diäten</t>
        </is>
      </c>
      <c r="F54" s="214" t="n">
        <v>7.6</v>
      </c>
      <c r="G54" t="inlineStr">
        <is>
          <t>20%</t>
        </is>
      </c>
    </row>
    <row r="55">
      <c r="A55" t="n">
        <v>54</v>
      </c>
      <c r="B55" s="1" t="n">
        <v>43591</v>
      </c>
      <c r="C55" t="inlineStr">
        <is>
          <t>car2go Österreich GmbH, Hintere Zollamtstraße 9, 1030 Wien</t>
        </is>
      </c>
      <c r="D55" t="inlineStr">
        <is>
          <t>Ausgaben</t>
        </is>
      </c>
      <c r="E55" t="inlineStr">
        <is>
          <t>Reise- und Fahrtspesen inkl. Kilometergeld und Diäten</t>
        </is>
      </c>
      <c r="F55" s="214" t="n">
        <v>7.000000000000001</v>
      </c>
      <c r="G55" t="inlineStr">
        <is>
          <t>20%</t>
        </is>
      </c>
    </row>
    <row r="56">
      <c r="A56" t="n">
        <v>55</v>
      </c>
      <c r="B56" s="1" t="n">
        <v>43591</v>
      </c>
      <c r="C56" t="inlineStr">
        <is>
          <t>Hutchison Drei Austria GmbH, Brünner Straße 52, 1210 Wien, Österreich</t>
        </is>
      </c>
      <c r="D56" t="inlineStr">
        <is>
          <t>Ausgaben</t>
        </is>
      </c>
      <c r="E56" t="inlineStr">
        <is>
          <t>Telefon/Internet</t>
        </is>
      </c>
      <c r="F56" s="214" t="n">
        <v>18</v>
      </c>
      <c r="G56" t="inlineStr">
        <is>
          <t>20%</t>
        </is>
      </c>
    </row>
    <row r="57">
      <c r="A57" t="n">
        <v>56</v>
      </c>
      <c r="B57" s="1" t="n">
        <v>43594</v>
      </c>
      <c r="C57" t="inlineStr">
        <is>
          <t>car2go Österreich GmbH, Hintere Zollamtstraße 9, 1030 Wien</t>
        </is>
      </c>
      <c r="D57" t="inlineStr">
        <is>
          <t>Ausgaben</t>
        </is>
      </c>
      <c r="E57" t="inlineStr">
        <is>
          <t>Reise- und Fahrtspesen inkl. Kilometergeld und Diäten</t>
        </is>
      </c>
      <c r="F57" s="214" t="n">
        <v>4.34</v>
      </c>
      <c r="G57" t="inlineStr">
        <is>
          <t>20%</t>
        </is>
      </c>
    </row>
    <row r="58">
      <c r="A58" t="n">
        <v>57</v>
      </c>
      <c r="B58" s="1" t="n">
        <v>43595</v>
      </c>
      <c r="C58" t="inlineStr">
        <is>
          <t>UPC Telekabel Wien GmbH</t>
        </is>
      </c>
      <c r="D58" t="inlineStr">
        <is>
          <t>Ausgaben</t>
        </is>
      </c>
      <c r="E58" t="inlineStr">
        <is>
          <t>Telefon/Internet</t>
        </is>
      </c>
      <c r="F58" s="214" t="n">
        <v>23.088</v>
      </c>
      <c r="G58" t="inlineStr">
        <is>
          <t>20%</t>
        </is>
      </c>
    </row>
    <row r="59">
      <c r="A59" t="n">
        <v>58</v>
      </c>
      <c r="B59" s="1" t="n">
        <v>43598</v>
      </c>
      <c r="C59" t="inlineStr">
        <is>
          <t>Hetzner Online GmbH</t>
        </is>
      </c>
      <c r="D59" t="inlineStr">
        <is>
          <t>Ausgaben</t>
        </is>
      </c>
      <c r="E59" t="inlineStr">
        <is>
          <t>sonstige Betriebsausgaben</t>
        </is>
      </c>
      <c r="F59" s="214" t="n">
        <v>46.92</v>
      </c>
      <c r="G59" t="inlineStr">
        <is>
          <t>0%</t>
        </is>
      </c>
    </row>
    <row r="60" hidden="1">
      <c r="A60" t="n">
        <v>59</v>
      </c>
      <c r="B60" s="1" t="n">
        <v>43598</v>
      </c>
      <c r="C60" t="inlineStr">
        <is>
          <t>Franz Hauer GmbH + Co KG</t>
        </is>
      </c>
      <c r="D60" t="inlineStr">
        <is>
          <t>Einnahmen</t>
        </is>
      </c>
      <c r="E60" t="inlineStr">
        <is>
          <t>Waren-/Leistungserlöse</t>
        </is>
      </c>
      <c r="F60" s="214" t="n">
        <v>4405.38</v>
      </c>
      <c r="G60" t="inlineStr">
        <is>
          <t>20%</t>
        </is>
      </c>
    </row>
    <row r="61">
      <c r="A61" t="n">
        <v>60</v>
      </c>
      <c r="B61" s="1" t="n">
        <v>43599</v>
      </c>
      <c r="C61" t="inlineStr">
        <is>
          <t>car2go Österreich GmbH, Hintere Zollamtstraße 9, 1030 Wien</t>
        </is>
      </c>
      <c r="D61" t="inlineStr">
        <is>
          <t>Ausgaben</t>
        </is>
      </c>
      <c r="E61" t="inlineStr">
        <is>
          <t>Reise- und Fahrtspesen inkl. Kilometergeld und Diäten</t>
        </is>
      </c>
      <c r="F61" s="214" t="n">
        <v>2.17</v>
      </c>
      <c r="G61" t="inlineStr">
        <is>
          <t>20%</t>
        </is>
      </c>
    </row>
    <row r="62">
      <c r="A62" t="n">
        <v>61</v>
      </c>
      <c r="B62" s="1" t="n">
        <v>43600</v>
      </c>
      <c r="C62" t="inlineStr">
        <is>
          <t>Montana Energie Handel AT GmbH</t>
        </is>
      </c>
      <c r="D62" t="inlineStr">
        <is>
          <t>Ausgaben</t>
        </is>
      </c>
      <c r="E62" t="inlineStr">
        <is>
          <t>sonstige Betriebsausgaben</t>
        </is>
      </c>
      <c r="F62" s="214" t="n">
        <v>25.68006289951419</v>
      </c>
      <c r="G62" t="inlineStr">
        <is>
          <t>20%</t>
        </is>
      </c>
    </row>
    <row r="63">
      <c r="A63" t="n">
        <v>62</v>
      </c>
      <c r="B63" s="1" t="n">
        <v>43605</v>
      </c>
      <c r="C63" t="inlineStr">
        <is>
          <t>Amazon EU S. à r.l., 38 avenue John F. Kennedy, L-1855 Luxembourg: HJEU: DVI-HDMI, Logitech Maus</t>
        </is>
      </c>
      <c r="D63" t="inlineStr">
        <is>
          <t>Ausgaben</t>
        </is>
      </c>
      <c r="E63" t="inlineStr">
        <is>
          <t>Waren, Rohstoffe, Hilfsstoffe</t>
        </is>
      </c>
      <c r="F63" s="214" t="n">
        <v>34.272</v>
      </c>
      <c r="G63" t="inlineStr">
        <is>
          <t>20%</t>
        </is>
      </c>
    </row>
    <row r="64">
      <c r="A64" t="n">
        <v>63</v>
      </c>
      <c r="B64" s="1" t="n">
        <v>43612</v>
      </c>
      <c r="C64" t="inlineStr">
        <is>
          <t>Sozialversicherung der gewerblichen Wirtshaft</t>
        </is>
      </c>
      <c r="D64" t="inlineStr">
        <is>
          <t>Ausgaben</t>
        </is>
      </c>
      <c r="E64" t="inlineStr">
        <is>
          <t>Pflichversicherungsbeiträge</t>
        </is>
      </c>
      <c r="F64" s="214" t="n">
        <v>4752.06</v>
      </c>
      <c r="G64" t="inlineStr">
        <is>
          <t>0%</t>
        </is>
      </c>
    </row>
    <row r="65">
      <c r="A65" t="n">
        <v>64</v>
      </c>
      <c r="B65" s="1" t="n">
        <v>43612</v>
      </c>
      <c r="C65" t="inlineStr">
        <is>
          <t>Premium Laudongasse 58 GmbH &amp; Co KG</t>
        </is>
      </c>
      <c r="D65" t="inlineStr">
        <is>
          <t>Ausgaben</t>
        </is>
      </c>
      <c r="E65" t="inlineStr">
        <is>
          <t>Miet- und Pachtaufwand, Leasing</t>
        </is>
      </c>
      <c r="F65" s="214" t="n">
        <v>229.4321667092815</v>
      </c>
      <c r="G65" t="inlineStr">
        <is>
          <t>10%</t>
        </is>
      </c>
    </row>
    <row r="66">
      <c r="A66" t="n">
        <v>65</v>
      </c>
      <c r="B66" s="1" t="n">
        <v>43609</v>
      </c>
      <c r="C66" t="inlineStr">
        <is>
          <t>easyname GmbH, Fernkorngasse 10/3/501, A-1100 Wien</t>
        </is>
      </c>
      <c r="D66" t="inlineStr">
        <is>
          <t>Ausgaben</t>
        </is>
      </c>
      <c r="E66" t="inlineStr">
        <is>
          <t>sonstige Betriebsausgaben</t>
        </is>
      </c>
      <c r="F66" s="214" t="n">
        <v>14.904</v>
      </c>
      <c r="G66" t="inlineStr">
        <is>
          <t>20%</t>
        </is>
      </c>
    </row>
    <row r="67">
      <c r="A67" t="n">
        <v>66</v>
      </c>
      <c r="B67" s="1" t="n">
        <v>43614</v>
      </c>
      <c r="C67" t="inlineStr">
        <is>
          <t>Xing SE, Dammtorstraße 30, 20354 Hamburg</t>
        </is>
      </c>
      <c r="D67" t="inlineStr">
        <is>
          <t>Ausgaben</t>
        </is>
      </c>
      <c r="E67" t="inlineStr">
        <is>
          <t>sonstige Betriebsausgaben</t>
        </is>
      </c>
      <c r="F67" s="214" t="n">
        <v>24.88</v>
      </c>
      <c r="G67" t="inlineStr">
        <is>
          <t>0%</t>
        </is>
      </c>
    </row>
    <row r="68">
      <c r="A68" t="n">
        <v>67</v>
      </c>
      <c r="B68" s="1" t="n">
        <v>43619</v>
      </c>
      <c r="C68" t="inlineStr">
        <is>
          <t>car2go Österreich GmbH, Hintere Zollamtstraße 9, 1030 Wien</t>
        </is>
      </c>
      <c r="D68" t="inlineStr">
        <is>
          <t>Ausgaben</t>
        </is>
      </c>
      <c r="E68" t="inlineStr">
        <is>
          <t>Reise- und Fahrtspesen inkl. Kilometergeld und Diäten</t>
        </is>
      </c>
      <c r="F68" s="214" t="n">
        <v>3.72</v>
      </c>
      <c r="G68" t="inlineStr">
        <is>
          <t>20%</t>
        </is>
      </c>
    </row>
    <row r="69">
      <c r="A69" t="n">
        <v>68</v>
      </c>
      <c r="B69" s="1" t="n">
        <v>43619</v>
      </c>
      <c r="C69" t="inlineStr">
        <is>
          <t>Verbund AG, Postfach 8400, 1011 Wien, Österreich</t>
        </is>
      </c>
      <c r="D69" t="inlineStr">
        <is>
          <t>Ausgaben</t>
        </is>
      </c>
      <c r="E69" t="inlineStr">
        <is>
          <t>sonstige Betriebsausgaben</t>
        </is>
      </c>
      <c r="F69" s="214" t="n">
        <v>48.90457018665303</v>
      </c>
      <c r="G69" t="inlineStr">
        <is>
          <t>20%</t>
        </is>
      </c>
    </row>
    <row r="70">
      <c r="A70" t="n">
        <v>69</v>
      </c>
      <c r="B70" s="1" t="n">
        <v>43619</v>
      </c>
      <c r="C70" t="inlineStr">
        <is>
          <t>Hutchison Drei Austria GmbH, Brünner Straße 52, 1210 Wien, Österreich</t>
        </is>
      </c>
      <c r="D70" t="inlineStr">
        <is>
          <t>Ausgaben</t>
        </is>
      </c>
      <c r="E70" t="inlineStr">
        <is>
          <t>Telefon/Internet</t>
        </is>
      </c>
      <c r="F70" s="214" t="n">
        <v>18</v>
      </c>
      <c r="G70" t="inlineStr">
        <is>
          <t>20%</t>
        </is>
      </c>
    </row>
    <row r="71">
      <c r="A71" t="n">
        <v>70</v>
      </c>
      <c r="B71" s="1" t="n">
        <v>43627</v>
      </c>
      <c r="C71" t="inlineStr">
        <is>
          <t>car2go Österreich GmbH, Hintere Zollamtstraße 9, 1030 Wien</t>
        </is>
      </c>
      <c r="D71" t="inlineStr">
        <is>
          <t>Ausgaben</t>
        </is>
      </c>
      <c r="E71" t="inlineStr">
        <is>
          <t>Reise- und Fahrtspesen inkl. Kilometergeld und Diäten</t>
        </is>
      </c>
      <c r="F71" s="214" t="n">
        <v>4.956</v>
      </c>
      <c r="G71" t="inlineStr">
        <is>
          <t>20%</t>
        </is>
      </c>
    </row>
    <row r="72">
      <c r="A72" t="n">
        <v>71</v>
      </c>
      <c r="B72" s="1" t="n">
        <v>43623</v>
      </c>
      <c r="C72" t="inlineStr">
        <is>
          <t>UPC Telekabel Wien GmbH, A1120 Wien, Postfach 47</t>
        </is>
      </c>
      <c r="D72" t="inlineStr">
        <is>
          <t>Ausgaben</t>
        </is>
      </c>
      <c r="E72" t="inlineStr">
        <is>
          <t>Telefon/Internet</t>
        </is>
      </c>
      <c r="F72" s="214" t="n">
        <v>23.088</v>
      </c>
      <c r="G72" t="inlineStr">
        <is>
          <t>20%</t>
        </is>
      </c>
    </row>
    <row r="73">
      <c r="A73" t="n">
        <v>72</v>
      </c>
      <c r="B73" s="1" t="n">
        <v>43627</v>
      </c>
      <c r="C73" t="inlineStr">
        <is>
          <t>A-Trust Gesellschaft für Sicherheitssysteme im elektronischen Datenverkehr GmbH, Landstraßer Hauptstraße 1b, E02, A-1030 Wien: a.sign light Zertifikat Nutzung 1J, Signaturvertrag 158279472050</t>
        </is>
      </c>
      <c r="D73" t="inlineStr">
        <is>
          <t>Ausgaben</t>
        </is>
      </c>
      <c r="E73" t="inlineStr">
        <is>
          <t>Lizenzgebühren</t>
        </is>
      </c>
      <c r="F73" s="214" t="n">
        <v>10.536</v>
      </c>
      <c r="G73" t="inlineStr">
        <is>
          <t>20%</t>
        </is>
      </c>
    </row>
    <row r="74">
      <c r="A74" t="n">
        <v>73</v>
      </c>
      <c r="B74" s="1" t="n">
        <v>43627</v>
      </c>
      <c r="C74" t="inlineStr">
        <is>
          <t>Wirtschaftskammer Wien Grundumlagen, Straße der Wiener Wirtschaft 1, 1020 Wien: GU UBIT</t>
        </is>
      </c>
      <c r="D74" t="inlineStr">
        <is>
          <t>Ausgaben</t>
        </is>
      </c>
      <c r="E74" t="inlineStr">
        <is>
          <t>sonstige Betriebsausgaben</t>
        </is>
      </c>
      <c r="F74" s="214" t="n">
        <v>65</v>
      </c>
      <c r="G74" t="inlineStr">
        <is>
          <t>0%</t>
        </is>
      </c>
    </row>
    <row r="75" hidden="1">
      <c r="A75" t="n">
        <v>74</v>
      </c>
      <c r="B75" s="1" t="n">
        <v>43629</v>
      </c>
      <c r="C75" t="inlineStr">
        <is>
          <t>Wedding Avenue e.U., Mayerweckstrasse 2-8/99/1, 1210 Wien</t>
        </is>
      </c>
      <c r="D75" t="inlineStr">
        <is>
          <t>Einnahmen</t>
        </is>
      </c>
      <c r="E75" t="inlineStr">
        <is>
          <t>Waren-/Leistungserlöse</t>
        </is>
      </c>
      <c r="F75" s="214" t="n">
        <v>1989</v>
      </c>
      <c r="G75" t="inlineStr">
        <is>
          <t>20%</t>
        </is>
      </c>
    </row>
    <row r="76">
      <c r="A76" t="n">
        <v>75</v>
      </c>
      <c r="B76" s="1" t="n">
        <v>43630</v>
      </c>
      <c r="C76" t="inlineStr">
        <is>
          <t>Hetzner Online GmbH</t>
        </is>
      </c>
      <c r="D76" t="inlineStr">
        <is>
          <t>Ausgaben</t>
        </is>
      </c>
      <c r="E76" t="inlineStr">
        <is>
          <t>sonstige Betriebsausgaben</t>
        </is>
      </c>
      <c r="F76" s="214" t="n">
        <v>46.92</v>
      </c>
      <c r="G76" t="inlineStr">
        <is>
          <t>0%</t>
        </is>
      </c>
    </row>
    <row r="77">
      <c r="A77" t="n">
        <v>76</v>
      </c>
      <c r="B77" s="1" t="n">
        <v>43633</v>
      </c>
      <c r="C77" t="inlineStr">
        <is>
          <t>Montana Energie Handel AT GmbH</t>
        </is>
      </c>
      <c r="D77" t="inlineStr">
        <is>
          <t>Ausgaben</t>
        </is>
      </c>
      <c r="E77" t="inlineStr">
        <is>
          <t>sonstige Betriebsausgaben</t>
        </is>
      </c>
      <c r="F77" s="214" t="n">
        <v>25.68006289951419</v>
      </c>
      <c r="G77" t="inlineStr">
        <is>
          <t>20%</t>
        </is>
      </c>
    </row>
    <row r="78">
      <c r="A78" t="n">
        <v>77</v>
      </c>
      <c r="B78" s="1" t="n">
        <v>43633</v>
      </c>
      <c r="C78" t="inlineStr">
        <is>
          <t>3W Steuerkanzlei, Roter Hof 1a, 1080 Wien</t>
        </is>
      </c>
      <c r="D78" t="inlineStr">
        <is>
          <t>Ausgaben</t>
        </is>
      </c>
      <c r="E78" t="inlineStr">
        <is>
          <t>sonstige Betriebsausgaben</t>
        </is>
      </c>
      <c r="F78" s="214" t="n">
        <v>1032</v>
      </c>
      <c r="G78" t="inlineStr">
        <is>
          <t>20%</t>
        </is>
      </c>
    </row>
    <row r="79">
      <c r="A79" t="n">
        <v>78</v>
      </c>
      <c r="B79" s="1" t="n">
        <v>43635</v>
      </c>
      <c r="C79" t="inlineStr">
        <is>
          <t>Premium Laudongasse 58 GmbH &amp; Co KG</t>
        </is>
      </c>
      <c r="D79" t="inlineStr">
        <is>
          <t>Ausgaben</t>
        </is>
      </c>
      <c r="E79" t="inlineStr">
        <is>
          <t>sonstige Betriebsausgaben</t>
        </is>
      </c>
      <c r="F79" s="214" t="n">
        <v>-44.47211199181795</v>
      </c>
      <c r="G79" t="inlineStr">
        <is>
          <t>10%</t>
        </is>
      </c>
    </row>
    <row r="80">
      <c r="A80" t="n">
        <v>79</v>
      </c>
      <c r="B80" s="1" t="n">
        <v>43635</v>
      </c>
      <c r="C80" t="inlineStr">
        <is>
          <t>ÖBB-Personenverkehr AG, FN248742y</t>
        </is>
      </c>
      <c r="D80" t="inlineStr">
        <is>
          <t>Ausgaben</t>
        </is>
      </c>
      <c r="E80" t="inlineStr">
        <is>
          <t>Reise- und Fahrtspesen inkl. Kilometergeld und Diäten</t>
        </is>
      </c>
      <c r="F80" s="214" t="n">
        <v>11.4</v>
      </c>
      <c r="G80" t="inlineStr">
        <is>
          <t>10%</t>
        </is>
      </c>
    </row>
    <row r="81">
      <c r="A81" t="n">
        <v>80</v>
      </c>
      <c r="B81" s="1" t="n">
        <v>43637</v>
      </c>
      <c r="C81" t="inlineStr">
        <is>
          <t>car2go Österreich GmbH, Hintere Zollamtstraße 9, 1030 Wien</t>
        </is>
      </c>
      <c r="D81" t="inlineStr">
        <is>
          <t>Ausgaben</t>
        </is>
      </c>
      <c r="E81" t="inlineStr">
        <is>
          <t>Reise- und Fahrtspesen inkl. Kilometergeld und Diäten</t>
        </is>
      </c>
      <c r="F81" s="214" t="n">
        <v>2.79</v>
      </c>
      <c r="G81" t="inlineStr">
        <is>
          <t>20%</t>
        </is>
      </c>
    </row>
    <row r="82">
      <c r="A82" t="n">
        <v>81</v>
      </c>
      <c r="B82" s="1" t="n">
        <v>43637</v>
      </c>
      <c r="C82" t="inlineStr">
        <is>
          <t>car2go Österreich GmbH, Hintere Zollamtstraße 9, 1030 Wien</t>
        </is>
      </c>
      <c r="D82" t="inlineStr">
        <is>
          <t>Ausgaben</t>
        </is>
      </c>
      <c r="E82" t="inlineStr">
        <is>
          <t>Reise- und Fahrtspesen inkl. Kilometergeld und Diäten</t>
        </is>
      </c>
      <c r="F82" s="214" t="n">
        <v>8.369999999999999</v>
      </c>
      <c r="G82" t="inlineStr">
        <is>
          <t>20%</t>
        </is>
      </c>
    </row>
    <row r="83">
      <c r="A83" t="n">
        <v>82</v>
      </c>
      <c r="B83" s="1" t="n">
        <v>43640</v>
      </c>
      <c r="C83" t="inlineStr">
        <is>
          <t>Microsoft Ireland Operations Ltd. One Microsoft Place, South County, Business Park, Leopardstown, Dublin 18, D18 P521, Ireland</t>
        </is>
      </c>
      <c r="D83" t="inlineStr">
        <is>
          <t>Ausgaben</t>
        </is>
      </c>
      <c r="E83" t="inlineStr">
        <is>
          <t>Lizenzgebühren</t>
        </is>
      </c>
      <c r="F83" s="214" t="n">
        <v>69</v>
      </c>
      <c r="G83" t="inlineStr">
        <is>
          <t>20%</t>
        </is>
      </c>
    </row>
    <row r="84">
      <c r="A84" t="n">
        <v>83</v>
      </c>
      <c r="B84" s="1" t="n">
        <v>43641</v>
      </c>
      <c r="C84" t="inlineStr">
        <is>
          <t>Premium Laudongasse 58 GmbH &amp; Co KG</t>
        </is>
      </c>
      <c r="D84" t="inlineStr">
        <is>
          <t>Ausgaben</t>
        </is>
      </c>
      <c r="E84" t="inlineStr">
        <is>
          <t>Miet- und Pachtaufwand, Leasing</t>
        </is>
      </c>
      <c r="F84" s="214" t="n">
        <v>229.4321667092815</v>
      </c>
      <c r="G84" t="inlineStr">
        <is>
          <t>10%</t>
        </is>
      </c>
    </row>
    <row r="85">
      <c r="A85" t="n">
        <v>84</v>
      </c>
      <c r="B85" s="1" t="n">
        <v>43643</v>
      </c>
      <c r="C85" t="inlineStr">
        <is>
          <t>Magistrat der Stadt Wien (via Paybox)</t>
        </is>
      </c>
      <c r="D85" t="inlineStr">
        <is>
          <t>Ausgaben</t>
        </is>
      </c>
      <c r="E85" t="inlineStr">
        <is>
          <t>Reise- und Fahrtspesen inkl. Kilometergeld und Diäten</t>
        </is>
      </c>
      <c r="F85" s="214" t="n">
        <v>21</v>
      </c>
      <c r="G85" t="inlineStr">
        <is>
          <t>0%</t>
        </is>
      </c>
    </row>
    <row r="86" hidden="1">
      <c r="A86" t="n">
        <v>85</v>
      </c>
      <c r="B86" s="1" t="n">
        <v>43648</v>
      </c>
      <c r="C86" t="inlineStr">
        <is>
          <t>ZT DI Dr. Arno Kolbitsch, Gütleweg 1, 6822 Satteins</t>
        </is>
      </c>
      <c r="D86" t="inlineStr">
        <is>
          <t>Einnahmen</t>
        </is>
      </c>
      <c r="E86" t="inlineStr">
        <is>
          <t>Waren-/Leistungserlöse</t>
        </is>
      </c>
      <c r="F86" s="214" t="n">
        <v>14.904</v>
      </c>
      <c r="G86" t="inlineStr">
        <is>
          <t>20%</t>
        </is>
      </c>
    </row>
    <row r="87" hidden="1">
      <c r="A87" t="n">
        <v>86</v>
      </c>
      <c r="B87" s="1" t="n">
        <v>43647</v>
      </c>
      <c r="C87" t="inlineStr">
        <is>
          <t>Franz Hauer GmbH + Co KG</t>
        </is>
      </c>
      <c r="D87" t="inlineStr">
        <is>
          <t>Einnahmen</t>
        </is>
      </c>
      <c r="E87" t="inlineStr">
        <is>
          <t>Waren-/Leistungserlöse</t>
        </is>
      </c>
      <c r="F87" s="214" t="n">
        <v>3003</v>
      </c>
      <c r="G87" t="inlineStr">
        <is>
          <t>20%</t>
        </is>
      </c>
    </row>
    <row r="88" hidden="1">
      <c r="A88" t="n">
        <v>87</v>
      </c>
      <c r="B88" s="1" t="n">
        <v>43648</v>
      </c>
      <c r="C88" t="inlineStr">
        <is>
          <t>ZT DI Dr. Arno Kolbitsch, Gütleweg 1, 6822 Satteins</t>
        </is>
      </c>
      <c r="D88" t="inlineStr">
        <is>
          <t>Einnahmen</t>
        </is>
      </c>
      <c r="E88" t="inlineStr">
        <is>
          <t>Waren-/Leistungserlöse</t>
        </is>
      </c>
      <c r="F88" s="214" t="n">
        <v>161.52</v>
      </c>
      <c r="G88" t="inlineStr">
        <is>
          <t>20%</t>
        </is>
      </c>
    </row>
    <row r="89">
      <c r="A89" t="n">
        <v>88</v>
      </c>
      <c r="B89" s="1" t="n">
        <v>43651</v>
      </c>
      <c r="C89" t="inlineStr">
        <is>
          <t>car2go Österreich GmbH, Hintere Zollamtstraße 9, 1030 Wien</t>
        </is>
      </c>
      <c r="D89" t="inlineStr">
        <is>
          <t>Ausgaben</t>
        </is>
      </c>
      <c r="E89" t="inlineStr">
        <is>
          <t>Reise- und Fahrtspesen inkl. Kilometergeld und Diäten</t>
        </is>
      </c>
      <c r="F89" s="214" t="n">
        <v>6.84</v>
      </c>
      <c r="G89" t="inlineStr">
        <is>
          <t>20%</t>
        </is>
      </c>
    </row>
    <row r="90">
      <c r="A90" t="n">
        <v>89</v>
      </c>
      <c r="B90" s="1" t="n">
        <v>43651</v>
      </c>
      <c r="C90" t="inlineStr">
        <is>
          <t>Hutchison Drei Austria GmbH, Brünner Straße 52, 1210 Wien, Österreich</t>
        </is>
      </c>
      <c r="D90" t="inlineStr">
        <is>
          <t>Ausgaben</t>
        </is>
      </c>
      <c r="E90" t="inlineStr">
        <is>
          <t>Telefon/Internet</t>
        </is>
      </c>
      <c r="F90" s="214" t="n">
        <v>18</v>
      </c>
      <c r="G90" t="inlineStr">
        <is>
          <t>20%</t>
        </is>
      </c>
    </row>
    <row r="91" hidden="1">
      <c r="A91" t="n">
        <v>90</v>
      </c>
      <c r="B91" s="1" t="n">
        <v>43654</v>
      </c>
      <c r="C91" t="inlineStr">
        <is>
          <t>Josef Stojadinovic, Weiglgasse 10/BLOCK C/10/11</t>
        </is>
      </c>
      <c r="D91" t="inlineStr">
        <is>
          <t>Einnahmen</t>
        </is>
      </c>
      <c r="E91" t="inlineStr">
        <is>
          <t>Waren-/Leistungserlöse</t>
        </is>
      </c>
      <c r="F91" s="214" t="n">
        <v>204.756</v>
      </c>
      <c r="G91" t="inlineStr">
        <is>
          <t>20%</t>
        </is>
      </c>
    </row>
    <row r="92">
      <c r="A92" t="n">
        <v>91</v>
      </c>
      <c r="B92" s="1" t="n">
        <v>43656</v>
      </c>
      <c r="C92" t="inlineStr">
        <is>
          <t>UPC Telekabel Wien GmbH, A1120 Wien, Postfach 47</t>
        </is>
      </c>
      <c r="D92" t="inlineStr">
        <is>
          <t>Ausgaben</t>
        </is>
      </c>
      <c r="E92" t="inlineStr">
        <is>
          <t>Telefon/Internet</t>
        </is>
      </c>
      <c r="F92" s="214" t="n">
        <v>23.088</v>
      </c>
      <c r="G92" t="inlineStr">
        <is>
          <t>20%</t>
        </is>
      </c>
    </row>
    <row r="93">
      <c r="A93" t="n">
        <v>92</v>
      </c>
      <c r="B93" s="1" t="n">
        <v>43654</v>
      </c>
      <c r="C93" t="inlineStr">
        <is>
          <t>Hetzner Online GmbH</t>
        </is>
      </c>
      <c r="D93" t="inlineStr">
        <is>
          <t>Ausgaben</t>
        </is>
      </c>
      <c r="E93" t="inlineStr">
        <is>
          <t>sonstige Betriebsausgaben</t>
        </is>
      </c>
      <c r="F93" s="214" t="n">
        <v>46.92</v>
      </c>
      <c r="G93" t="inlineStr">
        <is>
          <t>0%</t>
        </is>
      </c>
    </row>
    <row r="94">
      <c r="A94" t="n">
        <v>93</v>
      </c>
      <c r="B94" s="1" t="n">
        <v>43661</v>
      </c>
      <c r="C94" t="inlineStr">
        <is>
          <t>Montana Energie Handel AT GmbH</t>
        </is>
      </c>
      <c r="D94" t="inlineStr">
        <is>
          <t>Ausgaben</t>
        </is>
      </c>
      <c r="E94" t="inlineStr">
        <is>
          <t>sonstige Betriebsausgaben</t>
        </is>
      </c>
      <c r="F94" s="214" t="n">
        <v>25.68006289951419</v>
      </c>
      <c r="G94" t="inlineStr">
        <is>
          <t>20%</t>
        </is>
      </c>
    </row>
    <row r="95">
      <c r="A95" t="n">
        <v>94</v>
      </c>
      <c r="B95" s="1" t="n">
        <v>43644</v>
      </c>
      <c r="C95" t="inlineStr">
        <is>
          <t>car2go Österreich GmbH, Hintere Zollamtstraße 9, 1030 Wien</t>
        </is>
      </c>
      <c r="D95" t="inlineStr">
        <is>
          <t>Ausgaben</t>
        </is>
      </c>
      <c r="E95" t="inlineStr">
        <is>
          <t>Reise- und Fahrtspesen inkl. Kilometergeld und Diäten</t>
        </is>
      </c>
      <c r="F95" s="214" t="n">
        <v>12.156</v>
      </c>
      <c r="G95" t="inlineStr">
        <is>
          <t>20%</t>
        </is>
      </c>
    </row>
    <row r="96" hidden="1">
      <c r="A96" t="n">
        <v>95</v>
      </c>
      <c r="B96" s="1" t="n">
        <v>43661</v>
      </c>
      <c r="C96" t="inlineStr">
        <is>
          <t>Schick Küchendesign e.U. Alexander Schick, Linzerstraße 247, 1140 Wien</t>
        </is>
      </c>
      <c r="D96" t="inlineStr">
        <is>
          <t>Einnahmen</t>
        </is>
      </c>
      <c r="E96" t="inlineStr">
        <is>
          <t>Waren-/Leistungserlöse</t>
        </is>
      </c>
      <c r="F96" s="214" t="n">
        <v>427.5</v>
      </c>
      <c r="G96" t="inlineStr">
        <is>
          <t>20%</t>
        </is>
      </c>
    </row>
    <row r="97" hidden="1">
      <c r="A97" t="n">
        <v>96</v>
      </c>
      <c r="B97" s="1" t="n">
        <v>43661</v>
      </c>
      <c r="C97" t="inlineStr">
        <is>
          <t>Franz Hauer GmbH + Co KG</t>
        </is>
      </c>
      <c r="D97" t="inlineStr">
        <is>
          <t>Einnahmen</t>
        </is>
      </c>
      <c r="E97" t="inlineStr">
        <is>
          <t>Waren-/Leistungserlöse</t>
        </is>
      </c>
      <c r="F97" s="214" t="n">
        <v>2166.72</v>
      </c>
      <c r="G97" t="inlineStr">
        <is>
          <t>20%</t>
        </is>
      </c>
    </row>
    <row r="98">
      <c r="A98" t="n">
        <v>97</v>
      </c>
      <c r="B98" s="1" t="n">
        <v>43663</v>
      </c>
      <c r="C98" t="inlineStr">
        <is>
          <t>car2go Österreich GmbH, Hintere Zollamtstraße 9, 1030 Wien</t>
        </is>
      </c>
      <c r="D98" t="inlineStr">
        <is>
          <t>Ausgaben</t>
        </is>
      </c>
      <c r="E98" t="inlineStr">
        <is>
          <t>Reise- und Fahrtspesen inkl. Kilometergeld und Diäten</t>
        </is>
      </c>
      <c r="F98" s="214" t="n">
        <v>7.2</v>
      </c>
      <c r="G98" t="inlineStr">
        <is>
          <t>20%</t>
        </is>
      </c>
    </row>
    <row r="99">
      <c r="A99" t="n">
        <v>98</v>
      </c>
      <c r="B99" s="1" t="n">
        <v>43663</v>
      </c>
      <c r="C99" t="inlineStr">
        <is>
          <t>car2go Österreich GmbH, Hintere Zollamtstraße 9, 1030 Wien</t>
        </is>
      </c>
      <c r="D99" t="inlineStr">
        <is>
          <t>Ausgaben</t>
        </is>
      </c>
      <c r="E99" t="inlineStr">
        <is>
          <t>Reise- und Fahrtspesen inkl. Kilometergeld und Diäten</t>
        </is>
      </c>
      <c r="F99" s="214" t="n">
        <v>2.784</v>
      </c>
      <c r="G99" t="inlineStr">
        <is>
          <t>20%</t>
        </is>
      </c>
    </row>
    <row r="100">
      <c r="A100" t="n">
        <v>99</v>
      </c>
      <c r="B100" s="1" t="n">
        <v>43668</v>
      </c>
      <c r="C100" t="inlineStr">
        <is>
          <t>car2go Österreich GmbH, Hintere Zollamtstraße 9, 1030 Wien</t>
        </is>
      </c>
      <c r="D100" t="inlineStr">
        <is>
          <t>Ausgaben</t>
        </is>
      </c>
      <c r="E100" t="inlineStr">
        <is>
          <t>Reise- und Fahrtspesen inkl. Kilometergeld und Diäten</t>
        </is>
      </c>
      <c r="F100" s="214" t="n">
        <v>6.119999999999999</v>
      </c>
      <c r="G100" t="inlineStr">
        <is>
          <t>20%</t>
        </is>
      </c>
    </row>
    <row r="101" hidden="1">
      <c r="A101" t="n">
        <v>100</v>
      </c>
      <c r="B101" s="1" t="n">
        <v>43669</v>
      </c>
      <c r="C101" t="inlineStr">
        <is>
          <t>Wedding Avenue e.U., Mayerweckstrasse 2-8/99/1, 1210 Wien (Teilzahlung)</t>
        </is>
      </c>
      <c r="D101" t="inlineStr">
        <is>
          <t>Einnahmen</t>
        </is>
      </c>
      <c r="E101" t="inlineStr">
        <is>
          <t>Waren-/Leistungserlöse</t>
        </is>
      </c>
      <c r="F101" s="214" t="n">
        <v>2000</v>
      </c>
      <c r="G101" t="inlineStr">
        <is>
          <t>20%</t>
        </is>
      </c>
    </row>
    <row r="102">
      <c r="A102" t="n">
        <v>101</v>
      </c>
      <c r="B102" s="1" t="n">
        <v>43669</v>
      </c>
      <c r="C102" t="inlineStr">
        <is>
          <t>ÖBB-Personenverkehr AG, FN248742y</t>
        </is>
      </c>
      <c r="D102" t="inlineStr">
        <is>
          <t>Ausgaben</t>
        </is>
      </c>
      <c r="E102" t="inlineStr">
        <is>
          <t>Reise- und Fahrtspesen inkl. Kilometergeld und Diäten</t>
        </is>
      </c>
      <c r="F102" s="214" t="n">
        <v>79.2</v>
      </c>
      <c r="G102" t="inlineStr">
        <is>
          <t>20%</t>
        </is>
      </c>
    </row>
    <row r="103">
      <c r="A103" t="n">
        <v>102</v>
      </c>
      <c r="B103" s="1" t="n">
        <v>43670</v>
      </c>
      <c r="C103" t="inlineStr">
        <is>
          <t>car2go Österreich GmbH, Hintere Zollamtstraße 9, 1030 Wien</t>
        </is>
      </c>
      <c r="D103" t="inlineStr">
        <is>
          <t>Ausgaben</t>
        </is>
      </c>
      <c r="E103" t="inlineStr">
        <is>
          <t>Reise- und Fahrtspesen inkl. Kilometergeld und Diäten</t>
        </is>
      </c>
      <c r="F103" s="214" t="n">
        <v>2.88</v>
      </c>
      <c r="G103" t="inlineStr">
        <is>
          <t>20%</t>
        </is>
      </c>
    </row>
    <row r="104">
      <c r="A104" t="n">
        <v>103</v>
      </c>
      <c r="B104" s="1" t="n">
        <v>43600</v>
      </c>
      <c r="C104" t="inlineStr">
        <is>
          <t>Althan Stube, Althanstraße 35 Gastronomie Bettriebs GmbH, 1090 Wien, Althanstraße 35: Mittagessen mit Andreas Reinisch (Grund: Trainingstätigkeit VEMAP)</t>
        </is>
      </c>
      <c r="D104" t="inlineStr">
        <is>
          <t>Ausgaben</t>
        </is>
      </c>
      <c r="E104" t="inlineStr">
        <is>
          <t>Werbe- und Repräsentationsaufwand</t>
        </is>
      </c>
      <c r="F104" s="214" t="n">
        <v>12.705</v>
      </c>
      <c r="G104" t="inlineStr">
        <is>
          <t>10%</t>
        </is>
      </c>
    </row>
    <row r="105">
      <c r="A105" t="n">
        <v>104</v>
      </c>
      <c r="B105" s="1" t="n">
        <v>43600</v>
      </c>
      <c r="C105" t="inlineStr">
        <is>
          <t>Althan Stube, Althanstraße 35 Gastronomie Bettriebs GmbH, 1090 Wien, Althanstraße 35: Mittagessen mit Andreas Reinisch (Grund: Trainingstätigkeit VEMAP)</t>
        </is>
      </c>
      <c r="D105" t="inlineStr">
        <is>
          <t>Ausgaben</t>
        </is>
      </c>
      <c r="E105" t="inlineStr">
        <is>
          <t>Werbe- und Repräsentationsaufwand</t>
        </is>
      </c>
      <c r="F105" s="214" t="n">
        <v>6.996</v>
      </c>
      <c r="G105" t="inlineStr">
        <is>
          <t>20%</t>
        </is>
      </c>
    </row>
    <row r="106">
      <c r="A106" t="n">
        <v>105</v>
      </c>
      <c r="B106" s="1" t="n">
        <v>43671</v>
      </c>
      <c r="C106" t="inlineStr">
        <is>
          <t>Premium Laudongasse 58 GmbH &amp; Co KG</t>
        </is>
      </c>
      <c r="D106" t="inlineStr">
        <is>
          <t>Ausgaben</t>
        </is>
      </c>
      <c r="E106" t="inlineStr">
        <is>
          <t>Miet- und Pachtaufwand, Leasing</t>
        </is>
      </c>
      <c r="F106" s="214" t="n">
        <v>229.4321667092815</v>
      </c>
      <c r="G106" t="inlineStr">
        <is>
          <t>10%</t>
        </is>
      </c>
    </row>
    <row r="107">
      <c r="A107" t="n">
        <v>106</v>
      </c>
      <c r="B107" s="1" t="n">
        <v>43675</v>
      </c>
      <c r="C107" t="inlineStr">
        <is>
          <t>car2go Österreich GmbH, Hintere Zollamtstraße 9, 1030 Wien</t>
        </is>
      </c>
      <c r="D107" t="inlineStr">
        <is>
          <t>Ausgaben</t>
        </is>
      </c>
      <c r="E107" t="inlineStr">
        <is>
          <t>Reise- und Fahrtspesen inkl. Kilometergeld und Diäten</t>
        </is>
      </c>
      <c r="F107" s="214" t="n">
        <v>7.2</v>
      </c>
      <c r="G107" t="inlineStr">
        <is>
          <t>20%</t>
        </is>
      </c>
    </row>
    <row r="108">
      <c r="A108" t="n">
        <v>107</v>
      </c>
      <c r="B108" s="1" t="n">
        <v>43675</v>
      </c>
      <c r="C108" t="inlineStr">
        <is>
          <t>car2go Österreich GmbH, Hintere Zollamtstraße 9, 1030 Wien</t>
        </is>
      </c>
      <c r="D108" t="inlineStr">
        <is>
          <t>Ausgaben</t>
        </is>
      </c>
      <c r="E108" t="inlineStr">
        <is>
          <t>Reise- und Fahrtspesen inkl. Kilometergeld und Diäten</t>
        </is>
      </c>
      <c r="F108" s="214" t="n">
        <v>2.88</v>
      </c>
      <c r="G108" t="inlineStr">
        <is>
          <t>20%</t>
        </is>
      </c>
    </row>
    <row r="109">
      <c r="A109" t="n">
        <v>108</v>
      </c>
      <c r="B109" s="1" t="n">
        <v>43675</v>
      </c>
      <c r="C109" t="inlineStr">
        <is>
          <t>Libro 1090</t>
        </is>
      </c>
      <c r="D109" t="inlineStr">
        <is>
          <t>Ausgaben</t>
        </is>
      </c>
      <c r="E109" t="inlineStr">
        <is>
          <t>sonstige Betriebsausgaben</t>
        </is>
      </c>
      <c r="F109" s="214" t="n">
        <v>34.66</v>
      </c>
      <c r="G109" t="inlineStr">
        <is>
          <t>20%</t>
        </is>
      </c>
    </row>
    <row r="110">
      <c r="A110" t="n">
        <v>109</v>
      </c>
      <c r="B110" s="1" t="n">
        <v>43678</v>
      </c>
      <c r="C110" t="inlineStr">
        <is>
          <t>Hutchison Drei Austria GmbH, Brünner Straße 52, 1210 Wien, Österreich</t>
        </is>
      </c>
      <c r="D110" t="inlineStr">
        <is>
          <t>Ausgaben</t>
        </is>
      </c>
      <c r="E110" t="inlineStr">
        <is>
          <t>Telefon/Internet</t>
        </is>
      </c>
      <c r="F110" s="214" t="n">
        <v>18</v>
      </c>
      <c r="G110" t="inlineStr">
        <is>
          <t>20%</t>
        </is>
      </c>
    </row>
    <row r="111" hidden="1">
      <c r="A111" t="n">
        <v>110</v>
      </c>
      <c r="B111" s="1" t="n">
        <v>43679</v>
      </c>
      <c r="C111" t="inlineStr">
        <is>
          <t>Wedding Avenue e.U., Mayerweckstrasse 2-8/99/1, 1210 Wien (Teilzahlung)</t>
        </is>
      </c>
      <c r="D111" t="inlineStr">
        <is>
          <t>Einnahmen</t>
        </is>
      </c>
      <c r="E111" t="inlineStr">
        <is>
          <t>Waren-/Leistungserlöse</t>
        </is>
      </c>
      <c r="F111" s="214" t="n">
        <v>2021.35</v>
      </c>
      <c r="G111" t="inlineStr">
        <is>
          <t>20%</t>
        </is>
      </c>
    </row>
    <row r="112" hidden="1">
      <c r="A112" t="n">
        <v>111</v>
      </c>
      <c r="B112" s="1" t="n">
        <v>43682</v>
      </c>
      <c r="C112" t="inlineStr">
        <is>
          <t>vemap Einkaufsmanagement GmbH, Berggasse 31, 1080 Wien</t>
        </is>
      </c>
      <c r="D112" t="inlineStr">
        <is>
          <t>Einnahmen</t>
        </is>
      </c>
      <c r="E112" t="inlineStr">
        <is>
          <t>Waren-/Leistungserlöse</t>
        </is>
      </c>
      <c r="F112" s="214" t="n">
        <v>903</v>
      </c>
      <c r="G112" t="inlineStr">
        <is>
          <t>20%</t>
        </is>
      </c>
    </row>
    <row r="113">
      <c r="A113" t="n">
        <v>112</v>
      </c>
      <c r="B113" s="1" t="n">
        <v>43684</v>
      </c>
      <c r="C113" t="inlineStr">
        <is>
          <t>UPC Telekabel Wien GmbH, A1120 Wien, Postfach 47</t>
        </is>
      </c>
      <c r="D113" t="inlineStr">
        <is>
          <t>Ausgaben</t>
        </is>
      </c>
      <c r="E113" t="inlineStr">
        <is>
          <t>sonstige Betriebsausgaben</t>
        </is>
      </c>
      <c r="F113" s="214" t="n">
        <v>23.088</v>
      </c>
      <c r="G113" t="inlineStr">
        <is>
          <t>20%</t>
        </is>
      </c>
    </row>
    <row r="114">
      <c r="A114" t="n">
        <v>113</v>
      </c>
      <c r="B114" s="1" t="n">
        <v>43689</v>
      </c>
      <c r="C114" t="inlineStr">
        <is>
          <t>Lemon Technologies GmbH, Unterweißenbach 181, 7330 Feldbach: Toner für AKO, CLX 6260 (Satteins)</t>
        </is>
      </c>
      <c r="D114" t="inlineStr">
        <is>
          <t>Ausgaben</t>
        </is>
      </c>
      <c r="E114" t="inlineStr">
        <is>
          <t>sonstige Betriebsausgaben</t>
        </is>
      </c>
      <c r="F114" s="214" t="n">
        <v>277.71</v>
      </c>
      <c r="G114" t="inlineStr">
        <is>
          <t>20%</t>
        </is>
      </c>
    </row>
    <row r="115">
      <c r="A115" t="n">
        <v>114</v>
      </c>
      <c r="B115" s="1" t="n">
        <v>43690</v>
      </c>
      <c r="C115" t="inlineStr">
        <is>
          <t>Hetzner Online GmbH</t>
        </is>
      </c>
      <c r="D115" t="inlineStr">
        <is>
          <t>Ausgaben</t>
        </is>
      </c>
      <c r="E115" t="inlineStr">
        <is>
          <t>sonstige Betriebsausgaben</t>
        </is>
      </c>
      <c r="F115" s="214" t="n">
        <v>46.92</v>
      </c>
      <c r="G115" t="inlineStr">
        <is>
          <t>0%</t>
        </is>
      </c>
    </row>
    <row r="116">
      <c r="A116" t="n">
        <v>115</v>
      </c>
      <c r="B116" s="1" t="n">
        <v>43693</v>
      </c>
      <c r="C116" t="inlineStr">
        <is>
          <t>Montana Energie Handel AT GmbH</t>
        </is>
      </c>
      <c r="D116" t="inlineStr">
        <is>
          <t>Ausgaben</t>
        </is>
      </c>
      <c r="E116" t="inlineStr">
        <is>
          <t>sonstige Betriebsausgaben</t>
        </is>
      </c>
      <c r="F116" s="214" t="n">
        <v>25.68006289951419</v>
      </c>
      <c r="G116" t="inlineStr">
        <is>
          <t>20%</t>
        </is>
      </c>
    </row>
    <row r="117">
      <c r="A117" t="n">
        <v>116</v>
      </c>
      <c r="B117" s="1" t="n">
        <v>43686</v>
      </c>
      <c r="C117" t="inlineStr">
        <is>
          <t>Gemeinde Satteins, Kirchstraße 15, 6822 Satteins: Briefmarken</t>
        </is>
      </c>
      <c r="D117" t="inlineStr">
        <is>
          <t>Ausgaben</t>
        </is>
      </c>
      <c r="E117" t="inlineStr">
        <is>
          <t>Porto/Gebühren</t>
        </is>
      </c>
      <c r="F117" s="214" t="n">
        <v>17.4</v>
      </c>
      <c r="G117" t="inlineStr">
        <is>
          <t>0%</t>
        </is>
      </c>
    </row>
    <row r="118">
      <c r="A118" t="n">
        <v>117</v>
      </c>
      <c r="B118" s="1" t="n">
        <v>43703</v>
      </c>
      <c r="C118" t="inlineStr">
        <is>
          <t>Premium Laudongasse 58 GmbH &amp; Co KG</t>
        </is>
      </c>
      <c r="D118" t="inlineStr">
        <is>
          <t>Ausgaben</t>
        </is>
      </c>
      <c r="E118" t="inlineStr">
        <is>
          <t>Miet- und Pachtaufwand, Leasing</t>
        </is>
      </c>
      <c r="F118" s="214" t="n">
        <v>229.4321667092815</v>
      </c>
      <c r="G118" t="inlineStr">
        <is>
          <t>10%</t>
        </is>
      </c>
    </row>
    <row r="119" hidden="1">
      <c r="A119" t="n">
        <v>118</v>
      </c>
      <c r="B119" s="1" t="n">
        <v>43703</v>
      </c>
      <c r="C119" t="inlineStr">
        <is>
          <t>Franz Hauer GmbH + Co KG</t>
        </is>
      </c>
      <c r="D119" t="inlineStr">
        <is>
          <t>Einnahmen</t>
        </is>
      </c>
      <c r="E119" t="inlineStr">
        <is>
          <t>Waren-/Leistungserlöse</t>
        </is>
      </c>
      <c r="F119" s="214" t="n">
        <v>661.2</v>
      </c>
      <c r="G119" t="inlineStr">
        <is>
          <t>20%</t>
        </is>
      </c>
    </row>
    <row r="120">
      <c r="A120" t="n">
        <v>119</v>
      </c>
      <c r="B120" s="1" t="n">
        <v>43705</v>
      </c>
      <c r="C120" t="inlineStr">
        <is>
          <t>Bontus Finanztamtsgebühr</t>
        </is>
      </c>
      <c r="D120" t="inlineStr">
        <is>
          <t>Ausgaben</t>
        </is>
      </c>
      <c r="E120" t="inlineStr">
        <is>
          <t>Porto/Gebühren</t>
        </is>
      </c>
      <c r="F120" s="214" t="n">
        <v>241.1</v>
      </c>
      <c r="G120" t="inlineStr">
        <is>
          <t>0%</t>
        </is>
      </c>
    </row>
    <row r="121">
      <c r="A121" t="n">
        <v>120</v>
      </c>
      <c r="B121" s="1" t="n">
        <v>43705</v>
      </c>
      <c r="C121" t="inlineStr">
        <is>
          <t>Bontus Kaution + 1. Miete</t>
        </is>
      </c>
      <c r="D121" t="inlineStr">
        <is>
          <t>Ausgaben</t>
        </is>
      </c>
      <c r="E121" t="inlineStr">
        <is>
          <t>Miet- und Pachtaufwand, Leasing</t>
        </is>
      </c>
      <c r="F121" s="214" t="n">
        <v>2219.93</v>
      </c>
      <c r="G121" t="inlineStr">
        <is>
          <t>20%</t>
        </is>
      </c>
    </row>
    <row r="122">
      <c r="A122" t="n">
        <v>121</v>
      </c>
      <c r="B122" s="1" t="n">
        <v>43705</v>
      </c>
      <c r="C122" t="inlineStr">
        <is>
          <t>Sozialversicherung der gewerblichen Wirtshaft</t>
        </is>
      </c>
      <c r="D122" t="inlineStr">
        <is>
          <t>Ausgaben</t>
        </is>
      </c>
      <c r="E122" t="inlineStr">
        <is>
          <t>Pflichversicherungsbeiträge</t>
        </is>
      </c>
      <c r="F122" s="214" t="n">
        <v>4286.3</v>
      </c>
      <c r="G122" t="inlineStr">
        <is>
          <t>0%</t>
        </is>
      </c>
    </row>
    <row r="123">
      <c r="A123" t="n">
        <v>122</v>
      </c>
      <c r="B123" s="1" t="n">
        <v>43706</v>
      </c>
      <c r="C123" t="inlineStr">
        <is>
          <t>Xing SE, Dammtorstraße 30, 20354 Hamburg</t>
        </is>
      </c>
      <c r="D123" t="inlineStr">
        <is>
          <t>Ausgaben</t>
        </is>
      </c>
      <c r="E123" t="inlineStr">
        <is>
          <t>sonstige Betriebsausgaben</t>
        </is>
      </c>
      <c r="F123" s="214" t="n">
        <v>24.88</v>
      </c>
      <c r="G123" t="inlineStr">
        <is>
          <t>0%</t>
        </is>
      </c>
    </row>
    <row r="124">
      <c r="A124" t="n">
        <v>123</v>
      </c>
      <c r="B124" s="1" t="n">
        <v>43710</v>
      </c>
      <c r="C124" t="inlineStr">
        <is>
          <t>Sozialversicherung der gewerblichen Wirtshaft</t>
        </is>
      </c>
      <c r="D124" t="inlineStr">
        <is>
          <t>Ausgaben</t>
        </is>
      </c>
      <c r="E124" t="inlineStr">
        <is>
          <t>Pflichversicherungsbeiträge</t>
        </is>
      </c>
      <c r="F124" s="214" t="n">
        <v>-218.03</v>
      </c>
      <c r="G124" t="inlineStr">
        <is>
          <t>0%</t>
        </is>
      </c>
    </row>
    <row r="125">
      <c r="A125" t="n">
        <v>124</v>
      </c>
      <c r="B125" s="1" t="n">
        <v>43710</v>
      </c>
      <c r="C125" t="inlineStr">
        <is>
          <t>Hutchison Drei Austria GmbH, Brünner Straße 52, 1210 Wien, Österreich</t>
        </is>
      </c>
      <c r="D125" t="inlineStr">
        <is>
          <t>Ausgaben</t>
        </is>
      </c>
      <c r="E125" t="inlineStr">
        <is>
          <t>Telefon/Internet</t>
        </is>
      </c>
      <c r="F125" s="214" t="n">
        <v>18.6</v>
      </c>
      <c r="G125" t="inlineStr">
        <is>
          <t>20%</t>
        </is>
      </c>
    </row>
    <row r="126">
      <c r="A126" t="n">
        <v>125</v>
      </c>
      <c r="B126" s="1" t="n">
        <v>43710</v>
      </c>
      <c r="C126" t="inlineStr">
        <is>
          <t>Montana Energie Handel AT GmbH</t>
        </is>
      </c>
      <c r="D126" t="inlineStr">
        <is>
          <t>Ausgaben</t>
        </is>
      </c>
      <c r="E126" t="inlineStr">
        <is>
          <t>sonstige Betriebsausgaben</t>
        </is>
      </c>
      <c r="F126" s="214" t="n">
        <v>-300.1547911020199</v>
      </c>
      <c r="G126" t="inlineStr">
        <is>
          <t>20%</t>
        </is>
      </c>
    </row>
    <row r="127">
      <c r="A127" t="n">
        <v>126</v>
      </c>
      <c r="B127" s="1" t="n">
        <v>43710</v>
      </c>
      <c r="C127" t="inlineStr">
        <is>
          <t>Verbund AG, Postfach 8400, 1011 Wien, Österreich</t>
        </is>
      </c>
      <c r="D127" t="inlineStr">
        <is>
          <t>Ausgaben</t>
        </is>
      </c>
      <c r="E127" t="inlineStr">
        <is>
          <t>sonstige Betriebsausgaben</t>
        </is>
      </c>
      <c r="F127" s="214" t="n">
        <v>48.90347737151624</v>
      </c>
      <c r="G127" t="inlineStr">
        <is>
          <t>20%</t>
        </is>
      </c>
    </row>
    <row r="128">
      <c r="A128" t="n">
        <v>127</v>
      </c>
      <c r="B128" s="1" t="n">
        <v>43711</v>
      </c>
      <c r="C128" t="inlineStr">
        <is>
          <t>JetBrains s.r.o. Kavci Hory Office Park, Na hrebenech II 1718/10, Praha 4- Nusie 140 00, Ceska republika</t>
        </is>
      </c>
      <c r="D128" t="inlineStr">
        <is>
          <t>Ausgaben</t>
        </is>
      </c>
      <c r="E128" t="inlineStr">
        <is>
          <t>Lizenzgebühren</t>
        </is>
      </c>
      <c r="F128" s="214" t="n">
        <v>85.2</v>
      </c>
      <c r="G128" t="inlineStr">
        <is>
          <t>20%</t>
        </is>
      </c>
    </row>
    <row r="129">
      <c r="A129" t="n">
        <v>128</v>
      </c>
      <c r="B129" s="1" t="n">
        <v>43712</v>
      </c>
      <c r="C129" t="inlineStr">
        <is>
          <t>Eurospar Rennweg: Reinigungsartikel Büro Stutterheimstr.</t>
        </is>
      </c>
      <c r="D129" t="inlineStr">
        <is>
          <t>Ausgaben</t>
        </is>
      </c>
      <c r="E129" t="inlineStr">
        <is>
          <t>sonstige Betriebsausgaben</t>
        </is>
      </c>
      <c r="F129" s="214" t="n">
        <v>47.25</v>
      </c>
      <c r="G129" t="inlineStr">
        <is>
          <t>20%</t>
        </is>
      </c>
    </row>
    <row r="130" hidden="1">
      <c r="A130" t="n">
        <v>129</v>
      </c>
      <c r="B130" s="1" t="n">
        <v>43717</v>
      </c>
      <c r="C130" t="inlineStr">
        <is>
          <t>Franz Hauer GmbH + Co KG</t>
        </is>
      </c>
      <c r="D130" t="inlineStr">
        <is>
          <t>Einnahmen</t>
        </is>
      </c>
      <c r="E130" t="inlineStr">
        <is>
          <t>Waren-/Leistungserlöse</t>
        </is>
      </c>
      <c r="F130" s="214" t="n">
        <v>3250.08</v>
      </c>
      <c r="G130" t="inlineStr">
        <is>
          <t>20%</t>
        </is>
      </c>
    </row>
    <row r="131" hidden="1">
      <c r="A131" t="n">
        <v>130</v>
      </c>
      <c r="B131" s="1" t="n">
        <v>43717</v>
      </c>
      <c r="C131" t="inlineStr">
        <is>
          <t>vemap Einkaufsmanagement GmbH, Berggasse 31, 1080 Wien</t>
        </is>
      </c>
      <c r="D131" t="inlineStr">
        <is>
          <t>Einnahmen</t>
        </is>
      </c>
      <c r="E131" t="inlineStr">
        <is>
          <t>Waren-/Leistungserlöse</t>
        </is>
      </c>
      <c r="F131" s="214" t="n">
        <v>1722</v>
      </c>
      <c r="G131" t="inlineStr">
        <is>
          <t>20%</t>
        </is>
      </c>
    </row>
    <row r="132">
      <c r="A132" t="n">
        <v>131</v>
      </c>
      <c r="B132" s="1" t="n">
        <v>43717</v>
      </c>
      <c r="C132" t="inlineStr">
        <is>
          <t>Amazon EU S. à r.l., 38 avenue John F. Kennedy, L-1855 Luxembourg</t>
        </is>
      </c>
      <c r="D132" t="inlineStr">
        <is>
          <t>Ausgaben</t>
        </is>
      </c>
      <c r="E132" t="inlineStr">
        <is>
          <t>sonstige Betriebsausgaben</t>
        </is>
      </c>
      <c r="F132" s="214" t="n">
        <v>281.5700000000001</v>
      </c>
      <c r="G132" t="inlineStr">
        <is>
          <t>20%</t>
        </is>
      </c>
    </row>
    <row r="133">
      <c r="A133" t="n">
        <v>132</v>
      </c>
      <c r="B133" s="1" t="n">
        <v>43717</v>
      </c>
      <c r="C133" t="inlineStr">
        <is>
          <t>Amazon EU S. à r.l., 38 avenue John F. Kennedy, L-1855 Luxembourg</t>
        </is>
      </c>
      <c r="D133" t="inlineStr">
        <is>
          <t>Ausgaben</t>
        </is>
      </c>
      <c r="E133" t="inlineStr">
        <is>
          <t>sonstige Betriebsausgaben</t>
        </is>
      </c>
      <c r="F133" s="214" t="n">
        <v>58.392</v>
      </c>
      <c r="G133" t="inlineStr">
        <is>
          <t>20%</t>
        </is>
      </c>
    </row>
    <row r="134">
      <c r="A134" t="n">
        <v>133</v>
      </c>
      <c r="B134" s="1" t="n">
        <v>43717</v>
      </c>
      <c r="C134" t="inlineStr">
        <is>
          <t>car2go Österreich GmbH, Hintere Zollamtstraße 9, 1030 Wien</t>
        </is>
      </c>
      <c r="D134" t="inlineStr">
        <is>
          <t>Ausgaben</t>
        </is>
      </c>
      <c r="E134" t="inlineStr">
        <is>
          <t>Reise- und Fahrtspesen inkl. Kilometergeld und Diäten</t>
        </is>
      </c>
      <c r="F134" s="214" t="n">
        <v>7.44</v>
      </c>
      <c r="G134" t="inlineStr">
        <is>
          <t>20%</t>
        </is>
      </c>
    </row>
    <row r="135">
      <c r="A135" t="n">
        <v>134</v>
      </c>
      <c r="B135" s="1" t="n">
        <v>43719</v>
      </c>
      <c r="C135" t="inlineStr">
        <is>
          <t>UPC Telekabel Wien GmbH, A1120 Wien, Postfach 47</t>
        </is>
      </c>
      <c r="D135" t="inlineStr">
        <is>
          <t>Ausgaben</t>
        </is>
      </c>
      <c r="E135" t="inlineStr">
        <is>
          <t>Telefon/Internet</t>
        </is>
      </c>
      <c r="F135" s="214" t="n">
        <v>23.088</v>
      </c>
      <c r="G135" t="inlineStr">
        <is>
          <t>20%</t>
        </is>
      </c>
    </row>
    <row r="136">
      <c r="A136" t="n">
        <v>135</v>
      </c>
      <c r="B136" s="1" t="n">
        <v>43720</v>
      </c>
      <c r="C136" t="inlineStr">
        <is>
          <t>Hetzner Online GmbH</t>
        </is>
      </c>
      <c r="D136" t="inlineStr">
        <is>
          <t>Ausgaben</t>
        </is>
      </c>
      <c r="E136" t="inlineStr">
        <is>
          <t>sonstige Betriebsausgaben</t>
        </is>
      </c>
      <c r="F136" s="214" t="n">
        <v>46.92</v>
      </c>
      <c r="G136" t="inlineStr">
        <is>
          <t>0%</t>
        </is>
      </c>
    </row>
    <row r="137">
      <c r="A137" t="n">
        <v>136</v>
      </c>
      <c r="B137" s="1" t="n">
        <v>43720</v>
      </c>
      <c r="C137" t="inlineStr">
        <is>
          <t>car2go Österreich GmbH, Hintere Zollamtstraße 9, 1030 Wien</t>
        </is>
      </c>
      <c r="D137" t="inlineStr">
        <is>
          <t>Ausgaben</t>
        </is>
      </c>
      <c r="E137" t="inlineStr">
        <is>
          <t>Reise- und Fahrtspesen inkl. Kilometergeld und Diäten</t>
        </is>
      </c>
      <c r="F137" s="214" t="n">
        <v>5.196</v>
      </c>
      <c r="G137" t="inlineStr">
        <is>
          <t>20%</t>
        </is>
      </c>
    </row>
    <row r="138">
      <c r="A138" t="n">
        <v>137</v>
      </c>
      <c r="B138" s="1" t="n">
        <v>43718</v>
      </c>
      <c r="C138" t="inlineStr">
        <is>
          <t>car2go Österreich GmbH, Hintere Zollamtstraße 9, 1030 Wien</t>
        </is>
      </c>
      <c r="D138" t="inlineStr">
        <is>
          <t>Ausgaben</t>
        </is>
      </c>
      <c r="E138" t="inlineStr">
        <is>
          <t>Reise- und Fahrtspesen inkl. Kilometergeld und Diäten</t>
        </is>
      </c>
      <c r="F138" s="214" t="n">
        <v>2.604</v>
      </c>
      <c r="G138" t="inlineStr">
        <is>
          <t>20%</t>
        </is>
      </c>
    </row>
    <row r="139">
      <c r="A139" t="n">
        <v>138</v>
      </c>
      <c r="B139" s="1" t="n">
        <v>43721</v>
      </c>
      <c r="C139" t="inlineStr">
        <is>
          <t>car2go Österreich GmbH, Hintere Zollamtstraße 9, 1030 Wien</t>
        </is>
      </c>
      <c r="D139" t="inlineStr">
        <is>
          <t>Ausgaben</t>
        </is>
      </c>
      <c r="E139" t="inlineStr">
        <is>
          <t>Reise- und Fahrtspesen inkl. Kilometergeld und Diäten</t>
        </is>
      </c>
      <c r="F139" s="214" t="n">
        <v>5.244</v>
      </c>
      <c r="G139" t="inlineStr">
        <is>
          <t>20%</t>
        </is>
      </c>
    </row>
    <row r="140">
      <c r="A140" t="n">
        <v>139</v>
      </c>
      <c r="B140" s="1" t="n">
        <v>43724</v>
      </c>
      <c r="C140" t="inlineStr">
        <is>
          <t>MS E-COMMERCE GMBH, SCS-Bürocenter B2, 2334 Vösendorf, FN332512p</t>
        </is>
      </c>
      <c r="D140" t="inlineStr">
        <is>
          <t>Ausgaben</t>
        </is>
      </c>
      <c r="E140" t="inlineStr">
        <is>
          <t>sonstige Betriebsausgaben</t>
        </is>
      </c>
      <c r="F140" s="214" t="n">
        <v>184.99</v>
      </c>
      <c r="G140" t="inlineStr">
        <is>
          <t>20%</t>
        </is>
      </c>
    </row>
    <row r="141">
      <c r="A141" t="n">
        <v>140</v>
      </c>
      <c r="B141" s="1" t="n">
        <v>43721</v>
      </c>
      <c r="C141" t="inlineStr">
        <is>
          <t>Amazon EU S. à r.l., 38 avenue John F. Kennedy, L-1855 Luxembourg</t>
        </is>
      </c>
      <c r="D141" t="inlineStr">
        <is>
          <t>Ausgaben</t>
        </is>
      </c>
      <c r="E141" t="inlineStr">
        <is>
          <t>sonstige Betriebsausgaben</t>
        </is>
      </c>
      <c r="F141" s="214" t="n">
        <v>38.148</v>
      </c>
      <c r="G141" t="inlineStr">
        <is>
          <t>20%</t>
        </is>
      </c>
    </row>
    <row r="142">
      <c r="A142" t="n">
        <v>141</v>
      </c>
      <c r="B142" s="1" t="n">
        <v>43726</v>
      </c>
      <c r="C142" t="inlineStr">
        <is>
          <t>Amazon EU S. à r.l., 38 avenue John F. Kennedy, L-1855 Luxembourg</t>
        </is>
      </c>
      <c r="D142" t="inlineStr">
        <is>
          <t>Ausgaben</t>
        </is>
      </c>
      <c r="E142" t="inlineStr">
        <is>
          <t>sonstige Betriebsausgaben</t>
        </is>
      </c>
      <c r="F142" s="214" t="n">
        <v>-38.148</v>
      </c>
      <c r="G142" t="inlineStr">
        <is>
          <t>20%</t>
        </is>
      </c>
    </row>
    <row r="143">
      <c r="A143" t="n">
        <v>142</v>
      </c>
      <c r="B143" s="1" t="n">
        <v>43724</v>
      </c>
      <c r="C143" t="inlineStr">
        <is>
          <t>Primus Office Products Handelsgesmbh,&amp; Co. KG, Margaretengürtel 44, 1050 Wien</t>
        </is>
      </c>
      <c r="D143" t="inlineStr">
        <is>
          <t>Ausgaben</t>
        </is>
      </c>
      <c r="E143" t="inlineStr">
        <is>
          <t>sonstige Betriebsausgaben</t>
        </is>
      </c>
      <c r="F143" s="214" t="n">
        <v>489.996</v>
      </c>
      <c r="G143" t="inlineStr">
        <is>
          <t>20%</t>
        </is>
      </c>
    </row>
    <row r="144">
      <c r="A144" t="n">
        <v>143</v>
      </c>
      <c r="B144" s="1" t="n">
        <v>43724</v>
      </c>
      <c r="C144" t="inlineStr">
        <is>
          <t>Montana Energie Handel AT GmbH</t>
        </is>
      </c>
      <c r="D144" t="inlineStr">
        <is>
          <t>Ausgaben</t>
        </is>
      </c>
      <c r="E144" t="inlineStr">
        <is>
          <t>sonstige Betriebsausgaben</t>
        </is>
      </c>
      <c r="F144" s="214" t="n">
        <v>3.934134492457172</v>
      </c>
      <c r="G144" t="inlineStr">
        <is>
          <t>20%</t>
        </is>
      </c>
    </row>
    <row r="145">
      <c r="A145" t="n">
        <v>144</v>
      </c>
      <c r="B145" s="1" t="n">
        <v>43703</v>
      </c>
      <c r="C145" t="inlineStr">
        <is>
          <t>Verbund AG, Postfach 8400, 1011 Wien, Österreich</t>
        </is>
      </c>
      <c r="D145" t="inlineStr">
        <is>
          <t>Ausgaben</t>
        </is>
      </c>
      <c r="E145" t="inlineStr">
        <is>
          <t>sonstige Betriebsausgaben</t>
        </is>
      </c>
      <c r="F145" s="214" t="n">
        <v>8.048583482485299</v>
      </c>
      <c r="G145" t="inlineStr">
        <is>
          <t>20%</t>
        </is>
      </c>
    </row>
    <row r="146">
      <c r="A146" t="n">
        <v>145</v>
      </c>
      <c r="B146" s="1" t="n">
        <v>43727</v>
      </c>
      <c r="C146" t="inlineStr">
        <is>
          <t>Amazon EU S. à r.l., 38 avenue John F. Kennedy, L-1855 Luxembourg</t>
        </is>
      </c>
      <c r="D146" t="inlineStr">
        <is>
          <t>Ausgaben</t>
        </is>
      </c>
      <c r="E146" t="inlineStr">
        <is>
          <t>sonstige Betriebsausgaben</t>
        </is>
      </c>
      <c r="F146" s="214" t="n">
        <v>110.92</v>
      </c>
      <c r="G146" t="inlineStr">
        <is>
          <t>20%</t>
        </is>
      </c>
    </row>
    <row r="147">
      <c r="A147" t="n">
        <v>146</v>
      </c>
      <c r="B147" s="1" t="n">
        <v>43727</v>
      </c>
      <c r="C147" t="inlineStr">
        <is>
          <t>car2go Österreich GmbH, Hintere Zollamtstraße 9, 1030 Wien</t>
        </is>
      </c>
      <c r="D147" t="inlineStr">
        <is>
          <t>Ausgaben</t>
        </is>
      </c>
      <c r="E147" t="inlineStr">
        <is>
          <t>Reise- und Fahrtspesen inkl. Kilometergeld und Diäten</t>
        </is>
      </c>
      <c r="F147" s="214" t="n">
        <v>2.448</v>
      </c>
      <c r="G147" t="inlineStr">
        <is>
          <t>20%</t>
        </is>
      </c>
    </row>
    <row r="148">
      <c r="A148" t="n">
        <v>147</v>
      </c>
      <c r="B148" s="1" t="n">
        <v>43727</v>
      </c>
      <c r="C148" t="inlineStr">
        <is>
          <t>Amazon EU S. à r.l., 38 avenue John F. Kennedy, L-1855 Luxembourg</t>
        </is>
      </c>
      <c r="D148" t="inlineStr">
        <is>
          <t>Ausgaben</t>
        </is>
      </c>
      <c r="E148" t="inlineStr">
        <is>
          <t>sonstige Betriebsausgaben</t>
        </is>
      </c>
      <c r="F148" s="214" t="n">
        <v>29.12</v>
      </c>
      <c r="G148" t="inlineStr">
        <is>
          <t>0%</t>
        </is>
      </c>
    </row>
    <row r="149">
      <c r="A149" t="n">
        <v>148</v>
      </c>
      <c r="B149" s="1" t="n">
        <v>43728</v>
      </c>
      <c r="C149" t="inlineStr">
        <is>
          <t>Amazon EU S. à r.l., 38 avenue John F. Kennedy, L-1855 Luxembourg</t>
        </is>
      </c>
      <c r="D149" t="inlineStr">
        <is>
          <t>Ausgaben</t>
        </is>
      </c>
      <c r="E149" t="inlineStr">
        <is>
          <t>sonstige Betriebsausgaben</t>
        </is>
      </c>
      <c r="F149" s="214" t="n">
        <v>212.98</v>
      </c>
      <c r="G149" t="inlineStr">
        <is>
          <t>0%</t>
        </is>
      </c>
    </row>
    <row r="150">
      <c r="A150" t="n">
        <v>149</v>
      </c>
      <c r="B150" s="1" t="n">
        <v>43731</v>
      </c>
      <c r="C150" t="inlineStr">
        <is>
          <t>Microsoft Ireland Operations Ltd. One Microsoft Place, South County, Business Park, Leopardstown, Dublin 18, D18 P521, Ireland</t>
        </is>
      </c>
      <c r="D150" t="inlineStr">
        <is>
          <t>Ausgaben</t>
        </is>
      </c>
      <c r="E150" t="inlineStr">
        <is>
          <t>sonstige Betriebsausgaben</t>
        </is>
      </c>
      <c r="F150" s="214" t="n">
        <v>-9.279999999999999</v>
      </c>
      <c r="G150" t="inlineStr">
        <is>
          <t>20%</t>
        </is>
      </c>
    </row>
    <row r="151">
      <c r="A151" t="n">
        <v>150</v>
      </c>
      <c r="B151" s="1" t="n">
        <v>43731</v>
      </c>
      <c r="C151" t="inlineStr">
        <is>
          <t>car2go Österreich GmbH, Hintere Zollamtstraße 9, 1030 Wien</t>
        </is>
      </c>
      <c r="D151" t="inlineStr">
        <is>
          <t>Ausgaben</t>
        </is>
      </c>
      <c r="E151" t="inlineStr">
        <is>
          <t>Reise- und Fahrtspesen inkl. Kilometergeld und Diäten</t>
        </is>
      </c>
      <c r="F151" s="214" t="n">
        <v>7.752</v>
      </c>
      <c r="G151" t="inlineStr">
        <is>
          <t>20%</t>
        </is>
      </c>
    </row>
    <row r="152">
      <c r="A152" t="n">
        <v>151</v>
      </c>
      <c r="B152" s="1" t="n">
        <v>43731</v>
      </c>
      <c r="C152" t="inlineStr">
        <is>
          <t>PSK 1154 (Rücksendung Drei Paket)</t>
        </is>
      </c>
      <c r="D152" t="inlineStr">
        <is>
          <t>Ausgaben</t>
        </is>
      </c>
      <c r="E152" t="inlineStr">
        <is>
          <t>Porto/Gebühren</t>
        </is>
      </c>
      <c r="F152" s="214" t="n">
        <v>4.81</v>
      </c>
      <c r="G152" t="inlineStr">
        <is>
          <t>0%</t>
        </is>
      </c>
    </row>
    <row r="153">
      <c r="A153" t="n">
        <v>152</v>
      </c>
      <c r="B153" s="1" t="n">
        <v>43731</v>
      </c>
      <c r="C153" t="inlineStr">
        <is>
          <t>CP International Logistik GmbH,  Zweigniederlassung Wien Wolfgang Pauligasse 5, 1140 Wien (Teil 1/2)</t>
        </is>
      </c>
      <c r="D153" t="inlineStr">
        <is>
          <t>Ausgaben</t>
        </is>
      </c>
      <c r="E153" t="inlineStr">
        <is>
          <t>sonstige Betriebsausgaben</t>
        </is>
      </c>
      <c r="F153" s="214" t="n">
        <v>570</v>
      </c>
      <c r="G153" t="inlineStr">
        <is>
          <t>20%</t>
        </is>
      </c>
    </row>
    <row r="154">
      <c r="A154" t="n">
        <v>153</v>
      </c>
      <c r="B154" s="1" t="n">
        <v>43733</v>
      </c>
      <c r="C154" t="inlineStr">
        <is>
          <t>Premium Laudongasse 58 GmbH &amp; Co KG</t>
        </is>
      </c>
      <c r="D154" t="inlineStr">
        <is>
          <t>Ausgaben</t>
        </is>
      </c>
      <c r="E154" t="inlineStr">
        <is>
          <t>Miet- und Pachtaufwand, Leasing</t>
        </is>
      </c>
      <c r="F154" s="214" t="n">
        <v>229.4321667092815</v>
      </c>
      <c r="G154" t="inlineStr">
        <is>
          <t>10%</t>
        </is>
      </c>
    </row>
    <row r="155">
      <c r="A155" t="n">
        <v>154</v>
      </c>
      <c r="B155" s="1" t="n">
        <v>43738</v>
      </c>
      <c r="C155" t="inlineStr">
        <is>
          <t>Wien Energie Vertrieb GmbH &amp; Co KG, 1030 Wien, Pf 520</t>
        </is>
      </c>
      <c r="D155" t="inlineStr">
        <is>
          <t>Ausgaben</t>
        </is>
      </c>
      <c r="E155" t="inlineStr">
        <is>
          <t>sonstige Betriebsausgaben</t>
        </is>
      </c>
      <c r="F155" s="214" t="n">
        <v>96</v>
      </c>
      <c r="G155" t="inlineStr">
        <is>
          <t>20%</t>
        </is>
      </c>
    </row>
    <row r="156">
      <c r="A156" t="n">
        <v>155</v>
      </c>
      <c r="B156" s="1" t="n">
        <v>43738</v>
      </c>
      <c r="C156" t="inlineStr">
        <is>
          <t>car2go Österreich GmbH, Hintere Zollamtstraße 9, 1030 Wien</t>
        </is>
      </c>
      <c r="D156" t="inlineStr">
        <is>
          <t>Ausgaben</t>
        </is>
      </c>
      <c r="E156" t="inlineStr">
        <is>
          <t>Reise- und Fahrtspesen inkl. Kilometergeld und Diäten</t>
        </is>
      </c>
      <c r="F156" s="214" t="n">
        <v>8.364000000000001</v>
      </c>
      <c r="G156" t="inlineStr">
        <is>
          <t>20%</t>
        </is>
      </c>
    </row>
    <row r="157">
      <c r="A157" t="n">
        <v>156</v>
      </c>
      <c r="B157" s="1" t="n">
        <v>43739</v>
      </c>
      <c r="C157" t="inlineStr">
        <is>
          <t>Bontus Immobilienverwaltung GmbH, 1010 Wien, Franz Josefs Kai 65</t>
        </is>
      </c>
      <c r="D157" t="inlineStr">
        <is>
          <t>Ausgaben</t>
        </is>
      </c>
      <c r="E157" t="inlineStr">
        <is>
          <t>Miet- und Pachtaufwand, Leasing</t>
        </is>
      </c>
      <c r="F157" s="214" t="n">
        <v>554.928</v>
      </c>
      <c r="G157" t="inlineStr">
        <is>
          <t>20%</t>
        </is>
      </c>
    </row>
    <row r="158">
      <c r="A158" t="n">
        <v>157</v>
      </c>
      <c r="B158" s="1" t="n">
        <v>43739</v>
      </c>
      <c r="C158" t="inlineStr">
        <is>
          <t>HoT Telekom und Service GmbH</t>
        </is>
      </c>
      <c r="D158" t="inlineStr">
        <is>
          <t>Ausgaben</t>
        </is>
      </c>
      <c r="E158" t="inlineStr">
        <is>
          <t>Telefon/Internet</t>
        </is>
      </c>
      <c r="F158" s="214" t="n">
        <v>5.904</v>
      </c>
      <c r="G158" t="inlineStr">
        <is>
          <t>20%</t>
        </is>
      </c>
    </row>
    <row r="159">
      <c r="A159" t="n">
        <v>158</v>
      </c>
      <c r="B159" s="1" t="n">
        <v>43740</v>
      </c>
      <c r="C159" t="inlineStr">
        <is>
          <t>car2go Österreich GmbH, Hintere Zollamtstraße 9, 1030 Wien</t>
        </is>
      </c>
      <c r="D159" t="inlineStr">
        <is>
          <t>Ausgaben</t>
        </is>
      </c>
      <c r="E159" t="inlineStr">
        <is>
          <t>Reise- und Fahrtspesen inkl. Kilometergeld und Diäten</t>
        </is>
      </c>
      <c r="F159" s="214" t="n">
        <v>6.204</v>
      </c>
      <c r="G159" t="inlineStr">
        <is>
          <t>20%</t>
        </is>
      </c>
    </row>
    <row r="160">
      <c r="A160" t="n">
        <v>159</v>
      </c>
      <c r="B160" s="1" t="n">
        <v>43740</v>
      </c>
      <c r="C160" t="inlineStr">
        <is>
          <t>car2go Österreich GmbH, Hintere Zollamtstraße 9, 1030 Wien</t>
        </is>
      </c>
      <c r="D160" t="inlineStr">
        <is>
          <t>Ausgaben</t>
        </is>
      </c>
      <c r="E160" t="inlineStr">
        <is>
          <t>Reise- und Fahrtspesen inkl. Kilometergeld und Diäten</t>
        </is>
      </c>
      <c r="F160" s="214" t="n">
        <v>6.816</v>
      </c>
      <c r="G160" t="inlineStr">
        <is>
          <t>20%</t>
        </is>
      </c>
    </row>
    <row r="161">
      <c r="A161" t="n">
        <v>160</v>
      </c>
      <c r="B161" s="1" t="n">
        <v>43741</v>
      </c>
      <c r="C161" t="inlineStr">
        <is>
          <t>CP International Logistik GmbH,  Zweigniederlassung Wien Wolfgang Pauligasse 5, 1140 Wien (Teil 2/2)</t>
        </is>
      </c>
      <c r="D161" t="inlineStr">
        <is>
          <t>Ausgaben</t>
        </is>
      </c>
      <c r="E161" t="inlineStr">
        <is>
          <t>sonstige Betriebsausgaben</t>
        </is>
      </c>
      <c r="F161" s="214" t="n">
        <v>570</v>
      </c>
      <c r="G161" t="inlineStr">
        <is>
          <t>20%</t>
        </is>
      </c>
    </row>
    <row r="162">
      <c r="A162" t="n">
        <v>161</v>
      </c>
      <c r="B162" s="1" t="n">
        <v>43742</v>
      </c>
      <c r="C162" t="inlineStr">
        <is>
          <t>Hutchison Drei Austria GmbH, Brünner Straße 52, 1210 Wien, Österreich</t>
        </is>
      </c>
      <c r="D162" t="inlineStr">
        <is>
          <t>Ausgaben</t>
        </is>
      </c>
      <c r="E162" t="inlineStr">
        <is>
          <t>Telefon/Internet</t>
        </is>
      </c>
      <c r="F162" s="214" t="n">
        <v>19.824</v>
      </c>
      <c r="G162" t="inlineStr">
        <is>
          <t>20%</t>
        </is>
      </c>
    </row>
    <row r="163">
      <c r="A163" t="n">
        <v>162</v>
      </c>
      <c r="B163" s="1" t="n">
        <v>43742</v>
      </c>
      <c r="C163" t="inlineStr">
        <is>
          <t>Amazon Gutschrift (Reklamation TV-Gerät Stoja 2016/Schick 2019; Ausgaben 262-263 nach alter Nummerierung)</t>
        </is>
      </c>
      <c r="D163" t="inlineStr">
        <is>
          <t>Ausgaben</t>
        </is>
      </c>
      <c r="E163" t="inlineStr">
        <is>
          <t>sonstige Betriebsausgaben</t>
        </is>
      </c>
      <c r="F163" s="214" t="n">
        <v>-286.14</v>
      </c>
      <c r="G163" t="inlineStr">
        <is>
          <t>20%</t>
        </is>
      </c>
    </row>
    <row r="164">
      <c r="A164" t="n">
        <v>163</v>
      </c>
      <c r="B164" s="1" t="n">
        <v>43742</v>
      </c>
      <c r="C164" t="inlineStr">
        <is>
          <t>Amazon EU S. à r.l., 38 avenue John F. Kennedy, L-1855 Luxembourg: Büromaterial inkl. Thunderbolt 3 Dock Lenovo</t>
        </is>
      </c>
      <c r="D164" t="inlineStr">
        <is>
          <t>Ausgaben</t>
        </is>
      </c>
      <c r="E164" t="inlineStr">
        <is>
          <t>Büromaterial</t>
        </is>
      </c>
      <c r="F164" s="214" t="n">
        <v>242.4</v>
      </c>
      <c r="G164" t="inlineStr">
        <is>
          <t>0%</t>
        </is>
      </c>
    </row>
    <row r="165" hidden="1">
      <c r="A165" t="n">
        <v>164</v>
      </c>
      <c r="B165" s="1" t="n">
        <v>43742</v>
      </c>
      <c r="C165" t="inlineStr">
        <is>
          <t>vemap Academy GmbH, Berggasse 31, 1080 Wien</t>
        </is>
      </c>
      <c r="D165" t="inlineStr">
        <is>
          <t>Einnahmen</t>
        </is>
      </c>
      <c r="E165" t="inlineStr">
        <is>
          <t>Waren-/Leistungserlöse</t>
        </is>
      </c>
      <c r="F165" s="214" t="n">
        <v>2016</v>
      </c>
      <c r="G165" t="inlineStr">
        <is>
          <t>20%</t>
        </is>
      </c>
    </row>
    <row r="166">
      <c r="A166" t="n">
        <v>165</v>
      </c>
      <c r="B166" s="1" t="n">
        <v>43745</v>
      </c>
      <c r="C166" t="inlineStr">
        <is>
          <t>Techem Messtechnik GmbH; Abnehmernummer 501686-0003-11-(</t>
        </is>
      </c>
      <c r="D166" t="inlineStr">
        <is>
          <t>Ausgaben</t>
        </is>
      </c>
      <c r="E166" t="inlineStr">
        <is>
          <t>sonstige Betriebsausgaben</t>
        </is>
      </c>
      <c r="F166" s="214" t="n">
        <v>43.90000000000001</v>
      </c>
      <c r="G166" t="inlineStr">
        <is>
          <t>20%</t>
        </is>
      </c>
    </row>
    <row r="167">
      <c r="A167" t="n">
        <v>166</v>
      </c>
      <c r="B167" s="1" t="n">
        <v>43745</v>
      </c>
      <c r="C167" t="inlineStr">
        <is>
          <t>car2go Österreich GmbH, Hintere Zollamtstraße 9, 1030 Wien</t>
        </is>
      </c>
      <c r="D167" t="inlineStr">
        <is>
          <t>Ausgaben</t>
        </is>
      </c>
      <c r="E167" t="inlineStr">
        <is>
          <t>Reise- und Fahrtspesen inkl. Kilometergeld und Diäten</t>
        </is>
      </c>
      <c r="F167" s="214" t="n">
        <v>3.996</v>
      </c>
      <c r="G167" t="inlineStr">
        <is>
          <t>20%</t>
        </is>
      </c>
    </row>
    <row r="168">
      <c r="A168" t="n">
        <v>167</v>
      </c>
      <c r="B168" s="1" t="n">
        <v>43747</v>
      </c>
      <c r="C168" t="inlineStr">
        <is>
          <t>UPC Telekabel Wien GmbH, A1120 Wien, Postfach 47</t>
        </is>
      </c>
      <c r="D168" t="inlineStr">
        <is>
          <t>Ausgaben</t>
        </is>
      </c>
      <c r="E168" t="inlineStr">
        <is>
          <t>Telefon/Internet</t>
        </is>
      </c>
      <c r="F168" s="214" t="n">
        <v>23.088</v>
      </c>
      <c r="G168" t="inlineStr">
        <is>
          <t>20%</t>
        </is>
      </c>
    </row>
    <row r="169">
      <c r="A169" t="n">
        <v>168</v>
      </c>
      <c r="B169" s="1" t="n">
        <v>43749</v>
      </c>
      <c r="C169" t="inlineStr">
        <is>
          <t>Hetzner Online GmbH</t>
        </is>
      </c>
      <c r="D169" t="inlineStr">
        <is>
          <t>Ausgaben</t>
        </is>
      </c>
      <c r="E169" t="inlineStr">
        <is>
          <t>sonstige Betriebsausgaben</t>
        </is>
      </c>
      <c r="F169" s="214" t="n">
        <v>46.92</v>
      </c>
      <c r="G169" t="inlineStr">
        <is>
          <t>0%</t>
        </is>
      </c>
    </row>
    <row r="170">
      <c r="A170" t="n">
        <v>169</v>
      </c>
      <c r="B170" s="1" t="n">
        <v>43749</v>
      </c>
      <c r="C170" t="inlineStr">
        <is>
          <t>Libro 1090</t>
        </is>
      </c>
      <c r="D170" t="inlineStr">
        <is>
          <t>Ausgaben</t>
        </is>
      </c>
      <c r="E170" t="inlineStr">
        <is>
          <t>Büromaterial</t>
        </is>
      </c>
      <c r="F170" s="214" t="n">
        <v>14.27</v>
      </c>
      <c r="G170" t="inlineStr">
        <is>
          <t>20%</t>
        </is>
      </c>
    </row>
    <row r="171" hidden="1">
      <c r="A171" t="n">
        <v>170</v>
      </c>
      <c r="B171" s="1" t="n">
        <v>43752</v>
      </c>
      <c r="C171" t="inlineStr">
        <is>
          <t>ZT DI Dr. Arno Kolbitsch, Gütleweg 1, 6822 Satteins</t>
        </is>
      </c>
      <c r="D171" t="inlineStr">
        <is>
          <t>Einnahmen</t>
        </is>
      </c>
      <c r="E171" t="inlineStr">
        <is>
          <t>Waren-/Leistungserlöse</t>
        </is>
      </c>
      <c r="F171" s="214" t="n">
        <v>277.716</v>
      </c>
      <c r="G171" t="inlineStr">
        <is>
          <t>20%</t>
        </is>
      </c>
    </row>
    <row r="172" hidden="1">
      <c r="A172" t="n">
        <v>171</v>
      </c>
      <c r="B172" s="1" t="n">
        <v>43752</v>
      </c>
      <c r="C172" t="inlineStr">
        <is>
          <t>Schick Küchendesign e.U. Alexander Schick, Linzerstraße 247, 1140 Wien</t>
        </is>
      </c>
      <c r="D172" t="inlineStr">
        <is>
          <t>Einnahmen</t>
        </is>
      </c>
      <c r="E172" t="inlineStr">
        <is>
          <t>Waren-/Leistungserlöse</t>
        </is>
      </c>
      <c r="F172" s="214" t="n">
        <v>540</v>
      </c>
      <c r="G172" t="inlineStr">
        <is>
          <t>20%</t>
        </is>
      </c>
    </row>
    <row r="173">
      <c r="A173" t="n">
        <v>172</v>
      </c>
      <c r="B173" s="1" t="n">
        <v>43753</v>
      </c>
      <c r="C173" t="inlineStr">
        <is>
          <t>Montana Energie Handel AT GmbH</t>
        </is>
      </c>
      <c r="D173" t="inlineStr">
        <is>
          <t>Ausgaben</t>
        </is>
      </c>
      <c r="E173" t="inlineStr">
        <is>
          <t>sonstige Betriebsausgaben</t>
        </is>
      </c>
      <c r="F173" s="214" t="n">
        <v>21.85739555100997</v>
      </c>
      <c r="G173" t="inlineStr">
        <is>
          <t>20%</t>
        </is>
      </c>
    </row>
    <row r="174" hidden="1">
      <c r="A174" t="n">
        <v>173</v>
      </c>
      <c r="B174" s="1" t="n">
        <v>43755</v>
      </c>
      <c r="C174" t="inlineStr">
        <is>
          <t>Franz Hauer GmbH + Co KG</t>
        </is>
      </c>
      <c r="D174" t="inlineStr">
        <is>
          <t>Einnahmen</t>
        </is>
      </c>
      <c r="E174" t="inlineStr">
        <is>
          <t>Waren-/Leistungserlöse</t>
        </is>
      </c>
      <c r="F174" s="214" t="n">
        <v>2626.5</v>
      </c>
      <c r="G174" t="inlineStr">
        <is>
          <t>20%</t>
        </is>
      </c>
    </row>
    <row r="175">
      <c r="A175" t="n">
        <v>174</v>
      </c>
      <c r="B175" s="1" t="n">
        <v>43759</v>
      </c>
      <c r="C175" t="inlineStr">
        <is>
          <t>car2go Österreich GmbH, Hintere Zollamtstraße 9, 1030 Wien</t>
        </is>
      </c>
      <c r="D175" t="inlineStr">
        <is>
          <t>Ausgaben</t>
        </is>
      </c>
      <c r="E175" t="inlineStr">
        <is>
          <t>Reise- und Fahrtspesen inkl. Kilometergeld und Diäten</t>
        </is>
      </c>
      <c r="F175" s="214" t="n">
        <v>6.119999999999999</v>
      </c>
      <c r="G175" t="inlineStr">
        <is>
          <t>20%</t>
        </is>
      </c>
    </row>
    <row r="176">
      <c r="A176" t="n">
        <v>175</v>
      </c>
      <c r="B176" s="1" t="n">
        <v>43762</v>
      </c>
      <c r="C176" t="inlineStr">
        <is>
          <t>car2go Österreich GmbH, Hintere Zollamtstraße 9, 1030 Wien</t>
        </is>
      </c>
      <c r="D176" t="inlineStr">
        <is>
          <t>Ausgaben</t>
        </is>
      </c>
      <c r="E176" t="inlineStr">
        <is>
          <t>Reise- und Fahrtspesen inkl. Kilometergeld und Diäten</t>
        </is>
      </c>
      <c r="F176" s="214" t="n">
        <v>3.144</v>
      </c>
      <c r="G176" t="inlineStr">
        <is>
          <t>20%</t>
        </is>
      </c>
    </row>
    <row r="177">
      <c r="A177" t="n">
        <v>176</v>
      </c>
      <c r="B177" s="1" t="n">
        <v>43762</v>
      </c>
      <c r="C177" t="inlineStr">
        <is>
          <t>car2go Österreich GmbH, Hintere Zollamtstraße 9, 1030 Wien</t>
        </is>
      </c>
      <c r="D177" t="inlineStr">
        <is>
          <t>Ausgaben</t>
        </is>
      </c>
      <c r="E177" t="inlineStr">
        <is>
          <t>Reise- und Fahrtspesen inkl. Kilometergeld und Diäten</t>
        </is>
      </c>
      <c r="F177" s="214" t="n">
        <v>2.076</v>
      </c>
      <c r="G177" t="inlineStr">
        <is>
          <t>20%</t>
        </is>
      </c>
    </row>
    <row r="178">
      <c r="A178" t="n">
        <v>177</v>
      </c>
      <c r="B178" s="1" t="n">
        <v>43763</v>
      </c>
      <c r="C178" t="inlineStr">
        <is>
          <t>Premium Laudongasse 58 GmbH &amp; Co KG</t>
        </is>
      </c>
      <c r="D178" t="inlineStr">
        <is>
          <t>Ausgaben</t>
        </is>
      </c>
      <c r="E178" t="inlineStr">
        <is>
          <t>Miet- und Pachtaufwand, Leasing</t>
        </is>
      </c>
      <c r="F178" s="214" t="n">
        <v>229.4321667092815</v>
      </c>
      <c r="G178" t="inlineStr">
        <is>
          <t>10%</t>
        </is>
      </c>
    </row>
    <row r="179">
      <c r="A179" t="n">
        <v>178</v>
      </c>
      <c r="B179" s="1" t="n">
        <v>43766</v>
      </c>
      <c r="C179" t="inlineStr">
        <is>
          <t>car2go Österreich GmbH, Hintere Zollamtstraße 9, 1030 Wien</t>
        </is>
      </c>
      <c r="D179" t="inlineStr">
        <is>
          <t>Ausgaben</t>
        </is>
      </c>
      <c r="E179" t="inlineStr">
        <is>
          <t>Reise- und Fahrtspesen inkl. Kilometergeld und Diäten</t>
        </is>
      </c>
      <c r="F179" s="214" t="n">
        <v>2.076</v>
      </c>
      <c r="G179" t="inlineStr">
        <is>
          <t>20%</t>
        </is>
      </c>
    </row>
    <row r="180">
      <c r="A180" t="n">
        <v>179</v>
      </c>
      <c r="B180" s="1" t="n">
        <v>43767</v>
      </c>
      <c r="C180" t="inlineStr">
        <is>
          <t>Amazon EU S. à r.l., 38 avenue John F. Kennedy, L-1855 Luxembourg: Büromaterial inkl. Thunderbolt 3 Dock Lenovo</t>
        </is>
      </c>
      <c r="D180" t="inlineStr">
        <is>
          <t>Ausgaben</t>
        </is>
      </c>
      <c r="E180" t="inlineStr">
        <is>
          <t>sonstige Betriebsausgaben</t>
        </is>
      </c>
      <c r="F180" s="214" t="n">
        <v>43.79</v>
      </c>
      <c r="G180" t="inlineStr">
        <is>
          <t>0%</t>
        </is>
      </c>
    </row>
    <row r="181" hidden="1">
      <c r="A181" t="n">
        <v>180</v>
      </c>
      <c r="B181" s="1" t="n">
        <v>43768</v>
      </c>
      <c r="C181" t="inlineStr">
        <is>
          <t>Wedding Avenue e.U., Mayerweckstrasse 2-8/99/1, 1210 Wien</t>
        </is>
      </c>
      <c r="D181" t="inlineStr">
        <is>
          <t>Einnahmen</t>
        </is>
      </c>
      <c r="E181" t="inlineStr">
        <is>
          <t>Waren-/Leistungserlöse</t>
        </is>
      </c>
      <c r="F181" s="214" t="n">
        <v>943.5</v>
      </c>
      <c r="G181" t="inlineStr">
        <is>
          <t>20%</t>
        </is>
      </c>
    </row>
    <row r="182">
      <c r="A182" t="n">
        <v>181</v>
      </c>
      <c r="B182" s="1" t="n">
        <v>43768</v>
      </c>
      <c r="C182" t="inlineStr">
        <is>
          <t>car2go Österreich GmbH, Hintere Zollamtstraße 9, 1030 Wien</t>
        </is>
      </c>
      <c r="D182" t="inlineStr">
        <is>
          <t>Ausgaben</t>
        </is>
      </c>
      <c r="E182" t="inlineStr">
        <is>
          <t>Reise- und Fahrtspesen inkl. Kilometergeld und Diäten</t>
        </is>
      </c>
      <c r="F182" s="214" t="n">
        <v>8.280000000000001</v>
      </c>
      <c r="G182" t="inlineStr">
        <is>
          <t>20%</t>
        </is>
      </c>
    </row>
    <row r="183">
      <c r="A183" t="n">
        <v>182</v>
      </c>
      <c r="B183" s="1" t="n">
        <v>43736</v>
      </c>
      <c r="C183" t="inlineStr">
        <is>
          <t>Hofer KG, Brunnengasse 38, 1160 Wien</t>
        </is>
      </c>
      <c r="D183" t="inlineStr">
        <is>
          <t>Ausgaben</t>
        </is>
      </c>
      <c r="E183" t="inlineStr">
        <is>
          <t>sonstige Betriebsausgaben</t>
        </is>
      </c>
      <c r="F183" s="214" t="n">
        <v>19.992</v>
      </c>
      <c r="G183" t="inlineStr">
        <is>
          <t>20%</t>
        </is>
      </c>
    </row>
    <row r="184">
      <c r="A184" t="n">
        <v>183</v>
      </c>
      <c r="B184" s="1" t="n">
        <v>43656</v>
      </c>
      <c r="C184" t="inlineStr">
        <is>
          <t>Österreichische Post AG, Bennogasse 1</t>
        </is>
      </c>
      <c r="D184" t="inlineStr">
        <is>
          <t>Ausgaben</t>
        </is>
      </c>
      <c r="E184" t="inlineStr">
        <is>
          <t>Porto/Gebühren</t>
        </is>
      </c>
      <c r="F184" s="214" t="n">
        <v>2.7</v>
      </c>
      <c r="G184" t="inlineStr">
        <is>
          <t>0%</t>
        </is>
      </c>
    </row>
    <row r="185">
      <c r="A185" t="n">
        <v>184</v>
      </c>
      <c r="B185" s="1" t="n">
        <v>43769</v>
      </c>
      <c r="C185" t="inlineStr">
        <is>
          <t>Hutchison Drei Austria GmbH, Brünner Straße 52, 1210 Wien, Österreich</t>
        </is>
      </c>
      <c r="D185" t="inlineStr">
        <is>
          <t>Ausgaben</t>
        </is>
      </c>
      <c r="E185" t="inlineStr">
        <is>
          <t>Telefon/Internet</t>
        </is>
      </c>
      <c r="F185" s="214" t="n">
        <v>18</v>
      </c>
      <c r="G185" t="inlineStr">
        <is>
          <t>20%</t>
        </is>
      </c>
    </row>
    <row r="186">
      <c r="A186" t="n">
        <v>185</v>
      </c>
      <c r="B186" s="1" t="n">
        <v>43773</v>
      </c>
      <c r="C186" t="inlineStr">
        <is>
          <t>Bontus Immobilienverwaltung GmbH, 1010 Wien, Franz Josefs Kai 65</t>
        </is>
      </c>
      <c r="D186" t="inlineStr">
        <is>
          <t>Ausgaben</t>
        </is>
      </c>
      <c r="E186" t="inlineStr">
        <is>
          <t>Miet- und Pachtaufwand, Leasing</t>
        </is>
      </c>
      <c r="F186" s="214" t="n">
        <v>554.928</v>
      </c>
      <c r="G186" t="inlineStr">
        <is>
          <t>20%</t>
        </is>
      </c>
    </row>
    <row r="187">
      <c r="A187" t="n">
        <v>186</v>
      </c>
      <c r="B187" s="1" t="n">
        <v>43773</v>
      </c>
      <c r="C187" t="inlineStr">
        <is>
          <t>Libro 1200</t>
        </is>
      </c>
      <c r="D187" t="inlineStr">
        <is>
          <t>Ausgaben</t>
        </is>
      </c>
      <c r="E187" t="inlineStr">
        <is>
          <t>Büromaterial</t>
        </is>
      </c>
      <c r="F187" s="214" t="n">
        <v>30.77</v>
      </c>
      <c r="G187" t="inlineStr">
        <is>
          <t>20%</t>
        </is>
      </c>
    </row>
    <row r="188">
      <c r="A188" t="n">
        <v>187</v>
      </c>
      <c r="B188" s="1" t="n">
        <v>43775</v>
      </c>
      <c r="C188" t="inlineStr">
        <is>
          <t>easy green energy</t>
        </is>
      </c>
      <c r="D188" t="inlineStr">
        <is>
          <t>Ausgaben</t>
        </is>
      </c>
      <c r="E188" t="inlineStr">
        <is>
          <t>sonstige Betriebsausgaben</t>
        </is>
      </c>
      <c r="F188" s="214" t="n">
        <v>14</v>
      </c>
      <c r="G188" t="inlineStr">
        <is>
          <t>20%</t>
        </is>
      </c>
    </row>
    <row r="189">
      <c r="A189" t="n">
        <v>188</v>
      </c>
      <c r="B189" s="1" t="n">
        <v>43776</v>
      </c>
      <c r="C189" t="inlineStr">
        <is>
          <t>Techem Messtechnik GmbH; Abnehmernummer 501686-0003-11-(</t>
        </is>
      </c>
      <c r="D189" t="inlineStr">
        <is>
          <t>Ausgaben</t>
        </is>
      </c>
      <c r="E189" t="inlineStr">
        <is>
          <t>sonstige Betriebsausgaben</t>
        </is>
      </c>
      <c r="F189" s="214" t="n">
        <v>43.90000000000001</v>
      </c>
      <c r="G189" t="inlineStr">
        <is>
          <t>20%</t>
        </is>
      </c>
    </row>
    <row r="190">
      <c r="A190" t="n">
        <v>189</v>
      </c>
      <c r="B190" s="1" t="n">
        <v>43776</v>
      </c>
      <c r="C190" t="inlineStr">
        <is>
          <t>Magenta: T-Mobile Austria GmbH, A-1120 Wien, PF 47</t>
        </is>
      </c>
      <c r="D190" t="inlineStr">
        <is>
          <t>Ausgaben</t>
        </is>
      </c>
      <c r="E190" t="inlineStr">
        <is>
          <t>Telefon/Internet</t>
        </is>
      </c>
      <c r="F190" s="214" t="n">
        <v>23.088</v>
      </c>
      <c r="G190" t="inlineStr">
        <is>
          <t>20%</t>
        </is>
      </c>
    </row>
    <row r="191">
      <c r="A191" t="n">
        <v>190</v>
      </c>
      <c r="B191" s="1" t="n">
        <v>43776</v>
      </c>
      <c r="C191" t="inlineStr">
        <is>
          <t>car2go Österreich GmbH, Hintere Zollamtstraße 9, 1030 Wien</t>
        </is>
      </c>
      <c r="D191" t="inlineStr">
        <is>
          <t>Ausgaben</t>
        </is>
      </c>
      <c r="E191" t="inlineStr">
        <is>
          <t>Reise- und Fahrtspesen inkl. Kilometergeld und Diäten</t>
        </is>
      </c>
      <c r="F191" s="214" t="n">
        <v>3.96</v>
      </c>
      <c r="G191" t="inlineStr">
        <is>
          <t>20%</t>
        </is>
      </c>
    </row>
    <row r="192">
      <c r="A192" t="n">
        <v>191</v>
      </c>
      <c r="B192" s="1" t="n">
        <v>43777</v>
      </c>
      <c r="C192" t="inlineStr">
        <is>
          <t>Wien Energie Vertrieb GmbH &amp; Co KG, 1030 Wien, Pf 520</t>
        </is>
      </c>
      <c r="D192" t="inlineStr">
        <is>
          <t>Ausgaben</t>
        </is>
      </c>
      <c r="E192" t="inlineStr">
        <is>
          <t>sonstige Betriebsausgaben</t>
        </is>
      </c>
      <c r="F192" s="214" t="n">
        <v>-43.20000000000001</v>
      </c>
      <c r="G192" t="inlineStr">
        <is>
          <t>20%</t>
        </is>
      </c>
    </row>
    <row r="193">
      <c r="A193" t="n">
        <v>192</v>
      </c>
      <c r="B193" s="1" t="n">
        <v>43777</v>
      </c>
      <c r="C193" t="inlineStr">
        <is>
          <t>car2go Österreich GmbH, Hintere Zollamtstraße 9, 1030 Wien</t>
        </is>
      </c>
      <c r="D193" t="inlineStr">
        <is>
          <t>Ausgaben</t>
        </is>
      </c>
      <c r="E193" t="inlineStr">
        <is>
          <t>Reise- und Fahrtspesen inkl. Kilometergeld und Diäten</t>
        </is>
      </c>
      <c r="F193" s="214" t="n">
        <v>3.24</v>
      </c>
      <c r="G193" t="inlineStr">
        <is>
          <t>20%</t>
        </is>
      </c>
    </row>
    <row r="194" hidden="1">
      <c r="A194" t="n">
        <v>193</v>
      </c>
      <c r="B194" s="1" t="n">
        <v>43781</v>
      </c>
      <c r="C194" t="inlineStr">
        <is>
          <t>vemap Academy GmbH, Berggasse 31, 1080 Wien</t>
        </is>
      </c>
      <c r="D194" t="inlineStr">
        <is>
          <t>Einnahmen</t>
        </is>
      </c>
      <c r="E194" t="inlineStr">
        <is>
          <t>Waren-/Leistungserlöse</t>
        </is>
      </c>
      <c r="F194" s="214" t="n">
        <v>3528</v>
      </c>
      <c r="G194" t="inlineStr">
        <is>
          <t>20%</t>
        </is>
      </c>
    </row>
    <row r="195">
      <c r="A195" t="n">
        <v>194</v>
      </c>
      <c r="B195" s="1" t="n">
        <v>43782</v>
      </c>
      <c r="C195" t="inlineStr">
        <is>
          <t>Hetzner Online GmbH</t>
        </is>
      </c>
      <c r="D195" t="inlineStr">
        <is>
          <t>Ausgaben</t>
        </is>
      </c>
      <c r="E195" t="inlineStr">
        <is>
          <t>sonstige Betriebsausgaben</t>
        </is>
      </c>
      <c r="F195" s="214" t="n">
        <v>48.13</v>
      </c>
      <c r="G195" t="inlineStr">
        <is>
          <t>0%</t>
        </is>
      </c>
    </row>
    <row r="196">
      <c r="A196" t="n">
        <v>195</v>
      </c>
      <c r="B196" s="1" t="n">
        <v>43784</v>
      </c>
      <c r="C196" t="inlineStr">
        <is>
          <t>Montana Energie Handel AT GmbH</t>
        </is>
      </c>
      <c r="D196" t="inlineStr">
        <is>
          <t>Ausgaben</t>
        </is>
      </c>
      <c r="E196" t="inlineStr">
        <is>
          <t>sonstige Betriebsausgaben</t>
        </is>
      </c>
      <c r="F196" s="214" t="n">
        <v>21.85739555100997</v>
      </c>
      <c r="G196" t="inlineStr">
        <is>
          <t>20%</t>
        </is>
      </c>
    </row>
    <row r="197">
      <c r="A197" t="n">
        <v>196</v>
      </c>
      <c r="B197" s="1" t="n">
        <v>43784</v>
      </c>
      <c r="C197" t="inlineStr">
        <is>
          <t>car2go Österreich GmbH, Hintere Zollamtstraße 9, 1030 Wien</t>
        </is>
      </c>
      <c r="D197" t="inlineStr">
        <is>
          <t>Ausgaben</t>
        </is>
      </c>
      <c r="E197" t="inlineStr">
        <is>
          <t>Reise- und Fahrtspesen inkl. Kilometergeld und Diäten</t>
        </is>
      </c>
      <c r="F197" s="214" t="n">
        <v>4.644</v>
      </c>
      <c r="G197" t="inlineStr">
        <is>
          <t>20%</t>
        </is>
      </c>
    </row>
    <row r="198">
      <c r="A198" t="n">
        <v>197</v>
      </c>
      <c r="B198" s="1" t="n">
        <v>43784</v>
      </c>
      <c r="C198" t="inlineStr">
        <is>
          <t>car2go Österreich GmbH, Hintere Zollamtstraße 9, 1030 Wien</t>
        </is>
      </c>
      <c r="D198" t="inlineStr">
        <is>
          <t>Ausgaben</t>
        </is>
      </c>
      <c r="E198" t="inlineStr">
        <is>
          <t>Reise- und Fahrtspesen inkl. Kilometergeld und Diäten</t>
        </is>
      </c>
      <c r="F198" s="214" t="n">
        <v>9.923999999999999</v>
      </c>
      <c r="G198" t="inlineStr">
        <is>
          <t>20%</t>
        </is>
      </c>
    </row>
    <row r="199">
      <c r="A199" t="n">
        <v>198</v>
      </c>
      <c r="B199" s="1" t="n">
        <v>43784</v>
      </c>
      <c r="C199" t="inlineStr">
        <is>
          <t>car2go Österreich GmbH, Hintere Zollamtstraße 9, 1030 Wien</t>
        </is>
      </c>
      <c r="D199" t="inlineStr">
        <is>
          <t>Ausgaben</t>
        </is>
      </c>
      <c r="E199" t="inlineStr">
        <is>
          <t>Reise- und Fahrtspesen inkl. Kilometergeld und Diäten</t>
        </is>
      </c>
      <c r="F199" s="214" t="n">
        <v>8.676</v>
      </c>
      <c r="G199" t="inlineStr">
        <is>
          <t>20%</t>
        </is>
      </c>
    </row>
    <row r="200">
      <c r="A200" t="n">
        <v>199</v>
      </c>
      <c r="B200" s="1" t="n">
        <v>43714</v>
      </c>
      <c r="C200" t="inlineStr">
        <is>
          <t>Ikea Möbervertrieb OHG, Einrichtungshaus Wien Nord, Sverigestraße 1A, 1220 Wien</t>
        </is>
      </c>
      <c r="D200" t="inlineStr">
        <is>
          <t>Ausgaben</t>
        </is>
      </c>
      <c r="E200" t="inlineStr">
        <is>
          <t>sonstige Betriebsausgaben</t>
        </is>
      </c>
      <c r="F200" s="214" t="n">
        <v>114.072</v>
      </c>
      <c r="G200" t="inlineStr">
        <is>
          <t>20%</t>
        </is>
      </c>
    </row>
    <row r="201">
      <c r="A201" t="n">
        <v>200</v>
      </c>
      <c r="B201" s="1" t="n">
        <v>43787</v>
      </c>
      <c r="C201" t="inlineStr">
        <is>
          <t>MS E-COMMERCE GMBH, SCS-Bürocenter B2, 2334 Vösendorf, FN332512p</t>
        </is>
      </c>
      <c r="D201" t="inlineStr">
        <is>
          <t>Ausgaben</t>
        </is>
      </c>
      <c r="E201" t="inlineStr">
        <is>
          <t>sonstige Betriebsausgaben</t>
        </is>
      </c>
      <c r="F201" s="214" t="n">
        <v>-184.99</v>
      </c>
      <c r="G201" t="inlineStr">
        <is>
          <t>20%</t>
        </is>
      </c>
    </row>
    <row r="202">
      <c r="A202" t="n">
        <v>201</v>
      </c>
      <c r="B202" s="1" t="n">
        <v>43789</v>
      </c>
      <c r="C202" t="inlineStr">
        <is>
          <t>car2go Österreich GmbH, Hintere Zollamtstraße 9, 1030 Wien</t>
        </is>
      </c>
      <c r="D202" t="inlineStr">
        <is>
          <t>Ausgaben</t>
        </is>
      </c>
      <c r="E202" t="inlineStr">
        <is>
          <t>Reise- und Fahrtspesen inkl. Kilometergeld und Diäten</t>
        </is>
      </c>
      <c r="F202" s="214" t="n">
        <v>7.308</v>
      </c>
      <c r="G202" t="inlineStr">
        <is>
          <t>20%</t>
        </is>
      </c>
    </row>
    <row r="203">
      <c r="A203" t="n">
        <v>202</v>
      </c>
      <c r="B203" s="1" t="n">
        <v>43790</v>
      </c>
      <c r="C203" t="inlineStr">
        <is>
          <t>car2go Österreich GmbH, Hintere Zollamtstraße 9, 1030 Wien</t>
        </is>
      </c>
      <c r="D203" t="inlineStr">
        <is>
          <t>Ausgaben</t>
        </is>
      </c>
      <c r="E203" t="inlineStr">
        <is>
          <t>Reise- und Fahrtspesen inkl. Kilometergeld und Diäten</t>
        </is>
      </c>
      <c r="F203" s="214" t="n">
        <v>2.604</v>
      </c>
      <c r="G203" t="inlineStr">
        <is>
          <t>20%</t>
        </is>
      </c>
    </row>
    <row r="204">
      <c r="A204" t="n">
        <v>203</v>
      </c>
      <c r="B204" s="1" t="n">
        <v>43790</v>
      </c>
      <c r="C204" t="inlineStr">
        <is>
          <t>Flyeralarm, online Druck GmbH, Brown-Boveri-Str. 8, 2351 Wr. Neudorf</t>
        </is>
      </c>
      <c r="D204" t="inlineStr">
        <is>
          <t>Ausgaben</t>
        </is>
      </c>
      <c r="E204" t="inlineStr">
        <is>
          <t>Werbe- und Repräsentationsaufwand</t>
        </is>
      </c>
      <c r="F204" s="214" t="n">
        <v>231.552</v>
      </c>
      <c r="G204" t="inlineStr">
        <is>
          <t>20%</t>
        </is>
      </c>
    </row>
    <row r="205">
      <c r="A205" t="n">
        <v>204</v>
      </c>
      <c r="B205" s="1" t="n">
        <v>43791</v>
      </c>
      <c r="C205" t="inlineStr">
        <is>
          <t>car2go Österreich GmbH, Hintere Zollamtstraße 9, 1030 Wien</t>
        </is>
      </c>
      <c r="D205" t="inlineStr">
        <is>
          <t>Ausgaben</t>
        </is>
      </c>
      <c r="E205" t="inlineStr">
        <is>
          <t>Reise- und Fahrtspesen inkl. Kilometergeld und Diäten</t>
        </is>
      </c>
      <c r="F205" s="214" t="n">
        <v>2.484</v>
      </c>
      <c r="G205" t="inlineStr">
        <is>
          <t>20%</t>
        </is>
      </c>
    </row>
    <row r="206">
      <c r="A206" t="n">
        <v>205</v>
      </c>
      <c r="B206" s="1" t="n">
        <v>43791</v>
      </c>
      <c r="C206" t="inlineStr">
        <is>
          <t>T-Mobile Austria GmbH, A-1031 Wien, Postfach 676</t>
        </is>
      </c>
      <c r="D206" t="inlineStr">
        <is>
          <t>Ausgaben</t>
        </is>
      </c>
      <c r="E206" t="inlineStr">
        <is>
          <t>Telefon/Internet</t>
        </is>
      </c>
      <c r="F206" s="214" t="n">
        <v>118.8</v>
      </c>
      <c r="G206" t="inlineStr">
        <is>
          <t>20%</t>
        </is>
      </c>
    </row>
    <row r="207">
      <c r="A207" t="n">
        <v>206</v>
      </c>
      <c r="B207" s="1" t="n">
        <v>43794</v>
      </c>
      <c r="C207" t="inlineStr">
        <is>
          <t>Premium Laudongasse 58 GmbH &amp; Co KG</t>
        </is>
      </c>
      <c r="D207" t="inlineStr">
        <is>
          <t>Ausgaben</t>
        </is>
      </c>
      <c r="E207" t="inlineStr">
        <is>
          <t>Miet- und Pachtaufwand, Leasing</t>
        </is>
      </c>
      <c r="F207" s="214" t="n">
        <v>229.4321667092815</v>
      </c>
      <c r="G207" t="inlineStr">
        <is>
          <t>10%</t>
        </is>
      </c>
    </row>
    <row r="208" hidden="1">
      <c r="A208" t="n">
        <v>207</v>
      </c>
      <c r="B208" s="1" t="n">
        <v>43795</v>
      </c>
      <c r="C208" t="inlineStr">
        <is>
          <t>Hays Österreich GmbH</t>
        </is>
      </c>
      <c r="D208" t="inlineStr">
        <is>
          <t>Einnahmen</t>
        </is>
      </c>
      <c r="E208" t="inlineStr">
        <is>
          <t>Waren-/Leistungserlöse</t>
        </is>
      </c>
      <c r="F208" s="214" t="n">
        <v>1522.2</v>
      </c>
      <c r="G208" t="inlineStr">
        <is>
          <t>20%</t>
        </is>
      </c>
    </row>
    <row r="209" hidden="1">
      <c r="A209" t="n">
        <v>208</v>
      </c>
      <c r="B209" s="1" t="n">
        <v>43797</v>
      </c>
      <c r="C209" t="inlineStr">
        <is>
          <t>Theresa Häfele-Kolbitsch, Josef-Mohrgasse 9, 2102 Bisamberg</t>
        </is>
      </c>
      <c r="D209" t="inlineStr">
        <is>
          <t>Einnahmen</t>
        </is>
      </c>
      <c r="E209" t="inlineStr">
        <is>
          <t>Waren-/Leistungserlöse</t>
        </is>
      </c>
      <c r="F209" s="214" t="n">
        <v>624.696</v>
      </c>
      <c r="G209" t="inlineStr">
        <is>
          <t>20%</t>
        </is>
      </c>
    </row>
    <row r="210">
      <c r="A210" t="n">
        <v>209</v>
      </c>
      <c r="B210" s="1" t="n">
        <v>43797</v>
      </c>
      <c r="C210" t="inlineStr">
        <is>
          <t>car2go Österreich GmbH, Hintere Zollamtstraße 9, 1030 Wien</t>
        </is>
      </c>
      <c r="D210" t="inlineStr">
        <is>
          <t>Ausgaben</t>
        </is>
      </c>
      <c r="E210" t="inlineStr">
        <is>
          <t>Reise- und Fahrtspesen inkl. Kilometergeld und Diäten</t>
        </is>
      </c>
      <c r="F210" s="214" t="n">
        <v>6.504</v>
      </c>
      <c r="G210" t="inlineStr">
        <is>
          <t>20%</t>
        </is>
      </c>
    </row>
    <row r="211">
      <c r="A211" t="n">
        <v>210</v>
      </c>
      <c r="B211" s="1" t="n">
        <v>43798</v>
      </c>
      <c r="C211" t="inlineStr">
        <is>
          <t>easyname GmbH, Fernkorngasse 10/3/501, A-1100 Wien</t>
        </is>
      </c>
      <c r="D211" t="inlineStr">
        <is>
          <t>Ausgaben</t>
        </is>
      </c>
      <c r="E211" t="inlineStr">
        <is>
          <t>sonstige Betriebsausgaben</t>
        </is>
      </c>
      <c r="F211" s="214" t="n">
        <v>19.896</v>
      </c>
      <c r="G211" t="inlineStr">
        <is>
          <t>20%</t>
        </is>
      </c>
    </row>
    <row r="212">
      <c r="A212" t="n">
        <v>211</v>
      </c>
      <c r="B212" s="1" t="n">
        <v>43798</v>
      </c>
      <c r="C212" t="inlineStr">
        <is>
          <t>Xing SE, Dammtorstraße 30, 20354 Hamburg</t>
        </is>
      </c>
      <c r="D212" t="inlineStr">
        <is>
          <t>Ausgaben</t>
        </is>
      </c>
      <c r="E212" t="inlineStr">
        <is>
          <t>Werbe- und Repräsentationsaufwand</t>
        </is>
      </c>
      <c r="F212" s="214" t="n">
        <v>24.88</v>
      </c>
      <c r="G212" t="inlineStr">
        <is>
          <t>0%</t>
        </is>
      </c>
    </row>
    <row r="213">
      <c r="A213" t="n">
        <v>212</v>
      </c>
      <c r="B213" s="1" t="n">
        <v>43801</v>
      </c>
      <c r="C213" t="inlineStr">
        <is>
          <t>Sozialversicherung der gewerblichen Wirtshaft</t>
        </is>
      </c>
      <c r="D213" t="inlineStr">
        <is>
          <t>Ausgaben</t>
        </is>
      </c>
      <c r="E213" t="inlineStr">
        <is>
          <t>Pflichversicherungsbeiträge</t>
        </is>
      </c>
      <c r="F213" s="214" t="n">
        <v>4296.6</v>
      </c>
      <c r="G213" t="inlineStr">
        <is>
          <t>0%</t>
        </is>
      </c>
    </row>
    <row r="214">
      <c r="A214" t="n">
        <v>213</v>
      </c>
      <c r="B214" s="1" t="n">
        <v>43801</v>
      </c>
      <c r="C214" t="inlineStr">
        <is>
          <t>car2go Österreich GmbH, Hintere Zollamtstraße 9, 1030 Wien</t>
        </is>
      </c>
      <c r="D214" t="inlineStr">
        <is>
          <t>Ausgaben</t>
        </is>
      </c>
      <c r="E214" t="inlineStr">
        <is>
          <t>Reise- und Fahrtspesen inkl. Kilometergeld und Diäten</t>
        </is>
      </c>
      <c r="F214" s="214" t="n">
        <v>3.72</v>
      </c>
      <c r="G214" t="inlineStr">
        <is>
          <t>20%</t>
        </is>
      </c>
    </row>
    <row r="215">
      <c r="A215" t="n">
        <v>214</v>
      </c>
      <c r="B215" s="1" t="n">
        <v>43801</v>
      </c>
      <c r="C215" t="inlineStr">
        <is>
          <t>Verbund AG, Postfach 8400, 1011 Wien, Österreich</t>
        </is>
      </c>
      <c r="D215" t="inlineStr">
        <is>
          <t>Ausgaben</t>
        </is>
      </c>
      <c r="E215" t="inlineStr">
        <is>
          <t>sonstige Betriebsausgaben</t>
        </is>
      </c>
      <c r="F215" s="214" t="n">
        <v>53.82223830222449</v>
      </c>
      <c r="G215" t="inlineStr">
        <is>
          <t>20%</t>
        </is>
      </c>
    </row>
    <row r="216">
      <c r="A216" t="n">
        <v>215</v>
      </c>
      <c r="B216" s="1" t="n">
        <v>43801</v>
      </c>
      <c r="C216" t="inlineStr">
        <is>
          <t>Niederösterreische Versicherung AG, Neue Herrengasse 10, 3100 St. Pölten</t>
        </is>
      </c>
      <c r="D216" t="inlineStr">
        <is>
          <t>Ausgaben</t>
        </is>
      </c>
      <c r="E216" t="inlineStr">
        <is>
          <t>sonstige Betriebsausgaben</t>
        </is>
      </c>
      <c r="F216" s="214" t="n">
        <v>82.90000000000001</v>
      </c>
      <c r="G216" t="inlineStr">
        <is>
          <t>0%</t>
        </is>
      </c>
    </row>
    <row r="217">
      <c r="A217" t="n">
        <v>216</v>
      </c>
      <c r="B217" s="1" t="n">
        <v>43802</v>
      </c>
      <c r="C217" t="inlineStr">
        <is>
          <t>Hutchison Drei Austria GmbH, Brünner Straße 52, 1210 Wien, Österreich</t>
        </is>
      </c>
      <c r="D217" t="inlineStr">
        <is>
          <t>Ausgaben</t>
        </is>
      </c>
      <c r="E217" t="inlineStr">
        <is>
          <t>Telefon/Internet</t>
        </is>
      </c>
      <c r="F217" s="214" t="n">
        <v>18</v>
      </c>
      <c r="G217" t="inlineStr">
        <is>
          <t>20%</t>
        </is>
      </c>
    </row>
    <row r="218" hidden="1">
      <c r="A218" t="n">
        <v>217</v>
      </c>
      <c r="B218" s="1" t="n">
        <v>43802</v>
      </c>
      <c r="C218" t="inlineStr">
        <is>
          <t>vemap Einkaufsmanagement GmbH, Berggasse 31, 1080 Wien</t>
        </is>
      </c>
      <c r="D218" t="inlineStr">
        <is>
          <t>Einnahmen</t>
        </is>
      </c>
      <c r="E218" t="inlineStr">
        <is>
          <t>Waren-/Leistungserlöse</t>
        </is>
      </c>
      <c r="F218" s="214" t="n">
        <v>4221</v>
      </c>
      <c r="G218" t="inlineStr">
        <is>
          <t>20%</t>
        </is>
      </c>
    </row>
    <row r="219" hidden="1">
      <c r="A219" t="n">
        <v>218</v>
      </c>
      <c r="B219" s="1" t="n">
        <v>43802</v>
      </c>
      <c r="C219" t="inlineStr">
        <is>
          <t>vemap Einkaufsmanagement GmbH, Berggasse 31, 1080 Wien</t>
        </is>
      </c>
      <c r="D219" t="inlineStr">
        <is>
          <t>Einnahmen</t>
        </is>
      </c>
      <c r="E219" t="inlineStr">
        <is>
          <t>Waren-/Leistungserlöse</t>
        </is>
      </c>
      <c r="F219" s="214" t="n">
        <v>3492</v>
      </c>
      <c r="G219" t="inlineStr">
        <is>
          <t>20%</t>
        </is>
      </c>
    </row>
    <row r="220">
      <c r="A220" t="n">
        <v>219</v>
      </c>
      <c r="B220" s="1" t="n">
        <v>43803</v>
      </c>
      <c r="C220" t="inlineStr">
        <is>
          <t>easy green energy</t>
        </is>
      </c>
      <c r="D220" t="inlineStr">
        <is>
          <t>Ausgaben</t>
        </is>
      </c>
      <c r="E220" t="inlineStr">
        <is>
          <t>sonstige Betriebsausgaben</t>
        </is>
      </c>
      <c r="F220" s="214" t="n">
        <v>14</v>
      </c>
      <c r="G220" t="inlineStr">
        <is>
          <t>20%</t>
        </is>
      </c>
    </row>
    <row r="221">
      <c r="A221" t="n">
        <v>220</v>
      </c>
      <c r="B221" s="1" t="n">
        <v>43804</v>
      </c>
      <c r="C221" t="inlineStr">
        <is>
          <t>car2go Österreich GmbH, Hintere Zollamtstraße 9, 1030 Wien</t>
        </is>
      </c>
      <c r="D221" t="inlineStr">
        <is>
          <t>Ausgaben</t>
        </is>
      </c>
      <c r="E221" t="inlineStr">
        <is>
          <t>Reise- und Fahrtspesen inkl. Kilometergeld und Diäten</t>
        </is>
      </c>
      <c r="F221" s="214" t="n">
        <v>9.876000000000001</v>
      </c>
      <c r="G221" t="inlineStr">
        <is>
          <t>20%</t>
        </is>
      </c>
    </row>
    <row r="222">
      <c r="A222" t="n">
        <v>221</v>
      </c>
      <c r="B222" s="1" t="n">
        <v>43805</v>
      </c>
      <c r="C222" t="inlineStr">
        <is>
          <t>car2go Österreich GmbH, Hintere Zollamtstraße 9, 1030 Wien</t>
        </is>
      </c>
      <c r="D222" t="inlineStr">
        <is>
          <t>Ausgaben</t>
        </is>
      </c>
      <c r="E222" t="inlineStr">
        <is>
          <t>Reise- und Fahrtspesen inkl. Kilometergeld und Diäten</t>
        </is>
      </c>
      <c r="F222" s="214" t="n">
        <v>3.624</v>
      </c>
      <c r="G222" t="inlineStr">
        <is>
          <t>20%</t>
        </is>
      </c>
    </row>
    <row r="223">
      <c r="A223" t="n">
        <v>222</v>
      </c>
      <c r="B223" s="1" t="n">
        <v>43805</v>
      </c>
      <c r="C223" t="inlineStr">
        <is>
          <t>Techem Messtechnik GmbH; Abnehmernummer 501686-0003-11-(</t>
        </is>
      </c>
      <c r="D223" t="inlineStr">
        <is>
          <t>Ausgaben</t>
        </is>
      </c>
      <c r="E223" t="inlineStr">
        <is>
          <t>sonstige Betriebsausgaben</t>
        </is>
      </c>
      <c r="F223" s="214" t="n">
        <v>43.90000000000001</v>
      </c>
      <c r="G223" t="inlineStr">
        <is>
          <t>20%</t>
        </is>
      </c>
    </row>
    <row r="224" hidden="1">
      <c r="A224" t="n">
        <v>223</v>
      </c>
      <c r="B224" s="1" t="n">
        <v>43808</v>
      </c>
      <c r="C224" t="inlineStr">
        <is>
          <t>foxcraft - DI Mag. Alexander Wagner, Leschetitzkygasse 30/5, 1180 Wien</t>
        </is>
      </c>
      <c r="D224" t="inlineStr">
        <is>
          <t>Einnahmen</t>
        </is>
      </c>
      <c r="E224" t="inlineStr">
        <is>
          <t>Waren-/Leistungserlöse</t>
        </is>
      </c>
      <c r="F224" s="214" t="n">
        <v>318.384</v>
      </c>
      <c r="G224" t="inlineStr">
        <is>
          <t>20%</t>
        </is>
      </c>
    </row>
    <row r="225">
      <c r="A225" t="n">
        <v>224</v>
      </c>
      <c r="B225" s="1" t="n">
        <v>43810</v>
      </c>
      <c r="C225" t="inlineStr">
        <is>
          <t>car2go Österreich GmbH, Hintere Zollamtstraße 9, 1030 Wien</t>
        </is>
      </c>
      <c r="D225" t="inlineStr">
        <is>
          <t>Ausgaben</t>
        </is>
      </c>
      <c r="E225" t="inlineStr">
        <is>
          <t>Reise- und Fahrtspesen inkl. Kilometergeld und Diäten</t>
        </is>
      </c>
      <c r="F225" s="214" t="n">
        <v>12.036</v>
      </c>
      <c r="G225" t="inlineStr">
        <is>
          <t>20%</t>
        </is>
      </c>
    </row>
    <row r="226">
      <c r="A226" t="n">
        <v>225</v>
      </c>
      <c r="B226" s="1" t="n">
        <v>43810</v>
      </c>
      <c r="C226" t="inlineStr">
        <is>
          <t>Magenta: T-Mobile Austria GmbH, A-1120 Wien, PF 47</t>
        </is>
      </c>
      <c r="D226" t="inlineStr">
        <is>
          <t>Ausgaben</t>
        </is>
      </c>
      <c r="E226" t="inlineStr">
        <is>
          <t>Telefon/Internet</t>
        </is>
      </c>
      <c r="F226" s="214" t="n">
        <v>23.088</v>
      </c>
      <c r="G226" t="inlineStr">
        <is>
          <t>20%</t>
        </is>
      </c>
    </row>
    <row r="227">
      <c r="A227" t="n">
        <v>226</v>
      </c>
      <c r="B227" s="1" t="n">
        <v>43811</v>
      </c>
      <c r="C227" t="inlineStr">
        <is>
          <t>Hetzner Online GmbH, Industriestr. 25, 91710 Gunzenhausen</t>
        </is>
      </c>
      <c r="D227" t="inlineStr">
        <is>
          <t>Ausgaben</t>
        </is>
      </c>
      <c r="E227" t="inlineStr">
        <is>
          <t>sonstige Betriebsausgaben</t>
        </is>
      </c>
      <c r="F227" s="214" t="n">
        <v>49.42</v>
      </c>
      <c r="G227" t="inlineStr">
        <is>
          <t>0%</t>
        </is>
      </c>
    </row>
    <row r="228">
      <c r="A228" t="n">
        <v>227</v>
      </c>
      <c r="B228" s="1" t="n">
        <v>43811</v>
      </c>
      <c r="C228" t="inlineStr">
        <is>
          <t>car2go Österreich GmbH, Hintere Zollamtstraße 9, 1030 Wien</t>
        </is>
      </c>
      <c r="D228" t="inlineStr">
        <is>
          <t>Ausgaben</t>
        </is>
      </c>
      <c r="E228" t="inlineStr">
        <is>
          <t>Reise- und Fahrtspesen inkl. Kilometergeld und Diäten</t>
        </is>
      </c>
      <c r="F228" s="214" t="n">
        <v>3.1</v>
      </c>
      <c r="G228" t="inlineStr">
        <is>
          <t>20%</t>
        </is>
      </c>
    </row>
    <row r="229">
      <c r="A229" t="n">
        <v>228</v>
      </c>
      <c r="B229" s="1" t="n">
        <v>43812</v>
      </c>
      <c r="C229" t="inlineStr">
        <is>
          <t>car2go Österreich GmbH, Hintere Zollamtstraße 9, 1030 Wien</t>
        </is>
      </c>
      <c r="D229" t="inlineStr">
        <is>
          <t>Ausgaben</t>
        </is>
      </c>
      <c r="E229" t="inlineStr">
        <is>
          <t>Reise- und Fahrtspesen inkl. Kilometergeld und Diäten</t>
        </is>
      </c>
      <c r="F229" s="214" t="n">
        <v>10.8</v>
      </c>
      <c r="G229" t="inlineStr">
        <is>
          <t>20%</t>
        </is>
      </c>
    </row>
    <row r="230">
      <c r="A230" t="n">
        <v>229</v>
      </c>
      <c r="B230" s="1" t="n">
        <v>43815</v>
      </c>
      <c r="C230" t="inlineStr">
        <is>
          <t>car2go Österreich GmbH, Hintere Zollamtstraße 9, 1030 Wien</t>
        </is>
      </c>
      <c r="D230" t="inlineStr">
        <is>
          <t>Ausgaben</t>
        </is>
      </c>
      <c r="E230" t="inlineStr">
        <is>
          <t>Reise- und Fahrtspesen inkl. Kilometergeld und Diäten</t>
        </is>
      </c>
      <c r="F230" s="214" t="n">
        <v>5.4</v>
      </c>
      <c r="G230" t="inlineStr">
        <is>
          <t>20%</t>
        </is>
      </c>
    </row>
    <row r="231">
      <c r="A231" t="n">
        <v>230</v>
      </c>
      <c r="B231" s="1" t="n">
        <v>43815</v>
      </c>
      <c r="C231" t="inlineStr">
        <is>
          <t>Montana Energie Handel AT GmbH</t>
        </is>
      </c>
      <c r="D231" t="inlineStr">
        <is>
          <t>Ausgaben</t>
        </is>
      </c>
      <c r="E231" t="inlineStr">
        <is>
          <t>sonstige Betriebsausgaben</t>
        </is>
      </c>
      <c r="F231" s="214" t="n">
        <v>21.85739555100997</v>
      </c>
      <c r="G231" t="inlineStr">
        <is>
          <t>20%</t>
        </is>
      </c>
    </row>
    <row r="232" hidden="1">
      <c r="A232" t="n">
        <v>231</v>
      </c>
      <c r="B232" s="1" t="n">
        <v>43817</v>
      </c>
      <c r="C232" t="inlineStr">
        <is>
          <t>vemap Academy GmbH, Berggasse 31, 1080 Wien</t>
        </is>
      </c>
      <c r="D232" t="inlineStr">
        <is>
          <t>Einnahmen</t>
        </is>
      </c>
      <c r="E232" t="inlineStr">
        <is>
          <t>Waren-/Leistungserlöse</t>
        </is>
      </c>
      <c r="F232" s="214" t="n">
        <v>1080</v>
      </c>
      <c r="G232" t="inlineStr">
        <is>
          <t>20%</t>
        </is>
      </c>
    </row>
    <row r="233">
      <c r="A233" t="n">
        <v>232</v>
      </c>
      <c r="B233" s="1" t="n">
        <v>43818</v>
      </c>
      <c r="C233" t="inlineStr">
        <is>
          <t>Wien Energie Vertrieb GmbH &amp; Co KG, 1030 Wien, Pf 520</t>
        </is>
      </c>
      <c r="D233" t="inlineStr">
        <is>
          <t>Ausgaben</t>
        </is>
      </c>
      <c r="E233" t="inlineStr">
        <is>
          <t>sonstige Betriebsausgaben</t>
        </is>
      </c>
      <c r="F233" s="214" t="n">
        <v>34.13</v>
      </c>
      <c r="G233" t="inlineStr">
        <is>
          <t>20%</t>
        </is>
      </c>
    </row>
    <row r="234">
      <c r="A234" t="n">
        <v>233</v>
      </c>
      <c r="B234" s="1" t="n">
        <v>43819</v>
      </c>
      <c r="C234" t="inlineStr">
        <is>
          <t>car2go Österreich GmbH, Hintere Zollamtstraße 9, 1030 Wien</t>
        </is>
      </c>
      <c r="D234" t="inlineStr">
        <is>
          <t>Ausgaben</t>
        </is>
      </c>
      <c r="E234" t="inlineStr">
        <is>
          <t>Reise- und Fahrtspesen inkl. Kilometergeld und Diäten</t>
        </is>
      </c>
      <c r="F234" s="214" t="n">
        <v>2.784</v>
      </c>
      <c r="G234" t="inlineStr">
        <is>
          <t>20%</t>
        </is>
      </c>
    </row>
    <row r="235">
      <c r="A235" t="n">
        <v>234</v>
      </c>
      <c r="B235" s="1" t="n">
        <v>43819</v>
      </c>
      <c r="C235" t="inlineStr">
        <is>
          <t>car2go Österreich GmbH, Hintere Zollamtstraße 9, 1030 Wien</t>
        </is>
      </c>
      <c r="D235" t="inlineStr">
        <is>
          <t>Ausgaben</t>
        </is>
      </c>
      <c r="E235" t="inlineStr">
        <is>
          <t>Reise- und Fahrtspesen inkl. Kilometergeld und Diäten</t>
        </is>
      </c>
      <c r="F235" s="214" t="n">
        <v>7.284000000000001</v>
      </c>
      <c r="G235" t="inlineStr">
        <is>
          <t>20%</t>
        </is>
      </c>
    </row>
    <row r="236">
      <c r="A236" t="n">
        <v>235</v>
      </c>
      <c r="B236" s="1" t="n">
        <v>43822</v>
      </c>
      <c r="C236" t="inlineStr">
        <is>
          <t>easy green energy</t>
        </is>
      </c>
      <c r="D236" t="inlineStr">
        <is>
          <t>Ausgaben</t>
        </is>
      </c>
      <c r="E236" t="inlineStr">
        <is>
          <t>sonstige Betriebsausgaben</t>
        </is>
      </c>
      <c r="F236" s="214" t="n">
        <v>24.78</v>
      </c>
      <c r="G236" t="inlineStr">
        <is>
          <t>20%</t>
        </is>
      </c>
    </row>
    <row r="237">
      <c r="A237" t="n">
        <v>236</v>
      </c>
      <c r="B237" s="1" t="n">
        <v>43822</v>
      </c>
      <c r="C237" t="inlineStr">
        <is>
          <t>car2go Österreich GmbH, Hintere Zollamtstraße 9, 1030 Wien</t>
        </is>
      </c>
      <c r="D237" t="inlineStr">
        <is>
          <t>Ausgaben</t>
        </is>
      </c>
      <c r="E237" t="inlineStr">
        <is>
          <t>Reise- und Fahrtspesen inkl. Kilometergeld und Diäten</t>
        </is>
      </c>
      <c r="F237" s="214" t="n">
        <v>2.484</v>
      </c>
      <c r="G237" t="inlineStr">
        <is>
          <t>20%</t>
        </is>
      </c>
    </row>
    <row r="238">
      <c r="A238" t="n">
        <v>237</v>
      </c>
      <c r="B238" s="1" t="n">
        <v>43826</v>
      </c>
      <c r="C238" t="inlineStr">
        <is>
          <t>Premium Laudongasse 58 GmbH &amp; Co KG</t>
        </is>
      </c>
      <c r="D238" t="inlineStr">
        <is>
          <t>Ausgaben</t>
        </is>
      </c>
      <c r="E238" t="inlineStr">
        <is>
          <t>Miet- und Pachtaufwand, Leasing</t>
        </is>
      </c>
      <c r="F238" s="214" t="n">
        <v>229.4321667092815</v>
      </c>
      <c r="G238" t="inlineStr">
        <is>
          <t>10%</t>
        </is>
      </c>
    </row>
    <row r="239" hidden="1">
      <c r="A239" t="n">
        <v>238</v>
      </c>
      <c r="B239" s="1" t="n">
        <v>43829</v>
      </c>
      <c r="C239" t="inlineStr">
        <is>
          <t>vemap Academy GmbH, Berggasse 31, 1080 Wien</t>
        </is>
      </c>
      <c r="D239" t="inlineStr">
        <is>
          <t>Einnahmen</t>
        </is>
      </c>
      <c r="E239" t="inlineStr">
        <is>
          <t>Waren-/Leistungserlöse</t>
        </is>
      </c>
      <c r="F239" s="214" t="n">
        <v>3360</v>
      </c>
      <c r="G239" t="inlineStr">
        <is>
          <t>20%</t>
        </is>
      </c>
    </row>
  </sheetData>
  <autoFilter ref="A1:G239">
    <filterColumn colId="3" hiddenButton="0" showButton="1">
      <filters>
        <filter val="Ausgaben"/>
      </filters>
    </filterColumn>
  </autoFilter>
  <conditionalFormatting sqref="D1">
    <cfRule type="containsText" priority="6" operator="containsText" dxfId="1" text="Einnahmen">
      <formula>NOT(ISERROR(SEARCH("Einnahmen",D1)))</formula>
    </cfRule>
    <cfRule type="containsText" priority="7" operator="containsText" dxfId="0" text="Ausgaben">
      <formula>NOT(ISERROR(SEARCH("Ausgaben",D1)))</formula>
    </cfRule>
  </conditionalFormatting>
  <conditionalFormatting sqref="B1">
    <cfRule type="expression" priority="4" dxfId="2">
      <formula>ISBLANK(#REF!)</formula>
    </cfRule>
  </conditionalFormatting>
  <pageMargins left="0.7" right="0.7" top="0.787401575" bottom="0.787401575" header="0.3" footer="0.3"/>
  <legacyDrawing xmlns:r="http://schemas.openxmlformats.org/officeDocument/2006/relationships" r:id="anysvml"/>
</worksheet>
</file>

<file path=xl/worksheets/sheet24.xml><?xml version="1.0" encoding="utf-8"?>
<worksheet xmlns="http://schemas.openxmlformats.org/spreadsheetml/2006/main">
  <sheetPr codeName="Tabelle22">
    <outlinePr summaryBelow="1" summaryRight="1"/>
    <pageSetUpPr/>
  </sheetPr>
  <dimension ref="A1:B30"/>
  <sheetViews>
    <sheetView workbookViewId="0">
      <selection activeCell="B1" sqref="B1"/>
    </sheetView>
  </sheetViews>
  <sheetFormatPr baseColWidth="10" defaultRowHeight="15"/>
  <cols>
    <col width="117" bestFit="1" customWidth="1" min="1" max="1"/>
    <col width="17.140625" bestFit="1" customWidth="1" min="2" max="2"/>
  </cols>
  <sheetData>
    <row r="1">
      <c r="A1" s="92" t="inlineStr">
        <is>
          <t>Zahlungsdatum</t>
        </is>
      </c>
      <c r="B1" t="inlineStr">
        <is>
          <t>(Alle)</t>
        </is>
      </c>
    </row>
    <row r="3">
      <c r="A3" s="92" t="inlineStr">
        <is>
          <t>Zeilenbeschriftungen</t>
        </is>
      </c>
      <c r="B3" t="inlineStr">
        <is>
          <t>Summe von Netto</t>
        </is>
      </c>
    </row>
    <row r="4">
      <c r="A4" s="6" t="inlineStr">
        <is>
          <t>Hays Österreich GmbH Personnel Services, Europaplatz 3/5, 1150 Wien</t>
        </is>
      </c>
      <c r="B4" s="38" t="n">
        <v>62253.75</v>
      </c>
    </row>
    <row r="5">
      <c r="A5" s="6" t="inlineStr">
        <is>
          <t>Dr. Arno Kolbitsch, Zivilingenieur, Gütleweg 1, 6822 Satteins</t>
        </is>
      </c>
      <c r="B5" s="38" t="n">
        <v>49654.39999999999</v>
      </c>
    </row>
    <row r="6">
      <c r="A6" s="6" t="inlineStr">
        <is>
          <t>H. Jaros e.U., Fischhof 3/23, 1010 Wien, ATU 67698048</t>
        </is>
      </c>
      <c r="B6" s="38" t="n">
        <v>23773.66</v>
      </c>
    </row>
    <row r="7">
      <c r="A7" s="6" t="inlineStr">
        <is>
          <t>vemap academy GmbH, Berggasse 31, 1090 Wien</t>
        </is>
      </c>
      <c r="B7" s="38" t="n">
        <v>19547.5</v>
      </c>
    </row>
    <row r="8">
      <c r="A8" s="6" t="inlineStr">
        <is>
          <t>Stokol GmbH, Weiglg. 10/10d/11, 1150 Wien</t>
        </is>
      </c>
      <c r="B8" s="38" t="n">
        <v>16017.36</v>
      </c>
    </row>
    <row r="9">
      <c r="A9" s="6" t="inlineStr">
        <is>
          <t>Franz Hauer GesmbH &amp; Co KG, Werksstraße 6, 3125 Statzendorf</t>
        </is>
      </c>
      <c r="B9" s="38" t="n">
        <v>15357.75</v>
      </c>
    </row>
    <row r="10">
      <c r="A10" s="6" t="inlineStr">
        <is>
          <t>Wedding Avenue e.U., Mayerweckstrasse 2-8/99/1, 1210 Wien</t>
        </is>
      </c>
      <c r="B10" s="38" t="n">
        <v>6354.88</v>
      </c>
    </row>
    <row r="11">
      <c r="A11" s="6" t="inlineStr">
        <is>
          <t>Hays Österreich GmbH, Bahnhof City Wien West, Europaplatz 3/5, 1150 Wien; Gutschrift (Abrechnung durch Leistungsempfänger)</t>
        </is>
      </c>
      <c r="B11" s="38" t="n">
        <v>5988.5</v>
      </c>
    </row>
    <row r="12">
      <c r="A12" s="6" t="inlineStr">
        <is>
          <t>vemap Einkaufsmanagement GmbH, zHd. Frau Mag. Tina Zimmermann, Berggasse 31, 1090 Wien</t>
        </is>
      </c>
      <c r="B12" s="38" t="n">
        <v>3867.5</v>
      </c>
    </row>
    <row r="13">
      <c r="A13" s="6" t="inlineStr">
        <is>
          <t>Think-Tanker GmbH., Fasangasse 38/15, 1030 Wien</t>
        </is>
      </c>
      <c r="B13" s="38" t="n">
        <v>3045</v>
      </c>
    </row>
    <row r="14">
      <c r="A14" s="6" t="inlineStr">
        <is>
          <t>Dipl.-Ing. Mag. Alexander Wagner, Beatrixgasse 5/7, 1030 Wien</t>
        </is>
      </c>
      <c r="B14" s="38" t="n">
        <v>2710</v>
      </c>
    </row>
    <row r="15">
      <c r="A15" s="6" t="inlineStr">
        <is>
          <t>Schick Küchendesign e.U. Alexander Schick, Linzerstraße 247, 1140 Wien</t>
        </is>
      </c>
      <c r="B15" s="38" t="n">
        <v>1694.5</v>
      </c>
    </row>
    <row r="16">
      <c r="A16" s="6" t="inlineStr">
        <is>
          <t>foxcraft OG, Laudongasse 58/16, 1080 Wien</t>
        </is>
      </c>
      <c r="B16" s="38" t="n">
        <v>1422.88</v>
      </c>
    </row>
    <row r="17">
      <c r="A17" s="6" t="inlineStr">
        <is>
          <t>Theresa Häfele-Kolbitsch, Josef-Mohrgasse 9, 2102 Bisamberg</t>
        </is>
      </c>
      <c r="B17" s="38" t="n">
        <v>1276.58</v>
      </c>
    </row>
    <row r="18">
      <c r="A18" s="6" t="inlineStr">
        <is>
          <t>DCF - Digital Coding Factory GmbH, Bauernfeldplatz 4/12, 1090 Wien</t>
        </is>
      </c>
      <c r="B18" s="38" t="n">
        <v>647.5</v>
      </c>
    </row>
    <row r="19">
      <c r="A19" s="6" t="inlineStr">
        <is>
          <t>Musikschule Bad Vöslau, z. Hd. Herr Christian Sauer, Hauptstraße 14, 2540 Bad Vöslau</t>
        </is>
      </c>
      <c r="B19" s="38" t="n">
        <v>372.42</v>
      </c>
    </row>
    <row r="20">
      <c r="A20" s="6" t="inlineStr">
        <is>
          <t>Martin Dürauer e.U., Schreinergasse 7, A-3100 St. Pölten</t>
        </is>
      </c>
      <c r="B20" s="38" t="n">
        <v>270</v>
      </c>
    </row>
    <row r="21">
      <c r="A21" s="6" t="inlineStr">
        <is>
          <t>foxcraft - Dipl.-Ing. Mag. Alexander Wagner, Leschetitzkygasse 30/5, 1180 Wien</t>
        </is>
      </c>
      <c r="B21" s="38" t="n">
        <v>265.32</v>
      </c>
    </row>
    <row r="22">
      <c r="A22" s="6" t="inlineStr">
        <is>
          <t>Josef Stojadinovic, Weiglgasse 10/BLOCK C/10/11, 1150 Wien</t>
        </is>
      </c>
      <c r="B22" s="38" t="n">
        <v>252.5</v>
      </c>
    </row>
    <row r="23">
      <c r="A23" s="6" t="inlineStr">
        <is>
          <t>Wienerwald Musikanten, z. Hd. Hr. Christian Sauer, Rudolf Schöng. 18, 2540 Bad Vöslau</t>
        </is>
      </c>
      <c r="B23" s="38" t="n">
        <v>216.42</v>
      </c>
    </row>
    <row r="24">
      <c r="A24" s="6" t="inlineStr">
        <is>
          <t>Ing. Gerhard Gotz, Allandgasse 8, 2500 Baden</t>
        </is>
      </c>
      <c r="B24" s="38" t="n">
        <v>154.92</v>
      </c>
    </row>
    <row r="25">
      <c r="A25" s="6" t="inlineStr">
        <is>
          <t>Koltschik GmbH, Josef Stadlmaiergasse 2/19, 3003 Gablitz</t>
        </is>
      </c>
      <c r="B25" s="38" t="n">
        <v>93.75</v>
      </c>
    </row>
    <row r="26">
      <c r="A26" s="6" t="inlineStr">
        <is>
          <t>Dr. Katalin Schiller, Neustiftgasse 2, Top 3, 2500 Baden</t>
        </is>
      </c>
      <c r="B26" s="38" t="n">
        <v>84</v>
      </c>
    </row>
    <row r="27">
      <c r="A27" s="6" t="inlineStr">
        <is>
          <t>Mihajela Pejic-Studener, Rohrergasse 15, 1130 Wien</t>
        </is>
      </c>
      <c r="B27" s="38" t="n">
        <v>32.14</v>
      </c>
    </row>
    <row r="28">
      <c r="A28" s="6" t="inlineStr">
        <is>
          <t>Ing Irene Weis, BSc., Tullnerstraße 15, 3462 Absdorf</t>
        </is>
      </c>
      <c r="B28" s="38" t="n">
        <v>30.42</v>
      </c>
    </row>
    <row r="29">
      <c r="A29" s="6" t="inlineStr">
        <is>
          <t>Johann Stojadinovic, Weiglgasse 10c/11f, 1150 Wien</t>
        </is>
      </c>
      <c r="B29" s="38" t="n">
        <v>13.66</v>
      </c>
    </row>
    <row r="30">
      <c r="A30" s="6" t="inlineStr">
        <is>
          <t>Gesamtergebnis</t>
        </is>
      </c>
      <c r="B30" s="38" t="n">
        <v>215397.3100000001</v>
      </c>
    </row>
  </sheetData>
  <pageMargins left="0.7" right="0.7" top="0.787401575" bottom="0.787401575" header="0.3" footer="0.3"/>
</worksheet>
</file>

<file path=xl/worksheets/sheet25.xml><?xml version="1.0" encoding="utf-8"?>
<worksheet xmlns="http://schemas.openxmlformats.org/spreadsheetml/2006/main">
  <sheetPr codeName="Tabelle16">
    <outlinePr summaryBelow="1" summaryRight="1"/>
    <pageSetUpPr/>
  </sheetPr>
  <dimension ref="A1:XFC115"/>
  <sheetViews>
    <sheetView topLeftCell="D1" workbookViewId="0">
      <selection activeCell="D1" sqref="D1"/>
    </sheetView>
  </sheetViews>
  <sheetFormatPr baseColWidth="10" defaultRowHeight="15"/>
  <cols>
    <col hidden="1" min="1" max="3"/>
    <col hidden="1" min="5" max="5"/>
    <col hidden="1" min="8" max="8"/>
    <col hidden="1" width="14" customWidth="1" min="11" max="11"/>
    <col hidden="1" width="7.5703125" customWidth="1" min="12" max="12"/>
    <col hidden="1" width="16.42578125" customWidth="1" min="13" max="13"/>
    <col hidden="1" width="10.28515625" customWidth="1" min="14" max="14"/>
    <col width="9" bestFit="1" customWidth="1" min="17" max="17"/>
    <col hidden="1" width="16.85546875" customWidth="1" min="18" max="18"/>
    <col width="16.85546875" bestFit="1" customWidth="1" min="19" max="19"/>
    <col width="18.85546875" bestFit="1" customWidth="1" min="20" max="20"/>
    <col hidden="1" width="13" customWidth="1" min="21" max="21"/>
    <col hidden="1" min="22" max="27"/>
  </cols>
  <sheetData>
    <row r="1">
      <c r="A1" s="2" t="inlineStr">
        <is>
          <t>Lfd. Nr.</t>
        </is>
      </c>
      <c r="B1" s="2" t="inlineStr">
        <is>
          <t>Jahr</t>
        </is>
      </c>
      <c r="C1" s="2" t="inlineStr">
        <is>
          <t>Belegnr.</t>
        </is>
      </c>
      <c r="D1" s="2" t="inlineStr">
        <is>
          <t>Lfd.Nr.-Kombi</t>
        </is>
      </c>
      <c r="E1" s="8" t="inlineStr">
        <is>
          <t>Rechnungsnummer</t>
        </is>
      </c>
      <c r="F1" s="2" t="inlineStr">
        <is>
          <t>Zahlungsdatum</t>
        </is>
      </c>
      <c r="G1" s="2" t="inlineStr">
        <is>
          <t>Buchungstext</t>
        </is>
      </c>
      <c r="H1" s="15" t="inlineStr">
        <is>
          <t>Nutzungsdauer</t>
        </is>
      </c>
      <c r="I1" s="15" t="inlineStr">
        <is>
          <t>Kategorie</t>
        </is>
      </c>
      <c r="J1" s="15" t="inlineStr">
        <is>
          <t>Spesenart</t>
        </is>
      </c>
      <c r="K1" s="15" t="inlineStr">
        <is>
          <t>Weiterverkauf</t>
        </is>
      </c>
      <c r="L1" s="2" t="inlineStr">
        <is>
          <t>AfA</t>
        </is>
      </c>
      <c r="M1" s="11" t="inlineStr">
        <is>
          <t>Netto Einzelpreis</t>
        </is>
      </c>
      <c r="N1" s="52" t="inlineStr">
        <is>
          <t>Anteil (v1)</t>
        </is>
      </c>
      <c r="O1" s="263" t="inlineStr">
        <is>
          <t>Bruttobetrag (antlg.)</t>
        </is>
      </c>
      <c r="P1" s="263" t="inlineStr">
        <is>
          <t>USt</t>
        </is>
      </c>
      <c r="Q1" s="26" t="inlineStr">
        <is>
          <t>USt.(%)</t>
        </is>
      </c>
      <c r="R1" s="261" t="inlineStr">
        <is>
          <t>Vorsteuer gesamt</t>
        </is>
      </c>
      <c r="S1" s="261" t="inlineStr">
        <is>
          <t>Vorsteuer (antlg.)</t>
        </is>
      </c>
      <c r="T1" s="262" t="inlineStr">
        <is>
          <t>Nettobetrag (antlg.)</t>
        </is>
      </c>
      <c r="U1" s="263" t="inlineStr">
        <is>
          <t>Brutto (100%)</t>
        </is>
      </c>
      <c r="V1" s="34" t="inlineStr">
        <is>
          <t xml:space="preserve"> USt Fälligkeit</t>
        </is>
      </c>
      <c r="W1" s="26" t="inlineStr">
        <is>
          <t>USt abgerechnet</t>
        </is>
      </c>
      <c r="X1" s="26" t="inlineStr">
        <is>
          <t>IG / in Ö steuerbar</t>
        </is>
      </c>
      <c r="Y1" s="264" t="inlineStr">
        <is>
          <t>ESt: Betrag abzugsfähig</t>
        </is>
      </c>
      <c r="Z1" s="26" t="inlineStr">
        <is>
          <t>In Ö z.e. Vorsteuer</t>
        </is>
      </c>
      <c r="AA1" s="2" t="inlineStr">
        <is>
          <t>Fehler bei "steuerbar"</t>
        </is>
      </c>
      <c r="AB1" s="2" t="n"/>
      <c r="AC1" s="2" t="n"/>
      <c r="AD1" s="2" t="n"/>
      <c r="AE1" s="2" t="n"/>
      <c r="AF1" s="2" t="n"/>
      <c r="AG1" s="2" t="n"/>
      <c r="AH1" s="2" t="n"/>
      <c r="AI1" s="2" t="n"/>
      <c r="AJ1" s="2" t="n"/>
      <c r="AK1" s="2" t="n"/>
      <c r="AL1" s="2" t="n"/>
      <c r="AM1" s="2" t="n"/>
      <c r="AN1" s="2" t="n"/>
      <c r="AO1" s="2" t="n"/>
      <c r="AP1" s="2" t="n"/>
      <c r="AQ1" s="2" t="n"/>
      <c r="AR1" s="2"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c r="ED1" s="2" t="n"/>
      <c r="EE1" s="2" t="n"/>
      <c r="EF1" s="2" t="n"/>
      <c r="EG1" s="2" t="n"/>
      <c r="EH1" s="2" t="n"/>
      <c r="EI1" s="2" t="n"/>
      <c r="EJ1" s="2" t="n"/>
      <c r="EK1" s="2" t="n"/>
      <c r="EL1" s="2" t="n"/>
      <c r="EM1" s="2" t="n"/>
      <c r="EN1" s="2" t="n"/>
      <c r="EO1" s="2" t="n"/>
      <c r="EP1" s="2" t="n"/>
      <c r="EQ1" s="2" t="n"/>
      <c r="ER1" s="2" t="n"/>
      <c r="ES1" s="2" t="n"/>
      <c r="ET1" s="2" t="n"/>
      <c r="EU1" s="2" t="n"/>
      <c r="EV1" s="2" t="n"/>
      <c r="EW1" s="2" t="n"/>
      <c r="EX1" s="2" t="n"/>
      <c r="EY1" s="2" t="n"/>
      <c r="EZ1" s="2" t="n"/>
      <c r="FA1" s="2" t="n"/>
      <c r="FB1" s="2" t="n"/>
      <c r="FC1" s="2" t="n"/>
      <c r="FD1" s="2" t="n"/>
      <c r="FE1" s="2" t="n"/>
      <c r="FF1" s="2" t="n"/>
      <c r="FG1" s="2" t="n"/>
      <c r="FH1" s="2" t="n"/>
      <c r="FI1" s="2" t="n"/>
      <c r="FJ1" s="2" t="n"/>
      <c r="FK1" s="2" t="n"/>
      <c r="FL1" s="2" t="n"/>
      <c r="FM1" s="2" t="n"/>
      <c r="FN1" s="2" t="n"/>
      <c r="FO1" s="2" t="n"/>
      <c r="FP1" s="2" t="n"/>
      <c r="FQ1" s="2" t="n"/>
      <c r="FR1" s="2" t="n"/>
      <c r="FS1" s="2" t="n"/>
      <c r="FT1" s="2" t="n"/>
      <c r="FU1" s="2" t="n"/>
      <c r="FV1" s="2" t="n"/>
      <c r="FW1" s="2" t="n"/>
      <c r="FX1" s="2" t="n"/>
      <c r="FY1" s="2" t="n"/>
      <c r="FZ1" s="2" t="n"/>
      <c r="GA1" s="2" t="n"/>
      <c r="GB1" s="2" t="n"/>
      <c r="GC1" s="2" t="n"/>
      <c r="GD1" s="2" t="n"/>
      <c r="GE1" s="2" t="n"/>
      <c r="GF1" s="2" t="n"/>
      <c r="GG1" s="2" t="n"/>
      <c r="GH1" s="2" t="n"/>
      <c r="GI1" s="2" t="n"/>
      <c r="GJ1" s="2" t="n"/>
      <c r="GK1" s="2" t="n"/>
      <c r="GL1" s="2" t="n"/>
      <c r="GM1" s="2" t="n"/>
      <c r="GN1" s="2" t="n"/>
      <c r="GO1" s="2" t="n"/>
      <c r="GP1" s="2" t="n"/>
      <c r="GQ1" s="2" t="n"/>
      <c r="GR1" s="2" t="n"/>
      <c r="GS1" s="2" t="n"/>
      <c r="GT1" s="2" t="n"/>
      <c r="GU1" s="2" t="n"/>
      <c r="GV1" s="2" t="n"/>
      <c r="GW1" s="2" t="n"/>
      <c r="GX1" s="2" t="n"/>
      <c r="GY1" s="2" t="n"/>
      <c r="GZ1" s="2" t="n"/>
      <c r="HA1" s="2" t="n"/>
      <c r="HB1" s="2" t="n"/>
      <c r="HC1" s="2" t="n"/>
      <c r="HD1" s="2" t="n"/>
      <c r="HE1" s="2" t="n"/>
      <c r="HF1" s="2" t="n"/>
      <c r="HG1" s="2" t="n"/>
      <c r="HH1" s="2" t="n"/>
      <c r="HI1" s="2" t="n"/>
      <c r="HJ1" s="2" t="n"/>
      <c r="HK1" s="2" t="n"/>
      <c r="HL1" s="2" t="n"/>
      <c r="HM1" s="2" t="n"/>
      <c r="HN1" s="2" t="n"/>
      <c r="HO1" s="2" t="n"/>
      <c r="HP1" s="2" t="n"/>
      <c r="HQ1" s="2" t="n"/>
      <c r="HR1" s="2" t="n"/>
      <c r="HS1" s="2" t="n"/>
      <c r="HT1" s="2" t="n"/>
      <c r="HU1" s="2" t="n"/>
      <c r="HV1" s="2" t="n"/>
      <c r="HW1" s="2" t="n"/>
      <c r="HX1" s="2" t="n"/>
      <c r="HY1" s="2" t="n"/>
      <c r="HZ1" s="2" t="n"/>
      <c r="IA1" s="2" t="n"/>
      <c r="IB1" s="2" t="n"/>
      <c r="IC1" s="2" t="n"/>
      <c r="ID1" s="2" t="n"/>
      <c r="IE1" s="2" t="n"/>
      <c r="IF1" s="2" t="n"/>
      <c r="IG1" s="2" t="n"/>
      <c r="IH1" s="2" t="n"/>
      <c r="II1" s="2" t="n"/>
      <c r="IJ1" s="2" t="n"/>
      <c r="IK1" s="2" t="n"/>
      <c r="IL1" s="2" t="n"/>
      <c r="IM1" s="2" t="n"/>
      <c r="IN1" s="2" t="n"/>
      <c r="IO1" s="2" t="n"/>
      <c r="IP1" s="2" t="n"/>
      <c r="IQ1" s="2" t="n"/>
      <c r="IR1" s="2" t="n"/>
      <c r="IS1" s="2" t="n"/>
      <c r="IT1" s="2" t="n"/>
      <c r="IU1" s="2" t="n"/>
      <c r="IV1" s="2" t="n"/>
      <c r="IW1" s="2" t="n"/>
      <c r="IX1" s="2" t="n"/>
      <c r="IY1" s="2" t="n"/>
      <c r="IZ1" s="2" t="n"/>
      <c r="JA1" s="2" t="n"/>
      <c r="JB1" s="2" t="n"/>
      <c r="JC1" s="2" t="n"/>
      <c r="JD1" s="2" t="n"/>
      <c r="JE1" s="2" t="n"/>
      <c r="JF1" s="2" t="n"/>
      <c r="JG1" s="2" t="n"/>
      <c r="JH1" s="2" t="n"/>
      <c r="JI1" s="2" t="n"/>
      <c r="JJ1" s="2" t="n"/>
      <c r="JK1" s="2" t="n"/>
      <c r="JL1" s="2" t="n"/>
      <c r="JM1" s="2" t="n"/>
      <c r="JN1" s="2" t="n"/>
      <c r="JO1" s="2" t="n"/>
      <c r="JP1" s="2" t="n"/>
      <c r="JQ1" s="2" t="n"/>
      <c r="JR1" s="2" t="n"/>
      <c r="JS1" s="2" t="n"/>
      <c r="JT1" s="2" t="n"/>
      <c r="JU1" s="2" t="n"/>
      <c r="JV1" s="2" t="n"/>
      <c r="JW1" s="2" t="n"/>
      <c r="JX1" s="2" t="n"/>
      <c r="JY1" s="2" t="n"/>
      <c r="JZ1" s="2" t="n"/>
      <c r="KA1" s="2" t="n"/>
      <c r="KB1" s="2" t="n"/>
      <c r="KC1" s="2" t="n"/>
      <c r="KD1" s="2" t="n"/>
      <c r="KE1" s="2" t="n"/>
      <c r="KF1" s="2" t="n"/>
      <c r="KG1" s="2" t="n"/>
      <c r="KH1" s="2" t="n"/>
      <c r="KI1" s="2" t="n"/>
      <c r="KJ1" s="2" t="n"/>
      <c r="KK1" s="2" t="n"/>
      <c r="KL1" s="2" t="n"/>
      <c r="KM1" s="2" t="n"/>
      <c r="KN1" s="2" t="n"/>
      <c r="KO1" s="2" t="n"/>
      <c r="KP1" s="2" t="n"/>
      <c r="KQ1" s="2" t="n"/>
      <c r="KR1" s="2" t="n"/>
      <c r="KS1" s="2" t="n"/>
      <c r="KT1" s="2" t="n"/>
      <c r="KU1" s="2" t="n"/>
      <c r="KV1" s="2" t="n"/>
      <c r="KW1" s="2" t="n"/>
      <c r="KX1" s="2" t="n"/>
      <c r="KY1" s="2" t="n"/>
      <c r="KZ1" s="2" t="n"/>
      <c r="LA1" s="2" t="n"/>
      <c r="LB1" s="2" t="n"/>
      <c r="LC1" s="2" t="n"/>
      <c r="LD1" s="2" t="n"/>
      <c r="LE1" s="2" t="n"/>
      <c r="LF1" s="2" t="n"/>
      <c r="LG1" s="2" t="n"/>
      <c r="LH1" s="2" t="n"/>
      <c r="LI1" s="2" t="n"/>
      <c r="LJ1" s="2" t="n"/>
      <c r="LK1" s="2" t="n"/>
      <c r="LL1" s="2" t="n"/>
      <c r="LM1" s="2" t="n"/>
      <c r="LN1" s="2" t="n"/>
      <c r="LO1" s="2" t="n"/>
      <c r="LP1" s="2" t="n"/>
      <c r="LQ1" s="2" t="n"/>
      <c r="LR1" s="2" t="n"/>
      <c r="LS1" s="2" t="n"/>
      <c r="LT1" s="2" t="n"/>
      <c r="LU1" s="2" t="n"/>
      <c r="LV1" s="2" t="n"/>
      <c r="LW1" s="2" t="n"/>
      <c r="LX1" s="2" t="n"/>
      <c r="LY1" s="2" t="n"/>
      <c r="LZ1" s="2" t="n"/>
      <c r="MA1" s="2" t="n"/>
      <c r="MB1" s="2" t="n"/>
      <c r="MC1" s="2" t="n"/>
      <c r="MD1" s="2" t="n"/>
      <c r="ME1" s="2" t="n"/>
      <c r="MF1" s="2" t="n"/>
      <c r="MG1" s="2" t="n"/>
      <c r="MH1" s="2" t="n"/>
      <c r="MI1" s="2" t="n"/>
      <c r="MJ1" s="2" t="n"/>
      <c r="MK1" s="2" t="n"/>
      <c r="ML1" s="2" t="n"/>
      <c r="MM1" s="2" t="n"/>
      <c r="MN1" s="2" t="n"/>
      <c r="MO1" s="2" t="n"/>
      <c r="MP1" s="2" t="n"/>
      <c r="MQ1" s="2" t="n"/>
      <c r="MR1" s="2" t="n"/>
      <c r="MS1" s="2" t="n"/>
      <c r="MT1" s="2" t="n"/>
      <c r="MU1" s="2" t="n"/>
      <c r="MV1" s="2" t="n"/>
      <c r="MW1" s="2" t="n"/>
      <c r="MX1" s="2" t="n"/>
      <c r="MY1" s="2" t="n"/>
      <c r="MZ1" s="2" t="n"/>
      <c r="NA1" s="2" t="n"/>
      <c r="NB1" s="2" t="n"/>
      <c r="NC1" s="2" t="n"/>
      <c r="ND1" s="2" t="n"/>
      <c r="NE1" s="2" t="n"/>
      <c r="NF1" s="2" t="n"/>
      <c r="NG1" s="2" t="n"/>
      <c r="NH1" s="2" t="n"/>
      <c r="NI1" s="2" t="n"/>
      <c r="NJ1" s="2" t="n"/>
      <c r="NK1" s="2" t="n"/>
      <c r="NL1" s="2" t="n"/>
      <c r="NM1" s="2" t="n"/>
      <c r="NN1" s="2" t="n"/>
      <c r="NO1" s="2" t="n"/>
      <c r="NP1" s="2" t="n"/>
      <c r="NQ1" s="2" t="n"/>
      <c r="NR1" s="2" t="n"/>
      <c r="NS1" s="2" t="n"/>
      <c r="NT1" s="2" t="n"/>
      <c r="NU1" s="2" t="n"/>
      <c r="NV1" s="2" t="n"/>
      <c r="NW1" s="2" t="n"/>
      <c r="NX1" s="2" t="n"/>
      <c r="NY1" s="2" t="n"/>
      <c r="NZ1" s="2" t="n"/>
      <c r="OA1" s="2" t="n"/>
      <c r="OB1" s="2" t="n"/>
      <c r="OC1" s="2" t="n"/>
      <c r="OD1" s="2" t="n"/>
      <c r="OE1" s="2" t="n"/>
      <c r="OF1" s="2" t="n"/>
      <c r="OG1" s="2" t="n"/>
      <c r="OH1" s="2" t="n"/>
      <c r="OI1" s="2" t="n"/>
      <c r="OJ1" s="2" t="n"/>
      <c r="OK1" s="2" t="n"/>
      <c r="OL1" s="2" t="n"/>
      <c r="OM1" s="2" t="n"/>
      <c r="ON1" s="2" t="n"/>
      <c r="OO1" s="2" t="n"/>
      <c r="OP1" s="2" t="n"/>
      <c r="OQ1" s="2" t="n"/>
      <c r="OR1" s="2" t="n"/>
      <c r="OS1" s="2" t="n"/>
      <c r="OT1" s="2" t="n"/>
      <c r="OU1" s="2" t="n"/>
      <c r="OV1" s="2" t="n"/>
      <c r="OW1" s="2" t="n"/>
      <c r="OX1" s="2" t="n"/>
      <c r="OY1" s="2" t="n"/>
      <c r="OZ1" s="2" t="n"/>
      <c r="PA1" s="2" t="n"/>
      <c r="PB1" s="2" t="n"/>
      <c r="PC1" s="2" t="n"/>
      <c r="PD1" s="2" t="n"/>
      <c r="PE1" s="2" t="n"/>
      <c r="PF1" s="2" t="n"/>
      <c r="PG1" s="2" t="n"/>
      <c r="PH1" s="2" t="n"/>
      <c r="PI1" s="2" t="n"/>
      <c r="PJ1" s="2" t="n"/>
      <c r="PK1" s="2" t="n"/>
      <c r="PL1" s="2" t="n"/>
      <c r="PM1" s="2" t="n"/>
      <c r="PN1" s="2" t="n"/>
      <c r="PO1" s="2" t="n"/>
      <c r="PP1" s="2" t="n"/>
      <c r="PQ1" s="2" t="n"/>
      <c r="PR1" s="2" t="n"/>
      <c r="PS1" s="2" t="n"/>
      <c r="PT1" s="2" t="n"/>
      <c r="PU1" s="2" t="n"/>
      <c r="PV1" s="2" t="n"/>
      <c r="PW1" s="2" t="n"/>
      <c r="PX1" s="2" t="n"/>
      <c r="PY1" s="2" t="n"/>
      <c r="PZ1" s="2" t="n"/>
      <c r="QA1" s="2" t="n"/>
      <c r="QB1" s="2" t="n"/>
      <c r="QC1" s="2" t="n"/>
      <c r="QD1" s="2" t="n"/>
      <c r="QE1" s="2" t="n"/>
      <c r="QF1" s="2" t="n"/>
      <c r="QG1" s="2" t="n"/>
      <c r="QH1" s="2" t="n"/>
      <c r="QI1" s="2" t="n"/>
      <c r="QJ1" s="2" t="n"/>
      <c r="QK1" s="2" t="n"/>
      <c r="QL1" s="2" t="n"/>
      <c r="QM1" s="2" t="n"/>
      <c r="QN1" s="2" t="n"/>
      <c r="QO1" s="2" t="n"/>
      <c r="QP1" s="2" t="n"/>
      <c r="QQ1" s="2" t="n"/>
      <c r="QR1" s="2" t="n"/>
      <c r="QS1" s="2" t="n"/>
      <c r="QT1" s="2" t="n"/>
      <c r="QU1" s="2" t="n"/>
      <c r="QV1" s="2" t="n"/>
      <c r="QW1" s="2" t="n"/>
      <c r="QX1" s="2" t="n"/>
      <c r="QY1" s="2" t="n"/>
      <c r="QZ1" s="2" t="n"/>
      <c r="RA1" s="2" t="n"/>
      <c r="RB1" s="2" t="n"/>
      <c r="RC1" s="2" t="n"/>
      <c r="RD1" s="2" t="n"/>
      <c r="RE1" s="2" t="n"/>
      <c r="RF1" s="2" t="n"/>
      <c r="RG1" s="2" t="n"/>
      <c r="RH1" s="2" t="n"/>
      <c r="RI1" s="2" t="n"/>
      <c r="RJ1" s="2" t="n"/>
      <c r="RK1" s="2" t="n"/>
      <c r="RL1" s="2" t="n"/>
      <c r="RM1" s="2" t="n"/>
      <c r="RN1" s="2" t="n"/>
      <c r="RO1" s="2" t="n"/>
      <c r="RP1" s="2" t="n"/>
      <c r="RQ1" s="2" t="n"/>
      <c r="RR1" s="2" t="n"/>
      <c r="RS1" s="2" t="n"/>
      <c r="RT1" s="2" t="n"/>
      <c r="RU1" s="2" t="n"/>
      <c r="RV1" s="2" t="n"/>
      <c r="RW1" s="2" t="n"/>
      <c r="RX1" s="2" t="n"/>
      <c r="RY1" s="2" t="n"/>
      <c r="RZ1" s="2" t="n"/>
      <c r="SA1" s="2" t="n"/>
      <c r="SB1" s="2" t="n"/>
      <c r="SC1" s="2" t="n"/>
      <c r="SD1" s="2" t="n"/>
      <c r="SE1" s="2" t="n"/>
      <c r="SF1" s="2" t="n"/>
      <c r="SG1" s="2" t="n"/>
      <c r="SH1" s="2" t="n"/>
      <c r="SI1" s="2" t="n"/>
      <c r="SJ1" s="2" t="n"/>
      <c r="SK1" s="2" t="n"/>
      <c r="SL1" s="2" t="n"/>
      <c r="SM1" s="2" t="n"/>
      <c r="SN1" s="2" t="n"/>
      <c r="SO1" s="2" t="n"/>
      <c r="SP1" s="2" t="n"/>
      <c r="SQ1" s="2" t="n"/>
      <c r="SR1" s="2" t="n"/>
      <c r="SS1" s="2" t="n"/>
      <c r="ST1" s="2" t="n"/>
      <c r="SU1" s="2" t="n"/>
      <c r="SV1" s="2" t="n"/>
      <c r="SW1" s="2" t="n"/>
      <c r="SX1" s="2" t="n"/>
      <c r="SY1" s="2" t="n"/>
      <c r="SZ1" s="2" t="n"/>
      <c r="TA1" s="2" t="n"/>
      <c r="TB1" s="2" t="n"/>
      <c r="TC1" s="2" t="n"/>
      <c r="TD1" s="2" t="n"/>
      <c r="TE1" s="2" t="n"/>
      <c r="TF1" s="2" t="n"/>
      <c r="TG1" s="2" t="n"/>
      <c r="TH1" s="2" t="n"/>
      <c r="TI1" s="2" t="n"/>
      <c r="TJ1" s="2" t="n"/>
      <c r="TK1" s="2" t="n"/>
      <c r="TL1" s="2" t="n"/>
      <c r="TM1" s="2" t="n"/>
      <c r="TN1" s="2" t="n"/>
      <c r="TO1" s="2" t="n"/>
      <c r="TP1" s="2" t="n"/>
      <c r="TQ1" s="2" t="n"/>
      <c r="TR1" s="2" t="n"/>
      <c r="TS1" s="2" t="n"/>
      <c r="TT1" s="2" t="n"/>
      <c r="TU1" s="2" t="n"/>
      <c r="TV1" s="2" t="n"/>
      <c r="TW1" s="2" t="n"/>
      <c r="TX1" s="2" t="n"/>
      <c r="TY1" s="2" t="n"/>
      <c r="TZ1" s="2" t="n"/>
      <c r="UA1" s="2" t="n"/>
      <c r="UB1" s="2" t="n"/>
      <c r="UC1" s="2" t="n"/>
      <c r="UD1" s="2" t="n"/>
      <c r="UE1" s="2" t="n"/>
      <c r="UF1" s="2" t="n"/>
      <c r="UG1" s="2" t="n"/>
      <c r="UH1" s="2" t="n"/>
      <c r="UI1" s="2" t="n"/>
      <c r="UJ1" s="2" t="n"/>
      <c r="UK1" s="2" t="n"/>
      <c r="UL1" s="2" t="n"/>
      <c r="UM1" s="2" t="n"/>
      <c r="UN1" s="2" t="n"/>
      <c r="UO1" s="2" t="n"/>
      <c r="UP1" s="2" t="n"/>
      <c r="UQ1" s="2" t="n"/>
      <c r="UR1" s="2" t="n"/>
      <c r="US1" s="2" t="n"/>
      <c r="UT1" s="2" t="n"/>
      <c r="UU1" s="2" t="n"/>
      <c r="UV1" s="2" t="n"/>
      <c r="UW1" s="2" t="n"/>
      <c r="UX1" s="2" t="n"/>
      <c r="UY1" s="2" t="n"/>
      <c r="UZ1" s="2" t="n"/>
      <c r="VA1" s="2" t="n"/>
      <c r="VB1" s="2" t="n"/>
      <c r="VC1" s="2" t="n"/>
      <c r="VD1" s="2" t="n"/>
      <c r="VE1" s="2" t="n"/>
      <c r="VF1" s="2" t="n"/>
      <c r="VG1" s="2" t="n"/>
      <c r="VH1" s="2" t="n"/>
      <c r="VI1" s="2" t="n"/>
      <c r="VJ1" s="2" t="n"/>
      <c r="VK1" s="2" t="n"/>
      <c r="VL1" s="2" t="n"/>
      <c r="VM1" s="2" t="n"/>
      <c r="VN1" s="2" t="n"/>
      <c r="VO1" s="2" t="n"/>
      <c r="VP1" s="2" t="n"/>
      <c r="VQ1" s="2" t="n"/>
      <c r="VR1" s="2" t="n"/>
      <c r="VS1" s="2" t="n"/>
      <c r="VT1" s="2" t="n"/>
      <c r="VU1" s="2" t="n"/>
      <c r="VV1" s="2" t="n"/>
      <c r="VW1" s="2" t="n"/>
      <c r="VX1" s="2" t="n"/>
      <c r="VY1" s="2" t="n"/>
      <c r="VZ1" s="2" t="n"/>
      <c r="WA1" s="2" t="n"/>
      <c r="WB1" s="2" t="n"/>
      <c r="WC1" s="2" t="n"/>
      <c r="WD1" s="2" t="n"/>
      <c r="WE1" s="2" t="n"/>
      <c r="WF1" s="2" t="n"/>
      <c r="WG1" s="2" t="n"/>
      <c r="WH1" s="2" t="n"/>
      <c r="WI1" s="2" t="n"/>
      <c r="WJ1" s="2" t="n"/>
      <c r="WK1" s="2" t="n"/>
      <c r="WL1" s="2" t="n"/>
      <c r="WM1" s="2" t="n"/>
      <c r="WN1" s="2" t="n"/>
      <c r="WO1" s="2" t="n"/>
      <c r="WP1" s="2" t="n"/>
      <c r="WQ1" s="2" t="n"/>
      <c r="WR1" s="2" t="n"/>
      <c r="WS1" s="2" t="n"/>
      <c r="WT1" s="2" t="n"/>
      <c r="WU1" s="2" t="n"/>
      <c r="WV1" s="2" t="n"/>
      <c r="WW1" s="2" t="n"/>
      <c r="WX1" s="2" t="n"/>
      <c r="WY1" s="2" t="n"/>
      <c r="WZ1" s="2" t="n"/>
      <c r="XA1" s="2" t="n"/>
      <c r="XB1" s="2" t="n"/>
      <c r="XC1" s="2" t="n"/>
      <c r="XD1" s="2" t="n"/>
      <c r="XE1" s="2" t="n"/>
      <c r="XF1" s="2" t="n"/>
      <c r="XG1" s="2" t="n"/>
      <c r="XH1" s="2" t="n"/>
      <c r="XI1" s="2" t="n"/>
      <c r="XJ1" s="2" t="n"/>
      <c r="XK1" s="2" t="n"/>
      <c r="XL1" s="2" t="n"/>
      <c r="XM1" s="2" t="n"/>
      <c r="XN1" s="2" t="n"/>
      <c r="XO1" s="2" t="n"/>
      <c r="XP1" s="2" t="n"/>
      <c r="XQ1" s="2" t="n"/>
      <c r="XR1" s="2" t="n"/>
      <c r="XS1" s="2" t="n"/>
      <c r="XT1" s="2" t="n"/>
      <c r="XU1" s="2" t="n"/>
      <c r="XV1" s="2" t="n"/>
      <c r="XW1" s="2" t="n"/>
      <c r="XX1" s="2" t="n"/>
      <c r="XY1" s="2" t="n"/>
      <c r="XZ1" s="2" t="n"/>
      <c r="YA1" s="2" t="n"/>
      <c r="YB1" s="2" t="n"/>
      <c r="YC1" s="2" t="n"/>
      <c r="YD1" s="2" t="n"/>
      <c r="YE1" s="2" t="n"/>
      <c r="YF1" s="2" t="n"/>
      <c r="YG1" s="2" t="n"/>
      <c r="YH1" s="2" t="n"/>
      <c r="YI1" s="2" t="n"/>
      <c r="YJ1" s="2" t="n"/>
      <c r="YK1" s="2" t="n"/>
      <c r="YL1" s="2" t="n"/>
      <c r="YM1" s="2" t="n"/>
      <c r="YN1" s="2" t="n"/>
      <c r="YO1" s="2" t="n"/>
      <c r="YP1" s="2" t="n"/>
      <c r="YQ1" s="2" t="n"/>
      <c r="YR1" s="2" t="n"/>
      <c r="YS1" s="2" t="n"/>
      <c r="YT1" s="2" t="n"/>
      <c r="YU1" s="2" t="n"/>
      <c r="YV1" s="2" t="n"/>
      <c r="YW1" s="2" t="n"/>
      <c r="YX1" s="2" t="n"/>
      <c r="YY1" s="2" t="n"/>
      <c r="YZ1" s="2" t="n"/>
      <c r="ZA1" s="2" t="n"/>
      <c r="ZB1" s="2" t="n"/>
      <c r="ZC1" s="2" t="n"/>
      <c r="ZD1" s="2" t="n"/>
      <c r="ZE1" s="2" t="n"/>
      <c r="ZF1" s="2" t="n"/>
      <c r="ZG1" s="2" t="n"/>
      <c r="ZH1" s="2" t="n"/>
      <c r="ZI1" s="2" t="n"/>
      <c r="ZJ1" s="2" t="n"/>
      <c r="ZK1" s="2" t="n"/>
      <c r="ZL1" s="2" t="n"/>
      <c r="ZM1" s="2" t="n"/>
      <c r="ZN1" s="2" t="n"/>
      <c r="ZO1" s="2" t="n"/>
      <c r="ZP1" s="2" t="n"/>
      <c r="ZQ1" s="2" t="n"/>
      <c r="ZR1" s="2" t="n"/>
      <c r="ZS1" s="2" t="n"/>
      <c r="ZT1" s="2" t="n"/>
      <c r="ZU1" s="2" t="n"/>
      <c r="ZV1" s="2" t="n"/>
      <c r="ZW1" s="2" t="n"/>
      <c r="ZX1" s="2" t="n"/>
      <c r="ZY1" s="2" t="n"/>
      <c r="ZZ1" s="2" t="n"/>
      <c r="AAA1" s="2" t="n"/>
      <c r="AAB1" s="2" t="n"/>
      <c r="AAC1" s="2" t="n"/>
      <c r="AAD1" s="2" t="n"/>
      <c r="AAE1" s="2" t="n"/>
      <c r="AAF1" s="2" t="n"/>
      <c r="AAG1" s="2" t="n"/>
      <c r="AAH1" s="2" t="n"/>
      <c r="AAI1" s="2" t="n"/>
      <c r="AAJ1" s="2" t="n"/>
      <c r="AAK1" s="2" t="n"/>
      <c r="AAL1" s="2" t="n"/>
      <c r="AAM1" s="2" t="n"/>
      <c r="AAN1" s="2" t="n"/>
      <c r="AAO1" s="2" t="n"/>
      <c r="AAP1" s="2" t="n"/>
      <c r="AAQ1" s="2" t="n"/>
      <c r="AAR1" s="2" t="n"/>
      <c r="AAS1" s="2" t="n"/>
      <c r="AAT1" s="2" t="n"/>
      <c r="AAU1" s="2" t="n"/>
      <c r="AAV1" s="2" t="n"/>
      <c r="AAW1" s="2" t="n"/>
      <c r="AAX1" s="2" t="n"/>
      <c r="AAY1" s="2" t="n"/>
      <c r="AAZ1" s="2" t="n"/>
      <c r="ABA1" s="2" t="n"/>
      <c r="ABB1" s="2" t="n"/>
      <c r="ABC1" s="2" t="n"/>
      <c r="ABD1" s="2" t="n"/>
      <c r="ABE1" s="2" t="n"/>
      <c r="ABF1" s="2" t="n"/>
      <c r="ABG1" s="2" t="n"/>
      <c r="ABH1" s="2" t="n"/>
      <c r="ABI1" s="2" t="n"/>
      <c r="ABJ1" s="2" t="n"/>
      <c r="ABK1" s="2" t="n"/>
      <c r="ABL1" s="2" t="n"/>
      <c r="ABM1" s="2" t="n"/>
      <c r="ABN1" s="2" t="n"/>
      <c r="ABO1" s="2" t="n"/>
      <c r="ABP1" s="2" t="n"/>
      <c r="ABQ1" s="2" t="n"/>
      <c r="ABR1" s="2" t="n"/>
      <c r="ABS1" s="2" t="n"/>
      <c r="ABT1" s="2" t="n"/>
      <c r="ABU1" s="2" t="n"/>
      <c r="ABV1" s="2" t="n"/>
      <c r="ABW1" s="2" t="n"/>
      <c r="ABX1" s="2" t="n"/>
      <c r="ABY1" s="2" t="n"/>
      <c r="ABZ1" s="2" t="n"/>
      <c r="ACA1" s="2" t="n"/>
      <c r="ACB1" s="2" t="n"/>
      <c r="ACC1" s="2" t="n"/>
      <c r="ACD1" s="2" t="n"/>
      <c r="ACE1" s="2" t="n"/>
      <c r="ACF1" s="2" t="n"/>
      <c r="ACG1" s="2" t="n"/>
      <c r="ACH1" s="2" t="n"/>
      <c r="ACI1" s="2" t="n"/>
      <c r="ACJ1" s="2" t="n"/>
      <c r="ACK1" s="2" t="n"/>
      <c r="ACL1" s="2" t="n"/>
      <c r="ACM1" s="2" t="n"/>
      <c r="ACN1" s="2" t="n"/>
      <c r="ACO1" s="2" t="n"/>
      <c r="ACP1" s="2" t="n"/>
      <c r="ACQ1" s="2" t="n"/>
      <c r="ACR1" s="2" t="n"/>
      <c r="ACS1" s="2" t="n"/>
      <c r="ACT1" s="2" t="n"/>
      <c r="ACU1" s="2" t="n"/>
      <c r="ACV1" s="2" t="n"/>
      <c r="ACW1" s="2" t="n"/>
      <c r="ACX1" s="2" t="n"/>
      <c r="ACY1" s="2" t="n"/>
      <c r="ACZ1" s="2" t="n"/>
      <c r="ADA1" s="2" t="n"/>
      <c r="ADB1" s="2" t="n"/>
      <c r="ADC1" s="2" t="n"/>
      <c r="ADD1" s="2" t="n"/>
      <c r="ADE1" s="2" t="n"/>
      <c r="ADF1" s="2" t="n"/>
      <c r="ADG1" s="2" t="n"/>
      <c r="ADH1" s="2" t="n"/>
      <c r="ADI1" s="2" t="n"/>
      <c r="ADJ1" s="2" t="n"/>
      <c r="ADK1" s="2" t="n"/>
      <c r="ADL1" s="2" t="n"/>
      <c r="ADM1" s="2" t="n"/>
      <c r="ADN1" s="2" t="n"/>
      <c r="ADO1" s="2" t="n"/>
      <c r="ADP1" s="2" t="n"/>
      <c r="ADQ1" s="2" t="n"/>
      <c r="ADR1" s="2" t="n"/>
      <c r="ADS1" s="2" t="n"/>
      <c r="ADT1" s="2" t="n"/>
      <c r="ADU1" s="2" t="n"/>
      <c r="ADV1" s="2" t="n"/>
      <c r="ADW1" s="2" t="n"/>
      <c r="ADX1" s="2" t="n"/>
      <c r="ADY1" s="2" t="n"/>
      <c r="ADZ1" s="2" t="n"/>
      <c r="AEA1" s="2" t="n"/>
      <c r="AEB1" s="2" t="n"/>
      <c r="AEC1" s="2" t="n"/>
      <c r="AED1" s="2" t="n"/>
      <c r="AEE1" s="2" t="n"/>
      <c r="AEF1" s="2" t="n"/>
      <c r="AEG1" s="2" t="n"/>
      <c r="AEH1" s="2" t="n"/>
      <c r="AEI1" s="2" t="n"/>
      <c r="AEJ1" s="2" t="n"/>
      <c r="AEK1" s="2" t="n"/>
      <c r="AEL1" s="2" t="n"/>
      <c r="AEM1" s="2" t="n"/>
      <c r="AEN1" s="2" t="n"/>
      <c r="AEO1" s="2" t="n"/>
      <c r="AEP1" s="2" t="n"/>
      <c r="AEQ1" s="2" t="n"/>
      <c r="AER1" s="2" t="n"/>
      <c r="AES1" s="2" t="n"/>
      <c r="AET1" s="2" t="n"/>
      <c r="AEU1" s="2" t="n"/>
      <c r="AEV1" s="2" t="n"/>
      <c r="AEW1" s="2" t="n"/>
      <c r="AEX1" s="2" t="n"/>
      <c r="AEY1" s="2" t="n"/>
      <c r="AEZ1" s="2" t="n"/>
      <c r="AFA1" s="2" t="n"/>
      <c r="AFB1" s="2" t="n"/>
      <c r="AFC1" s="2" t="n"/>
      <c r="AFD1" s="2" t="n"/>
      <c r="AFE1" s="2" t="n"/>
      <c r="AFF1" s="2" t="n"/>
      <c r="AFG1" s="2" t="n"/>
      <c r="AFH1" s="2" t="n"/>
      <c r="AFI1" s="2" t="n"/>
      <c r="AFJ1" s="2" t="n"/>
      <c r="AFK1" s="2" t="n"/>
      <c r="AFL1" s="2" t="n"/>
      <c r="AFM1" s="2" t="n"/>
      <c r="AFN1" s="2" t="n"/>
      <c r="AFO1" s="2" t="n"/>
      <c r="AFP1" s="2" t="n"/>
      <c r="AFQ1" s="2" t="n"/>
      <c r="AFR1" s="2" t="n"/>
      <c r="AFS1" s="2" t="n"/>
      <c r="AFT1" s="2" t="n"/>
      <c r="AFU1" s="2" t="n"/>
      <c r="AFV1" s="2" t="n"/>
      <c r="AFW1" s="2" t="n"/>
      <c r="AFX1" s="2" t="n"/>
      <c r="AFY1" s="2" t="n"/>
      <c r="AFZ1" s="2" t="n"/>
      <c r="AGA1" s="2" t="n"/>
      <c r="AGB1" s="2" t="n"/>
      <c r="AGC1" s="2" t="n"/>
      <c r="AGD1" s="2" t="n"/>
      <c r="AGE1" s="2" t="n"/>
      <c r="AGF1" s="2" t="n"/>
      <c r="AGG1" s="2" t="n"/>
      <c r="AGH1" s="2" t="n"/>
      <c r="AGI1" s="2" t="n"/>
      <c r="AGJ1" s="2" t="n"/>
      <c r="AGK1" s="2" t="n"/>
      <c r="AGL1" s="2" t="n"/>
      <c r="AGM1" s="2" t="n"/>
      <c r="AGN1" s="2" t="n"/>
      <c r="AGO1" s="2" t="n"/>
      <c r="AGP1" s="2" t="n"/>
      <c r="AGQ1" s="2" t="n"/>
      <c r="AGR1" s="2" t="n"/>
      <c r="AGS1" s="2" t="n"/>
      <c r="AGT1" s="2" t="n"/>
      <c r="AGU1" s="2" t="n"/>
      <c r="AGV1" s="2" t="n"/>
      <c r="AGW1" s="2" t="n"/>
      <c r="AGX1" s="2" t="n"/>
      <c r="AGY1" s="2" t="n"/>
      <c r="AGZ1" s="2" t="n"/>
      <c r="AHA1" s="2" t="n"/>
      <c r="AHB1" s="2" t="n"/>
      <c r="AHC1" s="2" t="n"/>
      <c r="AHD1" s="2" t="n"/>
      <c r="AHE1" s="2" t="n"/>
      <c r="AHF1" s="2" t="n"/>
      <c r="AHG1" s="2" t="n"/>
      <c r="AHH1" s="2" t="n"/>
      <c r="AHI1" s="2" t="n"/>
      <c r="AHJ1" s="2" t="n"/>
      <c r="AHK1" s="2" t="n"/>
      <c r="AHL1" s="2" t="n"/>
      <c r="AHM1" s="2" t="n"/>
      <c r="AHN1" s="2" t="n"/>
      <c r="AHO1" s="2" t="n"/>
      <c r="AHP1" s="2" t="n"/>
      <c r="AHQ1" s="2" t="n"/>
      <c r="AHR1" s="2" t="n"/>
      <c r="AHS1" s="2" t="n"/>
      <c r="AHT1" s="2" t="n"/>
      <c r="AHU1" s="2" t="n"/>
      <c r="AHV1" s="2" t="n"/>
      <c r="AHW1" s="2" t="n"/>
      <c r="AHX1" s="2" t="n"/>
      <c r="AHY1" s="2" t="n"/>
      <c r="AHZ1" s="2" t="n"/>
      <c r="AIA1" s="2" t="n"/>
      <c r="AIB1" s="2" t="n"/>
      <c r="AIC1" s="2" t="n"/>
      <c r="AID1" s="2" t="n"/>
      <c r="AIE1" s="2" t="n"/>
      <c r="AIF1" s="2" t="n"/>
      <c r="AIG1" s="2" t="n"/>
      <c r="AIH1" s="2" t="n"/>
      <c r="AII1" s="2" t="n"/>
      <c r="AIJ1" s="2" t="n"/>
      <c r="AIK1" s="2" t="n"/>
      <c r="AIL1" s="2" t="n"/>
      <c r="AIM1" s="2" t="n"/>
      <c r="AIN1" s="2" t="n"/>
      <c r="AIO1" s="2" t="n"/>
      <c r="AIP1" s="2" t="n"/>
      <c r="AIQ1" s="2" t="n"/>
      <c r="AIR1" s="2" t="n"/>
      <c r="AIS1" s="2" t="n"/>
      <c r="AIT1" s="2" t="n"/>
      <c r="AIU1" s="2" t="n"/>
      <c r="AIV1" s="2" t="n"/>
      <c r="AIW1" s="2" t="n"/>
      <c r="AIX1" s="2" t="n"/>
      <c r="AIY1" s="2" t="n"/>
      <c r="AIZ1" s="2" t="n"/>
      <c r="AJA1" s="2" t="n"/>
      <c r="AJB1" s="2" t="n"/>
      <c r="AJC1" s="2" t="n"/>
      <c r="AJD1" s="2" t="n"/>
      <c r="AJE1" s="2" t="n"/>
      <c r="AJF1" s="2" t="n"/>
      <c r="AJG1" s="2" t="n"/>
      <c r="AJH1" s="2" t="n"/>
      <c r="AJI1" s="2" t="n"/>
      <c r="AJJ1" s="2" t="n"/>
      <c r="AJK1" s="2" t="n"/>
      <c r="AJL1" s="2" t="n"/>
      <c r="AJM1" s="2" t="n"/>
      <c r="AJN1" s="2" t="n"/>
      <c r="AJO1" s="2" t="n"/>
      <c r="AJP1" s="2" t="n"/>
      <c r="AJQ1" s="2" t="n"/>
      <c r="AJR1" s="2" t="n"/>
      <c r="AJS1" s="2" t="n"/>
      <c r="AJT1" s="2" t="n"/>
      <c r="AJU1" s="2" t="n"/>
      <c r="AJV1" s="2" t="n"/>
      <c r="AJW1" s="2" t="n"/>
      <c r="AJX1" s="2" t="n"/>
      <c r="AJY1" s="2" t="n"/>
      <c r="AJZ1" s="2" t="n"/>
      <c r="AKA1" s="2" t="n"/>
      <c r="AKB1" s="2" t="n"/>
      <c r="AKC1" s="2" t="n"/>
      <c r="AKD1" s="2" t="n"/>
      <c r="AKE1" s="2" t="n"/>
      <c r="AKF1" s="2" t="n"/>
      <c r="AKG1" s="2" t="n"/>
      <c r="AKH1" s="2" t="n"/>
      <c r="AKI1" s="2" t="n"/>
      <c r="AKJ1" s="2" t="n"/>
      <c r="AKK1" s="2" t="n"/>
      <c r="AKL1" s="2" t="n"/>
      <c r="AKM1" s="2" t="n"/>
      <c r="AKN1" s="2" t="n"/>
      <c r="AKO1" s="2" t="n"/>
      <c r="AKP1" s="2" t="n"/>
      <c r="AKQ1" s="2" t="n"/>
      <c r="AKR1" s="2" t="n"/>
      <c r="AKS1" s="2" t="n"/>
      <c r="AKT1" s="2" t="n"/>
      <c r="AKU1" s="2" t="n"/>
      <c r="AKV1" s="2" t="n"/>
      <c r="AKW1" s="2" t="n"/>
      <c r="AKX1" s="2" t="n"/>
      <c r="AKY1" s="2" t="n"/>
      <c r="AKZ1" s="2" t="n"/>
      <c r="ALA1" s="2" t="n"/>
      <c r="ALB1" s="2" t="n"/>
      <c r="ALC1" s="2" t="n"/>
      <c r="ALD1" s="2" t="n"/>
      <c r="ALE1" s="2" t="n"/>
      <c r="ALF1" s="2" t="n"/>
      <c r="ALG1" s="2" t="n"/>
      <c r="ALH1" s="2" t="n"/>
      <c r="ALI1" s="2" t="n"/>
      <c r="ALJ1" s="2" t="n"/>
      <c r="ALK1" s="2" t="n"/>
      <c r="ALL1" s="2" t="n"/>
      <c r="ALM1" s="2" t="n"/>
      <c r="ALN1" s="2" t="n"/>
      <c r="ALO1" s="2" t="n"/>
      <c r="ALP1" s="2" t="n"/>
      <c r="ALQ1" s="2" t="n"/>
      <c r="ALR1" s="2" t="n"/>
      <c r="ALS1" s="2" t="n"/>
      <c r="ALT1" s="2" t="n"/>
      <c r="ALU1" s="2" t="n"/>
      <c r="ALV1" s="2" t="n"/>
      <c r="ALW1" s="2" t="n"/>
      <c r="ALX1" s="2" t="n"/>
      <c r="ALY1" s="2" t="n"/>
      <c r="ALZ1" s="2" t="n"/>
      <c r="AMA1" s="2" t="n"/>
      <c r="AMB1" s="2" t="n"/>
      <c r="AMC1" s="2" t="n"/>
      <c r="AMD1" s="2" t="n"/>
      <c r="AME1" s="2" t="n"/>
      <c r="AMF1" s="2" t="n"/>
      <c r="AMG1" s="2" t="n"/>
      <c r="AMH1" s="2" t="n"/>
      <c r="AMI1" s="2" t="n"/>
      <c r="AMJ1" s="2" t="n"/>
      <c r="AMK1" s="2" t="n"/>
      <c r="AML1" s="2" t="n"/>
      <c r="AMM1" s="2" t="n"/>
      <c r="AMN1" s="2" t="n"/>
      <c r="AMO1" s="2" t="n"/>
      <c r="AMP1" s="2" t="n"/>
      <c r="AMQ1" s="2" t="n"/>
      <c r="AMR1" s="2" t="n"/>
      <c r="AMS1" s="2" t="n"/>
      <c r="AMT1" s="2" t="n"/>
      <c r="AMU1" s="2" t="n"/>
      <c r="AMV1" s="2" t="n"/>
      <c r="AMW1" s="2" t="n"/>
      <c r="AMX1" s="2" t="n"/>
      <c r="AMY1" s="2" t="n"/>
      <c r="AMZ1" s="2" t="n"/>
      <c r="ANA1" s="2" t="n"/>
      <c r="ANB1" s="2" t="n"/>
      <c r="ANC1" s="2" t="n"/>
      <c r="AND1" s="2" t="n"/>
      <c r="ANE1" s="2" t="n"/>
      <c r="ANF1" s="2" t="n"/>
      <c r="ANG1" s="2" t="n"/>
      <c r="ANH1" s="2" t="n"/>
      <c r="ANI1" s="2" t="n"/>
      <c r="ANJ1" s="2" t="n"/>
      <c r="ANK1" s="2" t="n"/>
      <c r="ANL1" s="2" t="n"/>
      <c r="ANM1" s="2" t="n"/>
      <c r="ANN1" s="2" t="n"/>
      <c r="ANO1" s="2" t="n"/>
      <c r="ANP1" s="2" t="n"/>
      <c r="ANQ1" s="2" t="n"/>
      <c r="ANR1" s="2" t="n"/>
      <c r="ANS1" s="2" t="n"/>
      <c r="ANT1" s="2" t="n"/>
      <c r="ANU1" s="2" t="n"/>
      <c r="ANV1" s="2" t="n"/>
      <c r="ANW1" s="2" t="n"/>
      <c r="ANX1" s="2" t="n"/>
      <c r="ANY1" s="2" t="n"/>
      <c r="ANZ1" s="2" t="n"/>
      <c r="AOA1" s="2" t="n"/>
      <c r="AOB1" s="2" t="n"/>
      <c r="AOC1" s="2" t="n"/>
      <c r="AOD1" s="2" t="n"/>
      <c r="AOE1" s="2" t="n"/>
      <c r="AOF1" s="2" t="n"/>
      <c r="AOG1" s="2" t="n"/>
      <c r="AOH1" s="2" t="n"/>
      <c r="AOI1" s="2" t="n"/>
      <c r="AOJ1" s="2" t="n"/>
      <c r="AOK1" s="2" t="n"/>
      <c r="AOL1" s="2" t="n"/>
      <c r="AOM1" s="2" t="n"/>
      <c r="AON1" s="2" t="n"/>
      <c r="AOO1" s="2" t="n"/>
      <c r="AOP1" s="2" t="n"/>
      <c r="AOQ1" s="2" t="n"/>
      <c r="AOR1" s="2" t="n"/>
      <c r="AOS1" s="2" t="n"/>
      <c r="AOT1" s="2" t="n"/>
      <c r="AOU1" s="2" t="n"/>
      <c r="AOV1" s="2" t="n"/>
      <c r="AOW1" s="2" t="n"/>
      <c r="AOX1" s="2" t="n"/>
      <c r="AOY1" s="2" t="n"/>
      <c r="AOZ1" s="2" t="n"/>
      <c r="APA1" s="2" t="n"/>
      <c r="APB1" s="2" t="n"/>
      <c r="APC1" s="2" t="n"/>
      <c r="APD1" s="2" t="n"/>
      <c r="APE1" s="2" t="n"/>
      <c r="APF1" s="2" t="n"/>
      <c r="APG1" s="2" t="n"/>
      <c r="APH1" s="2" t="n"/>
      <c r="API1" s="2" t="n"/>
      <c r="APJ1" s="2" t="n"/>
      <c r="APK1" s="2" t="n"/>
      <c r="APL1" s="2" t="n"/>
      <c r="APM1" s="2" t="n"/>
      <c r="APN1" s="2" t="n"/>
      <c r="APO1" s="2" t="n"/>
      <c r="APP1" s="2" t="n"/>
      <c r="APQ1" s="2" t="n"/>
      <c r="APR1" s="2" t="n"/>
      <c r="APS1" s="2" t="n"/>
      <c r="APT1" s="2" t="n"/>
      <c r="APU1" s="2" t="n"/>
      <c r="APV1" s="2" t="n"/>
      <c r="APW1" s="2" t="n"/>
      <c r="APX1" s="2" t="n"/>
      <c r="APY1" s="2" t="n"/>
      <c r="APZ1" s="2" t="n"/>
      <c r="AQA1" s="2" t="n"/>
      <c r="AQB1" s="2" t="n"/>
      <c r="AQC1" s="2" t="n"/>
      <c r="AQD1" s="2" t="n"/>
      <c r="AQE1" s="2" t="n"/>
      <c r="AQF1" s="2" t="n"/>
      <c r="AQG1" s="2" t="n"/>
      <c r="AQH1" s="2" t="n"/>
      <c r="AQI1" s="2" t="n"/>
      <c r="AQJ1" s="2" t="n"/>
      <c r="AQK1" s="2" t="n"/>
      <c r="AQL1" s="2" t="n"/>
      <c r="AQM1" s="2" t="n"/>
      <c r="AQN1" s="2" t="n"/>
      <c r="AQO1" s="2" t="n"/>
      <c r="AQP1" s="2" t="n"/>
      <c r="AQQ1" s="2" t="n"/>
      <c r="AQR1" s="2" t="n"/>
      <c r="AQS1" s="2" t="n"/>
      <c r="AQT1" s="2" t="n"/>
      <c r="AQU1" s="2" t="n"/>
      <c r="AQV1" s="2" t="n"/>
      <c r="AQW1" s="2" t="n"/>
      <c r="AQX1" s="2" t="n"/>
      <c r="AQY1" s="2" t="n"/>
      <c r="AQZ1" s="2" t="n"/>
      <c r="ARA1" s="2" t="n"/>
      <c r="ARB1" s="2" t="n"/>
      <c r="ARC1" s="2" t="n"/>
      <c r="ARD1" s="2" t="n"/>
      <c r="ARE1" s="2" t="n"/>
      <c r="ARF1" s="2" t="n"/>
      <c r="ARG1" s="2" t="n"/>
      <c r="ARH1" s="2" t="n"/>
      <c r="ARI1" s="2" t="n"/>
      <c r="ARJ1" s="2" t="n"/>
      <c r="ARK1" s="2" t="n"/>
      <c r="ARL1" s="2" t="n"/>
      <c r="ARM1" s="2" t="n"/>
      <c r="ARN1" s="2" t="n"/>
      <c r="ARO1" s="2" t="n"/>
      <c r="ARP1" s="2" t="n"/>
      <c r="ARQ1" s="2" t="n"/>
      <c r="ARR1" s="2" t="n"/>
      <c r="ARS1" s="2" t="n"/>
      <c r="ART1" s="2" t="n"/>
      <c r="ARU1" s="2" t="n"/>
      <c r="ARV1" s="2" t="n"/>
      <c r="ARW1" s="2" t="n"/>
      <c r="ARX1" s="2" t="n"/>
      <c r="ARY1" s="2" t="n"/>
      <c r="ARZ1" s="2" t="n"/>
      <c r="ASA1" s="2" t="n"/>
      <c r="ASB1" s="2" t="n"/>
      <c r="ASC1" s="2" t="n"/>
      <c r="ASD1" s="2" t="n"/>
      <c r="ASE1" s="2" t="n"/>
      <c r="ASF1" s="2" t="n"/>
      <c r="ASG1" s="2" t="n"/>
      <c r="ASH1" s="2" t="n"/>
      <c r="ASI1" s="2" t="n"/>
      <c r="ASJ1" s="2" t="n"/>
      <c r="ASK1" s="2" t="n"/>
      <c r="ASL1" s="2" t="n"/>
      <c r="ASM1" s="2" t="n"/>
      <c r="ASN1" s="2" t="n"/>
      <c r="ASO1" s="2" t="n"/>
      <c r="ASP1" s="2" t="n"/>
      <c r="ASQ1" s="2" t="n"/>
      <c r="ASR1" s="2" t="n"/>
      <c r="ASS1" s="2" t="n"/>
      <c r="AST1" s="2" t="n"/>
      <c r="ASU1" s="2" t="n"/>
      <c r="ASV1" s="2" t="n"/>
      <c r="ASW1" s="2" t="n"/>
      <c r="ASX1" s="2" t="n"/>
      <c r="ASY1" s="2" t="n"/>
      <c r="ASZ1" s="2" t="n"/>
      <c r="ATA1" s="2" t="n"/>
      <c r="ATB1" s="2" t="n"/>
      <c r="ATC1" s="2" t="n"/>
      <c r="ATD1" s="2" t="n"/>
      <c r="ATE1" s="2" t="n"/>
      <c r="ATF1" s="2" t="n"/>
      <c r="ATG1" s="2" t="n"/>
      <c r="ATH1" s="2" t="n"/>
      <c r="ATI1" s="2" t="n"/>
      <c r="ATJ1" s="2" t="n"/>
      <c r="ATK1" s="2" t="n"/>
      <c r="ATL1" s="2" t="n"/>
      <c r="ATM1" s="2" t="n"/>
      <c r="ATN1" s="2" t="n"/>
      <c r="ATO1" s="2" t="n"/>
      <c r="ATP1" s="2" t="n"/>
      <c r="ATQ1" s="2" t="n"/>
      <c r="ATR1" s="2" t="n"/>
      <c r="ATS1" s="2" t="n"/>
      <c r="ATT1" s="2" t="n"/>
      <c r="ATU1" s="2" t="n"/>
      <c r="ATV1" s="2" t="n"/>
      <c r="ATW1" s="2" t="n"/>
      <c r="ATX1" s="2" t="n"/>
      <c r="ATY1" s="2" t="n"/>
      <c r="ATZ1" s="2" t="n"/>
      <c r="AUA1" s="2" t="n"/>
      <c r="AUB1" s="2" t="n"/>
      <c r="AUC1" s="2" t="n"/>
      <c r="AUD1" s="2" t="n"/>
      <c r="AUE1" s="2" t="n"/>
      <c r="AUF1" s="2" t="n"/>
      <c r="AUG1" s="2" t="n"/>
      <c r="AUH1" s="2" t="n"/>
      <c r="AUI1" s="2" t="n"/>
      <c r="AUJ1" s="2" t="n"/>
      <c r="AUK1" s="2" t="n"/>
      <c r="AUL1" s="2" t="n"/>
      <c r="AUM1" s="2" t="n"/>
      <c r="AUN1" s="2" t="n"/>
      <c r="AUO1" s="2" t="n"/>
      <c r="AUP1" s="2" t="n"/>
      <c r="AUQ1" s="2" t="n"/>
      <c r="AUR1" s="2" t="n"/>
      <c r="AUS1" s="2" t="n"/>
      <c r="AUT1" s="2" t="n"/>
      <c r="AUU1" s="2" t="n"/>
      <c r="AUV1" s="2" t="n"/>
      <c r="AUW1" s="2" t="n"/>
      <c r="AUX1" s="2" t="n"/>
      <c r="AUY1" s="2" t="n"/>
      <c r="AUZ1" s="2" t="n"/>
      <c r="AVA1" s="2" t="n"/>
      <c r="AVB1" s="2" t="n"/>
      <c r="AVC1" s="2" t="n"/>
      <c r="AVD1" s="2" t="n"/>
      <c r="AVE1" s="2" t="n"/>
      <c r="AVF1" s="2" t="n"/>
      <c r="AVG1" s="2" t="n"/>
      <c r="AVH1" s="2" t="n"/>
      <c r="AVI1" s="2" t="n"/>
      <c r="AVJ1" s="2" t="n"/>
      <c r="AVK1" s="2" t="n"/>
      <c r="AVL1" s="2" t="n"/>
      <c r="AVM1" s="2" t="n"/>
      <c r="AVN1" s="2" t="n"/>
      <c r="AVO1" s="2" t="n"/>
      <c r="AVP1" s="2" t="n"/>
      <c r="AVQ1" s="2" t="n"/>
      <c r="AVR1" s="2" t="n"/>
      <c r="AVS1" s="2" t="n"/>
      <c r="AVT1" s="2" t="n"/>
      <c r="AVU1" s="2" t="n"/>
      <c r="AVV1" s="2" t="n"/>
      <c r="AVW1" s="2" t="n"/>
      <c r="AVX1" s="2" t="n"/>
      <c r="AVY1" s="2" t="n"/>
      <c r="AVZ1" s="2" t="n"/>
      <c r="AWA1" s="2" t="n"/>
      <c r="AWB1" s="2" t="n"/>
      <c r="AWC1" s="2" t="n"/>
      <c r="AWD1" s="2" t="n"/>
      <c r="AWE1" s="2" t="n"/>
      <c r="AWF1" s="2" t="n"/>
      <c r="AWG1" s="2" t="n"/>
      <c r="AWH1" s="2" t="n"/>
      <c r="AWI1" s="2" t="n"/>
      <c r="AWJ1" s="2" t="n"/>
      <c r="AWK1" s="2" t="n"/>
      <c r="AWL1" s="2" t="n"/>
      <c r="AWM1" s="2" t="n"/>
      <c r="AWN1" s="2" t="n"/>
      <c r="AWO1" s="2" t="n"/>
      <c r="AWP1" s="2" t="n"/>
      <c r="AWQ1" s="2" t="n"/>
      <c r="AWR1" s="2" t="n"/>
      <c r="AWS1" s="2" t="n"/>
      <c r="AWT1" s="2" t="n"/>
      <c r="AWU1" s="2" t="n"/>
      <c r="AWV1" s="2" t="n"/>
      <c r="AWW1" s="2" t="n"/>
      <c r="AWX1" s="2" t="n"/>
      <c r="AWY1" s="2" t="n"/>
      <c r="AWZ1" s="2" t="n"/>
      <c r="AXA1" s="2" t="n"/>
      <c r="AXB1" s="2" t="n"/>
      <c r="AXC1" s="2" t="n"/>
      <c r="AXD1" s="2" t="n"/>
      <c r="AXE1" s="2" t="n"/>
      <c r="AXF1" s="2" t="n"/>
      <c r="AXG1" s="2" t="n"/>
      <c r="AXH1" s="2" t="n"/>
      <c r="AXI1" s="2" t="n"/>
      <c r="AXJ1" s="2" t="n"/>
      <c r="AXK1" s="2" t="n"/>
      <c r="AXL1" s="2" t="n"/>
      <c r="AXM1" s="2" t="n"/>
      <c r="AXN1" s="2" t="n"/>
      <c r="AXO1" s="2" t="n"/>
      <c r="AXP1" s="2" t="n"/>
      <c r="AXQ1" s="2" t="n"/>
      <c r="AXR1" s="2" t="n"/>
      <c r="AXS1" s="2" t="n"/>
      <c r="AXT1" s="2" t="n"/>
      <c r="AXU1" s="2" t="n"/>
      <c r="AXV1" s="2" t="n"/>
      <c r="AXW1" s="2" t="n"/>
      <c r="AXX1" s="2" t="n"/>
      <c r="AXY1" s="2" t="n"/>
      <c r="AXZ1" s="2" t="n"/>
      <c r="AYA1" s="2" t="n"/>
      <c r="AYB1" s="2" t="n"/>
      <c r="AYC1" s="2" t="n"/>
      <c r="AYD1" s="2" t="n"/>
      <c r="AYE1" s="2" t="n"/>
      <c r="AYF1" s="2" t="n"/>
      <c r="AYG1" s="2" t="n"/>
      <c r="AYH1" s="2" t="n"/>
      <c r="AYI1" s="2" t="n"/>
      <c r="AYJ1" s="2" t="n"/>
      <c r="AYK1" s="2" t="n"/>
      <c r="AYL1" s="2" t="n"/>
      <c r="AYM1" s="2" t="n"/>
      <c r="AYN1" s="2" t="n"/>
      <c r="AYO1" s="2" t="n"/>
      <c r="AYP1" s="2" t="n"/>
      <c r="AYQ1" s="2" t="n"/>
      <c r="AYR1" s="2" t="n"/>
      <c r="AYS1" s="2" t="n"/>
      <c r="AYT1" s="2" t="n"/>
      <c r="AYU1" s="2" t="n"/>
      <c r="AYV1" s="2" t="n"/>
      <c r="AYW1" s="2" t="n"/>
      <c r="AYX1" s="2" t="n"/>
      <c r="AYY1" s="2" t="n"/>
      <c r="AYZ1" s="2" t="n"/>
      <c r="AZA1" s="2" t="n"/>
      <c r="AZB1" s="2" t="n"/>
      <c r="AZC1" s="2" t="n"/>
      <c r="AZD1" s="2" t="n"/>
      <c r="AZE1" s="2" t="n"/>
      <c r="AZF1" s="2" t="n"/>
      <c r="AZG1" s="2" t="n"/>
      <c r="AZH1" s="2" t="n"/>
      <c r="AZI1" s="2" t="n"/>
      <c r="AZJ1" s="2" t="n"/>
      <c r="AZK1" s="2" t="n"/>
      <c r="AZL1" s="2" t="n"/>
      <c r="AZM1" s="2" t="n"/>
      <c r="AZN1" s="2" t="n"/>
      <c r="AZO1" s="2" t="n"/>
      <c r="AZP1" s="2" t="n"/>
      <c r="AZQ1" s="2" t="n"/>
      <c r="AZR1" s="2" t="n"/>
      <c r="AZS1" s="2" t="n"/>
      <c r="AZT1" s="2" t="n"/>
      <c r="AZU1" s="2" t="n"/>
      <c r="AZV1" s="2" t="n"/>
      <c r="AZW1" s="2" t="n"/>
      <c r="AZX1" s="2" t="n"/>
      <c r="AZY1" s="2" t="n"/>
      <c r="AZZ1" s="2" t="n"/>
      <c r="BAA1" s="2" t="n"/>
      <c r="BAB1" s="2" t="n"/>
      <c r="BAC1" s="2" t="n"/>
      <c r="BAD1" s="2" t="n"/>
      <c r="BAE1" s="2" t="n"/>
      <c r="BAF1" s="2" t="n"/>
      <c r="BAG1" s="2" t="n"/>
      <c r="BAH1" s="2" t="n"/>
      <c r="BAI1" s="2" t="n"/>
      <c r="BAJ1" s="2" t="n"/>
      <c r="BAK1" s="2" t="n"/>
      <c r="BAL1" s="2" t="n"/>
      <c r="BAM1" s="2" t="n"/>
      <c r="BAN1" s="2" t="n"/>
      <c r="BAO1" s="2" t="n"/>
      <c r="BAP1" s="2" t="n"/>
      <c r="BAQ1" s="2" t="n"/>
      <c r="BAR1" s="2" t="n"/>
      <c r="BAS1" s="2" t="n"/>
      <c r="BAT1" s="2" t="n"/>
      <c r="BAU1" s="2" t="n"/>
      <c r="BAV1" s="2" t="n"/>
      <c r="BAW1" s="2" t="n"/>
      <c r="BAX1" s="2" t="n"/>
      <c r="BAY1" s="2" t="n"/>
      <c r="BAZ1" s="2" t="n"/>
      <c r="BBA1" s="2" t="n"/>
      <c r="BBB1" s="2" t="n"/>
      <c r="BBC1" s="2" t="n"/>
      <c r="BBD1" s="2" t="n"/>
      <c r="BBE1" s="2" t="n"/>
      <c r="BBF1" s="2" t="n"/>
      <c r="BBG1" s="2" t="n"/>
      <c r="BBH1" s="2" t="n"/>
      <c r="BBI1" s="2" t="n"/>
      <c r="BBJ1" s="2" t="n"/>
      <c r="BBK1" s="2" t="n"/>
      <c r="BBL1" s="2" t="n"/>
      <c r="BBM1" s="2" t="n"/>
      <c r="BBN1" s="2" t="n"/>
      <c r="BBO1" s="2" t="n"/>
      <c r="BBP1" s="2" t="n"/>
      <c r="BBQ1" s="2" t="n"/>
      <c r="BBR1" s="2" t="n"/>
      <c r="BBS1" s="2" t="n"/>
      <c r="BBT1" s="2" t="n"/>
      <c r="BBU1" s="2" t="n"/>
      <c r="BBV1" s="2" t="n"/>
      <c r="BBW1" s="2" t="n"/>
      <c r="BBX1" s="2" t="n"/>
      <c r="BBY1" s="2" t="n"/>
      <c r="BBZ1" s="2" t="n"/>
      <c r="BCA1" s="2" t="n"/>
      <c r="BCB1" s="2" t="n"/>
      <c r="BCC1" s="2" t="n"/>
      <c r="BCD1" s="2" t="n"/>
      <c r="BCE1" s="2" t="n"/>
      <c r="BCF1" s="2" t="n"/>
      <c r="BCG1" s="2" t="n"/>
      <c r="BCH1" s="2" t="n"/>
      <c r="BCI1" s="2" t="n"/>
      <c r="BCJ1" s="2" t="n"/>
      <c r="BCK1" s="2" t="n"/>
      <c r="BCL1" s="2" t="n"/>
      <c r="BCM1" s="2" t="n"/>
      <c r="BCN1" s="2" t="n"/>
      <c r="BCO1" s="2" t="n"/>
      <c r="BCP1" s="2" t="n"/>
      <c r="BCQ1" s="2" t="n"/>
      <c r="BCR1" s="2" t="n"/>
      <c r="BCS1" s="2" t="n"/>
      <c r="BCT1" s="2" t="n"/>
      <c r="BCU1" s="2" t="n"/>
      <c r="BCV1" s="2" t="n"/>
      <c r="BCW1" s="2" t="n"/>
      <c r="BCX1" s="2" t="n"/>
      <c r="BCY1" s="2" t="n"/>
      <c r="BCZ1" s="2" t="n"/>
      <c r="BDA1" s="2" t="n"/>
      <c r="BDB1" s="2" t="n"/>
      <c r="BDC1" s="2" t="n"/>
      <c r="BDD1" s="2" t="n"/>
      <c r="BDE1" s="2" t="n"/>
      <c r="BDF1" s="2" t="n"/>
      <c r="BDG1" s="2" t="n"/>
      <c r="BDH1" s="2" t="n"/>
      <c r="BDI1" s="2" t="n"/>
      <c r="BDJ1" s="2" t="n"/>
      <c r="BDK1" s="2" t="n"/>
      <c r="BDL1" s="2" t="n"/>
      <c r="BDM1" s="2" t="n"/>
      <c r="BDN1" s="2" t="n"/>
      <c r="BDO1" s="2" t="n"/>
      <c r="BDP1" s="2" t="n"/>
      <c r="BDQ1" s="2" t="n"/>
      <c r="BDR1" s="2" t="n"/>
      <c r="BDS1" s="2" t="n"/>
      <c r="BDT1" s="2" t="n"/>
      <c r="BDU1" s="2" t="n"/>
      <c r="BDV1" s="2" t="n"/>
      <c r="BDW1" s="2" t="n"/>
      <c r="BDX1" s="2" t="n"/>
      <c r="BDY1" s="2" t="n"/>
      <c r="BDZ1" s="2" t="n"/>
      <c r="BEA1" s="2" t="n"/>
      <c r="BEB1" s="2" t="n"/>
      <c r="BEC1" s="2" t="n"/>
      <c r="BED1" s="2" t="n"/>
      <c r="BEE1" s="2" t="n"/>
      <c r="BEF1" s="2" t="n"/>
      <c r="BEG1" s="2" t="n"/>
      <c r="BEH1" s="2" t="n"/>
      <c r="BEI1" s="2" t="n"/>
      <c r="BEJ1" s="2" t="n"/>
      <c r="BEK1" s="2" t="n"/>
      <c r="BEL1" s="2" t="n"/>
      <c r="BEM1" s="2" t="n"/>
      <c r="BEN1" s="2" t="n"/>
      <c r="BEO1" s="2" t="n"/>
      <c r="BEP1" s="2" t="n"/>
      <c r="BEQ1" s="2" t="n"/>
      <c r="BER1" s="2" t="n"/>
      <c r="BES1" s="2" t="n"/>
      <c r="BET1" s="2" t="n"/>
      <c r="BEU1" s="2" t="n"/>
      <c r="BEV1" s="2" t="n"/>
      <c r="BEW1" s="2" t="n"/>
      <c r="BEX1" s="2" t="n"/>
      <c r="BEY1" s="2" t="n"/>
      <c r="BEZ1" s="2" t="n"/>
      <c r="BFA1" s="2" t="n"/>
      <c r="BFB1" s="2" t="n"/>
      <c r="BFC1" s="2" t="n"/>
      <c r="BFD1" s="2" t="n"/>
      <c r="BFE1" s="2" t="n"/>
      <c r="BFF1" s="2" t="n"/>
      <c r="BFG1" s="2" t="n"/>
      <c r="BFH1" s="2" t="n"/>
      <c r="BFI1" s="2" t="n"/>
      <c r="BFJ1" s="2" t="n"/>
      <c r="BFK1" s="2" t="n"/>
      <c r="BFL1" s="2" t="n"/>
      <c r="BFM1" s="2" t="n"/>
      <c r="BFN1" s="2" t="n"/>
      <c r="BFO1" s="2" t="n"/>
      <c r="BFP1" s="2" t="n"/>
      <c r="BFQ1" s="2" t="n"/>
      <c r="BFR1" s="2" t="n"/>
      <c r="BFS1" s="2" t="n"/>
      <c r="BFT1" s="2" t="n"/>
      <c r="BFU1" s="2" t="n"/>
      <c r="BFV1" s="2" t="n"/>
      <c r="BFW1" s="2" t="n"/>
      <c r="BFX1" s="2" t="n"/>
      <c r="BFY1" s="2" t="n"/>
      <c r="BFZ1" s="2" t="n"/>
      <c r="BGA1" s="2" t="n"/>
      <c r="BGB1" s="2" t="n"/>
      <c r="BGC1" s="2" t="n"/>
      <c r="BGD1" s="2" t="n"/>
      <c r="BGE1" s="2" t="n"/>
      <c r="BGF1" s="2" t="n"/>
      <c r="BGG1" s="2" t="n"/>
      <c r="BGH1" s="2" t="n"/>
      <c r="BGI1" s="2" t="n"/>
      <c r="BGJ1" s="2" t="n"/>
      <c r="BGK1" s="2" t="n"/>
      <c r="BGL1" s="2" t="n"/>
      <c r="BGM1" s="2" t="n"/>
      <c r="BGN1" s="2" t="n"/>
      <c r="BGO1" s="2" t="n"/>
      <c r="BGP1" s="2" t="n"/>
      <c r="BGQ1" s="2" t="n"/>
      <c r="BGR1" s="2" t="n"/>
      <c r="BGS1" s="2" t="n"/>
      <c r="BGT1" s="2" t="n"/>
      <c r="BGU1" s="2" t="n"/>
      <c r="BGV1" s="2" t="n"/>
      <c r="BGW1" s="2" t="n"/>
      <c r="BGX1" s="2" t="n"/>
      <c r="BGY1" s="2" t="n"/>
      <c r="BGZ1" s="2" t="n"/>
      <c r="BHA1" s="2" t="n"/>
      <c r="BHB1" s="2" t="n"/>
      <c r="BHC1" s="2" t="n"/>
      <c r="BHD1" s="2" t="n"/>
      <c r="BHE1" s="2" t="n"/>
      <c r="BHF1" s="2" t="n"/>
      <c r="BHG1" s="2" t="n"/>
      <c r="BHH1" s="2" t="n"/>
      <c r="BHI1" s="2" t="n"/>
      <c r="BHJ1" s="2" t="n"/>
      <c r="BHK1" s="2" t="n"/>
      <c r="BHL1" s="2" t="n"/>
      <c r="BHM1" s="2" t="n"/>
      <c r="BHN1" s="2" t="n"/>
      <c r="BHO1" s="2" t="n"/>
      <c r="BHP1" s="2" t="n"/>
      <c r="BHQ1" s="2" t="n"/>
      <c r="BHR1" s="2" t="n"/>
      <c r="BHS1" s="2" t="n"/>
      <c r="BHT1" s="2" t="n"/>
      <c r="BHU1" s="2" t="n"/>
      <c r="BHV1" s="2" t="n"/>
      <c r="BHW1" s="2" t="n"/>
      <c r="BHX1" s="2" t="n"/>
      <c r="BHY1" s="2" t="n"/>
      <c r="BHZ1" s="2" t="n"/>
      <c r="BIA1" s="2" t="n"/>
      <c r="BIB1" s="2" t="n"/>
      <c r="BIC1" s="2" t="n"/>
      <c r="BID1" s="2" t="n"/>
      <c r="BIE1" s="2" t="n"/>
      <c r="BIF1" s="2" t="n"/>
      <c r="BIG1" s="2" t="n"/>
      <c r="BIH1" s="2" t="n"/>
      <c r="BII1" s="2" t="n"/>
      <c r="BIJ1" s="2" t="n"/>
      <c r="BIK1" s="2" t="n"/>
      <c r="BIL1" s="2" t="n"/>
      <c r="BIM1" s="2" t="n"/>
      <c r="BIN1" s="2" t="n"/>
      <c r="BIO1" s="2" t="n"/>
      <c r="BIP1" s="2" t="n"/>
      <c r="BIQ1" s="2" t="n"/>
      <c r="BIR1" s="2" t="n"/>
      <c r="BIS1" s="2" t="n"/>
      <c r="BIT1" s="2" t="n"/>
      <c r="BIU1" s="2" t="n"/>
      <c r="BIV1" s="2" t="n"/>
      <c r="BIW1" s="2" t="n"/>
      <c r="BIX1" s="2" t="n"/>
      <c r="BIY1" s="2" t="n"/>
      <c r="BIZ1" s="2" t="n"/>
      <c r="BJA1" s="2" t="n"/>
      <c r="BJB1" s="2" t="n"/>
      <c r="BJC1" s="2" t="n"/>
      <c r="BJD1" s="2" t="n"/>
      <c r="BJE1" s="2" t="n"/>
      <c r="BJF1" s="2" t="n"/>
      <c r="BJG1" s="2" t="n"/>
      <c r="BJH1" s="2" t="n"/>
      <c r="BJI1" s="2" t="n"/>
      <c r="BJJ1" s="2" t="n"/>
      <c r="BJK1" s="2" t="n"/>
      <c r="BJL1" s="2" t="n"/>
      <c r="BJM1" s="2" t="n"/>
      <c r="BJN1" s="2" t="n"/>
      <c r="BJO1" s="2" t="n"/>
      <c r="BJP1" s="2" t="n"/>
      <c r="BJQ1" s="2" t="n"/>
      <c r="BJR1" s="2" t="n"/>
      <c r="BJS1" s="2" t="n"/>
      <c r="BJT1" s="2" t="n"/>
      <c r="BJU1" s="2" t="n"/>
      <c r="BJV1" s="2" t="n"/>
      <c r="BJW1" s="2" t="n"/>
      <c r="BJX1" s="2" t="n"/>
      <c r="BJY1" s="2" t="n"/>
      <c r="BJZ1" s="2" t="n"/>
      <c r="BKA1" s="2" t="n"/>
      <c r="BKB1" s="2" t="n"/>
      <c r="BKC1" s="2" t="n"/>
      <c r="BKD1" s="2" t="n"/>
      <c r="BKE1" s="2" t="n"/>
      <c r="BKF1" s="2" t="n"/>
      <c r="BKG1" s="2" t="n"/>
      <c r="BKH1" s="2" t="n"/>
      <c r="BKI1" s="2" t="n"/>
      <c r="BKJ1" s="2" t="n"/>
      <c r="BKK1" s="2" t="n"/>
      <c r="BKL1" s="2" t="n"/>
      <c r="BKM1" s="2" t="n"/>
      <c r="BKN1" s="2" t="n"/>
      <c r="BKO1" s="2" t="n"/>
      <c r="BKP1" s="2" t="n"/>
      <c r="BKQ1" s="2" t="n"/>
      <c r="BKR1" s="2" t="n"/>
      <c r="BKS1" s="2" t="n"/>
      <c r="BKT1" s="2" t="n"/>
      <c r="BKU1" s="2" t="n"/>
      <c r="BKV1" s="2" t="n"/>
      <c r="BKW1" s="2" t="n"/>
      <c r="BKX1" s="2" t="n"/>
      <c r="BKY1" s="2" t="n"/>
      <c r="BKZ1" s="2" t="n"/>
      <c r="BLA1" s="2" t="n"/>
      <c r="BLB1" s="2" t="n"/>
      <c r="BLC1" s="2" t="n"/>
      <c r="BLD1" s="2" t="n"/>
      <c r="BLE1" s="2" t="n"/>
      <c r="BLF1" s="2" t="n"/>
      <c r="BLG1" s="2" t="n"/>
      <c r="BLH1" s="2" t="n"/>
      <c r="BLI1" s="2" t="n"/>
      <c r="BLJ1" s="2" t="n"/>
      <c r="BLK1" s="2" t="n"/>
      <c r="BLL1" s="2" t="n"/>
      <c r="BLM1" s="2" t="n"/>
      <c r="BLN1" s="2" t="n"/>
      <c r="BLO1" s="2" t="n"/>
      <c r="BLP1" s="2" t="n"/>
      <c r="BLQ1" s="2" t="n"/>
      <c r="BLR1" s="2" t="n"/>
      <c r="BLS1" s="2" t="n"/>
      <c r="BLT1" s="2" t="n"/>
      <c r="BLU1" s="2" t="n"/>
      <c r="BLV1" s="2" t="n"/>
      <c r="BLW1" s="2" t="n"/>
      <c r="BLX1" s="2" t="n"/>
      <c r="BLY1" s="2" t="n"/>
      <c r="BLZ1" s="2" t="n"/>
      <c r="BMA1" s="2" t="n"/>
      <c r="BMB1" s="2" t="n"/>
      <c r="BMC1" s="2" t="n"/>
      <c r="BMD1" s="2" t="n"/>
      <c r="BME1" s="2" t="n"/>
      <c r="BMF1" s="2" t="n"/>
      <c r="BMG1" s="2" t="n"/>
      <c r="BMH1" s="2" t="n"/>
      <c r="BMI1" s="2" t="n"/>
      <c r="BMJ1" s="2" t="n"/>
      <c r="BMK1" s="2" t="n"/>
      <c r="BML1" s="2" t="n"/>
      <c r="BMM1" s="2" t="n"/>
      <c r="BMN1" s="2" t="n"/>
      <c r="BMO1" s="2" t="n"/>
      <c r="BMP1" s="2" t="n"/>
      <c r="BMQ1" s="2" t="n"/>
      <c r="BMR1" s="2" t="n"/>
      <c r="BMS1" s="2" t="n"/>
      <c r="BMT1" s="2" t="n"/>
      <c r="BMU1" s="2" t="n"/>
      <c r="BMV1" s="2" t="n"/>
      <c r="BMW1" s="2" t="n"/>
      <c r="BMX1" s="2" t="n"/>
      <c r="BMY1" s="2" t="n"/>
      <c r="BMZ1" s="2" t="n"/>
      <c r="BNA1" s="2" t="n"/>
      <c r="BNB1" s="2" t="n"/>
      <c r="BNC1" s="2" t="n"/>
      <c r="BND1" s="2" t="n"/>
      <c r="BNE1" s="2" t="n"/>
      <c r="BNF1" s="2" t="n"/>
      <c r="BNG1" s="2" t="n"/>
      <c r="BNH1" s="2" t="n"/>
      <c r="BNI1" s="2" t="n"/>
      <c r="BNJ1" s="2" t="n"/>
      <c r="BNK1" s="2" t="n"/>
      <c r="BNL1" s="2" t="n"/>
      <c r="BNM1" s="2" t="n"/>
      <c r="BNN1" s="2" t="n"/>
      <c r="BNO1" s="2" t="n"/>
      <c r="BNP1" s="2" t="n"/>
      <c r="BNQ1" s="2" t="n"/>
      <c r="BNR1" s="2" t="n"/>
      <c r="BNS1" s="2" t="n"/>
      <c r="BNT1" s="2" t="n"/>
      <c r="BNU1" s="2" t="n"/>
      <c r="BNV1" s="2" t="n"/>
      <c r="BNW1" s="2" t="n"/>
      <c r="BNX1" s="2" t="n"/>
      <c r="BNY1" s="2" t="n"/>
      <c r="BNZ1" s="2" t="n"/>
      <c r="BOA1" s="2" t="n"/>
      <c r="BOB1" s="2" t="n"/>
      <c r="BOC1" s="2" t="n"/>
      <c r="BOD1" s="2" t="n"/>
      <c r="BOE1" s="2" t="n"/>
      <c r="BOF1" s="2" t="n"/>
      <c r="BOG1" s="2" t="n"/>
      <c r="BOH1" s="2" t="n"/>
      <c r="BOI1" s="2" t="n"/>
      <c r="BOJ1" s="2" t="n"/>
      <c r="BOK1" s="2" t="n"/>
      <c r="BOL1" s="2" t="n"/>
      <c r="BOM1" s="2" t="n"/>
      <c r="BON1" s="2" t="n"/>
      <c r="BOO1" s="2" t="n"/>
      <c r="BOP1" s="2" t="n"/>
      <c r="BOQ1" s="2" t="n"/>
      <c r="BOR1" s="2" t="n"/>
      <c r="BOS1" s="2" t="n"/>
      <c r="BOT1" s="2" t="n"/>
      <c r="BOU1" s="2" t="n"/>
      <c r="BOV1" s="2" t="n"/>
      <c r="BOW1" s="2" t="n"/>
      <c r="BOX1" s="2" t="n"/>
      <c r="BOY1" s="2" t="n"/>
      <c r="BOZ1" s="2" t="n"/>
      <c r="BPA1" s="2" t="n"/>
      <c r="BPB1" s="2" t="n"/>
      <c r="BPC1" s="2" t="n"/>
      <c r="BPD1" s="2" t="n"/>
      <c r="BPE1" s="2" t="n"/>
      <c r="BPF1" s="2" t="n"/>
      <c r="BPG1" s="2" t="n"/>
      <c r="BPH1" s="2" t="n"/>
      <c r="BPI1" s="2" t="n"/>
      <c r="BPJ1" s="2" t="n"/>
      <c r="BPK1" s="2" t="n"/>
      <c r="BPL1" s="2" t="n"/>
      <c r="BPM1" s="2" t="n"/>
      <c r="BPN1" s="2" t="n"/>
      <c r="BPO1" s="2" t="n"/>
      <c r="BPP1" s="2" t="n"/>
      <c r="BPQ1" s="2" t="n"/>
      <c r="BPR1" s="2" t="n"/>
      <c r="BPS1" s="2" t="n"/>
      <c r="BPT1" s="2" t="n"/>
      <c r="BPU1" s="2" t="n"/>
      <c r="BPV1" s="2" t="n"/>
      <c r="BPW1" s="2" t="n"/>
      <c r="BPX1" s="2" t="n"/>
      <c r="BPY1" s="2" t="n"/>
      <c r="BPZ1" s="2" t="n"/>
      <c r="BQA1" s="2" t="n"/>
      <c r="BQB1" s="2" t="n"/>
      <c r="BQC1" s="2" t="n"/>
      <c r="BQD1" s="2" t="n"/>
      <c r="BQE1" s="2" t="n"/>
      <c r="BQF1" s="2" t="n"/>
      <c r="BQG1" s="2" t="n"/>
      <c r="BQH1" s="2" t="n"/>
      <c r="BQI1" s="2" t="n"/>
      <c r="BQJ1" s="2" t="n"/>
      <c r="BQK1" s="2" t="n"/>
      <c r="BQL1" s="2" t="n"/>
      <c r="BQM1" s="2" t="n"/>
      <c r="BQN1" s="2" t="n"/>
      <c r="BQO1" s="2" t="n"/>
      <c r="BQP1" s="2" t="n"/>
      <c r="BQQ1" s="2" t="n"/>
      <c r="BQR1" s="2" t="n"/>
      <c r="BQS1" s="2" t="n"/>
      <c r="BQT1" s="2" t="n"/>
      <c r="BQU1" s="2" t="n"/>
      <c r="BQV1" s="2" t="n"/>
      <c r="BQW1" s="2" t="n"/>
      <c r="BQX1" s="2" t="n"/>
      <c r="BQY1" s="2" t="n"/>
      <c r="BQZ1" s="2" t="n"/>
      <c r="BRA1" s="2" t="n"/>
      <c r="BRB1" s="2" t="n"/>
      <c r="BRC1" s="2" t="n"/>
      <c r="BRD1" s="2" t="n"/>
      <c r="BRE1" s="2" t="n"/>
      <c r="BRF1" s="2" t="n"/>
      <c r="BRG1" s="2" t="n"/>
      <c r="BRH1" s="2" t="n"/>
      <c r="BRI1" s="2" t="n"/>
      <c r="BRJ1" s="2" t="n"/>
      <c r="BRK1" s="2" t="n"/>
      <c r="BRL1" s="2" t="n"/>
      <c r="BRM1" s="2" t="n"/>
      <c r="BRN1" s="2" t="n"/>
      <c r="BRO1" s="2" t="n"/>
      <c r="BRP1" s="2" t="n"/>
      <c r="BRQ1" s="2" t="n"/>
      <c r="BRR1" s="2" t="n"/>
      <c r="BRS1" s="2" t="n"/>
      <c r="BRT1" s="2" t="n"/>
      <c r="BRU1" s="2" t="n"/>
      <c r="BRV1" s="2" t="n"/>
      <c r="BRW1" s="2" t="n"/>
      <c r="BRX1" s="2" t="n"/>
      <c r="BRY1" s="2" t="n"/>
      <c r="BRZ1" s="2" t="n"/>
      <c r="BSA1" s="2" t="n"/>
      <c r="BSB1" s="2" t="n"/>
      <c r="BSC1" s="2" t="n"/>
      <c r="BSD1" s="2" t="n"/>
      <c r="BSE1" s="2" t="n"/>
      <c r="BSF1" s="2" t="n"/>
      <c r="BSG1" s="2" t="n"/>
      <c r="BSH1" s="2" t="n"/>
      <c r="BSI1" s="2" t="n"/>
      <c r="BSJ1" s="2" t="n"/>
      <c r="BSK1" s="2" t="n"/>
      <c r="BSL1" s="2" t="n"/>
      <c r="BSM1" s="2" t="n"/>
      <c r="BSN1" s="2" t="n"/>
      <c r="BSO1" s="2" t="n"/>
      <c r="BSP1" s="2" t="n"/>
      <c r="BSQ1" s="2" t="n"/>
      <c r="BSR1" s="2" t="n"/>
      <c r="BSS1" s="2" t="n"/>
      <c r="BST1" s="2" t="n"/>
      <c r="BSU1" s="2" t="n"/>
      <c r="BSV1" s="2" t="n"/>
      <c r="BSW1" s="2" t="n"/>
      <c r="BSX1" s="2" t="n"/>
      <c r="BSY1" s="2" t="n"/>
      <c r="BSZ1" s="2" t="n"/>
      <c r="BTA1" s="2" t="n"/>
      <c r="BTB1" s="2" t="n"/>
      <c r="BTC1" s="2" t="n"/>
      <c r="BTD1" s="2" t="n"/>
      <c r="BTE1" s="2" t="n"/>
      <c r="BTF1" s="2" t="n"/>
      <c r="BTG1" s="2" t="n"/>
      <c r="BTH1" s="2" t="n"/>
      <c r="BTI1" s="2" t="n"/>
      <c r="BTJ1" s="2" t="n"/>
      <c r="BTK1" s="2" t="n"/>
      <c r="BTL1" s="2" t="n"/>
      <c r="BTM1" s="2" t="n"/>
      <c r="BTN1" s="2" t="n"/>
      <c r="BTO1" s="2" t="n"/>
      <c r="BTP1" s="2" t="n"/>
      <c r="BTQ1" s="2" t="n"/>
      <c r="BTR1" s="2" t="n"/>
      <c r="BTS1" s="2" t="n"/>
      <c r="BTT1" s="2" t="n"/>
      <c r="BTU1" s="2" t="n"/>
      <c r="BTV1" s="2" t="n"/>
      <c r="BTW1" s="2" t="n"/>
      <c r="BTX1" s="2" t="n"/>
      <c r="BTY1" s="2" t="n"/>
      <c r="BTZ1" s="2" t="n"/>
      <c r="BUA1" s="2" t="n"/>
      <c r="BUB1" s="2" t="n"/>
      <c r="BUC1" s="2" t="n"/>
      <c r="BUD1" s="2" t="n"/>
      <c r="BUE1" s="2" t="n"/>
      <c r="BUF1" s="2" t="n"/>
      <c r="BUG1" s="2" t="n"/>
      <c r="BUH1" s="2" t="n"/>
      <c r="BUI1" s="2" t="n"/>
      <c r="BUJ1" s="2" t="n"/>
      <c r="BUK1" s="2" t="n"/>
      <c r="BUL1" s="2" t="n"/>
      <c r="BUM1" s="2" t="n"/>
      <c r="BUN1" s="2" t="n"/>
      <c r="BUO1" s="2" t="n"/>
      <c r="BUP1" s="2" t="n"/>
      <c r="BUQ1" s="2" t="n"/>
      <c r="BUR1" s="2" t="n"/>
      <c r="BUS1" s="2" t="n"/>
      <c r="BUT1" s="2" t="n"/>
      <c r="BUU1" s="2" t="n"/>
      <c r="BUV1" s="2" t="n"/>
      <c r="BUW1" s="2" t="n"/>
      <c r="BUX1" s="2" t="n"/>
      <c r="BUY1" s="2" t="n"/>
      <c r="BUZ1" s="2" t="n"/>
      <c r="BVA1" s="2" t="n"/>
      <c r="BVB1" s="2" t="n"/>
      <c r="BVC1" s="2" t="n"/>
      <c r="BVD1" s="2" t="n"/>
      <c r="BVE1" s="2" t="n"/>
      <c r="BVF1" s="2" t="n"/>
      <c r="BVG1" s="2" t="n"/>
      <c r="BVH1" s="2" t="n"/>
      <c r="BVI1" s="2" t="n"/>
      <c r="BVJ1" s="2" t="n"/>
      <c r="BVK1" s="2" t="n"/>
      <c r="BVL1" s="2" t="n"/>
      <c r="BVM1" s="2" t="n"/>
      <c r="BVN1" s="2" t="n"/>
      <c r="BVO1" s="2" t="n"/>
      <c r="BVP1" s="2" t="n"/>
      <c r="BVQ1" s="2" t="n"/>
      <c r="BVR1" s="2" t="n"/>
      <c r="BVS1" s="2" t="n"/>
      <c r="BVT1" s="2" t="n"/>
      <c r="BVU1" s="2" t="n"/>
      <c r="BVV1" s="2" t="n"/>
      <c r="BVW1" s="2" t="n"/>
      <c r="BVX1" s="2" t="n"/>
      <c r="BVY1" s="2" t="n"/>
      <c r="BVZ1" s="2" t="n"/>
      <c r="BWA1" s="2" t="n"/>
      <c r="BWB1" s="2" t="n"/>
      <c r="BWC1" s="2" t="n"/>
      <c r="BWD1" s="2" t="n"/>
      <c r="BWE1" s="2" t="n"/>
      <c r="BWF1" s="2" t="n"/>
      <c r="BWG1" s="2" t="n"/>
      <c r="BWH1" s="2" t="n"/>
      <c r="BWI1" s="2" t="n"/>
      <c r="BWJ1" s="2" t="n"/>
      <c r="BWK1" s="2" t="n"/>
      <c r="BWL1" s="2" t="n"/>
      <c r="BWM1" s="2" t="n"/>
      <c r="BWN1" s="2" t="n"/>
      <c r="BWO1" s="2" t="n"/>
      <c r="BWP1" s="2" t="n"/>
      <c r="BWQ1" s="2" t="n"/>
      <c r="BWR1" s="2" t="n"/>
      <c r="BWS1" s="2" t="n"/>
      <c r="BWT1" s="2" t="n"/>
      <c r="BWU1" s="2" t="n"/>
      <c r="BWV1" s="2" t="n"/>
      <c r="BWW1" s="2" t="n"/>
      <c r="BWX1" s="2" t="n"/>
      <c r="BWY1" s="2" t="n"/>
      <c r="BWZ1" s="2" t="n"/>
      <c r="BXA1" s="2" t="n"/>
      <c r="BXB1" s="2" t="n"/>
      <c r="BXC1" s="2" t="n"/>
      <c r="BXD1" s="2" t="n"/>
      <c r="BXE1" s="2" t="n"/>
      <c r="BXF1" s="2" t="n"/>
      <c r="BXG1" s="2" t="n"/>
      <c r="BXH1" s="2" t="n"/>
      <c r="BXI1" s="2" t="n"/>
      <c r="BXJ1" s="2" t="n"/>
      <c r="BXK1" s="2" t="n"/>
      <c r="BXL1" s="2" t="n"/>
      <c r="BXM1" s="2" t="n"/>
      <c r="BXN1" s="2" t="n"/>
      <c r="BXO1" s="2" t="n"/>
      <c r="BXP1" s="2" t="n"/>
      <c r="BXQ1" s="2" t="n"/>
      <c r="BXR1" s="2" t="n"/>
      <c r="BXS1" s="2" t="n"/>
      <c r="BXT1" s="2" t="n"/>
      <c r="BXU1" s="2" t="n"/>
      <c r="BXV1" s="2" t="n"/>
      <c r="BXW1" s="2" t="n"/>
      <c r="BXX1" s="2" t="n"/>
      <c r="BXY1" s="2" t="n"/>
      <c r="BXZ1" s="2" t="n"/>
      <c r="BYA1" s="2" t="n"/>
      <c r="BYB1" s="2" t="n"/>
      <c r="BYC1" s="2" t="n"/>
      <c r="BYD1" s="2" t="n"/>
      <c r="BYE1" s="2" t="n"/>
      <c r="BYF1" s="2" t="n"/>
      <c r="BYG1" s="2" t="n"/>
      <c r="BYH1" s="2" t="n"/>
      <c r="BYI1" s="2" t="n"/>
      <c r="BYJ1" s="2" t="n"/>
      <c r="BYK1" s="2" t="n"/>
      <c r="BYL1" s="2" t="n"/>
      <c r="BYM1" s="2" t="n"/>
      <c r="BYN1" s="2" t="n"/>
      <c r="BYO1" s="2" t="n"/>
      <c r="BYP1" s="2" t="n"/>
      <c r="BYQ1" s="2" t="n"/>
      <c r="BYR1" s="2" t="n"/>
      <c r="BYS1" s="2" t="n"/>
      <c r="BYT1" s="2" t="n"/>
      <c r="BYU1" s="2" t="n"/>
      <c r="BYV1" s="2" t="n"/>
      <c r="BYW1" s="2" t="n"/>
      <c r="BYX1" s="2" t="n"/>
      <c r="BYY1" s="2" t="n"/>
      <c r="BYZ1" s="2" t="n"/>
      <c r="BZA1" s="2" t="n"/>
      <c r="BZB1" s="2" t="n"/>
      <c r="BZC1" s="2" t="n"/>
      <c r="BZD1" s="2" t="n"/>
      <c r="BZE1" s="2" t="n"/>
      <c r="BZF1" s="2" t="n"/>
      <c r="BZG1" s="2" t="n"/>
      <c r="BZH1" s="2" t="n"/>
      <c r="BZI1" s="2" t="n"/>
      <c r="BZJ1" s="2" t="n"/>
      <c r="BZK1" s="2" t="n"/>
      <c r="BZL1" s="2" t="n"/>
      <c r="BZM1" s="2" t="n"/>
      <c r="BZN1" s="2" t="n"/>
      <c r="BZO1" s="2" t="n"/>
      <c r="BZP1" s="2" t="n"/>
      <c r="BZQ1" s="2" t="n"/>
      <c r="BZR1" s="2" t="n"/>
      <c r="BZS1" s="2" t="n"/>
      <c r="BZT1" s="2" t="n"/>
      <c r="BZU1" s="2" t="n"/>
      <c r="BZV1" s="2" t="n"/>
      <c r="BZW1" s="2" t="n"/>
      <c r="BZX1" s="2" t="n"/>
      <c r="BZY1" s="2" t="n"/>
      <c r="BZZ1" s="2" t="n"/>
      <c r="CAA1" s="2" t="n"/>
      <c r="CAB1" s="2" t="n"/>
      <c r="CAC1" s="2" t="n"/>
      <c r="CAD1" s="2" t="n"/>
      <c r="CAE1" s="2" t="n"/>
      <c r="CAF1" s="2" t="n"/>
      <c r="CAG1" s="2" t="n"/>
      <c r="CAH1" s="2" t="n"/>
      <c r="CAI1" s="2" t="n"/>
      <c r="CAJ1" s="2" t="n"/>
      <c r="CAK1" s="2" t="n"/>
      <c r="CAL1" s="2" t="n"/>
      <c r="CAM1" s="2" t="n"/>
      <c r="CAN1" s="2" t="n"/>
      <c r="CAO1" s="2" t="n"/>
      <c r="CAP1" s="2" t="n"/>
      <c r="CAQ1" s="2" t="n"/>
      <c r="CAR1" s="2" t="n"/>
      <c r="CAS1" s="2" t="n"/>
      <c r="CAT1" s="2" t="n"/>
      <c r="CAU1" s="2" t="n"/>
      <c r="CAV1" s="2" t="n"/>
      <c r="CAW1" s="2" t="n"/>
      <c r="CAX1" s="2" t="n"/>
      <c r="CAY1" s="2" t="n"/>
      <c r="CAZ1" s="2" t="n"/>
      <c r="CBA1" s="2" t="n"/>
      <c r="CBB1" s="2" t="n"/>
      <c r="CBC1" s="2" t="n"/>
      <c r="CBD1" s="2" t="n"/>
      <c r="CBE1" s="2" t="n"/>
      <c r="CBF1" s="2" t="n"/>
      <c r="CBG1" s="2" t="n"/>
      <c r="CBH1" s="2" t="n"/>
      <c r="CBI1" s="2" t="n"/>
      <c r="CBJ1" s="2" t="n"/>
      <c r="CBK1" s="2" t="n"/>
      <c r="CBL1" s="2" t="n"/>
      <c r="CBM1" s="2" t="n"/>
      <c r="CBN1" s="2" t="n"/>
      <c r="CBO1" s="2" t="n"/>
      <c r="CBP1" s="2" t="n"/>
      <c r="CBQ1" s="2" t="n"/>
      <c r="CBR1" s="2" t="n"/>
      <c r="CBS1" s="2" t="n"/>
      <c r="CBT1" s="2" t="n"/>
      <c r="CBU1" s="2" t="n"/>
      <c r="CBV1" s="2" t="n"/>
      <c r="CBW1" s="2" t="n"/>
      <c r="CBX1" s="2" t="n"/>
      <c r="CBY1" s="2" t="n"/>
      <c r="CBZ1" s="2" t="n"/>
      <c r="CCA1" s="2" t="n"/>
      <c r="CCB1" s="2" t="n"/>
      <c r="CCC1" s="2" t="n"/>
      <c r="CCD1" s="2" t="n"/>
      <c r="CCE1" s="2" t="n"/>
      <c r="CCF1" s="2" t="n"/>
      <c r="CCG1" s="2" t="n"/>
      <c r="CCH1" s="2" t="n"/>
      <c r="CCI1" s="2" t="n"/>
      <c r="CCJ1" s="2" t="n"/>
      <c r="CCK1" s="2" t="n"/>
      <c r="CCL1" s="2" t="n"/>
      <c r="CCM1" s="2" t="n"/>
      <c r="CCN1" s="2" t="n"/>
      <c r="CCO1" s="2" t="n"/>
      <c r="CCP1" s="2" t="n"/>
      <c r="CCQ1" s="2" t="n"/>
      <c r="CCR1" s="2" t="n"/>
      <c r="CCS1" s="2" t="n"/>
      <c r="CCT1" s="2" t="n"/>
      <c r="CCU1" s="2" t="n"/>
      <c r="CCV1" s="2" t="n"/>
      <c r="CCW1" s="2" t="n"/>
      <c r="CCX1" s="2" t="n"/>
      <c r="CCY1" s="2" t="n"/>
      <c r="CCZ1" s="2" t="n"/>
      <c r="CDA1" s="2" t="n"/>
      <c r="CDB1" s="2" t="n"/>
      <c r="CDC1" s="2" t="n"/>
      <c r="CDD1" s="2" t="n"/>
      <c r="CDE1" s="2" t="n"/>
      <c r="CDF1" s="2" t="n"/>
      <c r="CDG1" s="2" t="n"/>
      <c r="CDH1" s="2" t="n"/>
      <c r="CDI1" s="2" t="n"/>
      <c r="CDJ1" s="2" t="n"/>
      <c r="CDK1" s="2" t="n"/>
      <c r="CDL1" s="2" t="n"/>
      <c r="CDM1" s="2" t="n"/>
      <c r="CDN1" s="2" t="n"/>
      <c r="CDO1" s="2" t="n"/>
      <c r="CDP1" s="2" t="n"/>
      <c r="CDQ1" s="2" t="n"/>
      <c r="CDR1" s="2" t="n"/>
      <c r="CDS1" s="2" t="n"/>
      <c r="CDT1" s="2" t="n"/>
      <c r="CDU1" s="2" t="n"/>
      <c r="CDV1" s="2" t="n"/>
      <c r="CDW1" s="2" t="n"/>
      <c r="CDX1" s="2" t="n"/>
      <c r="CDY1" s="2" t="n"/>
      <c r="CDZ1" s="2" t="n"/>
      <c r="CEA1" s="2" t="n"/>
      <c r="CEB1" s="2" t="n"/>
      <c r="CEC1" s="2" t="n"/>
      <c r="CED1" s="2" t="n"/>
      <c r="CEE1" s="2" t="n"/>
      <c r="CEF1" s="2" t="n"/>
      <c r="CEG1" s="2" t="n"/>
      <c r="CEH1" s="2" t="n"/>
      <c r="CEI1" s="2" t="n"/>
      <c r="CEJ1" s="2" t="n"/>
      <c r="CEK1" s="2" t="n"/>
      <c r="CEL1" s="2" t="n"/>
      <c r="CEM1" s="2" t="n"/>
      <c r="CEN1" s="2" t="n"/>
      <c r="CEO1" s="2" t="n"/>
      <c r="CEP1" s="2" t="n"/>
      <c r="CEQ1" s="2" t="n"/>
      <c r="CER1" s="2" t="n"/>
      <c r="CES1" s="2" t="n"/>
      <c r="CET1" s="2" t="n"/>
      <c r="CEU1" s="2" t="n"/>
      <c r="CEV1" s="2" t="n"/>
      <c r="CEW1" s="2" t="n"/>
      <c r="CEX1" s="2" t="n"/>
      <c r="CEY1" s="2" t="n"/>
      <c r="CEZ1" s="2" t="n"/>
      <c r="CFA1" s="2" t="n"/>
      <c r="CFB1" s="2" t="n"/>
      <c r="CFC1" s="2" t="n"/>
      <c r="CFD1" s="2" t="n"/>
      <c r="CFE1" s="2" t="n"/>
      <c r="CFF1" s="2" t="n"/>
      <c r="CFG1" s="2" t="n"/>
      <c r="CFH1" s="2" t="n"/>
      <c r="CFI1" s="2" t="n"/>
      <c r="CFJ1" s="2" t="n"/>
      <c r="CFK1" s="2" t="n"/>
      <c r="CFL1" s="2" t="n"/>
      <c r="CFM1" s="2" t="n"/>
      <c r="CFN1" s="2" t="n"/>
      <c r="CFO1" s="2" t="n"/>
      <c r="CFP1" s="2" t="n"/>
      <c r="CFQ1" s="2" t="n"/>
      <c r="CFR1" s="2" t="n"/>
      <c r="CFS1" s="2" t="n"/>
      <c r="CFT1" s="2" t="n"/>
      <c r="CFU1" s="2" t="n"/>
      <c r="CFV1" s="2" t="n"/>
      <c r="CFW1" s="2" t="n"/>
      <c r="CFX1" s="2" t="n"/>
      <c r="CFY1" s="2" t="n"/>
      <c r="CFZ1" s="2" t="n"/>
      <c r="CGA1" s="2" t="n"/>
      <c r="CGB1" s="2" t="n"/>
      <c r="CGC1" s="2" t="n"/>
      <c r="CGD1" s="2" t="n"/>
      <c r="CGE1" s="2" t="n"/>
      <c r="CGF1" s="2" t="n"/>
      <c r="CGG1" s="2" t="n"/>
      <c r="CGH1" s="2" t="n"/>
      <c r="CGI1" s="2" t="n"/>
      <c r="CGJ1" s="2" t="n"/>
      <c r="CGK1" s="2" t="n"/>
      <c r="CGL1" s="2" t="n"/>
      <c r="CGM1" s="2" t="n"/>
      <c r="CGN1" s="2" t="n"/>
      <c r="CGO1" s="2" t="n"/>
      <c r="CGP1" s="2" t="n"/>
      <c r="CGQ1" s="2" t="n"/>
      <c r="CGR1" s="2" t="n"/>
      <c r="CGS1" s="2" t="n"/>
      <c r="CGT1" s="2" t="n"/>
      <c r="CGU1" s="2" t="n"/>
      <c r="CGV1" s="2" t="n"/>
      <c r="CGW1" s="2" t="n"/>
      <c r="CGX1" s="2" t="n"/>
      <c r="CGY1" s="2" t="n"/>
      <c r="CGZ1" s="2" t="n"/>
      <c r="CHA1" s="2" t="n"/>
      <c r="CHB1" s="2" t="n"/>
      <c r="CHC1" s="2" t="n"/>
      <c r="CHD1" s="2" t="n"/>
      <c r="CHE1" s="2" t="n"/>
      <c r="CHF1" s="2" t="n"/>
      <c r="CHG1" s="2" t="n"/>
      <c r="CHH1" s="2" t="n"/>
      <c r="CHI1" s="2" t="n"/>
      <c r="CHJ1" s="2" t="n"/>
      <c r="CHK1" s="2" t="n"/>
      <c r="CHL1" s="2" t="n"/>
      <c r="CHM1" s="2" t="n"/>
      <c r="CHN1" s="2" t="n"/>
      <c r="CHO1" s="2" t="n"/>
      <c r="CHP1" s="2" t="n"/>
      <c r="CHQ1" s="2" t="n"/>
      <c r="CHR1" s="2" t="n"/>
      <c r="CHS1" s="2" t="n"/>
      <c r="CHT1" s="2" t="n"/>
      <c r="CHU1" s="2" t="n"/>
      <c r="CHV1" s="2" t="n"/>
      <c r="CHW1" s="2" t="n"/>
      <c r="CHX1" s="2" t="n"/>
      <c r="CHY1" s="2" t="n"/>
      <c r="CHZ1" s="2" t="n"/>
      <c r="CIA1" s="2" t="n"/>
      <c r="CIB1" s="2" t="n"/>
      <c r="CIC1" s="2" t="n"/>
      <c r="CID1" s="2" t="n"/>
      <c r="CIE1" s="2" t="n"/>
      <c r="CIF1" s="2" t="n"/>
      <c r="CIG1" s="2" t="n"/>
      <c r="CIH1" s="2" t="n"/>
      <c r="CII1" s="2" t="n"/>
      <c r="CIJ1" s="2" t="n"/>
      <c r="CIK1" s="2" t="n"/>
      <c r="CIL1" s="2" t="n"/>
      <c r="CIM1" s="2" t="n"/>
      <c r="CIN1" s="2" t="n"/>
      <c r="CIO1" s="2" t="n"/>
      <c r="CIP1" s="2" t="n"/>
      <c r="CIQ1" s="2" t="n"/>
      <c r="CIR1" s="2" t="n"/>
      <c r="CIS1" s="2" t="n"/>
      <c r="CIT1" s="2" t="n"/>
      <c r="CIU1" s="2" t="n"/>
      <c r="CIV1" s="2" t="n"/>
      <c r="CIW1" s="2" t="n"/>
      <c r="CIX1" s="2" t="n"/>
      <c r="CIY1" s="2" t="n"/>
      <c r="CIZ1" s="2" t="n"/>
      <c r="CJA1" s="2" t="n"/>
      <c r="CJB1" s="2" t="n"/>
      <c r="CJC1" s="2" t="n"/>
      <c r="CJD1" s="2" t="n"/>
      <c r="CJE1" s="2" t="n"/>
      <c r="CJF1" s="2" t="n"/>
      <c r="CJG1" s="2" t="n"/>
      <c r="CJH1" s="2" t="n"/>
      <c r="CJI1" s="2" t="n"/>
      <c r="CJJ1" s="2" t="n"/>
      <c r="CJK1" s="2" t="n"/>
      <c r="CJL1" s="2" t="n"/>
      <c r="CJM1" s="2" t="n"/>
      <c r="CJN1" s="2" t="n"/>
      <c r="CJO1" s="2" t="n"/>
      <c r="CJP1" s="2" t="n"/>
      <c r="CJQ1" s="2" t="n"/>
      <c r="CJR1" s="2" t="n"/>
      <c r="CJS1" s="2" t="n"/>
      <c r="CJT1" s="2" t="n"/>
      <c r="CJU1" s="2" t="n"/>
      <c r="CJV1" s="2" t="n"/>
      <c r="CJW1" s="2" t="n"/>
      <c r="CJX1" s="2" t="n"/>
      <c r="CJY1" s="2" t="n"/>
      <c r="CJZ1" s="2" t="n"/>
      <c r="CKA1" s="2" t="n"/>
      <c r="CKB1" s="2" t="n"/>
      <c r="CKC1" s="2" t="n"/>
      <c r="CKD1" s="2" t="n"/>
      <c r="CKE1" s="2" t="n"/>
      <c r="CKF1" s="2" t="n"/>
      <c r="CKG1" s="2" t="n"/>
      <c r="CKH1" s="2" t="n"/>
      <c r="CKI1" s="2" t="n"/>
      <c r="CKJ1" s="2" t="n"/>
      <c r="CKK1" s="2" t="n"/>
      <c r="CKL1" s="2" t="n"/>
      <c r="CKM1" s="2" t="n"/>
      <c r="CKN1" s="2" t="n"/>
      <c r="CKO1" s="2" t="n"/>
      <c r="CKP1" s="2" t="n"/>
      <c r="CKQ1" s="2" t="n"/>
      <c r="CKR1" s="2" t="n"/>
      <c r="CKS1" s="2" t="n"/>
      <c r="CKT1" s="2" t="n"/>
      <c r="CKU1" s="2" t="n"/>
      <c r="CKV1" s="2" t="n"/>
      <c r="CKW1" s="2" t="n"/>
      <c r="CKX1" s="2" t="n"/>
      <c r="CKY1" s="2" t="n"/>
      <c r="CKZ1" s="2" t="n"/>
      <c r="CLA1" s="2" t="n"/>
      <c r="CLB1" s="2" t="n"/>
      <c r="CLC1" s="2" t="n"/>
      <c r="CLD1" s="2" t="n"/>
      <c r="CLE1" s="2" t="n"/>
      <c r="CLF1" s="2" t="n"/>
      <c r="CLG1" s="2" t="n"/>
      <c r="CLH1" s="2" t="n"/>
      <c r="CLI1" s="2" t="n"/>
      <c r="CLJ1" s="2" t="n"/>
      <c r="CLK1" s="2" t="n"/>
      <c r="CLL1" s="2" t="n"/>
      <c r="CLM1" s="2" t="n"/>
      <c r="CLN1" s="2" t="n"/>
      <c r="CLO1" s="2" t="n"/>
      <c r="CLP1" s="2" t="n"/>
      <c r="CLQ1" s="2" t="n"/>
      <c r="CLR1" s="2" t="n"/>
      <c r="CLS1" s="2" t="n"/>
      <c r="CLT1" s="2" t="n"/>
      <c r="CLU1" s="2" t="n"/>
      <c r="CLV1" s="2" t="n"/>
      <c r="CLW1" s="2" t="n"/>
      <c r="CLX1" s="2" t="n"/>
      <c r="CLY1" s="2" t="n"/>
      <c r="CLZ1" s="2" t="n"/>
      <c r="CMA1" s="2" t="n"/>
      <c r="CMB1" s="2" t="n"/>
      <c r="CMC1" s="2" t="n"/>
      <c r="CMD1" s="2" t="n"/>
      <c r="CME1" s="2" t="n"/>
      <c r="CMF1" s="2" t="n"/>
      <c r="CMG1" s="2" t="n"/>
      <c r="CMH1" s="2" t="n"/>
      <c r="CMI1" s="2" t="n"/>
      <c r="CMJ1" s="2" t="n"/>
      <c r="CMK1" s="2" t="n"/>
      <c r="CML1" s="2" t="n"/>
      <c r="CMM1" s="2" t="n"/>
      <c r="CMN1" s="2" t="n"/>
      <c r="CMO1" s="2" t="n"/>
      <c r="CMP1" s="2" t="n"/>
      <c r="CMQ1" s="2" t="n"/>
      <c r="CMR1" s="2" t="n"/>
      <c r="CMS1" s="2" t="n"/>
      <c r="CMT1" s="2" t="n"/>
      <c r="CMU1" s="2" t="n"/>
      <c r="CMV1" s="2" t="n"/>
      <c r="CMW1" s="2" t="n"/>
      <c r="CMX1" s="2" t="n"/>
      <c r="CMY1" s="2" t="n"/>
      <c r="CMZ1" s="2" t="n"/>
      <c r="CNA1" s="2" t="n"/>
      <c r="CNB1" s="2" t="n"/>
      <c r="CNC1" s="2" t="n"/>
      <c r="CND1" s="2" t="n"/>
      <c r="CNE1" s="2" t="n"/>
      <c r="CNF1" s="2" t="n"/>
      <c r="CNG1" s="2" t="n"/>
      <c r="CNH1" s="2" t="n"/>
      <c r="CNI1" s="2" t="n"/>
      <c r="CNJ1" s="2" t="n"/>
      <c r="CNK1" s="2" t="n"/>
      <c r="CNL1" s="2" t="n"/>
      <c r="CNM1" s="2" t="n"/>
      <c r="CNN1" s="2" t="n"/>
      <c r="CNO1" s="2" t="n"/>
      <c r="CNP1" s="2" t="n"/>
      <c r="CNQ1" s="2" t="n"/>
      <c r="CNR1" s="2" t="n"/>
      <c r="CNS1" s="2" t="n"/>
      <c r="CNT1" s="2" t="n"/>
      <c r="CNU1" s="2" t="n"/>
      <c r="CNV1" s="2" t="n"/>
      <c r="CNW1" s="2" t="n"/>
      <c r="CNX1" s="2" t="n"/>
      <c r="CNY1" s="2" t="n"/>
      <c r="CNZ1" s="2" t="n"/>
      <c r="COA1" s="2" t="n"/>
      <c r="COB1" s="2" t="n"/>
      <c r="COC1" s="2" t="n"/>
      <c r="COD1" s="2" t="n"/>
      <c r="COE1" s="2" t="n"/>
      <c r="COF1" s="2" t="n"/>
      <c r="COG1" s="2" t="n"/>
      <c r="COH1" s="2" t="n"/>
      <c r="COI1" s="2" t="n"/>
      <c r="COJ1" s="2" t="n"/>
      <c r="COK1" s="2" t="n"/>
      <c r="COL1" s="2" t="n"/>
      <c r="COM1" s="2" t="n"/>
      <c r="CON1" s="2" t="n"/>
      <c r="COO1" s="2" t="n"/>
      <c r="COP1" s="2" t="n"/>
      <c r="COQ1" s="2" t="n"/>
      <c r="COR1" s="2" t="n"/>
      <c r="COS1" s="2" t="n"/>
      <c r="COT1" s="2" t="n"/>
      <c r="COU1" s="2" t="n"/>
      <c r="COV1" s="2" t="n"/>
      <c r="COW1" s="2" t="n"/>
      <c r="COX1" s="2" t="n"/>
      <c r="COY1" s="2" t="n"/>
      <c r="COZ1" s="2" t="n"/>
      <c r="CPA1" s="2" t="n"/>
      <c r="CPB1" s="2" t="n"/>
      <c r="CPC1" s="2" t="n"/>
      <c r="CPD1" s="2" t="n"/>
      <c r="CPE1" s="2" t="n"/>
      <c r="CPF1" s="2" t="n"/>
      <c r="CPG1" s="2" t="n"/>
      <c r="CPH1" s="2" t="n"/>
      <c r="CPI1" s="2" t="n"/>
      <c r="CPJ1" s="2" t="n"/>
      <c r="CPK1" s="2" t="n"/>
      <c r="CPL1" s="2" t="n"/>
      <c r="CPM1" s="2" t="n"/>
      <c r="CPN1" s="2" t="n"/>
      <c r="CPO1" s="2" t="n"/>
      <c r="CPP1" s="2" t="n"/>
      <c r="CPQ1" s="2" t="n"/>
      <c r="CPR1" s="2" t="n"/>
      <c r="CPS1" s="2" t="n"/>
      <c r="CPT1" s="2" t="n"/>
      <c r="CPU1" s="2" t="n"/>
      <c r="CPV1" s="2" t="n"/>
      <c r="CPW1" s="2" t="n"/>
      <c r="CPX1" s="2" t="n"/>
      <c r="CPY1" s="2" t="n"/>
      <c r="CPZ1" s="2" t="n"/>
      <c r="CQA1" s="2" t="n"/>
      <c r="CQB1" s="2" t="n"/>
      <c r="CQC1" s="2" t="n"/>
      <c r="CQD1" s="2" t="n"/>
      <c r="CQE1" s="2" t="n"/>
      <c r="CQF1" s="2" t="n"/>
      <c r="CQG1" s="2" t="n"/>
      <c r="CQH1" s="2" t="n"/>
      <c r="CQI1" s="2" t="n"/>
      <c r="CQJ1" s="2" t="n"/>
      <c r="CQK1" s="2" t="n"/>
      <c r="CQL1" s="2" t="n"/>
      <c r="CQM1" s="2" t="n"/>
      <c r="CQN1" s="2" t="n"/>
      <c r="CQO1" s="2" t="n"/>
      <c r="CQP1" s="2" t="n"/>
      <c r="CQQ1" s="2" t="n"/>
      <c r="CQR1" s="2" t="n"/>
      <c r="CQS1" s="2" t="n"/>
      <c r="CQT1" s="2" t="n"/>
      <c r="CQU1" s="2" t="n"/>
      <c r="CQV1" s="2" t="n"/>
      <c r="CQW1" s="2" t="n"/>
      <c r="CQX1" s="2" t="n"/>
      <c r="CQY1" s="2" t="n"/>
      <c r="CQZ1" s="2" t="n"/>
      <c r="CRA1" s="2" t="n"/>
      <c r="CRB1" s="2" t="n"/>
      <c r="CRC1" s="2" t="n"/>
      <c r="CRD1" s="2" t="n"/>
      <c r="CRE1" s="2" t="n"/>
      <c r="CRF1" s="2" t="n"/>
      <c r="CRG1" s="2" t="n"/>
      <c r="CRH1" s="2" t="n"/>
      <c r="CRI1" s="2" t="n"/>
      <c r="CRJ1" s="2" t="n"/>
      <c r="CRK1" s="2" t="n"/>
      <c r="CRL1" s="2" t="n"/>
      <c r="CRM1" s="2" t="n"/>
      <c r="CRN1" s="2" t="n"/>
      <c r="CRO1" s="2" t="n"/>
      <c r="CRP1" s="2" t="n"/>
      <c r="CRQ1" s="2" t="n"/>
      <c r="CRR1" s="2" t="n"/>
      <c r="CRS1" s="2" t="n"/>
      <c r="CRT1" s="2" t="n"/>
      <c r="CRU1" s="2" t="n"/>
      <c r="CRV1" s="2" t="n"/>
      <c r="CRW1" s="2" t="n"/>
      <c r="CRX1" s="2" t="n"/>
      <c r="CRY1" s="2" t="n"/>
      <c r="CRZ1" s="2" t="n"/>
      <c r="CSA1" s="2" t="n"/>
      <c r="CSB1" s="2" t="n"/>
      <c r="CSC1" s="2" t="n"/>
      <c r="CSD1" s="2" t="n"/>
      <c r="CSE1" s="2" t="n"/>
      <c r="CSF1" s="2" t="n"/>
      <c r="CSG1" s="2" t="n"/>
      <c r="CSH1" s="2" t="n"/>
      <c r="CSI1" s="2" t="n"/>
      <c r="CSJ1" s="2" t="n"/>
      <c r="CSK1" s="2" t="n"/>
      <c r="CSL1" s="2" t="n"/>
      <c r="CSM1" s="2" t="n"/>
      <c r="CSN1" s="2" t="n"/>
      <c r="CSO1" s="2" t="n"/>
      <c r="CSP1" s="2" t="n"/>
      <c r="CSQ1" s="2" t="n"/>
      <c r="CSR1" s="2" t="n"/>
      <c r="CSS1" s="2" t="n"/>
      <c r="CST1" s="2" t="n"/>
      <c r="CSU1" s="2" t="n"/>
      <c r="CSV1" s="2" t="n"/>
      <c r="CSW1" s="2" t="n"/>
      <c r="CSX1" s="2" t="n"/>
      <c r="CSY1" s="2" t="n"/>
      <c r="CSZ1" s="2" t="n"/>
      <c r="CTA1" s="2" t="n"/>
      <c r="CTB1" s="2" t="n"/>
      <c r="CTC1" s="2" t="n"/>
      <c r="CTD1" s="2" t="n"/>
      <c r="CTE1" s="2" t="n"/>
      <c r="CTF1" s="2" t="n"/>
      <c r="CTG1" s="2" t="n"/>
      <c r="CTH1" s="2" t="n"/>
      <c r="CTI1" s="2" t="n"/>
      <c r="CTJ1" s="2" t="n"/>
      <c r="CTK1" s="2" t="n"/>
      <c r="CTL1" s="2" t="n"/>
      <c r="CTM1" s="2" t="n"/>
      <c r="CTN1" s="2" t="n"/>
      <c r="CTO1" s="2" t="n"/>
      <c r="CTP1" s="2" t="n"/>
      <c r="CTQ1" s="2" t="n"/>
      <c r="CTR1" s="2" t="n"/>
      <c r="CTS1" s="2" t="n"/>
      <c r="CTT1" s="2" t="n"/>
      <c r="CTU1" s="2" t="n"/>
      <c r="CTV1" s="2" t="n"/>
      <c r="CTW1" s="2" t="n"/>
      <c r="CTX1" s="2" t="n"/>
      <c r="CTY1" s="2" t="n"/>
      <c r="CTZ1" s="2" t="n"/>
      <c r="CUA1" s="2" t="n"/>
      <c r="CUB1" s="2" t="n"/>
      <c r="CUC1" s="2" t="n"/>
      <c r="CUD1" s="2" t="n"/>
      <c r="CUE1" s="2" t="n"/>
      <c r="CUF1" s="2" t="n"/>
      <c r="CUG1" s="2" t="n"/>
      <c r="CUH1" s="2" t="n"/>
      <c r="CUI1" s="2" t="n"/>
      <c r="CUJ1" s="2" t="n"/>
      <c r="CUK1" s="2" t="n"/>
      <c r="CUL1" s="2" t="n"/>
      <c r="CUM1" s="2" t="n"/>
      <c r="CUN1" s="2" t="n"/>
      <c r="CUO1" s="2" t="n"/>
      <c r="CUP1" s="2" t="n"/>
      <c r="CUQ1" s="2" t="n"/>
      <c r="CUR1" s="2" t="n"/>
      <c r="CUS1" s="2" t="n"/>
      <c r="CUT1" s="2" t="n"/>
      <c r="CUU1" s="2" t="n"/>
      <c r="CUV1" s="2" t="n"/>
      <c r="CUW1" s="2" t="n"/>
      <c r="CUX1" s="2" t="n"/>
      <c r="CUY1" s="2" t="n"/>
      <c r="CUZ1" s="2" t="n"/>
      <c r="CVA1" s="2" t="n"/>
      <c r="CVB1" s="2" t="n"/>
      <c r="CVC1" s="2" t="n"/>
      <c r="CVD1" s="2" t="n"/>
      <c r="CVE1" s="2" t="n"/>
      <c r="CVF1" s="2" t="n"/>
      <c r="CVG1" s="2" t="n"/>
      <c r="CVH1" s="2" t="n"/>
      <c r="CVI1" s="2" t="n"/>
      <c r="CVJ1" s="2" t="n"/>
      <c r="CVK1" s="2" t="n"/>
      <c r="CVL1" s="2" t="n"/>
      <c r="CVM1" s="2" t="n"/>
      <c r="CVN1" s="2" t="n"/>
      <c r="CVO1" s="2" t="n"/>
      <c r="CVP1" s="2" t="n"/>
      <c r="CVQ1" s="2" t="n"/>
      <c r="CVR1" s="2" t="n"/>
      <c r="CVS1" s="2" t="n"/>
      <c r="CVT1" s="2" t="n"/>
      <c r="CVU1" s="2" t="n"/>
      <c r="CVV1" s="2" t="n"/>
      <c r="CVW1" s="2" t="n"/>
      <c r="CVX1" s="2" t="n"/>
      <c r="CVY1" s="2" t="n"/>
      <c r="CVZ1" s="2" t="n"/>
      <c r="CWA1" s="2" t="n"/>
      <c r="CWB1" s="2" t="n"/>
      <c r="CWC1" s="2" t="n"/>
      <c r="CWD1" s="2" t="n"/>
      <c r="CWE1" s="2" t="n"/>
      <c r="CWF1" s="2" t="n"/>
      <c r="CWG1" s="2" t="n"/>
      <c r="CWH1" s="2" t="n"/>
      <c r="CWI1" s="2" t="n"/>
      <c r="CWJ1" s="2" t="n"/>
      <c r="CWK1" s="2" t="n"/>
      <c r="CWL1" s="2" t="n"/>
      <c r="CWM1" s="2" t="n"/>
      <c r="CWN1" s="2" t="n"/>
      <c r="CWO1" s="2" t="n"/>
      <c r="CWP1" s="2" t="n"/>
      <c r="CWQ1" s="2" t="n"/>
      <c r="CWR1" s="2" t="n"/>
      <c r="CWS1" s="2" t="n"/>
      <c r="CWT1" s="2" t="n"/>
      <c r="CWU1" s="2" t="n"/>
      <c r="CWV1" s="2" t="n"/>
      <c r="CWW1" s="2" t="n"/>
      <c r="CWX1" s="2" t="n"/>
      <c r="CWY1" s="2" t="n"/>
      <c r="CWZ1" s="2" t="n"/>
      <c r="CXA1" s="2" t="n"/>
      <c r="CXB1" s="2" t="n"/>
      <c r="CXC1" s="2" t="n"/>
      <c r="CXD1" s="2" t="n"/>
      <c r="CXE1" s="2" t="n"/>
      <c r="CXF1" s="2" t="n"/>
      <c r="CXG1" s="2" t="n"/>
      <c r="CXH1" s="2" t="n"/>
      <c r="CXI1" s="2" t="n"/>
      <c r="CXJ1" s="2" t="n"/>
      <c r="CXK1" s="2" t="n"/>
      <c r="CXL1" s="2" t="n"/>
      <c r="CXM1" s="2" t="n"/>
      <c r="CXN1" s="2" t="n"/>
      <c r="CXO1" s="2" t="n"/>
      <c r="CXP1" s="2" t="n"/>
      <c r="CXQ1" s="2" t="n"/>
      <c r="CXR1" s="2" t="n"/>
      <c r="CXS1" s="2" t="n"/>
      <c r="CXT1" s="2" t="n"/>
      <c r="CXU1" s="2" t="n"/>
      <c r="CXV1" s="2" t="n"/>
      <c r="CXW1" s="2" t="n"/>
      <c r="CXX1" s="2" t="n"/>
      <c r="CXY1" s="2" t="n"/>
      <c r="CXZ1" s="2" t="n"/>
      <c r="CYA1" s="2" t="n"/>
      <c r="CYB1" s="2" t="n"/>
      <c r="CYC1" s="2" t="n"/>
      <c r="CYD1" s="2" t="n"/>
      <c r="CYE1" s="2" t="n"/>
      <c r="CYF1" s="2" t="n"/>
      <c r="CYG1" s="2" t="n"/>
      <c r="CYH1" s="2" t="n"/>
      <c r="CYI1" s="2" t="n"/>
      <c r="CYJ1" s="2" t="n"/>
      <c r="CYK1" s="2" t="n"/>
      <c r="CYL1" s="2" t="n"/>
      <c r="CYM1" s="2" t="n"/>
      <c r="CYN1" s="2" t="n"/>
      <c r="CYO1" s="2" t="n"/>
      <c r="CYP1" s="2" t="n"/>
      <c r="CYQ1" s="2" t="n"/>
      <c r="CYR1" s="2" t="n"/>
      <c r="CYS1" s="2" t="n"/>
      <c r="CYT1" s="2" t="n"/>
      <c r="CYU1" s="2" t="n"/>
      <c r="CYV1" s="2" t="n"/>
      <c r="CYW1" s="2" t="n"/>
      <c r="CYX1" s="2" t="n"/>
      <c r="CYY1" s="2" t="n"/>
      <c r="CYZ1" s="2" t="n"/>
      <c r="CZA1" s="2" t="n"/>
      <c r="CZB1" s="2" t="n"/>
      <c r="CZC1" s="2" t="n"/>
      <c r="CZD1" s="2" t="n"/>
      <c r="CZE1" s="2" t="n"/>
      <c r="CZF1" s="2" t="n"/>
      <c r="CZG1" s="2" t="n"/>
      <c r="CZH1" s="2" t="n"/>
      <c r="CZI1" s="2" t="n"/>
      <c r="CZJ1" s="2" t="n"/>
      <c r="CZK1" s="2" t="n"/>
      <c r="CZL1" s="2" t="n"/>
      <c r="CZM1" s="2" t="n"/>
      <c r="CZN1" s="2" t="n"/>
      <c r="CZO1" s="2" t="n"/>
      <c r="CZP1" s="2" t="n"/>
      <c r="CZQ1" s="2" t="n"/>
      <c r="CZR1" s="2" t="n"/>
      <c r="CZS1" s="2" t="n"/>
      <c r="CZT1" s="2" t="n"/>
      <c r="CZU1" s="2" t="n"/>
      <c r="CZV1" s="2" t="n"/>
      <c r="CZW1" s="2" t="n"/>
      <c r="CZX1" s="2" t="n"/>
      <c r="CZY1" s="2" t="n"/>
      <c r="CZZ1" s="2" t="n"/>
      <c r="DAA1" s="2" t="n"/>
      <c r="DAB1" s="2" t="n"/>
      <c r="DAC1" s="2" t="n"/>
      <c r="DAD1" s="2" t="n"/>
      <c r="DAE1" s="2" t="n"/>
      <c r="DAF1" s="2" t="n"/>
      <c r="DAG1" s="2" t="n"/>
      <c r="DAH1" s="2" t="n"/>
      <c r="DAI1" s="2" t="n"/>
      <c r="DAJ1" s="2" t="n"/>
      <c r="DAK1" s="2" t="n"/>
      <c r="DAL1" s="2" t="n"/>
      <c r="DAM1" s="2" t="n"/>
      <c r="DAN1" s="2" t="n"/>
      <c r="DAO1" s="2" t="n"/>
      <c r="DAP1" s="2" t="n"/>
      <c r="DAQ1" s="2" t="n"/>
      <c r="DAR1" s="2" t="n"/>
      <c r="DAS1" s="2" t="n"/>
      <c r="DAT1" s="2" t="n"/>
      <c r="DAU1" s="2" t="n"/>
      <c r="DAV1" s="2" t="n"/>
      <c r="DAW1" s="2" t="n"/>
      <c r="DAX1" s="2" t="n"/>
      <c r="DAY1" s="2" t="n"/>
      <c r="DAZ1" s="2" t="n"/>
      <c r="DBA1" s="2" t="n"/>
      <c r="DBB1" s="2" t="n"/>
      <c r="DBC1" s="2" t="n"/>
      <c r="DBD1" s="2" t="n"/>
      <c r="DBE1" s="2" t="n"/>
      <c r="DBF1" s="2" t="n"/>
      <c r="DBG1" s="2" t="n"/>
      <c r="DBH1" s="2" t="n"/>
      <c r="DBI1" s="2" t="n"/>
      <c r="DBJ1" s="2" t="n"/>
      <c r="DBK1" s="2" t="n"/>
      <c r="DBL1" s="2" t="n"/>
      <c r="DBM1" s="2" t="n"/>
      <c r="DBN1" s="2" t="n"/>
      <c r="DBO1" s="2" t="n"/>
      <c r="DBP1" s="2" t="n"/>
      <c r="DBQ1" s="2" t="n"/>
      <c r="DBR1" s="2" t="n"/>
      <c r="DBS1" s="2" t="n"/>
      <c r="DBT1" s="2" t="n"/>
      <c r="DBU1" s="2" t="n"/>
      <c r="DBV1" s="2" t="n"/>
      <c r="DBW1" s="2" t="n"/>
      <c r="DBX1" s="2" t="n"/>
      <c r="DBY1" s="2" t="n"/>
      <c r="DBZ1" s="2" t="n"/>
      <c r="DCA1" s="2" t="n"/>
      <c r="DCB1" s="2" t="n"/>
      <c r="DCC1" s="2" t="n"/>
      <c r="DCD1" s="2" t="n"/>
      <c r="DCE1" s="2" t="n"/>
      <c r="DCF1" s="2" t="n"/>
      <c r="DCG1" s="2" t="n"/>
      <c r="DCH1" s="2" t="n"/>
      <c r="DCI1" s="2" t="n"/>
      <c r="DCJ1" s="2" t="n"/>
      <c r="DCK1" s="2" t="n"/>
      <c r="DCL1" s="2" t="n"/>
      <c r="DCM1" s="2" t="n"/>
      <c r="DCN1" s="2" t="n"/>
      <c r="DCO1" s="2" t="n"/>
      <c r="DCP1" s="2" t="n"/>
      <c r="DCQ1" s="2" t="n"/>
      <c r="DCR1" s="2" t="n"/>
      <c r="DCS1" s="2" t="n"/>
      <c r="DCT1" s="2" t="n"/>
      <c r="DCU1" s="2" t="n"/>
      <c r="DCV1" s="2" t="n"/>
      <c r="DCW1" s="2" t="n"/>
      <c r="DCX1" s="2" t="n"/>
      <c r="DCY1" s="2" t="n"/>
      <c r="DCZ1" s="2" t="n"/>
      <c r="DDA1" s="2" t="n"/>
      <c r="DDB1" s="2" t="n"/>
      <c r="DDC1" s="2" t="n"/>
      <c r="DDD1" s="2" t="n"/>
      <c r="DDE1" s="2" t="n"/>
      <c r="DDF1" s="2" t="n"/>
      <c r="DDG1" s="2" t="n"/>
      <c r="DDH1" s="2" t="n"/>
      <c r="DDI1" s="2" t="n"/>
      <c r="DDJ1" s="2" t="n"/>
      <c r="DDK1" s="2" t="n"/>
      <c r="DDL1" s="2" t="n"/>
      <c r="DDM1" s="2" t="n"/>
      <c r="DDN1" s="2" t="n"/>
      <c r="DDO1" s="2" t="n"/>
      <c r="DDP1" s="2" t="n"/>
      <c r="DDQ1" s="2" t="n"/>
      <c r="DDR1" s="2" t="n"/>
      <c r="DDS1" s="2" t="n"/>
      <c r="DDT1" s="2" t="n"/>
      <c r="DDU1" s="2" t="n"/>
      <c r="DDV1" s="2" t="n"/>
      <c r="DDW1" s="2" t="n"/>
      <c r="DDX1" s="2" t="n"/>
      <c r="DDY1" s="2" t="n"/>
      <c r="DDZ1" s="2" t="n"/>
      <c r="DEA1" s="2" t="n"/>
      <c r="DEB1" s="2" t="n"/>
      <c r="DEC1" s="2" t="n"/>
      <c r="DED1" s="2" t="n"/>
      <c r="DEE1" s="2" t="n"/>
      <c r="DEF1" s="2" t="n"/>
      <c r="DEG1" s="2" t="n"/>
      <c r="DEH1" s="2" t="n"/>
      <c r="DEI1" s="2" t="n"/>
      <c r="DEJ1" s="2" t="n"/>
      <c r="DEK1" s="2" t="n"/>
      <c r="DEL1" s="2" t="n"/>
      <c r="DEM1" s="2" t="n"/>
      <c r="DEN1" s="2" t="n"/>
      <c r="DEO1" s="2" t="n"/>
      <c r="DEP1" s="2" t="n"/>
      <c r="DEQ1" s="2" t="n"/>
      <c r="DER1" s="2" t="n"/>
      <c r="DES1" s="2" t="n"/>
      <c r="DET1" s="2" t="n"/>
      <c r="DEU1" s="2" t="n"/>
      <c r="DEV1" s="2" t="n"/>
      <c r="DEW1" s="2" t="n"/>
      <c r="DEX1" s="2" t="n"/>
      <c r="DEY1" s="2" t="n"/>
      <c r="DEZ1" s="2" t="n"/>
      <c r="DFA1" s="2" t="n"/>
      <c r="DFB1" s="2" t="n"/>
      <c r="DFC1" s="2" t="n"/>
      <c r="DFD1" s="2" t="n"/>
      <c r="DFE1" s="2" t="n"/>
      <c r="DFF1" s="2" t="n"/>
      <c r="DFG1" s="2" t="n"/>
      <c r="DFH1" s="2" t="n"/>
      <c r="DFI1" s="2" t="n"/>
      <c r="DFJ1" s="2" t="n"/>
      <c r="DFK1" s="2" t="n"/>
      <c r="DFL1" s="2" t="n"/>
      <c r="DFM1" s="2" t="n"/>
      <c r="DFN1" s="2" t="n"/>
      <c r="DFO1" s="2" t="n"/>
      <c r="DFP1" s="2" t="n"/>
      <c r="DFQ1" s="2" t="n"/>
      <c r="DFR1" s="2" t="n"/>
      <c r="DFS1" s="2" t="n"/>
      <c r="DFT1" s="2" t="n"/>
      <c r="DFU1" s="2" t="n"/>
      <c r="DFV1" s="2" t="n"/>
      <c r="DFW1" s="2" t="n"/>
      <c r="DFX1" s="2" t="n"/>
      <c r="DFY1" s="2" t="n"/>
      <c r="DFZ1" s="2" t="n"/>
      <c r="DGA1" s="2" t="n"/>
      <c r="DGB1" s="2" t="n"/>
      <c r="DGC1" s="2" t="n"/>
      <c r="DGD1" s="2" t="n"/>
      <c r="DGE1" s="2" t="n"/>
      <c r="DGF1" s="2" t="n"/>
      <c r="DGG1" s="2" t="n"/>
      <c r="DGH1" s="2" t="n"/>
      <c r="DGI1" s="2" t="n"/>
      <c r="DGJ1" s="2" t="n"/>
      <c r="DGK1" s="2" t="n"/>
      <c r="DGL1" s="2" t="n"/>
      <c r="DGM1" s="2" t="n"/>
      <c r="DGN1" s="2" t="n"/>
      <c r="DGO1" s="2" t="n"/>
      <c r="DGP1" s="2" t="n"/>
      <c r="DGQ1" s="2" t="n"/>
      <c r="DGR1" s="2" t="n"/>
      <c r="DGS1" s="2" t="n"/>
      <c r="DGT1" s="2" t="n"/>
      <c r="DGU1" s="2" t="n"/>
      <c r="DGV1" s="2" t="n"/>
      <c r="DGW1" s="2" t="n"/>
      <c r="DGX1" s="2" t="n"/>
      <c r="DGY1" s="2" t="n"/>
      <c r="DGZ1" s="2" t="n"/>
      <c r="DHA1" s="2" t="n"/>
      <c r="DHB1" s="2" t="n"/>
      <c r="DHC1" s="2" t="n"/>
      <c r="DHD1" s="2" t="n"/>
      <c r="DHE1" s="2" t="n"/>
      <c r="DHF1" s="2" t="n"/>
      <c r="DHG1" s="2" t="n"/>
      <c r="DHH1" s="2" t="n"/>
      <c r="DHI1" s="2" t="n"/>
      <c r="DHJ1" s="2" t="n"/>
      <c r="DHK1" s="2" t="n"/>
      <c r="DHL1" s="2" t="n"/>
      <c r="DHM1" s="2" t="n"/>
      <c r="DHN1" s="2" t="n"/>
      <c r="DHO1" s="2" t="n"/>
      <c r="DHP1" s="2" t="n"/>
      <c r="DHQ1" s="2" t="n"/>
      <c r="DHR1" s="2" t="n"/>
      <c r="DHS1" s="2" t="n"/>
      <c r="DHT1" s="2" t="n"/>
      <c r="DHU1" s="2" t="n"/>
      <c r="DHV1" s="2" t="n"/>
      <c r="DHW1" s="2" t="n"/>
      <c r="DHX1" s="2" t="n"/>
      <c r="DHY1" s="2" t="n"/>
      <c r="DHZ1" s="2" t="n"/>
      <c r="DIA1" s="2" t="n"/>
      <c r="DIB1" s="2" t="n"/>
      <c r="DIC1" s="2" t="n"/>
      <c r="DID1" s="2" t="n"/>
      <c r="DIE1" s="2" t="n"/>
      <c r="DIF1" s="2" t="n"/>
      <c r="DIG1" s="2" t="n"/>
      <c r="DIH1" s="2" t="n"/>
      <c r="DII1" s="2" t="n"/>
      <c r="DIJ1" s="2" t="n"/>
      <c r="DIK1" s="2" t="n"/>
      <c r="DIL1" s="2" t="n"/>
      <c r="DIM1" s="2" t="n"/>
      <c r="DIN1" s="2" t="n"/>
      <c r="DIO1" s="2" t="n"/>
      <c r="DIP1" s="2" t="n"/>
      <c r="DIQ1" s="2" t="n"/>
      <c r="DIR1" s="2" t="n"/>
      <c r="DIS1" s="2" t="n"/>
      <c r="DIT1" s="2" t="n"/>
      <c r="DIU1" s="2" t="n"/>
      <c r="DIV1" s="2" t="n"/>
      <c r="DIW1" s="2" t="n"/>
      <c r="DIX1" s="2" t="n"/>
      <c r="DIY1" s="2" t="n"/>
      <c r="DIZ1" s="2" t="n"/>
      <c r="DJA1" s="2" t="n"/>
      <c r="DJB1" s="2" t="n"/>
      <c r="DJC1" s="2" t="n"/>
      <c r="DJD1" s="2" t="n"/>
      <c r="DJE1" s="2" t="n"/>
      <c r="DJF1" s="2" t="n"/>
      <c r="DJG1" s="2" t="n"/>
      <c r="DJH1" s="2" t="n"/>
      <c r="DJI1" s="2" t="n"/>
      <c r="DJJ1" s="2" t="n"/>
      <c r="DJK1" s="2" t="n"/>
      <c r="DJL1" s="2" t="n"/>
      <c r="DJM1" s="2" t="n"/>
      <c r="DJN1" s="2" t="n"/>
      <c r="DJO1" s="2" t="n"/>
      <c r="DJP1" s="2" t="n"/>
      <c r="DJQ1" s="2" t="n"/>
      <c r="DJR1" s="2" t="n"/>
      <c r="DJS1" s="2" t="n"/>
      <c r="DJT1" s="2" t="n"/>
      <c r="DJU1" s="2" t="n"/>
      <c r="DJV1" s="2" t="n"/>
      <c r="DJW1" s="2" t="n"/>
      <c r="DJX1" s="2" t="n"/>
      <c r="DJY1" s="2" t="n"/>
      <c r="DJZ1" s="2" t="n"/>
      <c r="DKA1" s="2" t="n"/>
      <c r="DKB1" s="2" t="n"/>
      <c r="DKC1" s="2" t="n"/>
      <c r="DKD1" s="2" t="n"/>
      <c r="DKE1" s="2" t="n"/>
      <c r="DKF1" s="2" t="n"/>
      <c r="DKG1" s="2" t="n"/>
      <c r="DKH1" s="2" t="n"/>
      <c r="DKI1" s="2" t="n"/>
      <c r="DKJ1" s="2" t="n"/>
      <c r="DKK1" s="2" t="n"/>
      <c r="DKL1" s="2" t="n"/>
      <c r="DKM1" s="2" t="n"/>
      <c r="DKN1" s="2" t="n"/>
      <c r="DKO1" s="2" t="n"/>
      <c r="DKP1" s="2" t="n"/>
      <c r="DKQ1" s="2" t="n"/>
      <c r="DKR1" s="2" t="n"/>
      <c r="DKS1" s="2" t="n"/>
      <c r="DKT1" s="2" t="n"/>
      <c r="DKU1" s="2" t="n"/>
      <c r="DKV1" s="2" t="n"/>
      <c r="DKW1" s="2" t="n"/>
      <c r="DKX1" s="2" t="n"/>
      <c r="DKY1" s="2" t="n"/>
      <c r="DKZ1" s="2" t="n"/>
      <c r="DLA1" s="2" t="n"/>
      <c r="DLB1" s="2" t="n"/>
      <c r="DLC1" s="2" t="n"/>
      <c r="DLD1" s="2" t="n"/>
      <c r="DLE1" s="2" t="n"/>
      <c r="DLF1" s="2" t="n"/>
      <c r="DLG1" s="2" t="n"/>
      <c r="DLH1" s="2" t="n"/>
      <c r="DLI1" s="2" t="n"/>
      <c r="DLJ1" s="2" t="n"/>
      <c r="DLK1" s="2" t="n"/>
      <c r="DLL1" s="2" t="n"/>
      <c r="DLM1" s="2" t="n"/>
      <c r="DLN1" s="2" t="n"/>
      <c r="DLO1" s="2" t="n"/>
      <c r="DLP1" s="2" t="n"/>
      <c r="DLQ1" s="2" t="n"/>
      <c r="DLR1" s="2" t="n"/>
      <c r="DLS1" s="2" t="n"/>
      <c r="DLT1" s="2" t="n"/>
      <c r="DLU1" s="2" t="n"/>
      <c r="DLV1" s="2" t="n"/>
      <c r="DLW1" s="2" t="n"/>
      <c r="DLX1" s="2" t="n"/>
      <c r="DLY1" s="2" t="n"/>
      <c r="DLZ1" s="2" t="n"/>
      <c r="DMA1" s="2" t="n"/>
      <c r="DMB1" s="2" t="n"/>
      <c r="DMC1" s="2" t="n"/>
      <c r="DMD1" s="2" t="n"/>
      <c r="DME1" s="2" t="n"/>
      <c r="DMF1" s="2" t="n"/>
      <c r="DMG1" s="2" t="n"/>
      <c r="DMH1" s="2" t="n"/>
      <c r="DMI1" s="2" t="n"/>
      <c r="DMJ1" s="2" t="n"/>
      <c r="DMK1" s="2" t="n"/>
      <c r="DML1" s="2" t="n"/>
      <c r="DMM1" s="2" t="n"/>
      <c r="DMN1" s="2" t="n"/>
      <c r="DMO1" s="2" t="n"/>
      <c r="DMP1" s="2" t="n"/>
      <c r="DMQ1" s="2" t="n"/>
      <c r="DMR1" s="2" t="n"/>
      <c r="DMS1" s="2" t="n"/>
      <c r="DMT1" s="2" t="n"/>
      <c r="DMU1" s="2" t="n"/>
      <c r="DMV1" s="2" t="n"/>
      <c r="DMW1" s="2" t="n"/>
      <c r="DMX1" s="2" t="n"/>
      <c r="DMY1" s="2" t="n"/>
      <c r="DMZ1" s="2" t="n"/>
      <c r="DNA1" s="2" t="n"/>
      <c r="DNB1" s="2" t="n"/>
      <c r="DNC1" s="2" t="n"/>
      <c r="DND1" s="2" t="n"/>
      <c r="DNE1" s="2" t="n"/>
      <c r="DNF1" s="2" t="n"/>
      <c r="DNG1" s="2" t="n"/>
      <c r="DNH1" s="2" t="n"/>
      <c r="DNI1" s="2" t="n"/>
      <c r="DNJ1" s="2" t="n"/>
      <c r="DNK1" s="2" t="n"/>
      <c r="DNL1" s="2" t="n"/>
      <c r="DNM1" s="2" t="n"/>
      <c r="DNN1" s="2" t="n"/>
      <c r="DNO1" s="2" t="n"/>
      <c r="DNP1" s="2" t="n"/>
      <c r="DNQ1" s="2" t="n"/>
      <c r="DNR1" s="2" t="n"/>
      <c r="DNS1" s="2" t="n"/>
      <c r="DNT1" s="2" t="n"/>
      <c r="DNU1" s="2" t="n"/>
      <c r="DNV1" s="2" t="n"/>
      <c r="DNW1" s="2" t="n"/>
      <c r="DNX1" s="2" t="n"/>
      <c r="DNY1" s="2" t="n"/>
      <c r="DNZ1" s="2" t="n"/>
      <c r="DOA1" s="2" t="n"/>
      <c r="DOB1" s="2" t="n"/>
      <c r="DOC1" s="2" t="n"/>
      <c r="DOD1" s="2" t="n"/>
      <c r="DOE1" s="2" t="n"/>
      <c r="DOF1" s="2" t="n"/>
      <c r="DOG1" s="2" t="n"/>
      <c r="DOH1" s="2" t="n"/>
      <c r="DOI1" s="2" t="n"/>
      <c r="DOJ1" s="2" t="n"/>
      <c r="DOK1" s="2" t="n"/>
      <c r="DOL1" s="2" t="n"/>
      <c r="DOM1" s="2" t="n"/>
      <c r="DON1" s="2" t="n"/>
      <c r="DOO1" s="2" t="n"/>
      <c r="DOP1" s="2" t="n"/>
      <c r="DOQ1" s="2" t="n"/>
      <c r="DOR1" s="2" t="n"/>
      <c r="DOS1" s="2" t="n"/>
      <c r="DOT1" s="2" t="n"/>
      <c r="DOU1" s="2" t="n"/>
      <c r="DOV1" s="2" t="n"/>
      <c r="DOW1" s="2" t="n"/>
      <c r="DOX1" s="2" t="n"/>
      <c r="DOY1" s="2" t="n"/>
      <c r="DOZ1" s="2" t="n"/>
      <c r="DPA1" s="2" t="n"/>
      <c r="DPB1" s="2" t="n"/>
      <c r="DPC1" s="2" t="n"/>
      <c r="DPD1" s="2" t="n"/>
      <c r="DPE1" s="2" t="n"/>
      <c r="DPF1" s="2" t="n"/>
      <c r="DPG1" s="2" t="n"/>
      <c r="DPH1" s="2" t="n"/>
      <c r="DPI1" s="2" t="n"/>
      <c r="DPJ1" s="2" t="n"/>
      <c r="DPK1" s="2" t="n"/>
      <c r="DPL1" s="2" t="n"/>
      <c r="DPM1" s="2" t="n"/>
      <c r="DPN1" s="2" t="n"/>
      <c r="DPO1" s="2" t="n"/>
      <c r="DPP1" s="2" t="n"/>
      <c r="DPQ1" s="2" t="n"/>
      <c r="DPR1" s="2" t="n"/>
      <c r="DPS1" s="2" t="n"/>
      <c r="DPT1" s="2" t="n"/>
      <c r="DPU1" s="2" t="n"/>
      <c r="DPV1" s="2" t="n"/>
      <c r="DPW1" s="2" t="n"/>
      <c r="DPX1" s="2" t="n"/>
      <c r="DPY1" s="2" t="n"/>
      <c r="DPZ1" s="2" t="n"/>
      <c r="DQA1" s="2" t="n"/>
      <c r="DQB1" s="2" t="n"/>
      <c r="DQC1" s="2" t="n"/>
      <c r="DQD1" s="2" t="n"/>
      <c r="DQE1" s="2" t="n"/>
      <c r="DQF1" s="2" t="n"/>
      <c r="DQG1" s="2" t="n"/>
      <c r="DQH1" s="2" t="n"/>
      <c r="DQI1" s="2" t="n"/>
      <c r="DQJ1" s="2" t="n"/>
      <c r="DQK1" s="2" t="n"/>
      <c r="DQL1" s="2" t="n"/>
      <c r="DQM1" s="2" t="n"/>
      <c r="DQN1" s="2" t="n"/>
      <c r="DQO1" s="2" t="n"/>
      <c r="DQP1" s="2" t="n"/>
      <c r="DQQ1" s="2" t="n"/>
      <c r="DQR1" s="2" t="n"/>
      <c r="DQS1" s="2" t="n"/>
      <c r="DQT1" s="2" t="n"/>
      <c r="DQU1" s="2" t="n"/>
      <c r="DQV1" s="2" t="n"/>
      <c r="DQW1" s="2" t="n"/>
      <c r="DQX1" s="2" t="n"/>
      <c r="DQY1" s="2" t="n"/>
      <c r="DQZ1" s="2" t="n"/>
      <c r="DRA1" s="2" t="n"/>
      <c r="DRB1" s="2" t="n"/>
      <c r="DRC1" s="2" t="n"/>
      <c r="DRD1" s="2" t="n"/>
      <c r="DRE1" s="2" t="n"/>
      <c r="DRF1" s="2" t="n"/>
      <c r="DRG1" s="2" t="n"/>
      <c r="DRH1" s="2" t="n"/>
      <c r="DRI1" s="2" t="n"/>
      <c r="DRJ1" s="2" t="n"/>
      <c r="DRK1" s="2" t="n"/>
      <c r="DRL1" s="2" t="n"/>
      <c r="DRM1" s="2" t="n"/>
      <c r="DRN1" s="2" t="n"/>
      <c r="DRO1" s="2" t="n"/>
      <c r="DRP1" s="2" t="n"/>
      <c r="DRQ1" s="2" t="n"/>
      <c r="DRR1" s="2" t="n"/>
      <c r="DRS1" s="2" t="n"/>
      <c r="DRT1" s="2" t="n"/>
      <c r="DRU1" s="2" t="n"/>
      <c r="DRV1" s="2" t="n"/>
      <c r="DRW1" s="2" t="n"/>
      <c r="DRX1" s="2" t="n"/>
      <c r="DRY1" s="2" t="n"/>
      <c r="DRZ1" s="2" t="n"/>
      <c r="DSA1" s="2" t="n"/>
      <c r="DSB1" s="2" t="n"/>
      <c r="DSC1" s="2" t="n"/>
      <c r="DSD1" s="2" t="n"/>
      <c r="DSE1" s="2" t="n"/>
      <c r="DSF1" s="2" t="n"/>
      <c r="DSG1" s="2" t="n"/>
      <c r="DSH1" s="2" t="n"/>
      <c r="DSI1" s="2" t="n"/>
      <c r="DSJ1" s="2" t="n"/>
      <c r="DSK1" s="2" t="n"/>
      <c r="DSL1" s="2" t="n"/>
      <c r="DSM1" s="2" t="n"/>
      <c r="DSN1" s="2" t="n"/>
      <c r="DSO1" s="2" t="n"/>
      <c r="DSP1" s="2" t="n"/>
      <c r="DSQ1" s="2" t="n"/>
      <c r="DSR1" s="2" t="n"/>
      <c r="DSS1" s="2" t="n"/>
      <c r="DST1" s="2" t="n"/>
      <c r="DSU1" s="2" t="n"/>
      <c r="DSV1" s="2" t="n"/>
      <c r="DSW1" s="2" t="n"/>
      <c r="DSX1" s="2" t="n"/>
      <c r="DSY1" s="2" t="n"/>
      <c r="DSZ1" s="2" t="n"/>
      <c r="DTA1" s="2" t="n"/>
      <c r="DTB1" s="2" t="n"/>
      <c r="DTC1" s="2" t="n"/>
      <c r="DTD1" s="2" t="n"/>
      <c r="DTE1" s="2" t="n"/>
      <c r="DTF1" s="2" t="n"/>
      <c r="DTG1" s="2" t="n"/>
      <c r="DTH1" s="2" t="n"/>
      <c r="DTI1" s="2" t="n"/>
      <c r="DTJ1" s="2" t="n"/>
      <c r="DTK1" s="2" t="n"/>
      <c r="DTL1" s="2" t="n"/>
      <c r="DTM1" s="2" t="n"/>
      <c r="DTN1" s="2" t="n"/>
      <c r="DTO1" s="2" t="n"/>
      <c r="DTP1" s="2" t="n"/>
      <c r="DTQ1" s="2" t="n"/>
      <c r="DTR1" s="2" t="n"/>
      <c r="DTS1" s="2" t="n"/>
      <c r="DTT1" s="2" t="n"/>
      <c r="DTU1" s="2" t="n"/>
      <c r="DTV1" s="2" t="n"/>
      <c r="DTW1" s="2" t="n"/>
      <c r="DTX1" s="2" t="n"/>
      <c r="DTY1" s="2" t="n"/>
      <c r="DTZ1" s="2" t="n"/>
      <c r="DUA1" s="2" t="n"/>
      <c r="DUB1" s="2" t="n"/>
      <c r="DUC1" s="2" t="n"/>
      <c r="DUD1" s="2" t="n"/>
      <c r="DUE1" s="2" t="n"/>
      <c r="DUF1" s="2" t="n"/>
      <c r="DUG1" s="2" t="n"/>
      <c r="DUH1" s="2" t="n"/>
      <c r="DUI1" s="2" t="n"/>
      <c r="DUJ1" s="2" t="n"/>
      <c r="DUK1" s="2" t="n"/>
      <c r="DUL1" s="2" t="n"/>
      <c r="DUM1" s="2" t="n"/>
      <c r="DUN1" s="2" t="n"/>
      <c r="DUO1" s="2" t="n"/>
      <c r="DUP1" s="2" t="n"/>
      <c r="DUQ1" s="2" t="n"/>
      <c r="DUR1" s="2" t="n"/>
      <c r="DUS1" s="2" t="n"/>
      <c r="DUT1" s="2" t="n"/>
      <c r="DUU1" s="2" t="n"/>
      <c r="DUV1" s="2" t="n"/>
      <c r="DUW1" s="2" t="n"/>
      <c r="DUX1" s="2" t="n"/>
      <c r="DUY1" s="2" t="n"/>
      <c r="DUZ1" s="2" t="n"/>
      <c r="DVA1" s="2" t="n"/>
      <c r="DVB1" s="2" t="n"/>
      <c r="DVC1" s="2" t="n"/>
      <c r="DVD1" s="2" t="n"/>
      <c r="DVE1" s="2" t="n"/>
      <c r="DVF1" s="2" t="n"/>
      <c r="DVG1" s="2" t="n"/>
      <c r="DVH1" s="2" t="n"/>
      <c r="DVI1" s="2" t="n"/>
      <c r="DVJ1" s="2" t="n"/>
      <c r="DVK1" s="2" t="n"/>
      <c r="DVL1" s="2" t="n"/>
      <c r="DVM1" s="2" t="n"/>
      <c r="DVN1" s="2" t="n"/>
      <c r="DVO1" s="2" t="n"/>
      <c r="DVP1" s="2" t="n"/>
      <c r="DVQ1" s="2" t="n"/>
      <c r="DVR1" s="2" t="n"/>
      <c r="DVS1" s="2" t="n"/>
      <c r="DVT1" s="2" t="n"/>
      <c r="DVU1" s="2" t="n"/>
      <c r="DVV1" s="2" t="n"/>
      <c r="DVW1" s="2" t="n"/>
      <c r="DVX1" s="2" t="n"/>
      <c r="DVY1" s="2" t="n"/>
      <c r="DVZ1" s="2" t="n"/>
      <c r="DWA1" s="2" t="n"/>
      <c r="DWB1" s="2" t="n"/>
      <c r="DWC1" s="2" t="n"/>
      <c r="DWD1" s="2" t="n"/>
      <c r="DWE1" s="2" t="n"/>
      <c r="DWF1" s="2" t="n"/>
      <c r="DWG1" s="2" t="n"/>
      <c r="DWH1" s="2" t="n"/>
      <c r="DWI1" s="2" t="n"/>
      <c r="DWJ1" s="2" t="n"/>
      <c r="DWK1" s="2" t="n"/>
      <c r="DWL1" s="2" t="n"/>
      <c r="DWM1" s="2" t="n"/>
      <c r="DWN1" s="2" t="n"/>
      <c r="DWO1" s="2" t="n"/>
      <c r="DWP1" s="2" t="n"/>
      <c r="DWQ1" s="2" t="n"/>
      <c r="DWR1" s="2" t="n"/>
      <c r="DWS1" s="2" t="n"/>
      <c r="DWT1" s="2" t="n"/>
      <c r="DWU1" s="2" t="n"/>
      <c r="DWV1" s="2" t="n"/>
      <c r="DWW1" s="2" t="n"/>
      <c r="DWX1" s="2" t="n"/>
      <c r="DWY1" s="2" t="n"/>
      <c r="DWZ1" s="2" t="n"/>
      <c r="DXA1" s="2" t="n"/>
      <c r="DXB1" s="2" t="n"/>
      <c r="DXC1" s="2" t="n"/>
      <c r="DXD1" s="2" t="n"/>
      <c r="DXE1" s="2" t="n"/>
      <c r="DXF1" s="2" t="n"/>
      <c r="DXG1" s="2" t="n"/>
      <c r="DXH1" s="2" t="n"/>
      <c r="DXI1" s="2" t="n"/>
      <c r="DXJ1" s="2" t="n"/>
      <c r="DXK1" s="2" t="n"/>
      <c r="DXL1" s="2" t="n"/>
      <c r="DXM1" s="2" t="n"/>
      <c r="DXN1" s="2" t="n"/>
      <c r="DXO1" s="2" t="n"/>
      <c r="DXP1" s="2" t="n"/>
      <c r="DXQ1" s="2" t="n"/>
      <c r="DXR1" s="2" t="n"/>
      <c r="DXS1" s="2" t="n"/>
      <c r="DXT1" s="2" t="n"/>
      <c r="DXU1" s="2" t="n"/>
      <c r="DXV1" s="2" t="n"/>
      <c r="DXW1" s="2" t="n"/>
      <c r="DXX1" s="2" t="n"/>
      <c r="DXY1" s="2" t="n"/>
      <c r="DXZ1" s="2" t="n"/>
      <c r="DYA1" s="2" t="n"/>
      <c r="DYB1" s="2" t="n"/>
      <c r="DYC1" s="2" t="n"/>
      <c r="DYD1" s="2" t="n"/>
      <c r="DYE1" s="2" t="n"/>
      <c r="DYF1" s="2" t="n"/>
      <c r="DYG1" s="2" t="n"/>
      <c r="DYH1" s="2" t="n"/>
      <c r="DYI1" s="2" t="n"/>
      <c r="DYJ1" s="2" t="n"/>
      <c r="DYK1" s="2" t="n"/>
      <c r="DYL1" s="2" t="n"/>
      <c r="DYM1" s="2" t="n"/>
      <c r="DYN1" s="2" t="n"/>
      <c r="DYO1" s="2" t="n"/>
      <c r="DYP1" s="2" t="n"/>
      <c r="DYQ1" s="2" t="n"/>
      <c r="DYR1" s="2" t="n"/>
      <c r="DYS1" s="2" t="n"/>
      <c r="DYT1" s="2" t="n"/>
      <c r="DYU1" s="2" t="n"/>
      <c r="DYV1" s="2" t="n"/>
      <c r="DYW1" s="2" t="n"/>
      <c r="DYX1" s="2" t="n"/>
      <c r="DYY1" s="2" t="n"/>
      <c r="DYZ1" s="2" t="n"/>
      <c r="DZA1" s="2" t="n"/>
      <c r="DZB1" s="2" t="n"/>
      <c r="DZC1" s="2" t="n"/>
      <c r="DZD1" s="2" t="n"/>
      <c r="DZE1" s="2" t="n"/>
      <c r="DZF1" s="2" t="n"/>
      <c r="DZG1" s="2" t="n"/>
      <c r="DZH1" s="2" t="n"/>
      <c r="DZI1" s="2" t="n"/>
      <c r="DZJ1" s="2" t="n"/>
      <c r="DZK1" s="2" t="n"/>
      <c r="DZL1" s="2" t="n"/>
      <c r="DZM1" s="2" t="n"/>
      <c r="DZN1" s="2" t="n"/>
      <c r="DZO1" s="2" t="n"/>
      <c r="DZP1" s="2" t="n"/>
      <c r="DZQ1" s="2" t="n"/>
      <c r="DZR1" s="2" t="n"/>
      <c r="DZS1" s="2" t="n"/>
      <c r="DZT1" s="2" t="n"/>
      <c r="DZU1" s="2" t="n"/>
      <c r="DZV1" s="2" t="n"/>
      <c r="DZW1" s="2" t="n"/>
      <c r="DZX1" s="2" t="n"/>
      <c r="DZY1" s="2" t="n"/>
      <c r="DZZ1" s="2" t="n"/>
      <c r="EAA1" s="2" t="n"/>
      <c r="EAB1" s="2" t="n"/>
      <c r="EAC1" s="2" t="n"/>
      <c r="EAD1" s="2" t="n"/>
      <c r="EAE1" s="2" t="n"/>
      <c r="EAF1" s="2" t="n"/>
      <c r="EAG1" s="2" t="n"/>
      <c r="EAH1" s="2" t="n"/>
      <c r="EAI1" s="2" t="n"/>
      <c r="EAJ1" s="2" t="n"/>
      <c r="EAK1" s="2" t="n"/>
      <c r="EAL1" s="2" t="n"/>
      <c r="EAM1" s="2" t="n"/>
      <c r="EAN1" s="2" t="n"/>
      <c r="EAO1" s="2" t="n"/>
      <c r="EAP1" s="2" t="n"/>
      <c r="EAQ1" s="2" t="n"/>
      <c r="EAR1" s="2" t="n"/>
      <c r="EAS1" s="2" t="n"/>
      <c r="EAT1" s="2" t="n"/>
      <c r="EAU1" s="2" t="n"/>
      <c r="EAV1" s="2" t="n"/>
      <c r="EAW1" s="2" t="n"/>
      <c r="EAX1" s="2" t="n"/>
      <c r="EAY1" s="2" t="n"/>
      <c r="EAZ1" s="2" t="n"/>
      <c r="EBA1" s="2" t="n"/>
      <c r="EBB1" s="2" t="n"/>
      <c r="EBC1" s="2" t="n"/>
      <c r="EBD1" s="2" t="n"/>
      <c r="EBE1" s="2" t="n"/>
      <c r="EBF1" s="2" t="n"/>
      <c r="EBG1" s="2" t="n"/>
      <c r="EBH1" s="2" t="n"/>
      <c r="EBI1" s="2" t="n"/>
      <c r="EBJ1" s="2" t="n"/>
      <c r="EBK1" s="2" t="n"/>
      <c r="EBL1" s="2" t="n"/>
      <c r="EBM1" s="2" t="n"/>
      <c r="EBN1" s="2" t="n"/>
      <c r="EBO1" s="2" t="n"/>
      <c r="EBP1" s="2" t="n"/>
      <c r="EBQ1" s="2" t="n"/>
      <c r="EBR1" s="2" t="n"/>
      <c r="EBS1" s="2" t="n"/>
      <c r="EBT1" s="2" t="n"/>
      <c r="EBU1" s="2" t="n"/>
      <c r="EBV1" s="2" t="n"/>
      <c r="EBW1" s="2" t="n"/>
      <c r="EBX1" s="2" t="n"/>
      <c r="EBY1" s="2" t="n"/>
      <c r="EBZ1" s="2" t="n"/>
      <c r="ECA1" s="2" t="n"/>
      <c r="ECB1" s="2" t="n"/>
      <c r="ECC1" s="2" t="n"/>
      <c r="ECD1" s="2" t="n"/>
      <c r="ECE1" s="2" t="n"/>
      <c r="ECF1" s="2" t="n"/>
      <c r="ECG1" s="2" t="n"/>
      <c r="ECH1" s="2" t="n"/>
      <c r="ECI1" s="2" t="n"/>
      <c r="ECJ1" s="2" t="n"/>
      <c r="ECK1" s="2" t="n"/>
      <c r="ECL1" s="2" t="n"/>
      <c r="ECM1" s="2" t="n"/>
      <c r="ECN1" s="2" t="n"/>
      <c r="ECO1" s="2" t="n"/>
      <c r="ECP1" s="2" t="n"/>
      <c r="ECQ1" s="2" t="n"/>
      <c r="ECR1" s="2" t="n"/>
      <c r="ECS1" s="2" t="n"/>
      <c r="ECT1" s="2" t="n"/>
      <c r="ECU1" s="2" t="n"/>
      <c r="ECV1" s="2" t="n"/>
      <c r="ECW1" s="2" t="n"/>
      <c r="ECX1" s="2" t="n"/>
      <c r="ECY1" s="2" t="n"/>
      <c r="ECZ1" s="2" t="n"/>
      <c r="EDA1" s="2" t="n"/>
      <c r="EDB1" s="2" t="n"/>
      <c r="EDC1" s="2" t="n"/>
      <c r="EDD1" s="2" t="n"/>
      <c r="EDE1" s="2" t="n"/>
      <c r="EDF1" s="2" t="n"/>
      <c r="EDG1" s="2" t="n"/>
      <c r="EDH1" s="2" t="n"/>
      <c r="EDI1" s="2" t="n"/>
      <c r="EDJ1" s="2" t="n"/>
      <c r="EDK1" s="2" t="n"/>
      <c r="EDL1" s="2" t="n"/>
      <c r="EDM1" s="2" t="n"/>
      <c r="EDN1" s="2" t="n"/>
      <c r="EDO1" s="2" t="n"/>
      <c r="EDP1" s="2" t="n"/>
      <c r="EDQ1" s="2" t="n"/>
      <c r="EDR1" s="2" t="n"/>
      <c r="EDS1" s="2" t="n"/>
      <c r="EDT1" s="2" t="n"/>
      <c r="EDU1" s="2" t="n"/>
      <c r="EDV1" s="2" t="n"/>
      <c r="EDW1" s="2" t="n"/>
      <c r="EDX1" s="2" t="n"/>
      <c r="EDY1" s="2" t="n"/>
      <c r="EDZ1" s="2" t="n"/>
      <c r="EEA1" s="2" t="n"/>
      <c r="EEB1" s="2" t="n"/>
      <c r="EEC1" s="2" t="n"/>
      <c r="EED1" s="2" t="n"/>
      <c r="EEE1" s="2" t="n"/>
      <c r="EEF1" s="2" t="n"/>
      <c r="EEG1" s="2" t="n"/>
      <c r="EEH1" s="2" t="n"/>
      <c r="EEI1" s="2" t="n"/>
      <c r="EEJ1" s="2" t="n"/>
      <c r="EEK1" s="2" t="n"/>
      <c r="EEL1" s="2" t="n"/>
      <c r="EEM1" s="2" t="n"/>
      <c r="EEN1" s="2" t="n"/>
      <c r="EEO1" s="2" t="n"/>
      <c r="EEP1" s="2" t="n"/>
      <c r="EEQ1" s="2" t="n"/>
      <c r="EER1" s="2" t="n"/>
      <c r="EES1" s="2" t="n"/>
      <c r="EET1" s="2" t="n"/>
      <c r="EEU1" s="2" t="n"/>
      <c r="EEV1" s="2" t="n"/>
      <c r="EEW1" s="2" t="n"/>
      <c r="EEX1" s="2" t="n"/>
      <c r="EEY1" s="2" t="n"/>
      <c r="EEZ1" s="2" t="n"/>
      <c r="EFA1" s="2" t="n"/>
      <c r="EFB1" s="2" t="n"/>
      <c r="EFC1" s="2" t="n"/>
      <c r="EFD1" s="2" t="n"/>
      <c r="EFE1" s="2" t="n"/>
      <c r="EFF1" s="2" t="n"/>
      <c r="EFG1" s="2" t="n"/>
      <c r="EFH1" s="2" t="n"/>
      <c r="EFI1" s="2" t="n"/>
      <c r="EFJ1" s="2" t="n"/>
      <c r="EFK1" s="2" t="n"/>
      <c r="EFL1" s="2" t="n"/>
      <c r="EFM1" s="2" t="n"/>
      <c r="EFN1" s="2" t="n"/>
      <c r="EFO1" s="2" t="n"/>
      <c r="EFP1" s="2" t="n"/>
      <c r="EFQ1" s="2" t="n"/>
      <c r="EFR1" s="2" t="n"/>
      <c r="EFS1" s="2" t="n"/>
      <c r="EFT1" s="2" t="n"/>
      <c r="EFU1" s="2" t="n"/>
      <c r="EFV1" s="2" t="n"/>
      <c r="EFW1" s="2" t="n"/>
      <c r="EFX1" s="2" t="n"/>
      <c r="EFY1" s="2" t="n"/>
      <c r="EFZ1" s="2" t="n"/>
      <c r="EGA1" s="2" t="n"/>
      <c r="EGB1" s="2" t="n"/>
      <c r="EGC1" s="2" t="n"/>
      <c r="EGD1" s="2" t="n"/>
      <c r="EGE1" s="2" t="n"/>
      <c r="EGF1" s="2" t="n"/>
      <c r="EGG1" s="2" t="n"/>
      <c r="EGH1" s="2" t="n"/>
      <c r="EGI1" s="2" t="n"/>
      <c r="EGJ1" s="2" t="n"/>
      <c r="EGK1" s="2" t="n"/>
      <c r="EGL1" s="2" t="n"/>
      <c r="EGM1" s="2" t="n"/>
      <c r="EGN1" s="2" t="n"/>
      <c r="EGO1" s="2" t="n"/>
      <c r="EGP1" s="2" t="n"/>
      <c r="EGQ1" s="2" t="n"/>
      <c r="EGR1" s="2" t="n"/>
      <c r="EGS1" s="2" t="n"/>
      <c r="EGT1" s="2" t="n"/>
      <c r="EGU1" s="2" t="n"/>
      <c r="EGV1" s="2" t="n"/>
      <c r="EGW1" s="2" t="n"/>
      <c r="EGX1" s="2" t="n"/>
      <c r="EGY1" s="2" t="n"/>
      <c r="EGZ1" s="2" t="n"/>
      <c r="EHA1" s="2" t="n"/>
      <c r="EHB1" s="2" t="n"/>
      <c r="EHC1" s="2" t="n"/>
      <c r="EHD1" s="2" t="n"/>
      <c r="EHE1" s="2" t="n"/>
      <c r="EHF1" s="2" t="n"/>
      <c r="EHG1" s="2" t="n"/>
      <c r="EHH1" s="2" t="n"/>
      <c r="EHI1" s="2" t="n"/>
      <c r="EHJ1" s="2" t="n"/>
      <c r="EHK1" s="2" t="n"/>
      <c r="EHL1" s="2" t="n"/>
      <c r="EHM1" s="2" t="n"/>
      <c r="EHN1" s="2" t="n"/>
      <c r="EHO1" s="2" t="n"/>
      <c r="EHP1" s="2" t="n"/>
      <c r="EHQ1" s="2" t="n"/>
      <c r="EHR1" s="2" t="n"/>
      <c r="EHS1" s="2" t="n"/>
      <c r="EHT1" s="2" t="n"/>
      <c r="EHU1" s="2" t="n"/>
      <c r="EHV1" s="2" t="n"/>
      <c r="EHW1" s="2" t="n"/>
      <c r="EHX1" s="2" t="n"/>
      <c r="EHY1" s="2" t="n"/>
      <c r="EHZ1" s="2" t="n"/>
      <c r="EIA1" s="2" t="n"/>
      <c r="EIB1" s="2" t="n"/>
      <c r="EIC1" s="2" t="n"/>
      <c r="EID1" s="2" t="n"/>
      <c r="EIE1" s="2" t="n"/>
      <c r="EIF1" s="2" t="n"/>
      <c r="EIG1" s="2" t="n"/>
      <c r="EIH1" s="2" t="n"/>
      <c r="EII1" s="2" t="n"/>
      <c r="EIJ1" s="2" t="n"/>
      <c r="EIK1" s="2" t="n"/>
      <c r="EIL1" s="2" t="n"/>
      <c r="EIM1" s="2" t="n"/>
      <c r="EIN1" s="2" t="n"/>
      <c r="EIO1" s="2" t="n"/>
      <c r="EIP1" s="2" t="n"/>
      <c r="EIQ1" s="2" t="n"/>
      <c r="EIR1" s="2" t="n"/>
      <c r="EIS1" s="2" t="n"/>
      <c r="EIT1" s="2" t="n"/>
      <c r="EIU1" s="2" t="n"/>
      <c r="EIV1" s="2" t="n"/>
      <c r="EIW1" s="2" t="n"/>
      <c r="EIX1" s="2" t="n"/>
      <c r="EIY1" s="2" t="n"/>
      <c r="EIZ1" s="2" t="n"/>
      <c r="EJA1" s="2" t="n"/>
      <c r="EJB1" s="2" t="n"/>
      <c r="EJC1" s="2" t="n"/>
      <c r="EJD1" s="2" t="n"/>
      <c r="EJE1" s="2" t="n"/>
      <c r="EJF1" s="2" t="n"/>
      <c r="EJG1" s="2" t="n"/>
      <c r="EJH1" s="2" t="n"/>
      <c r="EJI1" s="2" t="n"/>
      <c r="EJJ1" s="2" t="n"/>
      <c r="EJK1" s="2" t="n"/>
      <c r="EJL1" s="2" t="n"/>
      <c r="EJM1" s="2" t="n"/>
      <c r="EJN1" s="2" t="n"/>
      <c r="EJO1" s="2" t="n"/>
      <c r="EJP1" s="2" t="n"/>
      <c r="EJQ1" s="2" t="n"/>
      <c r="EJR1" s="2" t="n"/>
      <c r="EJS1" s="2" t="n"/>
      <c r="EJT1" s="2" t="n"/>
      <c r="EJU1" s="2" t="n"/>
      <c r="EJV1" s="2" t="n"/>
      <c r="EJW1" s="2" t="n"/>
      <c r="EJX1" s="2" t="n"/>
      <c r="EJY1" s="2" t="n"/>
      <c r="EJZ1" s="2" t="n"/>
      <c r="EKA1" s="2" t="n"/>
      <c r="EKB1" s="2" t="n"/>
      <c r="EKC1" s="2" t="n"/>
      <c r="EKD1" s="2" t="n"/>
      <c r="EKE1" s="2" t="n"/>
      <c r="EKF1" s="2" t="n"/>
      <c r="EKG1" s="2" t="n"/>
      <c r="EKH1" s="2" t="n"/>
      <c r="EKI1" s="2" t="n"/>
      <c r="EKJ1" s="2" t="n"/>
      <c r="EKK1" s="2" t="n"/>
      <c r="EKL1" s="2" t="n"/>
      <c r="EKM1" s="2" t="n"/>
      <c r="EKN1" s="2" t="n"/>
      <c r="EKO1" s="2" t="n"/>
      <c r="EKP1" s="2" t="n"/>
      <c r="EKQ1" s="2" t="n"/>
      <c r="EKR1" s="2" t="n"/>
      <c r="EKS1" s="2" t="n"/>
      <c r="EKT1" s="2" t="n"/>
      <c r="EKU1" s="2" t="n"/>
      <c r="EKV1" s="2" t="n"/>
      <c r="EKW1" s="2" t="n"/>
      <c r="EKX1" s="2" t="n"/>
      <c r="EKY1" s="2" t="n"/>
      <c r="EKZ1" s="2" t="n"/>
      <c r="ELA1" s="2" t="n"/>
      <c r="ELB1" s="2" t="n"/>
      <c r="ELC1" s="2" t="n"/>
      <c r="ELD1" s="2" t="n"/>
      <c r="ELE1" s="2" t="n"/>
      <c r="ELF1" s="2" t="n"/>
      <c r="ELG1" s="2" t="n"/>
      <c r="ELH1" s="2" t="n"/>
      <c r="ELI1" s="2" t="n"/>
      <c r="ELJ1" s="2" t="n"/>
      <c r="ELK1" s="2" t="n"/>
      <c r="ELL1" s="2" t="n"/>
      <c r="ELM1" s="2" t="n"/>
      <c r="ELN1" s="2" t="n"/>
      <c r="ELO1" s="2" t="n"/>
      <c r="ELP1" s="2" t="n"/>
      <c r="ELQ1" s="2" t="n"/>
      <c r="ELR1" s="2" t="n"/>
      <c r="ELS1" s="2" t="n"/>
      <c r="ELT1" s="2" t="n"/>
      <c r="ELU1" s="2" t="n"/>
      <c r="ELV1" s="2" t="n"/>
      <c r="ELW1" s="2" t="n"/>
      <c r="ELX1" s="2" t="n"/>
      <c r="ELY1" s="2" t="n"/>
      <c r="ELZ1" s="2" t="n"/>
      <c r="EMA1" s="2" t="n"/>
      <c r="EMB1" s="2" t="n"/>
      <c r="EMC1" s="2" t="n"/>
      <c r="EMD1" s="2" t="n"/>
      <c r="EME1" s="2" t="n"/>
      <c r="EMF1" s="2" t="n"/>
      <c r="EMG1" s="2" t="n"/>
      <c r="EMH1" s="2" t="n"/>
      <c r="EMI1" s="2" t="n"/>
      <c r="EMJ1" s="2" t="n"/>
      <c r="EMK1" s="2" t="n"/>
      <c r="EML1" s="2" t="n"/>
      <c r="EMM1" s="2" t="n"/>
      <c r="EMN1" s="2" t="n"/>
      <c r="EMO1" s="2" t="n"/>
      <c r="EMP1" s="2" t="n"/>
      <c r="EMQ1" s="2" t="n"/>
      <c r="EMR1" s="2" t="n"/>
      <c r="EMS1" s="2" t="n"/>
      <c r="EMT1" s="2" t="n"/>
      <c r="EMU1" s="2" t="n"/>
      <c r="EMV1" s="2" t="n"/>
      <c r="EMW1" s="2" t="n"/>
      <c r="EMX1" s="2" t="n"/>
      <c r="EMY1" s="2" t="n"/>
      <c r="EMZ1" s="2" t="n"/>
      <c r="ENA1" s="2" t="n"/>
      <c r="ENB1" s="2" t="n"/>
      <c r="ENC1" s="2" t="n"/>
      <c r="END1" s="2" t="n"/>
      <c r="ENE1" s="2" t="n"/>
      <c r="ENF1" s="2" t="n"/>
      <c r="ENG1" s="2" t="n"/>
      <c r="ENH1" s="2" t="n"/>
      <c r="ENI1" s="2" t="n"/>
      <c r="ENJ1" s="2" t="n"/>
      <c r="ENK1" s="2" t="n"/>
      <c r="ENL1" s="2" t="n"/>
      <c r="ENM1" s="2" t="n"/>
      <c r="ENN1" s="2" t="n"/>
      <c r="ENO1" s="2" t="n"/>
      <c r="ENP1" s="2" t="n"/>
      <c r="ENQ1" s="2" t="n"/>
      <c r="ENR1" s="2" t="n"/>
      <c r="ENS1" s="2" t="n"/>
      <c r="ENT1" s="2" t="n"/>
      <c r="ENU1" s="2" t="n"/>
      <c r="ENV1" s="2" t="n"/>
      <c r="ENW1" s="2" t="n"/>
      <c r="ENX1" s="2" t="n"/>
      <c r="ENY1" s="2" t="n"/>
      <c r="ENZ1" s="2" t="n"/>
      <c r="EOA1" s="2" t="n"/>
      <c r="EOB1" s="2" t="n"/>
      <c r="EOC1" s="2" t="n"/>
      <c r="EOD1" s="2" t="n"/>
      <c r="EOE1" s="2" t="n"/>
      <c r="EOF1" s="2" t="n"/>
      <c r="EOG1" s="2" t="n"/>
      <c r="EOH1" s="2" t="n"/>
      <c r="EOI1" s="2" t="n"/>
      <c r="EOJ1" s="2" t="n"/>
      <c r="EOK1" s="2" t="n"/>
      <c r="EOL1" s="2" t="n"/>
      <c r="EOM1" s="2" t="n"/>
      <c r="EON1" s="2" t="n"/>
      <c r="EOO1" s="2" t="n"/>
      <c r="EOP1" s="2" t="n"/>
      <c r="EOQ1" s="2" t="n"/>
      <c r="EOR1" s="2" t="n"/>
      <c r="EOS1" s="2" t="n"/>
      <c r="EOT1" s="2" t="n"/>
      <c r="EOU1" s="2" t="n"/>
      <c r="EOV1" s="2" t="n"/>
      <c r="EOW1" s="2" t="n"/>
      <c r="EOX1" s="2" t="n"/>
      <c r="EOY1" s="2" t="n"/>
      <c r="EOZ1" s="2" t="n"/>
      <c r="EPA1" s="2" t="n"/>
      <c r="EPB1" s="2" t="n"/>
      <c r="EPC1" s="2" t="n"/>
      <c r="EPD1" s="2" t="n"/>
      <c r="EPE1" s="2" t="n"/>
      <c r="EPF1" s="2" t="n"/>
      <c r="EPG1" s="2" t="n"/>
      <c r="EPH1" s="2" t="n"/>
      <c r="EPI1" s="2" t="n"/>
      <c r="EPJ1" s="2" t="n"/>
      <c r="EPK1" s="2" t="n"/>
      <c r="EPL1" s="2" t="n"/>
      <c r="EPM1" s="2" t="n"/>
      <c r="EPN1" s="2" t="n"/>
      <c r="EPO1" s="2" t="n"/>
      <c r="EPP1" s="2" t="n"/>
      <c r="EPQ1" s="2" t="n"/>
      <c r="EPR1" s="2" t="n"/>
      <c r="EPS1" s="2" t="n"/>
      <c r="EPT1" s="2" t="n"/>
      <c r="EPU1" s="2" t="n"/>
      <c r="EPV1" s="2" t="n"/>
      <c r="EPW1" s="2" t="n"/>
      <c r="EPX1" s="2" t="n"/>
      <c r="EPY1" s="2" t="n"/>
      <c r="EPZ1" s="2" t="n"/>
      <c r="EQA1" s="2" t="n"/>
      <c r="EQB1" s="2" t="n"/>
      <c r="EQC1" s="2" t="n"/>
      <c r="EQD1" s="2" t="n"/>
      <c r="EQE1" s="2" t="n"/>
      <c r="EQF1" s="2" t="n"/>
      <c r="EQG1" s="2" t="n"/>
      <c r="EQH1" s="2" t="n"/>
      <c r="EQI1" s="2" t="n"/>
      <c r="EQJ1" s="2" t="n"/>
      <c r="EQK1" s="2" t="n"/>
      <c r="EQL1" s="2" t="n"/>
      <c r="EQM1" s="2" t="n"/>
      <c r="EQN1" s="2" t="n"/>
      <c r="EQO1" s="2" t="n"/>
      <c r="EQP1" s="2" t="n"/>
      <c r="EQQ1" s="2" t="n"/>
      <c r="EQR1" s="2" t="n"/>
      <c r="EQS1" s="2" t="n"/>
      <c r="EQT1" s="2" t="n"/>
      <c r="EQU1" s="2" t="n"/>
      <c r="EQV1" s="2" t="n"/>
      <c r="EQW1" s="2" t="n"/>
      <c r="EQX1" s="2" t="n"/>
      <c r="EQY1" s="2" t="n"/>
      <c r="EQZ1" s="2" t="n"/>
      <c r="ERA1" s="2" t="n"/>
      <c r="ERB1" s="2" t="n"/>
      <c r="ERC1" s="2" t="n"/>
      <c r="ERD1" s="2" t="n"/>
      <c r="ERE1" s="2" t="n"/>
      <c r="ERF1" s="2" t="n"/>
      <c r="ERG1" s="2" t="n"/>
      <c r="ERH1" s="2" t="n"/>
      <c r="ERI1" s="2" t="n"/>
      <c r="ERJ1" s="2" t="n"/>
      <c r="ERK1" s="2" t="n"/>
      <c r="ERL1" s="2" t="n"/>
      <c r="ERM1" s="2" t="n"/>
      <c r="ERN1" s="2" t="n"/>
      <c r="ERO1" s="2" t="n"/>
      <c r="ERP1" s="2" t="n"/>
      <c r="ERQ1" s="2" t="n"/>
      <c r="ERR1" s="2" t="n"/>
      <c r="ERS1" s="2" t="n"/>
      <c r="ERT1" s="2" t="n"/>
      <c r="ERU1" s="2" t="n"/>
      <c r="ERV1" s="2" t="n"/>
      <c r="ERW1" s="2" t="n"/>
      <c r="ERX1" s="2" t="n"/>
      <c r="ERY1" s="2" t="n"/>
      <c r="ERZ1" s="2" t="n"/>
      <c r="ESA1" s="2" t="n"/>
      <c r="ESB1" s="2" t="n"/>
      <c r="ESC1" s="2" t="n"/>
      <c r="ESD1" s="2" t="n"/>
      <c r="ESE1" s="2" t="n"/>
      <c r="ESF1" s="2" t="n"/>
      <c r="ESG1" s="2" t="n"/>
      <c r="ESH1" s="2" t="n"/>
      <c r="ESI1" s="2" t="n"/>
      <c r="ESJ1" s="2" t="n"/>
      <c r="ESK1" s="2" t="n"/>
      <c r="ESL1" s="2" t="n"/>
      <c r="ESM1" s="2" t="n"/>
      <c r="ESN1" s="2" t="n"/>
      <c r="ESO1" s="2" t="n"/>
      <c r="ESP1" s="2" t="n"/>
      <c r="ESQ1" s="2" t="n"/>
      <c r="ESR1" s="2" t="n"/>
      <c r="ESS1" s="2" t="n"/>
      <c r="EST1" s="2" t="n"/>
      <c r="ESU1" s="2" t="n"/>
      <c r="ESV1" s="2" t="n"/>
      <c r="ESW1" s="2" t="n"/>
      <c r="ESX1" s="2" t="n"/>
      <c r="ESY1" s="2" t="n"/>
      <c r="ESZ1" s="2" t="n"/>
      <c r="ETA1" s="2" t="n"/>
      <c r="ETB1" s="2" t="n"/>
      <c r="ETC1" s="2" t="n"/>
      <c r="ETD1" s="2" t="n"/>
      <c r="ETE1" s="2" t="n"/>
      <c r="ETF1" s="2" t="n"/>
      <c r="ETG1" s="2" t="n"/>
      <c r="ETH1" s="2" t="n"/>
      <c r="ETI1" s="2" t="n"/>
      <c r="ETJ1" s="2" t="n"/>
      <c r="ETK1" s="2" t="n"/>
      <c r="ETL1" s="2" t="n"/>
      <c r="ETM1" s="2" t="n"/>
      <c r="ETN1" s="2" t="n"/>
      <c r="ETO1" s="2" t="n"/>
      <c r="ETP1" s="2" t="n"/>
      <c r="ETQ1" s="2" t="n"/>
      <c r="ETR1" s="2" t="n"/>
      <c r="ETS1" s="2" t="n"/>
      <c r="ETT1" s="2" t="n"/>
      <c r="ETU1" s="2" t="n"/>
      <c r="ETV1" s="2" t="n"/>
      <c r="ETW1" s="2" t="n"/>
      <c r="ETX1" s="2" t="n"/>
      <c r="ETY1" s="2" t="n"/>
      <c r="ETZ1" s="2" t="n"/>
      <c r="EUA1" s="2" t="n"/>
      <c r="EUB1" s="2" t="n"/>
      <c r="EUC1" s="2" t="n"/>
      <c r="EUD1" s="2" t="n"/>
      <c r="EUE1" s="2" t="n"/>
      <c r="EUF1" s="2" t="n"/>
      <c r="EUG1" s="2" t="n"/>
      <c r="EUH1" s="2" t="n"/>
      <c r="EUI1" s="2" t="n"/>
      <c r="EUJ1" s="2" t="n"/>
      <c r="EUK1" s="2" t="n"/>
      <c r="EUL1" s="2" t="n"/>
      <c r="EUM1" s="2" t="n"/>
      <c r="EUN1" s="2" t="n"/>
      <c r="EUO1" s="2" t="n"/>
      <c r="EUP1" s="2" t="n"/>
      <c r="EUQ1" s="2" t="n"/>
      <c r="EUR1" s="2" t="n"/>
      <c r="EUS1" s="2" t="n"/>
      <c r="EUT1" s="2" t="n"/>
      <c r="EUU1" s="2" t="n"/>
      <c r="EUV1" s="2" t="n"/>
      <c r="EUW1" s="2" t="n"/>
      <c r="EUX1" s="2" t="n"/>
      <c r="EUY1" s="2" t="n"/>
      <c r="EUZ1" s="2" t="n"/>
      <c r="EVA1" s="2" t="n"/>
      <c r="EVB1" s="2" t="n"/>
      <c r="EVC1" s="2" t="n"/>
      <c r="EVD1" s="2" t="n"/>
      <c r="EVE1" s="2" t="n"/>
      <c r="EVF1" s="2" t="n"/>
      <c r="EVG1" s="2" t="n"/>
      <c r="EVH1" s="2" t="n"/>
      <c r="EVI1" s="2" t="n"/>
      <c r="EVJ1" s="2" t="n"/>
      <c r="EVK1" s="2" t="n"/>
      <c r="EVL1" s="2" t="n"/>
      <c r="EVM1" s="2" t="n"/>
      <c r="EVN1" s="2" t="n"/>
      <c r="EVO1" s="2" t="n"/>
      <c r="EVP1" s="2" t="n"/>
      <c r="EVQ1" s="2" t="n"/>
      <c r="EVR1" s="2" t="n"/>
      <c r="EVS1" s="2" t="n"/>
      <c r="EVT1" s="2" t="n"/>
      <c r="EVU1" s="2" t="n"/>
      <c r="EVV1" s="2" t="n"/>
      <c r="EVW1" s="2" t="n"/>
      <c r="EVX1" s="2" t="n"/>
      <c r="EVY1" s="2" t="n"/>
      <c r="EVZ1" s="2" t="n"/>
      <c r="EWA1" s="2" t="n"/>
      <c r="EWB1" s="2" t="n"/>
      <c r="EWC1" s="2" t="n"/>
      <c r="EWD1" s="2" t="n"/>
      <c r="EWE1" s="2" t="n"/>
      <c r="EWF1" s="2" t="n"/>
      <c r="EWG1" s="2" t="n"/>
      <c r="EWH1" s="2" t="n"/>
      <c r="EWI1" s="2" t="n"/>
      <c r="EWJ1" s="2" t="n"/>
      <c r="EWK1" s="2" t="n"/>
      <c r="EWL1" s="2" t="n"/>
      <c r="EWM1" s="2" t="n"/>
      <c r="EWN1" s="2" t="n"/>
      <c r="EWO1" s="2" t="n"/>
      <c r="EWP1" s="2" t="n"/>
      <c r="EWQ1" s="2" t="n"/>
      <c r="EWR1" s="2" t="n"/>
      <c r="EWS1" s="2" t="n"/>
      <c r="EWT1" s="2" t="n"/>
      <c r="EWU1" s="2" t="n"/>
      <c r="EWV1" s="2" t="n"/>
      <c r="EWW1" s="2" t="n"/>
      <c r="EWX1" s="2" t="n"/>
      <c r="EWY1" s="2" t="n"/>
      <c r="EWZ1" s="2" t="n"/>
      <c r="EXA1" s="2" t="n"/>
      <c r="EXB1" s="2" t="n"/>
      <c r="EXC1" s="2" t="n"/>
      <c r="EXD1" s="2" t="n"/>
      <c r="EXE1" s="2" t="n"/>
      <c r="EXF1" s="2" t="n"/>
      <c r="EXG1" s="2" t="n"/>
      <c r="EXH1" s="2" t="n"/>
      <c r="EXI1" s="2" t="n"/>
      <c r="EXJ1" s="2" t="n"/>
      <c r="EXK1" s="2" t="n"/>
      <c r="EXL1" s="2" t="n"/>
      <c r="EXM1" s="2" t="n"/>
      <c r="EXN1" s="2" t="n"/>
      <c r="EXO1" s="2" t="n"/>
      <c r="EXP1" s="2" t="n"/>
      <c r="EXQ1" s="2" t="n"/>
      <c r="EXR1" s="2" t="n"/>
      <c r="EXS1" s="2" t="n"/>
      <c r="EXT1" s="2" t="n"/>
      <c r="EXU1" s="2" t="n"/>
      <c r="EXV1" s="2" t="n"/>
      <c r="EXW1" s="2" t="n"/>
      <c r="EXX1" s="2" t="n"/>
      <c r="EXY1" s="2" t="n"/>
      <c r="EXZ1" s="2" t="n"/>
      <c r="EYA1" s="2" t="n"/>
      <c r="EYB1" s="2" t="n"/>
      <c r="EYC1" s="2" t="n"/>
      <c r="EYD1" s="2" t="n"/>
      <c r="EYE1" s="2" t="n"/>
      <c r="EYF1" s="2" t="n"/>
      <c r="EYG1" s="2" t="n"/>
      <c r="EYH1" s="2" t="n"/>
      <c r="EYI1" s="2" t="n"/>
      <c r="EYJ1" s="2" t="n"/>
      <c r="EYK1" s="2" t="n"/>
      <c r="EYL1" s="2" t="n"/>
      <c r="EYM1" s="2" t="n"/>
      <c r="EYN1" s="2" t="n"/>
      <c r="EYO1" s="2" t="n"/>
      <c r="EYP1" s="2" t="n"/>
      <c r="EYQ1" s="2" t="n"/>
      <c r="EYR1" s="2" t="n"/>
      <c r="EYS1" s="2" t="n"/>
      <c r="EYT1" s="2" t="n"/>
      <c r="EYU1" s="2" t="n"/>
      <c r="EYV1" s="2" t="n"/>
      <c r="EYW1" s="2" t="n"/>
      <c r="EYX1" s="2" t="n"/>
      <c r="EYY1" s="2" t="n"/>
      <c r="EYZ1" s="2" t="n"/>
      <c r="EZA1" s="2" t="n"/>
      <c r="EZB1" s="2" t="n"/>
      <c r="EZC1" s="2" t="n"/>
      <c r="EZD1" s="2" t="n"/>
      <c r="EZE1" s="2" t="n"/>
      <c r="EZF1" s="2" t="n"/>
      <c r="EZG1" s="2" t="n"/>
      <c r="EZH1" s="2" t="n"/>
      <c r="EZI1" s="2" t="n"/>
      <c r="EZJ1" s="2" t="n"/>
      <c r="EZK1" s="2" t="n"/>
      <c r="EZL1" s="2" t="n"/>
      <c r="EZM1" s="2" t="n"/>
      <c r="EZN1" s="2" t="n"/>
      <c r="EZO1" s="2" t="n"/>
      <c r="EZP1" s="2" t="n"/>
      <c r="EZQ1" s="2" t="n"/>
      <c r="EZR1" s="2" t="n"/>
      <c r="EZS1" s="2" t="n"/>
      <c r="EZT1" s="2" t="n"/>
      <c r="EZU1" s="2" t="n"/>
      <c r="EZV1" s="2" t="n"/>
      <c r="EZW1" s="2" t="n"/>
      <c r="EZX1" s="2" t="n"/>
      <c r="EZY1" s="2" t="n"/>
      <c r="EZZ1" s="2" t="n"/>
      <c r="FAA1" s="2" t="n"/>
      <c r="FAB1" s="2" t="n"/>
      <c r="FAC1" s="2" t="n"/>
      <c r="FAD1" s="2" t="n"/>
      <c r="FAE1" s="2" t="n"/>
      <c r="FAF1" s="2" t="n"/>
      <c r="FAG1" s="2" t="n"/>
      <c r="FAH1" s="2" t="n"/>
      <c r="FAI1" s="2" t="n"/>
      <c r="FAJ1" s="2" t="n"/>
      <c r="FAK1" s="2" t="n"/>
      <c r="FAL1" s="2" t="n"/>
      <c r="FAM1" s="2" t="n"/>
      <c r="FAN1" s="2" t="n"/>
      <c r="FAO1" s="2" t="n"/>
      <c r="FAP1" s="2" t="n"/>
      <c r="FAQ1" s="2" t="n"/>
      <c r="FAR1" s="2" t="n"/>
      <c r="FAS1" s="2" t="n"/>
      <c r="FAT1" s="2" t="n"/>
      <c r="FAU1" s="2" t="n"/>
      <c r="FAV1" s="2" t="n"/>
      <c r="FAW1" s="2" t="n"/>
      <c r="FAX1" s="2" t="n"/>
      <c r="FAY1" s="2" t="n"/>
      <c r="FAZ1" s="2" t="n"/>
      <c r="FBA1" s="2" t="n"/>
      <c r="FBB1" s="2" t="n"/>
      <c r="FBC1" s="2" t="n"/>
      <c r="FBD1" s="2" t="n"/>
      <c r="FBE1" s="2" t="n"/>
      <c r="FBF1" s="2" t="n"/>
      <c r="FBG1" s="2" t="n"/>
      <c r="FBH1" s="2" t="n"/>
      <c r="FBI1" s="2" t="n"/>
      <c r="FBJ1" s="2" t="n"/>
      <c r="FBK1" s="2" t="n"/>
      <c r="FBL1" s="2" t="n"/>
      <c r="FBM1" s="2" t="n"/>
      <c r="FBN1" s="2" t="n"/>
      <c r="FBO1" s="2" t="n"/>
      <c r="FBP1" s="2" t="n"/>
      <c r="FBQ1" s="2" t="n"/>
      <c r="FBR1" s="2" t="n"/>
      <c r="FBS1" s="2" t="n"/>
      <c r="FBT1" s="2" t="n"/>
      <c r="FBU1" s="2" t="n"/>
      <c r="FBV1" s="2" t="n"/>
      <c r="FBW1" s="2" t="n"/>
      <c r="FBX1" s="2" t="n"/>
      <c r="FBY1" s="2" t="n"/>
      <c r="FBZ1" s="2" t="n"/>
      <c r="FCA1" s="2" t="n"/>
      <c r="FCB1" s="2" t="n"/>
      <c r="FCC1" s="2" t="n"/>
      <c r="FCD1" s="2" t="n"/>
      <c r="FCE1" s="2" t="n"/>
      <c r="FCF1" s="2" t="n"/>
      <c r="FCG1" s="2" t="n"/>
      <c r="FCH1" s="2" t="n"/>
      <c r="FCI1" s="2" t="n"/>
      <c r="FCJ1" s="2" t="n"/>
      <c r="FCK1" s="2" t="n"/>
      <c r="FCL1" s="2" t="n"/>
      <c r="FCM1" s="2" t="n"/>
      <c r="FCN1" s="2" t="n"/>
      <c r="FCO1" s="2" t="n"/>
      <c r="FCP1" s="2" t="n"/>
      <c r="FCQ1" s="2" t="n"/>
      <c r="FCR1" s="2" t="n"/>
      <c r="FCS1" s="2" t="n"/>
      <c r="FCT1" s="2" t="n"/>
      <c r="FCU1" s="2" t="n"/>
      <c r="FCV1" s="2" t="n"/>
      <c r="FCW1" s="2" t="n"/>
      <c r="FCX1" s="2" t="n"/>
      <c r="FCY1" s="2" t="n"/>
      <c r="FCZ1" s="2" t="n"/>
      <c r="FDA1" s="2" t="n"/>
      <c r="FDB1" s="2" t="n"/>
      <c r="FDC1" s="2" t="n"/>
      <c r="FDD1" s="2" t="n"/>
      <c r="FDE1" s="2" t="n"/>
      <c r="FDF1" s="2" t="n"/>
      <c r="FDG1" s="2" t="n"/>
      <c r="FDH1" s="2" t="n"/>
      <c r="FDI1" s="2" t="n"/>
      <c r="FDJ1" s="2" t="n"/>
      <c r="FDK1" s="2" t="n"/>
      <c r="FDL1" s="2" t="n"/>
      <c r="FDM1" s="2" t="n"/>
      <c r="FDN1" s="2" t="n"/>
      <c r="FDO1" s="2" t="n"/>
      <c r="FDP1" s="2" t="n"/>
      <c r="FDQ1" s="2" t="n"/>
      <c r="FDR1" s="2" t="n"/>
      <c r="FDS1" s="2" t="n"/>
      <c r="FDT1" s="2" t="n"/>
      <c r="FDU1" s="2" t="n"/>
      <c r="FDV1" s="2" t="n"/>
      <c r="FDW1" s="2" t="n"/>
      <c r="FDX1" s="2" t="n"/>
      <c r="FDY1" s="2" t="n"/>
      <c r="FDZ1" s="2" t="n"/>
      <c r="FEA1" s="2" t="n"/>
      <c r="FEB1" s="2" t="n"/>
      <c r="FEC1" s="2" t="n"/>
      <c r="FED1" s="2" t="n"/>
      <c r="FEE1" s="2" t="n"/>
      <c r="FEF1" s="2" t="n"/>
      <c r="FEG1" s="2" t="n"/>
      <c r="FEH1" s="2" t="n"/>
      <c r="FEI1" s="2" t="n"/>
      <c r="FEJ1" s="2" t="n"/>
      <c r="FEK1" s="2" t="n"/>
      <c r="FEL1" s="2" t="n"/>
      <c r="FEM1" s="2" t="n"/>
      <c r="FEN1" s="2" t="n"/>
      <c r="FEO1" s="2" t="n"/>
      <c r="FEP1" s="2" t="n"/>
      <c r="FEQ1" s="2" t="n"/>
      <c r="FER1" s="2" t="n"/>
      <c r="FES1" s="2" t="n"/>
      <c r="FET1" s="2" t="n"/>
      <c r="FEU1" s="2" t="n"/>
      <c r="FEV1" s="2" t="n"/>
      <c r="FEW1" s="2" t="n"/>
      <c r="FEX1" s="2" t="n"/>
      <c r="FEY1" s="2" t="n"/>
      <c r="FEZ1" s="2" t="n"/>
      <c r="FFA1" s="2" t="n"/>
      <c r="FFB1" s="2" t="n"/>
      <c r="FFC1" s="2" t="n"/>
      <c r="FFD1" s="2" t="n"/>
      <c r="FFE1" s="2" t="n"/>
      <c r="FFF1" s="2" t="n"/>
      <c r="FFG1" s="2" t="n"/>
      <c r="FFH1" s="2" t="n"/>
      <c r="FFI1" s="2" t="n"/>
      <c r="FFJ1" s="2" t="n"/>
      <c r="FFK1" s="2" t="n"/>
      <c r="FFL1" s="2" t="n"/>
      <c r="FFM1" s="2" t="n"/>
      <c r="FFN1" s="2" t="n"/>
      <c r="FFO1" s="2" t="n"/>
      <c r="FFP1" s="2" t="n"/>
      <c r="FFQ1" s="2" t="n"/>
      <c r="FFR1" s="2" t="n"/>
      <c r="FFS1" s="2" t="n"/>
      <c r="FFT1" s="2" t="n"/>
      <c r="FFU1" s="2" t="n"/>
      <c r="FFV1" s="2" t="n"/>
      <c r="FFW1" s="2" t="n"/>
      <c r="FFX1" s="2" t="n"/>
      <c r="FFY1" s="2" t="n"/>
      <c r="FFZ1" s="2" t="n"/>
      <c r="FGA1" s="2" t="n"/>
      <c r="FGB1" s="2" t="n"/>
      <c r="FGC1" s="2" t="n"/>
      <c r="FGD1" s="2" t="n"/>
      <c r="FGE1" s="2" t="n"/>
      <c r="FGF1" s="2" t="n"/>
      <c r="FGG1" s="2" t="n"/>
      <c r="FGH1" s="2" t="n"/>
      <c r="FGI1" s="2" t="n"/>
      <c r="FGJ1" s="2" t="n"/>
      <c r="FGK1" s="2" t="n"/>
      <c r="FGL1" s="2" t="n"/>
      <c r="FGM1" s="2" t="n"/>
      <c r="FGN1" s="2" t="n"/>
      <c r="FGO1" s="2" t="n"/>
      <c r="FGP1" s="2" t="n"/>
      <c r="FGQ1" s="2" t="n"/>
      <c r="FGR1" s="2" t="n"/>
      <c r="FGS1" s="2" t="n"/>
      <c r="FGT1" s="2" t="n"/>
      <c r="FGU1" s="2" t="n"/>
      <c r="FGV1" s="2" t="n"/>
      <c r="FGW1" s="2" t="n"/>
      <c r="FGX1" s="2" t="n"/>
      <c r="FGY1" s="2" t="n"/>
      <c r="FGZ1" s="2" t="n"/>
      <c r="FHA1" s="2" t="n"/>
      <c r="FHB1" s="2" t="n"/>
      <c r="FHC1" s="2" t="n"/>
      <c r="FHD1" s="2" t="n"/>
      <c r="FHE1" s="2" t="n"/>
      <c r="FHF1" s="2" t="n"/>
      <c r="FHG1" s="2" t="n"/>
      <c r="FHH1" s="2" t="n"/>
      <c r="FHI1" s="2" t="n"/>
      <c r="FHJ1" s="2" t="n"/>
      <c r="FHK1" s="2" t="n"/>
      <c r="FHL1" s="2" t="n"/>
      <c r="FHM1" s="2" t="n"/>
      <c r="FHN1" s="2" t="n"/>
      <c r="FHO1" s="2" t="n"/>
      <c r="FHP1" s="2" t="n"/>
      <c r="FHQ1" s="2" t="n"/>
      <c r="FHR1" s="2" t="n"/>
      <c r="FHS1" s="2" t="n"/>
      <c r="FHT1" s="2" t="n"/>
      <c r="FHU1" s="2" t="n"/>
      <c r="FHV1" s="2" t="n"/>
      <c r="FHW1" s="2" t="n"/>
      <c r="FHX1" s="2" t="n"/>
      <c r="FHY1" s="2" t="n"/>
      <c r="FHZ1" s="2" t="n"/>
      <c r="FIA1" s="2" t="n"/>
      <c r="FIB1" s="2" t="n"/>
      <c r="FIC1" s="2" t="n"/>
      <c r="FID1" s="2" t="n"/>
      <c r="FIE1" s="2" t="n"/>
      <c r="FIF1" s="2" t="n"/>
      <c r="FIG1" s="2" t="n"/>
      <c r="FIH1" s="2" t="n"/>
      <c r="FII1" s="2" t="n"/>
      <c r="FIJ1" s="2" t="n"/>
      <c r="FIK1" s="2" t="n"/>
      <c r="FIL1" s="2" t="n"/>
      <c r="FIM1" s="2" t="n"/>
      <c r="FIN1" s="2" t="n"/>
      <c r="FIO1" s="2" t="n"/>
      <c r="FIP1" s="2" t="n"/>
      <c r="FIQ1" s="2" t="n"/>
      <c r="FIR1" s="2" t="n"/>
      <c r="FIS1" s="2" t="n"/>
      <c r="FIT1" s="2" t="n"/>
      <c r="FIU1" s="2" t="n"/>
      <c r="FIV1" s="2" t="n"/>
      <c r="FIW1" s="2" t="n"/>
      <c r="FIX1" s="2" t="n"/>
      <c r="FIY1" s="2" t="n"/>
      <c r="FIZ1" s="2" t="n"/>
      <c r="FJA1" s="2" t="n"/>
      <c r="FJB1" s="2" t="n"/>
      <c r="FJC1" s="2" t="n"/>
      <c r="FJD1" s="2" t="n"/>
      <c r="FJE1" s="2" t="n"/>
      <c r="FJF1" s="2" t="n"/>
      <c r="FJG1" s="2" t="n"/>
      <c r="FJH1" s="2" t="n"/>
      <c r="FJI1" s="2" t="n"/>
      <c r="FJJ1" s="2" t="n"/>
      <c r="FJK1" s="2" t="n"/>
      <c r="FJL1" s="2" t="n"/>
      <c r="FJM1" s="2" t="n"/>
      <c r="FJN1" s="2" t="n"/>
      <c r="FJO1" s="2" t="n"/>
      <c r="FJP1" s="2" t="n"/>
      <c r="FJQ1" s="2" t="n"/>
      <c r="FJR1" s="2" t="n"/>
      <c r="FJS1" s="2" t="n"/>
      <c r="FJT1" s="2" t="n"/>
      <c r="FJU1" s="2" t="n"/>
      <c r="FJV1" s="2" t="n"/>
      <c r="FJW1" s="2" t="n"/>
      <c r="FJX1" s="2" t="n"/>
      <c r="FJY1" s="2" t="n"/>
      <c r="FJZ1" s="2" t="n"/>
      <c r="FKA1" s="2" t="n"/>
      <c r="FKB1" s="2" t="n"/>
      <c r="FKC1" s="2" t="n"/>
      <c r="FKD1" s="2" t="n"/>
      <c r="FKE1" s="2" t="n"/>
      <c r="FKF1" s="2" t="n"/>
      <c r="FKG1" s="2" t="n"/>
      <c r="FKH1" s="2" t="n"/>
      <c r="FKI1" s="2" t="n"/>
      <c r="FKJ1" s="2" t="n"/>
      <c r="FKK1" s="2" t="n"/>
      <c r="FKL1" s="2" t="n"/>
      <c r="FKM1" s="2" t="n"/>
      <c r="FKN1" s="2" t="n"/>
      <c r="FKO1" s="2" t="n"/>
      <c r="FKP1" s="2" t="n"/>
      <c r="FKQ1" s="2" t="n"/>
      <c r="FKR1" s="2" t="n"/>
      <c r="FKS1" s="2" t="n"/>
      <c r="FKT1" s="2" t="n"/>
      <c r="FKU1" s="2" t="n"/>
      <c r="FKV1" s="2" t="n"/>
      <c r="FKW1" s="2" t="n"/>
      <c r="FKX1" s="2" t="n"/>
      <c r="FKY1" s="2" t="n"/>
      <c r="FKZ1" s="2" t="n"/>
      <c r="FLA1" s="2" t="n"/>
      <c r="FLB1" s="2" t="n"/>
      <c r="FLC1" s="2" t="n"/>
      <c r="FLD1" s="2" t="n"/>
      <c r="FLE1" s="2" t="n"/>
      <c r="FLF1" s="2" t="n"/>
      <c r="FLG1" s="2" t="n"/>
      <c r="FLH1" s="2" t="n"/>
      <c r="FLI1" s="2" t="n"/>
      <c r="FLJ1" s="2" t="n"/>
      <c r="FLK1" s="2" t="n"/>
      <c r="FLL1" s="2" t="n"/>
      <c r="FLM1" s="2" t="n"/>
      <c r="FLN1" s="2" t="n"/>
      <c r="FLO1" s="2" t="n"/>
      <c r="FLP1" s="2" t="n"/>
      <c r="FLQ1" s="2" t="n"/>
      <c r="FLR1" s="2" t="n"/>
      <c r="FLS1" s="2" t="n"/>
      <c r="FLT1" s="2" t="n"/>
      <c r="FLU1" s="2" t="n"/>
      <c r="FLV1" s="2" t="n"/>
      <c r="FLW1" s="2" t="n"/>
      <c r="FLX1" s="2" t="n"/>
      <c r="FLY1" s="2" t="n"/>
      <c r="FLZ1" s="2" t="n"/>
      <c r="FMA1" s="2" t="n"/>
      <c r="FMB1" s="2" t="n"/>
      <c r="FMC1" s="2" t="n"/>
      <c r="FMD1" s="2" t="n"/>
      <c r="FME1" s="2" t="n"/>
      <c r="FMF1" s="2" t="n"/>
      <c r="FMG1" s="2" t="n"/>
      <c r="FMH1" s="2" t="n"/>
      <c r="FMI1" s="2" t="n"/>
      <c r="FMJ1" s="2" t="n"/>
      <c r="FMK1" s="2" t="n"/>
      <c r="FML1" s="2" t="n"/>
      <c r="FMM1" s="2" t="n"/>
      <c r="FMN1" s="2" t="n"/>
      <c r="FMO1" s="2" t="n"/>
      <c r="FMP1" s="2" t="n"/>
      <c r="FMQ1" s="2" t="n"/>
      <c r="FMR1" s="2" t="n"/>
      <c r="FMS1" s="2" t="n"/>
      <c r="FMT1" s="2" t="n"/>
      <c r="FMU1" s="2" t="n"/>
      <c r="FMV1" s="2" t="n"/>
      <c r="FMW1" s="2" t="n"/>
      <c r="FMX1" s="2" t="n"/>
      <c r="FMY1" s="2" t="n"/>
      <c r="FMZ1" s="2" t="n"/>
      <c r="FNA1" s="2" t="n"/>
      <c r="FNB1" s="2" t="n"/>
      <c r="FNC1" s="2" t="n"/>
      <c r="FND1" s="2" t="n"/>
      <c r="FNE1" s="2" t="n"/>
      <c r="FNF1" s="2" t="n"/>
      <c r="FNG1" s="2" t="n"/>
      <c r="FNH1" s="2" t="n"/>
      <c r="FNI1" s="2" t="n"/>
      <c r="FNJ1" s="2" t="n"/>
      <c r="FNK1" s="2" t="n"/>
      <c r="FNL1" s="2" t="n"/>
      <c r="FNM1" s="2" t="n"/>
      <c r="FNN1" s="2" t="n"/>
      <c r="FNO1" s="2" t="n"/>
      <c r="FNP1" s="2" t="n"/>
      <c r="FNQ1" s="2" t="n"/>
      <c r="FNR1" s="2" t="n"/>
      <c r="FNS1" s="2" t="n"/>
      <c r="FNT1" s="2" t="n"/>
      <c r="FNU1" s="2" t="n"/>
      <c r="FNV1" s="2" t="n"/>
      <c r="FNW1" s="2" t="n"/>
      <c r="FNX1" s="2" t="n"/>
      <c r="FNY1" s="2" t="n"/>
      <c r="FNZ1" s="2" t="n"/>
      <c r="FOA1" s="2" t="n"/>
      <c r="FOB1" s="2" t="n"/>
      <c r="FOC1" s="2" t="n"/>
      <c r="FOD1" s="2" t="n"/>
      <c r="FOE1" s="2" t="n"/>
      <c r="FOF1" s="2" t="n"/>
      <c r="FOG1" s="2" t="n"/>
      <c r="FOH1" s="2" t="n"/>
      <c r="FOI1" s="2" t="n"/>
      <c r="FOJ1" s="2" t="n"/>
      <c r="FOK1" s="2" t="n"/>
      <c r="FOL1" s="2" t="n"/>
      <c r="FOM1" s="2" t="n"/>
      <c r="FON1" s="2" t="n"/>
      <c r="FOO1" s="2" t="n"/>
      <c r="FOP1" s="2" t="n"/>
      <c r="FOQ1" s="2" t="n"/>
      <c r="FOR1" s="2" t="n"/>
      <c r="FOS1" s="2" t="n"/>
      <c r="FOT1" s="2" t="n"/>
      <c r="FOU1" s="2" t="n"/>
      <c r="FOV1" s="2" t="n"/>
      <c r="FOW1" s="2" t="n"/>
      <c r="FOX1" s="2" t="n"/>
      <c r="FOY1" s="2" t="n"/>
      <c r="FOZ1" s="2" t="n"/>
      <c r="FPA1" s="2" t="n"/>
      <c r="FPB1" s="2" t="n"/>
      <c r="FPC1" s="2" t="n"/>
      <c r="FPD1" s="2" t="n"/>
      <c r="FPE1" s="2" t="n"/>
      <c r="FPF1" s="2" t="n"/>
      <c r="FPG1" s="2" t="n"/>
      <c r="FPH1" s="2" t="n"/>
      <c r="FPI1" s="2" t="n"/>
      <c r="FPJ1" s="2" t="n"/>
      <c r="FPK1" s="2" t="n"/>
      <c r="FPL1" s="2" t="n"/>
      <c r="FPM1" s="2" t="n"/>
      <c r="FPN1" s="2" t="n"/>
      <c r="FPO1" s="2" t="n"/>
      <c r="FPP1" s="2" t="n"/>
      <c r="FPQ1" s="2" t="n"/>
      <c r="FPR1" s="2" t="n"/>
      <c r="FPS1" s="2" t="n"/>
      <c r="FPT1" s="2" t="n"/>
      <c r="FPU1" s="2" t="n"/>
      <c r="FPV1" s="2" t="n"/>
      <c r="FPW1" s="2" t="n"/>
      <c r="FPX1" s="2" t="n"/>
      <c r="FPY1" s="2" t="n"/>
      <c r="FPZ1" s="2" t="n"/>
      <c r="FQA1" s="2" t="n"/>
      <c r="FQB1" s="2" t="n"/>
      <c r="FQC1" s="2" t="n"/>
      <c r="FQD1" s="2" t="n"/>
      <c r="FQE1" s="2" t="n"/>
      <c r="FQF1" s="2" t="n"/>
      <c r="FQG1" s="2" t="n"/>
      <c r="FQH1" s="2" t="n"/>
      <c r="FQI1" s="2" t="n"/>
      <c r="FQJ1" s="2" t="n"/>
      <c r="FQK1" s="2" t="n"/>
      <c r="FQL1" s="2" t="n"/>
      <c r="FQM1" s="2" t="n"/>
      <c r="FQN1" s="2" t="n"/>
      <c r="FQO1" s="2" t="n"/>
      <c r="FQP1" s="2" t="n"/>
      <c r="FQQ1" s="2" t="n"/>
      <c r="FQR1" s="2" t="n"/>
      <c r="FQS1" s="2" t="n"/>
      <c r="FQT1" s="2" t="n"/>
      <c r="FQU1" s="2" t="n"/>
      <c r="FQV1" s="2" t="n"/>
      <c r="FQW1" s="2" t="n"/>
      <c r="FQX1" s="2" t="n"/>
      <c r="FQY1" s="2" t="n"/>
      <c r="FQZ1" s="2" t="n"/>
      <c r="FRA1" s="2" t="n"/>
      <c r="FRB1" s="2" t="n"/>
      <c r="FRC1" s="2" t="n"/>
      <c r="FRD1" s="2" t="n"/>
      <c r="FRE1" s="2" t="n"/>
      <c r="FRF1" s="2" t="n"/>
      <c r="FRG1" s="2" t="n"/>
      <c r="FRH1" s="2" t="n"/>
      <c r="FRI1" s="2" t="n"/>
      <c r="FRJ1" s="2" t="n"/>
      <c r="FRK1" s="2" t="n"/>
      <c r="FRL1" s="2" t="n"/>
      <c r="FRM1" s="2" t="n"/>
      <c r="FRN1" s="2" t="n"/>
      <c r="FRO1" s="2" t="n"/>
      <c r="FRP1" s="2" t="n"/>
      <c r="FRQ1" s="2" t="n"/>
      <c r="FRR1" s="2" t="n"/>
      <c r="FRS1" s="2" t="n"/>
      <c r="FRT1" s="2" t="n"/>
      <c r="FRU1" s="2" t="n"/>
      <c r="FRV1" s="2" t="n"/>
      <c r="FRW1" s="2" t="n"/>
      <c r="FRX1" s="2" t="n"/>
      <c r="FRY1" s="2" t="n"/>
      <c r="FRZ1" s="2" t="n"/>
      <c r="FSA1" s="2" t="n"/>
      <c r="FSB1" s="2" t="n"/>
      <c r="FSC1" s="2" t="n"/>
      <c r="FSD1" s="2" t="n"/>
      <c r="FSE1" s="2" t="n"/>
      <c r="FSF1" s="2" t="n"/>
      <c r="FSG1" s="2" t="n"/>
      <c r="FSH1" s="2" t="n"/>
      <c r="FSI1" s="2" t="n"/>
      <c r="FSJ1" s="2" t="n"/>
      <c r="FSK1" s="2" t="n"/>
      <c r="FSL1" s="2" t="n"/>
      <c r="FSM1" s="2" t="n"/>
      <c r="FSN1" s="2" t="n"/>
      <c r="FSO1" s="2" t="n"/>
      <c r="FSP1" s="2" t="n"/>
      <c r="FSQ1" s="2" t="n"/>
      <c r="FSR1" s="2" t="n"/>
      <c r="FSS1" s="2" t="n"/>
      <c r="FST1" s="2" t="n"/>
      <c r="FSU1" s="2" t="n"/>
      <c r="FSV1" s="2" t="n"/>
      <c r="FSW1" s="2" t="n"/>
      <c r="FSX1" s="2" t="n"/>
      <c r="FSY1" s="2" t="n"/>
      <c r="FSZ1" s="2" t="n"/>
      <c r="FTA1" s="2" t="n"/>
      <c r="FTB1" s="2" t="n"/>
      <c r="FTC1" s="2" t="n"/>
      <c r="FTD1" s="2" t="n"/>
      <c r="FTE1" s="2" t="n"/>
      <c r="FTF1" s="2" t="n"/>
      <c r="FTG1" s="2" t="n"/>
      <c r="FTH1" s="2" t="n"/>
      <c r="FTI1" s="2" t="n"/>
      <c r="FTJ1" s="2" t="n"/>
      <c r="FTK1" s="2" t="n"/>
      <c r="FTL1" s="2" t="n"/>
      <c r="FTM1" s="2" t="n"/>
      <c r="FTN1" s="2" t="n"/>
      <c r="FTO1" s="2" t="n"/>
      <c r="FTP1" s="2" t="n"/>
      <c r="FTQ1" s="2" t="n"/>
      <c r="FTR1" s="2" t="n"/>
      <c r="FTS1" s="2" t="n"/>
      <c r="FTT1" s="2" t="n"/>
      <c r="FTU1" s="2" t="n"/>
      <c r="FTV1" s="2" t="n"/>
      <c r="FTW1" s="2" t="n"/>
      <c r="FTX1" s="2" t="n"/>
      <c r="FTY1" s="2" t="n"/>
      <c r="FTZ1" s="2" t="n"/>
      <c r="FUA1" s="2" t="n"/>
      <c r="FUB1" s="2" t="n"/>
      <c r="FUC1" s="2" t="n"/>
      <c r="FUD1" s="2" t="n"/>
      <c r="FUE1" s="2" t="n"/>
      <c r="FUF1" s="2" t="n"/>
      <c r="FUG1" s="2" t="n"/>
      <c r="FUH1" s="2" t="n"/>
      <c r="FUI1" s="2" t="n"/>
      <c r="FUJ1" s="2" t="n"/>
      <c r="FUK1" s="2" t="n"/>
      <c r="FUL1" s="2" t="n"/>
      <c r="FUM1" s="2" t="n"/>
      <c r="FUN1" s="2" t="n"/>
      <c r="FUO1" s="2" t="n"/>
      <c r="FUP1" s="2" t="n"/>
      <c r="FUQ1" s="2" t="n"/>
      <c r="FUR1" s="2" t="n"/>
      <c r="FUS1" s="2" t="n"/>
      <c r="FUT1" s="2" t="n"/>
      <c r="FUU1" s="2" t="n"/>
      <c r="FUV1" s="2" t="n"/>
      <c r="FUW1" s="2" t="n"/>
      <c r="FUX1" s="2" t="n"/>
      <c r="FUY1" s="2" t="n"/>
      <c r="FUZ1" s="2" t="n"/>
      <c r="FVA1" s="2" t="n"/>
      <c r="FVB1" s="2" t="n"/>
      <c r="FVC1" s="2" t="n"/>
      <c r="FVD1" s="2" t="n"/>
      <c r="FVE1" s="2" t="n"/>
      <c r="FVF1" s="2" t="n"/>
      <c r="FVG1" s="2" t="n"/>
      <c r="FVH1" s="2" t="n"/>
      <c r="FVI1" s="2" t="n"/>
      <c r="FVJ1" s="2" t="n"/>
      <c r="FVK1" s="2" t="n"/>
      <c r="FVL1" s="2" t="n"/>
      <c r="FVM1" s="2" t="n"/>
      <c r="FVN1" s="2" t="n"/>
      <c r="FVO1" s="2" t="n"/>
      <c r="FVP1" s="2" t="n"/>
      <c r="FVQ1" s="2" t="n"/>
      <c r="FVR1" s="2" t="n"/>
      <c r="FVS1" s="2" t="n"/>
      <c r="FVT1" s="2" t="n"/>
      <c r="FVU1" s="2" t="n"/>
      <c r="FVV1" s="2" t="n"/>
      <c r="FVW1" s="2" t="n"/>
      <c r="FVX1" s="2" t="n"/>
      <c r="FVY1" s="2" t="n"/>
      <c r="FVZ1" s="2" t="n"/>
      <c r="FWA1" s="2" t="n"/>
      <c r="FWB1" s="2" t="n"/>
      <c r="FWC1" s="2" t="n"/>
      <c r="FWD1" s="2" t="n"/>
      <c r="FWE1" s="2" t="n"/>
      <c r="FWF1" s="2" t="n"/>
      <c r="FWG1" s="2" t="n"/>
      <c r="FWH1" s="2" t="n"/>
      <c r="FWI1" s="2" t="n"/>
      <c r="FWJ1" s="2" t="n"/>
      <c r="FWK1" s="2" t="n"/>
      <c r="FWL1" s="2" t="n"/>
      <c r="FWM1" s="2" t="n"/>
      <c r="FWN1" s="2" t="n"/>
      <c r="FWO1" s="2" t="n"/>
      <c r="FWP1" s="2" t="n"/>
      <c r="FWQ1" s="2" t="n"/>
      <c r="FWR1" s="2" t="n"/>
      <c r="FWS1" s="2" t="n"/>
      <c r="FWT1" s="2" t="n"/>
      <c r="FWU1" s="2" t="n"/>
      <c r="FWV1" s="2" t="n"/>
      <c r="FWW1" s="2" t="n"/>
      <c r="FWX1" s="2" t="n"/>
      <c r="FWY1" s="2" t="n"/>
      <c r="FWZ1" s="2" t="n"/>
      <c r="FXA1" s="2" t="n"/>
      <c r="FXB1" s="2" t="n"/>
      <c r="FXC1" s="2" t="n"/>
      <c r="FXD1" s="2" t="n"/>
      <c r="FXE1" s="2" t="n"/>
      <c r="FXF1" s="2" t="n"/>
      <c r="FXG1" s="2" t="n"/>
      <c r="FXH1" s="2" t="n"/>
      <c r="FXI1" s="2" t="n"/>
      <c r="FXJ1" s="2" t="n"/>
      <c r="FXK1" s="2" t="n"/>
      <c r="FXL1" s="2" t="n"/>
      <c r="FXM1" s="2" t="n"/>
      <c r="FXN1" s="2" t="n"/>
      <c r="FXO1" s="2" t="n"/>
      <c r="FXP1" s="2" t="n"/>
      <c r="FXQ1" s="2" t="n"/>
      <c r="FXR1" s="2" t="n"/>
      <c r="FXS1" s="2" t="n"/>
      <c r="FXT1" s="2" t="n"/>
      <c r="FXU1" s="2" t="n"/>
      <c r="FXV1" s="2" t="n"/>
      <c r="FXW1" s="2" t="n"/>
      <c r="FXX1" s="2" t="n"/>
      <c r="FXY1" s="2" t="n"/>
      <c r="FXZ1" s="2" t="n"/>
      <c r="FYA1" s="2" t="n"/>
      <c r="FYB1" s="2" t="n"/>
      <c r="FYC1" s="2" t="n"/>
      <c r="FYD1" s="2" t="n"/>
      <c r="FYE1" s="2" t="n"/>
      <c r="FYF1" s="2" t="n"/>
      <c r="FYG1" s="2" t="n"/>
      <c r="FYH1" s="2" t="n"/>
      <c r="FYI1" s="2" t="n"/>
      <c r="FYJ1" s="2" t="n"/>
      <c r="FYK1" s="2" t="n"/>
      <c r="FYL1" s="2" t="n"/>
      <c r="FYM1" s="2" t="n"/>
      <c r="FYN1" s="2" t="n"/>
      <c r="FYO1" s="2" t="n"/>
      <c r="FYP1" s="2" t="n"/>
      <c r="FYQ1" s="2" t="n"/>
      <c r="FYR1" s="2" t="n"/>
      <c r="FYS1" s="2" t="n"/>
      <c r="FYT1" s="2" t="n"/>
      <c r="FYU1" s="2" t="n"/>
      <c r="FYV1" s="2" t="n"/>
      <c r="FYW1" s="2" t="n"/>
      <c r="FYX1" s="2" t="n"/>
      <c r="FYY1" s="2" t="n"/>
      <c r="FYZ1" s="2" t="n"/>
      <c r="FZA1" s="2" t="n"/>
      <c r="FZB1" s="2" t="n"/>
      <c r="FZC1" s="2" t="n"/>
      <c r="FZD1" s="2" t="n"/>
      <c r="FZE1" s="2" t="n"/>
      <c r="FZF1" s="2" t="n"/>
      <c r="FZG1" s="2" t="n"/>
      <c r="FZH1" s="2" t="n"/>
      <c r="FZI1" s="2" t="n"/>
      <c r="FZJ1" s="2" t="n"/>
      <c r="FZK1" s="2" t="n"/>
      <c r="FZL1" s="2" t="n"/>
      <c r="FZM1" s="2" t="n"/>
      <c r="FZN1" s="2" t="n"/>
      <c r="FZO1" s="2" t="n"/>
      <c r="FZP1" s="2" t="n"/>
      <c r="FZQ1" s="2" t="n"/>
      <c r="FZR1" s="2" t="n"/>
      <c r="FZS1" s="2" t="n"/>
      <c r="FZT1" s="2" t="n"/>
      <c r="FZU1" s="2" t="n"/>
      <c r="FZV1" s="2" t="n"/>
      <c r="FZW1" s="2" t="n"/>
      <c r="FZX1" s="2" t="n"/>
      <c r="FZY1" s="2" t="n"/>
      <c r="FZZ1" s="2" t="n"/>
      <c r="GAA1" s="2" t="n"/>
      <c r="GAB1" s="2" t="n"/>
      <c r="GAC1" s="2" t="n"/>
      <c r="GAD1" s="2" t="n"/>
      <c r="GAE1" s="2" t="n"/>
      <c r="GAF1" s="2" t="n"/>
      <c r="GAG1" s="2" t="n"/>
      <c r="GAH1" s="2" t="n"/>
      <c r="GAI1" s="2" t="n"/>
      <c r="GAJ1" s="2" t="n"/>
      <c r="GAK1" s="2" t="n"/>
      <c r="GAL1" s="2" t="n"/>
      <c r="GAM1" s="2" t="n"/>
      <c r="GAN1" s="2" t="n"/>
      <c r="GAO1" s="2" t="n"/>
      <c r="GAP1" s="2" t="n"/>
      <c r="GAQ1" s="2" t="n"/>
      <c r="GAR1" s="2" t="n"/>
      <c r="GAS1" s="2" t="n"/>
      <c r="GAT1" s="2" t="n"/>
      <c r="GAU1" s="2" t="n"/>
      <c r="GAV1" s="2" t="n"/>
      <c r="GAW1" s="2" t="n"/>
      <c r="GAX1" s="2" t="n"/>
      <c r="GAY1" s="2" t="n"/>
      <c r="GAZ1" s="2" t="n"/>
      <c r="GBA1" s="2" t="n"/>
      <c r="GBB1" s="2" t="n"/>
      <c r="GBC1" s="2" t="n"/>
      <c r="GBD1" s="2" t="n"/>
      <c r="GBE1" s="2" t="n"/>
      <c r="GBF1" s="2" t="n"/>
      <c r="GBG1" s="2" t="n"/>
      <c r="GBH1" s="2" t="n"/>
      <c r="GBI1" s="2" t="n"/>
      <c r="GBJ1" s="2" t="n"/>
      <c r="GBK1" s="2" t="n"/>
      <c r="GBL1" s="2" t="n"/>
      <c r="GBM1" s="2" t="n"/>
      <c r="GBN1" s="2" t="n"/>
      <c r="GBO1" s="2" t="n"/>
      <c r="GBP1" s="2" t="n"/>
      <c r="GBQ1" s="2" t="n"/>
      <c r="GBR1" s="2" t="n"/>
      <c r="GBS1" s="2" t="n"/>
      <c r="GBT1" s="2" t="n"/>
      <c r="GBU1" s="2" t="n"/>
      <c r="GBV1" s="2" t="n"/>
      <c r="GBW1" s="2" t="n"/>
      <c r="GBX1" s="2" t="n"/>
      <c r="GBY1" s="2" t="n"/>
      <c r="GBZ1" s="2" t="n"/>
      <c r="GCA1" s="2" t="n"/>
      <c r="GCB1" s="2" t="n"/>
      <c r="GCC1" s="2" t="n"/>
      <c r="GCD1" s="2" t="n"/>
      <c r="GCE1" s="2" t="n"/>
      <c r="GCF1" s="2" t="n"/>
      <c r="GCG1" s="2" t="n"/>
      <c r="GCH1" s="2" t="n"/>
      <c r="GCI1" s="2" t="n"/>
      <c r="GCJ1" s="2" t="n"/>
      <c r="GCK1" s="2" t="n"/>
      <c r="GCL1" s="2" t="n"/>
      <c r="GCM1" s="2" t="n"/>
      <c r="GCN1" s="2" t="n"/>
      <c r="GCO1" s="2" t="n"/>
      <c r="GCP1" s="2" t="n"/>
      <c r="GCQ1" s="2" t="n"/>
      <c r="GCR1" s="2" t="n"/>
      <c r="GCS1" s="2" t="n"/>
      <c r="GCT1" s="2" t="n"/>
      <c r="GCU1" s="2" t="n"/>
      <c r="GCV1" s="2" t="n"/>
      <c r="GCW1" s="2" t="n"/>
      <c r="GCX1" s="2" t="n"/>
      <c r="GCY1" s="2" t="n"/>
      <c r="GCZ1" s="2" t="n"/>
      <c r="GDA1" s="2" t="n"/>
      <c r="GDB1" s="2" t="n"/>
      <c r="GDC1" s="2" t="n"/>
      <c r="GDD1" s="2" t="n"/>
      <c r="GDE1" s="2" t="n"/>
      <c r="GDF1" s="2" t="n"/>
      <c r="GDG1" s="2" t="n"/>
      <c r="GDH1" s="2" t="n"/>
      <c r="GDI1" s="2" t="n"/>
      <c r="GDJ1" s="2" t="n"/>
      <c r="GDK1" s="2" t="n"/>
      <c r="GDL1" s="2" t="n"/>
      <c r="GDM1" s="2" t="n"/>
      <c r="GDN1" s="2" t="n"/>
      <c r="GDO1" s="2" t="n"/>
      <c r="GDP1" s="2" t="n"/>
      <c r="GDQ1" s="2" t="n"/>
      <c r="GDR1" s="2" t="n"/>
      <c r="GDS1" s="2" t="n"/>
      <c r="GDT1" s="2" t="n"/>
      <c r="GDU1" s="2" t="n"/>
      <c r="GDV1" s="2" t="n"/>
      <c r="GDW1" s="2" t="n"/>
      <c r="GDX1" s="2" t="n"/>
      <c r="GDY1" s="2" t="n"/>
      <c r="GDZ1" s="2" t="n"/>
      <c r="GEA1" s="2" t="n"/>
      <c r="GEB1" s="2" t="n"/>
      <c r="GEC1" s="2" t="n"/>
      <c r="GED1" s="2" t="n"/>
      <c r="GEE1" s="2" t="n"/>
      <c r="GEF1" s="2" t="n"/>
      <c r="GEG1" s="2" t="n"/>
      <c r="GEH1" s="2" t="n"/>
      <c r="GEI1" s="2" t="n"/>
      <c r="GEJ1" s="2" t="n"/>
      <c r="GEK1" s="2" t="n"/>
      <c r="GEL1" s="2" t="n"/>
      <c r="GEM1" s="2" t="n"/>
      <c r="GEN1" s="2" t="n"/>
      <c r="GEO1" s="2" t="n"/>
      <c r="GEP1" s="2" t="n"/>
      <c r="GEQ1" s="2" t="n"/>
      <c r="GER1" s="2" t="n"/>
      <c r="GES1" s="2" t="n"/>
      <c r="GET1" s="2" t="n"/>
      <c r="GEU1" s="2" t="n"/>
      <c r="GEV1" s="2" t="n"/>
      <c r="GEW1" s="2" t="n"/>
      <c r="GEX1" s="2" t="n"/>
      <c r="GEY1" s="2" t="n"/>
      <c r="GEZ1" s="2" t="n"/>
      <c r="GFA1" s="2" t="n"/>
      <c r="GFB1" s="2" t="n"/>
      <c r="GFC1" s="2" t="n"/>
      <c r="GFD1" s="2" t="n"/>
      <c r="GFE1" s="2" t="n"/>
      <c r="GFF1" s="2" t="n"/>
      <c r="GFG1" s="2" t="n"/>
      <c r="GFH1" s="2" t="n"/>
      <c r="GFI1" s="2" t="n"/>
      <c r="GFJ1" s="2" t="n"/>
      <c r="GFK1" s="2" t="n"/>
      <c r="GFL1" s="2" t="n"/>
      <c r="GFM1" s="2" t="n"/>
      <c r="GFN1" s="2" t="n"/>
      <c r="GFO1" s="2" t="n"/>
      <c r="GFP1" s="2" t="n"/>
      <c r="GFQ1" s="2" t="n"/>
      <c r="GFR1" s="2" t="n"/>
      <c r="GFS1" s="2" t="n"/>
      <c r="GFT1" s="2" t="n"/>
      <c r="GFU1" s="2" t="n"/>
      <c r="GFV1" s="2" t="n"/>
      <c r="GFW1" s="2" t="n"/>
      <c r="GFX1" s="2" t="n"/>
      <c r="GFY1" s="2" t="n"/>
      <c r="GFZ1" s="2" t="n"/>
      <c r="GGA1" s="2" t="n"/>
      <c r="GGB1" s="2" t="n"/>
      <c r="GGC1" s="2" t="n"/>
      <c r="GGD1" s="2" t="n"/>
      <c r="GGE1" s="2" t="n"/>
      <c r="GGF1" s="2" t="n"/>
      <c r="GGG1" s="2" t="n"/>
      <c r="GGH1" s="2" t="n"/>
      <c r="GGI1" s="2" t="n"/>
      <c r="GGJ1" s="2" t="n"/>
      <c r="GGK1" s="2" t="n"/>
      <c r="GGL1" s="2" t="n"/>
      <c r="GGM1" s="2" t="n"/>
      <c r="GGN1" s="2" t="n"/>
      <c r="GGO1" s="2" t="n"/>
      <c r="GGP1" s="2" t="n"/>
      <c r="GGQ1" s="2" t="n"/>
      <c r="GGR1" s="2" t="n"/>
      <c r="GGS1" s="2" t="n"/>
      <c r="GGT1" s="2" t="n"/>
      <c r="GGU1" s="2" t="n"/>
      <c r="GGV1" s="2" t="n"/>
      <c r="GGW1" s="2" t="n"/>
      <c r="GGX1" s="2" t="n"/>
      <c r="GGY1" s="2" t="n"/>
      <c r="GGZ1" s="2" t="n"/>
      <c r="GHA1" s="2" t="n"/>
      <c r="GHB1" s="2" t="n"/>
      <c r="GHC1" s="2" t="n"/>
      <c r="GHD1" s="2" t="n"/>
      <c r="GHE1" s="2" t="n"/>
      <c r="GHF1" s="2" t="n"/>
      <c r="GHG1" s="2" t="n"/>
      <c r="GHH1" s="2" t="n"/>
      <c r="GHI1" s="2" t="n"/>
      <c r="GHJ1" s="2" t="n"/>
      <c r="GHK1" s="2" t="n"/>
      <c r="GHL1" s="2" t="n"/>
      <c r="GHM1" s="2" t="n"/>
      <c r="GHN1" s="2" t="n"/>
      <c r="GHO1" s="2" t="n"/>
      <c r="GHP1" s="2" t="n"/>
      <c r="GHQ1" s="2" t="n"/>
      <c r="GHR1" s="2" t="n"/>
      <c r="GHS1" s="2" t="n"/>
      <c r="GHT1" s="2" t="n"/>
      <c r="GHU1" s="2" t="n"/>
      <c r="GHV1" s="2" t="n"/>
      <c r="GHW1" s="2" t="n"/>
      <c r="GHX1" s="2" t="n"/>
      <c r="GHY1" s="2" t="n"/>
      <c r="GHZ1" s="2" t="n"/>
      <c r="GIA1" s="2" t="n"/>
      <c r="GIB1" s="2" t="n"/>
      <c r="GIC1" s="2" t="n"/>
      <c r="GID1" s="2" t="n"/>
      <c r="GIE1" s="2" t="n"/>
      <c r="GIF1" s="2" t="n"/>
      <c r="GIG1" s="2" t="n"/>
      <c r="GIH1" s="2" t="n"/>
      <c r="GII1" s="2" t="n"/>
      <c r="GIJ1" s="2" t="n"/>
      <c r="GIK1" s="2" t="n"/>
      <c r="GIL1" s="2" t="n"/>
      <c r="GIM1" s="2" t="n"/>
      <c r="GIN1" s="2" t="n"/>
      <c r="GIO1" s="2" t="n"/>
      <c r="GIP1" s="2" t="n"/>
      <c r="GIQ1" s="2" t="n"/>
      <c r="GIR1" s="2" t="n"/>
      <c r="GIS1" s="2" t="n"/>
      <c r="GIT1" s="2" t="n"/>
      <c r="GIU1" s="2" t="n"/>
      <c r="GIV1" s="2" t="n"/>
      <c r="GIW1" s="2" t="n"/>
      <c r="GIX1" s="2" t="n"/>
      <c r="GIY1" s="2" t="n"/>
      <c r="GIZ1" s="2" t="n"/>
      <c r="GJA1" s="2" t="n"/>
      <c r="GJB1" s="2" t="n"/>
      <c r="GJC1" s="2" t="n"/>
      <c r="GJD1" s="2" t="n"/>
      <c r="GJE1" s="2" t="n"/>
      <c r="GJF1" s="2" t="n"/>
      <c r="GJG1" s="2" t="n"/>
      <c r="GJH1" s="2" t="n"/>
      <c r="GJI1" s="2" t="n"/>
      <c r="GJJ1" s="2" t="n"/>
      <c r="GJK1" s="2" t="n"/>
      <c r="GJL1" s="2" t="n"/>
      <c r="GJM1" s="2" t="n"/>
      <c r="GJN1" s="2" t="n"/>
      <c r="GJO1" s="2" t="n"/>
      <c r="GJP1" s="2" t="n"/>
      <c r="GJQ1" s="2" t="n"/>
      <c r="GJR1" s="2" t="n"/>
      <c r="GJS1" s="2" t="n"/>
      <c r="GJT1" s="2" t="n"/>
      <c r="GJU1" s="2" t="n"/>
      <c r="GJV1" s="2" t="n"/>
      <c r="GJW1" s="2" t="n"/>
      <c r="GJX1" s="2" t="n"/>
      <c r="GJY1" s="2" t="n"/>
      <c r="GJZ1" s="2" t="n"/>
      <c r="GKA1" s="2" t="n"/>
      <c r="GKB1" s="2" t="n"/>
      <c r="GKC1" s="2" t="n"/>
      <c r="GKD1" s="2" t="n"/>
      <c r="GKE1" s="2" t="n"/>
      <c r="GKF1" s="2" t="n"/>
      <c r="GKG1" s="2" t="n"/>
      <c r="GKH1" s="2" t="n"/>
      <c r="GKI1" s="2" t="n"/>
      <c r="GKJ1" s="2" t="n"/>
      <c r="GKK1" s="2" t="n"/>
      <c r="GKL1" s="2" t="n"/>
      <c r="GKM1" s="2" t="n"/>
      <c r="GKN1" s="2" t="n"/>
      <c r="GKO1" s="2" t="n"/>
      <c r="GKP1" s="2" t="n"/>
      <c r="GKQ1" s="2" t="n"/>
      <c r="GKR1" s="2" t="n"/>
      <c r="GKS1" s="2" t="n"/>
      <c r="GKT1" s="2" t="n"/>
      <c r="GKU1" s="2" t="n"/>
      <c r="GKV1" s="2" t="n"/>
      <c r="GKW1" s="2" t="n"/>
      <c r="GKX1" s="2" t="n"/>
      <c r="GKY1" s="2" t="n"/>
      <c r="GKZ1" s="2" t="n"/>
      <c r="GLA1" s="2" t="n"/>
      <c r="GLB1" s="2" t="n"/>
      <c r="GLC1" s="2" t="n"/>
      <c r="GLD1" s="2" t="n"/>
      <c r="GLE1" s="2" t="n"/>
      <c r="GLF1" s="2" t="n"/>
      <c r="GLG1" s="2" t="n"/>
      <c r="GLH1" s="2" t="n"/>
      <c r="GLI1" s="2" t="n"/>
      <c r="GLJ1" s="2" t="n"/>
      <c r="GLK1" s="2" t="n"/>
      <c r="GLL1" s="2" t="n"/>
      <c r="GLM1" s="2" t="n"/>
      <c r="GLN1" s="2" t="n"/>
      <c r="GLO1" s="2" t="n"/>
      <c r="GLP1" s="2" t="n"/>
      <c r="GLQ1" s="2" t="n"/>
      <c r="GLR1" s="2" t="n"/>
      <c r="GLS1" s="2" t="n"/>
      <c r="GLT1" s="2" t="n"/>
      <c r="GLU1" s="2" t="n"/>
      <c r="GLV1" s="2" t="n"/>
      <c r="GLW1" s="2" t="n"/>
      <c r="GLX1" s="2" t="n"/>
      <c r="GLY1" s="2" t="n"/>
      <c r="GLZ1" s="2" t="n"/>
      <c r="GMA1" s="2" t="n"/>
      <c r="GMB1" s="2" t="n"/>
      <c r="GMC1" s="2" t="n"/>
      <c r="GMD1" s="2" t="n"/>
      <c r="GME1" s="2" t="n"/>
      <c r="GMF1" s="2" t="n"/>
      <c r="GMG1" s="2" t="n"/>
      <c r="GMH1" s="2" t="n"/>
      <c r="GMI1" s="2" t="n"/>
      <c r="GMJ1" s="2" t="n"/>
      <c r="GMK1" s="2" t="n"/>
      <c r="GML1" s="2" t="n"/>
      <c r="GMM1" s="2" t="n"/>
      <c r="GMN1" s="2" t="n"/>
      <c r="GMO1" s="2" t="n"/>
      <c r="GMP1" s="2" t="n"/>
      <c r="GMQ1" s="2" t="n"/>
      <c r="GMR1" s="2" t="n"/>
      <c r="GMS1" s="2" t="n"/>
      <c r="GMT1" s="2" t="n"/>
      <c r="GMU1" s="2" t="n"/>
      <c r="GMV1" s="2" t="n"/>
      <c r="GMW1" s="2" t="n"/>
      <c r="GMX1" s="2" t="n"/>
      <c r="GMY1" s="2" t="n"/>
      <c r="GMZ1" s="2" t="n"/>
      <c r="GNA1" s="2" t="n"/>
      <c r="GNB1" s="2" t="n"/>
      <c r="GNC1" s="2" t="n"/>
      <c r="GND1" s="2" t="n"/>
      <c r="GNE1" s="2" t="n"/>
      <c r="GNF1" s="2" t="n"/>
      <c r="GNG1" s="2" t="n"/>
      <c r="GNH1" s="2" t="n"/>
      <c r="GNI1" s="2" t="n"/>
      <c r="GNJ1" s="2" t="n"/>
      <c r="GNK1" s="2" t="n"/>
      <c r="GNL1" s="2" t="n"/>
      <c r="GNM1" s="2" t="n"/>
      <c r="GNN1" s="2" t="n"/>
      <c r="GNO1" s="2" t="n"/>
      <c r="GNP1" s="2" t="n"/>
      <c r="GNQ1" s="2" t="n"/>
      <c r="GNR1" s="2" t="n"/>
      <c r="GNS1" s="2" t="n"/>
      <c r="GNT1" s="2" t="n"/>
      <c r="GNU1" s="2" t="n"/>
      <c r="GNV1" s="2" t="n"/>
      <c r="GNW1" s="2" t="n"/>
      <c r="GNX1" s="2" t="n"/>
      <c r="GNY1" s="2" t="n"/>
      <c r="GNZ1" s="2" t="n"/>
      <c r="GOA1" s="2" t="n"/>
      <c r="GOB1" s="2" t="n"/>
      <c r="GOC1" s="2" t="n"/>
      <c r="GOD1" s="2" t="n"/>
      <c r="GOE1" s="2" t="n"/>
      <c r="GOF1" s="2" t="n"/>
      <c r="GOG1" s="2" t="n"/>
      <c r="GOH1" s="2" t="n"/>
      <c r="GOI1" s="2" t="n"/>
      <c r="GOJ1" s="2" t="n"/>
      <c r="GOK1" s="2" t="n"/>
      <c r="GOL1" s="2" t="n"/>
      <c r="GOM1" s="2" t="n"/>
      <c r="GON1" s="2" t="n"/>
      <c r="GOO1" s="2" t="n"/>
      <c r="GOP1" s="2" t="n"/>
      <c r="GOQ1" s="2" t="n"/>
      <c r="GOR1" s="2" t="n"/>
      <c r="GOS1" s="2" t="n"/>
      <c r="GOT1" s="2" t="n"/>
      <c r="GOU1" s="2" t="n"/>
      <c r="GOV1" s="2" t="n"/>
      <c r="GOW1" s="2" t="n"/>
      <c r="GOX1" s="2" t="n"/>
      <c r="GOY1" s="2" t="n"/>
      <c r="GOZ1" s="2" t="n"/>
      <c r="GPA1" s="2" t="n"/>
      <c r="GPB1" s="2" t="n"/>
      <c r="GPC1" s="2" t="n"/>
      <c r="GPD1" s="2" t="n"/>
      <c r="GPE1" s="2" t="n"/>
      <c r="GPF1" s="2" t="n"/>
      <c r="GPG1" s="2" t="n"/>
      <c r="GPH1" s="2" t="n"/>
      <c r="GPI1" s="2" t="n"/>
      <c r="GPJ1" s="2" t="n"/>
      <c r="GPK1" s="2" t="n"/>
      <c r="GPL1" s="2" t="n"/>
      <c r="GPM1" s="2" t="n"/>
      <c r="GPN1" s="2" t="n"/>
      <c r="GPO1" s="2" t="n"/>
      <c r="GPP1" s="2" t="n"/>
      <c r="GPQ1" s="2" t="n"/>
      <c r="GPR1" s="2" t="n"/>
      <c r="GPS1" s="2" t="n"/>
      <c r="GPT1" s="2" t="n"/>
      <c r="GPU1" s="2" t="n"/>
      <c r="GPV1" s="2" t="n"/>
      <c r="GPW1" s="2" t="n"/>
      <c r="GPX1" s="2" t="n"/>
      <c r="GPY1" s="2" t="n"/>
      <c r="GPZ1" s="2" t="n"/>
      <c r="GQA1" s="2" t="n"/>
      <c r="GQB1" s="2" t="n"/>
      <c r="GQC1" s="2" t="n"/>
      <c r="GQD1" s="2" t="n"/>
      <c r="GQE1" s="2" t="n"/>
      <c r="GQF1" s="2" t="n"/>
      <c r="GQG1" s="2" t="n"/>
      <c r="GQH1" s="2" t="n"/>
      <c r="GQI1" s="2" t="n"/>
      <c r="GQJ1" s="2" t="n"/>
      <c r="GQK1" s="2" t="n"/>
      <c r="GQL1" s="2" t="n"/>
      <c r="GQM1" s="2" t="n"/>
      <c r="GQN1" s="2" t="n"/>
      <c r="GQO1" s="2" t="n"/>
      <c r="GQP1" s="2" t="n"/>
      <c r="GQQ1" s="2" t="n"/>
      <c r="GQR1" s="2" t="n"/>
      <c r="GQS1" s="2" t="n"/>
      <c r="GQT1" s="2" t="n"/>
      <c r="GQU1" s="2" t="n"/>
      <c r="GQV1" s="2" t="n"/>
      <c r="GQW1" s="2" t="n"/>
      <c r="GQX1" s="2" t="n"/>
      <c r="GQY1" s="2" t="n"/>
      <c r="GQZ1" s="2" t="n"/>
      <c r="GRA1" s="2" t="n"/>
      <c r="GRB1" s="2" t="n"/>
      <c r="GRC1" s="2" t="n"/>
      <c r="GRD1" s="2" t="n"/>
      <c r="GRE1" s="2" t="n"/>
      <c r="GRF1" s="2" t="n"/>
      <c r="GRG1" s="2" t="n"/>
      <c r="GRH1" s="2" t="n"/>
      <c r="GRI1" s="2" t="n"/>
      <c r="GRJ1" s="2" t="n"/>
      <c r="GRK1" s="2" t="n"/>
      <c r="GRL1" s="2" t="n"/>
      <c r="GRM1" s="2" t="n"/>
      <c r="GRN1" s="2" t="n"/>
      <c r="GRO1" s="2" t="n"/>
      <c r="GRP1" s="2" t="n"/>
      <c r="GRQ1" s="2" t="n"/>
      <c r="GRR1" s="2" t="n"/>
      <c r="GRS1" s="2" t="n"/>
      <c r="GRT1" s="2" t="n"/>
      <c r="GRU1" s="2" t="n"/>
      <c r="GRV1" s="2" t="n"/>
      <c r="GRW1" s="2" t="n"/>
      <c r="GRX1" s="2" t="n"/>
      <c r="GRY1" s="2" t="n"/>
      <c r="GRZ1" s="2" t="n"/>
      <c r="GSA1" s="2" t="n"/>
      <c r="GSB1" s="2" t="n"/>
      <c r="GSC1" s="2" t="n"/>
      <c r="GSD1" s="2" t="n"/>
      <c r="GSE1" s="2" t="n"/>
      <c r="GSF1" s="2" t="n"/>
      <c r="GSG1" s="2" t="n"/>
      <c r="GSH1" s="2" t="n"/>
      <c r="GSI1" s="2" t="n"/>
      <c r="GSJ1" s="2" t="n"/>
      <c r="GSK1" s="2" t="n"/>
      <c r="GSL1" s="2" t="n"/>
      <c r="GSM1" s="2" t="n"/>
      <c r="GSN1" s="2" t="n"/>
      <c r="GSO1" s="2" t="n"/>
      <c r="GSP1" s="2" t="n"/>
      <c r="GSQ1" s="2" t="n"/>
      <c r="GSR1" s="2" t="n"/>
      <c r="GSS1" s="2" t="n"/>
      <c r="GST1" s="2" t="n"/>
      <c r="GSU1" s="2" t="n"/>
      <c r="GSV1" s="2" t="n"/>
      <c r="GSW1" s="2" t="n"/>
      <c r="GSX1" s="2" t="n"/>
      <c r="GSY1" s="2" t="n"/>
      <c r="GSZ1" s="2" t="n"/>
      <c r="GTA1" s="2" t="n"/>
      <c r="GTB1" s="2" t="n"/>
      <c r="GTC1" s="2" t="n"/>
      <c r="GTD1" s="2" t="n"/>
      <c r="GTE1" s="2" t="n"/>
      <c r="GTF1" s="2" t="n"/>
      <c r="GTG1" s="2" t="n"/>
      <c r="GTH1" s="2" t="n"/>
      <c r="GTI1" s="2" t="n"/>
      <c r="GTJ1" s="2" t="n"/>
      <c r="GTK1" s="2" t="n"/>
      <c r="GTL1" s="2" t="n"/>
      <c r="GTM1" s="2" t="n"/>
      <c r="GTN1" s="2" t="n"/>
      <c r="GTO1" s="2" t="n"/>
      <c r="GTP1" s="2" t="n"/>
      <c r="GTQ1" s="2" t="n"/>
      <c r="GTR1" s="2" t="n"/>
      <c r="GTS1" s="2" t="n"/>
      <c r="GTT1" s="2" t="n"/>
      <c r="GTU1" s="2" t="n"/>
      <c r="GTV1" s="2" t="n"/>
      <c r="GTW1" s="2" t="n"/>
      <c r="GTX1" s="2" t="n"/>
      <c r="GTY1" s="2" t="n"/>
      <c r="GTZ1" s="2" t="n"/>
      <c r="GUA1" s="2" t="n"/>
      <c r="GUB1" s="2" t="n"/>
      <c r="GUC1" s="2" t="n"/>
      <c r="GUD1" s="2" t="n"/>
      <c r="GUE1" s="2" t="n"/>
      <c r="GUF1" s="2" t="n"/>
      <c r="GUG1" s="2" t="n"/>
      <c r="GUH1" s="2" t="n"/>
      <c r="GUI1" s="2" t="n"/>
      <c r="GUJ1" s="2" t="n"/>
      <c r="GUK1" s="2" t="n"/>
      <c r="GUL1" s="2" t="n"/>
      <c r="GUM1" s="2" t="n"/>
      <c r="GUN1" s="2" t="n"/>
      <c r="GUO1" s="2" t="n"/>
      <c r="GUP1" s="2" t="n"/>
      <c r="GUQ1" s="2" t="n"/>
      <c r="GUR1" s="2" t="n"/>
      <c r="GUS1" s="2" t="n"/>
      <c r="GUT1" s="2" t="n"/>
      <c r="GUU1" s="2" t="n"/>
      <c r="GUV1" s="2" t="n"/>
      <c r="GUW1" s="2" t="n"/>
      <c r="GUX1" s="2" t="n"/>
      <c r="GUY1" s="2" t="n"/>
      <c r="GUZ1" s="2" t="n"/>
      <c r="GVA1" s="2" t="n"/>
      <c r="GVB1" s="2" t="n"/>
      <c r="GVC1" s="2" t="n"/>
      <c r="GVD1" s="2" t="n"/>
      <c r="GVE1" s="2" t="n"/>
      <c r="GVF1" s="2" t="n"/>
      <c r="GVG1" s="2" t="n"/>
      <c r="GVH1" s="2" t="n"/>
      <c r="GVI1" s="2" t="n"/>
      <c r="GVJ1" s="2" t="n"/>
      <c r="GVK1" s="2" t="n"/>
      <c r="GVL1" s="2" t="n"/>
      <c r="GVM1" s="2" t="n"/>
      <c r="GVN1" s="2" t="n"/>
      <c r="GVO1" s="2" t="n"/>
      <c r="GVP1" s="2" t="n"/>
      <c r="GVQ1" s="2" t="n"/>
      <c r="GVR1" s="2" t="n"/>
      <c r="GVS1" s="2" t="n"/>
      <c r="GVT1" s="2" t="n"/>
      <c r="GVU1" s="2" t="n"/>
      <c r="GVV1" s="2" t="n"/>
      <c r="GVW1" s="2" t="n"/>
      <c r="GVX1" s="2" t="n"/>
      <c r="GVY1" s="2" t="n"/>
      <c r="GVZ1" s="2" t="n"/>
      <c r="GWA1" s="2" t="n"/>
      <c r="GWB1" s="2" t="n"/>
      <c r="GWC1" s="2" t="n"/>
      <c r="GWD1" s="2" t="n"/>
      <c r="GWE1" s="2" t="n"/>
      <c r="GWF1" s="2" t="n"/>
      <c r="GWG1" s="2" t="n"/>
      <c r="GWH1" s="2" t="n"/>
      <c r="GWI1" s="2" t="n"/>
      <c r="GWJ1" s="2" t="n"/>
      <c r="GWK1" s="2" t="n"/>
      <c r="GWL1" s="2" t="n"/>
      <c r="GWM1" s="2" t="n"/>
      <c r="GWN1" s="2" t="n"/>
      <c r="GWO1" s="2" t="n"/>
      <c r="GWP1" s="2" t="n"/>
      <c r="GWQ1" s="2" t="n"/>
      <c r="GWR1" s="2" t="n"/>
      <c r="GWS1" s="2" t="n"/>
      <c r="GWT1" s="2" t="n"/>
      <c r="GWU1" s="2" t="n"/>
      <c r="GWV1" s="2" t="n"/>
      <c r="GWW1" s="2" t="n"/>
      <c r="GWX1" s="2" t="n"/>
      <c r="GWY1" s="2" t="n"/>
      <c r="GWZ1" s="2" t="n"/>
      <c r="GXA1" s="2" t="n"/>
      <c r="GXB1" s="2" t="n"/>
      <c r="GXC1" s="2" t="n"/>
      <c r="GXD1" s="2" t="n"/>
      <c r="GXE1" s="2" t="n"/>
      <c r="GXF1" s="2" t="n"/>
      <c r="GXG1" s="2" t="n"/>
      <c r="GXH1" s="2" t="n"/>
      <c r="GXI1" s="2" t="n"/>
      <c r="GXJ1" s="2" t="n"/>
      <c r="GXK1" s="2" t="n"/>
      <c r="GXL1" s="2" t="n"/>
      <c r="GXM1" s="2" t="n"/>
      <c r="GXN1" s="2" t="n"/>
      <c r="GXO1" s="2" t="n"/>
      <c r="GXP1" s="2" t="n"/>
      <c r="GXQ1" s="2" t="n"/>
      <c r="GXR1" s="2" t="n"/>
      <c r="GXS1" s="2" t="n"/>
      <c r="GXT1" s="2" t="n"/>
      <c r="GXU1" s="2" t="n"/>
      <c r="GXV1" s="2" t="n"/>
      <c r="GXW1" s="2" t="n"/>
      <c r="GXX1" s="2" t="n"/>
      <c r="GXY1" s="2" t="n"/>
      <c r="GXZ1" s="2" t="n"/>
      <c r="GYA1" s="2" t="n"/>
      <c r="GYB1" s="2" t="n"/>
      <c r="GYC1" s="2" t="n"/>
      <c r="GYD1" s="2" t="n"/>
      <c r="GYE1" s="2" t="n"/>
      <c r="GYF1" s="2" t="n"/>
      <c r="GYG1" s="2" t="n"/>
      <c r="GYH1" s="2" t="n"/>
      <c r="GYI1" s="2" t="n"/>
      <c r="GYJ1" s="2" t="n"/>
      <c r="GYK1" s="2" t="n"/>
      <c r="GYL1" s="2" t="n"/>
      <c r="GYM1" s="2" t="n"/>
      <c r="GYN1" s="2" t="n"/>
      <c r="GYO1" s="2" t="n"/>
      <c r="GYP1" s="2" t="n"/>
      <c r="GYQ1" s="2" t="n"/>
      <c r="GYR1" s="2" t="n"/>
      <c r="GYS1" s="2" t="n"/>
      <c r="GYT1" s="2" t="n"/>
      <c r="GYU1" s="2" t="n"/>
      <c r="GYV1" s="2" t="n"/>
      <c r="GYW1" s="2" t="n"/>
      <c r="GYX1" s="2" t="n"/>
      <c r="GYY1" s="2" t="n"/>
      <c r="GYZ1" s="2" t="n"/>
      <c r="GZA1" s="2" t="n"/>
      <c r="GZB1" s="2" t="n"/>
      <c r="GZC1" s="2" t="n"/>
      <c r="GZD1" s="2" t="n"/>
      <c r="GZE1" s="2" t="n"/>
      <c r="GZF1" s="2" t="n"/>
      <c r="GZG1" s="2" t="n"/>
      <c r="GZH1" s="2" t="n"/>
      <c r="GZI1" s="2" t="n"/>
      <c r="GZJ1" s="2" t="n"/>
      <c r="GZK1" s="2" t="n"/>
      <c r="GZL1" s="2" t="n"/>
      <c r="GZM1" s="2" t="n"/>
      <c r="GZN1" s="2" t="n"/>
      <c r="GZO1" s="2" t="n"/>
      <c r="GZP1" s="2" t="n"/>
      <c r="GZQ1" s="2" t="n"/>
      <c r="GZR1" s="2" t="n"/>
      <c r="GZS1" s="2" t="n"/>
      <c r="GZT1" s="2" t="n"/>
      <c r="GZU1" s="2" t="n"/>
      <c r="GZV1" s="2" t="n"/>
      <c r="GZW1" s="2" t="n"/>
      <c r="GZX1" s="2" t="n"/>
      <c r="GZY1" s="2" t="n"/>
      <c r="GZZ1" s="2" t="n"/>
      <c r="HAA1" s="2" t="n"/>
      <c r="HAB1" s="2" t="n"/>
      <c r="HAC1" s="2" t="n"/>
      <c r="HAD1" s="2" t="n"/>
      <c r="HAE1" s="2" t="n"/>
      <c r="HAF1" s="2" t="n"/>
      <c r="HAG1" s="2" t="n"/>
      <c r="HAH1" s="2" t="n"/>
      <c r="HAI1" s="2" t="n"/>
      <c r="HAJ1" s="2" t="n"/>
      <c r="HAK1" s="2" t="n"/>
      <c r="HAL1" s="2" t="n"/>
      <c r="HAM1" s="2" t="n"/>
      <c r="HAN1" s="2" t="n"/>
      <c r="HAO1" s="2" t="n"/>
      <c r="HAP1" s="2" t="n"/>
      <c r="HAQ1" s="2" t="n"/>
      <c r="HAR1" s="2" t="n"/>
      <c r="HAS1" s="2" t="n"/>
      <c r="HAT1" s="2" t="n"/>
      <c r="HAU1" s="2" t="n"/>
      <c r="HAV1" s="2" t="n"/>
      <c r="HAW1" s="2" t="n"/>
      <c r="HAX1" s="2" t="n"/>
      <c r="HAY1" s="2" t="n"/>
      <c r="HAZ1" s="2" t="n"/>
      <c r="HBA1" s="2" t="n"/>
      <c r="HBB1" s="2" t="n"/>
      <c r="HBC1" s="2" t="n"/>
      <c r="HBD1" s="2" t="n"/>
      <c r="HBE1" s="2" t="n"/>
      <c r="HBF1" s="2" t="n"/>
      <c r="HBG1" s="2" t="n"/>
      <c r="HBH1" s="2" t="n"/>
      <c r="HBI1" s="2" t="n"/>
      <c r="HBJ1" s="2" t="n"/>
      <c r="HBK1" s="2" t="n"/>
      <c r="HBL1" s="2" t="n"/>
      <c r="HBM1" s="2" t="n"/>
      <c r="HBN1" s="2" t="n"/>
      <c r="HBO1" s="2" t="n"/>
      <c r="HBP1" s="2" t="n"/>
      <c r="HBQ1" s="2" t="n"/>
      <c r="HBR1" s="2" t="n"/>
      <c r="HBS1" s="2" t="n"/>
      <c r="HBT1" s="2" t="n"/>
      <c r="HBU1" s="2" t="n"/>
      <c r="HBV1" s="2" t="n"/>
      <c r="HBW1" s="2" t="n"/>
      <c r="HBX1" s="2" t="n"/>
      <c r="HBY1" s="2" t="n"/>
      <c r="HBZ1" s="2" t="n"/>
      <c r="HCA1" s="2" t="n"/>
      <c r="HCB1" s="2" t="n"/>
      <c r="HCC1" s="2" t="n"/>
      <c r="HCD1" s="2" t="n"/>
      <c r="HCE1" s="2" t="n"/>
      <c r="HCF1" s="2" t="n"/>
      <c r="HCG1" s="2" t="n"/>
      <c r="HCH1" s="2" t="n"/>
      <c r="HCI1" s="2" t="n"/>
      <c r="HCJ1" s="2" t="n"/>
      <c r="HCK1" s="2" t="n"/>
      <c r="HCL1" s="2" t="n"/>
      <c r="HCM1" s="2" t="n"/>
      <c r="HCN1" s="2" t="n"/>
      <c r="HCO1" s="2" t="n"/>
      <c r="HCP1" s="2" t="n"/>
      <c r="HCQ1" s="2" t="n"/>
      <c r="HCR1" s="2" t="n"/>
      <c r="HCS1" s="2" t="n"/>
      <c r="HCT1" s="2" t="n"/>
      <c r="HCU1" s="2" t="n"/>
      <c r="HCV1" s="2" t="n"/>
      <c r="HCW1" s="2" t="n"/>
      <c r="HCX1" s="2" t="n"/>
      <c r="HCY1" s="2" t="n"/>
      <c r="HCZ1" s="2" t="n"/>
      <c r="HDA1" s="2" t="n"/>
      <c r="HDB1" s="2" t="n"/>
      <c r="HDC1" s="2" t="n"/>
      <c r="HDD1" s="2" t="n"/>
      <c r="HDE1" s="2" t="n"/>
      <c r="HDF1" s="2" t="n"/>
      <c r="HDG1" s="2" t="n"/>
      <c r="HDH1" s="2" t="n"/>
      <c r="HDI1" s="2" t="n"/>
      <c r="HDJ1" s="2" t="n"/>
      <c r="HDK1" s="2" t="n"/>
      <c r="HDL1" s="2" t="n"/>
      <c r="HDM1" s="2" t="n"/>
      <c r="HDN1" s="2" t="n"/>
      <c r="HDO1" s="2" t="n"/>
      <c r="HDP1" s="2" t="n"/>
      <c r="HDQ1" s="2" t="n"/>
      <c r="HDR1" s="2" t="n"/>
      <c r="HDS1" s="2" t="n"/>
      <c r="HDT1" s="2" t="n"/>
      <c r="HDU1" s="2" t="n"/>
      <c r="HDV1" s="2" t="n"/>
      <c r="HDW1" s="2" t="n"/>
      <c r="HDX1" s="2" t="n"/>
      <c r="HDY1" s="2" t="n"/>
      <c r="HDZ1" s="2" t="n"/>
      <c r="HEA1" s="2" t="n"/>
      <c r="HEB1" s="2" t="n"/>
      <c r="HEC1" s="2" t="n"/>
      <c r="HED1" s="2" t="n"/>
      <c r="HEE1" s="2" t="n"/>
      <c r="HEF1" s="2" t="n"/>
      <c r="HEG1" s="2" t="n"/>
      <c r="HEH1" s="2" t="n"/>
      <c r="HEI1" s="2" t="n"/>
      <c r="HEJ1" s="2" t="n"/>
      <c r="HEK1" s="2" t="n"/>
      <c r="HEL1" s="2" t="n"/>
      <c r="HEM1" s="2" t="n"/>
      <c r="HEN1" s="2" t="n"/>
      <c r="HEO1" s="2" t="n"/>
      <c r="HEP1" s="2" t="n"/>
      <c r="HEQ1" s="2" t="n"/>
      <c r="HER1" s="2" t="n"/>
      <c r="HES1" s="2" t="n"/>
      <c r="HET1" s="2" t="n"/>
      <c r="HEU1" s="2" t="n"/>
      <c r="HEV1" s="2" t="n"/>
      <c r="HEW1" s="2" t="n"/>
      <c r="HEX1" s="2" t="n"/>
      <c r="HEY1" s="2" t="n"/>
      <c r="HEZ1" s="2" t="n"/>
      <c r="HFA1" s="2" t="n"/>
      <c r="HFB1" s="2" t="n"/>
      <c r="HFC1" s="2" t="n"/>
      <c r="HFD1" s="2" t="n"/>
      <c r="HFE1" s="2" t="n"/>
      <c r="HFF1" s="2" t="n"/>
      <c r="HFG1" s="2" t="n"/>
      <c r="HFH1" s="2" t="n"/>
      <c r="HFI1" s="2" t="n"/>
      <c r="HFJ1" s="2" t="n"/>
      <c r="HFK1" s="2" t="n"/>
      <c r="HFL1" s="2" t="n"/>
      <c r="HFM1" s="2" t="n"/>
      <c r="HFN1" s="2" t="n"/>
      <c r="HFO1" s="2" t="n"/>
      <c r="HFP1" s="2" t="n"/>
      <c r="HFQ1" s="2" t="n"/>
      <c r="HFR1" s="2" t="n"/>
      <c r="HFS1" s="2" t="n"/>
      <c r="HFT1" s="2" t="n"/>
      <c r="HFU1" s="2" t="n"/>
      <c r="HFV1" s="2" t="n"/>
      <c r="HFW1" s="2" t="n"/>
      <c r="HFX1" s="2" t="n"/>
      <c r="HFY1" s="2" t="n"/>
      <c r="HFZ1" s="2" t="n"/>
      <c r="HGA1" s="2" t="n"/>
      <c r="HGB1" s="2" t="n"/>
      <c r="HGC1" s="2" t="n"/>
      <c r="HGD1" s="2" t="n"/>
      <c r="HGE1" s="2" t="n"/>
      <c r="HGF1" s="2" t="n"/>
      <c r="HGG1" s="2" t="n"/>
      <c r="HGH1" s="2" t="n"/>
      <c r="HGI1" s="2" t="n"/>
      <c r="HGJ1" s="2" t="n"/>
      <c r="HGK1" s="2" t="n"/>
      <c r="HGL1" s="2" t="n"/>
      <c r="HGM1" s="2" t="n"/>
      <c r="HGN1" s="2" t="n"/>
      <c r="HGO1" s="2" t="n"/>
      <c r="HGP1" s="2" t="n"/>
      <c r="HGQ1" s="2" t="n"/>
      <c r="HGR1" s="2" t="n"/>
      <c r="HGS1" s="2" t="n"/>
      <c r="HGT1" s="2" t="n"/>
      <c r="HGU1" s="2" t="n"/>
      <c r="HGV1" s="2" t="n"/>
      <c r="HGW1" s="2" t="n"/>
      <c r="HGX1" s="2" t="n"/>
      <c r="HGY1" s="2" t="n"/>
      <c r="HGZ1" s="2" t="n"/>
      <c r="HHA1" s="2" t="n"/>
      <c r="HHB1" s="2" t="n"/>
      <c r="HHC1" s="2" t="n"/>
      <c r="HHD1" s="2" t="n"/>
      <c r="HHE1" s="2" t="n"/>
      <c r="HHF1" s="2" t="n"/>
      <c r="HHG1" s="2" t="n"/>
      <c r="HHH1" s="2" t="n"/>
      <c r="HHI1" s="2" t="n"/>
      <c r="HHJ1" s="2" t="n"/>
      <c r="HHK1" s="2" t="n"/>
      <c r="HHL1" s="2" t="n"/>
      <c r="HHM1" s="2" t="n"/>
      <c r="HHN1" s="2" t="n"/>
      <c r="HHO1" s="2" t="n"/>
      <c r="HHP1" s="2" t="n"/>
      <c r="HHQ1" s="2" t="n"/>
      <c r="HHR1" s="2" t="n"/>
      <c r="HHS1" s="2" t="n"/>
      <c r="HHT1" s="2" t="n"/>
      <c r="HHU1" s="2" t="n"/>
      <c r="HHV1" s="2" t="n"/>
      <c r="HHW1" s="2" t="n"/>
      <c r="HHX1" s="2" t="n"/>
      <c r="HHY1" s="2" t="n"/>
      <c r="HHZ1" s="2" t="n"/>
      <c r="HIA1" s="2" t="n"/>
      <c r="HIB1" s="2" t="n"/>
      <c r="HIC1" s="2" t="n"/>
      <c r="HID1" s="2" t="n"/>
      <c r="HIE1" s="2" t="n"/>
      <c r="HIF1" s="2" t="n"/>
      <c r="HIG1" s="2" t="n"/>
      <c r="HIH1" s="2" t="n"/>
      <c r="HII1" s="2" t="n"/>
      <c r="HIJ1" s="2" t="n"/>
      <c r="HIK1" s="2" t="n"/>
      <c r="HIL1" s="2" t="n"/>
      <c r="HIM1" s="2" t="n"/>
      <c r="HIN1" s="2" t="n"/>
      <c r="HIO1" s="2" t="n"/>
      <c r="HIP1" s="2" t="n"/>
      <c r="HIQ1" s="2" t="n"/>
      <c r="HIR1" s="2" t="n"/>
      <c r="HIS1" s="2" t="n"/>
      <c r="HIT1" s="2" t="n"/>
      <c r="HIU1" s="2" t="n"/>
      <c r="HIV1" s="2" t="n"/>
      <c r="HIW1" s="2" t="n"/>
      <c r="HIX1" s="2" t="n"/>
      <c r="HIY1" s="2" t="n"/>
      <c r="HIZ1" s="2" t="n"/>
      <c r="HJA1" s="2" t="n"/>
      <c r="HJB1" s="2" t="n"/>
      <c r="HJC1" s="2" t="n"/>
      <c r="HJD1" s="2" t="n"/>
      <c r="HJE1" s="2" t="n"/>
      <c r="HJF1" s="2" t="n"/>
      <c r="HJG1" s="2" t="n"/>
      <c r="HJH1" s="2" t="n"/>
      <c r="HJI1" s="2" t="n"/>
      <c r="HJJ1" s="2" t="n"/>
      <c r="HJK1" s="2" t="n"/>
      <c r="HJL1" s="2" t="n"/>
      <c r="HJM1" s="2" t="n"/>
      <c r="HJN1" s="2" t="n"/>
      <c r="HJO1" s="2" t="n"/>
      <c r="HJP1" s="2" t="n"/>
      <c r="HJQ1" s="2" t="n"/>
      <c r="HJR1" s="2" t="n"/>
      <c r="HJS1" s="2" t="n"/>
      <c r="HJT1" s="2" t="n"/>
      <c r="HJU1" s="2" t="n"/>
      <c r="HJV1" s="2" t="n"/>
      <c r="HJW1" s="2" t="n"/>
      <c r="HJX1" s="2" t="n"/>
      <c r="HJY1" s="2" t="n"/>
      <c r="HJZ1" s="2" t="n"/>
      <c r="HKA1" s="2" t="n"/>
      <c r="HKB1" s="2" t="n"/>
      <c r="HKC1" s="2" t="n"/>
      <c r="HKD1" s="2" t="n"/>
      <c r="HKE1" s="2" t="n"/>
      <c r="HKF1" s="2" t="n"/>
      <c r="HKG1" s="2" t="n"/>
      <c r="HKH1" s="2" t="n"/>
      <c r="HKI1" s="2" t="n"/>
      <c r="HKJ1" s="2" t="n"/>
      <c r="HKK1" s="2" t="n"/>
      <c r="HKL1" s="2" t="n"/>
      <c r="HKM1" s="2" t="n"/>
      <c r="HKN1" s="2" t="n"/>
      <c r="HKO1" s="2" t="n"/>
      <c r="HKP1" s="2" t="n"/>
      <c r="HKQ1" s="2" t="n"/>
      <c r="HKR1" s="2" t="n"/>
      <c r="HKS1" s="2" t="n"/>
      <c r="HKT1" s="2" t="n"/>
      <c r="HKU1" s="2" t="n"/>
      <c r="HKV1" s="2" t="n"/>
      <c r="HKW1" s="2" t="n"/>
      <c r="HKX1" s="2" t="n"/>
      <c r="HKY1" s="2" t="n"/>
      <c r="HKZ1" s="2" t="n"/>
      <c r="HLA1" s="2" t="n"/>
      <c r="HLB1" s="2" t="n"/>
      <c r="HLC1" s="2" t="n"/>
      <c r="HLD1" s="2" t="n"/>
      <c r="HLE1" s="2" t="n"/>
      <c r="HLF1" s="2" t="n"/>
      <c r="HLG1" s="2" t="n"/>
      <c r="HLH1" s="2" t="n"/>
      <c r="HLI1" s="2" t="n"/>
      <c r="HLJ1" s="2" t="n"/>
      <c r="HLK1" s="2" t="n"/>
      <c r="HLL1" s="2" t="n"/>
      <c r="HLM1" s="2" t="n"/>
      <c r="HLN1" s="2" t="n"/>
      <c r="HLO1" s="2" t="n"/>
      <c r="HLP1" s="2" t="n"/>
      <c r="HLQ1" s="2" t="n"/>
      <c r="HLR1" s="2" t="n"/>
      <c r="HLS1" s="2" t="n"/>
      <c r="HLT1" s="2" t="n"/>
      <c r="HLU1" s="2" t="n"/>
      <c r="HLV1" s="2" t="n"/>
      <c r="HLW1" s="2" t="n"/>
      <c r="HLX1" s="2" t="n"/>
      <c r="HLY1" s="2" t="n"/>
      <c r="HLZ1" s="2" t="n"/>
      <c r="HMA1" s="2" t="n"/>
      <c r="HMB1" s="2" t="n"/>
      <c r="HMC1" s="2" t="n"/>
      <c r="HMD1" s="2" t="n"/>
      <c r="HME1" s="2" t="n"/>
      <c r="HMF1" s="2" t="n"/>
      <c r="HMG1" s="2" t="n"/>
      <c r="HMH1" s="2" t="n"/>
      <c r="HMI1" s="2" t="n"/>
      <c r="HMJ1" s="2" t="n"/>
      <c r="HMK1" s="2" t="n"/>
      <c r="HML1" s="2" t="n"/>
      <c r="HMM1" s="2" t="n"/>
      <c r="HMN1" s="2" t="n"/>
      <c r="HMO1" s="2" t="n"/>
      <c r="HMP1" s="2" t="n"/>
      <c r="HMQ1" s="2" t="n"/>
      <c r="HMR1" s="2" t="n"/>
      <c r="HMS1" s="2" t="n"/>
      <c r="HMT1" s="2" t="n"/>
      <c r="HMU1" s="2" t="n"/>
      <c r="HMV1" s="2" t="n"/>
      <c r="HMW1" s="2" t="n"/>
      <c r="HMX1" s="2" t="n"/>
      <c r="HMY1" s="2" t="n"/>
      <c r="HMZ1" s="2" t="n"/>
      <c r="HNA1" s="2" t="n"/>
      <c r="HNB1" s="2" t="n"/>
      <c r="HNC1" s="2" t="n"/>
      <c r="HND1" s="2" t="n"/>
      <c r="HNE1" s="2" t="n"/>
      <c r="HNF1" s="2" t="n"/>
      <c r="HNG1" s="2" t="n"/>
      <c r="HNH1" s="2" t="n"/>
      <c r="HNI1" s="2" t="n"/>
      <c r="HNJ1" s="2" t="n"/>
      <c r="HNK1" s="2" t="n"/>
      <c r="HNL1" s="2" t="n"/>
      <c r="HNM1" s="2" t="n"/>
      <c r="HNN1" s="2" t="n"/>
      <c r="HNO1" s="2" t="n"/>
      <c r="HNP1" s="2" t="n"/>
      <c r="HNQ1" s="2" t="n"/>
      <c r="HNR1" s="2" t="n"/>
      <c r="HNS1" s="2" t="n"/>
      <c r="HNT1" s="2" t="n"/>
      <c r="HNU1" s="2" t="n"/>
      <c r="HNV1" s="2" t="n"/>
      <c r="HNW1" s="2" t="n"/>
      <c r="HNX1" s="2" t="n"/>
      <c r="HNY1" s="2" t="n"/>
      <c r="HNZ1" s="2" t="n"/>
      <c r="HOA1" s="2" t="n"/>
      <c r="HOB1" s="2" t="n"/>
      <c r="HOC1" s="2" t="n"/>
      <c r="HOD1" s="2" t="n"/>
      <c r="HOE1" s="2" t="n"/>
      <c r="HOF1" s="2" t="n"/>
      <c r="HOG1" s="2" t="n"/>
      <c r="HOH1" s="2" t="n"/>
      <c r="HOI1" s="2" t="n"/>
      <c r="HOJ1" s="2" t="n"/>
      <c r="HOK1" s="2" t="n"/>
      <c r="HOL1" s="2" t="n"/>
      <c r="HOM1" s="2" t="n"/>
      <c r="HON1" s="2" t="n"/>
      <c r="HOO1" s="2" t="n"/>
      <c r="HOP1" s="2" t="n"/>
      <c r="HOQ1" s="2" t="n"/>
      <c r="HOR1" s="2" t="n"/>
      <c r="HOS1" s="2" t="n"/>
      <c r="HOT1" s="2" t="n"/>
      <c r="HOU1" s="2" t="n"/>
      <c r="HOV1" s="2" t="n"/>
      <c r="HOW1" s="2" t="n"/>
      <c r="HOX1" s="2" t="n"/>
      <c r="HOY1" s="2" t="n"/>
      <c r="HOZ1" s="2" t="n"/>
      <c r="HPA1" s="2" t="n"/>
      <c r="HPB1" s="2" t="n"/>
      <c r="HPC1" s="2" t="n"/>
      <c r="HPD1" s="2" t="n"/>
      <c r="HPE1" s="2" t="n"/>
      <c r="HPF1" s="2" t="n"/>
      <c r="HPG1" s="2" t="n"/>
      <c r="HPH1" s="2" t="n"/>
      <c r="HPI1" s="2" t="n"/>
      <c r="HPJ1" s="2" t="n"/>
      <c r="HPK1" s="2" t="n"/>
      <c r="HPL1" s="2" t="n"/>
      <c r="HPM1" s="2" t="n"/>
      <c r="HPN1" s="2" t="n"/>
      <c r="HPO1" s="2" t="n"/>
      <c r="HPP1" s="2" t="n"/>
      <c r="HPQ1" s="2" t="n"/>
      <c r="HPR1" s="2" t="n"/>
      <c r="HPS1" s="2" t="n"/>
      <c r="HPT1" s="2" t="n"/>
      <c r="HPU1" s="2" t="n"/>
      <c r="HPV1" s="2" t="n"/>
      <c r="HPW1" s="2" t="n"/>
      <c r="HPX1" s="2" t="n"/>
      <c r="HPY1" s="2" t="n"/>
      <c r="HPZ1" s="2" t="n"/>
      <c r="HQA1" s="2" t="n"/>
      <c r="HQB1" s="2" t="n"/>
      <c r="HQC1" s="2" t="n"/>
      <c r="HQD1" s="2" t="n"/>
      <c r="HQE1" s="2" t="n"/>
      <c r="HQF1" s="2" t="n"/>
      <c r="HQG1" s="2" t="n"/>
      <c r="HQH1" s="2" t="n"/>
      <c r="HQI1" s="2" t="n"/>
      <c r="HQJ1" s="2" t="n"/>
      <c r="HQK1" s="2" t="n"/>
      <c r="HQL1" s="2" t="n"/>
      <c r="HQM1" s="2" t="n"/>
      <c r="HQN1" s="2" t="n"/>
      <c r="HQO1" s="2" t="n"/>
      <c r="HQP1" s="2" t="n"/>
      <c r="HQQ1" s="2" t="n"/>
      <c r="HQR1" s="2" t="n"/>
      <c r="HQS1" s="2" t="n"/>
      <c r="HQT1" s="2" t="n"/>
      <c r="HQU1" s="2" t="n"/>
      <c r="HQV1" s="2" t="n"/>
      <c r="HQW1" s="2" t="n"/>
      <c r="HQX1" s="2" t="n"/>
      <c r="HQY1" s="2" t="n"/>
      <c r="HQZ1" s="2" t="n"/>
      <c r="HRA1" s="2" t="n"/>
      <c r="HRB1" s="2" t="n"/>
      <c r="HRC1" s="2" t="n"/>
      <c r="HRD1" s="2" t="n"/>
      <c r="HRE1" s="2" t="n"/>
      <c r="HRF1" s="2" t="n"/>
      <c r="HRG1" s="2" t="n"/>
      <c r="HRH1" s="2" t="n"/>
      <c r="HRI1" s="2" t="n"/>
      <c r="HRJ1" s="2" t="n"/>
      <c r="HRK1" s="2" t="n"/>
      <c r="HRL1" s="2" t="n"/>
      <c r="HRM1" s="2" t="n"/>
      <c r="HRN1" s="2" t="n"/>
      <c r="HRO1" s="2" t="n"/>
      <c r="HRP1" s="2" t="n"/>
      <c r="HRQ1" s="2" t="n"/>
      <c r="HRR1" s="2" t="n"/>
      <c r="HRS1" s="2" t="n"/>
      <c r="HRT1" s="2" t="n"/>
      <c r="HRU1" s="2" t="n"/>
      <c r="HRV1" s="2" t="n"/>
      <c r="HRW1" s="2" t="n"/>
      <c r="HRX1" s="2" t="n"/>
      <c r="HRY1" s="2" t="n"/>
      <c r="HRZ1" s="2" t="n"/>
      <c r="HSA1" s="2" t="n"/>
      <c r="HSB1" s="2" t="n"/>
      <c r="HSC1" s="2" t="n"/>
      <c r="HSD1" s="2" t="n"/>
      <c r="HSE1" s="2" t="n"/>
      <c r="HSF1" s="2" t="n"/>
      <c r="HSG1" s="2" t="n"/>
      <c r="HSH1" s="2" t="n"/>
      <c r="HSI1" s="2" t="n"/>
      <c r="HSJ1" s="2" t="n"/>
      <c r="HSK1" s="2" t="n"/>
      <c r="HSL1" s="2" t="n"/>
      <c r="HSM1" s="2" t="n"/>
      <c r="HSN1" s="2" t="n"/>
      <c r="HSO1" s="2" t="n"/>
      <c r="HSP1" s="2" t="n"/>
      <c r="HSQ1" s="2" t="n"/>
      <c r="HSR1" s="2" t="n"/>
      <c r="HSS1" s="2" t="n"/>
      <c r="HST1" s="2" t="n"/>
      <c r="HSU1" s="2" t="n"/>
      <c r="HSV1" s="2" t="n"/>
      <c r="HSW1" s="2" t="n"/>
      <c r="HSX1" s="2" t="n"/>
      <c r="HSY1" s="2" t="n"/>
      <c r="HSZ1" s="2" t="n"/>
      <c r="HTA1" s="2" t="n"/>
      <c r="HTB1" s="2" t="n"/>
      <c r="HTC1" s="2" t="n"/>
      <c r="HTD1" s="2" t="n"/>
      <c r="HTE1" s="2" t="n"/>
      <c r="HTF1" s="2" t="n"/>
      <c r="HTG1" s="2" t="n"/>
      <c r="HTH1" s="2" t="n"/>
      <c r="HTI1" s="2" t="n"/>
      <c r="HTJ1" s="2" t="n"/>
      <c r="HTK1" s="2" t="n"/>
      <c r="HTL1" s="2" t="n"/>
      <c r="HTM1" s="2" t="n"/>
      <c r="HTN1" s="2" t="n"/>
      <c r="HTO1" s="2" t="n"/>
      <c r="HTP1" s="2" t="n"/>
      <c r="HTQ1" s="2" t="n"/>
      <c r="HTR1" s="2" t="n"/>
      <c r="HTS1" s="2" t="n"/>
      <c r="HTT1" s="2" t="n"/>
      <c r="HTU1" s="2" t="n"/>
      <c r="HTV1" s="2" t="n"/>
      <c r="HTW1" s="2" t="n"/>
      <c r="HTX1" s="2" t="n"/>
      <c r="HTY1" s="2" t="n"/>
      <c r="HTZ1" s="2" t="n"/>
      <c r="HUA1" s="2" t="n"/>
      <c r="HUB1" s="2" t="n"/>
      <c r="HUC1" s="2" t="n"/>
      <c r="HUD1" s="2" t="n"/>
      <c r="HUE1" s="2" t="n"/>
      <c r="HUF1" s="2" t="n"/>
      <c r="HUG1" s="2" t="n"/>
      <c r="HUH1" s="2" t="n"/>
      <c r="HUI1" s="2" t="n"/>
      <c r="HUJ1" s="2" t="n"/>
      <c r="HUK1" s="2" t="n"/>
      <c r="HUL1" s="2" t="n"/>
      <c r="HUM1" s="2" t="n"/>
      <c r="HUN1" s="2" t="n"/>
      <c r="HUO1" s="2" t="n"/>
      <c r="HUP1" s="2" t="n"/>
      <c r="HUQ1" s="2" t="n"/>
      <c r="HUR1" s="2" t="n"/>
      <c r="HUS1" s="2" t="n"/>
      <c r="HUT1" s="2" t="n"/>
      <c r="HUU1" s="2" t="n"/>
      <c r="HUV1" s="2" t="n"/>
      <c r="HUW1" s="2" t="n"/>
      <c r="HUX1" s="2" t="n"/>
      <c r="HUY1" s="2" t="n"/>
      <c r="HUZ1" s="2" t="n"/>
      <c r="HVA1" s="2" t="n"/>
      <c r="HVB1" s="2" t="n"/>
      <c r="HVC1" s="2" t="n"/>
      <c r="HVD1" s="2" t="n"/>
      <c r="HVE1" s="2" t="n"/>
      <c r="HVF1" s="2" t="n"/>
      <c r="HVG1" s="2" t="n"/>
      <c r="HVH1" s="2" t="n"/>
      <c r="HVI1" s="2" t="n"/>
      <c r="HVJ1" s="2" t="n"/>
      <c r="HVK1" s="2" t="n"/>
      <c r="HVL1" s="2" t="n"/>
      <c r="HVM1" s="2" t="n"/>
      <c r="HVN1" s="2" t="n"/>
      <c r="HVO1" s="2" t="n"/>
      <c r="HVP1" s="2" t="n"/>
      <c r="HVQ1" s="2" t="n"/>
      <c r="HVR1" s="2" t="n"/>
      <c r="HVS1" s="2" t="n"/>
      <c r="HVT1" s="2" t="n"/>
      <c r="HVU1" s="2" t="n"/>
      <c r="HVV1" s="2" t="n"/>
      <c r="HVW1" s="2" t="n"/>
      <c r="HVX1" s="2" t="n"/>
      <c r="HVY1" s="2" t="n"/>
      <c r="HVZ1" s="2" t="n"/>
      <c r="HWA1" s="2" t="n"/>
      <c r="HWB1" s="2" t="n"/>
      <c r="HWC1" s="2" t="n"/>
      <c r="HWD1" s="2" t="n"/>
      <c r="HWE1" s="2" t="n"/>
      <c r="HWF1" s="2" t="n"/>
      <c r="HWG1" s="2" t="n"/>
      <c r="HWH1" s="2" t="n"/>
      <c r="HWI1" s="2" t="n"/>
      <c r="HWJ1" s="2" t="n"/>
      <c r="HWK1" s="2" t="n"/>
      <c r="HWL1" s="2" t="n"/>
      <c r="HWM1" s="2" t="n"/>
      <c r="HWN1" s="2" t="n"/>
      <c r="HWO1" s="2" t="n"/>
      <c r="HWP1" s="2" t="n"/>
      <c r="HWQ1" s="2" t="n"/>
      <c r="HWR1" s="2" t="n"/>
      <c r="HWS1" s="2" t="n"/>
      <c r="HWT1" s="2" t="n"/>
      <c r="HWU1" s="2" t="n"/>
      <c r="HWV1" s="2" t="n"/>
      <c r="HWW1" s="2" t="n"/>
      <c r="HWX1" s="2" t="n"/>
      <c r="HWY1" s="2" t="n"/>
      <c r="HWZ1" s="2" t="n"/>
      <c r="HXA1" s="2" t="n"/>
      <c r="HXB1" s="2" t="n"/>
      <c r="HXC1" s="2" t="n"/>
      <c r="HXD1" s="2" t="n"/>
      <c r="HXE1" s="2" t="n"/>
      <c r="HXF1" s="2" t="n"/>
      <c r="HXG1" s="2" t="n"/>
      <c r="HXH1" s="2" t="n"/>
      <c r="HXI1" s="2" t="n"/>
      <c r="HXJ1" s="2" t="n"/>
      <c r="HXK1" s="2" t="n"/>
      <c r="HXL1" s="2" t="n"/>
      <c r="HXM1" s="2" t="n"/>
      <c r="HXN1" s="2" t="n"/>
      <c r="HXO1" s="2" t="n"/>
      <c r="HXP1" s="2" t="n"/>
      <c r="HXQ1" s="2" t="n"/>
      <c r="HXR1" s="2" t="n"/>
      <c r="HXS1" s="2" t="n"/>
      <c r="HXT1" s="2" t="n"/>
      <c r="HXU1" s="2" t="n"/>
      <c r="HXV1" s="2" t="n"/>
      <c r="HXW1" s="2" t="n"/>
      <c r="HXX1" s="2" t="n"/>
      <c r="HXY1" s="2" t="n"/>
      <c r="HXZ1" s="2" t="n"/>
      <c r="HYA1" s="2" t="n"/>
      <c r="HYB1" s="2" t="n"/>
      <c r="HYC1" s="2" t="n"/>
      <c r="HYD1" s="2" t="n"/>
      <c r="HYE1" s="2" t="n"/>
      <c r="HYF1" s="2" t="n"/>
      <c r="HYG1" s="2" t="n"/>
      <c r="HYH1" s="2" t="n"/>
      <c r="HYI1" s="2" t="n"/>
      <c r="HYJ1" s="2" t="n"/>
      <c r="HYK1" s="2" t="n"/>
      <c r="HYL1" s="2" t="n"/>
      <c r="HYM1" s="2" t="n"/>
      <c r="HYN1" s="2" t="n"/>
      <c r="HYO1" s="2" t="n"/>
      <c r="HYP1" s="2" t="n"/>
      <c r="HYQ1" s="2" t="n"/>
      <c r="HYR1" s="2" t="n"/>
      <c r="HYS1" s="2" t="n"/>
      <c r="HYT1" s="2" t="n"/>
      <c r="HYU1" s="2" t="n"/>
      <c r="HYV1" s="2" t="n"/>
      <c r="HYW1" s="2" t="n"/>
      <c r="HYX1" s="2" t="n"/>
      <c r="HYY1" s="2" t="n"/>
      <c r="HYZ1" s="2" t="n"/>
      <c r="HZA1" s="2" t="n"/>
      <c r="HZB1" s="2" t="n"/>
      <c r="HZC1" s="2" t="n"/>
      <c r="HZD1" s="2" t="n"/>
      <c r="HZE1" s="2" t="n"/>
      <c r="HZF1" s="2" t="n"/>
      <c r="HZG1" s="2" t="n"/>
      <c r="HZH1" s="2" t="n"/>
      <c r="HZI1" s="2" t="n"/>
      <c r="HZJ1" s="2" t="n"/>
      <c r="HZK1" s="2" t="n"/>
      <c r="HZL1" s="2" t="n"/>
      <c r="HZM1" s="2" t="n"/>
      <c r="HZN1" s="2" t="n"/>
      <c r="HZO1" s="2" t="n"/>
      <c r="HZP1" s="2" t="n"/>
      <c r="HZQ1" s="2" t="n"/>
      <c r="HZR1" s="2" t="n"/>
      <c r="HZS1" s="2" t="n"/>
      <c r="HZT1" s="2" t="n"/>
      <c r="HZU1" s="2" t="n"/>
      <c r="HZV1" s="2" t="n"/>
      <c r="HZW1" s="2" t="n"/>
      <c r="HZX1" s="2" t="n"/>
      <c r="HZY1" s="2" t="n"/>
      <c r="HZZ1" s="2" t="n"/>
      <c r="IAA1" s="2" t="n"/>
      <c r="IAB1" s="2" t="n"/>
      <c r="IAC1" s="2" t="n"/>
      <c r="IAD1" s="2" t="n"/>
      <c r="IAE1" s="2" t="n"/>
      <c r="IAF1" s="2" t="n"/>
      <c r="IAG1" s="2" t="n"/>
      <c r="IAH1" s="2" t="n"/>
      <c r="IAI1" s="2" t="n"/>
      <c r="IAJ1" s="2" t="n"/>
      <c r="IAK1" s="2" t="n"/>
      <c r="IAL1" s="2" t="n"/>
      <c r="IAM1" s="2" t="n"/>
      <c r="IAN1" s="2" t="n"/>
      <c r="IAO1" s="2" t="n"/>
      <c r="IAP1" s="2" t="n"/>
      <c r="IAQ1" s="2" t="n"/>
      <c r="IAR1" s="2" t="n"/>
      <c r="IAS1" s="2" t="n"/>
      <c r="IAT1" s="2" t="n"/>
      <c r="IAU1" s="2" t="n"/>
      <c r="IAV1" s="2" t="n"/>
      <c r="IAW1" s="2" t="n"/>
      <c r="IAX1" s="2" t="n"/>
      <c r="IAY1" s="2" t="n"/>
      <c r="IAZ1" s="2" t="n"/>
      <c r="IBA1" s="2" t="n"/>
      <c r="IBB1" s="2" t="n"/>
      <c r="IBC1" s="2" t="n"/>
      <c r="IBD1" s="2" t="n"/>
      <c r="IBE1" s="2" t="n"/>
      <c r="IBF1" s="2" t="n"/>
      <c r="IBG1" s="2" t="n"/>
      <c r="IBH1" s="2" t="n"/>
      <c r="IBI1" s="2" t="n"/>
      <c r="IBJ1" s="2" t="n"/>
      <c r="IBK1" s="2" t="n"/>
      <c r="IBL1" s="2" t="n"/>
      <c r="IBM1" s="2" t="n"/>
      <c r="IBN1" s="2" t="n"/>
      <c r="IBO1" s="2" t="n"/>
      <c r="IBP1" s="2" t="n"/>
      <c r="IBQ1" s="2" t="n"/>
      <c r="IBR1" s="2" t="n"/>
      <c r="IBS1" s="2" t="n"/>
      <c r="IBT1" s="2" t="n"/>
      <c r="IBU1" s="2" t="n"/>
      <c r="IBV1" s="2" t="n"/>
      <c r="IBW1" s="2" t="n"/>
      <c r="IBX1" s="2" t="n"/>
      <c r="IBY1" s="2" t="n"/>
      <c r="IBZ1" s="2" t="n"/>
      <c r="ICA1" s="2" t="n"/>
      <c r="ICB1" s="2" t="n"/>
      <c r="ICC1" s="2" t="n"/>
      <c r="ICD1" s="2" t="n"/>
      <c r="ICE1" s="2" t="n"/>
      <c r="ICF1" s="2" t="n"/>
      <c r="ICG1" s="2" t="n"/>
      <c r="ICH1" s="2" t="n"/>
      <c r="ICI1" s="2" t="n"/>
      <c r="ICJ1" s="2" t="n"/>
      <c r="ICK1" s="2" t="n"/>
      <c r="ICL1" s="2" t="n"/>
      <c r="ICM1" s="2" t="n"/>
      <c r="ICN1" s="2" t="n"/>
      <c r="ICO1" s="2" t="n"/>
      <c r="ICP1" s="2" t="n"/>
      <c r="ICQ1" s="2" t="n"/>
      <c r="ICR1" s="2" t="n"/>
      <c r="ICS1" s="2" t="n"/>
      <c r="ICT1" s="2" t="n"/>
      <c r="ICU1" s="2" t="n"/>
      <c r="ICV1" s="2" t="n"/>
      <c r="ICW1" s="2" t="n"/>
      <c r="ICX1" s="2" t="n"/>
      <c r="ICY1" s="2" t="n"/>
      <c r="ICZ1" s="2" t="n"/>
      <c r="IDA1" s="2" t="n"/>
      <c r="IDB1" s="2" t="n"/>
      <c r="IDC1" s="2" t="n"/>
      <c r="IDD1" s="2" t="n"/>
      <c r="IDE1" s="2" t="n"/>
      <c r="IDF1" s="2" t="n"/>
      <c r="IDG1" s="2" t="n"/>
      <c r="IDH1" s="2" t="n"/>
      <c r="IDI1" s="2" t="n"/>
      <c r="IDJ1" s="2" t="n"/>
      <c r="IDK1" s="2" t="n"/>
      <c r="IDL1" s="2" t="n"/>
      <c r="IDM1" s="2" t="n"/>
      <c r="IDN1" s="2" t="n"/>
      <c r="IDO1" s="2" t="n"/>
      <c r="IDP1" s="2" t="n"/>
      <c r="IDQ1" s="2" t="n"/>
      <c r="IDR1" s="2" t="n"/>
      <c r="IDS1" s="2" t="n"/>
      <c r="IDT1" s="2" t="n"/>
      <c r="IDU1" s="2" t="n"/>
      <c r="IDV1" s="2" t="n"/>
      <c r="IDW1" s="2" t="n"/>
      <c r="IDX1" s="2" t="n"/>
      <c r="IDY1" s="2" t="n"/>
      <c r="IDZ1" s="2" t="n"/>
      <c r="IEA1" s="2" t="n"/>
      <c r="IEB1" s="2" t="n"/>
      <c r="IEC1" s="2" t="n"/>
      <c r="IED1" s="2" t="n"/>
      <c r="IEE1" s="2" t="n"/>
      <c r="IEF1" s="2" t="n"/>
      <c r="IEG1" s="2" t="n"/>
      <c r="IEH1" s="2" t="n"/>
      <c r="IEI1" s="2" t="n"/>
      <c r="IEJ1" s="2" t="n"/>
      <c r="IEK1" s="2" t="n"/>
      <c r="IEL1" s="2" t="n"/>
      <c r="IEM1" s="2" t="n"/>
      <c r="IEN1" s="2" t="n"/>
      <c r="IEO1" s="2" t="n"/>
      <c r="IEP1" s="2" t="n"/>
      <c r="IEQ1" s="2" t="n"/>
      <c r="IER1" s="2" t="n"/>
      <c r="IES1" s="2" t="n"/>
      <c r="IET1" s="2" t="n"/>
      <c r="IEU1" s="2" t="n"/>
      <c r="IEV1" s="2" t="n"/>
      <c r="IEW1" s="2" t="n"/>
      <c r="IEX1" s="2" t="n"/>
      <c r="IEY1" s="2" t="n"/>
      <c r="IEZ1" s="2" t="n"/>
      <c r="IFA1" s="2" t="n"/>
      <c r="IFB1" s="2" t="n"/>
      <c r="IFC1" s="2" t="n"/>
      <c r="IFD1" s="2" t="n"/>
      <c r="IFE1" s="2" t="n"/>
      <c r="IFF1" s="2" t="n"/>
      <c r="IFG1" s="2" t="n"/>
      <c r="IFH1" s="2" t="n"/>
      <c r="IFI1" s="2" t="n"/>
      <c r="IFJ1" s="2" t="n"/>
      <c r="IFK1" s="2" t="n"/>
      <c r="IFL1" s="2" t="n"/>
      <c r="IFM1" s="2" t="n"/>
      <c r="IFN1" s="2" t="n"/>
      <c r="IFO1" s="2" t="n"/>
      <c r="IFP1" s="2" t="n"/>
      <c r="IFQ1" s="2" t="n"/>
      <c r="IFR1" s="2" t="n"/>
      <c r="IFS1" s="2" t="n"/>
      <c r="IFT1" s="2" t="n"/>
      <c r="IFU1" s="2" t="n"/>
      <c r="IFV1" s="2" t="n"/>
      <c r="IFW1" s="2" t="n"/>
      <c r="IFX1" s="2" t="n"/>
      <c r="IFY1" s="2" t="n"/>
      <c r="IFZ1" s="2" t="n"/>
      <c r="IGA1" s="2" t="n"/>
      <c r="IGB1" s="2" t="n"/>
      <c r="IGC1" s="2" t="n"/>
      <c r="IGD1" s="2" t="n"/>
      <c r="IGE1" s="2" t="n"/>
      <c r="IGF1" s="2" t="n"/>
      <c r="IGG1" s="2" t="n"/>
      <c r="IGH1" s="2" t="n"/>
      <c r="IGI1" s="2" t="n"/>
      <c r="IGJ1" s="2" t="n"/>
      <c r="IGK1" s="2" t="n"/>
      <c r="IGL1" s="2" t="n"/>
      <c r="IGM1" s="2" t="n"/>
      <c r="IGN1" s="2" t="n"/>
      <c r="IGO1" s="2" t="n"/>
      <c r="IGP1" s="2" t="n"/>
      <c r="IGQ1" s="2" t="n"/>
      <c r="IGR1" s="2" t="n"/>
      <c r="IGS1" s="2" t="n"/>
      <c r="IGT1" s="2" t="n"/>
      <c r="IGU1" s="2" t="n"/>
      <c r="IGV1" s="2" t="n"/>
      <c r="IGW1" s="2" t="n"/>
      <c r="IGX1" s="2" t="n"/>
      <c r="IGY1" s="2" t="n"/>
      <c r="IGZ1" s="2" t="n"/>
      <c r="IHA1" s="2" t="n"/>
      <c r="IHB1" s="2" t="n"/>
      <c r="IHC1" s="2" t="n"/>
      <c r="IHD1" s="2" t="n"/>
      <c r="IHE1" s="2" t="n"/>
      <c r="IHF1" s="2" t="n"/>
      <c r="IHG1" s="2" t="n"/>
      <c r="IHH1" s="2" t="n"/>
      <c r="IHI1" s="2" t="n"/>
      <c r="IHJ1" s="2" t="n"/>
      <c r="IHK1" s="2" t="n"/>
      <c r="IHL1" s="2" t="n"/>
      <c r="IHM1" s="2" t="n"/>
      <c r="IHN1" s="2" t="n"/>
      <c r="IHO1" s="2" t="n"/>
      <c r="IHP1" s="2" t="n"/>
      <c r="IHQ1" s="2" t="n"/>
      <c r="IHR1" s="2" t="n"/>
      <c r="IHS1" s="2" t="n"/>
      <c r="IHT1" s="2" t="n"/>
      <c r="IHU1" s="2" t="n"/>
      <c r="IHV1" s="2" t="n"/>
      <c r="IHW1" s="2" t="n"/>
      <c r="IHX1" s="2" t="n"/>
      <c r="IHY1" s="2" t="n"/>
      <c r="IHZ1" s="2" t="n"/>
      <c r="IIA1" s="2" t="n"/>
      <c r="IIB1" s="2" t="n"/>
      <c r="IIC1" s="2" t="n"/>
      <c r="IID1" s="2" t="n"/>
      <c r="IIE1" s="2" t="n"/>
      <c r="IIF1" s="2" t="n"/>
      <c r="IIG1" s="2" t="n"/>
      <c r="IIH1" s="2" t="n"/>
      <c r="III1" s="2" t="n"/>
      <c r="IIJ1" s="2" t="n"/>
      <c r="IIK1" s="2" t="n"/>
      <c r="IIL1" s="2" t="n"/>
      <c r="IIM1" s="2" t="n"/>
      <c r="IIN1" s="2" t="n"/>
      <c r="IIO1" s="2" t="n"/>
      <c r="IIP1" s="2" t="n"/>
      <c r="IIQ1" s="2" t="n"/>
      <c r="IIR1" s="2" t="n"/>
      <c r="IIS1" s="2" t="n"/>
      <c r="IIT1" s="2" t="n"/>
      <c r="IIU1" s="2" t="n"/>
      <c r="IIV1" s="2" t="n"/>
      <c r="IIW1" s="2" t="n"/>
      <c r="IIX1" s="2" t="n"/>
      <c r="IIY1" s="2" t="n"/>
      <c r="IIZ1" s="2" t="n"/>
      <c r="IJA1" s="2" t="n"/>
      <c r="IJB1" s="2" t="n"/>
      <c r="IJC1" s="2" t="n"/>
      <c r="IJD1" s="2" t="n"/>
      <c r="IJE1" s="2" t="n"/>
      <c r="IJF1" s="2" t="n"/>
      <c r="IJG1" s="2" t="n"/>
      <c r="IJH1" s="2" t="n"/>
      <c r="IJI1" s="2" t="n"/>
      <c r="IJJ1" s="2" t="n"/>
      <c r="IJK1" s="2" t="n"/>
      <c r="IJL1" s="2" t="n"/>
      <c r="IJM1" s="2" t="n"/>
      <c r="IJN1" s="2" t="n"/>
      <c r="IJO1" s="2" t="n"/>
      <c r="IJP1" s="2" t="n"/>
      <c r="IJQ1" s="2" t="n"/>
      <c r="IJR1" s="2" t="n"/>
      <c r="IJS1" s="2" t="n"/>
      <c r="IJT1" s="2" t="n"/>
      <c r="IJU1" s="2" t="n"/>
      <c r="IJV1" s="2" t="n"/>
      <c r="IJW1" s="2" t="n"/>
      <c r="IJX1" s="2" t="n"/>
      <c r="IJY1" s="2" t="n"/>
      <c r="IJZ1" s="2" t="n"/>
      <c r="IKA1" s="2" t="n"/>
      <c r="IKB1" s="2" t="n"/>
      <c r="IKC1" s="2" t="n"/>
      <c r="IKD1" s="2" t="n"/>
      <c r="IKE1" s="2" t="n"/>
      <c r="IKF1" s="2" t="n"/>
      <c r="IKG1" s="2" t="n"/>
      <c r="IKH1" s="2" t="n"/>
      <c r="IKI1" s="2" t="n"/>
      <c r="IKJ1" s="2" t="n"/>
      <c r="IKK1" s="2" t="n"/>
      <c r="IKL1" s="2" t="n"/>
      <c r="IKM1" s="2" t="n"/>
      <c r="IKN1" s="2" t="n"/>
      <c r="IKO1" s="2" t="n"/>
      <c r="IKP1" s="2" t="n"/>
      <c r="IKQ1" s="2" t="n"/>
      <c r="IKR1" s="2" t="n"/>
      <c r="IKS1" s="2" t="n"/>
      <c r="IKT1" s="2" t="n"/>
      <c r="IKU1" s="2" t="n"/>
      <c r="IKV1" s="2" t="n"/>
      <c r="IKW1" s="2" t="n"/>
      <c r="IKX1" s="2" t="n"/>
      <c r="IKY1" s="2" t="n"/>
      <c r="IKZ1" s="2" t="n"/>
      <c r="ILA1" s="2" t="n"/>
      <c r="ILB1" s="2" t="n"/>
      <c r="ILC1" s="2" t="n"/>
      <c r="ILD1" s="2" t="n"/>
      <c r="ILE1" s="2" t="n"/>
      <c r="ILF1" s="2" t="n"/>
      <c r="ILG1" s="2" t="n"/>
      <c r="ILH1" s="2" t="n"/>
      <c r="ILI1" s="2" t="n"/>
      <c r="ILJ1" s="2" t="n"/>
      <c r="ILK1" s="2" t="n"/>
      <c r="ILL1" s="2" t="n"/>
      <c r="ILM1" s="2" t="n"/>
      <c r="ILN1" s="2" t="n"/>
      <c r="ILO1" s="2" t="n"/>
      <c r="ILP1" s="2" t="n"/>
      <c r="ILQ1" s="2" t="n"/>
      <c r="ILR1" s="2" t="n"/>
      <c r="ILS1" s="2" t="n"/>
      <c r="ILT1" s="2" t="n"/>
      <c r="ILU1" s="2" t="n"/>
      <c r="ILV1" s="2" t="n"/>
      <c r="ILW1" s="2" t="n"/>
      <c r="ILX1" s="2" t="n"/>
      <c r="ILY1" s="2" t="n"/>
      <c r="ILZ1" s="2" t="n"/>
      <c r="IMA1" s="2" t="n"/>
      <c r="IMB1" s="2" t="n"/>
      <c r="IMC1" s="2" t="n"/>
      <c r="IMD1" s="2" t="n"/>
      <c r="IME1" s="2" t="n"/>
      <c r="IMF1" s="2" t="n"/>
      <c r="IMG1" s="2" t="n"/>
      <c r="IMH1" s="2" t="n"/>
      <c r="IMI1" s="2" t="n"/>
      <c r="IMJ1" s="2" t="n"/>
      <c r="IMK1" s="2" t="n"/>
      <c r="IML1" s="2" t="n"/>
      <c r="IMM1" s="2" t="n"/>
      <c r="IMN1" s="2" t="n"/>
      <c r="IMO1" s="2" t="n"/>
      <c r="IMP1" s="2" t="n"/>
      <c r="IMQ1" s="2" t="n"/>
      <c r="IMR1" s="2" t="n"/>
      <c r="IMS1" s="2" t="n"/>
      <c r="IMT1" s="2" t="n"/>
      <c r="IMU1" s="2" t="n"/>
      <c r="IMV1" s="2" t="n"/>
      <c r="IMW1" s="2" t="n"/>
      <c r="IMX1" s="2" t="n"/>
      <c r="IMY1" s="2" t="n"/>
      <c r="IMZ1" s="2" t="n"/>
      <c r="INA1" s="2" t="n"/>
      <c r="INB1" s="2" t="n"/>
      <c r="INC1" s="2" t="n"/>
      <c r="IND1" s="2" t="n"/>
      <c r="INE1" s="2" t="n"/>
      <c r="INF1" s="2" t="n"/>
      <c r="ING1" s="2" t="n"/>
      <c r="INH1" s="2" t="n"/>
      <c r="INI1" s="2" t="n"/>
      <c r="INJ1" s="2" t="n"/>
      <c r="INK1" s="2" t="n"/>
      <c r="INL1" s="2" t="n"/>
      <c r="INM1" s="2" t="n"/>
      <c r="INN1" s="2" t="n"/>
      <c r="INO1" s="2" t="n"/>
      <c r="INP1" s="2" t="n"/>
      <c r="INQ1" s="2" t="n"/>
      <c r="INR1" s="2" t="n"/>
      <c r="INS1" s="2" t="n"/>
      <c r="INT1" s="2" t="n"/>
      <c r="INU1" s="2" t="n"/>
      <c r="INV1" s="2" t="n"/>
      <c r="INW1" s="2" t="n"/>
      <c r="INX1" s="2" t="n"/>
      <c r="INY1" s="2" t="n"/>
      <c r="INZ1" s="2" t="n"/>
      <c r="IOA1" s="2" t="n"/>
      <c r="IOB1" s="2" t="n"/>
      <c r="IOC1" s="2" t="n"/>
      <c r="IOD1" s="2" t="n"/>
      <c r="IOE1" s="2" t="n"/>
      <c r="IOF1" s="2" t="n"/>
      <c r="IOG1" s="2" t="n"/>
      <c r="IOH1" s="2" t="n"/>
      <c r="IOI1" s="2" t="n"/>
      <c r="IOJ1" s="2" t="n"/>
      <c r="IOK1" s="2" t="n"/>
      <c r="IOL1" s="2" t="n"/>
      <c r="IOM1" s="2" t="n"/>
      <c r="ION1" s="2" t="n"/>
      <c r="IOO1" s="2" t="n"/>
      <c r="IOP1" s="2" t="n"/>
      <c r="IOQ1" s="2" t="n"/>
      <c r="IOR1" s="2" t="n"/>
      <c r="IOS1" s="2" t="n"/>
      <c r="IOT1" s="2" t="n"/>
      <c r="IOU1" s="2" t="n"/>
      <c r="IOV1" s="2" t="n"/>
      <c r="IOW1" s="2" t="n"/>
      <c r="IOX1" s="2" t="n"/>
      <c r="IOY1" s="2" t="n"/>
      <c r="IOZ1" s="2" t="n"/>
      <c r="IPA1" s="2" t="n"/>
      <c r="IPB1" s="2" t="n"/>
      <c r="IPC1" s="2" t="n"/>
      <c r="IPD1" s="2" t="n"/>
      <c r="IPE1" s="2" t="n"/>
      <c r="IPF1" s="2" t="n"/>
      <c r="IPG1" s="2" t="n"/>
      <c r="IPH1" s="2" t="n"/>
      <c r="IPI1" s="2" t="n"/>
      <c r="IPJ1" s="2" t="n"/>
      <c r="IPK1" s="2" t="n"/>
      <c r="IPL1" s="2" t="n"/>
      <c r="IPM1" s="2" t="n"/>
      <c r="IPN1" s="2" t="n"/>
      <c r="IPO1" s="2" t="n"/>
      <c r="IPP1" s="2" t="n"/>
      <c r="IPQ1" s="2" t="n"/>
      <c r="IPR1" s="2" t="n"/>
      <c r="IPS1" s="2" t="n"/>
      <c r="IPT1" s="2" t="n"/>
      <c r="IPU1" s="2" t="n"/>
      <c r="IPV1" s="2" t="n"/>
      <c r="IPW1" s="2" t="n"/>
      <c r="IPX1" s="2" t="n"/>
      <c r="IPY1" s="2" t="n"/>
      <c r="IPZ1" s="2" t="n"/>
      <c r="IQA1" s="2" t="n"/>
      <c r="IQB1" s="2" t="n"/>
      <c r="IQC1" s="2" t="n"/>
      <c r="IQD1" s="2" t="n"/>
      <c r="IQE1" s="2" t="n"/>
      <c r="IQF1" s="2" t="n"/>
      <c r="IQG1" s="2" t="n"/>
      <c r="IQH1" s="2" t="n"/>
      <c r="IQI1" s="2" t="n"/>
      <c r="IQJ1" s="2" t="n"/>
      <c r="IQK1" s="2" t="n"/>
      <c r="IQL1" s="2" t="n"/>
      <c r="IQM1" s="2" t="n"/>
      <c r="IQN1" s="2" t="n"/>
      <c r="IQO1" s="2" t="n"/>
      <c r="IQP1" s="2" t="n"/>
      <c r="IQQ1" s="2" t="n"/>
      <c r="IQR1" s="2" t="n"/>
      <c r="IQS1" s="2" t="n"/>
      <c r="IQT1" s="2" t="n"/>
      <c r="IQU1" s="2" t="n"/>
      <c r="IQV1" s="2" t="n"/>
      <c r="IQW1" s="2" t="n"/>
      <c r="IQX1" s="2" t="n"/>
      <c r="IQY1" s="2" t="n"/>
      <c r="IQZ1" s="2" t="n"/>
      <c r="IRA1" s="2" t="n"/>
      <c r="IRB1" s="2" t="n"/>
      <c r="IRC1" s="2" t="n"/>
      <c r="IRD1" s="2" t="n"/>
      <c r="IRE1" s="2" t="n"/>
      <c r="IRF1" s="2" t="n"/>
      <c r="IRG1" s="2" t="n"/>
      <c r="IRH1" s="2" t="n"/>
      <c r="IRI1" s="2" t="n"/>
      <c r="IRJ1" s="2" t="n"/>
      <c r="IRK1" s="2" t="n"/>
      <c r="IRL1" s="2" t="n"/>
      <c r="IRM1" s="2" t="n"/>
      <c r="IRN1" s="2" t="n"/>
      <c r="IRO1" s="2" t="n"/>
      <c r="IRP1" s="2" t="n"/>
      <c r="IRQ1" s="2" t="n"/>
      <c r="IRR1" s="2" t="n"/>
      <c r="IRS1" s="2" t="n"/>
      <c r="IRT1" s="2" t="n"/>
      <c r="IRU1" s="2" t="n"/>
      <c r="IRV1" s="2" t="n"/>
      <c r="IRW1" s="2" t="n"/>
      <c r="IRX1" s="2" t="n"/>
      <c r="IRY1" s="2" t="n"/>
      <c r="IRZ1" s="2" t="n"/>
      <c r="ISA1" s="2" t="n"/>
      <c r="ISB1" s="2" t="n"/>
      <c r="ISC1" s="2" t="n"/>
      <c r="ISD1" s="2" t="n"/>
      <c r="ISE1" s="2" t="n"/>
      <c r="ISF1" s="2" t="n"/>
      <c r="ISG1" s="2" t="n"/>
      <c r="ISH1" s="2" t="n"/>
      <c r="ISI1" s="2" t="n"/>
      <c r="ISJ1" s="2" t="n"/>
      <c r="ISK1" s="2" t="n"/>
      <c r="ISL1" s="2" t="n"/>
      <c r="ISM1" s="2" t="n"/>
      <c r="ISN1" s="2" t="n"/>
      <c r="ISO1" s="2" t="n"/>
      <c r="ISP1" s="2" t="n"/>
      <c r="ISQ1" s="2" t="n"/>
      <c r="ISR1" s="2" t="n"/>
      <c r="ISS1" s="2" t="n"/>
      <c r="IST1" s="2" t="n"/>
      <c r="ISU1" s="2" t="n"/>
      <c r="ISV1" s="2" t="n"/>
      <c r="ISW1" s="2" t="n"/>
      <c r="ISX1" s="2" t="n"/>
      <c r="ISY1" s="2" t="n"/>
      <c r="ISZ1" s="2" t="n"/>
      <c r="ITA1" s="2" t="n"/>
      <c r="ITB1" s="2" t="n"/>
      <c r="ITC1" s="2" t="n"/>
      <c r="ITD1" s="2" t="n"/>
      <c r="ITE1" s="2" t="n"/>
      <c r="ITF1" s="2" t="n"/>
      <c r="ITG1" s="2" t="n"/>
      <c r="ITH1" s="2" t="n"/>
      <c r="ITI1" s="2" t="n"/>
      <c r="ITJ1" s="2" t="n"/>
      <c r="ITK1" s="2" t="n"/>
      <c r="ITL1" s="2" t="n"/>
      <c r="ITM1" s="2" t="n"/>
      <c r="ITN1" s="2" t="n"/>
      <c r="ITO1" s="2" t="n"/>
      <c r="ITP1" s="2" t="n"/>
      <c r="ITQ1" s="2" t="n"/>
      <c r="ITR1" s="2" t="n"/>
      <c r="ITS1" s="2" t="n"/>
      <c r="ITT1" s="2" t="n"/>
      <c r="ITU1" s="2" t="n"/>
      <c r="ITV1" s="2" t="n"/>
      <c r="ITW1" s="2" t="n"/>
      <c r="ITX1" s="2" t="n"/>
      <c r="ITY1" s="2" t="n"/>
      <c r="ITZ1" s="2" t="n"/>
      <c r="IUA1" s="2" t="n"/>
      <c r="IUB1" s="2" t="n"/>
      <c r="IUC1" s="2" t="n"/>
      <c r="IUD1" s="2" t="n"/>
      <c r="IUE1" s="2" t="n"/>
      <c r="IUF1" s="2" t="n"/>
      <c r="IUG1" s="2" t="n"/>
      <c r="IUH1" s="2" t="n"/>
      <c r="IUI1" s="2" t="n"/>
      <c r="IUJ1" s="2" t="n"/>
      <c r="IUK1" s="2" t="n"/>
      <c r="IUL1" s="2" t="n"/>
      <c r="IUM1" s="2" t="n"/>
      <c r="IUN1" s="2" t="n"/>
      <c r="IUO1" s="2" t="n"/>
      <c r="IUP1" s="2" t="n"/>
      <c r="IUQ1" s="2" t="n"/>
      <c r="IUR1" s="2" t="n"/>
      <c r="IUS1" s="2" t="n"/>
      <c r="IUT1" s="2" t="n"/>
      <c r="IUU1" s="2" t="n"/>
      <c r="IUV1" s="2" t="n"/>
      <c r="IUW1" s="2" t="n"/>
      <c r="IUX1" s="2" t="n"/>
      <c r="IUY1" s="2" t="n"/>
      <c r="IUZ1" s="2" t="n"/>
      <c r="IVA1" s="2" t="n"/>
      <c r="IVB1" s="2" t="n"/>
      <c r="IVC1" s="2" t="n"/>
      <c r="IVD1" s="2" t="n"/>
      <c r="IVE1" s="2" t="n"/>
      <c r="IVF1" s="2" t="n"/>
      <c r="IVG1" s="2" t="n"/>
      <c r="IVH1" s="2" t="n"/>
      <c r="IVI1" s="2" t="n"/>
      <c r="IVJ1" s="2" t="n"/>
      <c r="IVK1" s="2" t="n"/>
      <c r="IVL1" s="2" t="n"/>
      <c r="IVM1" s="2" t="n"/>
      <c r="IVN1" s="2" t="n"/>
      <c r="IVO1" s="2" t="n"/>
      <c r="IVP1" s="2" t="n"/>
      <c r="IVQ1" s="2" t="n"/>
      <c r="IVR1" s="2" t="n"/>
      <c r="IVS1" s="2" t="n"/>
      <c r="IVT1" s="2" t="n"/>
      <c r="IVU1" s="2" t="n"/>
      <c r="IVV1" s="2" t="n"/>
      <c r="IVW1" s="2" t="n"/>
      <c r="IVX1" s="2" t="n"/>
      <c r="IVY1" s="2" t="n"/>
      <c r="IVZ1" s="2" t="n"/>
      <c r="IWA1" s="2" t="n"/>
      <c r="IWB1" s="2" t="n"/>
      <c r="IWC1" s="2" t="n"/>
      <c r="IWD1" s="2" t="n"/>
      <c r="IWE1" s="2" t="n"/>
      <c r="IWF1" s="2" t="n"/>
      <c r="IWG1" s="2" t="n"/>
      <c r="IWH1" s="2" t="n"/>
      <c r="IWI1" s="2" t="n"/>
      <c r="IWJ1" s="2" t="n"/>
      <c r="IWK1" s="2" t="n"/>
      <c r="IWL1" s="2" t="n"/>
      <c r="IWM1" s="2" t="n"/>
      <c r="IWN1" s="2" t="n"/>
      <c r="IWO1" s="2" t="n"/>
      <c r="IWP1" s="2" t="n"/>
      <c r="IWQ1" s="2" t="n"/>
      <c r="IWR1" s="2" t="n"/>
      <c r="IWS1" s="2" t="n"/>
      <c r="IWT1" s="2" t="n"/>
      <c r="IWU1" s="2" t="n"/>
      <c r="IWV1" s="2" t="n"/>
      <c r="IWW1" s="2" t="n"/>
      <c r="IWX1" s="2" t="n"/>
      <c r="IWY1" s="2" t="n"/>
      <c r="IWZ1" s="2" t="n"/>
      <c r="IXA1" s="2" t="n"/>
      <c r="IXB1" s="2" t="n"/>
      <c r="IXC1" s="2" t="n"/>
      <c r="IXD1" s="2" t="n"/>
      <c r="IXE1" s="2" t="n"/>
      <c r="IXF1" s="2" t="n"/>
      <c r="IXG1" s="2" t="n"/>
      <c r="IXH1" s="2" t="n"/>
      <c r="IXI1" s="2" t="n"/>
      <c r="IXJ1" s="2" t="n"/>
      <c r="IXK1" s="2" t="n"/>
      <c r="IXL1" s="2" t="n"/>
      <c r="IXM1" s="2" t="n"/>
      <c r="IXN1" s="2" t="n"/>
      <c r="IXO1" s="2" t="n"/>
      <c r="IXP1" s="2" t="n"/>
      <c r="IXQ1" s="2" t="n"/>
      <c r="IXR1" s="2" t="n"/>
      <c r="IXS1" s="2" t="n"/>
      <c r="IXT1" s="2" t="n"/>
      <c r="IXU1" s="2" t="n"/>
      <c r="IXV1" s="2" t="n"/>
      <c r="IXW1" s="2" t="n"/>
      <c r="IXX1" s="2" t="n"/>
      <c r="IXY1" s="2" t="n"/>
      <c r="IXZ1" s="2" t="n"/>
      <c r="IYA1" s="2" t="n"/>
      <c r="IYB1" s="2" t="n"/>
      <c r="IYC1" s="2" t="n"/>
      <c r="IYD1" s="2" t="n"/>
      <c r="IYE1" s="2" t="n"/>
      <c r="IYF1" s="2" t="n"/>
      <c r="IYG1" s="2" t="n"/>
      <c r="IYH1" s="2" t="n"/>
      <c r="IYI1" s="2" t="n"/>
      <c r="IYJ1" s="2" t="n"/>
      <c r="IYK1" s="2" t="n"/>
      <c r="IYL1" s="2" t="n"/>
      <c r="IYM1" s="2" t="n"/>
      <c r="IYN1" s="2" t="n"/>
      <c r="IYO1" s="2" t="n"/>
      <c r="IYP1" s="2" t="n"/>
      <c r="IYQ1" s="2" t="n"/>
      <c r="IYR1" s="2" t="n"/>
      <c r="IYS1" s="2" t="n"/>
      <c r="IYT1" s="2" t="n"/>
      <c r="IYU1" s="2" t="n"/>
      <c r="IYV1" s="2" t="n"/>
      <c r="IYW1" s="2" t="n"/>
      <c r="IYX1" s="2" t="n"/>
      <c r="IYY1" s="2" t="n"/>
      <c r="IYZ1" s="2" t="n"/>
      <c r="IZA1" s="2" t="n"/>
      <c r="IZB1" s="2" t="n"/>
      <c r="IZC1" s="2" t="n"/>
      <c r="IZD1" s="2" t="n"/>
      <c r="IZE1" s="2" t="n"/>
      <c r="IZF1" s="2" t="n"/>
      <c r="IZG1" s="2" t="n"/>
      <c r="IZH1" s="2" t="n"/>
      <c r="IZI1" s="2" t="n"/>
      <c r="IZJ1" s="2" t="n"/>
      <c r="IZK1" s="2" t="n"/>
      <c r="IZL1" s="2" t="n"/>
      <c r="IZM1" s="2" t="n"/>
      <c r="IZN1" s="2" t="n"/>
      <c r="IZO1" s="2" t="n"/>
      <c r="IZP1" s="2" t="n"/>
      <c r="IZQ1" s="2" t="n"/>
      <c r="IZR1" s="2" t="n"/>
      <c r="IZS1" s="2" t="n"/>
      <c r="IZT1" s="2" t="n"/>
      <c r="IZU1" s="2" t="n"/>
      <c r="IZV1" s="2" t="n"/>
      <c r="IZW1" s="2" t="n"/>
      <c r="IZX1" s="2" t="n"/>
      <c r="IZY1" s="2" t="n"/>
      <c r="IZZ1" s="2" t="n"/>
      <c r="JAA1" s="2" t="n"/>
      <c r="JAB1" s="2" t="n"/>
      <c r="JAC1" s="2" t="n"/>
      <c r="JAD1" s="2" t="n"/>
      <c r="JAE1" s="2" t="n"/>
      <c r="JAF1" s="2" t="n"/>
      <c r="JAG1" s="2" t="n"/>
      <c r="JAH1" s="2" t="n"/>
      <c r="JAI1" s="2" t="n"/>
      <c r="JAJ1" s="2" t="n"/>
      <c r="JAK1" s="2" t="n"/>
      <c r="JAL1" s="2" t="n"/>
      <c r="JAM1" s="2" t="n"/>
      <c r="JAN1" s="2" t="n"/>
      <c r="JAO1" s="2" t="n"/>
      <c r="JAP1" s="2" t="n"/>
      <c r="JAQ1" s="2" t="n"/>
      <c r="JAR1" s="2" t="n"/>
      <c r="JAS1" s="2" t="n"/>
      <c r="JAT1" s="2" t="n"/>
      <c r="JAU1" s="2" t="n"/>
      <c r="JAV1" s="2" t="n"/>
      <c r="JAW1" s="2" t="n"/>
      <c r="JAX1" s="2" t="n"/>
      <c r="JAY1" s="2" t="n"/>
      <c r="JAZ1" s="2" t="n"/>
      <c r="JBA1" s="2" t="n"/>
      <c r="JBB1" s="2" t="n"/>
      <c r="JBC1" s="2" t="n"/>
      <c r="JBD1" s="2" t="n"/>
      <c r="JBE1" s="2" t="n"/>
      <c r="JBF1" s="2" t="n"/>
      <c r="JBG1" s="2" t="n"/>
      <c r="JBH1" s="2" t="n"/>
      <c r="JBI1" s="2" t="n"/>
      <c r="JBJ1" s="2" t="n"/>
      <c r="JBK1" s="2" t="n"/>
      <c r="JBL1" s="2" t="n"/>
      <c r="JBM1" s="2" t="n"/>
      <c r="JBN1" s="2" t="n"/>
      <c r="JBO1" s="2" t="n"/>
      <c r="JBP1" s="2" t="n"/>
      <c r="JBQ1" s="2" t="n"/>
      <c r="JBR1" s="2" t="n"/>
      <c r="JBS1" s="2" t="n"/>
      <c r="JBT1" s="2" t="n"/>
      <c r="JBU1" s="2" t="n"/>
      <c r="JBV1" s="2" t="n"/>
      <c r="JBW1" s="2" t="n"/>
      <c r="JBX1" s="2" t="n"/>
      <c r="JBY1" s="2" t="n"/>
      <c r="JBZ1" s="2" t="n"/>
      <c r="JCA1" s="2" t="n"/>
      <c r="JCB1" s="2" t="n"/>
      <c r="JCC1" s="2" t="n"/>
      <c r="JCD1" s="2" t="n"/>
      <c r="JCE1" s="2" t="n"/>
      <c r="JCF1" s="2" t="n"/>
      <c r="JCG1" s="2" t="n"/>
      <c r="JCH1" s="2" t="n"/>
      <c r="JCI1" s="2" t="n"/>
      <c r="JCJ1" s="2" t="n"/>
      <c r="JCK1" s="2" t="n"/>
      <c r="JCL1" s="2" t="n"/>
      <c r="JCM1" s="2" t="n"/>
      <c r="JCN1" s="2" t="n"/>
      <c r="JCO1" s="2" t="n"/>
      <c r="JCP1" s="2" t="n"/>
      <c r="JCQ1" s="2" t="n"/>
      <c r="JCR1" s="2" t="n"/>
      <c r="JCS1" s="2" t="n"/>
      <c r="JCT1" s="2" t="n"/>
      <c r="JCU1" s="2" t="n"/>
      <c r="JCV1" s="2" t="n"/>
      <c r="JCW1" s="2" t="n"/>
      <c r="JCX1" s="2" t="n"/>
      <c r="JCY1" s="2" t="n"/>
      <c r="JCZ1" s="2" t="n"/>
      <c r="JDA1" s="2" t="n"/>
      <c r="JDB1" s="2" t="n"/>
      <c r="JDC1" s="2" t="n"/>
      <c r="JDD1" s="2" t="n"/>
      <c r="JDE1" s="2" t="n"/>
      <c r="JDF1" s="2" t="n"/>
      <c r="JDG1" s="2" t="n"/>
      <c r="JDH1" s="2" t="n"/>
      <c r="JDI1" s="2" t="n"/>
      <c r="JDJ1" s="2" t="n"/>
      <c r="JDK1" s="2" t="n"/>
      <c r="JDL1" s="2" t="n"/>
      <c r="JDM1" s="2" t="n"/>
      <c r="JDN1" s="2" t="n"/>
      <c r="JDO1" s="2" t="n"/>
      <c r="JDP1" s="2" t="n"/>
      <c r="JDQ1" s="2" t="n"/>
      <c r="JDR1" s="2" t="n"/>
      <c r="JDS1" s="2" t="n"/>
      <c r="JDT1" s="2" t="n"/>
      <c r="JDU1" s="2" t="n"/>
      <c r="JDV1" s="2" t="n"/>
      <c r="JDW1" s="2" t="n"/>
      <c r="JDX1" s="2" t="n"/>
      <c r="JDY1" s="2" t="n"/>
      <c r="JDZ1" s="2" t="n"/>
      <c r="JEA1" s="2" t="n"/>
      <c r="JEB1" s="2" t="n"/>
      <c r="JEC1" s="2" t="n"/>
      <c r="JED1" s="2" t="n"/>
      <c r="JEE1" s="2" t="n"/>
      <c r="JEF1" s="2" t="n"/>
      <c r="JEG1" s="2" t="n"/>
      <c r="JEH1" s="2" t="n"/>
      <c r="JEI1" s="2" t="n"/>
      <c r="JEJ1" s="2" t="n"/>
      <c r="JEK1" s="2" t="n"/>
      <c r="JEL1" s="2" t="n"/>
      <c r="JEM1" s="2" t="n"/>
      <c r="JEN1" s="2" t="n"/>
      <c r="JEO1" s="2" t="n"/>
      <c r="JEP1" s="2" t="n"/>
      <c r="JEQ1" s="2" t="n"/>
      <c r="JER1" s="2" t="n"/>
      <c r="JES1" s="2" t="n"/>
      <c r="JET1" s="2" t="n"/>
      <c r="JEU1" s="2" t="n"/>
      <c r="JEV1" s="2" t="n"/>
      <c r="JEW1" s="2" t="n"/>
      <c r="JEX1" s="2" t="n"/>
      <c r="JEY1" s="2" t="n"/>
      <c r="JEZ1" s="2" t="n"/>
      <c r="JFA1" s="2" t="n"/>
      <c r="JFB1" s="2" t="n"/>
      <c r="JFC1" s="2" t="n"/>
      <c r="JFD1" s="2" t="n"/>
      <c r="JFE1" s="2" t="n"/>
      <c r="JFF1" s="2" t="n"/>
      <c r="JFG1" s="2" t="n"/>
      <c r="JFH1" s="2" t="n"/>
      <c r="JFI1" s="2" t="n"/>
      <c r="JFJ1" s="2" t="n"/>
      <c r="JFK1" s="2" t="n"/>
      <c r="JFL1" s="2" t="n"/>
      <c r="JFM1" s="2" t="n"/>
      <c r="JFN1" s="2" t="n"/>
      <c r="JFO1" s="2" t="n"/>
      <c r="JFP1" s="2" t="n"/>
      <c r="JFQ1" s="2" t="n"/>
      <c r="JFR1" s="2" t="n"/>
      <c r="JFS1" s="2" t="n"/>
      <c r="JFT1" s="2" t="n"/>
      <c r="JFU1" s="2" t="n"/>
      <c r="JFV1" s="2" t="n"/>
      <c r="JFW1" s="2" t="n"/>
      <c r="JFX1" s="2" t="n"/>
      <c r="JFY1" s="2" t="n"/>
      <c r="JFZ1" s="2" t="n"/>
      <c r="JGA1" s="2" t="n"/>
      <c r="JGB1" s="2" t="n"/>
      <c r="JGC1" s="2" t="n"/>
      <c r="JGD1" s="2" t="n"/>
      <c r="JGE1" s="2" t="n"/>
      <c r="JGF1" s="2" t="n"/>
      <c r="JGG1" s="2" t="n"/>
      <c r="JGH1" s="2" t="n"/>
      <c r="JGI1" s="2" t="n"/>
      <c r="JGJ1" s="2" t="n"/>
      <c r="JGK1" s="2" t="n"/>
      <c r="JGL1" s="2" t="n"/>
      <c r="JGM1" s="2" t="n"/>
      <c r="JGN1" s="2" t="n"/>
      <c r="JGO1" s="2" t="n"/>
      <c r="JGP1" s="2" t="n"/>
      <c r="JGQ1" s="2" t="n"/>
      <c r="JGR1" s="2" t="n"/>
      <c r="JGS1" s="2" t="n"/>
      <c r="JGT1" s="2" t="n"/>
      <c r="JGU1" s="2" t="n"/>
      <c r="JGV1" s="2" t="n"/>
      <c r="JGW1" s="2" t="n"/>
      <c r="JGX1" s="2" t="n"/>
      <c r="JGY1" s="2" t="n"/>
      <c r="JGZ1" s="2" t="n"/>
      <c r="JHA1" s="2" t="n"/>
      <c r="JHB1" s="2" t="n"/>
      <c r="JHC1" s="2" t="n"/>
      <c r="JHD1" s="2" t="n"/>
      <c r="JHE1" s="2" t="n"/>
      <c r="JHF1" s="2" t="n"/>
      <c r="JHG1" s="2" t="n"/>
      <c r="JHH1" s="2" t="n"/>
      <c r="JHI1" s="2" t="n"/>
      <c r="JHJ1" s="2" t="n"/>
      <c r="JHK1" s="2" t="n"/>
      <c r="JHL1" s="2" t="n"/>
      <c r="JHM1" s="2" t="n"/>
      <c r="JHN1" s="2" t="n"/>
      <c r="JHO1" s="2" t="n"/>
      <c r="JHP1" s="2" t="n"/>
      <c r="JHQ1" s="2" t="n"/>
      <c r="JHR1" s="2" t="n"/>
      <c r="JHS1" s="2" t="n"/>
      <c r="JHT1" s="2" t="n"/>
      <c r="JHU1" s="2" t="n"/>
      <c r="JHV1" s="2" t="n"/>
      <c r="JHW1" s="2" t="n"/>
      <c r="JHX1" s="2" t="n"/>
      <c r="JHY1" s="2" t="n"/>
      <c r="JHZ1" s="2" t="n"/>
      <c r="JIA1" s="2" t="n"/>
      <c r="JIB1" s="2" t="n"/>
      <c r="JIC1" s="2" t="n"/>
      <c r="JID1" s="2" t="n"/>
      <c r="JIE1" s="2" t="n"/>
      <c r="JIF1" s="2" t="n"/>
      <c r="JIG1" s="2" t="n"/>
      <c r="JIH1" s="2" t="n"/>
      <c r="JII1" s="2" t="n"/>
      <c r="JIJ1" s="2" t="n"/>
      <c r="JIK1" s="2" t="n"/>
      <c r="JIL1" s="2" t="n"/>
      <c r="JIM1" s="2" t="n"/>
      <c r="JIN1" s="2" t="n"/>
      <c r="JIO1" s="2" t="n"/>
      <c r="JIP1" s="2" t="n"/>
      <c r="JIQ1" s="2" t="n"/>
      <c r="JIR1" s="2" t="n"/>
      <c r="JIS1" s="2" t="n"/>
      <c r="JIT1" s="2" t="n"/>
      <c r="JIU1" s="2" t="n"/>
      <c r="JIV1" s="2" t="n"/>
      <c r="JIW1" s="2" t="n"/>
      <c r="JIX1" s="2" t="n"/>
      <c r="JIY1" s="2" t="n"/>
      <c r="JIZ1" s="2" t="n"/>
      <c r="JJA1" s="2" t="n"/>
      <c r="JJB1" s="2" t="n"/>
      <c r="JJC1" s="2" t="n"/>
      <c r="JJD1" s="2" t="n"/>
      <c r="JJE1" s="2" t="n"/>
      <c r="JJF1" s="2" t="n"/>
      <c r="JJG1" s="2" t="n"/>
      <c r="JJH1" s="2" t="n"/>
      <c r="JJI1" s="2" t="n"/>
      <c r="JJJ1" s="2" t="n"/>
      <c r="JJK1" s="2" t="n"/>
      <c r="JJL1" s="2" t="n"/>
      <c r="JJM1" s="2" t="n"/>
      <c r="JJN1" s="2" t="n"/>
      <c r="JJO1" s="2" t="n"/>
      <c r="JJP1" s="2" t="n"/>
      <c r="JJQ1" s="2" t="n"/>
      <c r="JJR1" s="2" t="n"/>
      <c r="JJS1" s="2" t="n"/>
      <c r="JJT1" s="2" t="n"/>
      <c r="JJU1" s="2" t="n"/>
      <c r="JJV1" s="2" t="n"/>
      <c r="JJW1" s="2" t="n"/>
      <c r="JJX1" s="2" t="n"/>
      <c r="JJY1" s="2" t="n"/>
      <c r="JJZ1" s="2" t="n"/>
      <c r="JKA1" s="2" t="n"/>
      <c r="JKB1" s="2" t="n"/>
      <c r="JKC1" s="2" t="n"/>
      <c r="JKD1" s="2" t="n"/>
      <c r="JKE1" s="2" t="n"/>
      <c r="JKF1" s="2" t="n"/>
      <c r="JKG1" s="2" t="n"/>
      <c r="JKH1" s="2" t="n"/>
      <c r="JKI1" s="2" t="n"/>
      <c r="JKJ1" s="2" t="n"/>
      <c r="JKK1" s="2" t="n"/>
      <c r="JKL1" s="2" t="n"/>
      <c r="JKM1" s="2" t="n"/>
      <c r="JKN1" s="2" t="n"/>
      <c r="JKO1" s="2" t="n"/>
      <c r="JKP1" s="2" t="n"/>
      <c r="JKQ1" s="2" t="n"/>
      <c r="JKR1" s="2" t="n"/>
      <c r="JKS1" s="2" t="n"/>
      <c r="JKT1" s="2" t="n"/>
      <c r="JKU1" s="2" t="n"/>
      <c r="JKV1" s="2" t="n"/>
      <c r="JKW1" s="2" t="n"/>
      <c r="JKX1" s="2" t="n"/>
      <c r="JKY1" s="2" t="n"/>
      <c r="JKZ1" s="2" t="n"/>
      <c r="JLA1" s="2" t="n"/>
      <c r="JLB1" s="2" t="n"/>
      <c r="JLC1" s="2" t="n"/>
      <c r="JLD1" s="2" t="n"/>
      <c r="JLE1" s="2" t="n"/>
      <c r="JLF1" s="2" t="n"/>
      <c r="JLG1" s="2" t="n"/>
      <c r="JLH1" s="2" t="n"/>
      <c r="JLI1" s="2" t="n"/>
      <c r="JLJ1" s="2" t="n"/>
      <c r="JLK1" s="2" t="n"/>
      <c r="JLL1" s="2" t="n"/>
      <c r="JLM1" s="2" t="n"/>
      <c r="JLN1" s="2" t="n"/>
      <c r="JLO1" s="2" t="n"/>
      <c r="JLP1" s="2" t="n"/>
      <c r="JLQ1" s="2" t="n"/>
      <c r="JLR1" s="2" t="n"/>
      <c r="JLS1" s="2" t="n"/>
      <c r="JLT1" s="2" t="n"/>
      <c r="JLU1" s="2" t="n"/>
      <c r="JLV1" s="2" t="n"/>
      <c r="JLW1" s="2" t="n"/>
      <c r="JLX1" s="2" t="n"/>
      <c r="JLY1" s="2" t="n"/>
      <c r="JLZ1" s="2" t="n"/>
      <c r="JMA1" s="2" t="n"/>
      <c r="JMB1" s="2" t="n"/>
      <c r="JMC1" s="2" t="n"/>
      <c r="JMD1" s="2" t="n"/>
      <c r="JME1" s="2" t="n"/>
      <c r="JMF1" s="2" t="n"/>
      <c r="JMG1" s="2" t="n"/>
      <c r="JMH1" s="2" t="n"/>
      <c r="JMI1" s="2" t="n"/>
      <c r="JMJ1" s="2" t="n"/>
      <c r="JMK1" s="2" t="n"/>
      <c r="JML1" s="2" t="n"/>
      <c r="JMM1" s="2" t="n"/>
      <c r="JMN1" s="2" t="n"/>
      <c r="JMO1" s="2" t="n"/>
      <c r="JMP1" s="2" t="n"/>
      <c r="JMQ1" s="2" t="n"/>
      <c r="JMR1" s="2" t="n"/>
      <c r="JMS1" s="2" t="n"/>
      <c r="JMT1" s="2" t="n"/>
      <c r="JMU1" s="2" t="n"/>
      <c r="JMV1" s="2" t="n"/>
      <c r="JMW1" s="2" t="n"/>
      <c r="JMX1" s="2" t="n"/>
      <c r="JMY1" s="2" t="n"/>
      <c r="JMZ1" s="2" t="n"/>
      <c r="JNA1" s="2" t="n"/>
      <c r="JNB1" s="2" t="n"/>
      <c r="JNC1" s="2" t="n"/>
      <c r="JND1" s="2" t="n"/>
      <c r="JNE1" s="2" t="n"/>
      <c r="JNF1" s="2" t="n"/>
      <c r="JNG1" s="2" t="n"/>
      <c r="JNH1" s="2" t="n"/>
      <c r="JNI1" s="2" t="n"/>
      <c r="JNJ1" s="2" t="n"/>
      <c r="JNK1" s="2" t="n"/>
      <c r="JNL1" s="2" t="n"/>
      <c r="JNM1" s="2" t="n"/>
      <c r="JNN1" s="2" t="n"/>
      <c r="JNO1" s="2" t="n"/>
      <c r="JNP1" s="2" t="n"/>
      <c r="JNQ1" s="2" t="n"/>
      <c r="JNR1" s="2" t="n"/>
      <c r="JNS1" s="2" t="n"/>
      <c r="JNT1" s="2" t="n"/>
      <c r="JNU1" s="2" t="n"/>
      <c r="JNV1" s="2" t="n"/>
      <c r="JNW1" s="2" t="n"/>
      <c r="JNX1" s="2" t="n"/>
      <c r="JNY1" s="2" t="n"/>
      <c r="JNZ1" s="2" t="n"/>
      <c r="JOA1" s="2" t="n"/>
      <c r="JOB1" s="2" t="n"/>
      <c r="JOC1" s="2" t="n"/>
      <c r="JOD1" s="2" t="n"/>
      <c r="JOE1" s="2" t="n"/>
      <c r="JOF1" s="2" t="n"/>
      <c r="JOG1" s="2" t="n"/>
      <c r="JOH1" s="2" t="n"/>
      <c r="JOI1" s="2" t="n"/>
      <c r="JOJ1" s="2" t="n"/>
      <c r="JOK1" s="2" t="n"/>
      <c r="JOL1" s="2" t="n"/>
      <c r="JOM1" s="2" t="n"/>
      <c r="JON1" s="2" t="n"/>
      <c r="JOO1" s="2" t="n"/>
      <c r="JOP1" s="2" t="n"/>
      <c r="JOQ1" s="2" t="n"/>
      <c r="JOR1" s="2" t="n"/>
      <c r="JOS1" s="2" t="n"/>
      <c r="JOT1" s="2" t="n"/>
      <c r="JOU1" s="2" t="n"/>
      <c r="JOV1" s="2" t="n"/>
      <c r="JOW1" s="2" t="n"/>
      <c r="JOX1" s="2" t="n"/>
      <c r="JOY1" s="2" t="n"/>
      <c r="JOZ1" s="2" t="n"/>
      <c r="JPA1" s="2" t="n"/>
      <c r="JPB1" s="2" t="n"/>
      <c r="JPC1" s="2" t="n"/>
      <c r="JPD1" s="2" t="n"/>
      <c r="JPE1" s="2" t="n"/>
      <c r="JPF1" s="2" t="n"/>
      <c r="JPG1" s="2" t="n"/>
      <c r="JPH1" s="2" t="n"/>
      <c r="JPI1" s="2" t="n"/>
      <c r="JPJ1" s="2" t="n"/>
      <c r="JPK1" s="2" t="n"/>
      <c r="JPL1" s="2" t="n"/>
      <c r="JPM1" s="2" t="n"/>
      <c r="JPN1" s="2" t="n"/>
      <c r="JPO1" s="2" t="n"/>
      <c r="JPP1" s="2" t="n"/>
      <c r="JPQ1" s="2" t="n"/>
      <c r="JPR1" s="2" t="n"/>
      <c r="JPS1" s="2" t="n"/>
      <c r="JPT1" s="2" t="n"/>
      <c r="JPU1" s="2" t="n"/>
      <c r="JPV1" s="2" t="n"/>
      <c r="JPW1" s="2" t="n"/>
      <c r="JPX1" s="2" t="n"/>
      <c r="JPY1" s="2" t="n"/>
      <c r="JPZ1" s="2" t="n"/>
      <c r="JQA1" s="2" t="n"/>
      <c r="JQB1" s="2" t="n"/>
      <c r="JQC1" s="2" t="n"/>
      <c r="JQD1" s="2" t="n"/>
      <c r="JQE1" s="2" t="n"/>
      <c r="JQF1" s="2" t="n"/>
      <c r="JQG1" s="2" t="n"/>
      <c r="JQH1" s="2" t="n"/>
      <c r="JQI1" s="2" t="n"/>
      <c r="JQJ1" s="2" t="n"/>
      <c r="JQK1" s="2" t="n"/>
      <c r="JQL1" s="2" t="n"/>
      <c r="JQM1" s="2" t="n"/>
      <c r="JQN1" s="2" t="n"/>
      <c r="JQO1" s="2" t="n"/>
      <c r="JQP1" s="2" t="n"/>
      <c r="JQQ1" s="2" t="n"/>
      <c r="JQR1" s="2" t="n"/>
      <c r="JQS1" s="2" t="n"/>
      <c r="JQT1" s="2" t="n"/>
      <c r="JQU1" s="2" t="n"/>
      <c r="JQV1" s="2" t="n"/>
      <c r="JQW1" s="2" t="n"/>
      <c r="JQX1" s="2" t="n"/>
      <c r="JQY1" s="2" t="n"/>
      <c r="JQZ1" s="2" t="n"/>
      <c r="JRA1" s="2" t="n"/>
      <c r="JRB1" s="2" t="n"/>
      <c r="JRC1" s="2" t="n"/>
      <c r="JRD1" s="2" t="n"/>
      <c r="JRE1" s="2" t="n"/>
      <c r="JRF1" s="2" t="n"/>
      <c r="JRG1" s="2" t="n"/>
      <c r="JRH1" s="2" t="n"/>
      <c r="JRI1" s="2" t="n"/>
      <c r="JRJ1" s="2" t="n"/>
      <c r="JRK1" s="2" t="n"/>
      <c r="JRL1" s="2" t="n"/>
      <c r="JRM1" s="2" t="n"/>
      <c r="JRN1" s="2" t="n"/>
      <c r="JRO1" s="2" t="n"/>
      <c r="JRP1" s="2" t="n"/>
      <c r="JRQ1" s="2" t="n"/>
      <c r="JRR1" s="2" t="n"/>
      <c r="JRS1" s="2" t="n"/>
      <c r="JRT1" s="2" t="n"/>
      <c r="JRU1" s="2" t="n"/>
      <c r="JRV1" s="2" t="n"/>
      <c r="JRW1" s="2" t="n"/>
      <c r="JRX1" s="2" t="n"/>
      <c r="JRY1" s="2" t="n"/>
      <c r="JRZ1" s="2" t="n"/>
      <c r="JSA1" s="2" t="n"/>
      <c r="JSB1" s="2" t="n"/>
      <c r="JSC1" s="2" t="n"/>
      <c r="JSD1" s="2" t="n"/>
      <c r="JSE1" s="2" t="n"/>
      <c r="JSF1" s="2" t="n"/>
      <c r="JSG1" s="2" t="n"/>
      <c r="JSH1" s="2" t="n"/>
      <c r="JSI1" s="2" t="n"/>
      <c r="JSJ1" s="2" t="n"/>
      <c r="JSK1" s="2" t="n"/>
      <c r="JSL1" s="2" t="n"/>
      <c r="JSM1" s="2" t="n"/>
      <c r="JSN1" s="2" t="n"/>
      <c r="JSO1" s="2" t="n"/>
      <c r="JSP1" s="2" t="n"/>
      <c r="JSQ1" s="2" t="n"/>
      <c r="JSR1" s="2" t="n"/>
      <c r="JSS1" s="2" t="n"/>
      <c r="JST1" s="2" t="n"/>
      <c r="JSU1" s="2" t="n"/>
      <c r="JSV1" s="2" t="n"/>
      <c r="JSW1" s="2" t="n"/>
      <c r="JSX1" s="2" t="n"/>
      <c r="JSY1" s="2" t="n"/>
      <c r="JSZ1" s="2" t="n"/>
      <c r="JTA1" s="2" t="n"/>
      <c r="JTB1" s="2" t="n"/>
      <c r="JTC1" s="2" t="n"/>
      <c r="JTD1" s="2" t="n"/>
      <c r="JTE1" s="2" t="n"/>
      <c r="JTF1" s="2" t="n"/>
      <c r="JTG1" s="2" t="n"/>
      <c r="JTH1" s="2" t="n"/>
      <c r="JTI1" s="2" t="n"/>
      <c r="JTJ1" s="2" t="n"/>
      <c r="JTK1" s="2" t="n"/>
      <c r="JTL1" s="2" t="n"/>
      <c r="JTM1" s="2" t="n"/>
      <c r="JTN1" s="2" t="n"/>
      <c r="JTO1" s="2" t="n"/>
      <c r="JTP1" s="2" t="n"/>
      <c r="JTQ1" s="2" t="n"/>
      <c r="JTR1" s="2" t="n"/>
      <c r="JTS1" s="2" t="n"/>
      <c r="JTT1" s="2" t="n"/>
      <c r="JTU1" s="2" t="n"/>
      <c r="JTV1" s="2" t="n"/>
      <c r="JTW1" s="2" t="n"/>
      <c r="JTX1" s="2" t="n"/>
      <c r="JTY1" s="2" t="n"/>
      <c r="JTZ1" s="2" t="n"/>
      <c r="JUA1" s="2" t="n"/>
      <c r="JUB1" s="2" t="n"/>
      <c r="JUC1" s="2" t="n"/>
      <c r="JUD1" s="2" t="n"/>
      <c r="JUE1" s="2" t="n"/>
      <c r="JUF1" s="2" t="n"/>
      <c r="JUG1" s="2" t="n"/>
      <c r="JUH1" s="2" t="n"/>
      <c r="JUI1" s="2" t="n"/>
      <c r="JUJ1" s="2" t="n"/>
      <c r="JUK1" s="2" t="n"/>
      <c r="JUL1" s="2" t="n"/>
      <c r="JUM1" s="2" t="n"/>
      <c r="JUN1" s="2" t="n"/>
      <c r="JUO1" s="2" t="n"/>
      <c r="JUP1" s="2" t="n"/>
      <c r="JUQ1" s="2" t="n"/>
      <c r="JUR1" s="2" t="n"/>
      <c r="JUS1" s="2" t="n"/>
      <c r="JUT1" s="2" t="n"/>
      <c r="JUU1" s="2" t="n"/>
      <c r="JUV1" s="2" t="n"/>
      <c r="JUW1" s="2" t="n"/>
      <c r="JUX1" s="2" t="n"/>
      <c r="JUY1" s="2" t="n"/>
      <c r="JUZ1" s="2" t="n"/>
      <c r="JVA1" s="2" t="n"/>
      <c r="JVB1" s="2" t="n"/>
      <c r="JVC1" s="2" t="n"/>
      <c r="JVD1" s="2" t="n"/>
      <c r="JVE1" s="2" t="n"/>
      <c r="JVF1" s="2" t="n"/>
      <c r="JVG1" s="2" t="n"/>
      <c r="JVH1" s="2" t="n"/>
      <c r="JVI1" s="2" t="n"/>
      <c r="JVJ1" s="2" t="n"/>
      <c r="JVK1" s="2" t="n"/>
      <c r="JVL1" s="2" t="n"/>
      <c r="JVM1" s="2" t="n"/>
      <c r="JVN1" s="2" t="n"/>
      <c r="JVO1" s="2" t="n"/>
      <c r="JVP1" s="2" t="n"/>
      <c r="JVQ1" s="2" t="n"/>
      <c r="JVR1" s="2" t="n"/>
      <c r="JVS1" s="2" t="n"/>
      <c r="JVT1" s="2" t="n"/>
      <c r="JVU1" s="2" t="n"/>
      <c r="JVV1" s="2" t="n"/>
      <c r="JVW1" s="2" t="n"/>
      <c r="JVX1" s="2" t="n"/>
      <c r="JVY1" s="2" t="n"/>
      <c r="JVZ1" s="2" t="n"/>
      <c r="JWA1" s="2" t="n"/>
      <c r="JWB1" s="2" t="n"/>
      <c r="JWC1" s="2" t="n"/>
      <c r="JWD1" s="2" t="n"/>
      <c r="JWE1" s="2" t="n"/>
      <c r="JWF1" s="2" t="n"/>
      <c r="JWG1" s="2" t="n"/>
      <c r="JWH1" s="2" t="n"/>
      <c r="JWI1" s="2" t="n"/>
      <c r="JWJ1" s="2" t="n"/>
      <c r="JWK1" s="2" t="n"/>
      <c r="JWL1" s="2" t="n"/>
      <c r="JWM1" s="2" t="n"/>
      <c r="JWN1" s="2" t="n"/>
      <c r="JWO1" s="2" t="n"/>
      <c r="JWP1" s="2" t="n"/>
      <c r="JWQ1" s="2" t="n"/>
      <c r="JWR1" s="2" t="n"/>
      <c r="JWS1" s="2" t="n"/>
      <c r="JWT1" s="2" t="n"/>
      <c r="JWU1" s="2" t="n"/>
      <c r="JWV1" s="2" t="n"/>
      <c r="JWW1" s="2" t="n"/>
      <c r="JWX1" s="2" t="n"/>
      <c r="JWY1" s="2" t="n"/>
      <c r="JWZ1" s="2" t="n"/>
      <c r="JXA1" s="2" t="n"/>
      <c r="JXB1" s="2" t="n"/>
      <c r="JXC1" s="2" t="n"/>
      <c r="JXD1" s="2" t="n"/>
      <c r="JXE1" s="2" t="n"/>
      <c r="JXF1" s="2" t="n"/>
      <c r="JXG1" s="2" t="n"/>
      <c r="JXH1" s="2" t="n"/>
      <c r="JXI1" s="2" t="n"/>
      <c r="JXJ1" s="2" t="n"/>
      <c r="JXK1" s="2" t="n"/>
      <c r="JXL1" s="2" t="n"/>
      <c r="JXM1" s="2" t="n"/>
      <c r="JXN1" s="2" t="n"/>
      <c r="JXO1" s="2" t="n"/>
      <c r="JXP1" s="2" t="n"/>
      <c r="JXQ1" s="2" t="n"/>
      <c r="JXR1" s="2" t="n"/>
      <c r="JXS1" s="2" t="n"/>
      <c r="JXT1" s="2" t="n"/>
      <c r="JXU1" s="2" t="n"/>
      <c r="JXV1" s="2" t="n"/>
      <c r="JXW1" s="2" t="n"/>
      <c r="JXX1" s="2" t="n"/>
      <c r="JXY1" s="2" t="n"/>
      <c r="JXZ1" s="2" t="n"/>
      <c r="JYA1" s="2" t="n"/>
      <c r="JYB1" s="2" t="n"/>
      <c r="JYC1" s="2" t="n"/>
      <c r="JYD1" s="2" t="n"/>
      <c r="JYE1" s="2" t="n"/>
      <c r="JYF1" s="2" t="n"/>
      <c r="JYG1" s="2" t="n"/>
      <c r="JYH1" s="2" t="n"/>
      <c r="JYI1" s="2" t="n"/>
      <c r="JYJ1" s="2" t="n"/>
      <c r="JYK1" s="2" t="n"/>
      <c r="JYL1" s="2" t="n"/>
      <c r="JYM1" s="2" t="n"/>
      <c r="JYN1" s="2" t="n"/>
      <c r="JYO1" s="2" t="n"/>
      <c r="JYP1" s="2" t="n"/>
      <c r="JYQ1" s="2" t="n"/>
      <c r="JYR1" s="2" t="n"/>
      <c r="JYS1" s="2" t="n"/>
      <c r="JYT1" s="2" t="n"/>
      <c r="JYU1" s="2" t="n"/>
      <c r="JYV1" s="2" t="n"/>
      <c r="JYW1" s="2" t="n"/>
      <c r="JYX1" s="2" t="n"/>
      <c r="JYY1" s="2" t="n"/>
      <c r="JYZ1" s="2" t="n"/>
      <c r="JZA1" s="2" t="n"/>
      <c r="JZB1" s="2" t="n"/>
      <c r="JZC1" s="2" t="n"/>
      <c r="JZD1" s="2" t="n"/>
      <c r="JZE1" s="2" t="n"/>
      <c r="JZF1" s="2" t="n"/>
      <c r="JZG1" s="2" t="n"/>
      <c r="JZH1" s="2" t="n"/>
      <c r="JZI1" s="2" t="n"/>
      <c r="JZJ1" s="2" t="n"/>
      <c r="JZK1" s="2" t="n"/>
      <c r="JZL1" s="2" t="n"/>
      <c r="JZM1" s="2" t="n"/>
      <c r="JZN1" s="2" t="n"/>
      <c r="JZO1" s="2" t="n"/>
      <c r="JZP1" s="2" t="n"/>
      <c r="JZQ1" s="2" t="n"/>
      <c r="JZR1" s="2" t="n"/>
      <c r="JZS1" s="2" t="n"/>
      <c r="JZT1" s="2" t="n"/>
      <c r="JZU1" s="2" t="n"/>
      <c r="JZV1" s="2" t="n"/>
      <c r="JZW1" s="2" t="n"/>
      <c r="JZX1" s="2" t="n"/>
      <c r="JZY1" s="2" t="n"/>
      <c r="JZZ1" s="2" t="n"/>
      <c r="KAA1" s="2" t="n"/>
      <c r="KAB1" s="2" t="n"/>
      <c r="KAC1" s="2" t="n"/>
      <c r="KAD1" s="2" t="n"/>
      <c r="KAE1" s="2" t="n"/>
      <c r="KAF1" s="2" t="n"/>
      <c r="KAG1" s="2" t="n"/>
      <c r="KAH1" s="2" t="n"/>
      <c r="KAI1" s="2" t="n"/>
      <c r="KAJ1" s="2" t="n"/>
      <c r="KAK1" s="2" t="n"/>
      <c r="KAL1" s="2" t="n"/>
      <c r="KAM1" s="2" t="n"/>
      <c r="KAN1" s="2" t="n"/>
      <c r="KAO1" s="2" t="n"/>
      <c r="KAP1" s="2" t="n"/>
      <c r="KAQ1" s="2" t="n"/>
      <c r="KAR1" s="2" t="n"/>
      <c r="KAS1" s="2" t="n"/>
      <c r="KAT1" s="2" t="n"/>
      <c r="KAU1" s="2" t="n"/>
      <c r="KAV1" s="2" t="n"/>
      <c r="KAW1" s="2" t="n"/>
      <c r="KAX1" s="2" t="n"/>
      <c r="KAY1" s="2" t="n"/>
      <c r="KAZ1" s="2" t="n"/>
      <c r="KBA1" s="2" t="n"/>
      <c r="KBB1" s="2" t="n"/>
      <c r="KBC1" s="2" t="n"/>
      <c r="KBD1" s="2" t="n"/>
      <c r="KBE1" s="2" t="n"/>
      <c r="KBF1" s="2" t="n"/>
      <c r="KBG1" s="2" t="n"/>
      <c r="KBH1" s="2" t="n"/>
      <c r="KBI1" s="2" t="n"/>
      <c r="KBJ1" s="2" t="n"/>
      <c r="KBK1" s="2" t="n"/>
      <c r="KBL1" s="2" t="n"/>
      <c r="KBM1" s="2" t="n"/>
      <c r="KBN1" s="2" t="n"/>
      <c r="KBO1" s="2" t="n"/>
      <c r="KBP1" s="2" t="n"/>
      <c r="KBQ1" s="2" t="n"/>
      <c r="KBR1" s="2" t="n"/>
      <c r="KBS1" s="2" t="n"/>
      <c r="KBT1" s="2" t="n"/>
      <c r="KBU1" s="2" t="n"/>
      <c r="KBV1" s="2" t="n"/>
      <c r="KBW1" s="2" t="n"/>
      <c r="KBX1" s="2" t="n"/>
      <c r="KBY1" s="2" t="n"/>
      <c r="KBZ1" s="2" t="n"/>
      <c r="KCA1" s="2" t="n"/>
      <c r="KCB1" s="2" t="n"/>
      <c r="KCC1" s="2" t="n"/>
      <c r="KCD1" s="2" t="n"/>
      <c r="KCE1" s="2" t="n"/>
      <c r="KCF1" s="2" t="n"/>
      <c r="KCG1" s="2" t="n"/>
      <c r="KCH1" s="2" t="n"/>
      <c r="KCI1" s="2" t="n"/>
      <c r="KCJ1" s="2" t="n"/>
      <c r="KCK1" s="2" t="n"/>
      <c r="KCL1" s="2" t="n"/>
      <c r="KCM1" s="2" t="n"/>
      <c r="KCN1" s="2" t="n"/>
      <c r="KCO1" s="2" t="n"/>
      <c r="KCP1" s="2" t="n"/>
      <c r="KCQ1" s="2" t="n"/>
      <c r="KCR1" s="2" t="n"/>
      <c r="KCS1" s="2" t="n"/>
      <c r="KCT1" s="2" t="n"/>
      <c r="KCU1" s="2" t="n"/>
      <c r="KCV1" s="2" t="n"/>
      <c r="KCW1" s="2" t="n"/>
      <c r="KCX1" s="2" t="n"/>
      <c r="KCY1" s="2" t="n"/>
      <c r="KCZ1" s="2" t="n"/>
      <c r="KDA1" s="2" t="n"/>
      <c r="KDB1" s="2" t="n"/>
      <c r="KDC1" s="2" t="n"/>
      <c r="KDD1" s="2" t="n"/>
      <c r="KDE1" s="2" t="n"/>
      <c r="KDF1" s="2" t="n"/>
      <c r="KDG1" s="2" t="n"/>
      <c r="KDH1" s="2" t="n"/>
      <c r="KDI1" s="2" t="n"/>
      <c r="KDJ1" s="2" t="n"/>
      <c r="KDK1" s="2" t="n"/>
      <c r="KDL1" s="2" t="n"/>
      <c r="KDM1" s="2" t="n"/>
      <c r="KDN1" s="2" t="n"/>
      <c r="KDO1" s="2" t="n"/>
      <c r="KDP1" s="2" t="n"/>
      <c r="KDQ1" s="2" t="n"/>
      <c r="KDR1" s="2" t="n"/>
      <c r="KDS1" s="2" t="n"/>
      <c r="KDT1" s="2" t="n"/>
      <c r="KDU1" s="2" t="n"/>
      <c r="KDV1" s="2" t="n"/>
      <c r="KDW1" s="2" t="n"/>
      <c r="KDX1" s="2" t="n"/>
      <c r="KDY1" s="2" t="n"/>
      <c r="KDZ1" s="2" t="n"/>
      <c r="KEA1" s="2" t="n"/>
      <c r="KEB1" s="2" t="n"/>
      <c r="KEC1" s="2" t="n"/>
      <c r="KED1" s="2" t="n"/>
      <c r="KEE1" s="2" t="n"/>
      <c r="KEF1" s="2" t="n"/>
      <c r="KEG1" s="2" t="n"/>
      <c r="KEH1" s="2" t="n"/>
      <c r="KEI1" s="2" t="n"/>
      <c r="KEJ1" s="2" t="n"/>
      <c r="KEK1" s="2" t="n"/>
      <c r="KEL1" s="2" t="n"/>
      <c r="KEM1" s="2" t="n"/>
      <c r="KEN1" s="2" t="n"/>
      <c r="KEO1" s="2" t="n"/>
      <c r="KEP1" s="2" t="n"/>
      <c r="KEQ1" s="2" t="n"/>
      <c r="KER1" s="2" t="n"/>
      <c r="KES1" s="2" t="n"/>
      <c r="KET1" s="2" t="n"/>
      <c r="KEU1" s="2" t="n"/>
      <c r="KEV1" s="2" t="n"/>
      <c r="KEW1" s="2" t="n"/>
      <c r="KEX1" s="2" t="n"/>
      <c r="KEY1" s="2" t="n"/>
      <c r="KEZ1" s="2" t="n"/>
      <c r="KFA1" s="2" t="n"/>
      <c r="KFB1" s="2" t="n"/>
      <c r="KFC1" s="2" t="n"/>
      <c r="KFD1" s="2" t="n"/>
      <c r="KFE1" s="2" t="n"/>
      <c r="KFF1" s="2" t="n"/>
      <c r="KFG1" s="2" t="n"/>
      <c r="KFH1" s="2" t="n"/>
      <c r="KFI1" s="2" t="n"/>
      <c r="KFJ1" s="2" t="n"/>
      <c r="KFK1" s="2" t="n"/>
      <c r="KFL1" s="2" t="n"/>
      <c r="KFM1" s="2" t="n"/>
      <c r="KFN1" s="2" t="n"/>
      <c r="KFO1" s="2" t="n"/>
      <c r="KFP1" s="2" t="n"/>
      <c r="KFQ1" s="2" t="n"/>
      <c r="KFR1" s="2" t="n"/>
      <c r="KFS1" s="2" t="n"/>
      <c r="KFT1" s="2" t="n"/>
      <c r="KFU1" s="2" t="n"/>
      <c r="KFV1" s="2" t="n"/>
      <c r="KFW1" s="2" t="n"/>
      <c r="KFX1" s="2" t="n"/>
      <c r="KFY1" s="2" t="n"/>
      <c r="KFZ1" s="2" t="n"/>
      <c r="KGA1" s="2" t="n"/>
      <c r="KGB1" s="2" t="n"/>
      <c r="KGC1" s="2" t="n"/>
      <c r="KGD1" s="2" t="n"/>
      <c r="KGE1" s="2" t="n"/>
      <c r="KGF1" s="2" t="n"/>
      <c r="KGG1" s="2" t="n"/>
      <c r="KGH1" s="2" t="n"/>
      <c r="KGI1" s="2" t="n"/>
      <c r="KGJ1" s="2" t="n"/>
      <c r="KGK1" s="2" t="n"/>
      <c r="KGL1" s="2" t="n"/>
      <c r="KGM1" s="2" t="n"/>
      <c r="KGN1" s="2" t="n"/>
      <c r="KGO1" s="2" t="n"/>
      <c r="KGP1" s="2" t="n"/>
      <c r="KGQ1" s="2" t="n"/>
      <c r="KGR1" s="2" t="n"/>
      <c r="KGS1" s="2" t="n"/>
      <c r="KGT1" s="2" t="n"/>
      <c r="KGU1" s="2" t="n"/>
      <c r="KGV1" s="2" t="n"/>
      <c r="KGW1" s="2" t="n"/>
      <c r="KGX1" s="2" t="n"/>
      <c r="KGY1" s="2" t="n"/>
      <c r="KGZ1" s="2" t="n"/>
      <c r="KHA1" s="2" t="n"/>
      <c r="KHB1" s="2" t="n"/>
      <c r="KHC1" s="2" t="n"/>
      <c r="KHD1" s="2" t="n"/>
      <c r="KHE1" s="2" t="n"/>
      <c r="KHF1" s="2" t="n"/>
      <c r="KHG1" s="2" t="n"/>
      <c r="KHH1" s="2" t="n"/>
      <c r="KHI1" s="2" t="n"/>
      <c r="KHJ1" s="2" t="n"/>
      <c r="KHK1" s="2" t="n"/>
      <c r="KHL1" s="2" t="n"/>
      <c r="KHM1" s="2" t="n"/>
      <c r="KHN1" s="2" t="n"/>
      <c r="KHO1" s="2" t="n"/>
      <c r="KHP1" s="2" t="n"/>
      <c r="KHQ1" s="2" t="n"/>
      <c r="KHR1" s="2" t="n"/>
      <c r="KHS1" s="2" t="n"/>
      <c r="KHT1" s="2" t="n"/>
      <c r="KHU1" s="2" t="n"/>
      <c r="KHV1" s="2" t="n"/>
      <c r="KHW1" s="2" t="n"/>
      <c r="KHX1" s="2" t="n"/>
      <c r="KHY1" s="2" t="n"/>
      <c r="KHZ1" s="2" t="n"/>
      <c r="KIA1" s="2" t="n"/>
      <c r="KIB1" s="2" t="n"/>
      <c r="KIC1" s="2" t="n"/>
      <c r="KID1" s="2" t="n"/>
      <c r="KIE1" s="2" t="n"/>
      <c r="KIF1" s="2" t="n"/>
      <c r="KIG1" s="2" t="n"/>
      <c r="KIH1" s="2" t="n"/>
      <c r="KII1" s="2" t="n"/>
      <c r="KIJ1" s="2" t="n"/>
      <c r="KIK1" s="2" t="n"/>
      <c r="KIL1" s="2" t="n"/>
      <c r="KIM1" s="2" t="n"/>
      <c r="KIN1" s="2" t="n"/>
      <c r="KIO1" s="2" t="n"/>
      <c r="KIP1" s="2" t="n"/>
      <c r="KIQ1" s="2" t="n"/>
      <c r="KIR1" s="2" t="n"/>
      <c r="KIS1" s="2" t="n"/>
      <c r="KIT1" s="2" t="n"/>
      <c r="KIU1" s="2" t="n"/>
      <c r="KIV1" s="2" t="n"/>
      <c r="KIW1" s="2" t="n"/>
      <c r="KIX1" s="2" t="n"/>
      <c r="KIY1" s="2" t="n"/>
      <c r="KIZ1" s="2" t="n"/>
      <c r="KJA1" s="2" t="n"/>
      <c r="KJB1" s="2" t="n"/>
      <c r="KJC1" s="2" t="n"/>
      <c r="KJD1" s="2" t="n"/>
      <c r="KJE1" s="2" t="n"/>
      <c r="KJF1" s="2" t="n"/>
      <c r="KJG1" s="2" t="n"/>
      <c r="KJH1" s="2" t="n"/>
      <c r="KJI1" s="2" t="n"/>
      <c r="KJJ1" s="2" t="n"/>
      <c r="KJK1" s="2" t="n"/>
      <c r="KJL1" s="2" t="n"/>
      <c r="KJM1" s="2" t="n"/>
      <c r="KJN1" s="2" t="n"/>
      <c r="KJO1" s="2" t="n"/>
      <c r="KJP1" s="2" t="n"/>
      <c r="KJQ1" s="2" t="n"/>
      <c r="KJR1" s="2" t="n"/>
      <c r="KJS1" s="2" t="n"/>
      <c r="KJT1" s="2" t="n"/>
      <c r="KJU1" s="2" t="n"/>
      <c r="KJV1" s="2" t="n"/>
      <c r="KJW1" s="2" t="n"/>
      <c r="KJX1" s="2" t="n"/>
      <c r="KJY1" s="2" t="n"/>
      <c r="KJZ1" s="2" t="n"/>
      <c r="KKA1" s="2" t="n"/>
      <c r="KKB1" s="2" t="n"/>
      <c r="KKC1" s="2" t="n"/>
      <c r="KKD1" s="2" t="n"/>
      <c r="KKE1" s="2" t="n"/>
      <c r="KKF1" s="2" t="n"/>
      <c r="KKG1" s="2" t="n"/>
      <c r="KKH1" s="2" t="n"/>
      <c r="KKI1" s="2" t="n"/>
      <c r="KKJ1" s="2" t="n"/>
      <c r="KKK1" s="2" t="n"/>
      <c r="KKL1" s="2" t="n"/>
      <c r="KKM1" s="2" t="n"/>
      <c r="KKN1" s="2" t="n"/>
      <c r="KKO1" s="2" t="n"/>
      <c r="KKP1" s="2" t="n"/>
      <c r="KKQ1" s="2" t="n"/>
      <c r="KKR1" s="2" t="n"/>
      <c r="KKS1" s="2" t="n"/>
      <c r="KKT1" s="2" t="n"/>
      <c r="KKU1" s="2" t="n"/>
      <c r="KKV1" s="2" t="n"/>
      <c r="KKW1" s="2" t="n"/>
      <c r="KKX1" s="2" t="n"/>
      <c r="KKY1" s="2" t="n"/>
      <c r="KKZ1" s="2" t="n"/>
      <c r="KLA1" s="2" t="n"/>
      <c r="KLB1" s="2" t="n"/>
      <c r="KLC1" s="2" t="n"/>
      <c r="KLD1" s="2" t="n"/>
      <c r="KLE1" s="2" t="n"/>
      <c r="KLF1" s="2" t="n"/>
      <c r="KLG1" s="2" t="n"/>
      <c r="KLH1" s="2" t="n"/>
      <c r="KLI1" s="2" t="n"/>
      <c r="KLJ1" s="2" t="n"/>
      <c r="KLK1" s="2" t="n"/>
      <c r="KLL1" s="2" t="n"/>
      <c r="KLM1" s="2" t="n"/>
      <c r="KLN1" s="2" t="n"/>
      <c r="KLO1" s="2" t="n"/>
      <c r="KLP1" s="2" t="n"/>
      <c r="KLQ1" s="2" t="n"/>
      <c r="KLR1" s="2" t="n"/>
      <c r="KLS1" s="2" t="n"/>
      <c r="KLT1" s="2" t="n"/>
      <c r="KLU1" s="2" t="n"/>
      <c r="KLV1" s="2" t="n"/>
      <c r="KLW1" s="2" t="n"/>
      <c r="KLX1" s="2" t="n"/>
      <c r="KLY1" s="2" t="n"/>
      <c r="KLZ1" s="2" t="n"/>
      <c r="KMA1" s="2" t="n"/>
      <c r="KMB1" s="2" t="n"/>
      <c r="KMC1" s="2" t="n"/>
      <c r="KMD1" s="2" t="n"/>
      <c r="KME1" s="2" t="n"/>
      <c r="KMF1" s="2" t="n"/>
      <c r="KMG1" s="2" t="n"/>
      <c r="KMH1" s="2" t="n"/>
      <c r="KMI1" s="2" t="n"/>
      <c r="KMJ1" s="2" t="n"/>
      <c r="KMK1" s="2" t="n"/>
      <c r="KML1" s="2" t="n"/>
      <c r="KMM1" s="2" t="n"/>
      <c r="KMN1" s="2" t="n"/>
      <c r="KMO1" s="2" t="n"/>
      <c r="KMP1" s="2" t="n"/>
      <c r="KMQ1" s="2" t="n"/>
      <c r="KMR1" s="2" t="n"/>
      <c r="KMS1" s="2" t="n"/>
      <c r="KMT1" s="2" t="n"/>
      <c r="KMU1" s="2" t="n"/>
      <c r="KMV1" s="2" t="n"/>
      <c r="KMW1" s="2" t="n"/>
      <c r="KMX1" s="2" t="n"/>
      <c r="KMY1" s="2" t="n"/>
      <c r="KMZ1" s="2" t="n"/>
      <c r="KNA1" s="2" t="n"/>
      <c r="KNB1" s="2" t="n"/>
      <c r="KNC1" s="2" t="n"/>
      <c r="KND1" s="2" t="n"/>
      <c r="KNE1" s="2" t="n"/>
      <c r="KNF1" s="2" t="n"/>
      <c r="KNG1" s="2" t="n"/>
      <c r="KNH1" s="2" t="n"/>
      <c r="KNI1" s="2" t="n"/>
      <c r="KNJ1" s="2" t="n"/>
      <c r="KNK1" s="2" t="n"/>
      <c r="KNL1" s="2" t="n"/>
      <c r="KNM1" s="2" t="n"/>
      <c r="KNN1" s="2" t="n"/>
      <c r="KNO1" s="2" t="n"/>
      <c r="KNP1" s="2" t="n"/>
      <c r="KNQ1" s="2" t="n"/>
      <c r="KNR1" s="2" t="n"/>
      <c r="KNS1" s="2" t="n"/>
      <c r="KNT1" s="2" t="n"/>
      <c r="KNU1" s="2" t="n"/>
      <c r="KNV1" s="2" t="n"/>
      <c r="KNW1" s="2" t="n"/>
      <c r="KNX1" s="2" t="n"/>
      <c r="KNY1" s="2" t="n"/>
      <c r="KNZ1" s="2" t="n"/>
      <c r="KOA1" s="2" t="n"/>
      <c r="KOB1" s="2" t="n"/>
      <c r="KOC1" s="2" t="n"/>
      <c r="KOD1" s="2" t="n"/>
      <c r="KOE1" s="2" t="n"/>
      <c r="KOF1" s="2" t="n"/>
      <c r="KOG1" s="2" t="n"/>
      <c r="KOH1" s="2" t="n"/>
      <c r="KOI1" s="2" t="n"/>
      <c r="KOJ1" s="2" t="n"/>
      <c r="KOK1" s="2" t="n"/>
      <c r="KOL1" s="2" t="n"/>
      <c r="KOM1" s="2" t="n"/>
      <c r="KON1" s="2" t="n"/>
      <c r="KOO1" s="2" t="n"/>
      <c r="KOP1" s="2" t="n"/>
      <c r="KOQ1" s="2" t="n"/>
      <c r="KOR1" s="2" t="n"/>
      <c r="KOS1" s="2" t="n"/>
      <c r="KOT1" s="2" t="n"/>
      <c r="KOU1" s="2" t="n"/>
      <c r="KOV1" s="2" t="n"/>
      <c r="KOW1" s="2" t="n"/>
      <c r="KOX1" s="2" t="n"/>
      <c r="KOY1" s="2" t="n"/>
      <c r="KOZ1" s="2" t="n"/>
      <c r="KPA1" s="2" t="n"/>
      <c r="KPB1" s="2" t="n"/>
      <c r="KPC1" s="2" t="n"/>
      <c r="KPD1" s="2" t="n"/>
      <c r="KPE1" s="2" t="n"/>
      <c r="KPF1" s="2" t="n"/>
      <c r="KPG1" s="2" t="n"/>
      <c r="KPH1" s="2" t="n"/>
      <c r="KPI1" s="2" t="n"/>
      <c r="KPJ1" s="2" t="n"/>
      <c r="KPK1" s="2" t="n"/>
      <c r="KPL1" s="2" t="n"/>
      <c r="KPM1" s="2" t="n"/>
      <c r="KPN1" s="2" t="n"/>
      <c r="KPO1" s="2" t="n"/>
      <c r="KPP1" s="2" t="n"/>
      <c r="KPQ1" s="2" t="n"/>
      <c r="KPR1" s="2" t="n"/>
      <c r="KPS1" s="2" t="n"/>
      <c r="KPT1" s="2" t="n"/>
      <c r="KPU1" s="2" t="n"/>
      <c r="KPV1" s="2" t="n"/>
      <c r="KPW1" s="2" t="n"/>
      <c r="KPX1" s="2" t="n"/>
      <c r="KPY1" s="2" t="n"/>
      <c r="KPZ1" s="2" t="n"/>
      <c r="KQA1" s="2" t="n"/>
      <c r="KQB1" s="2" t="n"/>
      <c r="KQC1" s="2" t="n"/>
      <c r="KQD1" s="2" t="n"/>
      <c r="KQE1" s="2" t="n"/>
      <c r="KQF1" s="2" t="n"/>
      <c r="KQG1" s="2" t="n"/>
      <c r="KQH1" s="2" t="n"/>
      <c r="KQI1" s="2" t="n"/>
      <c r="KQJ1" s="2" t="n"/>
      <c r="KQK1" s="2" t="n"/>
      <c r="KQL1" s="2" t="n"/>
      <c r="KQM1" s="2" t="n"/>
      <c r="KQN1" s="2" t="n"/>
      <c r="KQO1" s="2" t="n"/>
      <c r="KQP1" s="2" t="n"/>
      <c r="KQQ1" s="2" t="n"/>
      <c r="KQR1" s="2" t="n"/>
      <c r="KQS1" s="2" t="n"/>
      <c r="KQT1" s="2" t="n"/>
      <c r="KQU1" s="2" t="n"/>
      <c r="KQV1" s="2" t="n"/>
      <c r="KQW1" s="2" t="n"/>
      <c r="KQX1" s="2" t="n"/>
      <c r="KQY1" s="2" t="n"/>
      <c r="KQZ1" s="2" t="n"/>
      <c r="KRA1" s="2" t="n"/>
      <c r="KRB1" s="2" t="n"/>
      <c r="KRC1" s="2" t="n"/>
      <c r="KRD1" s="2" t="n"/>
      <c r="KRE1" s="2" t="n"/>
      <c r="KRF1" s="2" t="n"/>
      <c r="KRG1" s="2" t="n"/>
      <c r="KRH1" s="2" t="n"/>
      <c r="KRI1" s="2" t="n"/>
      <c r="KRJ1" s="2" t="n"/>
      <c r="KRK1" s="2" t="n"/>
      <c r="KRL1" s="2" t="n"/>
      <c r="KRM1" s="2" t="n"/>
      <c r="KRN1" s="2" t="n"/>
      <c r="KRO1" s="2" t="n"/>
      <c r="KRP1" s="2" t="n"/>
      <c r="KRQ1" s="2" t="n"/>
      <c r="KRR1" s="2" t="n"/>
      <c r="KRS1" s="2" t="n"/>
      <c r="KRT1" s="2" t="n"/>
      <c r="KRU1" s="2" t="n"/>
      <c r="KRV1" s="2" t="n"/>
      <c r="KRW1" s="2" t="n"/>
      <c r="KRX1" s="2" t="n"/>
      <c r="KRY1" s="2" t="n"/>
      <c r="KRZ1" s="2" t="n"/>
      <c r="KSA1" s="2" t="n"/>
      <c r="KSB1" s="2" t="n"/>
      <c r="KSC1" s="2" t="n"/>
      <c r="KSD1" s="2" t="n"/>
      <c r="KSE1" s="2" t="n"/>
      <c r="KSF1" s="2" t="n"/>
      <c r="KSG1" s="2" t="n"/>
      <c r="KSH1" s="2" t="n"/>
      <c r="KSI1" s="2" t="n"/>
      <c r="KSJ1" s="2" t="n"/>
      <c r="KSK1" s="2" t="n"/>
      <c r="KSL1" s="2" t="n"/>
      <c r="KSM1" s="2" t="n"/>
      <c r="KSN1" s="2" t="n"/>
      <c r="KSO1" s="2" t="n"/>
      <c r="KSP1" s="2" t="n"/>
      <c r="KSQ1" s="2" t="n"/>
      <c r="KSR1" s="2" t="n"/>
      <c r="KSS1" s="2" t="n"/>
      <c r="KST1" s="2" t="n"/>
      <c r="KSU1" s="2" t="n"/>
      <c r="KSV1" s="2" t="n"/>
      <c r="KSW1" s="2" t="n"/>
      <c r="KSX1" s="2" t="n"/>
      <c r="KSY1" s="2" t="n"/>
      <c r="KSZ1" s="2" t="n"/>
      <c r="KTA1" s="2" t="n"/>
      <c r="KTB1" s="2" t="n"/>
      <c r="KTC1" s="2" t="n"/>
      <c r="KTD1" s="2" t="n"/>
      <c r="KTE1" s="2" t="n"/>
      <c r="KTF1" s="2" t="n"/>
      <c r="KTG1" s="2" t="n"/>
      <c r="KTH1" s="2" t="n"/>
      <c r="KTI1" s="2" t="n"/>
      <c r="KTJ1" s="2" t="n"/>
      <c r="KTK1" s="2" t="n"/>
      <c r="KTL1" s="2" t="n"/>
      <c r="KTM1" s="2" t="n"/>
      <c r="KTN1" s="2" t="n"/>
      <c r="KTO1" s="2" t="n"/>
      <c r="KTP1" s="2" t="n"/>
      <c r="KTQ1" s="2" t="n"/>
      <c r="KTR1" s="2" t="n"/>
      <c r="KTS1" s="2" t="n"/>
      <c r="KTT1" s="2" t="n"/>
      <c r="KTU1" s="2" t="n"/>
      <c r="KTV1" s="2" t="n"/>
      <c r="KTW1" s="2" t="n"/>
      <c r="KTX1" s="2" t="n"/>
      <c r="KTY1" s="2" t="n"/>
      <c r="KTZ1" s="2" t="n"/>
      <c r="KUA1" s="2" t="n"/>
      <c r="KUB1" s="2" t="n"/>
      <c r="KUC1" s="2" t="n"/>
      <c r="KUD1" s="2" t="n"/>
      <c r="KUE1" s="2" t="n"/>
      <c r="KUF1" s="2" t="n"/>
      <c r="KUG1" s="2" t="n"/>
      <c r="KUH1" s="2" t="n"/>
      <c r="KUI1" s="2" t="n"/>
      <c r="KUJ1" s="2" t="n"/>
      <c r="KUK1" s="2" t="n"/>
      <c r="KUL1" s="2" t="n"/>
      <c r="KUM1" s="2" t="n"/>
      <c r="KUN1" s="2" t="n"/>
      <c r="KUO1" s="2" t="n"/>
      <c r="KUP1" s="2" t="n"/>
      <c r="KUQ1" s="2" t="n"/>
      <c r="KUR1" s="2" t="n"/>
      <c r="KUS1" s="2" t="n"/>
      <c r="KUT1" s="2" t="n"/>
      <c r="KUU1" s="2" t="n"/>
      <c r="KUV1" s="2" t="n"/>
      <c r="KUW1" s="2" t="n"/>
      <c r="KUX1" s="2" t="n"/>
      <c r="KUY1" s="2" t="n"/>
      <c r="KUZ1" s="2" t="n"/>
      <c r="KVA1" s="2" t="n"/>
      <c r="KVB1" s="2" t="n"/>
      <c r="KVC1" s="2" t="n"/>
      <c r="KVD1" s="2" t="n"/>
      <c r="KVE1" s="2" t="n"/>
      <c r="KVF1" s="2" t="n"/>
      <c r="KVG1" s="2" t="n"/>
      <c r="KVH1" s="2" t="n"/>
      <c r="KVI1" s="2" t="n"/>
      <c r="KVJ1" s="2" t="n"/>
      <c r="KVK1" s="2" t="n"/>
      <c r="KVL1" s="2" t="n"/>
      <c r="KVM1" s="2" t="n"/>
      <c r="KVN1" s="2" t="n"/>
      <c r="KVO1" s="2" t="n"/>
      <c r="KVP1" s="2" t="n"/>
      <c r="KVQ1" s="2" t="n"/>
      <c r="KVR1" s="2" t="n"/>
      <c r="KVS1" s="2" t="n"/>
      <c r="KVT1" s="2" t="n"/>
      <c r="KVU1" s="2" t="n"/>
      <c r="KVV1" s="2" t="n"/>
      <c r="KVW1" s="2" t="n"/>
      <c r="KVX1" s="2" t="n"/>
      <c r="KVY1" s="2" t="n"/>
      <c r="KVZ1" s="2" t="n"/>
      <c r="KWA1" s="2" t="n"/>
      <c r="KWB1" s="2" t="n"/>
      <c r="KWC1" s="2" t="n"/>
      <c r="KWD1" s="2" t="n"/>
      <c r="KWE1" s="2" t="n"/>
      <c r="KWF1" s="2" t="n"/>
      <c r="KWG1" s="2" t="n"/>
      <c r="KWH1" s="2" t="n"/>
      <c r="KWI1" s="2" t="n"/>
      <c r="KWJ1" s="2" t="n"/>
      <c r="KWK1" s="2" t="n"/>
      <c r="KWL1" s="2" t="n"/>
      <c r="KWM1" s="2" t="n"/>
      <c r="KWN1" s="2" t="n"/>
      <c r="KWO1" s="2" t="n"/>
      <c r="KWP1" s="2" t="n"/>
      <c r="KWQ1" s="2" t="n"/>
      <c r="KWR1" s="2" t="n"/>
      <c r="KWS1" s="2" t="n"/>
      <c r="KWT1" s="2" t="n"/>
      <c r="KWU1" s="2" t="n"/>
      <c r="KWV1" s="2" t="n"/>
      <c r="KWW1" s="2" t="n"/>
      <c r="KWX1" s="2" t="n"/>
      <c r="KWY1" s="2" t="n"/>
      <c r="KWZ1" s="2" t="n"/>
      <c r="KXA1" s="2" t="n"/>
      <c r="KXB1" s="2" t="n"/>
      <c r="KXC1" s="2" t="n"/>
      <c r="KXD1" s="2" t="n"/>
      <c r="KXE1" s="2" t="n"/>
      <c r="KXF1" s="2" t="n"/>
      <c r="KXG1" s="2" t="n"/>
      <c r="KXH1" s="2" t="n"/>
      <c r="KXI1" s="2" t="n"/>
      <c r="KXJ1" s="2" t="n"/>
      <c r="KXK1" s="2" t="n"/>
      <c r="KXL1" s="2" t="n"/>
      <c r="KXM1" s="2" t="n"/>
      <c r="KXN1" s="2" t="n"/>
      <c r="KXO1" s="2" t="n"/>
      <c r="KXP1" s="2" t="n"/>
      <c r="KXQ1" s="2" t="n"/>
      <c r="KXR1" s="2" t="n"/>
      <c r="KXS1" s="2" t="n"/>
      <c r="KXT1" s="2" t="n"/>
      <c r="KXU1" s="2" t="n"/>
      <c r="KXV1" s="2" t="n"/>
      <c r="KXW1" s="2" t="n"/>
      <c r="KXX1" s="2" t="n"/>
      <c r="KXY1" s="2" t="n"/>
      <c r="KXZ1" s="2" t="n"/>
      <c r="KYA1" s="2" t="n"/>
      <c r="KYB1" s="2" t="n"/>
      <c r="KYC1" s="2" t="n"/>
      <c r="KYD1" s="2" t="n"/>
      <c r="KYE1" s="2" t="n"/>
      <c r="KYF1" s="2" t="n"/>
      <c r="KYG1" s="2" t="n"/>
      <c r="KYH1" s="2" t="n"/>
      <c r="KYI1" s="2" t="n"/>
      <c r="KYJ1" s="2" t="n"/>
      <c r="KYK1" s="2" t="n"/>
      <c r="KYL1" s="2" t="n"/>
      <c r="KYM1" s="2" t="n"/>
      <c r="KYN1" s="2" t="n"/>
      <c r="KYO1" s="2" t="n"/>
      <c r="KYP1" s="2" t="n"/>
      <c r="KYQ1" s="2" t="n"/>
      <c r="KYR1" s="2" t="n"/>
      <c r="KYS1" s="2" t="n"/>
      <c r="KYT1" s="2" t="n"/>
      <c r="KYU1" s="2" t="n"/>
      <c r="KYV1" s="2" t="n"/>
      <c r="KYW1" s="2" t="n"/>
      <c r="KYX1" s="2" t="n"/>
      <c r="KYY1" s="2" t="n"/>
      <c r="KYZ1" s="2" t="n"/>
      <c r="KZA1" s="2" t="n"/>
      <c r="KZB1" s="2" t="n"/>
      <c r="KZC1" s="2" t="n"/>
      <c r="KZD1" s="2" t="n"/>
      <c r="KZE1" s="2" t="n"/>
      <c r="KZF1" s="2" t="n"/>
      <c r="KZG1" s="2" t="n"/>
      <c r="KZH1" s="2" t="n"/>
      <c r="KZI1" s="2" t="n"/>
      <c r="KZJ1" s="2" t="n"/>
      <c r="KZK1" s="2" t="n"/>
      <c r="KZL1" s="2" t="n"/>
      <c r="KZM1" s="2" t="n"/>
      <c r="KZN1" s="2" t="n"/>
      <c r="KZO1" s="2" t="n"/>
      <c r="KZP1" s="2" t="n"/>
      <c r="KZQ1" s="2" t="n"/>
      <c r="KZR1" s="2" t="n"/>
      <c r="KZS1" s="2" t="n"/>
      <c r="KZT1" s="2" t="n"/>
      <c r="KZU1" s="2" t="n"/>
      <c r="KZV1" s="2" t="n"/>
      <c r="KZW1" s="2" t="n"/>
      <c r="KZX1" s="2" t="n"/>
      <c r="KZY1" s="2" t="n"/>
      <c r="KZZ1" s="2" t="n"/>
      <c r="LAA1" s="2" t="n"/>
      <c r="LAB1" s="2" t="n"/>
      <c r="LAC1" s="2" t="n"/>
      <c r="LAD1" s="2" t="n"/>
      <c r="LAE1" s="2" t="n"/>
      <c r="LAF1" s="2" t="n"/>
      <c r="LAG1" s="2" t="n"/>
      <c r="LAH1" s="2" t="n"/>
      <c r="LAI1" s="2" t="n"/>
      <c r="LAJ1" s="2" t="n"/>
      <c r="LAK1" s="2" t="n"/>
      <c r="LAL1" s="2" t="n"/>
      <c r="LAM1" s="2" t="n"/>
      <c r="LAN1" s="2" t="n"/>
      <c r="LAO1" s="2" t="n"/>
      <c r="LAP1" s="2" t="n"/>
      <c r="LAQ1" s="2" t="n"/>
      <c r="LAR1" s="2" t="n"/>
      <c r="LAS1" s="2" t="n"/>
      <c r="LAT1" s="2" t="n"/>
      <c r="LAU1" s="2" t="n"/>
      <c r="LAV1" s="2" t="n"/>
      <c r="LAW1" s="2" t="n"/>
      <c r="LAX1" s="2" t="n"/>
      <c r="LAY1" s="2" t="n"/>
      <c r="LAZ1" s="2" t="n"/>
      <c r="LBA1" s="2" t="n"/>
      <c r="LBB1" s="2" t="n"/>
      <c r="LBC1" s="2" t="n"/>
      <c r="LBD1" s="2" t="n"/>
      <c r="LBE1" s="2" t="n"/>
      <c r="LBF1" s="2" t="n"/>
      <c r="LBG1" s="2" t="n"/>
      <c r="LBH1" s="2" t="n"/>
      <c r="LBI1" s="2" t="n"/>
      <c r="LBJ1" s="2" t="n"/>
      <c r="LBK1" s="2" t="n"/>
      <c r="LBL1" s="2" t="n"/>
      <c r="LBM1" s="2" t="n"/>
      <c r="LBN1" s="2" t="n"/>
      <c r="LBO1" s="2" t="n"/>
      <c r="LBP1" s="2" t="n"/>
      <c r="LBQ1" s="2" t="n"/>
      <c r="LBR1" s="2" t="n"/>
      <c r="LBS1" s="2" t="n"/>
      <c r="LBT1" s="2" t="n"/>
      <c r="LBU1" s="2" t="n"/>
      <c r="LBV1" s="2" t="n"/>
      <c r="LBW1" s="2" t="n"/>
      <c r="LBX1" s="2" t="n"/>
      <c r="LBY1" s="2" t="n"/>
      <c r="LBZ1" s="2" t="n"/>
      <c r="LCA1" s="2" t="n"/>
      <c r="LCB1" s="2" t="n"/>
      <c r="LCC1" s="2" t="n"/>
      <c r="LCD1" s="2" t="n"/>
      <c r="LCE1" s="2" t="n"/>
      <c r="LCF1" s="2" t="n"/>
      <c r="LCG1" s="2" t="n"/>
      <c r="LCH1" s="2" t="n"/>
      <c r="LCI1" s="2" t="n"/>
      <c r="LCJ1" s="2" t="n"/>
      <c r="LCK1" s="2" t="n"/>
      <c r="LCL1" s="2" t="n"/>
      <c r="LCM1" s="2" t="n"/>
      <c r="LCN1" s="2" t="n"/>
      <c r="LCO1" s="2" t="n"/>
      <c r="LCP1" s="2" t="n"/>
      <c r="LCQ1" s="2" t="n"/>
      <c r="LCR1" s="2" t="n"/>
      <c r="LCS1" s="2" t="n"/>
      <c r="LCT1" s="2" t="n"/>
      <c r="LCU1" s="2" t="n"/>
      <c r="LCV1" s="2" t="n"/>
      <c r="LCW1" s="2" t="n"/>
      <c r="LCX1" s="2" t="n"/>
      <c r="LCY1" s="2" t="n"/>
      <c r="LCZ1" s="2" t="n"/>
      <c r="LDA1" s="2" t="n"/>
      <c r="LDB1" s="2" t="n"/>
      <c r="LDC1" s="2" t="n"/>
      <c r="LDD1" s="2" t="n"/>
      <c r="LDE1" s="2" t="n"/>
      <c r="LDF1" s="2" t="n"/>
      <c r="LDG1" s="2" t="n"/>
      <c r="LDH1" s="2" t="n"/>
      <c r="LDI1" s="2" t="n"/>
      <c r="LDJ1" s="2" t="n"/>
      <c r="LDK1" s="2" t="n"/>
      <c r="LDL1" s="2" t="n"/>
      <c r="LDM1" s="2" t="n"/>
      <c r="LDN1" s="2" t="n"/>
      <c r="LDO1" s="2" t="n"/>
      <c r="LDP1" s="2" t="n"/>
      <c r="LDQ1" s="2" t="n"/>
      <c r="LDR1" s="2" t="n"/>
      <c r="LDS1" s="2" t="n"/>
      <c r="LDT1" s="2" t="n"/>
      <c r="LDU1" s="2" t="n"/>
      <c r="LDV1" s="2" t="n"/>
      <c r="LDW1" s="2" t="n"/>
      <c r="LDX1" s="2" t="n"/>
      <c r="LDY1" s="2" t="n"/>
      <c r="LDZ1" s="2" t="n"/>
      <c r="LEA1" s="2" t="n"/>
      <c r="LEB1" s="2" t="n"/>
      <c r="LEC1" s="2" t="n"/>
      <c r="LED1" s="2" t="n"/>
      <c r="LEE1" s="2" t="n"/>
      <c r="LEF1" s="2" t="n"/>
      <c r="LEG1" s="2" t="n"/>
      <c r="LEH1" s="2" t="n"/>
      <c r="LEI1" s="2" t="n"/>
      <c r="LEJ1" s="2" t="n"/>
      <c r="LEK1" s="2" t="n"/>
      <c r="LEL1" s="2" t="n"/>
      <c r="LEM1" s="2" t="n"/>
      <c r="LEN1" s="2" t="n"/>
      <c r="LEO1" s="2" t="n"/>
      <c r="LEP1" s="2" t="n"/>
      <c r="LEQ1" s="2" t="n"/>
      <c r="LER1" s="2" t="n"/>
      <c r="LES1" s="2" t="n"/>
      <c r="LET1" s="2" t="n"/>
      <c r="LEU1" s="2" t="n"/>
      <c r="LEV1" s="2" t="n"/>
      <c r="LEW1" s="2" t="n"/>
      <c r="LEX1" s="2" t="n"/>
      <c r="LEY1" s="2" t="n"/>
      <c r="LEZ1" s="2" t="n"/>
      <c r="LFA1" s="2" t="n"/>
      <c r="LFB1" s="2" t="n"/>
      <c r="LFC1" s="2" t="n"/>
      <c r="LFD1" s="2" t="n"/>
      <c r="LFE1" s="2" t="n"/>
      <c r="LFF1" s="2" t="n"/>
      <c r="LFG1" s="2" t="n"/>
      <c r="LFH1" s="2" t="n"/>
      <c r="LFI1" s="2" t="n"/>
      <c r="LFJ1" s="2" t="n"/>
      <c r="LFK1" s="2" t="n"/>
      <c r="LFL1" s="2" t="n"/>
      <c r="LFM1" s="2" t="n"/>
      <c r="LFN1" s="2" t="n"/>
      <c r="LFO1" s="2" t="n"/>
      <c r="LFP1" s="2" t="n"/>
      <c r="LFQ1" s="2" t="n"/>
      <c r="LFR1" s="2" t="n"/>
      <c r="LFS1" s="2" t="n"/>
      <c r="LFT1" s="2" t="n"/>
      <c r="LFU1" s="2" t="n"/>
      <c r="LFV1" s="2" t="n"/>
      <c r="LFW1" s="2" t="n"/>
      <c r="LFX1" s="2" t="n"/>
      <c r="LFY1" s="2" t="n"/>
      <c r="LFZ1" s="2" t="n"/>
      <c r="LGA1" s="2" t="n"/>
      <c r="LGB1" s="2" t="n"/>
      <c r="LGC1" s="2" t="n"/>
      <c r="LGD1" s="2" t="n"/>
      <c r="LGE1" s="2" t="n"/>
      <c r="LGF1" s="2" t="n"/>
      <c r="LGG1" s="2" t="n"/>
      <c r="LGH1" s="2" t="n"/>
      <c r="LGI1" s="2" t="n"/>
      <c r="LGJ1" s="2" t="n"/>
      <c r="LGK1" s="2" t="n"/>
      <c r="LGL1" s="2" t="n"/>
      <c r="LGM1" s="2" t="n"/>
      <c r="LGN1" s="2" t="n"/>
      <c r="LGO1" s="2" t="n"/>
      <c r="LGP1" s="2" t="n"/>
      <c r="LGQ1" s="2" t="n"/>
      <c r="LGR1" s="2" t="n"/>
      <c r="LGS1" s="2" t="n"/>
      <c r="LGT1" s="2" t="n"/>
      <c r="LGU1" s="2" t="n"/>
      <c r="LGV1" s="2" t="n"/>
      <c r="LGW1" s="2" t="n"/>
      <c r="LGX1" s="2" t="n"/>
      <c r="LGY1" s="2" t="n"/>
      <c r="LGZ1" s="2" t="n"/>
      <c r="LHA1" s="2" t="n"/>
      <c r="LHB1" s="2" t="n"/>
      <c r="LHC1" s="2" t="n"/>
      <c r="LHD1" s="2" t="n"/>
      <c r="LHE1" s="2" t="n"/>
      <c r="LHF1" s="2" t="n"/>
      <c r="LHG1" s="2" t="n"/>
      <c r="LHH1" s="2" t="n"/>
      <c r="LHI1" s="2" t="n"/>
      <c r="LHJ1" s="2" t="n"/>
      <c r="LHK1" s="2" t="n"/>
      <c r="LHL1" s="2" t="n"/>
      <c r="LHM1" s="2" t="n"/>
      <c r="LHN1" s="2" t="n"/>
      <c r="LHO1" s="2" t="n"/>
      <c r="LHP1" s="2" t="n"/>
      <c r="LHQ1" s="2" t="n"/>
      <c r="LHR1" s="2" t="n"/>
      <c r="LHS1" s="2" t="n"/>
      <c r="LHT1" s="2" t="n"/>
      <c r="LHU1" s="2" t="n"/>
      <c r="LHV1" s="2" t="n"/>
      <c r="LHW1" s="2" t="n"/>
      <c r="LHX1" s="2" t="n"/>
      <c r="LHY1" s="2" t="n"/>
      <c r="LHZ1" s="2" t="n"/>
      <c r="LIA1" s="2" t="n"/>
      <c r="LIB1" s="2" t="n"/>
      <c r="LIC1" s="2" t="n"/>
      <c r="LID1" s="2" t="n"/>
      <c r="LIE1" s="2" t="n"/>
      <c r="LIF1" s="2" t="n"/>
      <c r="LIG1" s="2" t="n"/>
      <c r="LIH1" s="2" t="n"/>
      <c r="LII1" s="2" t="n"/>
      <c r="LIJ1" s="2" t="n"/>
      <c r="LIK1" s="2" t="n"/>
      <c r="LIL1" s="2" t="n"/>
      <c r="LIM1" s="2" t="n"/>
      <c r="LIN1" s="2" t="n"/>
      <c r="LIO1" s="2" t="n"/>
      <c r="LIP1" s="2" t="n"/>
      <c r="LIQ1" s="2" t="n"/>
      <c r="LIR1" s="2" t="n"/>
      <c r="LIS1" s="2" t="n"/>
      <c r="LIT1" s="2" t="n"/>
      <c r="LIU1" s="2" t="n"/>
      <c r="LIV1" s="2" t="n"/>
      <c r="LIW1" s="2" t="n"/>
      <c r="LIX1" s="2" t="n"/>
      <c r="LIY1" s="2" t="n"/>
      <c r="LIZ1" s="2" t="n"/>
      <c r="LJA1" s="2" t="n"/>
      <c r="LJB1" s="2" t="n"/>
      <c r="LJC1" s="2" t="n"/>
      <c r="LJD1" s="2" t="n"/>
      <c r="LJE1" s="2" t="n"/>
      <c r="LJF1" s="2" t="n"/>
      <c r="LJG1" s="2" t="n"/>
      <c r="LJH1" s="2" t="n"/>
      <c r="LJI1" s="2" t="n"/>
      <c r="LJJ1" s="2" t="n"/>
      <c r="LJK1" s="2" t="n"/>
      <c r="LJL1" s="2" t="n"/>
      <c r="LJM1" s="2" t="n"/>
      <c r="LJN1" s="2" t="n"/>
      <c r="LJO1" s="2" t="n"/>
      <c r="LJP1" s="2" t="n"/>
      <c r="LJQ1" s="2" t="n"/>
      <c r="LJR1" s="2" t="n"/>
      <c r="LJS1" s="2" t="n"/>
      <c r="LJT1" s="2" t="n"/>
      <c r="LJU1" s="2" t="n"/>
      <c r="LJV1" s="2" t="n"/>
      <c r="LJW1" s="2" t="n"/>
      <c r="LJX1" s="2" t="n"/>
      <c r="LJY1" s="2" t="n"/>
      <c r="LJZ1" s="2" t="n"/>
      <c r="LKA1" s="2" t="n"/>
      <c r="LKB1" s="2" t="n"/>
      <c r="LKC1" s="2" t="n"/>
      <c r="LKD1" s="2" t="n"/>
      <c r="LKE1" s="2" t="n"/>
      <c r="LKF1" s="2" t="n"/>
      <c r="LKG1" s="2" t="n"/>
      <c r="LKH1" s="2" t="n"/>
      <c r="LKI1" s="2" t="n"/>
      <c r="LKJ1" s="2" t="n"/>
      <c r="LKK1" s="2" t="n"/>
      <c r="LKL1" s="2" t="n"/>
      <c r="LKM1" s="2" t="n"/>
      <c r="LKN1" s="2" t="n"/>
      <c r="LKO1" s="2" t="n"/>
      <c r="LKP1" s="2" t="n"/>
      <c r="LKQ1" s="2" t="n"/>
      <c r="LKR1" s="2" t="n"/>
      <c r="LKS1" s="2" t="n"/>
      <c r="LKT1" s="2" t="n"/>
      <c r="LKU1" s="2" t="n"/>
      <c r="LKV1" s="2" t="n"/>
      <c r="LKW1" s="2" t="n"/>
      <c r="LKX1" s="2" t="n"/>
      <c r="LKY1" s="2" t="n"/>
      <c r="LKZ1" s="2" t="n"/>
      <c r="LLA1" s="2" t="n"/>
      <c r="LLB1" s="2" t="n"/>
      <c r="LLC1" s="2" t="n"/>
      <c r="LLD1" s="2" t="n"/>
      <c r="LLE1" s="2" t="n"/>
      <c r="LLF1" s="2" t="n"/>
      <c r="LLG1" s="2" t="n"/>
      <c r="LLH1" s="2" t="n"/>
      <c r="LLI1" s="2" t="n"/>
      <c r="LLJ1" s="2" t="n"/>
      <c r="LLK1" s="2" t="n"/>
      <c r="LLL1" s="2" t="n"/>
      <c r="LLM1" s="2" t="n"/>
      <c r="LLN1" s="2" t="n"/>
      <c r="LLO1" s="2" t="n"/>
      <c r="LLP1" s="2" t="n"/>
      <c r="LLQ1" s="2" t="n"/>
      <c r="LLR1" s="2" t="n"/>
      <c r="LLS1" s="2" t="n"/>
      <c r="LLT1" s="2" t="n"/>
      <c r="LLU1" s="2" t="n"/>
      <c r="LLV1" s="2" t="n"/>
      <c r="LLW1" s="2" t="n"/>
      <c r="LLX1" s="2" t="n"/>
      <c r="LLY1" s="2" t="n"/>
      <c r="LLZ1" s="2" t="n"/>
      <c r="LMA1" s="2" t="n"/>
      <c r="LMB1" s="2" t="n"/>
      <c r="LMC1" s="2" t="n"/>
      <c r="LMD1" s="2" t="n"/>
      <c r="LME1" s="2" t="n"/>
      <c r="LMF1" s="2" t="n"/>
      <c r="LMG1" s="2" t="n"/>
      <c r="LMH1" s="2" t="n"/>
      <c r="LMI1" s="2" t="n"/>
      <c r="LMJ1" s="2" t="n"/>
      <c r="LMK1" s="2" t="n"/>
      <c r="LML1" s="2" t="n"/>
      <c r="LMM1" s="2" t="n"/>
      <c r="LMN1" s="2" t="n"/>
      <c r="LMO1" s="2" t="n"/>
      <c r="LMP1" s="2" t="n"/>
      <c r="LMQ1" s="2" t="n"/>
      <c r="LMR1" s="2" t="n"/>
      <c r="LMS1" s="2" t="n"/>
      <c r="LMT1" s="2" t="n"/>
      <c r="LMU1" s="2" t="n"/>
      <c r="LMV1" s="2" t="n"/>
      <c r="LMW1" s="2" t="n"/>
      <c r="LMX1" s="2" t="n"/>
      <c r="LMY1" s="2" t="n"/>
      <c r="LMZ1" s="2" t="n"/>
      <c r="LNA1" s="2" t="n"/>
      <c r="LNB1" s="2" t="n"/>
      <c r="LNC1" s="2" t="n"/>
      <c r="LND1" s="2" t="n"/>
      <c r="LNE1" s="2" t="n"/>
      <c r="LNF1" s="2" t="n"/>
      <c r="LNG1" s="2" t="n"/>
      <c r="LNH1" s="2" t="n"/>
      <c r="LNI1" s="2" t="n"/>
      <c r="LNJ1" s="2" t="n"/>
      <c r="LNK1" s="2" t="n"/>
      <c r="LNL1" s="2" t="n"/>
      <c r="LNM1" s="2" t="n"/>
      <c r="LNN1" s="2" t="n"/>
      <c r="LNO1" s="2" t="n"/>
      <c r="LNP1" s="2" t="n"/>
      <c r="LNQ1" s="2" t="n"/>
      <c r="LNR1" s="2" t="n"/>
      <c r="LNS1" s="2" t="n"/>
      <c r="LNT1" s="2" t="n"/>
      <c r="LNU1" s="2" t="n"/>
      <c r="LNV1" s="2" t="n"/>
      <c r="LNW1" s="2" t="n"/>
      <c r="LNX1" s="2" t="n"/>
      <c r="LNY1" s="2" t="n"/>
      <c r="LNZ1" s="2" t="n"/>
      <c r="LOA1" s="2" t="n"/>
      <c r="LOB1" s="2" t="n"/>
      <c r="LOC1" s="2" t="n"/>
      <c r="LOD1" s="2" t="n"/>
      <c r="LOE1" s="2" t="n"/>
      <c r="LOF1" s="2" t="n"/>
      <c r="LOG1" s="2" t="n"/>
      <c r="LOH1" s="2" t="n"/>
      <c r="LOI1" s="2" t="n"/>
      <c r="LOJ1" s="2" t="n"/>
      <c r="LOK1" s="2" t="n"/>
      <c r="LOL1" s="2" t="n"/>
      <c r="LOM1" s="2" t="n"/>
      <c r="LON1" s="2" t="n"/>
      <c r="LOO1" s="2" t="n"/>
      <c r="LOP1" s="2" t="n"/>
      <c r="LOQ1" s="2" t="n"/>
      <c r="LOR1" s="2" t="n"/>
      <c r="LOS1" s="2" t="n"/>
      <c r="LOT1" s="2" t="n"/>
      <c r="LOU1" s="2" t="n"/>
      <c r="LOV1" s="2" t="n"/>
      <c r="LOW1" s="2" t="n"/>
      <c r="LOX1" s="2" t="n"/>
      <c r="LOY1" s="2" t="n"/>
      <c r="LOZ1" s="2" t="n"/>
      <c r="LPA1" s="2" t="n"/>
      <c r="LPB1" s="2" t="n"/>
      <c r="LPC1" s="2" t="n"/>
      <c r="LPD1" s="2" t="n"/>
      <c r="LPE1" s="2" t="n"/>
      <c r="LPF1" s="2" t="n"/>
      <c r="LPG1" s="2" t="n"/>
      <c r="LPH1" s="2" t="n"/>
      <c r="LPI1" s="2" t="n"/>
      <c r="LPJ1" s="2" t="n"/>
      <c r="LPK1" s="2" t="n"/>
      <c r="LPL1" s="2" t="n"/>
      <c r="LPM1" s="2" t="n"/>
      <c r="LPN1" s="2" t="n"/>
      <c r="LPO1" s="2" t="n"/>
      <c r="LPP1" s="2" t="n"/>
      <c r="LPQ1" s="2" t="n"/>
      <c r="LPR1" s="2" t="n"/>
      <c r="LPS1" s="2" t="n"/>
      <c r="LPT1" s="2" t="n"/>
      <c r="LPU1" s="2" t="n"/>
      <c r="LPV1" s="2" t="n"/>
      <c r="LPW1" s="2" t="n"/>
      <c r="LPX1" s="2" t="n"/>
      <c r="LPY1" s="2" t="n"/>
      <c r="LPZ1" s="2" t="n"/>
      <c r="LQA1" s="2" t="n"/>
      <c r="LQB1" s="2" t="n"/>
      <c r="LQC1" s="2" t="n"/>
      <c r="LQD1" s="2" t="n"/>
      <c r="LQE1" s="2" t="n"/>
      <c r="LQF1" s="2" t="n"/>
      <c r="LQG1" s="2" t="n"/>
      <c r="LQH1" s="2" t="n"/>
      <c r="LQI1" s="2" t="n"/>
      <c r="LQJ1" s="2" t="n"/>
      <c r="LQK1" s="2" t="n"/>
      <c r="LQL1" s="2" t="n"/>
      <c r="LQM1" s="2" t="n"/>
      <c r="LQN1" s="2" t="n"/>
      <c r="LQO1" s="2" t="n"/>
      <c r="LQP1" s="2" t="n"/>
      <c r="LQQ1" s="2" t="n"/>
      <c r="LQR1" s="2" t="n"/>
      <c r="LQS1" s="2" t="n"/>
      <c r="LQT1" s="2" t="n"/>
      <c r="LQU1" s="2" t="n"/>
      <c r="LQV1" s="2" t="n"/>
      <c r="LQW1" s="2" t="n"/>
      <c r="LQX1" s="2" t="n"/>
      <c r="LQY1" s="2" t="n"/>
      <c r="LQZ1" s="2" t="n"/>
      <c r="LRA1" s="2" t="n"/>
      <c r="LRB1" s="2" t="n"/>
      <c r="LRC1" s="2" t="n"/>
      <c r="LRD1" s="2" t="n"/>
      <c r="LRE1" s="2" t="n"/>
      <c r="LRF1" s="2" t="n"/>
      <c r="LRG1" s="2" t="n"/>
      <c r="LRH1" s="2" t="n"/>
      <c r="LRI1" s="2" t="n"/>
      <c r="LRJ1" s="2" t="n"/>
      <c r="LRK1" s="2" t="n"/>
      <c r="LRL1" s="2" t="n"/>
      <c r="LRM1" s="2" t="n"/>
      <c r="LRN1" s="2" t="n"/>
      <c r="LRO1" s="2" t="n"/>
      <c r="LRP1" s="2" t="n"/>
      <c r="LRQ1" s="2" t="n"/>
      <c r="LRR1" s="2" t="n"/>
      <c r="LRS1" s="2" t="n"/>
      <c r="LRT1" s="2" t="n"/>
      <c r="LRU1" s="2" t="n"/>
      <c r="LRV1" s="2" t="n"/>
      <c r="LRW1" s="2" t="n"/>
      <c r="LRX1" s="2" t="n"/>
      <c r="LRY1" s="2" t="n"/>
      <c r="LRZ1" s="2" t="n"/>
      <c r="LSA1" s="2" t="n"/>
      <c r="LSB1" s="2" t="n"/>
      <c r="LSC1" s="2" t="n"/>
      <c r="LSD1" s="2" t="n"/>
      <c r="LSE1" s="2" t="n"/>
      <c r="LSF1" s="2" t="n"/>
      <c r="LSG1" s="2" t="n"/>
      <c r="LSH1" s="2" t="n"/>
      <c r="LSI1" s="2" t="n"/>
      <c r="LSJ1" s="2" t="n"/>
      <c r="LSK1" s="2" t="n"/>
      <c r="LSL1" s="2" t="n"/>
      <c r="LSM1" s="2" t="n"/>
      <c r="LSN1" s="2" t="n"/>
      <c r="LSO1" s="2" t="n"/>
      <c r="LSP1" s="2" t="n"/>
      <c r="LSQ1" s="2" t="n"/>
      <c r="LSR1" s="2" t="n"/>
      <c r="LSS1" s="2" t="n"/>
      <c r="LST1" s="2" t="n"/>
      <c r="LSU1" s="2" t="n"/>
      <c r="LSV1" s="2" t="n"/>
      <c r="LSW1" s="2" t="n"/>
      <c r="LSX1" s="2" t="n"/>
      <c r="LSY1" s="2" t="n"/>
      <c r="LSZ1" s="2" t="n"/>
      <c r="LTA1" s="2" t="n"/>
      <c r="LTB1" s="2" t="n"/>
      <c r="LTC1" s="2" t="n"/>
      <c r="LTD1" s="2" t="n"/>
      <c r="LTE1" s="2" t="n"/>
      <c r="LTF1" s="2" t="n"/>
      <c r="LTG1" s="2" t="n"/>
      <c r="LTH1" s="2" t="n"/>
      <c r="LTI1" s="2" t="n"/>
      <c r="LTJ1" s="2" t="n"/>
      <c r="LTK1" s="2" t="n"/>
      <c r="LTL1" s="2" t="n"/>
      <c r="LTM1" s="2" t="n"/>
      <c r="LTN1" s="2" t="n"/>
      <c r="LTO1" s="2" t="n"/>
      <c r="LTP1" s="2" t="n"/>
      <c r="LTQ1" s="2" t="n"/>
      <c r="LTR1" s="2" t="n"/>
      <c r="LTS1" s="2" t="n"/>
      <c r="LTT1" s="2" t="n"/>
      <c r="LTU1" s="2" t="n"/>
      <c r="LTV1" s="2" t="n"/>
      <c r="LTW1" s="2" t="n"/>
      <c r="LTX1" s="2" t="n"/>
      <c r="LTY1" s="2" t="n"/>
      <c r="LTZ1" s="2" t="n"/>
      <c r="LUA1" s="2" t="n"/>
      <c r="LUB1" s="2" t="n"/>
      <c r="LUC1" s="2" t="n"/>
      <c r="LUD1" s="2" t="n"/>
      <c r="LUE1" s="2" t="n"/>
      <c r="LUF1" s="2" t="n"/>
      <c r="LUG1" s="2" t="n"/>
      <c r="LUH1" s="2" t="n"/>
      <c r="LUI1" s="2" t="n"/>
      <c r="LUJ1" s="2" t="n"/>
      <c r="LUK1" s="2" t="n"/>
      <c r="LUL1" s="2" t="n"/>
      <c r="LUM1" s="2" t="n"/>
      <c r="LUN1" s="2" t="n"/>
      <c r="LUO1" s="2" t="n"/>
      <c r="LUP1" s="2" t="n"/>
      <c r="LUQ1" s="2" t="n"/>
      <c r="LUR1" s="2" t="n"/>
      <c r="LUS1" s="2" t="n"/>
      <c r="LUT1" s="2" t="n"/>
      <c r="LUU1" s="2" t="n"/>
      <c r="LUV1" s="2" t="n"/>
      <c r="LUW1" s="2" t="n"/>
      <c r="LUX1" s="2" t="n"/>
      <c r="LUY1" s="2" t="n"/>
      <c r="LUZ1" s="2" t="n"/>
      <c r="LVA1" s="2" t="n"/>
      <c r="LVB1" s="2" t="n"/>
      <c r="LVC1" s="2" t="n"/>
      <c r="LVD1" s="2" t="n"/>
      <c r="LVE1" s="2" t="n"/>
      <c r="LVF1" s="2" t="n"/>
      <c r="LVG1" s="2" t="n"/>
      <c r="LVH1" s="2" t="n"/>
      <c r="LVI1" s="2" t="n"/>
      <c r="LVJ1" s="2" t="n"/>
      <c r="LVK1" s="2" t="n"/>
      <c r="LVL1" s="2" t="n"/>
      <c r="LVM1" s="2" t="n"/>
      <c r="LVN1" s="2" t="n"/>
      <c r="LVO1" s="2" t="n"/>
      <c r="LVP1" s="2" t="n"/>
      <c r="LVQ1" s="2" t="n"/>
      <c r="LVR1" s="2" t="n"/>
      <c r="LVS1" s="2" t="n"/>
      <c r="LVT1" s="2" t="n"/>
      <c r="LVU1" s="2" t="n"/>
      <c r="LVV1" s="2" t="n"/>
      <c r="LVW1" s="2" t="n"/>
      <c r="LVX1" s="2" t="n"/>
      <c r="LVY1" s="2" t="n"/>
      <c r="LVZ1" s="2" t="n"/>
      <c r="LWA1" s="2" t="n"/>
      <c r="LWB1" s="2" t="n"/>
      <c r="LWC1" s="2" t="n"/>
      <c r="LWD1" s="2" t="n"/>
      <c r="LWE1" s="2" t="n"/>
      <c r="LWF1" s="2" t="n"/>
      <c r="LWG1" s="2" t="n"/>
      <c r="LWH1" s="2" t="n"/>
      <c r="LWI1" s="2" t="n"/>
      <c r="LWJ1" s="2" t="n"/>
      <c r="LWK1" s="2" t="n"/>
      <c r="LWL1" s="2" t="n"/>
      <c r="LWM1" s="2" t="n"/>
      <c r="LWN1" s="2" t="n"/>
      <c r="LWO1" s="2" t="n"/>
      <c r="LWP1" s="2" t="n"/>
      <c r="LWQ1" s="2" t="n"/>
      <c r="LWR1" s="2" t="n"/>
      <c r="LWS1" s="2" t="n"/>
      <c r="LWT1" s="2" t="n"/>
      <c r="LWU1" s="2" t="n"/>
      <c r="LWV1" s="2" t="n"/>
      <c r="LWW1" s="2" t="n"/>
      <c r="LWX1" s="2" t="n"/>
      <c r="LWY1" s="2" t="n"/>
      <c r="LWZ1" s="2" t="n"/>
      <c r="LXA1" s="2" t="n"/>
      <c r="LXB1" s="2" t="n"/>
      <c r="LXC1" s="2" t="n"/>
      <c r="LXD1" s="2" t="n"/>
      <c r="LXE1" s="2" t="n"/>
      <c r="LXF1" s="2" t="n"/>
      <c r="LXG1" s="2" t="n"/>
      <c r="LXH1" s="2" t="n"/>
      <c r="LXI1" s="2" t="n"/>
      <c r="LXJ1" s="2" t="n"/>
      <c r="LXK1" s="2" t="n"/>
      <c r="LXL1" s="2" t="n"/>
      <c r="LXM1" s="2" t="n"/>
      <c r="LXN1" s="2" t="n"/>
      <c r="LXO1" s="2" t="n"/>
      <c r="LXP1" s="2" t="n"/>
      <c r="LXQ1" s="2" t="n"/>
      <c r="LXR1" s="2" t="n"/>
      <c r="LXS1" s="2" t="n"/>
      <c r="LXT1" s="2" t="n"/>
      <c r="LXU1" s="2" t="n"/>
      <c r="LXV1" s="2" t="n"/>
      <c r="LXW1" s="2" t="n"/>
      <c r="LXX1" s="2" t="n"/>
      <c r="LXY1" s="2" t="n"/>
      <c r="LXZ1" s="2" t="n"/>
      <c r="LYA1" s="2" t="n"/>
      <c r="LYB1" s="2" t="n"/>
      <c r="LYC1" s="2" t="n"/>
      <c r="LYD1" s="2" t="n"/>
      <c r="LYE1" s="2" t="n"/>
      <c r="LYF1" s="2" t="n"/>
      <c r="LYG1" s="2" t="n"/>
      <c r="LYH1" s="2" t="n"/>
      <c r="LYI1" s="2" t="n"/>
      <c r="LYJ1" s="2" t="n"/>
      <c r="LYK1" s="2" t="n"/>
      <c r="LYL1" s="2" t="n"/>
      <c r="LYM1" s="2" t="n"/>
      <c r="LYN1" s="2" t="n"/>
      <c r="LYO1" s="2" t="n"/>
      <c r="LYP1" s="2" t="n"/>
      <c r="LYQ1" s="2" t="n"/>
      <c r="LYR1" s="2" t="n"/>
      <c r="LYS1" s="2" t="n"/>
      <c r="LYT1" s="2" t="n"/>
      <c r="LYU1" s="2" t="n"/>
      <c r="LYV1" s="2" t="n"/>
      <c r="LYW1" s="2" t="n"/>
      <c r="LYX1" s="2" t="n"/>
      <c r="LYY1" s="2" t="n"/>
      <c r="LYZ1" s="2" t="n"/>
      <c r="LZA1" s="2" t="n"/>
      <c r="LZB1" s="2" t="n"/>
      <c r="LZC1" s="2" t="n"/>
      <c r="LZD1" s="2" t="n"/>
      <c r="LZE1" s="2" t="n"/>
      <c r="LZF1" s="2" t="n"/>
      <c r="LZG1" s="2" t="n"/>
      <c r="LZH1" s="2" t="n"/>
      <c r="LZI1" s="2" t="n"/>
      <c r="LZJ1" s="2" t="n"/>
      <c r="LZK1" s="2" t="n"/>
      <c r="LZL1" s="2" t="n"/>
      <c r="LZM1" s="2" t="n"/>
      <c r="LZN1" s="2" t="n"/>
      <c r="LZO1" s="2" t="n"/>
      <c r="LZP1" s="2" t="n"/>
      <c r="LZQ1" s="2" t="n"/>
      <c r="LZR1" s="2" t="n"/>
      <c r="LZS1" s="2" t="n"/>
      <c r="LZT1" s="2" t="n"/>
      <c r="LZU1" s="2" t="n"/>
      <c r="LZV1" s="2" t="n"/>
      <c r="LZW1" s="2" t="n"/>
      <c r="LZX1" s="2" t="n"/>
      <c r="LZY1" s="2" t="n"/>
      <c r="LZZ1" s="2" t="n"/>
      <c r="MAA1" s="2" t="n"/>
      <c r="MAB1" s="2" t="n"/>
      <c r="MAC1" s="2" t="n"/>
      <c r="MAD1" s="2" t="n"/>
      <c r="MAE1" s="2" t="n"/>
      <c r="MAF1" s="2" t="n"/>
      <c r="MAG1" s="2" t="n"/>
      <c r="MAH1" s="2" t="n"/>
      <c r="MAI1" s="2" t="n"/>
      <c r="MAJ1" s="2" t="n"/>
      <c r="MAK1" s="2" t="n"/>
      <c r="MAL1" s="2" t="n"/>
      <c r="MAM1" s="2" t="n"/>
      <c r="MAN1" s="2" t="n"/>
      <c r="MAO1" s="2" t="n"/>
      <c r="MAP1" s="2" t="n"/>
      <c r="MAQ1" s="2" t="n"/>
      <c r="MAR1" s="2" t="n"/>
      <c r="MAS1" s="2" t="n"/>
      <c r="MAT1" s="2" t="n"/>
      <c r="MAU1" s="2" t="n"/>
      <c r="MAV1" s="2" t="n"/>
      <c r="MAW1" s="2" t="n"/>
      <c r="MAX1" s="2" t="n"/>
      <c r="MAY1" s="2" t="n"/>
      <c r="MAZ1" s="2" t="n"/>
      <c r="MBA1" s="2" t="n"/>
      <c r="MBB1" s="2" t="n"/>
      <c r="MBC1" s="2" t="n"/>
      <c r="MBD1" s="2" t="n"/>
      <c r="MBE1" s="2" t="n"/>
      <c r="MBF1" s="2" t="n"/>
      <c r="MBG1" s="2" t="n"/>
      <c r="MBH1" s="2" t="n"/>
      <c r="MBI1" s="2" t="n"/>
      <c r="MBJ1" s="2" t="n"/>
      <c r="MBK1" s="2" t="n"/>
      <c r="MBL1" s="2" t="n"/>
      <c r="MBM1" s="2" t="n"/>
      <c r="MBN1" s="2" t="n"/>
      <c r="MBO1" s="2" t="n"/>
      <c r="MBP1" s="2" t="n"/>
      <c r="MBQ1" s="2" t="n"/>
      <c r="MBR1" s="2" t="n"/>
      <c r="MBS1" s="2" t="n"/>
      <c r="MBT1" s="2" t="n"/>
      <c r="MBU1" s="2" t="n"/>
      <c r="MBV1" s="2" t="n"/>
      <c r="MBW1" s="2" t="n"/>
      <c r="MBX1" s="2" t="n"/>
      <c r="MBY1" s="2" t="n"/>
      <c r="MBZ1" s="2" t="n"/>
      <c r="MCA1" s="2" t="n"/>
      <c r="MCB1" s="2" t="n"/>
      <c r="MCC1" s="2" t="n"/>
      <c r="MCD1" s="2" t="n"/>
      <c r="MCE1" s="2" t="n"/>
      <c r="MCF1" s="2" t="n"/>
      <c r="MCG1" s="2" t="n"/>
      <c r="MCH1" s="2" t="n"/>
      <c r="MCI1" s="2" t="n"/>
      <c r="MCJ1" s="2" t="n"/>
      <c r="MCK1" s="2" t="n"/>
      <c r="MCL1" s="2" t="n"/>
      <c r="MCM1" s="2" t="n"/>
      <c r="MCN1" s="2" t="n"/>
      <c r="MCO1" s="2" t="n"/>
      <c r="MCP1" s="2" t="n"/>
      <c r="MCQ1" s="2" t="n"/>
      <c r="MCR1" s="2" t="n"/>
      <c r="MCS1" s="2" t="n"/>
      <c r="MCT1" s="2" t="n"/>
      <c r="MCU1" s="2" t="n"/>
      <c r="MCV1" s="2" t="n"/>
      <c r="MCW1" s="2" t="n"/>
      <c r="MCX1" s="2" t="n"/>
      <c r="MCY1" s="2" t="n"/>
      <c r="MCZ1" s="2" t="n"/>
      <c r="MDA1" s="2" t="n"/>
      <c r="MDB1" s="2" t="n"/>
      <c r="MDC1" s="2" t="n"/>
      <c r="MDD1" s="2" t="n"/>
      <c r="MDE1" s="2" t="n"/>
      <c r="MDF1" s="2" t="n"/>
      <c r="MDG1" s="2" t="n"/>
      <c r="MDH1" s="2" t="n"/>
      <c r="MDI1" s="2" t="n"/>
      <c r="MDJ1" s="2" t="n"/>
      <c r="MDK1" s="2" t="n"/>
      <c r="MDL1" s="2" t="n"/>
      <c r="MDM1" s="2" t="n"/>
      <c r="MDN1" s="2" t="n"/>
      <c r="MDO1" s="2" t="n"/>
      <c r="MDP1" s="2" t="n"/>
      <c r="MDQ1" s="2" t="n"/>
      <c r="MDR1" s="2" t="n"/>
      <c r="MDS1" s="2" t="n"/>
      <c r="MDT1" s="2" t="n"/>
      <c r="MDU1" s="2" t="n"/>
      <c r="MDV1" s="2" t="n"/>
      <c r="MDW1" s="2" t="n"/>
      <c r="MDX1" s="2" t="n"/>
      <c r="MDY1" s="2" t="n"/>
      <c r="MDZ1" s="2" t="n"/>
      <c r="MEA1" s="2" t="n"/>
      <c r="MEB1" s="2" t="n"/>
      <c r="MEC1" s="2" t="n"/>
      <c r="MED1" s="2" t="n"/>
      <c r="MEE1" s="2" t="n"/>
      <c r="MEF1" s="2" t="n"/>
      <c r="MEG1" s="2" t="n"/>
      <c r="MEH1" s="2" t="n"/>
      <c r="MEI1" s="2" t="n"/>
      <c r="MEJ1" s="2" t="n"/>
      <c r="MEK1" s="2" t="n"/>
      <c r="MEL1" s="2" t="n"/>
      <c r="MEM1" s="2" t="n"/>
      <c r="MEN1" s="2" t="n"/>
      <c r="MEO1" s="2" t="n"/>
      <c r="MEP1" s="2" t="n"/>
      <c r="MEQ1" s="2" t="n"/>
      <c r="MER1" s="2" t="n"/>
      <c r="MES1" s="2" t="n"/>
      <c r="MET1" s="2" t="n"/>
      <c r="MEU1" s="2" t="n"/>
      <c r="MEV1" s="2" t="n"/>
      <c r="MEW1" s="2" t="n"/>
      <c r="MEX1" s="2" t="n"/>
      <c r="MEY1" s="2" t="n"/>
      <c r="MEZ1" s="2" t="n"/>
      <c r="MFA1" s="2" t="n"/>
      <c r="MFB1" s="2" t="n"/>
      <c r="MFC1" s="2" t="n"/>
      <c r="MFD1" s="2" t="n"/>
      <c r="MFE1" s="2" t="n"/>
      <c r="MFF1" s="2" t="n"/>
      <c r="MFG1" s="2" t="n"/>
      <c r="MFH1" s="2" t="n"/>
      <c r="MFI1" s="2" t="n"/>
      <c r="MFJ1" s="2" t="n"/>
      <c r="MFK1" s="2" t="n"/>
      <c r="MFL1" s="2" t="n"/>
      <c r="MFM1" s="2" t="n"/>
      <c r="MFN1" s="2" t="n"/>
      <c r="MFO1" s="2" t="n"/>
      <c r="MFP1" s="2" t="n"/>
      <c r="MFQ1" s="2" t="n"/>
      <c r="MFR1" s="2" t="n"/>
      <c r="MFS1" s="2" t="n"/>
      <c r="MFT1" s="2" t="n"/>
      <c r="MFU1" s="2" t="n"/>
      <c r="MFV1" s="2" t="n"/>
      <c r="MFW1" s="2" t="n"/>
      <c r="MFX1" s="2" t="n"/>
      <c r="MFY1" s="2" t="n"/>
      <c r="MFZ1" s="2" t="n"/>
      <c r="MGA1" s="2" t="n"/>
      <c r="MGB1" s="2" t="n"/>
      <c r="MGC1" s="2" t="n"/>
      <c r="MGD1" s="2" t="n"/>
      <c r="MGE1" s="2" t="n"/>
      <c r="MGF1" s="2" t="n"/>
      <c r="MGG1" s="2" t="n"/>
      <c r="MGH1" s="2" t="n"/>
      <c r="MGI1" s="2" t="n"/>
      <c r="MGJ1" s="2" t="n"/>
      <c r="MGK1" s="2" t="n"/>
      <c r="MGL1" s="2" t="n"/>
      <c r="MGM1" s="2" t="n"/>
      <c r="MGN1" s="2" t="n"/>
      <c r="MGO1" s="2" t="n"/>
      <c r="MGP1" s="2" t="n"/>
      <c r="MGQ1" s="2" t="n"/>
      <c r="MGR1" s="2" t="n"/>
      <c r="MGS1" s="2" t="n"/>
      <c r="MGT1" s="2" t="n"/>
      <c r="MGU1" s="2" t="n"/>
      <c r="MGV1" s="2" t="n"/>
      <c r="MGW1" s="2" t="n"/>
      <c r="MGX1" s="2" t="n"/>
      <c r="MGY1" s="2" t="n"/>
      <c r="MGZ1" s="2" t="n"/>
      <c r="MHA1" s="2" t="n"/>
      <c r="MHB1" s="2" t="n"/>
      <c r="MHC1" s="2" t="n"/>
      <c r="MHD1" s="2" t="n"/>
      <c r="MHE1" s="2" t="n"/>
      <c r="MHF1" s="2" t="n"/>
      <c r="MHG1" s="2" t="n"/>
      <c r="MHH1" s="2" t="n"/>
      <c r="MHI1" s="2" t="n"/>
      <c r="MHJ1" s="2" t="n"/>
      <c r="MHK1" s="2" t="n"/>
      <c r="MHL1" s="2" t="n"/>
      <c r="MHM1" s="2" t="n"/>
      <c r="MHN1" s="2" t="n"/>
      <c r="MHO1" s="2" t="n"/>
      <c r="MHP1" s="2" t="n"/>
      <c r="MHQ1" s="2" t="n"/>
      <c r="MHR1" s="2" t="n"/>
      <c r="MHS1" s="2" t="n"/>
      <c r="MHT1" s="2" t="n"/>
      <c r="MHU1" s="2" t="n"/>
      <c r="MHV1" s="2" t="n"/>
      <c r="MHW1" s="2" t="n"/>
      <c r="MHX1" s="2" t="n"/>
      <c r="MHY1" s="2" t="n"/>
      <c r="MHZ1" s="2" t="n"/>
      <c r="MIA1" s="2" t="n"/>
      <c r="MIB1" s="2" t="n"/>
      <c r="MIC1" s="2" t="n"/>
      <c r="MID1" s="2" t="n"/>
      <c r="MIE1" s="2" t="n"/>
      <c r="MIF1" s="2" t="n"/>
      <c r="MIG1" s="2" t="n"/>
      <c r="MIH1" s="2" t="n"/>
      <c r="MII1" s="2" t="n"/>
      <c r="MIJ1" s="2" t="n"/>
      <c r="MIK1" s="2" t="n"/>
      <c r="MIL1" s="2" t="n"/>
      <c r="MIM1" s="2" t="n"/>
      <c r="MIN1" s="2" t="n"/>
      <c r="MIO1" s="2" t="n"/>
      <c r="MIP1" s="2" t="n"/>
      <c r="MIQ1" s="2" t="n"/>
      <c r="MIR1" s="2" t="n"/>
      <c r="MIS1" s="2" t="n"/>
      <c r="MIT1" s="2" t="n"/>
      <c r="MIU1" s="2" t="n"/>
      <c r="MIV1" s="2" t="n"/>
      <c r="MIW1" s="2" t="n"/>
      <c r="MIX1" s="2" t="n"/>
      <c r="MIY1" s="2" t="n"/>
      <c r="MIZ1" s="2" t="n"/>
      <c r="MJA1" s="2" t="n"/>
      <c r="MJB1" s="2" t="n"/>
      <c r="MJC1" s="2" t="n"/>
      <c r="MJD1" s="2" t="n"/>
      <c r="MJE1" s="2" t="n"/>
      <c r="MJF1" s="2" t="n"/>
      <c r="MJG1" s="2" t="n"/>
      <c r="MJH1" s="2" t="n"/>
      <c r="MJI1" s="2" t="n"/>
      <c r="MJJ1" s="2" t="n"/>
      <c r="MJK1" s="2" t="n"/>
      <c r="MJL1" s="2" t="n"/>
      <c r="MJM1" s="2" t="n"/>
      <c r="MJN1" s="2" t="n"/>
      <c r="MJO1" s="2" t="n"/>
      <c r="MJP1" s="2" t="n"/>
      <c r="MJQ1" s="2" t="n"/>
      <c r="MJR1" s="2" t="n"/>
      <c r="MJS1" s="2" t="n"/>
      <c r="MJT1" s="2" t="n"/>
      <c r="MJU1" s="2" t="n"/>
      <c r="MJV1" s="2" t="n"/>
      <c r="MJW1" s="2" t="n"/>
      <c r="MJX1" s="2" t="n"/>
      <c r="MJY1" s="2" t="n"/>
      <c r="MJZ1" s="2" t="n"/>
      <c r="MKA1" s="2" t="n"/>
      <c r="MKB1" s="2" t="n"/>
      <c r="MKC1" s="2" t="n"/>
      <c r="MKD1" s="2" t="n"/>
      <c r="MKE1" s="2" t="n"/>
      <c r="MKF1" s="2" t="n"/>
      <c r="MKG1" s="2" t="n"/>
      <c r="MKH1" s="2" t="n"/>
      <c r="MKI1" s="2" t="n"/>
      <c r="MKJ1" s="2" t="n"/>
      <c r="MKK1" s="2" t="n"/>
      <c r="MKL1" s="2" t="n"/>
      <c r="MKM1" s="2" t="n"/>
      <c r="MKN1" s="2" t="n"/>
      <c r="MKO1" s="2" t="n"/>
      <c r="MKP1" s="2" t="n"/>
      <c r="MKQ1" s="2" t="n"/>
      <c r="MKR1" s="2" t="n"/>
      <c r="MKS1" s="2" t="n"/>
      <c r="MKT1" s="2" t="n"/>
      <c r="MKU1" s="2" t="n"/>
      <c r="MKV1" s="2" t="n"/>
      <c r="MKW1" s="2" t="n"/>
      <c r="MKX1" s="2" t="n"/>
      <c r="MKY1" s="2" t="n"/>
      <c r="MKZ1" s="2" t="n"/>
      <c r="MLA1" s="2" t="n"/>
      <c r="MLB1" s="2" t="n"/>
      <c r="MLC1" s="2" t="n"/>
      <c r="MLD1" s="2" t="n"/>
      <c r="MLE1" s="2" t="n"/>
      <c r="MLF1" s="2" t="n"/>
      <c r="MLG1" s="2" t="n"/>
      <c r="MLH1" s="2" t="n"/>
      <c r="MLI1" s="2" t="n"/>
      <c r="MLJ1" s="2" t="n"/>
      <c r="MLK1" s="2" t="n"/>
      <c r="MLL1" s="2" t="n"/>
      <c r="MLM1" s="2" t="n"/>
      <c r="MLN1" s="2" t="n"/>
      <c r="MLO1" s="2" t="n"/>
      <c r="MLP1" s="2" t="n"/>
      <c r="MLQ1" s="2" t="n"/>
      <c r="MLR1" s="2" t="n"/>
      <c r="MLS1" s="2" t="n"/>
      <c r="MLT1" s="2" t="n"/>
      <c r="MLU1" s="2" t="n"/>
      <c r="MLV1" s="2" t="n"/>
      <c r="MLW1" s="2" t="n"/>
      <c r="MLX1" s="2" t="n"/>
      <c r="MLY1" s="2" t="n"/>
      <c r="MLZ1" s="2" t="n"/>
      <c r="MMA1" s="2" t="n"/>
      <c r="MMB1" s="2" t="n"/>
      <c r="MMC1" s="2" t="n"/>
      <c r="MMD1" s="2" t="n"/>
      <c r="MME1" s="2" t="n"/>
      <c r="MMF1" s="2" t="n"/>
      <c r="MMG1" s="2" t="n"/>
      <c r="MMH1" s="2" t="n"/>
      <c r="MMI1" s="2" t="n"/>
      <c r="MMJ1" s="2" t="n"/>
      <c r="MMK1" s="2" t="n"/>
      <c r="MML1" s="2" t="n"/>
      <c r="MMM1" s="2" t="n"/>
      <c r="MMN1" s="2" t="n"/>
      <c r="MMO1" s="2" t="n"/>
      <c r="MMP1" s="2" t="n"/>
      <c r="MMQ1" s="2" t="n"/>
      <c r="MMR1" s="2" t="n"/>
      <c r="MMS1" s="2" t="n"/>
      <c r="MMT1" s="2" t="n"/>
      <c r="MMU1" s="2" t="n"/>
      <c r="MMV1" s="2" t="n"/>
      <c r="MMW1" s="2" t="n"/>
      <c r="MMX1" s="2" t="n"/>
      <c r="MMY1" s="2" t="n"/>
      <c r="MMZ1" s="2" t="n"/>
      <c r="MNA1" s="2" t="n"/>
      <c r="MNB1" s="2" t="n"/>
      <c r="MNC1" s="2" t="n"/>
      <c r="MND1" s="2" t="n"/>
      <c r="MNE1" s="2" t="n"/>
      <c r="MNF1" s="2" t="n"/>
      <c r="MNG1" s="2" t="n"/>
      <c r="MNH1" s="2" t="n"/>
      <c r="MNI1" s="2" t="n"/>
      <c r="MNJ1" s="2" t="n"/>
      <c r="MNK1" s="2" t="n"/>
      <c r="MNL1" s="2" t="n"/>
      <c r="MNM1" s="2" t="n"/>
      <c r="MNN1" s="2" t="n"/>
      <c r="MNO1" s="2" t="n"/>
      <c r="MNP1" s="2" t="n"/>
      <c r="MNQ1" s="2" t="n"/>
      <c r="MNR1" s="2" t="n"/>
      <c r="MNS1" s="2" t="n"/>
      <c r="MNT1" s="2" t="n"/>
      <c r="MNU1" s="2" t="n"/>
      <c r="MNV1" s="2" t="n"/>
      <c r="MNW1" s="2" t="n"/>
      <c r="MNX1" s="2" t="n"/>
      <c r="MNY1" s="2" t="n"/>
      <c r="MNZ1" s="2" t="n"/>
      <c r="MOA1" s="2" t="n"/>
      <c r="MOB1" s="2" t="n"/>
      <c r="MOC1" s="2" t="n"/>
      <c r="MOD1" s="2" t="n"/>
      <c r="MOE1" s="2" t="n"/>
      <c r="MOF1" s="2" t="n"/>
      <c r="MOG1" s="2" t="n"/>
      <c r="MOH1" s="2" t="n"/>
      <c r="MOI1" s="2" t="n"/>
      <c r="MOJ1" s="2" t="n"/>
      <c r="MOK1" s="2" t="n"/>
      <c r="MOL1" s="2" t="n"/>
      <c r="MOM1" s="2" t="n"/>
      <c r="MON1" s="2" t="n"/>
      <c r="MOO1" s="2" t="n"/>
      <c r="MOP1" s="2" t="n"/>
      <c r="MOQ1" s="2" t="n"/>
      <c r="MOR1" s="2" t="n"/>
      <c r="MOS1" s="2" t="n"/>
      <c r="MOT1" s="2" t="n"/>
      <c r="MOU1" s="2" t="n"/>
      <c r="MOV1" s="2" t="n"/>
      <c r="MOW1" s="2" t="n"/>
      <c r="MOX1" s="2" t="n"/>
      <c r="MOY1" s="2" t="n"/>
      <c r="MOZ1" s="2" t="n"/>
      <c r="MPA1" s="2" t="n"/>
      <c r="MPB1" s="2" t="n"/>
      <c r="MPC1" s="2" t="n"/>
      <c r="MPD1" s="2" t="n"/>
      <c r="MPE1" s="2" t="n"/>
      <c r="MPF1" s="2" t="n"/>
      <c r="MPG1" s="2" t="n"/>
      <c r="MPH1" s="2" t="n"/>
      <c r="MPI1" s="2" t="n"/>
      <c r="MPJ1" s="2" t="n"/>
      <c r="MPK1" s="2" t="n"/>
      <c r="MPL1" s="2" t="n"/>
      <c r="MPM1" s="2" t="n"/>
      <c r="MPN1" s="2" t="n"/>
      <c r="MPO1" s="2" t="n"/>
      <c r="MPP1" s="2" t="n"/>
      <c r="MPQ1" s="2" t="n"/>
      <c r="MPR1" s="2" t="n"/>
      <c r="MPS1" s="2" t="n"/>
      <c r="MPT1" s="2" t="n"/>
      <c r="MPU1" s="2" t="n"/>
      <c r="MPV1" s="2" t="n"/>
      <c r="MPW1" s="2" t="n"/>
      <c r="MPX1" s="2" t="n"/>
      <c r="MPY1" s="2" t="n"/>
      <c r="MPZ1" s="2" t="n"/>
      <c r="MQA1" s="2" t="n"/>
      <c r="MQB1" s="2" t="n"/>
      <c r="MQC1" s="2" t="n"/>
      <c r="MQD1" s="2" t="n"/>
      <c r="MQE1" s="2" t="n"/>
      <c r="MQF1" s="2" t="n"/>
      <c r="MQG1" s="2" t="n"/>
      <c r="MQH1" s="2" t="n"/>
      <c r="MQI1" s="2" t="n"/>
      <c r="MQJ1" s="2" t="n"/>
      <c r="MQK1" s="2" t="n"/>
      <c r="MQL1" s="2" t="n"/>
      <c r="MQM1" s="2" t="n"/>
      <c r="MQN1" s="2" t="n"/>
      <c r="MQO1" s="2" t="n"/>
      <c r="MQP1" s="2" t="n"/>
      <c r="MQQ1" s="2" t="n"/>
      <c r="MQR1" s="2" t="n"/>
      <c r="MQS1" s="2" t="n"/>
      <c r="MQT1" s="2" t="n"/>
      <c r="MQU1" s="2" t="n"/>
      <c r="MQV1" s="2" t="n"/>
      <c r="MQW1" s="2" t="n"/>
      <c r="MQX1" s="2" t="n"/>
      <c r="MQY1" s="2" t="n"/>
      <c r="MQZ1" s="2" t="n"/>
      <c r="MRA1" s="2" t="n"/>
      <c r="MRB1" s="2" t="n"/>
      <c r="MRC1" s="2" t="n"/>
      <c r="MRD1" s="2" t="n"/>
      <c r="MRE1" s="2" t="n"/>
      <c r="MRF1" s="2" t="n"/>
      <c r="MRG1" s="2" t="n"/>
      <c r="MRH1" s="2" t="n"/>
      <c r="MRI1" s="2" t="n"/>
      <c r="MRJ1" s="2" t="n"/>
      <c r="MRK1" s="2" t="n"/>
      <c r="MRL1" s="2" t="n"/>
      <c r="MRM1" s="2" t="n"/>
      <c r="MRN1" s="2" t="n"/>
      <c r="MRO1" s="2" t="n"/>
      <c r="MRP1" s="2" t="n"/>
      <c r="MRQ1" s="2" t="n"/>
      <c r="MRR1" s="2" t="n"/>
      <c r="MRS1" s="2" t="n"/>
      <c r="MRT1" s="2" t="n"/>
      <c r="MRU1" s="2" t="n"/>
      <c r="MRV1" s="2" t="n"/>
      <c r="MRW1" s="2" t="n"/>
      <c r="MRX1" s="2" t="n"/>
      <c r="MRY1" s="2" t="n"/>
      <c r="MRZ1" s="2" t="n"/>
      <c r="MSA1" s="2" t="n"/>
      <c r="MSB1" s="2" t="n"/>
      <c r="MSC1" s="2" t="n"/>
      <c r="MSD1" s="2" t="n"/>
      <c r="MSE1" s="2" t="n"/>
      <c r="MSF1" s="2" t="n"/>
      <c r="MSG1" s="2" t="n"/>
      <c r="MSH1" s="2" t="n"/>
      <c r="MSI1" s="2" t="n"/>
      <c r="MSJ1" s="2" t="n"/>
      <c r="MSK1" s="2" t="n"/>
      <c r="MSL1" s="2" t="n"/>
      <c r="MSM1" s="2" t="n"/>
      <c r="MSN1" s="2" t="n"/>
      <c r="MSO1" s="2" t="n"/>
      <c r="MSP1" s="2" t="n"/>
      <c r="MSQ1" s="2" t="n"/>
      <c r="MSR1" s="2" t="n"/>
      <c r="MSS1" s="2" t="n"/>
      <c r="MST1" s="2" t="n"/>
      <c r="MSU1" s="2" t="n"/>
      <c r="MSV1" s="2" t="n"/>
      <c r="MSW1" s="2" t="n"/>
      <c r="MSX1" s="2" t="n"/>
      <c r="MSY1" s="2" t="n"/>
      <c r="MSZ1" s="2" t="n"/>
      <c r="MTA1" s="2" t="n"/>
      <c r="MTB1" s="2" t="n"/>
      <c r="MTC1" s="2" t="n"/>
      <c r="MTD1" s="2" t="n"/>
      <c r="MTE1" s="2" t="n"/>
      <c r="MTF1" s="2" t="n"/>
      <c r="MTG1" s="2" t="n"/>
      <c r="MTH1" s="2" t="n"/>
      <c r="MTI1" s="2" t="n"/>
      <c r="MTJ1" s="2" t="n"/>
      <c r="MTK1" s="2" t="n"/>
      <c r="MTL1" s="2" t="n"/>
      <c r="MTM1" s="2" t="n"/>
      <c r="MTN1" s="2" t="n"/>
      <c r="MTO1" s="2" t="n"/>
      <c r="MTP1" s="2" t="n"/>
      <c r="MTQ1" s="2" t="n"/>
      <c r="MTR1" s="2" t="n"/>
      <c r="MTS1" s="2" t="n"/>
      <c r="MTT1" s="2" t="n"/>
      <c r="MTU1" s="2" t="n"/>
      <c r="MTV1" s="2" t="n"/>
      <c r="MTW1" s="2" t="n"/>
      <c r="MTX1" s="2" t="n"/>
      <c r="MTY1" s="2" t="n"/>
      <c r="MTZ1" s="2" t="n"/>
      <c r="MUA1" s="2" t="n"/>
      <c r="MUB1" s="2" t="n"/>
      <c r="MUC1" s="2" t="n"/>
      <c r="MUD1" s="2" t="n"/>
      <c r="MUE1" s="2" t="n"/>
      <c r="MUF1" s="2" t="n"/>
      <c r="MUG1" s="2" t="n"/>
      <c r="MUH1" s="2" t="n"/>
      <c r="MUI1" s="2" t="n"/>
      <c r="MUJ1" s="2" t="n"/>
      <c r="MUK1" s="2" t="n"/>
      <c r="MUL1" s="2" t="n"/>
      <c r="MUM1" s="2" t="n"/>
      <c r="MUN1" s="2" t="n"/>
      <c r="MUO1" s="2" t="n"/>
      <c r="MUP1" s="2" t="n"/>
      <c r="MUQ1" s="2" t="n"/>
      <c r="MUR1" s="2" t="n"/>
      <c r="MUS1" s="2" t="n"/>
      <c r="MUT1" s="2" t="n"/>
      <c r="MUU1" s="2" t="n"/>
      <c r="MUV1" s="2" t="n"/>
      <c r="MUW1" s="2" t="n"/>
      <c r="MUX1" s="2" t="n"/>
      <c r="MUY1" s="2" t="n"/>
      <c r="MUZ1" s="2" t="n"/>
      <c r="MVA1" s="2" t="n"/>
      <c r="MVB1" s="2" t="n"/>
      <c r="MVC1" s="2" t="n"/>
      <c r="MVD1" s="2" t="n"/>
      <c r="MVE1" s="2" t="n"/>
      <c r="MVF1" s="2" t="n"/>
      <c r="MVG1" s="2" t="n"/>
      <c r="MVH1" s="2" t="n"/>
      <c r="MVI1" s="2" t="n"/>
      <c r="MVJ1" s="2" t="n"/>
      <c r="MVK1" s="2" t="n"/>
      <c r="MVL1" s="2" t="n"/>
      <c r="MVM1" s="2" t="n"/>
      <c r="MVN1" s="2" t="n"/>
      <c r="MVO1" s="2" t="n"/>
      <c r="MVP1" s="2" t="n"/>
      <c r="MVQ1" s="2" t="n"/>
      <c r="MVR1" s="2" t="n"/>
      <c r="MVS1" s="2" t="n"/>
      <c r="MVT1" s="2" t="n"/>
      <c r="MVU1" s="2" t="n"/>
      <c r="MVV1" s="2" t="n"/>
      <c r="MVW1" s="2" t="n"/>
      <c r="MVX1" s="2" t="n"/>
      <c r="MVY1" s="2" t="n"/>
      <c r="MVZ1" s="2" t="n"/>
      <c r="MWA1" s="2" t="n"/>
      <c r="MWB1" s="2" t="n"/>
      <c r="MWC1" s="2" t="n"/>
      <c r="MWD1" s="2" t="n"/>
      <c r="MWE1" s="2" t="n"/>
      <c r="MWF1" s="2" t="n"/>
      <c r="MWG1" s="2" t="n"/>
      <c r="MWH1" s="2" t="n"/>
      <c r="MWI1" s="2" t="n"/>
      <c r="MWJ1" s="2" t="n"/>
      <c r="MWK1" s="2" t="n"/>
      <c r="MWL1" s="2" t="n"/>
      <c r="MWM1" s="2" t="n"/>
      <c r="MWN1" s="2" t="n"/>
      <c r="MWO1" s="2" t="n"/>
      <c r="MWP1" s="2" t="n"/>
      <c r="MWQ1" s="2" t="n"/>
      <c r="MWR1" s="2" t="n"/>
      <c r="MWS1" s="2" t="n"/>
      <c r="MWT1" s="2" t="n"/>
      <c r="MWU1" s="2" t="n"/>
      <c r="MWV1" s="2" t="n"/>
      <c r="MWW1" s="2" t="n"/>
      <c r="MWX1" s="2" t="n"/>
      <c r="MWY1" s="2" t="n"/>
      <c r="MWZ1" s="2" t="n"/>
      <c r="MXA1" s="2" t="n"/>
      <c r="MXB1" s="2" t="n"/>
      <c r="MXC1" s="2" t="n"/>
      <c r="MXD1" s="2" t="n"/>
      <c r="MXE1" s="2" t="n"/>
      <c r="MXF1" s="2" t="n"/>
      <c r="MXG1" s="2" t="n"/>
      <c r="MXH1" s="2" t="n"/>
      <c r="MXI1" s="2" t="n"/>
      <c r="MXJ1" s="2" t="n"/>
      <c r="MXK1" s="2" t="n"/>
      <c r="MXL1" s="2" t="n"/>
      <c r="MXM1" s="2" t="n"/>
      <c r="MXN1" s="2" t="n"/>
      <c r="MXO1" s="2" t="n"/>
      <c r="MXP1" s="2" t="n"/>
      <c r="MXQ1" s="2" t="n"/>
      <c r="MXR1" s="2" t="n"/>
      <c r="MXS1" s="2" t="n"/>
      <c r="MXT1" s="2" t="n"/>
      <c r="MXU1" s="2" t="n"/>
      <c r="MXV1" s="2" t="n"/>
      <c r="MXW1" s="2" t="n"/>
      <c r="MXX1" s="2" t="n"/>
      <c r="MXY1" s="2" t="n"/>
      <c r="MXZ1" s="2" t="n"/>
      <c r="MYA1" s="2" t="n"/>
      <c r="MYB1" s="2" t="n"/>
      <c r="MYC1" s="2" t="n"/>
      <c r="MYD1" s="2" t="n"/>
      <c r="MYE1" s="2" t="n"/>
      <c r="MYF1" s="2" t="n"/>
      <c r="MYG1" s="2" t="n"/>
      <c r="MYH1" s="2" t="n"/>
      <c r="MYI1" s="2" t="n"/>
      <c r="MYJ1" s="2" t="n"/>
      <c r="MYK1" s="2" t="n"/>
      <c r="MYL1" s="2" t="n"/>
      <c r="MYM1" s="2" t="n"/>
      <c r="MYN1" s="2" t="n"/>
      <c r="MYO1" s="2" t="n"/>
      <c r="MYP1" s="2" t="n"/>
      <c r="MYQ1" s="2" t="n"/>
      <c r="MYR1" s="2" t="n"/>
      <c r="MYS1" s="2" t="n"/>
      <c r="MYT1" s="2" t="n"/>
      <c r="MYU1" s="2" t="n"/>
      <c r="MYV1" s="2" t="n"/>
      <c r="MYW1" s="2" t="n"/>
      <c r="MYX1" s="2" t="n"/>
      <c r="MYY1" s="2" t="n"/>
      <c r="MYZ1" s="2" t="n"/>
      <c r="MZA1" s="2" t="n"/>
      <c r="MZB1" s="2" t="n"/>
      <c r="MZC1" s="2" t="n"/>
      <c r="MZD1" s="2" t="n"/>
      <c r="MZE1" s="2" t="n"/>
      <c r="MZF1" s="2" t="n"/>
      <c r="MZG1" s="2" t="n"/>
      <c r="MZH1" s="2" t="n"/>
      <c r="MZI1" s="2" t="n"/>
      <c r="MZJ1" s="2" t="n"/>
      <c r="MZK1" s="2" t="n"/>
      <c r="MZL1" s="2" t="n"/>
      <c r="MZM1" s="2" t="n"/>
      <c r="MZN1" s="2" t="n"/>
      <c r="MZO1" s="2" t="n"/>
      <c r="MZP1" s="2" t="n"/>
      <c r="MZQ1" s="2" t="n"/>
      <c r="MZR1" s="2" t="n"/>
      <c r="MZS1" s="2" t="n"/>
      <c r="MZT1" s="2" t="n"/>
      <c r="MZU1" s="2" t="n"/>
      <c r="MZV1" s="2" t="n"/>
      <c r="MZW1" s="2" t="n"/>
      <c r="MZX1" s="2" t="n"/>
      <c r="MZY1" s="2" t="n"/>
      <c r="MZZ1" s="2" t="n"/>
      <c r="NAA1" s="2" t="n"/>
      <c r="NAB1" s="2" t="n"/>
      <c r="NAC1" s="2" t="n"/>
      <c r="NAD1" s="2" t="n"/>
      <c r="NAE1" s="2" t="n"/>
      <c r="NAF1" s="2" t="n"/>
      <c r="NAG1" s="2" t="n"/>
      <c r="NAH1" s="2" t="n"/>
      <c r="NAI1" s="2" t="n"/>
      <c r="NAJ1" s="2" t="n"/>
      <c r="NAK1" s="2" t="n"/>
      <c r="NAL1" s="2" t="n"/>
      <c r="NAM1" s="2" t="n"/>
      <c r="NAN1" s="2" t="n"/>
      <c r="NAO1" s="2" t="n"/>
      <c r="NAP1" s="2" t="n"/>
      <c r="NAQ1" s="2" t="n"/>
      <c r="NAR1" s="2" t="n"/>
      <c r="NAS1" s="2" t="n"/>
      <c r="NAT1" s="2" t="n"/>
      <c r="NAU1" s="2" t="n"/>
      <c r="NAV1" s="2" t="n"/>
      <c r="NAW1" s="2" t="n"/>
      <c r="NAX1" s="2" t="n"/>
      <c r="NAY1" s="2" t="n"/>
      <c r="NAZ1" s="2" t="n"/>
      <c r="NBA1" s="2" t="n"/>
      <c r="NBB1" s="2" t="n"/>
      <c r="NBC1" s="2" t="n"/>
      <c r="NBD1" s="2" t="n"/>
      <c r="NBE1" s="2" t="n"/>
      <c r="NBF1" s="2" t="n"/>
      <c r="NBG1" s="2" t="n"/>
      <c r="NBH1" s="2" t="n"/>
      <c r="NBI1" s="2" t="n"/>
      <c r="NBJ1" s="2" t="n"/>
      <c r="NBK1" s="2" t="n"/>
      <c r="NBL1" s="2" t="n"/>
      <c r="NBM1" s="2" t="n"/>
      <c r="NBN1" s="2" t="n"/>
      <c r="NBO1" s="2" t="n"/>
      <c r="NBP1" s="2" t="n"/>
      <c r="NBQ1" s="2" t="n"/>
      <c r="NBR1" s="2" t="n"/>
      <c r="NBS1" s="2" t="n"/>
      <c r="NBT1" s="2" t="n"/>
      <c r="NBU1" s="2" t="n"/>
      <c r="NBV1" s="2" t="n"/>
      <c r="NBW1" s="2" t="n"/>
      <c r="NBX1" s="2" t="n"/>
      <c r="NBY1" s="2" t="n"/>
      <c r="NBZ1" s="2" t="n"/>
      <c r="NCA1" s="2" t="n"/>
      <c r="NCB1" s="2" t="n"/>
      <c r="NCC1" s="2" t="n"/>
      <c r="NCD1" s="2" t="n"/>
      <c r="NCE1" s="2" t="n"/>
      <c r="NCF1" s="2" t="n"/>
      <c r="NCG1" s="2" t="n"/>
      <c r="NCH1" s="2" t="n"/>
      <c r="NCI1" s="2" t="n"/>
      <c r="NCJ1" s="2" t="n"/>
      <c r="NCK1" s="2" t="n"/>
      <c r="NCL1" s="2" t="n"/>
      <c r="NCM1" s="2" t="n"/>
      <c r="NCN1" s="2" t="n"/>
      <c r="NCO1" s="2" t="n"/>
      <c r="NCP1" s="2" t="n"/>
      <c r="NCQ1" s="2" t="n"/>
      <c r="NCR1" s="2" t="n"/>
      <c r="NCS1" s="2" t="n"/>
      <c r="NCT1" s="2" t="n"/>
      <c r="NCU1" s="2" t="n"/>
      <c r="NCV1" s="2" t="n"/>
      <c r="NCW1" s="2" t="n"/>
      <c r="NCX1" s="2" t="n"/>
      <c r="NCY1" s="2" t="n"/>
      <c r="NCZ1" s="2" t="n"/>
      <c r="NDA1" s="2" t="n"/>
      <c r="NDB1" s="2" t="n"/>
      <c r="NDC1" s="2" t="n"/>
      <c r="NDD1" s="2" t="n"/>
      <c r="NDE1" s="2" t="n"/>
      <c r="NDF1" s="2" t="n"/>
      <c r="NDG1" s="2" t="n"/>
      <c r="NDH1" s="2" t="n"/>
      <c r="NDI1" s="2" t="n"/>
      <c r="NDJ1" s="2" t="n"/>
      <c r="NDK1" s="2" t="n"/>
      <c r="NDL1" s="2" t="n"/>
      <c r="NDM1" s="2" t="n"/>
      <c r="NDN1" s="2" t="n"/>
      <c r="NDO1" s="2" t="n"/>
      <c r="NDP1" s="2" t="n"/>
      <c r="NDQ1" s="2" t="n"/>
      <c r="NDR1" s="2" t="n"/>
      <c r="NDS1" s="2" t="n"/>
      <c r="NDT1" s="2" t="n"/>
      <c r="NDU1" s="2" t="n"/>
      <c r="NDV1" s="2" t="n"/>
      <c r="NDW1" s="2" t="n"/>
      <c r="NDX1" s="2" t="n"/>
      <c r="NDY1" s="2" t="n"/>
      <c r="NDZ1" s="2" t="n"/>
      <c r="NEA1" s="2" t="n"/>
      <c r="NEB1" s="2" t="n"/>
      <c r="NEC1" s="2" t="n"/>
      <c r="NED1" s="2" t="n"/>
      <c r="NEE1" s="2" t="n"/>
      <c r="NEF1" s="2" t="n"/>
      <c r="NEG1" s="2" t="n"/>
      <c r="NEH1" s="2" t="n"/>
      <c r="NEI1" s="2" t="n"/>
      <c r="NEJ1" s="2" t="n"/>
      <c r="NEK1" s="2" t="n"/>
      <c r="NEL1" s="2" t="n"/>
      <c r="NEM1" s="2" t="n"/>
      <c r="NEN1" s="2" t="n"/>
      <c r="NEO1" s="2" t="n"/>
      <c r="NEP1" s="2" t="n"/>
      <c r="NEQ1" s="2" t="n"/>
      <c r="NER1" s="2" t="n"/>
      <c r="NES1" s="2" t="n"/>
      <c r="NET1" s="2" t="n"/>
      <c r="NEU1" s="2" t="n"/>
      <c r="NEV1" s="2" t="n"/>
      <c r="NEW1" s="2" t="n"/>
      <c r="NEX1" s="2" t="n"/>
      <c r="NEY1" s="2" t="n"/>
      <c r="NEZ1" s="2" t="n"/>
      <c r="NFA1" s="2" t="n"/>
      <c r="NFB1" s="2" t="n"/>
      <c r="NFC1" s="2" t="n"/>
      <c r="NFD1" s="2" t="n"/>
      <c r="NFE1" s="2" t="n"/>
      <c r="NFF1" s="2" t="n"/>
      <c r="NFG1" s="2" t="n"/>
      <c r="NFH1" s="2" t="n"/>
      <c r="NFI1" s="2" t="n"/>
      <c r="NFJ1" s="2" t="n"/>
      <c r="NFK1" s="2" t="n"/>
      <c r="NFL1" s="2" t="n"/>
      <c r="NFM1" s="2" t="n"/>
      <c r="NFN1" s="2" t="n"/>
      <c r="NFO1" s="2" t="n"/>
      <c r="NFP1" s="2" t="n"/>
      <c r="NFQ1" s="2" t="n"/>
      <c r="NFR1" s="2" t="n"/>
      <c r="NFS1" s="2" t="n"/>
      <c r="NFT1" s="2" t="n"/>
      <c r="NFU1" s="2" t="n"/>
      <c r="NFV1" s="2" t="n"/>
      <c r="NFW1" s="2" t="n"/>
      <c r="NFX1" s="2" t="n"/>
      <c r="NFY1" s="2" t="n"/>
      <c r="NFZ1" s="2" t="n"/>
      <c r="NGA1" s="2" t="n"/>
      <c r="NGB1" s="2" t="n"/>
      <c r="NGC1" s="2" t="n"/>
      <c r="NGD1" s="2" t="n"/>
      <c r="NGE1" s="2" t="n"/>
      <c r="NGF1" s="2" t="n"/>
      <c r="NGG1" s="2" t="n"/>
      <c r="NGH1" s="2" t="n"/>
      <c r="NGI1" s="2" t="n"/>
      <c r="NGJ1" s="2" t="n"/>
      <c r="NGK1" s="2" t="n"/>
      <c r="NGL1" s="2" t="n"/>
      <c r="NGM1" s="2" t="n"/>
      <c r="NGN1" s="2" t="n"/>
      <c r="NGO1" s="2" t="n"/>
      <c r="NGP1" s="2" t="n"/>
      <c r="NGQ1" s="2" t="n"/>
      <c r="NGR1" s="2" t="n"/>
      <c r="NGS1" s="2" t="n"/>
      <c r="NGT1" s="2" t="n"/>
      <c r="NGU1" s="2" t="n"/>
      <c r="NGV1" s="2" t="n"/>
      <c r="NGW1" s="2" t="n"/>
      <c r="NGX1" s="2" t="n"/>
      <c r="NGY1" s="2" t="n"/>
      <c r="NGZ1" s="2" t="n"/>
      <c r="NHA1" s="2" t="n"/>
      <c r="NHB1" s="2" t="n"/>
      <c r="NHC1" s="2" t="n"/>
      <c r="NHD1" s="2" t="n"/>
      <c r="NHE1" s="2" t="n"/>
      <c r="NHF1" s="2" t="n"/>
      <c r="NHG1" s="2" t="n"/>
      <c r="NHH1" s="2" t="n"/>
      <c r="NHI1" s="2" t="n"/>
      <c r="NHJ1" s="2" t="n"/>
      <c r="NHK1" s="2" t="n"/>
      <c r="NHL1" s="2" t="n"/>
      <c r="NHM1" s="2" t="n"/>
      <c r="NHN1" s="2" t="n"/>
      <c r="NHO1" s="2" t="n"/>
      <c r="NHP1" s="2" t="n"/>
      <c r="NHQ1" s="2" t="n"/>
      <c r="NHR1" s="2" t="n"/>
      <c r="NHS1" s="2" t="n"/>
      <c r="NHT1" s="2" t="n"/>
      <c r="NHU1" s="2" t="n"/>
      <c r="NHV1" s="2" t="n"/>
      <c r="NHW1" s="2" t="n"/>
      <c r="NHX1" s="2" t="n"/>
      <c r="NHY1" s="2" t="n"/>
      <c r="NHZ1" s="2" t="n"/>
      <c r="NIA1" s="2" t="n"/>
      <c r="NIB1" s="2" t="n"/>
      <c r="NIC1" s="2" t="n"/>
      <c r="NID1" s="2" t="n"/>
      <c r="NIE1" s="2" t="n"/>
      <c r="NIF1" s="2" t="n"/>
      <c r="NIG1" s="2" t="n"/>
      <c r="NIH1" s="2" t="n"/>
      <c r="NII1" s="2" t="n"/>
      <c r="NIJ1" s="2" t="n"/>
      <c r="NIK1" s="2" t="n"/>
      <c r="NIL1" s="2" t="n"/>
      <c r="NIM1" s="2" t="n"/>
      <c r="NIN1" s="2" t="n"/>
      <c r="NIO1" s="2" t="n"/>
      <c r="NIP1" s="2" t="n"/>
      <c r="NIQ1" s="2" t="n"/>
      <c r="NIR1" s="2" t="n"/>
      <c r="NIS1" s="2" t="n"/>
      <c r="NIT1" s="2" t="n"/>
      <c r="NIU1" s="2" t="n"/>
      <c r="NIV1" s="2" t="n"/>
      <c r="NIW1" s="2" t="n"/>
      <c r="NIX1" s="2" t="n"/>
      <c r="NIY1" s="2" t="n"/>
      <c r="NIZ1" s="2" t="n"/>
      <c r="NJA1" s="2" t="n"/>
      <c r="NJB1" s="2" t="n"/>
      <c r="NJC1" s="2" t="n"/>
      <c r="NJD1" s="2" t="n"/>
      <c r="NJE1" s="2" t="n"/>
      <c r="NJF1" s="2" t="n"/>
      <c r="NJG1" s="2" t="n"/>
      <c r="NJH1" s="2" t="n"/>
      <c r="NJI1" s="2" t="n"/>
      <c r="NJJ1" s="2" t="n"/>
      <c r="NJK1" s="2" t="n"/>
      <c r="NJL1" s="2" t="n"/>
      <c r="NJM1" s="2" t="n"/>
      <c r="NJN1" s="2" t="n"/>
      <c r="NJO1" s="2" t="n"/>
      <c r="NJP1" s="2" t="n"/>
      <c r="NJQ1" s="2" t="n"/>
      <c r="NJR1" s="2" t="n"/>
      <c r="NJS1" s="2" t="n"/>
      <c r="NJT1" s="2" t="n"/>
      <c r="NJU1" s="2" t="n"/>
      <c r="NJV1" s="2" t="n"/>
      <c r="NJW1" s="2" t="n"/>
      <c r="NJX1" s="2" t="n"/>
      <c r="NJY1" s="2" t="n"/>
      <c r="NJZ1" s="2" t="n"/>
      <c r="NKA1" s="2" t="n"/>
      <c r="NKB1" s="2" t="n"/>
      <c r="NKC1" s="2" t="n"/>
      <c r="NKD1" s="2" t="n"/>
      <c r="NKE1" s="2" t="n"/>
      <c r="NKF1" s="2" t="n"/>
      <c r="NKG1" s="2" t="n"/>
      <c r="NKH1" s="2" t="n"/>
      <c r="NKI1" s="2" t="n"/>
      <c r="NKJ1" s="2" t="n"/>
      <c r="NKK1" s="2" t="n"/>
      <c r="NKL1" s="2" t="n"/>
      <c r="NKM1" s="2" t="n"/>
      <c r="NKN1" s="2" t="n"/>
      <c r="NKO1" s="2" t="n"/>
      <c r="NKP1" s="2" t="n"/>
      <c r="NKQ1" s="2" t="n"/>
      <c r="NKR1" s="2" t="n"/>
      <c r="NKS1" s="2" t="n"/>
      <c r="NKT1" s="2" t="n"/>
      <c r="NKU1" s="2" t="n"/>
      <c r="NKV1" s="2" t="n"/>
      <c r="NKW1" s="2" t="n"/>
      <c r="NKX1" s="2" t="n"/>
      <c r="NKY1" s="2" t="n"/>
      <c r="NKZ1" s="2" t="n"/>
      <c r="NLA1" s="2" t="n"/>
      <c r="NLB1" s="2" t="n"/>
      <c r="NLC1" s="2" t="n"/>
      <c r="NLD1" s="2" t="n"/>
      <c r="NLE1" s="2" t="n"/>
      <c r="NLF1" s="2" t="n"/>
      <c r="NLG1" s="2" t="n"/>
      <c r="NLH1" s="2" t="n"/>
      <c r="NLI1" s="2" t="n"/>
      <c r="NLJ1" s="2" t="n"/>
      <c r="NLK1" s="2" t="n"/>
      <c r="NLL1" s="2" t="n"/>
      <c r="NLM1" s="2" t="n"/>
      <c r="NLN1" s="2" t="n"/>
      <c r="NLO1" s="2" t="n"/>
      <c r="NLP1" s="2" t="n"/>
      <c r="NLQ1" s="2" t="n"/>
      <c r="NLR1" s="2" t="n"/>
      <c r="NLS1" s="2" t="n"/>
      <c r="NLT1" s="2" t="n"/>
      <c r="NLU1" s="2" t="n"/>
      <c r="NLV1" s="2" t="n"/>
      <c r="NLW1" s="2" t="n"/>
      <c r="NLX1" s="2" t="n"/>
      <c r="NLY1" s="2" t="n"/>
      <c r="NLZ1" s="2" t="n"/>
      <c r="NMA1" s="2" t="n"/>
      <c r="NMB1" s="2" t="n"/>
      <c r="NMC1" s="2" t="n"/>
      <c r="NMD1" s="2" t="n"/>
      <c r="NME1" s="2" t="n"/>
      <c r="NMF1" s="2" t="n"/>
      <c r="NMG1" s="2" t="n"/>
      <c r="NMH1" s="2" t="n"/>
      <c r="NMI1" s="2" t="n"/>
      <c r="NMJ1" s="2" t="n"/>
      <c r="NMK1" s="2" t="n"/>
      <c r="NML1" s="2" t="n"/>
      <c r="NMM1" s="2" t="n"/>
      <c r="NMN1" s="2" t="n"/>
      <c r="NMO1" s="2" t="n"/>
      <c r="NMP1" s="2" t="n"/>
      <c r="NMQ1" s="2" t="n"/>
      <c r="NMR1" s="2" t="n"/>
      <c r="NMS1" s="2" t="n"/>
      <c r="NMT1" s="2" t="n"/>
      <c r="NMU1" s="2" t="n"/>
      <c r="NMV1" s="2" t="n"/>
      <c r="NMW1" s="2" t="n"/>
      <c r="NMX1" s="2" t="n"/>
      <c r="NMY1" s="2" t="n"/>
      <c r="NMZ1" s="2" t="n"/>
      <c r="NNA1" s="2" t="n"/>
      <c r="NNB1" s="2" t="n"/>
      <c r="NNC1" s="2" t="n"/>
      <c r="NND1" s="2" t="n"/>
      <c r="NNE1" s="2" t="n"/>
      <c r="NNF1" s="2" t="n"/>
      <c r="NNG1" s="2" t="n"/>
      <c r="NNH1" s="2" t="n"/>
      <c r="NNI1" s="2" t="n"/>
      <c r="NNJ1" s="2" t="n"/>
      <c r="NNK1" s="2" t="n"/>
      <c r="NNL1" s="2" t="n"/>
      <c r="NNM1" s="2" t="n"/>
      <c r="NNN1" s="2" t="n"/>
      <c r="NNO1" s="2" t="n"/>
      <c r="NNP1" s="2" t="n"/>
      <c r="NNQ1" s="2" t="n"/>
      <c r="NNR1" s="2" t="n"/>
      <c r="NNS1" s="2" t="n"/>
      <c r="NNT1" s="2" t="n"/>
      <c r="NNU1" s="2" t="n"/>
      <c r="NNV1" s="2" t="n"/>
      <c r="NNW1" s="2" t="n"/>
      <c r="NNX1" s="2" t="n"/>
      <c r="NNY1" s="2" t="n"/>
      <c r="NNZ1" s="2" t="n"/>
      <c r="NOA1" s="2" t="n"/>
      <c r="NOB1" s="2" t="n"/>
      <c r="NOC1" s="2" t="n"/>
      <c r="NOD1" s="2" t="n"/>
      <c r="NOE1" s="2" t="n"/>
      <c r="NOF1" s="2" t="n"/>
      <c r="NOG1" s="2" t="n"/>
      <c r="NOH1" s="2" t="n"/>
      <c r="NOI1" s="2" t="n"/>
      <c r="NOJ1" s="2" t="n"/>
      <c r="NOK1" s="2" t="n"/>
      <c r="NOL1" s="2" t="n"/>
      <c r="NOM1" s="2" t="n"/>
      <c r="NON1" s="2" t="n"/>
      <c r="NOO1" s="2" t="n"/>
      <c r="NOP1" s="2" t="n"/>
      <c r="NOQ1" s="2" t="n"/>
      <c r="NOR1" s="2" t="n"/>
      <c r="NOS1" s="2" t="n"/>
      <c r="NOT1" s="2" t="n"/>
      <c r="NOU1" s="2" t="n"/>
      <c r="NOV1" s="2" t="n"/>
      <c r="NOW1" s="2" t="n"/>
      <c r="NOX1" s="2" t="n"/>
      <c r="NOY1" s="2" t="n"/>
      <c r="NOZ1" s="2" t="n"/>
      <c r="NPA1" s="2" t="n"/>
      <c r="NPB1" s="2" t="n"/>
      <c r="NPC1" s="2" t="n"/>
      <c r="NPD1" s="2" t="n"/>
      <c r="NPE1" s="2" t="n"/>
      <c r="NPF1" s="2" t="n"/>
      <c r="NPG1" s="2" t="n"/>
      <c r="NPH1" s="2" t="n"/>
      <c r="NPI1" s="2" t="n"/>
      <c r="NPJ1" s="2" t="n"/>
      <c r="NPK1" s="2" t="n"/>
      <c r="NPL1" s="2" t="n"/>
      <c r="NPM1" s="2" t="n"/>
      <c r="NPN1" s="2" t="n"/>
      <c r="NPO1" s="2" t="n"/>
      <c r="NPP1" s="2" t="n"/>
      <c r="NPQ1" s="2" t="n"/>
      <c r="NPR1" s="2" t="n"/>
      <c r="NPS1" s="2" t="n"/>
      <c r="NPT1" s="2" t="n"/>
      <c r="NPU1" s="2" t="n"/>
      <c r="NPV1" s="2" t="n"/>
      <c r="NPW1" s="2" t="n"/>
      <c r="NPX1" s="2" t="n"/>
      <c r="NPY1" s="2" t="n"/>
      <c r="NPZ1" s="2" t="n"/>
      <c r="NQA1" s="2" t="n"/>
      <c r="NQB1" s="2" t="n"/>
      <c r="NQC1" s="2" t="n"/>
      <c r="NQD1" s="2" t="n"/>
      <c r="NQE1" s="2" t="n"/>
      <c r="NQF1" s="2" t="n"/>
      <c r="NQG1" s="2" t="n"/>
      <c r="NQH1" s="2" t="n"/>
      <c r="NQI1" s="2" t="n"/>
      <c r="NQJ1" s="2" t="n"/>
      <c r="NQK1" s="2" t="n"/>
      <c r="NQL1" s="2" t="n"/>
      <c r="NQM1" s="2" t="n"/>
      <c r="NQN1" s="2" t="n"/>
      <c r="NQO1" s="2" t="n"/>
      <c r="NQP1" s="2" t="n"/>
      <c r="NQQ1" s="2" t="n"/>
      <c r="NQR1" s="2" t="n"/>
      <c r="NQS1" s="2" t="n"/>
      <c r="NQT1" s="2" t="n"/>
      <c r="NQU1" s="2" t="n"/>
      <c r="NQV1" s="2" t="n"/>
      <c r="NQW1" s="2" t="n"/>
      <c r="NQX1" s="2" t="n"/>
      <c r="NQY1" s="2" t="n"/>
      <c r="NQZ1" s="2" t="n"/>
      <c r="NRA1" s="2" t="n"/>
      <c r="NRB1" s="2" t="n"/>
      <c r="NRC1" s="2" t="n"/>
      <c r="NRD1" s="2" t="n"/>
      <c r="NRE1" s="2" t="n"/>
      <c r="NRF1" s="2" t="n"/>
      <c r="NRG1" s="2" t="n"/>
      <c r="NRH1" s="2" t="n"/>
      <c r="NRI1" s="2" t="n"/>
      <c r="NRJ1" s="2" t="n"/>
      <c r="NRK1" s="2" t="n"/>
      <c r="NRL1" s="2" t="n"/>
      <c r="NRM1" s="2" t="n"/>
      <c r="NRN1" s="2" t="n"/>
      <c r="NRO1" s="2" t="n"/>
      <c r="NRP1" s="2" t="n"/>
      <c r="NRQ1" s="2" t="n"/>
      <c r="NRR1" s="2" t="n"/>
      <c r="NRS1" s="2" t="n"/>
      <c r="NRT1" s="2" t="n"/>
      <c r="NRU1" s="2" t="n"/>
      <c r="NRV1" s="2" t="n"/>
      <c r="NRW1" s="2" t="n"/>
      <c r="NRX1" s="2" t="n"/>
      <c r="NRY1" s="2" t="n"/>
      <c r="NRZ1" s="2" t="n"/>
      <c r="NSA1" s="2" t="n"/>
      <c r="NSB1" s="2" t="n"/>
      <c r="NSC1" s="2" t="n"/>
      <c r="NSD1" s="2" t="n"/>
      <c r="NSE1" s="2" t="n"/>
      <c r="NSF1" s="2" t="n"/>
      <c r="NSG1" s="2" t="n"/>
      <c r="NSH1" s="2" t="n"/>
      <c r="NSI1" s="2" t="n"/>
      <c r="NSJ1" s="2" t="n"/>
      <c r="NSK1" s="2" t="n"/>
      <c r="NSL1" s="2" t="n"/>
      <c r="NSM1" s="2" t="n"/>
      <c r="NSN1" s="2" t="n"/>
      <c r="NSO1" s="2" t="n"/>
      <c r="NSP1" s="2" t="n"/>
      <c r="NSQ1" s="2" t="n"/>
      <c r="NSR1" s="2" t="n"/>
      <c r="NSS1" s="2" t="n"/>
      <c r="NST1" s="2" t="n"/>
      <c r="NSU1" s="2" t="n"/>
      <c r="NSV1" s="2" t="n"/>
      <c r="NSW1" s="2" t="n"/>
      <c r="NSX1" s="2" t="n"/>
      <c r="NSY1" s="2" t="n"/>
      <c r="NSZ1" s="2" t="n"/>
      <c r="NTA1" s="2" t="n"/>
      <c r="NTB1" s="2" t="n"/>
      <c r="NTC1" s="2" t="n"/>
      <c r="NTD1" s="2" t="n"/>
      <c r="NTE1" s="2" t="n"/>
      <c r="NTF1" s="2" t="n"/>
      <c r="NTG1" s="2" t="n"/>
      <c r="NTH1" s="2" t="n"/>
      <c r="NTI1" s="2" t="n"/>
      <c r="NTJ1" s="2" t="n"/>
      <c r="NTK1" s="2" t="n"/>
      <c r="NTL1" s="2" t="n"/>
      <c r="NTM1" s="2" t="n"/>
      <c r="NTN1" s="2" t="n"/>
      <c r="NTO1" s="2" t="n"/>
      <c r="NTP1" s="2" t="n"/>
      <c r="NTQ1" s="2" t="n"/>
      <c r="NTR1" s="2" t="n"/>
      <c r="NTS1" s="2" t="n"/>
      <c r="NTT1" s="2" t="n"/>
      <c r="NTU1" s="2" t="n"/>
      <c r="NTV1" s="2" t="n"/>
      <c r="NTW1" s="2" t="n"/>
      <c r="NTX1" s="2" t="n"/>
      <c r="NTY1" s="2" t="n"/>
      <c r="NTZ1" s="2" t="n"/>
      <c r="NUA1" s="2" t="n"/>
      <c r="NUB1" s="2" t="n"/>
      <c r="NUC1" s="2" t="n"/>
      <c r="NUD1" s="2" t="n"/>
      <c r="NUE1" s="2" t="n"/>
      <c r="NUF1" s="2" t="n"/>
      <c r="NUG1" s="2" t="n"/>
      <c r="NUH1" s="2" t="n"/>
      <c r="NUI1" s="2" t="n"/>
      <c r="NUJ1" s="2" t="n"/>
      <c r="NUK1" s="2" t="n"/>
      <c r="NUL1" s="2" t="n"/>
      <c r="NUM1" s="2" t="n"/>
      <c r="NUN1" s="2" t="n"/>
      <c r="NUO1" s="2" t="n"/>
      <c r="NUP1" s="2" t="n"/>
      <c r="NUQ1" s="2" t="n"/>
      <c r="NUR1" s="2" t="n"/>
      <c r="NUS1" s="2" t="n"/>
      <c r="NUT1" s="2" t="n"/>
      <c r="NUU1" s="2" t="n"/>
      <c r="NUV1" s="2" t="n"/>
      <c r="NUW1" s="2" t="n"/>
      <c r="NUX1" s="2" t="n"/>
      <c r="NUY1" s="2" t="n"/>
      <c r="NUZ1" s="2" t="n"/>
      <c r="NVA1" s="2" t="n"/>
      <c r="NVB1" s="2" t="n"/>
      <c r="NVC1" s="2" t="n"/>
      <c r="NVD1" s="2" t="n"/>
      <c r="NVE1" s="2" t="n"/>
      <c r="NVF1" s="2" t="n"/>
      <c r="NVG1" s="2" t="n"/>
      <c r="NVH1" s="2" t="n"/>
      <c r="NVI1" s="2" t="n"/>
      <c r="NVJ1" s="2" t="n"/>
      <c r="NVK1" s="2" t="n"/>
      <c r="NVL1" s="2" t="n"/>
      <c r="NVM1" s="2" t="n"/>
      <c r="NVN1" s="2" t="n"/>
      <c r="NVO1" s="2" t="n"/>
      <c r="NVP1" s="2" t="n"/>
      <c r="NVQ1" s="2" t="n"/>
      <c r="NVR1" s="2" t="n"/>
      <c r="NVS1" s="2" t="n"/>
      <c r="NVT1" s="2" t="n"/>
      <c r="NVU1" s="2" t="n"/>
      <c r="NVV1" s="2" t="n"/>
      <c r="NVW1" s="2" t="n"/>
      <c r="NVX1" s="2" t="n"/>
      <c r="NVY1" s="2" t="n"/>
      <c r="NVZ1" s="2" t="n"/>
      <c r="NWA1" s="2" t="n"/>
      <c r="NWB1" s="2" t="n"/>
      <c r="NWC1" s="2" t="n"/>
      <c r="NWD1" s="2" t="n"/>
      <c r="NWE1" s="2" t="n"/>
      <c r="NWF1" s="2" t="n"/>
      <c r="NWG1" s="2" t="n"/>
      <c r="NWH1" s="2" t="n"/>
      <c r="NWI1" s="2" t="n"/>
      <c r="NWJ1" s="2" t="n"/>
      <c r="NWK1" s="2" t="n"/>
      <c r="NWL1" s="2" t="n"/>
      <c r="NWM1" s="2" t="n"/>
      <c r="NWN1" s="2" t="n"/>
      <c r="NWO1" s="2" t="n"/>
      <c r="NWP1" s="2" t="n"/>
      <c r="NWQ1" s="2" t="n"/>
      <c r="NWR1" s="2" t="n"/>
      <c r="NWS1" s="2" t="n"/>
      <c r="NWT1" s="2" t="n"/>
      <c r="NWU1" s="2" t="n"/>
      <c r="NWV1" s="2" t="n"/>
      <c r="NWW1" s="2" t="n"/>
      <c r="NWX1" s="2" t="n"/>
      <c r="NWY1" s="2" t="n"/>
      <c r="NWZ1" s="2" t="n"/>
      <c r="NXA1" s="2" t="n"/>
      <c r="NXB1" s="2" t="n"/>
      <c r="NXC1" s="2" t="n"/>
      <c r="NXD1" s="2" t="n"/>
      <c r="NXE1" s="2" t="n"/>
      <c r="NXF1" s="2" t="n"/>
      <c r="NXG1" s="2" t="n"/>
      <c r="NXH1" s="2" t="n"/>
      <c r="NXI1" s="2" t="n"/>
      <c r="NXJ1" s="2" t="n"/>
      <c r="NXK1" s="2" t="n"/>
      <c r="NXL1" s="2" t="n"/>
      <c r="NXM1" s="2" t="n"/>
      <c r="NXN1" s="2" t="n"/>
      <c r="NXO1" s="2" t="n"/>
      <c r="NXP1" s="2" t="n"/>
      <c r="NXQ1" s="2" t="n"/>
      <c r="NXR1" s="2" t="n"/>
      <c r="NXS1" s="2" t="n"/>
      <c r="NXT1" s="2" t="n"/>
      <c r="NXU1" s="2" t="n"/>
      <c r="NXV1" s="2" t="n"/>
      <c r="NXW1" s="2" t="n"/>
      <c r="NXX1" s="2" t="n"/>
      <c r="NXY1" s="2" t="n"/>
      <c r="NXZ1" s="2" t="n"/>
      <c r="NYA1" s="2" t="n"/>
      <c r="NYB1" s="2" t="n"/>
      <c r="NYC1" s="2" t="n"/>
      <c r="NYD1" s="2" t="n"/>
      <c r="NYE1" s="2" t="n"/>
      <c r="NYF1" s="2" t="n"/>
      <c r="NYG1" s="2" t="n"/>
      <c r="NYH1" s="2" t="n"/>
      <c r="NYI1" s="2" t="n"/>
      <c r="NYJ1" s="2" t="n"/>
      <c r="NYK1" s="2" t="n"/>
      <c r="NYL1" s="2" t="n"/>
      <c r="NYM1" s="2" t="n"/>
      <c r="NYN1" s="2" t="n"/>
      <c r="NYO1" s="2" t="n"/>
      <c r="NYP1" s="2" t="n"/>
      <c r="NYQ1" s="2" t="n"/>
      <c r="NYR1" s="2" t="n"/>
      <c r="NYS1" s="2" t="n"/>
      <c r="NYT1" s="2" t="n"/>
      <c r="NYU1" s="2" t="n"/>
      <c r="NYV1" s="2" t="n"/>
      <c r="NYW1" s="2" t="n"/>
      <c r="NYX1" s="2" t="n"/>
      <c r="NYY1" s="2" t="n"/>
      <c r="NYZ1" s="2" t="n"/>
      <c r="NZA1" s="2" t="n"/>
      <c r="NZB1" s="2" t="n"/>
      <c r="NZC1" s="2" t="n"/>
      <c r="NZD1" s="2" t="n"/>
      <c r="NZE1" s="2" t="n"/>
      <c r="NZF1" s="2" t="n"/>
      <c r="NZG1" s="2" t="n"/>
      <c r="NZH1" s="2" t="n"/>
      <c r="NZI1" s="2" t="n"/>
      <c r="NZJ1" s="2" t="n"/>
      <c r="NZK1" s="2" t="n"/>
      <c r="NZL1" s="2" t="n"/>
      <c r="NZM1" s="2" t="n"/>
      <c r="NZN1" s="2" t="n"/>
      <c r="NZO1" s="2" t="n"/>
      <c r="NZP1" s="2" t="n"/>
      <c r="NZQ1" s="2" t="n"/>
      <c r="NZR1" s="2" t="n"/>
      <c r="NZS1" s="2" t="n"/>
      <c r="NZT1" s="2" t="n"/>
      <c r="NZU1" s="2" t="n"/>
      <c r="NZV1" s="2" t="n"/>
      <c r="NZW1" s="2" t="n"/>
      <c r="NZX1" s="2" t="n"/>
      <c r="NZY1" s="2" t="n"/>
      <c r="NZZ1" s="2" t="n"/>
      <c r="OAA1" s="2" t="n"/>
      <c r="OAB1" s="2" t="n"/>
      <c r="OAC1" s="2" t="n"/>
      <c r="OAD1" s="2" t="n"/>
      <c r="OAE1" s="2" t="n"/>
      <c r="OAF1" s="2" t="n"/>
      <c r="OAG1" s="2" t="n"/>
      <c r="OAH1" s="2" t="n"/>
      <c r="OAI1" s="2" t="n"/>
      <c r="OAJ1" s="2" t="n"/>
      <c r="OAK1" s="2" t="n"/>
      <c r="OAL1" s="2" t="n"/>
      <c r="OAM1" s="2" t="n"/>
      <c r="OAN1" s="2" t="n"/>
      <c r="OAO1" s="2" t="n"/>
      <c r="OAP1" s="2" t="n"/>
      <c r="OAQ1" s="2" t="n"/>
      <c r="OAR1" s="2" t="n"/>
      <c r="OAS1" s="2" t="n"/>
      <c r="OAT1" s="2" t="n"/>
      <c r="OAU1" s="2" t="n"/>
      <c r="OAV1" s="2" t="n"/>
      <c r="OAW1" s="2" t="n"/>
      <c r="OAX1" s="2" t="n"/>
      <c r="OAY1" s="2" t="n"/>
      <c r="OAZ1" s="2" t="n"/>
      <c r="OBA1" s="2" t="n"/>
      <c r="OBB1" s="2" t="n"/>
      <c r="OBC1" s="2" t="n"/>
      <c r="OBD1" s="2" t="n"/>
      <c r="OBE1" s="2" t="n"/>
      <c r="OBF1" s="2" t="n"/>
      <c r="OBG1" s="2" t="n"/>
      <c r="OBH1" s="2" t="n"/>
      <c r="OBI1" s="2" t="n"/>
      <c r="OBJ1" s="2" t="n"/>
      <c r="OBK1" s="2" t="n"/>
      <c r="OBL1" s="2" t="n"/>
      <c r="OBM1" s="2" t="n"/>
      <c r="OBN1" s="2" t="n"/>
      <c r="OBO1" s="2" t="n"/>
      <c r="OBP1" s="2" t="n"/>
      <c r="OBQ1" s="2" t="n"/>
      <c r="OBR1" s="2" t="n"/>
      <c r="OBS1" s="2" t="n"/>
      <c r="OBT1" s="2" t="n"/>
      <c r="OBU1" s="2" t="n"/>
      <c r="OBV1" s="2" t="n"/>
      <c r="OBW1" s="2" t="n"/>
      <c r="OBX1" s="2" t="n"/>
      <c r="OBY1" s="2" t="n"/>
      <c r="OBZ1" s="2" t="n"/>
      <c r="OCA1" s="2" t="n"/>
      <c r="OCB1" s="2" t="n"/>
      <c r="OCC1" s="2" t="n"/>
      <c r="OCD1" s="2" t="n"/>
      <c r="OCE1" s="2" t="n"/>
      <c r="OCF1" s="2" t="n"/>
      <c r="OCG1" s="2" t="n"/>
      <c r="OCH1" s="2" t="n"/>
      <c r="OCI1" s="2" t="n"/>
      <c r="OCJ1" s="2" t="n"/>
      <c r="OCK1" s="2" t="n"/>
      <c r="OCL1" s="2" t="n"/>
      <c r="OCM1" s="2" t="n"/>
      <c r="OCN1" s="2" t="n"/>
      <c r="OCO1" s="2" t="n"/>
      <c r="OCP1" s="2" t="n"/>
      <c r="OCQ1" s="2" t="n"/>
      <c r="OCR1" s="2" t="n"/>
      <c r="OCS1" s="2" t="n"/>
      <c r="OCT1" s="2" t="n"/>
      <c r="OCU1" s="2" t="n"/>
      <c r="OCV1" s="2" t="n"/>
      <c r="OCW1" s="2" t="n"/>
      <c r="OCX1" s="2" t="n"/>
      <c r="OCY1" s="2" t="n"/>
      <c r="OCZ1" s="2" t="n"/>
      <c r="ODA1" s="2" t="n"/>
      <c r="ODB1" s="2" t="n"/>
      <c r="ODC1" s="2" t="n"/>
      <c r="ODD1" s="2" t="n"/>
      <c r="ODE1" s="2" t="n"/>
      <c r="ODF1" s="2" t="n"/>
      <c r="ODG1" s="2" t="n"/>
      <c r="ODH1" s="2" t="n"/>
      <c r="ODI1" s="2" t="n"/>
      <c r="ODJ1" s="2" t="n"/>
      <c r="ODK1" s="2" t="n"/>
      <c r="ODL1" s="2" t="n"/>
      <c r="ODM1" s="2" t="n"/>
      <c r="ODN1" s="2" t="n"/>
      <c r="ODO1" s="2" t="n"/>
      <c r="ODP1" s="2" t="n"/>
      <c r="ODQ1" s="2" t="n"/>
      <c r="ODR1" s="2" t="n"/>
      <c r="ODS1" s="2" t="n"/>
      <c r="ODT1" s="2" t="n"/>
      <c r="ODU1" s="2" t="n"/>
      <c r="ODV1" s="2" t="n"/>
      <c r="ODW1" s="2" t="n"/>
      <c r="ODX1" s="2" t="n"/>
      <c r="ODY1" s="2" t="n"/>
      <c r="ODZ1" s="2" t="n"/>
      <c r="OEA1" s="2" t="n"/>
      <c r="OEB1" s="2" t="n"/>
      <c r="OEC1" s="2" t="n"/>
      <c r="OED1" s="2" t="n"/>
      <c r="OEE1" s="2" t="n"/>
      <c r="OEF1" s="2" t="n"/>
      <c r="OEG1" s="2" t="n"/>
      <c r="OEH1" s="2" t="n"/>
      <c r="OEI1" s="2" t="n"/>
      <c r="OEJ1" s="2" t="n"/>
      <c r="OEK1" s="2" t="n"/>
      <c r="OEL1" s="2" t="n"/>
      <c r="OEM1" s="2" t="n"/>
      <c r="OEN1" s="2" t="n"/>
      <c r="OEO1" s="2" t="n"/>
      <c r="OEP1" s="2" t="n"/>
      <c r="OEQ1" s="2" t="n"/>
      <c r="OER1" s="2" t="n"/>
      <c r="OES1" s="2" t="n"/>
      <c r="OET1" s="2" t="n"/>
      <c r="OEU1" s="2" t="n"/>
      <c r="OEV1" s="2" t="n"/>
      <c r="OEW1" s="2" t="n"/>
      <c r="OEX1" s="2" t="n"/>
      <c r="OEY1" s="2" t="n"/>
      <c r="OEZ1" s="2" t="n"/>
      <c r="OFA1" s="2" t="n"/>
      <c r="OFB1" s="2" t="n"/>
      <c r="OFC1" s="2" t="n"/>
      <c r="OFD1" s="2" t="n"/>
      <c r="OFE1" s="2" t="n"/>
      <c r="OFF1" s="2" t="n"/>
      <c r="OFG1" s="2" t="n"/>
      <c r="OFH1" s="2" t="n"/>
      <c r="OFI1" s="2" t="n"/>
      <c r="OFJ1" s="2" t="n"/>
      <c r="OFK1" s="2" t="n"/>
      <c r="OFL1" s="2" t="n"/>
      <c r="OFM1" s="2" t="n"/>
      <c r="OFN1" s="2" t="n"/>
      <c r="OFO1" s="2" t="n"/>
      <c r="OFP1" s="2" t="n"/>
      <c r="OFQ1" s="2" t="n"/>
      <c r="OFR1" s="2" t="n"/>
      <c r="OFS1" s="2" t="n"/>
      <c r="OFT1" s="2" t="n"/>
      <c r="OFU1" s="2" t="n"/>
      <c r="OFV1" s="2" t="n"/>
      <c r="OFW1" s="2" t="n"/>
      <c r="OFX1" s="2" t="n"/>
      <c r="OFY1" s="2" t="n"/>
      <c r="OFZ1" s="2" t="n"/>
      <c r="OGA1" s="2" t="n"/>
      <c r="OGB1" s="2" t="n"/>
      <c r="OGC1" s="2" t="n"/>
      <c r="OGD1" s="2" t="n"/>
      <c r="OGE1" s="2" t="n"/>
      <c r="OGF1" s="2" t="n"/>
      <c r="OGG1" s="2" t="n"/>
      <c r="OGH1" s="2" t="n"/>
      <c r="OGI1" s="2" t="n"/>
      <c r="OGJ1" s="2" t="n"/>
      <c r="OGK1" s="2" t="n"/>
      <c r="OGL1" s="2" t="n"/>
      <c r="OGM1" s="2" t="n"/>
      <c r="OGN1" s="2" t="n"/>
      <c r="OGO1" s="2" t="n"/>
      <c r="OGP1" s="2" t="n"/>
      <c r="OGQ1" s="2" t="n"/>
      <c r="OGR1" s="2" t="n"/>
      <c r="OGS1" s="2" t="n"/>
      <c r="OGT1" s="2" t="n"/>
      <c r="OGU1" s="2" t="n"/>
      <c r="OGV1" s="2" t="n"/>
      <c r="OGW1" s="2" t="n"/>
      <c r="OGX1" s="2" t="n"/>
      <c r="OGY1" s="2" t="n"/>
      <c r="OGZ1" s="2" t="n"/>
      <c r="OHA1" s="2" t="n"/>
      <c r="OHB1" s="2" t="n"/>
      <c r="OHC1" s="2" t="n"/>
      <c r="OHD1" s="2" t="n"/>
      <c r="OHE1" s="2" t="n"/>
      <c r="OHF1" s="2" t="n"/>
      <c r="OHG1" s="2" t="n"/>
      <c r="OHH1" s="2" t="n"/>
      <c r="OHI1" s="2" t="n"/>
      <c r="OHJ1" s="2" t="n"/>
      <c r="OHK1" s="2" t="n"/>
      <c r="OHL1" s="2" t="n"/>
      <c r="OHM1" s="2" t="n"/>
      <c r="OHN1" s="2" t="n"/>
      <c r="OHO1" s="2" t="n"/>
      <c r="OHP1" s="2" t="n"/>
      <c r="OHQ1" s="2" t="n"/>
      <c r="OHR1" s="2" t="n"/>
      <c r="OHS1" s="2" t="n"/>
      <c r="OHT1" s="2" t="n"/>
      <c r="OHU1" s="2" t="n"/>
      <c r="OHV1" s="2" t="n"/>
      <c r="OHW1" s="2" t="n"/>
      <c r="OHX1" s="2" t="n"/>
      <c r="OHY1" s="2" t="n"/>
      <c r="OHZ1" s="2" t="n"/>
      <c r="OIA1" s="2" t="n"/>
      <c r="OIB1" s="2" t="n"/>
      <c r="OIC1" s="2" t="n"/>
      <c r="OID1" s="2" t="n"/>
      <c r="OIE1" s="2" t="n"/>
      <c r="OIF1" s="2" t="n"/>
      <c r="OIG1" s="2" t="n"/>
      <c r="OIH1" s="2" t="n"/>
      <c r="OII1" s="2" t="n"/>
      <c r="OIJ1" s="2" t="n"/>
      <c r="OIK1" s="2" t="n"/>
      <c r="OIL1" s="2" t="n"/>
      <c r="OIM1" s="2" t="n"/>
      <c r="OIN1" s="2" t="n"/>
      <c r="OIO1" s="2" t="n"/>
      <c r="OIP1" s="2" t="n"/>
      <c r="OIQ1" s="2" t="n"/>
      <c r="OIR1" s="2" t="n"/>
      <c r="OIS1" s="2" t="n"/>
      <c r="OIT1" s="2" t="n"/>
      <c r="OIU1" s="2" t="n"/>
      <c r="OIV1" s="2" t="n"/>
      <c r="OIW1" s="2" t="n"/>
      <c r="OIX1" s="2" t="n"/>
      <c r="OIY1" s="2" t="n"/>
      <c r="OIZ1" s="2" t="n"/>
      <c r="OJA1" s="2" t="n"/>
      <c r="OJB1" s="2" t="n"/>
      <c r="OJC1" s="2" t="n"/>
      <c r="OJD1" s="2" t="n"/>
      <c r="OJE1" s="2" t="n"/>
      <c r="OJF1" s="2" t="n"/>
      <c r="OJG1" s="2" t="n"/>
      <c r="OJH1" s="2" t="n"/>
      <c r="OJI1" s="2" t="n"/>
      <c r="OJJ1" s="2" t="n"/>
      <c r="OJK1" s="2" t="n"/>
      <c r="OJL1" s="2" t="n"/>
      <c r="OJM1" s="2" t="n"/>
      <c r="OJN1" s="2" t="n"/>
      <c r="OJO1" s="2" t="n"/>
      <c r="OJP1" s="2" t="n"/>
      <c r="OJQ1" s="2" t="n"/>
      <c r="OJR1" s="2" t="n"/>
      <c r="OJS1" s="2" t="n"/>
      <c r="OJT1" s="2" t="n"/>
      <c r="OJU1" s="2" t="n"/>
      <c r="OJV1" s="2" t="n"/>
      <c r="OJW1" s="2" t="n"/>
      <c r="OJX1" s="2" t="n"/>
      <c r="OJY1" s="2" t="n"/>
      <c r="OJZ1" s="2" t="n"/>
      <c r="OKA1" s="2" t="n"/>
      <c r="OKB1" s="2" t="n"/>
      <c r="OKC1" s="2" t="n"/>
      <c r="OKD1" s="2" t="n"/>
      <c r="OKE1" s="2" t="n"/>
      <c r="OKF1" s="2" t="n"/>
      <c r="OKG1" s="2" t="n"/>
      <c r="OKH1" s="2" t="n"/>
      <c r="OKI1" s="2" t="n"/>
      <c r="OKJ1" s="2" t="n"/>
      <c r="OKK1" s="2" t="n"/>
      <c r="OKL1" s="2" t="n"/>
      <c r="OKM1" s="2" t="n"/>
      <c r="OKN1" s="2" t="n"/>
      <c r="OKO1" s="2" t="n"/>
      <c r="OKP1" s="2" t="n"/>
      <c r="OKQ1" s="2" t="n"/>
      <c r="OKR1" s="2" t="n"/>
      <c r="OKS1" s="2" t="n"/>
      <c r="OKT1" s="2" t="n"/>
      <c r="OKU1" s="2" t="n"/>
      <c r="OKV1" s="2" t="n"/>
      <c r="OKW1" s="2" t="n"/>
      <c r="OKX1" s="2" t="n"/>
      <c r="OKY1" s="2" t="n"/>
      <c r="OKZ1" s="2" t="n"/>
      <c r="OLA1" s="2" t="n"/>
      <c r="OLB1" s="2" t="n"/>
      <c r="OLC1" s="2" t="n"/>
      <c r="OLD1" s="2" t="n"/>
      <c r="OLE1" s="2" t="n"/>
      <c r="OLF1" s="2" t="n"/>
      <c r="OLG1" s="2" t="n"/>
      <c r="OLH1" s="2" t="n"/>
      <c r="OLI1" s="2" t="n"/>
      <c r="OLJ1" s="2" t="n"/>
      <c r="OLK1" s="2" t="n"/>
      <c r="OLL1" s="2" t="n"/>
      <c r="OLM1" s="2" t="n"/>
      <c r="OLN1" s="2" t="n"/>
      <c r="OLO1" s="2" t="n"/>
      <c r="OLP1" s="2" t="n"/>
      <c r="OLQ1" s="2" t="n"/>
      <c r="OLR1" s="2" t="n"/>
      <c r="OLS1" s="2" t="n"/>
      <c r="OLT1" s="2" t="n"/>
      <c r="OLU1" s="2" t="n"/>
      <c r="OLV1" s="2" t="n"/>
      <c r="OLW1" s="2" t="n"/>
      <c r="OLX1" s="2" t="n"/>
      <c r="OLY1" s="2" t="n"/>
      <c r="OLZ1" s="2" t="n"/>
      <c r="OMA1" s="2" t="n"/>
      <c r="OMB1" s="2" t="n"/>
      <c r="OMC1" s="2" t="n"/>
      <c r="OMD1" s="2" t="n"/>
      <c r="OME1" s="2" t="n"/>
      <c r="OMF1" s="2" t="n"/>
      <c r="OMG1" s="2" t="n"/>
      <c r="OMH1" s="2" t="n"/>
      <c r="OMI1" s="2" t="n"/>
      <c r="OMJ1" s="2" t="n"/>
      <c r="OMK1" s="2" t="n"/>
      <c r="OML1" s="2" t="n"/>
      <c r="OMM1" s="2" t="n"/>
      <c r="OMN1" s="2" t="n"/>
      <c r="OMO1" s="2" t="n"/>
      <c r="OMP1" s="2" t="n"/>
      <c r="OMQ1" s="2" t="n"/>
      <c r="OMR1" s="2" t="n"/>
      <c r="OMS1" s="2" t="n"/>
      <c r="OMT1" s="2" t="n"/>
      <c r="OMU1" s="2" t="n"/>
      <c r="OMV1" s="2" t="n"/>
      <c r="OMW1" s="2" t="n"/>
      <c r="OMX1" s="2" t="n"/>
      <c r="OMY1" s="2" t="n"/>
      <c r="OMZ1" s="2" t="n"/>
      <c r="ONA1" s="2" t="n"/>
      <c r="ONB1" s="2" t="n"/>
      <c r="ONC1" s="2" t="n"/>
      <c r="OND1" s="2" t="n"/>
      <c r="ONE1" s="2" t="n"/>
      <c r="ONF1" s="2" t="n"/>
      <c r="ONG1" s="2" t="n"/>
      <c r="ONH1" s="2" t="n"/>
      <c r="ONI1" s="2" t="n"/>
      <c r="ONJ1" s="2" t="n"/>
      <c r="ONK1" s="2" t="n"/>
      <c r="ONL1" s="2" t="n"/>
      <c r="ONM1" s="2" t="n"/>
      <c r="ONN1" s="2" t="n"/>
      <c r="ONO1" s="2" t="n"/>
      <c r="ONP1" s="2" t="n"/>
      <c r="ONQ1" s="2" t="n"/>
      <c r="ONR1" s="2" t="n"/>
      <c r="ONS1" s="2" t="n"/>
      <c r="ONT1" s="2" t="n"/>
      <c r="ONU1" s="2" t="n"/>
      <c r="ONV1" s="2" t="n"/>
      <c r="ONW1" s="2" t="n"/>
      <c r="ONX1" s="2" t="n"/>
      <c r="ONY1" s="2" t="n"/>
      <c r="ONZ1" s="2" t="n"/>
      <c r="OOA1" s="2" t="n"/>
      <c r="OOB1" s="2" t="n"/>
      <c r="OOC1" s="2" t="n"/>
      <c r="OOD1" s="2" t="n"/>
      <c r="OOE1" s="2" t="n"/>
      <c r="OOF1" s="2" t="n"/>
      <c r="OOG1" s="2" t="n"/>
      <c r="OOH1" s="2" t="n"/>
      <c r="OOI1" s="2" t="n"/>
      <c r="OOJ1" s="2" t="n"/>
      <c r="OOK1" s="2" t="n"/>
      <c r="OOL1" s="2" t="n"/>
      <c r="OOM1" s="2" t="n"/>
      <c r="OON1" s="2" t="n"/>
      <c r="OOO1" s="2" t="n"/>
      <c r="OOP1" s="2" t="n"/>
      <c r="OOQ1" s="2" t="n"/>
      <c r="OOR1" s="2" t="n"/>
      <c r="OOS1" s="2" t="n"/>
      <c r="OOT1" s="2" t="n"/>
      <c r="OOU1" s="2" t="n"/>
      <c r="OOV1" s="2" t="n"/>
      <c r="OOW1" s="2" t="n"/>
      <c r="OOX1" s="2" t="n"/>
      <c r="OOY1" s="2" t="n"/>
      <c r="OOZ1" s="2" t="n"/>
      <c r="OPA1" s="2" t="n"/>
      <c r="OPB1" s="2" t="n"/>
      <c r="OPC1" s="2" t="n"/>
      <c r="OPD1" s="2" t="n"/>
      <c r="OPE1" s="2" t="n"/>
      <c r="OPF1" s="2" t="n"/>
      <c r="OPG1" s="2" t="n"/>
      <c r="OPH1" s="2" t="n"/>
      <c r="OPI1" s="2" t="n"/>
      <c r="OPJ1" s="2" t="n"/>
      <c r="OPK1" s="2" t="n"/>
      <c r="OPL1" s="2" t="n"/>
      <c r="OPM1" s="2" t="n"/>
      <c r="OPN1" s="2" t="n"/>
      <c r="OPO1" s="2" t="n"/>
      <c r="OPP1" s="2" t="n"/>
      <c r="OPQ1" s="2" t="n"/>
      <c r="OPR1" s="2" t="n"/>
      <c r="OPS1" s="2" t="n"/>
      <c r="OPT1" s="2" t="n"/>
      <c r="OPU1" s="2" t="n"/>
      <c r="OPV1" s="2" t="n"/>
      <c r="OPW1" s="2" t="n"/>
      <c r="OPX1" s="2" t="n"/>
      <c r="OPY1" s="2" t="n"/>
      <c r="OPZ1" s="2" t="n"/>
      <c r="OQA1" s="2" t="n"/>
      <c r="OQB1" s="2" t="n"/>
      <c r="OQC1" s="2" t="n"/>
      <c r="OQD1" s="2" t="n"/>
      <c r="OQE1" s="2" t="n"/>
      <c r="OQF1" s="2" t="n"/>
      <c r="OQG1" s="2" t="n"/>
      <c r="OQH1" s="2" t="n"/>
      <c r="OQI1" s="2" t="n"/>
      <c r="OQJ1" s="2" t="n"/>
      <c r="OQK1" s="2" t="n"/>
      <c r="OQL1" s="2" t="n"/>
      <c r="OQM1" s="2" t="n"/>
      <c r="OQN1" s="2" t="n"/>
      <c r="OQO1" s="2" t="n"/>
      <c r="OQP1" s="2" t="n"/>
      <c r="OQQ1" s="2" t="n"/>
      <c r="OQR1" s="2" t="n"/>
      <c r="OQS1" s="2" t="n"/>
      <c r="OQT1" s="2" t="n"/>
      <c r="OQU1" s="2" t="n"/>
      <c r="OQV1" s="2" t="n"/>
      <c r="OQW1" s="2" t="n"/>
      <c r="OQX1" s="2" t="n"/>
      <c r="OQY1" s="2" t="n"/>
      <c r="OQZ1" s="2" t="n"/>
      <c r="ORA1" s="2" t="n"/>
      <c r="ORB1" s="2" t="n"/>
      <c r="ORC1" s="2" t="n"/>
      <c r="ORD1" s="2" t="n"/>
      <c r="ORE1" s="2" t="n"/>
      <c r="ORF1" s="2" t="n"/>
      <c r="ORG1" s="2" t="n"/>
      <c r="ORH1" s="2" t="n"/>
      <c r="ORI1" s="2" t="n"/>
      <c r="ORJ1" s="2" t="n"/>
      <c r="ORK1" s="2" t="n"/>
      <c r="ORL1" s="2" t="n"/>
      <c r="ORM1" s="2" t="n"/>
      <c r="ORN1" s="2" t="n"/>
      <c r="ORO1" s="2" t="n"/>
      <c r="ORP1" s="2" t="n"/>
      <c r="ORQ1" s="2" t="n"/>
      <c r="ORR1" s="2" t="n"/>
      <c r="ORS1" s="2" t="n"/>
      <c r="ORT1" s="2" t="n"/>
      <c r="ORU1" s="2" t="n"/>
      <c r="ORV1" s="2" t="n"/>
      <c r="ORW1" s="2" t="n"/>
      <c r="ORX1" s="2" t="n"/>
      <c r="ORY1" s="2" t="n"/>
      <c r="ORZ1" s="2" t="n"/>
      <c r="OSA1" s="2" t="n"/>
      <c r="OSB1" s="2" t="n"/>
      <c r="OSC1" s="2" t="n"/>
      <c r="OSD1" s="2" t="n"/>
      <c r="OSE1" s="2" t="n"/>
      <c r="OSF1" s="2" t="n"/>
      <c r="OSG1" s="2" t="n"/>
      <c r="OSH1" s="2" t="n"/>
      <c r="OSI1" s="2" t="n"/>
      <c r="OSJ1" s="2" t="n"/>
      <c r="OSK1" s="2" t="n"/>
      <c r="OSL1" s="2" t="n"/>
      <c r="OSM1" s="2" t="n"/>
      <c r="OSN1" s="2" t="n"/>
      <c r="OSO1" s="2" t="n"/>
      <c r="OSP1" s="2" t="n"/>
      <c r="OSQ1" s="2" t="n"/>
      <c r="OSR1" s="2" t="n"/>
      <c r="OSS1" s="2" t="n"/>
      <c r="OST1" s="2" t="n"/>
      <c r="OSU1" s="2" t="n"/>
      <c r="OSV1" s="2" t="n"/>
      <c r="OSW1" s="2" t="n"/>
      <c r="OSX1" s="2" t="n"/>
      <c r="OSY1" s="2" t="n"/>
      <c r="OSZ1" s="2" t="n"/>
      <c r="OTA1" s="2" t="n"/>
      <c r="OTB1" s="2" t="n"/>
      <c r="OTC1" s="2" t="n"/>
      <c r="OTD1" s="2" t="n"/>
      <c r="OTE1" s="2" t="n"/>
      <c r="OTF1" s="2" t="n"/>
      <c r="OTG1" s="2" t="n"/>
      <c r="OTH1" s="2" t="n"/>
      <c r="OTI1" s="2" t="n"/>
      <c r="OTJ1" s="2" t="n"/>
      <c r="OTK1" s="2" t="n"/>
      <c r="OTL1" s="2" t="n"/>
      <c r="OTM1" s="2" t="n"/>
      <c r="OTN1" s="2" t="n"/>
      <c r="OTO1" s="2" t="n"/>
      <c r="OTP1" s="2" t="n"/>
      <c r="OTQ1" s="2" t="n"/>
      <c r="OTR1" s="2" t="n"/>
      <c r="OTS1" s="2" t="n"/>
      <c r="OTT1" s="2" t="n"/>
      <c r="OTU1" s="2" t="n"/>
      <c r="OTV1" s="2" t="n"/>
      <c r="OTW1" s="2" t="n"/>
      <c r="OTX1" s="2" t="n"/>
      <c r="OTY1" s="2" t="n"/>
      <c r="OTZ1" s="2" t="n"/>
      <c r="OUA1" s="2" t="n"/>
      <c r="OUB1" s="2" t="n"/>
      <c r="OUC1" s="2" t="n"/>
      <c r="OUD1" s="2" t="n"/>
      <c r="OUE1" s="2" t="n"/>
      <c r="OUF1" s="2" t="n"/>
      <c r="OUG1" s="2" t="n"/>
      <c r="OUH1" s="2" t="n"/>
      <c r="OUI1" s="2" t="n"/>
      <c r="OUJ1" s="2" t="n"/>
      <c r="OUK1" s="2" t="n"/>
      <c r="OUL1" s="2" t="n"/>
      <c r="OUM1" s="2" t="n"/>
      <c r="OUN1" s="2" t="n"/>
      <c r="OUO1" s="2" t="n"/>
      <c r="OUP1" s="2" t="n"/>
      <c r="OUQ1" s="2" t="n"/>
      <c r="OUR1" s="2" t="n"/>
      <c r="OUS1" s="2" t="n"/>
      <c r="OUT1" s="2" t="n"/>
      <c r="OUU1" s="2" t="n"/>
      <c r="OUV1" s="2" t="n"/>
      <c r="OUW1" s="2" t="n"/>
      <c r="OUX1" s="2" t="n"/>
      <c r="OUY1" s="2" t="n"/>
      <c r="OUZ1" s="2" t="n"/>
      <c r="OVA1" s="2" t="n"/>
      <c r="OVB1" s="2" t="n"/>
      <c r="OVC1" s="2" t="n"/>
      <c r="OVD1" s="2" t="n"/>
      <c r="OVE1" s="2" t="n"/>
      <c r="OVF1" s="2" t="n"/>
      <c r="OVG1" s="2" t="n"/>
      <c r="OVH1" s="2" t="n"/>
      <c r="OVI1" s="2" t="n"/>
      <c r="OVJ1" s="2" t="n"/>
      <c r="OVK1" s="2" t="n"/>
      <c r="OVL1" s="2" t="n"/>
      <c r="OVM1" s="2" t="n"/>
      <c r="OVN1" s="2" t="n"/>
      <c r="OVO1" s="2" t="n"/>
      <c r="OVP1" s="2" t="n"/>
      <c r="OVQ1" s="2" t="n"/>
      <c r="OVR1" s="2" t="n"/>
      <c r="OVS1" s="2" t="n"/>
      <c r="OVT1" s="2" t="n"/>
      <c r="OVU1" s="2" t="n"/>
      <c r="OVV1" s="2" t="n"/>
      <c r="OVW1" s="2" t="n"/>
      <c r="OVX1" s="2" t="n"/>
      <c r="OVY1" s="2" t="n"/>
      <c r="OVZ1" s="2" t="n"/>
      <c r="OWA1" s="2" t="n"/>
      <c r="OWB1" s="2" t="n"/>
      <c r="OWC1" s="2" t="n"/>
      <c r="OWD1" s="2" t="n"/>
      <c r="OWE1" s="2" t="n"/>
      <c r="OWF1" s="2" t="n"/>
      <c r="OWG1" s="2" t="n"/>
      <c r="OWH1" s="2" t="n"/>
      <c r="OWI1" s="2" t="n"/>
      <c r="OWJ1" s="2" t="n"/>
      <c r="OWK1" s="2" t="n"/>
      <c r="OWL1" s="2" t="n"/>
      <c r="OWM1" s="2" t="n"/>
      <c r="OWN1" s="2" t="n"/>
      <c r="OWO1" s="2" t="n"/>
      <c r="OWP1" s="2" t="n"/>
      <c r="OWQ1" s="2" t="n"/>
      <c r="OWR1" s="2" t="n"/>
      <c r="OWS1" s="2" t="n"/>
      <c r="OWT1" s="2" t="n"/>
      <c r="OWU1" s="2" t="n"/>
      <c r="OWV1" s="2" t="n"/>
      <c r="OWW1" s="2" t="n"/>
      <c r="OWX1" s="2" t="n"/>
      <c r="OWY1" s="2" t="n"/>
      <c r="OWZ1" s="2" t="n"/>
      <c r="OXA1" s="2" t="n"/>
      <c r="OXB1" s="2" t="n"/>
      <c r="OXC1" s="2" t="n"/>
      <c r="OXD1" s="2" t="n"/>
      <c r="OXE1" s="2" t="n"/>
      <c r="OXF1" s="2" t="n"/>
      <c r="OXG1" s="2" t="n"/>
      <c r="OXH1" s="2" t="n"/>
      <c r="OXI1" s="2" t="n"/>
      <c r="OXJ1" s="2" t="n"/>
      <c r="OXK1" s="2" t="n"/>
      <c r="OXL1" s="2" t="n"/>
      <c r="OXM1" s="2" t="n"/>
      <c r="OXN1" s="2" t="n"/>
      <c r="OXO1" s="2" t="n"/>
      <c r="OXP1" s="2" t="n"/>
      <c r="OXQ1" s="2" t="n"/>
      <c r="OXR1" s="2" t="n"/>
      <c r="OXS1" s="2" t="n"/>
      <c r="OXT1" s="2" t="n"/>
      <c r="OXU1" s="2" t="n"/>
      <c r="OXV1" s="2" t="n"/>
      <c r="OXW1" s="2" t="n"/>
      <c r="OXX1" s="2" t="n"/>
      <c r="OXY1" s="2" t="n"/>
      <c r="OXZ1" s="2" t="n"/>
      <c r="OYA1" s="2" t="n"/>
      <c r="OYB1" s="2" t="n"/>
      <c r="OYC1" s="2" t="n"/>
      <c r="OYD1" s="2" t="n"/>
      <c r="OYE1" s="2" t="n"/>
      <c r="OYF1" s="2" t="n"/>
      <c r="OYG1" s="2" t="n"/>
      <c r="OYH1" s="2" t="n"/>
      <c r="OYI1" s="2" t="n"/>
      <c r="OYJ1" s="2" t="n"/>
      <c r="OYK1" s="2" t="n"/>
      <c r="OYL1" s="2" t="n"/>
      <c r="OYM1" s="2" t="n"/>
      <c r="OYN1" s="2" t="n"/>
      <c r="OYO1" s="2" t="n"/>
      <c r="OYP1" s="2" t="n"/>
      <c r="OYQ1" s="2" t="n"/>
      <c r="OYR1" s="2" t="n"/>
      <c r="OYS1" s="2" t="n"/>
      <c r="OYT1" s="2" t="n"/>
      <c r="OYU1" s="2" t="n"/>
      <c r="OYV1" s="2" t="n"/>
      <c r="OYW1" s="2" t="n"/>
      <c r="OYX1" s="2" t="n"/>
      <c r="OYY1" s="2" t="n"/>
      <c r="OYZ1" s="2" t="n"/>
      <c r="OZA1" s="2" t="n"/>
      <c r="OZB1" s="2" t="n"/>
      <c r="OZC1" s="2" t="n"/>
      <c r="OZD1" s="2" t="n"/>
      <c r="OZE1" s="2" t="n"/>
      <c r="OZF1" s="2" t="n"/>
      <c r="OZG1" s="2" t="n"/>
      <c r="OZH1" s="2" t="n"/>
      <c r="OZI1" s="2" t="n"/>
      <c r="OZJ1" s="2" t="n"/>
      <c r="OZK1" s="2" t="n"/>
      <c r="OZL1" s="2" t="n"/>
      <c r="OZM1" s="2" t="n"/>
      <c r="OZN1" s="2" t="n"/>
      <c r="OZO1" s="2" t="n"/>
      <c r="OZP1" s="2" t="n"/>
      <c r="OZQ1" s="2" t="n"/>
      <c r="OZR1" s="2" t="n"/>
      <c r="OZS1" s="2" t="n"/>
      <c r="OZT1" s="2" t="n"/>
      <c r="OZU1" s="2" t="n"/>
      <c r="OZV1" s="2" t="n"/>
      <c r="OZW1" s="2" t="n"/>
      <c r="OZX1" s="2" t="n"/>
      <c r="OZY1" s="2" t="n"/>
      <c r="OZZ1" s="2" t="n"/>
      <c r="PAA1" s="2" t="n"/>
      <c r="PAB1" s="2" t="n"/>
      <c r="PAC1" s="2" t="n"/>
      <c r="PAD1" s="2" t="n"/>
      <c r="PAE1" s="2" t="n"/>
      <c r="PAF1" s="2" t="n"/>
      <c r="PAG1" s="2" t="n"/>
      <c r="PAH1" s="2" t="n"/>
      <c r="PAI1" s="2" t="n"/>
      <c r="PAJ1" s="2" t="n"/>
      <c r="PAK1" s="2" t="n"/>
      <c r="PAL1" s="2" t="n"/>
      <c r="PAM1" s="2" t="n"/>
      <c r="PAN1" s="2" t="n"/>
      <c r="PAO1" s="2" t="n"/>
      <c r="PAP1" s="2" t="n"/>
      <c r="PAQ1" s="2" t="n"/>
      <c r="PAR1" s="2" t="n"/>
      <c r="PAS1" s="2" t="n"/>
      <c r="PAT1" s="2" t="n"/>
      <c r="PAU1" s="2" t="n"/>
      <c r="PAV1" s="2" t="n"/>
      <c r="PAW1" s="2" t="n"/>
      <c r="PAX1" s="2" t="n"/>
      <c r="PAY1" s="2" t="n"/>
      <c r="PAZ1" s="2" t="n"/>
      <c r="PBA1" s="2" t="n"/>
      <c r="PBB1" s="2" t="n"/>
      <c r="PBC1" s="2" t="n"/>
      <c r="PBD1" s="2" t="n"/>
      <c r="PBE1" s="2" t="n"/>
      <c r="PBF1" s="2" t="n"/>
      <c r="PBG1" s="2" t="n"/>
      <c r="PBH1" s="2" t="n"/>
      <c r="PBI1" s="2" t="n"/>
      <c r="PBJ1" s="2" t="n"/>
      <c r="PBK1" s="2" t="n"/>
      <c r="PBL1" s="2" t="n"/>
      <c r="PBM1" s="2" t="n"/>
      <c r="PBN1" s="2" t="n"/>
      <c r="PBO1" s="2" t="n"/>
      <c r="PBP1" s="2" t="n"/>
      <c r="PBQ1" s="2" t="n"/>
      <c r="PBR1" s="2" t="n"/>
      <c r="PBS1" s="2" t="n"/>
      <c r="PBT1" s="2" t="n"/>
      <c r="PBU1" s="2" t="n"/>
      <c r="PBV1" s="2" t="n"/>
      <c r="PBW1" s="2" t="n"/>
      <c r="PBX1" s="2" t="n"/>
      <c r="PBY1" s="2" t="n"/>
      <c r="PBZ1" s="2" t="n"/>
      <c r="PCA1" s="2" t="n"/>
      <c r="PCB1" s="2" t="n"/>
      <c r="PCC1" s="2" t="n"/>
      <c r="PCD1" s="2" t="n"/>
      <c r="PCE1" s="2" t="n"/>
      <c r="PCF1" s="2" t="n"/>
      <c r="PCG1" s="2" t="n"/>
      <c r="PCH1" s="2" t="n"/>
      <c r="PCI1" s="2" t="n"/>
      <c r="PCJ1" s="2" t="n"/>
      <c r="PCK1" s="2" t="n"/>
      <c r="PCL1" s="2" t="n"/>
      <c r="PCM1" s="2" t="n"/>
      <c r="PCN1" s="2" t="n"/>
      <c r="PCO1" s="2" t="n"/>
      <c r="PCP1" s="2" t="n"/>
      <c r="PCQ1" s="2" t="n"/>
      <c r="PCR1" s="2" t="n"/>
      <c r="PCS1" s="2" t="n"/>
      <c r="PCT1" s="2" t="n"/>
      <c r="PCU1" s="2" t="n"/>
      <c r="PCV1" s="2" t="n"/>
      <c r="PCW1" s="2" t="n"/>
      <c r="PCX1" s="2" t="n"/>
      <c r="PCY1" s="2" t="n"/>
      <c r="PCZ1" s="2" t="n"/>
      <c r="PDA1" s="2" t="n"/>
      <c r="PDB1" s="2" t="n"/>
      <c r="PDC1" s="2" t="n"/>
      <c r="PDD1" s="2" t="n"/>
      <c r="PDE1" s="2" t="n"/>
      <c r="PDF1" s="2" t="n"/>
      <c r="PDG1" s="2" t="n"/>
      <c r="PDH1" s="2" t="n"/>
      <c r="PDI1" s="2" t="n"/>
      <c r="PDJ1" s="2" t="n"/>
      <c r="PDK1" s="2" t="n"/>
      <c r="PDL1" s="2" t="n"/>
      <c r="PDM1" s="2" t="n"/>
      <c r="PDN1" s="2" t="n"/>
      <c r="PDO1" s="2" t="n"/>
      <c r="PDP1" s="2" t="n"/>
      <c r="PDQ1" s="2" t="n"/>
      <c r="PDR1" s="2" t="n"/>
      <c r="PDS1" s="2" t="n"/>
      <c r="PDT1" s="2" t="n"/>
      <c r="PDU1" s="2" t="n"/>
      <c r="PDV1" s="2" t="n"/>
      <c r="PDW1" s="2" t="n"/>
      <c r="PDX1" s="2" t="n"/>
      <c r="PDY1" s="2" t="n"/>
      <c r="PDZ1" s="2" t="n"/>
      <c r="PEA1" s="2" t="n"/>
      <c r="PEB1" s="2" t="n"/>
      <c r="PEC1" s="2" t="n"/>
      <c r="PED1" s="2" t="n"/>
      <c r="PEE1" s="2" t="n"/>
      <c r="PEF1" s="2" t="n"/>
      <c r="PEG1" s="2" t="n"/>
      <c r="PEH1" s="2" t="n"/>
      <c r="PEI1" s="2" t="n"/>
      <c r="PEJ1" s="2" t="n"/>
      <c r="PEK1" s="2" t="n"/>
      <c r="PEL1" s="2" t="n"/>
      <c r="PEM1" s="2" t="n"/>
      <c r="PEN1" s="2" t="n"/>
      <c r="PEO1" s="2" t="n"/>
      <c r="PEP1" s="2" t="n"/>
      <c r="PEQ1" s="2" t="n"/>
      <c r="PER1" s="2" t="n"/>
      <c r="PES1" s="2" t="n"/>
      <c r="PET1" s="2" t="n"/>
      <c r="PEU1" s="2" t="n"/>
      <c r="PEV1" s="2" t="n"/>
      <c r="PEW1" s="2" t="n"/>
      <c r="PEX1" s="2" t="n"/>
      <c r="PEY1" s="2" t="n"/>
      <c r="PEZ1" s="2" t="n"/>
      <c r="PFA1" s="2" t="n"/>
      <c r="PFB1" s="2" t="n"/>
      <c r="PFC1" s="2" t="n"/>
      <c r="PFD1" s="2" t="n"/>
      <c r="PFE1" s="2" t="n"/>
      <c r="PFF1" s="2" t="n"/>
      <c r="PFG1" s="2" t="n"/>
      <c r="PFH1" s="2" t="n"/>
      <c r="PFI1" s="2" t="n"/>
      <c r="PFJ1" s="2" t="n"/>
      <c r="PFK1" s="2" t="n"/>
      <c r="PFL1" s="2" t="n"/>
      <c r="PFM1" s="2" t="n"/>
      <c r="PFN1" s="2" t="n"/>
      <c r="PFO1" s="2" t="n"/>
      <c r="PFP1" s="2" t="n"/>
      <c r="PFQ1" s="2" t="n"/>
      <c r="PFR1" s="2" t="n"/>
      <c r="PFS1" s="2" t="n"/>
      <c r="PFT1" s="2" t="n"/>
      <c r="PFU1" s="2" t="n"/>
      <c r="PFV1" s="2" t="n"/>
      <c r="PFW1" s="2" t="n"/>
      <c r="PFX1" s="2" t="n"/>
      <c r="PFY1" s="2" t="n"/>
      <c r="PFZ1" s="2" t="n"/>
      <c r="PGA1" s="2" t="n"/>
      <c r="PGB1" s="2" t="n"/>
      <c r="PGC1" s="2" t="n"/>
      <c r="PGD1" s="2" t="n"/>
      <c r="PGE1" s="2" t="n"/>
      <c r="PGF1" s="2" t="n"/>
      <c r="PGG1" s="2" t="n"/>
      <c r="PGH1" s="2" t="n"/>
      <c r="PGI1" s="2" t="n"/>
      <c r="PGJ1" s="2" t="n"/>
      <c r="PGK1" s="2" t="n"/>
      <c r="PGL1" s="2" t="n"/>
      <c r="PGM1" s="2" t="n"/>
      <c r="PGN1" s="2" t="n"/>
      <c r="PGO1" s="2" t="n"/>
      <c r="PGP1" s="2" t="n"/>
      <c r="PGQ1" s="2" t="n"/>
      <c r="PGR1" s="2" t="n"/>
      <c r="PGS1" s="2" t="n"/>
      <c r="PGT1" s="2" t="n"/>
      <c r="PGU1" s="2" t="n"/>
      <c r="PGV1" s="2" t="n"/>
      <c r="PGW1" s="2" t="n"/>
      <c r="PGX1" s="2" t="n"/>
      <c r="PGY1" s="2" t="n"/>
      <c r="PGZ1" s="2" t="n"/>
      <c r="PHA1" s="2" t="n"/>
      <c r="PHB1" s="2" t="n"/>
      <c r="PHC1" s="2" t="n"/>
      <c r="PHD1" s="2" t="n"/>
      <c r="PHE1" s="2" t="n"/>
      <c r="PHF1" s="2" t="n"/>
      <c r="PHG1" s="2" t="n"/>
      <c r="PHH1" s="2" t="n"/>
      <c r="PHI1" s="2" t="n"/>
      <c r="PHJ1" s="2" t="n"/>
      <c r="PHK1" s="2" t="n"/>
      <c r="PHL1" s="2" t="n"/>
      <c r="PHM1" s="2" t="n"/>
      <c r="PHN1" s="2" t="n"/>
      <c r="PHO1" s="2" t="n"/>
      <c r="PHP1" s="2" t="n"/>
      <c r="PHQ1" s="2" t="n"/>
      <c r="PHR1" s="2" t="n"/>
      <c r="PHS1" s="2" t="n"/>
      <c r="PHT1" s="2" t="n"/>
      <c r="PHU1" s="2" t="n"/>
      <c r="PHV1" s="2" t="n"/>
      <c r="PHW1" s="2" t="n"/>
      <c r="PHX1" s="2" t="n"/>
      <c r="PHY1" s="2" t="n"/>
      <c r="PHZ1" s="2" t="n"/>
      <c r="PIA1" s="2" t="n"/>
      <c r="PIB1" s="2" t="n"/>
      <c r="PIC1" s="2" t="n"/>
      <c r="PID1" s="2" t="n"/>
      <c r="PIE1" s="2" t="n"/>
      <c r="PIF1" s="2" t="n"/>
      <c r="PIG1" s="2" t="n"/>
      <c r="PIH1" s="2" t="n"/>
      <c r="PII1" s="2" t="n"/>
      <c r="PIJ1" s="2" t="n"/>
      <c r="PIK1" s="2" t="n"/>
      <c r="PIL1" s="2" t="n"/>
      <c r="PIM1" s="2" t="n"/>
      <c r="PIN1" s="2" t="n"/>
      <c r="PIO1" s="2" t="n"/>
      <c r="PIP1" s="2" t="n"/>
      <c r="PIQ1" s="2" t="n"/>
      <c r="PIR1" s="2" t="n"/>
      <c r="PIS1" s="2" t="n"/>
      <c r="PIT1" s="2" t="n"/>
      <c r="PIU1" s="2" t="n"/>
      <c r="PIV1" s="2" t="n"/>
      <c r="PIW1" s="2" t="n"/>
      <c r="PIX1" s="2" t="n"/>
      <c r="PIY1" s="2" t="n"/>
      <c r="PIZ1" s="2" t="n"/>
      <c r="PJA1" s="2" t="n"/>
      <c r="PJB1" s="2" t="n"/>
      <c r="PJC1" s="2" t="n"/>
      <c r="PJD1" s="2" t="n"/>
      <c r="PJE1" s="2" t="n"/>
      <c r="PJF1" s="2" t="n"/>
      <c r="PJG1" s="2" t="n"/>
      <c r="PJH1" s="2" t="n"/>
      <c r="PJI1" s="2" t="n"/>
      <c r="PJJ1" s="2" t="n"/>
      <c r="PJK1" s="2" t="n"/>
      <c r="PJL1" s="2" t="n"/>
      <c r="PJM1" s="2" t="n"/>
      <c r="PJN1" s="2" t="n"/>
      <c r="PJO1" s="2" t="n"/>
      <c r="PJP1" s="2" t="n"/>
      <c r="PJQ1" s="2" t="n"/>
      <c r="PJR1" s="2" t="n"/>
      <c r="PJS1" s="2" t="n"/>
      <c r="PJT1" s="2" t="n"/>
      <c r="PJU1" s="2" t="n"/>
      <c r="PJV1" s="2" t="n"/>
      <c r="PJW1" s="2" t="n"/>
      <c r="PJX1" s="2" t="n"/>
      <c r="PJY1" s="2" t="n"/>
      <c r="PJZ1" s="2" t="n"/>
      <c r="PKA1" s="2" t="n"/>
      <c r="PKB1" s="2" t="n"/>
      <c r="PKC1" s="2" t="n"/>
      <c r="PKD1" s="2" t="n"/>
      <c r="PKE1" s="2" t="n"/>
      <c r="PKF1" s="2" t="n"/>
      <c r="PKG1" s="2" t="n"/>
      <c r="PKH1" s="2" t="n"/>
      <c r="PKI1" s="2" t="n"/>
      <c r="PKJ1" s="2" t="n"/>
      <c r="PKK1" s="2" t="n"/>
      <c r="PKL1" s="2" t="n"/>
      <c r="PKM1" s="2" t="n"/>
      <c r="PKN1" s="2" t="n"/>
      <c r="PKO1" s="2" t="n"/>
      <c r="PKP1" s="2" t="n"/>
      <c r="PKQ1" s="2" t="n"/>
      <c r="PKR1" s="2" t="n"/>
      <c r="PKS1" s="2" t="n"/>
      <c r="PKT1" s="2" t="n"/>
      <c r="PKU1" s="2" t="n"/>
      <c r="PKV1" s="2" t="n"/>
      <c r="PKW1" s="2" t="n"/>
      <c r="PKX1" s="2" t="n"/>
      <c r="PKY1" s="2" t="n"/>
      <c r="PKZ1" s="2" t="n"/>
      <c r="PLA1" s="2" t="n"/>
      <c r="PLB1" s="2" t="n"/>
      <c r="PLC1" s="2" t="n"/>
      <c r="PLD1" s="2" t="n"/>
      <c r="PLE1" s="2" t="n"/>
      <c r="PLF1" s="2" t="n"/>
      <c r="PLG1" s="2" t="n"/>
      <c r="PLH1" s="2" t="n"/>
      <c r="PLI1" s="2" t="n"/>
      <c r="PLJ1" s="2" t="n"/>
      <c r="PLK1" s="2" t="n"/>
      <c r="PLL1" s="2" t="n"/>
      <c r="PLM1" s="2" t="n"/>
      <c r="PLN1" s="2" t="n"/>
      <c r="PLO1" s="2" t="n"/>
      <c r="PLP1" s="2" t="n"/>
      <c r="PLQ1" s="2" t="n"/>
      <c r="PLR1" s="2" t="n"/>
      <c r="PLS1" s="2" t="n"/>
      <c r="PLT1" s="2" t="n"/>
      <c r="PLU1" s="2" t="n"/>
      <c r="PLV1" s="2" t="n"/>
      <c r="PLW1" s="2" t="n"/>
      <c r="PLX1" s="2" t="n"/>
      <c r="PLY1" s="2" t="n"/>
      <c r="PLZ1" s="2" t="n"/>
      <c r="PMA1" s="2" t="n"/>
      <c r="PMB1" s="2" t="n"/>
      <c r="PMC1" s="2" t="n"/>
      <c r="PMD1" s="2" t="n"/>
      <c r="PME1" s="2" t="n"/>
      <c r="PMF1" s="2" t="n"/>
      <c r="PMG1" s="2" t="n"/>
      <c r="PMH1" s="2" t="n"/>
      <c r="PMI1" s="2" t="n"/>
      <c r="PMJ1" s="2" t="n"/>
      <c r="PMK1" s="2" t="n"/>
      <c r="PML1" s="2" t="n"/>
      <c r="PMM1" s="2" t="n"/>
      <c r="PMN1" s="2" t="n"/>
      <c r="PMO1" s="2" t="n"/>
      <c r="PMP1" s="2" t="n"/>
      <c r="PMQ1" s="2" t="n"/>
      <c r="PMR1" s="2" t="n"/>
      <c r="PMS1" s="2" t="n"/>
      <c r="PMT1" s="2" t="n"/>
      <c r="PMU1" s="2" t="n"/>
      <c r="PMV1" s="2" t="n"/>
      <c r="PMW1" s="2" t="n"/>
      <c r="PMX1" s="2" t="n"/>
      <c r="PMY1" s="2" t="n"/>
      <c r="PMZ1" s="2" t="n"/>
      <c r="PNA1" s="2" t="n"/>
      <c r="PNB1" s="2" t="n"/>
      <c r="PNC1" s="2" t="n"/>
      <c r="PND1" s="2" t="n"/>
      <c r="PNE1" s="2" t="n"/>
      <c r="PNF1" s="2" t="n"/>
      <c r="PNG1" s="2" t="n"/>
      <c r="PNH1" s="2" t="n"/>
      <c r="PNI1" s="2" t="n"/>
      <c r="PNJ1" s="2" t="n"/>
      <c r="PNK1" s="2" t="n"/>
      <c r="PNL1" s="2" t="n"/>
      <c r="PNM1" s="2" t="n"/>
      <c r="PNN1" s="2" t="n"/>
      <c r="PNO1" s="2" t="n"/>
      <c r="PNP1" s="2" t="n"/>
      <c r="PNQ1" s="2" t="n"/>
      <c r="PNR1" s="2" t="n"/>
      <c r="PNS1" s="2" t="n"/>
      <c r="PNT1" s="2" t="n"/>
      <c r="PNU1" s="2" t="n"/>
      <c r="PNV1" s="2" t="n"/>
      <c r="PNW1" s="2" t="n"/>
      <c r="PNX1" s="2" t="n"/>
      <c r="PNY1" s="2" t="n"/>
      <c r="PNZ1" s="2" t="n"/>
      <c r="POA1" s="2" t="n"/>
      <c r="POB1" s="2" t="n"/>
      <c r="POC1" s="2" t="n"/>
      <c r="POD1" s="2" t="n"/>
      <c r="POE1" s="2" t="n"/>
      <c r="POF1" s="2" t="n"/>
      <c r="POG1" s="2" t="n"/>
      <c r="POH1" s="2" t="n"/>
      <c r="POI1" s="2" t="n"/>
      <c r="POJ1" s="2" t="n"/>
      <c r="POK1" s="2" t="n"/>
      <c r="POL1" s="2" t="n"/>
      <c r="POM1" s="2" t="n"/>
      <c r="PON1" s="2" t="n"/>
      <c r="POO1" s="2" t="n"/>
      <c r="POP1" s="2" t="n"/>
      <c r="POQ1" s="2" t="n"/>
      <c r="POR1" s="2" t="n"/>
      <c r="POS1" s="2" t="n"/>
      <c r="POT1" s="2" t="n"/>
      <c r="POU1" s="2" t="n"/>
      <c r="POV1" s="2" t="n"/>
      <c r="POW1" s="2" t="n"/>
      <c r="POX1" s="2" t="n"/>
      <c r="POY1" s="2" t="n"/>
      <c r="POZ1" s="2" t="n"/>
      <c r="PPA1" s="2" t="n"/>
      <c r="PPB1" s="2" t="n"/>
      <c r="PPC1" s="2" t="n"/>
      <c r="PPD1" s="2" t="n"/>
      <c r="PPE1" s="2" t="n"/>
      <c r="PPF1" s="2" t="n"/>
      <c r="PPG1" s="2" t="n"/>
      <c r="PPH1" s="2" t="n"/>
      <c r="PPI1" s="2" t="n"/>
      <c r="PPJ1" s="2" t="n"/>
      <c r="PPK1" s="2" t="n"/>
      <c r="PPL1" s="2" t="n"/>
      <c r="PPM1" s="2" t="n"/>
      <c r="PPN1" s="2" t="n"/>
      <c r="PPO1" s="2" t="n"/>
      <c r="PPP1" s="2" t="n"/>
      <c r="PPQ1" s="2" t="n"/>
      <c r="PPR1" s="2" t="n"/>
      <c r="PPS1" s="2" t="n"/>
      <c r="PPT1" s="2" t="n"/>
      <c r="PPU1" s="2" t="n"/>
      <c r="PPV1" s="2" t="n"/>
      <c r="PPW1" s="2" t="n"/>
      <c r="PPX1" s="2" t="n"/>
      <c r="PPY1" s="2" t="n"/>
      <c r="PPZ1" s="2" t="n"/>
      <c r="PQA1" s="2" t="n"/>
      <c r="PQB1" s="2" t="n"/>
      <c r="PQC1" s="2" t="n"/>
      <c r="PQD1" s="2" t="n"/>
      <c r="PQE1" s="2" t="n"/>
      <c r="PQF1" s="2" t="n"/>
      <c r="PQG1" s="2" t="n"/>
      <c r="PQH1" s="2" t="n"/>
      <c r="PQI1" s="2" t="n"/>
      <c r="PQJ1" s="2" t="n"/>
      <c r="PQK1" s="2" t="n"/>
      <c r="PQL1" s="2" t="n"/>
      <c r="PQM1" s="2" t="n"/>
      <c r="PQN1" s="2" t="n"/>
      <c r="PQO1" s="2" t="n"/>
      <c r="PQP1" s="2" t="n"/>
      <c r="PQQ1" s="2" t="n"/>
      <c r="PQR1" s="2" t="n"/>
      <c r="PQS1" s="2" t="n"/>
      <c r="PQT1" s="2" t="n"/>
      <c r="PQU1" s="2" t="n"/>
      <c r="PQV1" s="2" t="n"/>
      <c r="PQW1" s="2" t="n"/>
      <c r="PQX1" s="2" t="n"/>
      <c r="PQY1" s="2" t="n"/>
      <c r="PQZ1" s="2" t="n"/>
      <c r="PRA1" s="2" t="n"/>
      <c r="PRB1" s="2" t="n"/>
      <c r="PRC1" s="2" t="n"/>
      <c r="PRD1" s="2" t="n"/>
      <c r="PRE1" s="2" t="n"/>
      <c r="PRF1" s="2" t="n"/>
      <c r="PRG1" s="2" t="n"/>
      <c r="PRH1" s="2" t="n"/>
      <c r="PRI1" s="2" t="n"/>
      <c r="PRJ1" s="2" t="n"/>
      <c r="PRK1" s="2" t="n"/>
      <c r="PRL1" s="2" t="n"/>
      <c r="PRM1" s="2" t="n"/>
      <c r="PRN1" s="2" t="n"/>
      <c r="PRO1" s="2" t="n"/>
      <c r="PRP1" s="2" t="n"/>
      <c r="PRQ1" s="2" t="n"/>
      <c r="PRR1" s="2" t="n"/>
      <c r="PRS1" s="2" t="n"/>
      <c r="PRT1" s="2" t="n"/>
      <c r="PRU1" s="2" t="n"/>
      <c r="PRV1" s="2" t="n"/>
      <c r="PRW1" s="2" t="n"/>
      <c r="PRX1" s="2" t="n"/>
      <c r="PRY1" s="2" t="n"/>
      <c r="PRZ1" s="2" t="n"/>
      <c r="PSA1" s="2" t="n"/>
      <c r="PSB1" s="2" t="n"/>
      <c r="PSC1" s="2" t="n"/>
      <c r="PSD1" s="2" t="n"/>
      <c r="PSE1" s="2" t="n"/>
      <c r="PSF1" s="2" t="n"/>
      <c r="PSG1" s="2" t="n"/>
      <c r="PSH1" s="2" t="n"/>
      <c r="PSI1" s="2" t="n"/>
      <c r="PSJ1" s="2" t="n"/>
      <c r="PSK1" s="2" t="n"/>
      <c r="PSL1" s="2" t="n"/>
      <c r="PSM1" s="2" t="n"/>
      <c r="PSN1" s="2" t="n"/>
      <c r="PSO1" s="2" t="n"/>
      <c r="PSP1" s="2" t="n"/>
      <c r="PSQ1" s="2" t="n"/>
      <c r="PSR1" s="2" t="n"/>
      <c r="PSS1" s="2" t="n"/>
      <c r="PST1" s="2" t="n"/>
      <c r="PSU1" s="2" t="n"/>
      <c r="PSV1" s="2" t="n"/>
      <c r="PSW1" s="2" t="n"/>
      <c r="PSX1" s="2" t="n"/>
      <c r="PSY1" s="2" t="n"/>
      <c r="PSZ1" s="2" t="n"/>
      <c r="PTA1" s="2" t="n"/>
      <c r="PTB1" s="2" t="n"/>
      <c r="PTC1" s="2" t="n"/>
      <c r="PTD1" s="2" t="n"/>
      <c r="PTE1" s="2" t="n"/>
      <c r="PTF1" s="2" t="n"/>
      <c r="PTG1" s="2" t="n"/>
      <c r="PTH1" s="2" t="n"/>
      <c r="PTI1" s="2" t="n"/>
      <c r="PTJ1" s="2" t="n"/>
      <c r="PTK1" s="2" t="n"/>
      <c r="PTL1" s="2" t="n"/>
      <c r="PTM1" s="2" t="n"/>
      <c r="PTN1" s="2" t="n"/>
      <c r="PTO1" s="2" t="n"/>
      <c r="PTP1" s="2" t="n"/>
      <c r="PTQ1" s="2" t="n"/>
      <c r="PTR1" s="2" t="n"/>
      <c r="PTS1" s="2" t="n"/>
      <c r="PTT1" s="2" t="n"/>
      <c r="PTU1" s="2" t="n"/>
      <c r="PTV1" s="2" t="n"/>
      <c r="PTW1" s="2" t="n"/>
      <c r="PTX1" s="2" t="n"/>
      <c r="PTY1" s="2" t="n"/>
      <c r="PTZ1" s="2" t="n"/>
      <c r="PUA1" s="2" t="n"/>
      <c r="PUB1" s="2" t="n"/>
      <c r="PUC1" s="2" t="n"/>
      <c r="PUD1" s="2" t="n"/>
      <c r="PUE1" s="2" t="n"/>
      <c r="PUF1" s="2" t="n"/>
      <c r="PUG1" s="2" t="n"/>
      <c r="PUH1" s="2" t="n"/>
      <c r="PUI1" s="2" t="n"/>
      <c r="PUJ1" s="2" t="n"/>
      <c r="PUK1" s="2" t="n"/>
      <c r="PUL1" s="2" t="n"/>
      <c r="PUM1" s="2" t="n"/>
      <c r="PUN1" s="2" t="n"/>
      <c r="PUO1" s="2" t="n"/>
      <c r="PUP1" s="2" t="n"/>
      <c r="PUQ1" s="2" t="n"/>
      <c r="PUR1" s="2" t="n"/>
      <c r="PUS1" s="2" t="n"/>
      <c r="PUT1" s="2" t="n"/>
      <c r="PUU1" s="2" t="n"/>
      <c r="PUV1" s="2" t="n"/>
      <c r="PUW1" s="2" t="n"/>
      <c r="PUX1" s="2" t="n"/>
      <c r="PUY1" s="2" t="n"/>
      <c r="PUZ1" s="2" t="n"/>
      <c r="PVA1" s="2" t="n"/>
      <c r="PVB1" s="2" t="n"/>
      <c r="PVC1" s="2" t="n"/>
      <c r="PVD1" s="2" t="n"/>
      <c r="PVE1" s="2" t="n"/>
      <c r="PVF1" s="2" t="n"/>
      <c r="PVG1" s="2" t="n"/>
      <c r="PVH1" s="2" t="n"/>
      <c r="PVI1" s="2" t="n"/>
      <c r="PVJ1" s="2" t="n"/>
      <c r="PVK1" s="2" t="n"/>
      <c r="PVL1" s="2" t="n"/>
      <c r="PVM1" s="2" t="n"/>
      <c r="PVN1" s="2" t="n"/>
      <c r="PVO1" s="2" t="n"/>
      <c r="PVP1" s="2" t="n"/>
      <c r="PVQ1" s="2" t="n"/>
      <c r="PVR1" s="2" t="n"/>
      <c r="PVS1" s="2" t="n"/>
      <c r="PVT1" s="2" t="n"/>
      <c r="PVU1" s="2" t="n"/>
      <c r="PVV1" s="2" t="n"/>
      <c r="PVW1" s="2" t="n"/>
      <c r="PVX1" s="2" t="n"/>
      <c r="PVY1" s="2" t="n"/>
      <c r="PVZ1" s="2" t="n"/>
      <c r="PWA1" s="2" t="n"/>
      <c r="PWB1" s="2" t="n"/>
      <c r="PWC1" s="2" t="n"/>
      <c r="PWD1" s="2" t="n"/>
      <c r="PWE1" s="2" t="n"/>
      <c r="PWF1" s="2" t="n"/>
      <c r="PWG1" s="2" t="n"/>
      <c r="PWH1" s="2" t="n"/>
      <c r="PWI1" s="2" t="n"/>
      <c r="PWJ1" s="2" t="n"/>
      <c r="PWK1" s="2" t="n"/>
      <c r="PWL1" s="2" t="n"/>
      <c r="PWM1" s="2" t="n"/>
      <c r="PWN1" s="2" t="n"/>
      <c r="PWO1" s="2" t="n"/>
      <c r="PWP1" s="2" t="n"/>
      <c r="PWQ1" s="2" t="n"/>
      <c r="PWR1" s="2" t="n"/>
      <c r="PWS1" s="2" t="n"/>
      <c r="PWT1" s="2" t="n"/>
      <c r="PWU1" s="2" t="n"/>
      <c r="PWV1" s="2" t="n"/>
      <c r="PWW1" s="2" t="n"/>
      <c r="PWX1" s="2" t="n"/>
      <c r="PWY1" s="2" t="n"/>
      <c r="PWZ1" s="2" t="n"/>
      <c r="PXA1" s="2" t="n"/>
      <c r="PXB1" s="2" t="n"/>
      <c r="PXC1" s="2" t="n"/>
      <c r="PXD1" s="2" t="n"/>
      <c r="PXE1" s="2" t="n"/>
      <c r="PXF1" s="2" t="n"/>
      <c r="PXG1" s="2" t="n"/>
      <c r="PXH1" s="2" t="n"/>
      <c r="PXI1" s="2" t="n"/>
      <c r="PXJ1" s="2" t="n"/>
      <c r="PXK1" s="2" t="n"/>
      <c r="PXL1" s="2" t="n"/>
      <c r="PXM1" s="2" t="n"/>
      <c r="PXN1" s="2" t="n"/>
      <c r="PXO1" s="2" t="n"/>
      <c r="PXP1" s="2" t="n"/>
      <c r="PXQ1" s="2" t="n"/>
      <c r="PXR1" s="2" t="n"/>
      <c r="PXS1" s="2" t="n"/>
      <c r="PXT1" s="2" t="n"/>
      <c r="PXU1" s="2" t="n"/>
      <c r="PXV1" s="2" t="n"/>
      <c r="PXW1" s="2" t="n"/>
      <c r="PXX1" s="2" t="n"/>
      <c r="PXY1" s="2" t="n"/>
      <c r="PXZ1" s="2" t="n"/>
      <c r="PYA1" s="2" t="n"/>
      <c r="PYB1" s="2" t="n"/>
      <c r="PYC1" s="2" t="n"/>
      <c r="PYD1" s="2" t="n"/>
      <c r="PYE1" s="2" t="n"/>
      <c r="PYF1" s="2" t="n"/>
      <c r="PYG1" s="2" t="n"/>
      <c r="PYH1" s="2" t="n"/>
      <c r="PYI1" s="2" t="n"/>
      <c r="PYJ1" s="2" t="n"/>
      <c r="PYK1" s="2" t="n"/>
      <c r="PYL1" s="2" t="n"/>
      <c r="PYM1" s="2" t="n"/>
      <c r="PYN1" s="2" t="n"/>
      <c r="PYO1" s="2" t="n"/>
      <c r="PYP1" s="2" t="n"/>
      <c r="PYQ1" s="2" t="n"/>
      <c r="PYR1" s="2" t="n"/>
      <c r="PYS1" s="2" t="n"/>
      <c r="PYT1" s="2" t="n"/>
      <c r="PYU1" s="2" t="n"/>
      <c r="PYV1" s="2" t="n"/>
      <c r="PYW1" s="2" t="n"/>
      <c r="PYX1" s="2" t="n"/>
      <c r="PYY1" s="2" t="n"/>
      <c r="PYZ1" s="2" t="n"/>
      <c r="PZA1" s="2" t="n"/>
      <c r="PZB1" s="2" t="n"/>
      <c r="PZC1" s="2" t="n"/>
      <c r="PZD1" s="2" t="n"/>
      <c r="PZE1" s="2" t="n"/>
      <c r="PZF1" s="2" t="n"/>
      <c r="PZG1" s="2" t="n"/>
      <c r="PZH1" s="2" t="n"/>
      <c r="PZI1" s="2" t="n"/>
      <c r="PZJ1" s="2" t="n"/>
      <c r="PZK1" s="2" t="n"/>
      <c r="PZL1" s="2" t="n"/>
      <c r="PZM1" s="2" t="n"/>
      <c r="PZN1" s="2" t="n"/>
      <c r="PZO1" s="2" t="n"/>
      <c r="PZP1" s="2" t="n"/>
      <c r="PZQ1" s="2" t="n"/>
      <c r="PZR1" s="2" t="n"/>
      <c r="PZS1" s="2" t="n"/>
      <c r="PZT1" s="2" t="n"/>
      <c r="PZU1" s="2" t="n"/>
      <c r="PZV1" s="2" t="n"/>
      <c r="PZW1" s="2" t="n"/>
      <c r="PZX1" s="2" t="n"/>
      <c r="PZY1" s="2" t="n"/>
      <c r="PZZ1" s="2" t="n"/>
      <c r="QAA1" s="2" t="n"/>
      <c r="QAB1" s="2" t="n"/>
      <c r="QAC1" s="2" t="n"/>
      <c r="QAD1" s="2" t="n"/>
      <c r="QAE1" s="2" t="n"/>
      <c r="QAF1" s="2" t="n"/>
      <c r="QAG1" s="2" t="n"/>
      <c r="QAH1" s="2" t="n"/>
      <c r="QAI1" s="2" t="n"/>
      <c r="QAJ1" s="2" t="n"/>
      <c r="QAK1" s="2" t="n"/>
      <c r="QAL1" s="2" t="n"/>
      <c r="QAM1" s="2" t="n"/>
      <c r="QAN1" s="2" t="n"/>
      <c r="QAO1" s="2" t="n"/>
      <c r="QAP1" s="2" t="n"/>
      <c r="QAQ1" s="2" t="n"/>
      <c r="QAR1" s="2" t="n"/>
      <c r="QAS1" s="2" t="n"/>
      <c r="QAT1" s="2" t="n"/>
      <c r="QAU1" s="2" t="n"/>
      <c r="QAV1" s="2" t="n"/>
      <c r="QAW1" s="2" t="n"/>
      <c r="QAX1" s="2" t="n"/>
      <c r="QAY1" s="2" t="n"/>
      <c r="QAZ1" s="2" t="n"/>
      <c r="QBA1" s="2" t="n"/>
      <c r="QBB1" s="2" t="n"/>
      <c r="QBC1" s="2" t="n"/>
      <c r="QBD1" s="2" t="n"/>
      <c r="QBE1" s="2" t="n"/>
      <c r="QBF1" s="2" t="n"/>
      <c r="QBG1" s="2" t="n"/>
      <c r="QBH1" s="2" t="n"/>
      <c r="QBI1" s="2" t="n"/>
      <c r="QBJ1" s="2" t="n"/>
      <c r="QBK1" s="2" t="n"/>
      <c r="QBL1" s="2" t="n"/>
      <c r="QBM1" s="2" t="n"/>
      <c r="QBN1" s="2" t="n"/>
      <c r="QBO1" s="2" t="n"/>
      <c r="QBP1" s="2" t="n"/>
      <c r="QBQ1" s="2" t="n"/>
      <c r="QBR1" s="2" t="n"/>
      <c r="QBS1" s="2" t="n"/>
      <c r="QBT1" s="2" t="n"/>
      <c r="QBU1" s="2" t="n"/>
      <c r="QBV1" s="2" t="n"/>
      <c r="QBW1" s="2" t="n"/>
      <c r="QBX1" s="2" t="n"/>
      <c r="QBY1" s="2" t="n"/>
      <c r="QBZ1" s="2" t="n"/>
      <c r="QCA1" s="2" t="n"/>
      <c r="QCB1" s="2" t="n"/>
      <c r="QCC1" s="2" t="n"/>
      <c r="QCD1" s="2" t="n"/>
      <c r="QCE1" s="2" t="n"/>
      <c r="QCF1" s="2" t="n"/>
      <c r="QCG1" s="2" t="n"/>
      <c r="QCH1" s="2" t="n"/>
      <c r="QCI1" s="2" t="n"/>
      <c r="QCJ1" s="2" t="n"/>
      <c r="QCK1" s="2" t="n"/>
      <c r="QCL1" s="2" t="n"/>
      <c r="QCM1" s="2" t="n"/>
      <c r="QCN1" s="2" t="n"/>
      <c r="QCO1" s="2" t="n"/>
      <c r="QCP1" s="2" t="n"/>
      <c r="QCQ1" s="2" t="n"/>
      <c r="QCR1" s="2" t="n"/>
      <c r="QCS1" s="2" t="n"/>
      <c r="QCT1" s="2" t="n"/>
      <c r="QCU1" s="2" t="n"/>
      <c r="QCV1" s="2" t="n"/>
      <c r="QCW1" s="2" t="n"/>
      <c r="QCX1" s="2" t="n"/>
      <c r="QCY1" s="2" t="n"/>
      <c r="QCZ1" s="2" t="n"/>
      <c r="QDA1" s="2" t="n"/>
      <c r="QDB1" s="2" t="n"/>
      <c r="QDC1" s="2" t="n"/>
      <c r="QDD1" s="2" t="n"/>
      <c r="QDE1" s="2" t="n"/>
      <c r="QDF1" s="2" t="n"/>
      <c r="QDG1" s="2" t="n"/>
      <c r="QDH1" s="2" t="n"/>
      <c r="QDI1" s="2" t="n"/>
      <c r="QDJ1" s="2" t="n"/>
      <c r="QDK1" s="2" t="n"/>
      <c r="QDL1" s="2" t="n"/>
      <c r="QDM1" s="2" t="n"/>
      <c r="QDN1" s="2" t="n"/>
      <c r="QDO1" s="2" t="n"/>
      <c r="QDP1" s="2" t="n"/>
      <c r="QDQ1" s="2" t="n"/>
      <c r="QDR1" s="2" t="n"/>
      <c r="QDS1" s="2" t="n"/>
      <c r="QDT1" s="2" t="n"/>
      <c r="QDU1" s="2" t="n"/>
      <c r="QDV1" s="2" t="n"/>
      <c r="QDW1" s="2" t="n"/>
      <c r="QDX1" s="2" t="n"/>
      <c r="QDY1" s="2" t="n"/>
      <c r="QDZ1" s="2" t="n"/>
      <c r="QEA1" s="2" t="n"/>
      <c r="QEB1" s="2" t="n"/>
      <c r="QEC1" s="2" t="n"/>
      <c r="QED1" s="2" t="n"/>
      <c r="QEE1" s="2" t="n"/>
      <c r="QEF1" s="2" t="n"/>
      <c r="QEG1" s="2" t="n"/>
      <c r="QEH1" s="2" t="n"/>
      <c r="QEI1" s="2" t="n"/>
      <c r="QEJ1" s="2" t="n"/>
      <c r="QEK1" s="2" t="n"/>
      <c r="QEL1" s="2" t="n"/>
      <c r="QEM1" s="2" t="n"/>
      <c r="QEN1" s="2" t="n"/>
      <c r="QEO1" s="2" t="n"/>
      <c r="QEP1" s="2" t="n"/>
      <c r="QEQ1" s="2" t="n"/>
      <c r="QER1" s="2" t="n"/>
      <c r="QES1" s="2" t="n"/>
      <c r="QET1" s="2" t="n"/>
      <c r="QEU1" s="2" t="n"/>
      <c r="QEV1" s="2" t="n"/>
      <c r="QEW1" s="2" t="n"/>
      <c r="QEX1" s="2" t="n"/>
      <c r="QEY1" s="2" t="n"/>
      <c r="QEZ1" s="2" t="n"/>
      <c r="QFA1" s="2" t="n"/>
      <c r="QFB1" s="2" t="n"/>
      <c r="QFC1" s="2" t="n"/>
      <c r="QFD1" s="2" t="n"/>
      <c r="QFE1" s="2" t="n"/>
      <c r="QFF1" s="2" t="n"/>
      <c r="QFG1" s="2" t="n"/>
      <c r="QFH1" s="2" t="n"/>
      <c r="QFI1" s="2" t="n"/>
      <c r="QFJ1" s="2" t="n"/>
      <c r="QFK1" s="2" t="n"/>
      <c r="QFL1" s="2" t="n"/>
      <c r="QFM1" s="2" t="n"/>
      <c r="QFN1" s="2" t="n"/>
      <c r="QFO1" s="2" t="n"/>
      <c r="QFP1" s="2" t="n"/>
      <c r="QFQ1" s="2" t="n"/>
      <c r="QFR1" s="2" t="n"/>
      <c r="QFS1" s="2" t="n"/>
      <c r="QFT1" s="2" t="n"/>
      <c r="QFU1" s="2" t="n"/>
      <c r="QFV1" s="2" t="n"/>
      <c r="QFW1" s="2" t="n"/>
      <c r="QFX1" s="2" t="n"/>
      <c r="QFY1" s="2" t="n"/>
      <c r="QFZ1" s="2" t="n"/>
      <c r="QGA1" s="2" t="n"/>
      <c r="QGB1" s="2" t="n"/>
      <c r="QGC1" s="2" t="n"/>
      <c r="QGD1" s="2" t="n"/>
      <c r="QGE1" s="2" t="n"/>
      <c r="QGF1" s="2" t="n"/>
      <c r="QGG1" s="2" t="n"/>
      <c r="QGH1" s="2" t="n"/>
      <c r="QGI1" s="2" t="n"/>
      <c r="QGJ1" s="2" t="n"/>
      <c r="QGK1" s="2" t="n"/>
      <c r="QGL1" s="2" t="n"/>
      <c r="QGM1" s="2" t="n"/>
      <c r="QGN1" s="2" t="n"/>
      <c r="QGO1" s="2" t="n"/>
      <c r="QGP1" s="2" t="n"/>
      <c r="QGQ1" s="2" t="n"/>
      <c r="QGR1" s="2" t="n"/>
      <c r="QGS1" s="2" t="n"/>
      <c r="QGT1" s="2" t="n"/>
      <c r="QGU1" s="2" t="n"/>
      <c r="QGV1" s="2" t="n"/>
      <c r="QGW1" s="2" t="n"/>
      <c r="QGX1" s="2" t="n"/>
      <c r="QGY1" s="2" t="n"/>
      <c r="QGZ1" s="2" t="n"/>
      <c r="QHA1" s="2" t="n"/>
      <c r="QHB1" s="2" t="n"/>
      <c r="QHC1" s="2" t="n"/>
      <c r="QHD1" s="2" t="n"/>
      <c r="QHE1" s="2" t="n"/>
      <c r="QHF1" s="2" t="n"/>
      <c r="QHG1" s="2" t="n"/>
      <c r="QHH1" s="2" t="n"/>
      <c r="QHI1" s="2" t="n"/>
      <c r="QHJ1" s="2" t="n"/>
      <c r="QHK1" s="2" t="n"/>
      <c r="QHL1" s="2" t="n"/>
      <c r="QHM1" s="2" t="n"/>
      <c r="QHN1" s="2" t="n"/>
      <c r="QHO1" s="2" t="n"/>
      <c r="QHP1" s="2" t="n"/>
      <c r="QHQ1" s="2" t="n"/>
      <c r="QHR1" s="2" t="n"/>
      <c r="QHS1" s="2" t="n"/>
      <c r="QHT1" s="2" t="n"/>
      <c r="QHU1" s="2" t="n"/>
      <c r="QHV1" s="2" t="n"/>
      <c r="QHW1" s="2" t="n"/>
      <c r="QHX1" s="2" t="n"/>
      <c r="QHY1" s="2" t="n"/>
      <c r="QHZ1" s="2" t="n"/>
      <c r="QIA1" s="2" t="n"/>
      <c r="QIB1" s="2" t="n"/>
      <c r="QIC1" s="2" t="n"/>
      <c r="QID1" s="2" t="n"/>
      <c r="QIE1" s="2" t="n"/>
      <c r="QIF1" s="2" t="n"/>
      <c r="QIG1" s="2" t="n"/>
      <c r="QIH1" s="2" t="n"/>
      <c r="QII1" s="2" t="n"/>
      <c r="QIJ1" s="2" t="n"/>
      <c r="QIK1" s="2" t="n"/>
      <c r="QIL1" s="2" t="n"/>
      <c r="QIM1" s="2" t="n"/>
      <c r="QIN1" s="2" t="n"/>
      <c r="QIO1" s="2" t="n"/>
      <c r="QIP1" s="2" t="n"/>
      <c r="QIQ1" s="2" t="n"/>
      <c r="QIR1" s="2" t="n"/>
      <c r="QIS1" s="2" t="n"/>
      <c r="QIT1" s="2" t="n"/>
      <c r="QIU1" s="2" t="n"/>
      <c r="QIV1" s="2" t="n"/>
      <c r="QIW1" s="2" t="n"/>
      <c r="QIX1" s="2" t="n"/>
      <c r="QIY1" s="2" t="n"/>
      <c r="QIZ1" s="2" t="n"/>
      <c r="QJA1" s="2" t="n"/>
      <c r="QJB1" s="2" t="n"/>
      <c r="QJC1" s="2" t="n"/>
      <c r="QJD1" s="2" t="n"/>
      <c r="QJE1" s="2" t="n"/>
      <c r="QJF1" s="2" t="n"/>
      <c r="QJG1" s="2" t="n"/>
      <c r="QJH1" s="2" t="n"/>
      <c r="QJI1" s="2" t="n"/>
      <c r="QJJ1" s="2" t="n"/>
      <c r="QJK1" s="2" t="n"/>
      <c r="QJL1" s="2" t="n"/>
      <c r="QJM1" s="2" t="n"/>
      <c r="QJN1" s="2" t="n"/>
      <c r="QJO1" s="2" t="n"/>
      <c r="QJP1" s="2" t="n"/>
      <c r="QJQ1" s="2" t="n"/>
      <c r="QJR1" s="2" t="n"/>
      <c r="QJS1" s="2" t="n"/>
      <c r="QJT1" s="2" t="n"/>
      <c r="QJU1" s="2" t="n"/>
      <c r="QJV1" s="2" t="n"/>
      <c r="QJW1" s="2" t="n"/>
      <c r="QJX1" s="2" t="n"/>
      <c r="QJY1" s="2" t="n"/>
      <c r="QJZ1" s="2" t="n"/>
      <c r="QKA1" s="2" t="n"/>
      <c r="QKB1" s="2" t="n"/>
      <c r="QKC1" s="2" t="n"/>
      <c r="QKD1" s="2" t="n"/>
      <c r="QKE1" s="2" t="n"/>
      <c r="QKF1" s="2" t="n"/>
      <c r="QKG1" s="2" t="n"/>
      <c r="QKH1" s="2" t="n"/>
      <c r="QKI1" s="2" t="n"/>
      <c r="QKJ1" s="2" t="n"/>
      <c r="QKK1" s="2" t="n"/>
      <c r="QKL1" s="2" t="n"/>
      <c r="QKM1" s="2" t="n"/>
      <c r="QKN1" s="2" t="n"/>
      <c r="QKO1" s="2" t="n"/>
      <c r="QKP1" s="2" t="n"/>
      <c r="QKQ1" s="2" t="n"/>
      <c r="QKR1" s="2" t="n"/>
      <c r="QKS1" s="2" t="n"/>
      <c r="QKT1" s="2" t="n"/>
      <c r="QKU1" s="2" t="n"/>
      <c r="QKV1" s="2" t="n"/>
      <c r="QKW1" s="2" t="n"/>
      <c r="QKX1" s="2" t="n"/>
      <c r="QKY1" s="2" t="n"/>
      <c r="QKZ1" s="2" t="n"/>
      <c r="QLA1" s="2" t="n"/>
      <c r="QLB1" s="2" t="n"/>
      <c r="QLC1" s="2" t="n"/>
      <c r="QLD1" s="2" t="n"/>
      <c r="QLE1" s="2" t="n"/>
      <c r="QLF1" s="2" t="n"/>
      <c r="QLG1" s="2" t="n"/>
      <c r="QLH1" s="2" t="n"/>
      <c r="QLI1" s="2" t="n"/>
      <c r="QLJ1" s="2" t="n"/>
      <c r="QLK1" s="2" t="n"/>
      <c r="QLL1" s="2" t="n"/>
      <c r="QLM1" s="2" t="n"/>
      <c r="QLN1" s="2" t="n"/>
      <c r="QLO1" s="2" t="n"/>
      <c r="QLP1" s="2" t="n"/>
      <c r="QLQ1" s="2" t="n"/>
      <c r="QLR1" s="2" t="n"/>
      <c r="QLS1" s="2" t="n"/>
      <c r="QLT1" s="2" t="n"/>
      <c r="QLU1" s="2" t="n"/>
      <c r="QLV1" s="2" t="n"/>
      <c r="QLW1" s="2" t="n"/>
      <c r="QLX1" s="2" t="n"/>
      <c r="QLY1" s="2" t="n"/>
      <c r="QLZ1" s="2" t="n"/>
      <c r="QMA1" s="2" t="n"/>
      <c r="QMB1" s="2" t="n"/>
      <c r="QMC1" s="2" t="n"/>
      <c r="QMD1" s="2" t="n"/>
      <c r="QME1" s="2" t="n"/>
      <c r="QMF1" s="2" t="n"/>
      <c r="QMG1" s="2" t="n"/>
      <c r="QMH1" s="2" t="n"/>
      <c r="QMI1" s="2" t="n"/>
      <c r="QMJ1" s="2" t="n"/>
      <c r="QMK1" s="2" t="n"/>
      <c r="QML1" s="2" t="n"/>
      <c r="QMM1" s="2" t="n"/>
      <c r="QMN1" s="2" t="n"/>
      <c r="QMO1" s="2" t="n"/>
      <c r="QMP1" s="2" t="n"/>
      <c r="QMQ1" s="2" t="n"/>
      <c r="QMR1" s="2" t="n"/>
      <c r="QMS1" s="2" t="n"/>
      <c r="QMT1" s="2" t="n"/>
      <c r="QMU1" s="2" t="n"/>
      <c r="QMV1" s="2" t="n"/>
      <c r="QMW1" s="2" t="n"/>
      <c r="QMX1" s="2" t="n"/>
      <c r="QMY1" s="2" t="n"/>
      <c r="QMZ1" s="2" t="n"/>
      <c r="QNA1" s="2" t="n"/>
      <c r="QNB1" s="2" t="n"/>
      <c r="QNC1" s="2" t="n"/>
      <c r="QND1" s="2" t="n"/>
      <c r="QNE1" s="2" t="n"/>
      <c r="QNF1" s="2" t="n"/>
      <c r="QNG1" s="2" t="n"/>
      <c r="QNH1" s="2" t="n"/>
      <c r="QNI1" s="2" t="n"/>
      <c r="QNJ1" s="2" t="n"/>
      <c r="QNK1" s="2" t="n"/>
      <c r="QNL1" s="2" t="n"/>
      <c r="QNM1" s="2" t="n"/>
      <c r="QNN1" s="2" t="n"/>
      <c r="QNO1" s="2" t="n"/>
      <c r="QNP1" s="2" t="n"/>
      <c r="QNQ1" s="2" t="n"/>
      <c r="QNR1" s="2" t="n"/>
      <c r="QNS1" s="2" t="n"/>
      <c r="QNT1" s="2" t="n"/>
      <c r="QNU1" s="2" t="n"/>
      <c r="QNV1" s="2" t="n"/>
      <c r="QNW1" s="2" t="n"/>
      <c r="QNX1" s="2" t="n"/>
      <c r="QNY1" s="2" t="n"/>
      <c r="QNZ1" s="2" t="n"/>
      <c r="QOA1" s="2" t="n"/>
      <c r="QOB1" s="2" t="n"/>
      <c r="QOC1" s="2" t="n"/>
      <c r="QOD1" s="2" t="n"/>
      <c r="QOE1" s="2" t="n"/>
      <c r="QOF1" s="2" t="n"/>
      <c r="QOG1" s="2" t="n"/>
      <c r="QOH1" s="2" t="n"/>
      <c r="QOI1" s="2" t="n"/>
      <c r="QOJ1" s="2" t="n"/>
      <c r="QOK1" s="2" t="n"/>
      <c r="QOL1" s="2" t="n"/>
      <c r="QOM1" s="2" t="n"/>
      <c r="QON1" s="2" t="n"/>
      <c r="QOO1" s="2" t="n"/>
      <c r="QOP1" s="2" t="n"/>
      <c r="QOQ1" s="2" t="n"/>
      <c r="QOR1" s="2" t="n"/>
      <c r="QOS1" s="2" t="n"/>
      <c r="QOT1" s="2" t="n"/>
      <c r="QOU1" s="2" t="n"/>
      <c r="QOV1" s="2" t="n"/>
      <c r="QOW1" s="2" t="n"/>
      <c r="QOX1" s="2" t="n"/>
      <c r="QOY1" s="2" t="n"/>
      <c r="QOZ1" s="2" t="n"/>
      <c r="QPA1" s="2" t="n"/>
      <c r="QPB1" s="2" t="n"/>
      <c r="QPC1" s="2" t="n"/>
      <c r="QPD1" s="2" t="n"/>
      <c r="QPE1" s="2" t="n"/>
      <c r="QPF1" s="2" t="n"/>
      <c r="QPG1" s="2" t="n"/>
      <c r="QPH1" s="2" t="n"/>
      <c r="QPI1" s="2" t="n"/>
      <c r="QPJ1" s="2" t="n"/>
      <c r="QPK1" s="2" t="n"/>
      <c r="QPL1" s="2" t="n"/>
      <c r="QPM1" s="2" t="n"/>
      <c r="QPN1" s="2" t="n"/>
      <c r="QPO1" s="2" t="n"/>
      <c r="QPP1" s="2" t="n"/>
      <c r="QPQ1" s="2" t="n"/>
      <c r="QPR1" s="2" t="n"/>
      <c r="QPS1" s="2" t="n"/>
      <c r="QPT1" s="2" t="n"/>
      <c r="QPU1" s="2" t="n"/>
      <c r="QPV1" s="2" t="n"/>
      <c r="QPW1" s="2" t="n"/>
      <c r="QPX1" s="2" t="n"/>
      <c r="QPY1" s="2" t="n"/>
      <c r="QPZ1" s="2" t="n"/>
      <c r="QQA1" s="2" t="n"/>
      <c r="QQB1" s="2" t="n"/>
      <c r="QQC1" s="2" t="n"/>
      <c r="QQD1" s="2" t="n"/>
      <c r="QQE1" s="2" t="n"/>
      <c r="QQF1" s="2" t="n"/>
      <c r="QQG1" s="2" t="n"/>
      <c r="QQH1" s="2" t="n"/>
      <c r="QQI1" s="2" t="n"/>
      <c r="QQJ1" s="2" t="n"/>
      <c r="QQK1" s="2" t="n"/>
      <c r="QQL1" s="2" t="n"/>
      <c r="QQM1" s="2" t="n"/>
      <c r="QQN1" s="2" t="n"/>
      <c r="QQO1" s="2" t="n"/>
      <c r="QQP1" s="2" t="n"/>
      <c r="QQQ1" s="2" t="n"/>
      <c r="QQR1" s="2" t="n"/>
      <c r="QQS1" s="2" t="n"/>
      <c r="QQT1" s="2" t="n"/>
      <c r="QQU1" s="2" t="n"/>
      <c r="QQV1" s="2" t="n"/>
      <c r="QQW1" s="2" t="n"/>
      <c r="QQX1" s="2" t="n"/>
      <c r="QQY1" s="2" t="n"/>
      <c r="QQZ1" s="2" t="n"/>
      <c r="QRA1" s="2" t="n"/>
      <c r="QRB1" s="2" t="n"/>
      <c r="QRC1" s="2" t="n"/>
      <c r="QRD1" s="2" t="n"/>
      <c r="QRE1" s="2" t="n"/>
      <c r="QRF1" s="2" t="n"/>
      <c r="QRG1" s="2" t="n"/>
      <c r="QRH1" s="2" t="n"/>
      <c r="QRI1" s="2" t="n"/>
      <c r="QRJ1" s="2" t="n"/>
      <c r="QRK1" s="2" t="n"/>
      <c r="QRL1" s="2" t="n"/>
      <c r="QRM1" s="2" t="n"/>
      <c r="QRN1" s="2" t="n"/>
      <c r="QRO1" s="2" t="n"/>
      <c r="QRP1" s="2" t="n"/>
      <c r="QRQ1" s="2" t="n"/>
      <c r="QRR1" s="2" t="n"/>
      <c r="QRS1" s="2" t="n"/>
      <c r="QRT1" s="2" t="n"/>
      <c r="QRU1" s="2" t="n"/>
      <c r="QRV1" s="2" t="n"/>
      <c r="QRW1" s="2" t="n"/>
      <c r="QRX1" s="2" t="n"/>
      <c r="QRY1" s="2" t="n"/>
      <c r="QRZ1" s="2" t="n"/>
      <c r="QSA1" s="2" t="n"/>
      <c r="QSB1" s="2" t="n"/>
      <c r="QSC1" s="2" t="n"/>
      <c r="QSD1" s="2" t="n"/>
      <c r="QSE1" s="2" t="n"/>
      <c r="QSF1" s="2" t="n"/>
      <c r="QSG1" s="2" t="n"/>
      <c r="QSH1" s="2" t="n"/>
      <c r="QSI1" s="2" t="n"/>
      <c r="QSJ1" s="2" t="n"/>
      <c r="QSK1" s="2" t="n"/>
      <c r="QSL1" s="2" t="n"/>
      <c r="QSM1" s="2" t="n"/>
      <c r="QSN1" s="2" t="n"/>
      <c r="QSO1" s="2" t="n"/>
      <c r="QSP1" s="2" t="n"/>
      <c r="QSQ1" s="2" t="n"/>
      <c r="QSR1" s="2" t="n"/>
      <c r="QSS1" s="2" t="n"/>
      <c r="QST1" s="2" t="n"/>
      <c r="QSU1" s="2" t="n"/>
      <c r="QSV1" s="2" t="n"/>
      <c r="QSW1" s="2" t="n"/>
      <c r="QSX1" s="2" t="n"/>
      <c r="QSY1" s="2" t="n"/>
      <c r="QSZ1" s="2" t="n"/>
      <c r="QTA1" s="2" t="n"/>
      <c r="QTB1" s="2" t="n"/>
      <c r="QTC1" s="2" t="n"/>
      <c r="QTD1" s="2" t="n"/>
      <c r="QTE1" s="2" t="n"/>
      <c r="QTF1" s="2" t="n"/>
      <c r="QTG1" s="2" t="n"/>
      <c r="QTH1" s="2" t="n"/>
      <c r="QTI1" s="2" t="n"/>
      <c r="QTJ1" s="2" t="n"/>
      <c r="QTK1" s="2" t="n"/>
      <c r="QTL1" s="2" t="n"/>
      <c r="QTM1" s="2" t="n"/>
      <c r="QTN1" s="2" t="n"/>
      <c r="QTO1" s="2" t="n"/>
      <c r="QTP1" s="2" t="n"/>
      <c r="QTQ1" s="2" t="n"/>
      <c r="QTR1" s="2" t="n"/>
      <c r="QTS1" s="2" t="n"/>
      <c r="QTT1" s="2" t="n"/>
      <c r="QTU1" s="2" t="n"/>
      <c r="QTV1" s="2" t="n"/>
      <c r="QTW1" s="2" t="n"/>
      <c r="QTX1" s="2" t="n"/>
      <c r="QTY1" s="2" t="n"/>
      <c r="QTZ1" s="2" t="n"/>
      <c r="QUA1" s="2" t="n"/>
      <c r="QUB1" s="2" t="n"/>
      <c r="QUC1" s="2" t="n"/>
      <c r="QUD1" s="2" t="n"/>
      <c r="QUE1" s="2" t="n"/>
      <c r="QUF1" s="2" t="n"/>
      <c r="QUG1" s="2" t="n"/>
      <c r="QUH1" s="2" t="n"/>
      <c r="QUI1" s="2" t="n"/>
      <c r="QUJ1" s="2" t="n"/>
      <c r="QUK1" s="2" t="n"/>
      <c r="QUL1" s="2" t="n"/>
      <c r="QUM1" s="2" t="n"/>
      <c r="QUN1" s="2" t="n"/>
      <c r="QUO1" s="2" t="n"/>
      <c r="QUP1" s="2" t="n"/>
      <c r="QUQ1" s="2" t="n"/>
      <c r="QUR1" s="2" t="n"/>
      <c r="QUS1" s="2" t="n"/>
      <c r="QUT1" s="2" t="n"/>
      <c r="QUU1" s="2" t="n"/>
      <c r="QUV1" s="2" t="n"/>
      <c r="QUW1" s="2" t="n"/>
      <c r="QUX1" s="2" t="n"/>
      <c r="QUY1" s="2" t="n"/>
      <c r="QUZ1" s="2" t="n"/>
      <c r="QVA1" s="2" t="n"/>
      <c r="QVB1" s="2" t="n"/>
      <c r="QVC1" s="2" t="n"/>
      <c r="QVD1" s="2" t="n"/>
      <c r="QVE1" s="2" t="n"/>
      <c r="QVF1" s="2" t="n"/>
      <c r="QVG1" s="2" t="n"/>
      <c r="QVH1" s="2" t="n"/>
      <c r="QVI1" s="2" t="n"/>
      <c r="QVJ1" s="2" t="n"/>
      <c r="QVK1" s="2" t="n"/>
      <c r="QVL1" s="2" t="n"/>
      <c r="QVM1" s="2" t="n"/>
      <c r="QVN1" s="2" t="n"/>
      <c r="QVO1" s="2" t="n"/>
      <c r="QVP1" s="2" t="n"/>
      <c r="QVQ1" s="2" t="n"/>
      <c r="QVR1" s="2" t="n"/>
      <c r="QVS1" s="2" t="n"/>
      <c r="QVT1" s="2" t="n"/>
      <c r="QVU1" s="2" t="n"/>
      <c r="QVV1" s="2" t="n"/>
      <c r="QVW1" s="2" t="n"/>
      <c r="QVX1" s="2" t="n"/>
      <c r="QVY1" s="2" t="n"/>
      <c r="QVZ1" s="2" t="n"/>
      <c r="QWA1" s="2" t="n"/>
      <c r="QWB1" s="2" t="n"/>
      <c r="QWC1" s="2" t="n"/>
      <c r="QWD1" s="2" t="n"/>
      <c r="QWE1" s="2" t="n"/>
      <c r="QWF1" s="2" t="n"/>
      <c r="QWG1" s="2" t="n"/>
      <c r="QWH1" s="2" t="n"/>
      <c r="QWI1" s="2" t="n"/>
      <c r="QWJ1" s="2" t="n"/>
      <c r="QWK1" s="2" t="n"/>
      <c r="QWL1" s="2" t="n"/>
      <c r="QWM1" s="2" t="n"/>
      <c r="QWN1" s="2" t="n"/>
      <c r="QWO1" s="2" t="n"/>
      <c r="QWP1" s="2" t="n"/>
      <c r="QWQ1" s="2" t="n"/>
      <c r="QWR1" s="2" t="n"/>
      <c r="QWS1" s="2" t="n"/>
      <c r="QWT1" s="2" t="n"/>
      <c r="QWU1" s="2" t="n"/>
      <c r="QWV1" s="2" t="n"/>
      <c r="QWW1" s="2" t="n"/>
      <c r="QWX1" s="2" t="n"/>
      <c r="QWY1" s="2" t="n"/>
      <c r="QWZ1" s="2" t="n"/>
      <c r="QXA1" s="2" t="n"/>
      <c r="QXB1" s="2" t="n"/>
      <c r="QXC1" s="2" t="n"/>
      <c r="QXD1" s="2" t="n"/>
      <c r="QXE1" s="2" t="n"/>
      <c r="QXF1" s="2" t="n"/>
      <c r="QXG1" s="2" t="n"/>
      <c r="QXH1" s="2" t="n"/>
      <c r="QXI1" s="2" t="n"/>
      <c r="QXJ1" s="2" t="n"/>
      <c r="QXK1" s="2" t="n"/>
      <c r="QXL1" s="2" t="n"/>
      <c r="QXM1" s="2" t="n"/>
      <c r="QXN1" s="2" t="n"/>
      <c r="QXO1" s="2" t="n"/>
      <c r="QXP1" s="2" t="n"/>
      <c r="QXQ1" s="2" t="n"/>
      <c r="QXR1" s="2" t="n"/>
      <c r="QXS1" s="2" t="n"/>
      <c r="QXT1" s="2" t="n"/>
      <c r="QXU1" s="2" t="n"/>
      <c r="QXV1" s="2" t="n"/>
      <c r="QXW1" s="2" t="n"/>
      <c r="QXX1" s="2" t="n"/>
      <c r="QXY1" s="2" t="n"/>
      <c r="QXZ1" s="2" t="n"/>
      <c r="QYA1" s="2" t="n"/>
      <c r="QYB1" s="2" t="n"/>
      <c r="QYC1" s="2" t="n"/>
      <c r="QYD1" s="2" t="n"/>
      <c r="QYE1" s="2" t="n"/>
      <c r="QYF1" s="2" t="n"/>
      <c r="QYG1" s="2" t="n"/>
      <c r="QYH1" s="2" t="n"/>
      <c r="QYI1" s="2" t="n"/>
      <c r="QYJ1" s="2" t="n"/>
      <c r="QYK1" s="2" t="n"/>
      <c r="QYL1" s="2" t="n"/>
      <c r="QYM1" s="2" t="n"/>
      <c r="QYN1" s="2" t="n"/>
      <c r="QYO1" s="2" t="n"/>
      <c r="QYP1" s="2" t="n"/>
      <c r="QYQ1" s="2" t="n"/>
      <c r="QYR1" s="2" t="n"/>
      <c r="QYS1" s="2" t="n"/>
      <c r="QYT1" s="2" t="n"/>
      <c r="QYU1" s="2" t="n"/>
      <c r="QYV1" s="2" t="n"/>
      <c r="QYW1" s="2" t="n"/>
      <c r="QYX1" s="2" t="n"/>
      <c r="QYY1" s="2" t="n"/>
      <c r="QYZ1" s="2" t="n"/>
      <c r="QZA1" s="2" t="n"/>
      <c r="QZB1" s="2" t="n"/>
      <c r="QZC1" s="2" t="n"/>
      <c r="QZD1" s="2" t="n"/>
      <c r="QZE1" s="2" t="n"/>
      <c r="QZF1" s="2" t="n"/>
      <c r="QZG1" s="2" t="n"/>
      <c r="QZH1" s="2" t="n"/>
      <c r="QZI1" s="2" t="n"/>
      <c r="QZJ1" s="2" t="n"/>
      <c r="QZK1" s="2" t="n"/>
      <c r="QZL1" s="2" t="n"/>
      <c r="QZM1" s="2" t="n"/>
      <c r="QZN1" s="2" t="n"/>
      <c r="QZO1" s="2" t="n"/>
      <c r="QZP1" s="2" t="n"/>
      <c r="QZQ1" s="2" t="n"/>
      <c r="QZR1" s="2" t="n"/>
      <c r="QZS1" s="2" t="n"/>
      <c r="QZT1" s="2" t="n"/>
      <c r="QZU1" s="2" t="n"/>
      <c r="QZV1" s="2" t="n"/>
      <c r="QZW1" s="2" t="n"/>
      <c r="QZX1" s="2" t="n"/>
      <c r="QZY1" s="2" t="n"/>
      <c r="QZZ1" s="2" t="n"/>
      <c r="RAA1" s="2" t="n"/>
      <c r="RAB1" s="2" t="n"/>
      <c r="RAC1" s="2" t="n"/>
      <c r="RAD1" s="2" t="n"/>
      <c r="RAE1" s="2" t="n"/>
      <c r="RAF1" s="2" t="n"/>
      <c r="RAG1" s="2" t="n"/>
      <c r="RAH1" s="2" t="n"/>
      <c r="RAI1" s="2" t="n"/>
      <c r="RAJ1" s="2" t="n"/>
      <c r="RAK1" s="2" t="n"/>
      <c r="RAL1" s="2" t="n"/>
      <c r="RAM1" s="2" t="n"/>
      <c r="RAN1" s="2" t="n"/>
      <c r="RAO1" s="2" t="n"/>
      <c r="RAP1" s="2" t="n"/>
      <c r="RAQ1" s="2" t="n"/>
      <c r="RAR1" s="2" t="n"/>
      <c r="RAS1" s="2" t="n"/>
      <c r="RAT1" s="2" t="n"/>
      <c r="RAU1" s="2" t="n"/>
      <c r="RAV1" s="2" t="n"/>
      <c r="RAW1" s="2" t="n"/>
      <c r="RAX1" s="2" t="n"/>
      <c r="RAY1" s="2" t="n"/>
      <c r="RAZ1" s="2" t="n"/>
      <c r="RBA1" s="2" t="n"/>
      <c r="RBB1" s="2" t="n"/>
      <c r="RBC1" s="2" t="n"/>
      <c r="RBD1" s="2" t="n"/>
      <c r="RBE1" s="2" t="n"/>
      <c r="RBF1" s="2" t="n"/>
      <c r="RBG1" s="2" t="n"/>
      <c r="RBH1" s="2" t="n"/>
      <c r="RBI1" s="2" t="n"/>
      <c r="RBJ1" s="2" t="n"/>
      <c r="RBK1" s="2" t="n"/>
      <c r="RBL1" s="2" t="n"/>
      <c r="RBM1" s="2" t="n"/>
      <c r="RBN1" s="2" t="n"/>
      <c r="RBO1" s="2" t="n"/>
      <c r="RBP1" s="2" t="n"/>
      <c r="RBQ1" s="2" t="n"/>
      <c r="RBR1" s="2" t="n"/>
      <c r="RBS1" s="2" t="n"/>
      <c r="RBT1" s="2" t="n"/>
      <c r="RBU1" s="2" t="n"/>
      <c r="RBV1" s="2" t="n"/>
      <c r="RBW1" s="2" t="n"/>
      <c r="RBX1" s="2" t="n"/>
      <c r="RBY1" s="2" t="n"/>
      <c r="RBZ1" s="2" t="n"/>
      <c r="RCA1" s="2" t="n"/>
      <c r="RCB1" s="2" t="n"/>
      <c r="RCC1" s="2" t="n"/>
      <c r="RCD1" s="2" t="n"/>
      <c r="RCE1" s="2" t="n"/>
      <c r="RCF1" s="2" t="n"/>
      <c r="RCG1" s="2" t="n"/>
      <c r="RCH1" s="2" t="n"/>
      <c r="RCI1" s="2" t="n"/>
      <c r="RCJ1" s="2" t="n"/>
      <c r="RCK1" s="2" t="n"/>
      <c r="RCL1" s="2" t="n"/>
      <c r="RCM1" s="2" t="n"/>
      <c r="RCN1" s="2" t="n"/>
      <c r="RCO1" s="2" t="n"/>
      <c r="RCP1" s="2" t="n"/>
      <c r="RCQ1" s="2" t="n"/>
      <c r="RCR1" s="2" t="n"/>
      <c r="RCS1" s="2" t="n"/>
      <c r="RCT1" s="2" t="n"/>
      <c r="RCU1" s="2" t="n"/>
      <c r="RCV1" s="2" t="n"/>
      <c r="RCW1" s="2" t="n"/>
      <c r="RCX1" s="2" t="n"/>
      <c r="RCY1" s="2" t="n"/>
      <c r="RCZ1" s="2" t="n"/>
      <c r="RDA1" s="2" t="n"/>
      <c r="RDB1" s="2" t="n"/>
      <c r="RDC1" s="2" t="n"/>
      <c r="RDD1" s="2" t="n"/>
      <c r="RDE1" s="2" t="n"/>
      <c r="RDF1" s="2" t="n"/>
      <c r="RDG1" s="2" t="n"/>
      <c r="RDH1" s="2" t="n"/>
      <c r="RDI1" s="2" t="n"/>
      <c r="RDJ1" s="2" t="n"/>
      <c r="RDK1" s="2" t="n"/>
      <c r="RDL1" s="2" t="n"/>
      <c r="RDM1" s="2" t="n"/>
      <c r="RDN1" s="2" t="n"/>
      <c r="RDO1" s="2" t="n"/>
      <c r="RDP1" s="2" t="n"/>
      <c r="RDQ1" s="2" t="n"/>
      <c r="RDR1" s="2" t="n"/>
      <c r="RDS1" s="2" t="n"/>
      <c r="RDT1" s="2" t="n"/>
      <c r="RDU1" s="2" t="n"/>
      <c r="RDV1" s="2" t="n"/>
      <c r="RDW1" s="2" t="n"/>
      <c r="RDX1" s="2" t="n"/>
      <c r="RDY1" s="2" t="n"/>
      <c r="RDZ1" s="2" t="n"/>
      <c r="REA1" s="2" t="n"/>
      <c r="REB1" s="2" t="n"/>
      <c r="REC1" s="2" t="n"/>
      <c r="RED1" s="2" t="n"/>
      <c r="REE1" s="2" t="n"/>
      <c r="REF1" s="2" t="n"/>
      <c r="REG1" s="2" t="n"/>
      <c r="REH1" s="2" t="n"/>
      <c r="REI1" s="2" t="n"/>
      <c r="REJ1" s="2" t="n"/>
      <c r="REK1" s="2" t="n"/>
      <c r="REL1" s="2" t="n"/>
      <c r="REM1" s="2" t="n"/>
      <c r="REN1" s="2" t="n"/>
      <c r="REO1" s="2" t="n"/>
      <c r="REP1" s="2" t="n"/>
      <c r="REQ1" s="2" t="n"/>
      <c r="RER1" s="2" t="n"/>
      <c r="RES1" s="2" t="n"/>
      <c r="RET1" s="2" t="n"/>
      <c r="REU1" s="2" t="n"/>
      <c r="REV1" s="2" t="n"/>
      <c r="REW1" s="2" t="n"/>
      <c r="REX1" s="2" t="n"/>
      <c r="REY1" s="2" t="n"/>
      <c r="REZ1" s="2" t="n"/>
      <c r="RFA1" s="2" t="n"/>
      <c r="RFB1" s="2" t="n"/>
      <c r="RFC1" s="2" t="n"/>
      <c r="RFD1" s="2" t="n"/>
      <c r="RFE1" s="2" t="n"/>
      <c r="RFF1" s="2" t="n"/>
      <c r="RFG1" s="2" t="n"/>
      <c r="RFH1" s="2" t="n"/>
      <c r="RFI1" s="2" t="n"/>
      <c r="RFJ1" s="2" t="n"/>
      <c r="RFK1" s="2" t="n"/>
      <c r="RFL1" s="2" t="n"/>
      <c r="RFM1" s="2" t="n"/>
      <c r="RFN1" s="2" t="n"/>
      <c r="RFO1" s="2" t="n"/>
      <c r="RFP1" s="2" t="n"/>
      <c r="RFQ1" s="2" t="n"/>
      <c r="RFR1" s="2" t="n"/>
      <c r="RFS1" s="2" t="n"/>
      <c r="RFT1" s="2" t="n"/>
      <c r="RFU1" s="2" t="n"/>
      <c r="RFV1" s="2" t="n"/>
      <c r="RFW1" s="2" t="n"/>
      <c r="RFX1" s="2" t="n"/>
      <c r="RFY1" s="2" t="n"/>
      <c r="RFZ1" s="2" t="n"/>
      <c r="RGA1" s="2" t="n"/>
      <c r="RGB1" s="2" t="n"/>
      <c r="RGC1" s="2" t="n"/>
      <c r="RGD1" s="2" t="n"/>
      <c r="RGE1" s="2" t="n"/>
      <c r="RGF1" s="2" t="n"/>
      <c r="RGG1" s="2" t="n"/>
      <c r="RGH1" s="2" t="n"/>
      <c r="RGI1" s="2" t="n"/>
      <c r="RGJ1" s="2" t="n"/>
      <c r="RGK1" s="2" t="n"/>
      <c r="RGL1" s="2" t="n"/>
      <c r="RGM1" s="2" t="n"/>
      <c r="RGN1" s="2" t="n"/>
      <c r="RGO1" s="2" t="n"/>
      <c r="RGP1" s="2" t="n"/>
      <c r="RGQ1" s="2" t="n"/>
      <c r="RGR1" s="2" t="n"/>
      <c r="RGS1" s="2" t="n"/>
      <c r="RGT1" s="2" t="n"/>
      <c r="RGU1" s="2" t="n"/>
      <c r="RGV1" s="2" t="n"/>
      <c r="RGW1" s="2" t="n"/>
      <c r="RGX1" s="2" t="n"/>
      <c r="RGY1" s="2" t="n"/>
      <c r="RGZ1" s="2" t="n"/>
      <c r="RHA1" s="2" t="n"/>
      <c r="RHB1" s="2" t="n"/>
      <c r="RHC1" s="2" t="n"/>
      <c r="RHD1" s="2" t="n"/>
      <c r="RHE1" s="2" t="n"/>
      <c r="RHF1" s="2" t="n"/>
      <c r="RHG1" s="2" t="n"/>
      <c r="RHH1" s="2" t="n"/>
      <c r="RHI1" s="2" t="n"/>
      <c r="RHJ1" s="2" t="n"/>
      <c r="RHK1" s="2" t="n"/>
      <c r="RHL1" s="2" t="n"/>
      <c r="RHM1" s="2" t="n"/>
      <c r="RHN1" s="2" t="n"/>
      <c r="RHO1" s="2" t="n"/>
      <c r="RHP1" s="2" t="n"/>
      <c r="RHQ1" s="2" t="n"/>
      <c r="RHR1" s="2" t="n"/>
      <c r="RHS1" s="2" t="n"/>
      <c r="RHT1" s="2" t="n"/>
      <c r="RHU1" s="2" t="n"/>
      <c r="RHV1" s="2" t="n"/>
      <c r="RHW1" s="2" t="n"/>
      <c r="RHX1" s="2" t="n"/>
      <c r="RHY1" s="2" t="n"/>
      <c r="RHZ1" s="2" t="n"/>
      <c r="RIA1" s="2" t="n"/>
      <c r="RIB1" s="2" t="n"/>
      <c r="RIC1" s="2" t="n"/>
      <c r="RID1" s="2" t="n"/>
      <c r="RIE1" s="2" t="n"/>
      <c r="RIF1" s="2" t="n"/>
      <c r="RIG1" s="2" t="n"/>
      <c r="RIH1" s="2" t="n"/>
      <c r="RII1" s="2" t="n"/>
      <c r="RIJ1" s="2" t="n"/>
      <c r="RIK1" s="2" t="n"/>
      <c r="RIL1" s="2" t="n"/>
      <c r="RIM1" s="2" t="n"/>
      <c r="RIN1" s="2" t="n"/>
      <c r="RIO1" s="2" t="n"/>
      <c r="RIP1" s="2" t="n"/>
      <c r="RIQ1" s="2" t="n"/>
      <c r="RIR1" s="2" t="n"/>
      <c r="RIS1" s="2" t="n"/>
      <c r="RIT1" s="2" t="n"/>
      <c r="RIU1" s="2" t="n"/>
      <c r="RIV1" s="2" t="n"/>
      <c r="RIW1" s="2" t="n"/>
      <c r="RIX1" s="2" t="n"/>
      <c r="RIY1" s="2" t="n"/>
      <c r="RIZ1" s="2" t="n"/>
      <c r="RJA1" s="2" t="n"/>
      <c r="RJB1" s="2" t="n"/>
      <c r="RJC1" s="2" t="n"/>
      <c r="RJD1" s="2" t="n"/>
      <c r="RJE1" s="2" t="n"/>
      <c r="RJF1" s="2" t="n"/>
      <c r="RJG1" s="2" t="n"/>
      <c r="RJH1" s="2" t="n"/>
      <c r="RJI1" s="2" t="n"/>
      <c r="RJJ1" s="2" t="n"/>
      <c r="RJK1" s="2" t="n"/>
      <c r="RJL1" s="2" t="n"/>
      <c r="RJM1" s="2" t="n"/>
      <c r="RJN1" s="2" t="n"/>
      <c r="RJO1" s="2" t="n"/>
      <c r="RJP1" s="2" t="n"/>
      <c r="RJQ1" s="2" t="n"/>
      <c r="RJR1" s="2" t="n"/>
      <c r="RJS1" s="2" t="n"/>
      <c r="RJT1" s="2" t="n"/>
      <c r="RJU1" s="2" t="n"/>
      <c r="RJV1" s="2" t="n"/>
      <c r="RJW1" s="2" t="n"/>
      <c r="RJX1" s="2" t="n"/>
      <c r="RJY1" s="2" t="n"/>
      <c r="RJZ1" s="2" t="n"/>
      <c r="RKA1" s="2" t="n"/>
      <c r="RKB1" s="2" t="n"/>
      <c r="RKC1" s="2" t="n"/>
      <c r="RKD1" s="2" t="n"/>
      <c r="RKE1" s="2" t="n"/>
      <c r="RKF1" s="2" t="n"/>
      <c r="RKG1" s="2" t="n"/>
      <c r="RKH1" s="2" t="n"/>
      <c r="RKI1" s="2" t="n"/>
      <c r="RKJ1" s="2" t="n"/>
      <c r="RKK1" s="2" t="n"/>
      <c r="RKL1" s="2" t="n"/>
      <c r="RKM1" s="2" t="n"/>
      <c r="RKN1" s="2" t="n"/>
      <c r="RKO1" s="2" t="n"/>
      <c r="RKP1" s="2" t="n"/>
      <c r="RKQ1" s="2" t="n"/>
      <c r="RKR1" s="2" t="n"/>
      <c r="RKS1" s="2" t="n"/>
      <c r="RKT1" s="2" t="n"/>
      <c r="RKU1" s="2" t="n"/>
      <c r="RKV1" s="2" t="n"/>
      <c r="RKW1" s="2" t="n"/>
      <c r="RKX1" s="2" t="n"/>
      <c r="RKY1" s="2" t="n"/>
      <c r="RKZ1" s="2" t="n"/>
      <c r="RLA1" s="2" t="n"/>
      <c r="RLB1" s="2" t="n"/>
      <c r="RLC1" s="2" t="n"/>
      <c r="RLD1" s="2" t="n"/>
      <c r="RLE1" s="2" t="n"/>
      <c r="RLF1" s="2" t="n"/>
      <c r="RLG1" s="2" t="n"/>
      <c r="RLH1" s="2" t="n"/>
      <c r="RLI1" s="2" t="n"/>
      <c r="RLJ1" s="2" t="n"/>
      <c r="RLK1" s="2" t="n"/>
      <c r="RLL1" s="2" t="n"/>
      <c r="RLM1" s="2" t="n"/>
      <c r="RLN1" s="2" t="n"/>
      <c r="RLO1" s="2" t="n"/>
      <c r="RLP1" s="2" t="n"/>
      <c r="RLQ1" s="2" t="n"/>
      <c r="RLR1" s="2" t="n"/>
      <c r="RLS1" s="2" t="n"/>
      <c r="RLT1" s="2" t="n"/>
      <c r="RLU1" s="2" t="n"/>
      <c r="RLV1" s="2" t="n"/>
      <c r="RLW1" s="2" t="n"/>
      <c r="RLX1" s="2" t="n"/>
      <c r="RLY1" s="2" t="n"/>
      <c r="RLZ1" s="2" t="n"/>
      <c r="RMA1" s="2" t="n"/>
      <c r="RMB1" s="2" t="n"/>
      <c r="RMC1" s="2" t="n"/>
      <c r="RMD1" s="2" t="n"/>
      <c r="RME1" s="2" t="n"/>
      <c r="RMF1" s="2" t="n"/>
      <c r="RMG1" s="2" t="n"/>
      <c r="RMH1" s="2" t="n"/>
      <c r="RMI1" s="2" t="n"/>
      <c r="RMJ1" s="2" t="n"/>
      <c r="RMK1" s="2" t="n"/>
      <c r="RML1" s="2" t="n"/>
      <c r="RMM1" s="2" t="n"/>
      <c r="RMN1" s="2" t="n"/>
      <c r="RMO1" s="2" t="n"/>
      <c r="RMP1" s="2" t="n"/>
      <c r="RMQ1" s="2" t="n"/>
      <c r="RMR1" s="2" t="n"/>
      <c r="RMS1" s="2" t="n"/>
      <c r="RMT1" s="2" t="n"/>
      <c r="RMU1" s="2" t="n"/>
      <c r="RMV1" s="2" t="n"/>
      <c r="RMW1" s="2" t="n"/>
      <c r="RMX1" s="2" t="n"/>
      <c r="RMY1" s="2" t="n"/>
      <c r="RMZ1" s="2" t="n"/>
      <c r="RNA1" s="2" t="n"/>
      <c r="RNB1" s="2" t="n"/>
      <c r="RNC1" s="2" t="n"/>
      <c r="RND1" s="2" t="n"/>
      <c r="RNE1" s="2" t="n"/>
      <c r="RNF1" s="2" t="n"/>
      <c r="RNG1" s="2" t="n"/>
      <c r="RNH1" s="2" t="n"/>
      <c r="RNI1" s="2" t="n"/>
      <c r="RNJ1" s="2" t="n"/>
      <c r="RNK1" s="2" t="n"/>
      <c r="RNL1" s="2" t="n"/>
      <c r="RNM1" s="2" t="n"/>
      <c r="RNN1" s="2" t="n"/>
      <c r="RNO1" s="2" t="n"/>
      <c r="RNP1" s="2" t="n"/>
      <c r="RNQ1" s="2" t="n"/>
      <c r="RNR1" s="2" t="n"/>
      <c r="RNS1" s="2" t="n"/>
      <c r="RNT1" s="2" t="n"/>
      <c r="RNU1" s="2" t="n"/>
      <c r="RNV1" s="2" t="n"/>
      <c r="RNW1" s="2" t="n"/>
      <c r="RNX1" s="2" t="n"/>
      <c r="RNY1" s="2" t="n"/>
      <c r="RNZ1" s="2" t="n"/>
      <c r="ROA1" s="2" t="n"/>
      <c r="ROB1" s="2" t="n"/>
      <c r="ROC1" s="2" t="n"/>
      <c r="ROD1" s="2" t="n"/>
      <c r="ROE1" s="2" t="n"/>
      <c r="ROF1" s="2" t="n"/>
      <c r="ROG1" s="2" t="n"/>
      <c r="ROH1" s="2" t="n"/>
      <c r="ROI1" s="2" t="n"/>
      <c r="ROJ1" s="2" t="n"/>
      <c r="ROK1" s="2" t="n"/>
      <c r="ROL1" s="2" t="n"/>
      <c r="ROM1" s="2" t="n"/>
      <c r="RON1" s="2" t="n"/>
      <c r="ROO1" s="2" t="n"/>
      <c r="ROP1" s="2" t="n"/>
      <c r="ROQ1" s="2" t="n"/>
      <c r="ROR1" s="2" t="n"/>
      <c r="ROS1" s="2" t="n"/>
      <c r="ROT1" s="2" t="n"/>
      <c r="ROU1" s="2" t="n"/>
      <c r="ROV1" s="2" t="n"/>
      <c r="ROW1" s="2" t="n"/>
      <c r="ROX1" s="2" t="n"/>
      <c r="ROY1" s="2" t="n"/>
      <c r="ROZ1" s="2" t="n"/>
      <c r="RPA1" s="2" t="n"/>
      <c r="RPB1" s="2" t="n"/>
      <c r="RPC1" s="2" t="n"/>
      <c r="RPD1" s="2" t="n"/>
      <c r="RPE1" s="2" t="n"/>
      <c r="RPF1" s="2" t="n"/>
      <c r="RPG1" s="2" t="n"/>
      <c r="RPH1" s="2" t="n"/>
      <c r="RPI1" s="2" t="n"/>
      <c r="RPJ1" s="2" t="n"/>
      <c r="RPK1" s="2" t="n"/>
      <c r="RPL1" s="2" t="n"/>
      <c r="RPM1" s="2" t="n"/>
      <c r="RPN1" s="2" t="n"/>
      <c r="RPO1" s="2" t="n"/>
      <c r="RPP1" s="2" t="n"/>
      <c r="RPQ1" s="2" t="n"/>
      <c r="RPR1" s="2" t="n"/>
      <c r="RPS1" s="2" t="n"/>
      <c r="RPT1" s="2" t="n"/>
      <c r="RPU1" s="2" t="n"/>
      <c r="RPV1" s="2" t="n"/>
      <c r="RPW1" s="2" t="n"/>
      <c r="RPX1" s="2" t="n"/>
      <c r="RPY1" s="2" t="n"/>
      <c r="RPZ1" s="2" t="n"/>
      <c r="RQA1" s="2" t="n"/>
      <c r="RQB1" s="2" t="n"/>
      <c r="RQC1" s="2" t="n"/>
      <c r="RQD1" s="2" t="n"/>
      <c r="RQE1" s="2" t="n"/>
      <c r="RQF1" s="2" t="n"/>
      <c r="RQG1" s="2" t="n"/>
      <c r="RQH1" s="2" t="n"/>
      <c r="RQI1" s="2" t="n"/>
      <c r="RQJ1" s="2" t="n"/>
      <c r="RQK1" s="2" t="n"/>
      <c r="RQL1" s="2" t="n"/>
      <c r="RQM1" s="2" t="n"/>
      <c r="RQN1" s="2" t="n"/>
      <c r="RQO1" s="2" t="n"/>
      <c r="RQP1" s="2" t="n"/>
      <c r="RQQ1" s="2" t="n"/>
      <c r="RQR1" s="2" t="n"/>
      <c r="RQS1" s="2" t="n"/>
      <c r="RQT1" s="2" t="n"/>
      <c r="RQU1" s="2" t="n"/>
      <c r="RQV1" s="2" t="n"/>
      <c r="RQW1" s="2" t="n"/>
      <c r="RQX1" s="2" t="n"/>
      <c r="RQY1" s="2" t="n"/>
      <c r="RQZ1" s="2" t="n"/>
      <c r="RRA1" s="2" t="n"/>
      <c r="RRB1" s="2" t="n"/>
      <c r="RRC1" s="2" t="n"/>
      <c r="RRD1" s="2" t="n"/>
      <c r="RRE1" s="2" t="n"/>
      <c r="RRF1" s="2" t="n"/>
      <c r="RRG1" s="2" t="n"/>
      <c r="RRH1" s="2" t="n"/>
      <c r="RRI1" s="2" t="n"/>
      <c r="RRJ1" s="2" t="n"/>
      <c r="RRK1" s="2" t="n"/>
      <c r="RRL1" s="2" t="n"/>
      <c r="RRM1" s="2" t="n"/>
      <c r="RRN1" s="2" t="n"/>
      <c r="RRO1" s="2" t="n"/>
      <c r="RRP1" s="2" t="n"/>
      <c r="RRQ1" s="2" t="n"/>
      <c r="RRR1" s="2" t="n"/>
      <c r="RRS1" s="2" t="n"/>
      <c r="RRT1" s="2" t="n"/>
      <c r="RRU1" s="2" t="n"/>
      <c r="RRV1" s="2" t="n"/>
      <c r="RRW1" s="2" t="n"/>
      <c r="RRX1" s="2" t="n"/>
      <c r="RRY1" s="2" t="n"/>
      <c r="RRZ1" s="2" t="n"/>
      <c r="RSA1" s="2" t="n"/>
      <c r="RSB1" s="2" t="n"/>
      <c r="RSC1" s="2" t="n"/>
      <c r="RSD1" s="2" t="n"/>
      <c r="RSE1" s="2" t="n"/>
      <c r="RSF1" s="2" t="n"/>
      <c r="RSG1" s="2" t="n"/>
      <c r="RSH1" s="2" t="n"/>
      <c r="RSI1" s="2" t="n"/>
      <c r="RSJ1" s="2" t="n"/>
      <c r="RSK1" s="2" t="n"/>
      <c r="RSL1" s="2" t="n"/>
      <c r="RSM1" s="2" t="n"/>
      <c r="RSN1" s="2" t="n"/>
      <c r="RSO1" s="2" t="n"/>
      <c r="RSP1" s="2" t="n"/>
      <c r="RSQ1" s="2" t="n"/>
      <c r="RSR1" s="2" t="n"/>
      <c r="RSS1" s="2" t="n"/>
      <c r="RST1" s="2" t="n"/>
      <c r="RSU1" s="2" t="n"/>
      <c r="RSV1" s="2" t="n"/>
      <c r="RSW1" s="2" t="n"/>
      <c r="RSX1" s="2" t="n"/>
      <c r="RSY1" s="2" t="n"/>
      <c r="RSZ1" s="2" t="n"/>
      <c r="RTA1" s="2" t="n"/>
      <c r="RTB1" s="2" t="n"/>
      <c r="RTC1" s="2" t="n"/>
      <c r="RTD1" s="2" t="n"/>
      <c r="RTE1" s="2" t="n"/>
      <c r="RTF1" s="2" t="n"/>
      <c r="RTG1" s="2" t="n"/>
      <c r="RTH1" s="2" t="n"/>
      <c r="RTI1" s="2" t="n"/>
      <c r="RTJ1" s="2" t="n"/>
      <c r="RTK1" s="2" t="n"/>
      <c r="RTL1" s="2" t="n"/>
      <c r="RTM1" s="2" t="n"/>
      <c r="RTN1" s="2" t="n"/>
      <c r="RTO1" s="2" t="n"/>
      <c r="RTP1" s="2" t="n"/>
      <c r="RTQ1" s="2" t="n"/>
      <c r="RTR1" s="2" t="n"/>
      <c r="RTS1" s="2" t="n"/>
      <c r="RTT1" s="2" t="n"/>
      <c r="RTU1" s="2" t="n"/>
      <c r="RTV1" s="2" t="n"/>
      <c r="RTW1" s="2" t="n"/>
      <c r="RTX1" s="2" t="n"/>
      <c r="RTY1" s="2" t="n"/>
      <c r="RTZ1" s="2" t="n"/>
      <c r="RUA1" s="2" t="n"/>
      <c r="RUB1" s="2" t="n"/>
      <c r="RUC1" s="2" t="n"/>
      <c r="RUD1" s="2" t="n"/>
      <c r="RUE1" s="2" t="n"/>
      <c r="RUF1" s="2" t="n"/>
      <c r="RUG1" s="2" t="n"/>
      <c r="RUH1" s="2" t="n"/>
      <c r="RUI1" s="2" t="n"/>
      <c r="RUJ1" s="2" t="n"/>
      <c r="RUK1" s="2" t="n"/>
      <c r="RUL1" s="2" t="n"/>
      <c r="RUM1" s="2" t="n"/>
      <c r="RUN1" s="2" t="n"/>
      <c r="RUO1" s="2" t="n"/>
      <c r="RUP1" s="2" t="n"/>
      <c r="RUQ1" s="2" t="n"/>
      <c r="RUR1" s="2" t="n"/>
      <c r="RUS1" s="2" t="n"/>
      <c r="RUT1" s="2" t="n"/>
      <c r="RUU1" s="2" t="n"/>
      <c r="RUV1" s="2" t="n"/>
      <c r="RUW1" s="2" t="n"/>
      <c r="RUX1" s="2" t="n"/>
      <c r="RUY1" s="2" t="n"/>
      <c r="RUZ1" s="2" t="n"/>
      <c r="RVA1" s="2" t="n"/>
      <c r="RVB1" s="2" t="n"/>
      <c r="RVC1" s="2" t="n"/>
      <c r="RVD1" s="2" t="n"/>
      <c r="RVE1" s="2" t="n"/>
      <c r="RVF1" s="2" t="n"/>
      <c r="RVG1" s="2" t="n"/>
      <c r="RVH1" s="2" t="n"/>
      <c r="RVI1" s="2" t="n"/>
      <c r="RVJ1" s="2" t="n"/>
      <c r="RVK1" s="2" t="n"/>
      <c r="RVL1" s="2" t="n"/>
      <c r="RVM1" s="2" t="n"/>
      <c r="RVN1" s="2" t="n"/>
      <c r="RVO1" s="2" t="n"/>
      <c r="RVP1" s="2" t="n"/>
      <c r="RVQ1" s="2" t="n"/>
      <c r="RVR1" s="2" t="n"/>
      <c r="RVS1" s="2" t="n"/>
      <c r="RVT1" s="2" t="n"/>
      <c r="RVU1" s="2" t="n"/>
      <c r="RVV1" s="2" t="n"/>
      <c r="RVW1" s="2" t="n"/>
      <c r="RVX1" s="2" t="n"/>
      <c r="RVY1" s="2" t="n"/>
      <c r="RVZ1" s="2" t="n"/>
      <c r="RWA1" s="2" t="n"/>
      <c r="RWB1" s="2" t="n"/>
      <c r="RWC1" s="2" t="n"/>
      <c r="RWD1" s="2" t="n"/>
      <c r="RWE1" s="2" t="n"/>
      <c r="RWF1" s="2" t="n"/>
      <c r="RWG1" s="2" t="n"/>
      <c r="RWH1" s="2" t="n"/>
      <c r="RWI1" s="2" t="n"/>
      <c r="RWJ1" s="2" t="n"/>
      <c r="RWK1" s="2" t="n"/>
      <c r="RWL1" s="2" t="n"/>
      <c r="RWM1" s="2" t="n"/>
      <c r="RWN1" s="2" t="n"/>
      <c r="RWO1" s="2" t="n"/>
      <c r="RWP1" s="2" t="n"/>
      <c r="RWQ1" s="2" t="n"/>
      <c r="RWR1" s="2" t="n"/>
      <c r="RWS1" s="2" t="n"/>
      <c r="RWT1" s="2" t="n"/>
      <c r="RWU1" s="2" t="n"/>
      <c r="RWV1" s="2" t="n"/>
      <c r="RWW1" s="2" t="n"/>
      <c r="RWX1" s="2" t="n"/>
      <c r="RWY1" s="2" t="n"/>
      <c r="RWZ1" s="2" t="n"/>
      <c r="RXA1" s="2" t="n"/>
      <c r="RXB1" s="2" t="n"/>
      <c r="RXC1" s="2" t="n"/>
      <c r="RXD1" s="2" t="n"/>
      <c r="RXE1" s="2" t="n"/>
      <c r="RXF1" s="2" t="n"/>
      <c r="RXG1" s="2" t="n"/>
      <c r="RXH1" s="2" t="n"/>
      <c r="RXI1" s="2" t="n"/>
      <c r="RXJ1" s="2" t="n"/>
      <c r="RXK1" s="2" t="n"/>
      <c r="RXL1" s="2" t="n"/>
      <c r="RXM1" s="2" t="n"/>
      <c r="RXN1" s="2" t="n"/>
      <c r="RXO1" s="2" t="n"/>
      <c r="RXP1" s="2" t="n"/>
      <c r="RXQ1" s="2" t="n"/>
      <c r="RXR1" s="2" t="n"/>
      <c r="RXS1" s="2" t="n"/>
      <c r="RXT1" s="2" t="n"/>
      <c r="RXU1" s="2" t="n"/>
      <c r="RXV1" s="2" t="n"/>
      <c r="RXW1" s="2" t="n"/>
      <c r="RXX1" s="2" t="n"/>
      <c r="RXY1" s="2" t="n"/>
      <c r="RXZ1" s="2" t="n"/>
      <c r="RYA1" s="2" t="n"/>
      <c r="RYB1" s="2" t="n"/>
      <c r="RYC1" s="2" t="n"/>
      <c r="RYD1" s="2" t="n"/>
      <c r="RYE1" s="2" t="n"/>
      <c r="RYF1" s="2" t="n"/>
      <c r="RYG1" s="2" t="n"/>
      <c r="RYH1" s="2" t="n"/>
      <c r="RYI1" s="2" t="n"/>
      <c r="RYJ1" s="2" t="n"/>
      <c r="RYK1" s="2" t="n"/>
      <c r="RYL1" s="2" t="n"/>
      <c r="RYM1" s="2" t="n"/>
      <c r="RYN1" s="2" t="n"/>
      <c r="RYO1" s="2" t="n"/>
      <c r="RYP1" s="2" t="n"/>
      <c r="RYQ1" s="2" t="n"/>
      <c r="RYR1" s="2" t="n"/>
      <c r="RYS1" s="2" t="n"/>
      <c r="RYT1" s="2" t="n"/>
      <c r="RYU1" s="2" t="n"/>
      <c r="RYV1" s="2" t="n"/>
      <c r="RYW1" s="2" t="n"/>
      <c r="RYX1" s="2" t="n"/>
      <c r="RYY1" s="2" t="n"/>
      <c r="RYZ1" s="2" t="n"/>
      <c r="RZA1" s="2" t="n"/>
      <c r="RZB1" s="2" t="n"/>
      <c r="RZC1" s="2" t="n"/>
      <c r="RZD1" s="2" t="n"/>
      <c r="RZE1" s="2" t="n"/>
      <c r="RZF1" s="2" t="n"/>
      <c r="RZG1" s="2" t="n"/>
      <c r="RZH1" s="2" t="n"/>
      <c r="RZI1" s="2" t="n"/>
      <c r="RZJ1" s="2" t="n"/>
      <c r="RZK1" s="2" t="n"/>
      <c r="RZL1" s="2" t="n"/>
      <c r="RZM1" s="2" t="n"/>
      <c r="RZN1" s="2" t="n"/>
      <c r="RZO1" s="2" t="n"/>
      <c r="RZP1" s="2" t="n"/>
      <c r="RZQ1" s="2" t="n"/>
      <c r="RZR1" s="2" t="n"/>
      <c r="RZS1" s="2" t="n"/>
      <c r="RZT1" s="2" t="n"/>
      <c r="RZU1" s="2" t="n"/>
      <c r="RZV1" s="2" t="n"/>
      <c r="RZW1" s="2" t="n"/>
      <c r="RZX1" s="2" t="n"/>
      <c r="RZY1" s="2" t="n"/>
      <c r="RZZ1" s="2" t="n"/>
      <c r="SAA1" s="2" t="n"/>
      <c r="SAB1" s="2" t="n"/>
      <c r="SAC1" s="2" t="n"/>
      <c r="SAD1" s="2" t="n"/>
      <c r="SAE1" s="2" t="n"/>
      <c r="SAF1" s="2" t="n"/>
      <c r="SAG1" s="2" t="n"/>
      <c r="SAH1" s="2" t="n"/>
      <c r="SAI1" s="2" t="n"/>
      <c r="SAJ1" s="2" t="n"/>
      <c r="SAK1" s="2" t="n"/>
      <c r="SAL1" s="2" t="n"/>
      <c r="SAM1" s="2" t="n"/>
      <c r="SAN1" s="2" t="n"/>
      <c r="SAO1" s="2" t="n"/>
      <c r="SAP1" s="2" t="n"/>
      <c r="SAQ1" s="2" t="n"/>
      <c r="SAR1" s="2" t="n"/>
      <c r="SAS1" s="2" t="n"/>
      <c r="SAT1" s="2" t="n"/>
      <c r="SAU1" s="2" t="n"/>
      <c r="SAV1" s="2" t="n"/>
      <c r="SAW1" s="2" t="n"/>
      <c r="SAX1" s="2" t="n"/>
      <c r="SAY1" s="2" t="n"/>
      <c r="SAZ1" s="2" t="n"/>
      <c r="SBA1" s="2" t="n"/>
      <c r="SBB1" s="2" t="n"/>
      <c r="SBC1" s="2" t="n"/>
      <c r="SBD1" s="2" t="n"/>
      <c r="SBE1" s="2" t="n"/>
      <c r="SBF1" s="2" t="n"/>
      <c r="SBG1" s="2" t="n"/>
      <c r="SBH1" s="2" t="n"/>
      <c r="SBI1" s="2" t="n"/>
      <c r="SBJ1" s="2" t="n"/>
      <c r="SBK1" s="2" t="n"/>
      <c r="SBL1" s="2" t="n"/>
      <c r="SBM1" s="2" t="n"/>
      <c r="SBN1" s="2" t="n"/>
      <c r="SBO1" s="2" t="n"/>
      <c r="SBP1" s="2" t="n"/>
      <c r="SBQ1" s="2" t="n"/>
      <c r="SBR1" s="2" t="n"/>
      <c r="SBS1" s="2" t="n"/>
      <c r="SBT1" s="2" t="n"/>
      <c r="SBU1" s="2" t="n"/>
      <c r="SBV1" s="2" t="n"/>
      <c r="SBW1" s="2" t="n"/>
      <c r="SBX1" s="2" t="n"/>
      <c r="SBY1" s="2" t="n"/>
      <c r="SBZ1" s="2" t="n"/>
      <c r="SCA1" s="2" t="n"/>
      <c r="SCB1" s="2" t="n"/>
      <c r="SCC1" s="2" t="n"/>
      <c r="SCD1" s="2" t="n"/>
      <c r="SCE1" s="2" t="n"/>
      <c r="SCF1" s="2" t="n"/>
      <c r="SCG1" s="2" t="n"/>
      <c r="SCH1" s="2" t="n"/>
      <c r="SCI1" s="2" t="n"/>
      <c r="SCJ1" s="2" t="n"/>
      <c r="SCK1" s="2" t="n"/>
      <c r="SCL1" s="2" t="n"/>
      <c r="SCM1" s="2" t="n"/>
      <c r="SCN1" s="2" t="n"/>
      <c r="SCO1" s="2" t="n"/>
      <c r="SCP1" s="2" t="n"/>
      <c r="SCQ1" s="2" t="n"/>
      <c r="SCR1" s="2" t="n"/>
      <c r="SCS1" s="2" t="n"/>
      <c r="SCT1" s="2" t="n"/>
      <c r="SCU1" s="2" t="n"/>
      <c r="SCV1" s="2" t="n"/>
      <c r="SCW1" s="2" t="n"/>
      <c r="SCX1" s="2" t="n"/>
      <c r="SCY1" s="2" t="n"/>
      <c r="SCZ1" s="2" t="n"/>
      <c r="SDA1" s="2" t="n"/>
      <c r="SDB1" s="2" t="n"/>
      <c r="SDC1" s="2" t="n"/>
      <c r="SDD1" s="2" t="n"/>
      <c r="SDE1" s="2" t="n"/>
      <c r="SDF1" s="2" t="n"/>
      <c r="SDG1" s="2" t="n"/>
      <c r="SDH1" s="2" t="n"/>
      <c r="SDI1" s="2" t="n"/>
      <c r="SDJ1" s="2" t="n"/>
      <c r="SDK1" s="2" t="n"/>
      <c r="SDL1" s="2" t="n"/>
      <c r="SDM1" s="2" t="n"/>
      <c r="SDN1" s="2" t="n"/>
      <c r="SDO1" s="2" t="n"/>
      <c r="SDP1" s="2" t="n"/>
      <c r="SDQ1" s="2" t="n"/>
      <c r="SDR1" s="2" t="n"/>
      <c r="SDS1" s="2" t="n"/>
      <c r="SDT1" s="2" t="n"/>
      <c r="SDU1" s="2" t="n"/>
      <c r="SDV1" s="2" t="n"/>
      <c r="SDW1" s="2" t="n"/>
      <c r="SDX1" s="2" t="n"/>
      <c r="SDY1" s="2" t="n"/>
      <c r="SDZ1" s="2" t="n"/>
      <c r="SEA1" s="2" t="n"/>
      <c r="SEB1" s="2" t="n"/>
      <c r="SEC1" s="2" t="n"/>
      <c r="SED1" s="2" t="n"/>
      <c r="SEE1" s="2" t="n"/>
      <c r="SEF1" s="2" t="n"/>
      <c r="SEG1" s="2" t="n"/>
      <c r="SEH1" s="2" t="n"/>
      <c r="SEI1" s="2" t="n"/>
      <c r="SEJ1" s="2" t="n"/>
      <c r="SEK1" s="2" t="n"/>
      <c r="SEL1" s="2" t="n"/>
      <c r="SEM1" s="2" t="n"/>
      <c r="SEN1" s="2" t="n"/>
      <c r="SEO1" s="2" t="n"/>
      <c r="SEP1" s="2" t="n"/>
      <c r="SEQ1" s="2" t="n"/>
      <c r="SER1" s="2" t="n"/>
      <c r="SES1" s="2" t="n"/>
      <c r="SET1" s="2" t="n"/>
      <c r="SEU1" s="2" t="n"/>
      <c r="SEV1" s="2" t="n"/>
      <c r="SEW1" s="2" t="n"/>
      <c r="SEX1" s="2" t="n"/>
      <c r="SEY1" s="2" t="n"/>
      <c r="SEZ1" s="2" t="n"/>
      <c r="SFA1" s="2" t="n"/>
      <c r="SFB1" s="2" t="n"/>
      <c r="SFC1" s="2" t="n"/>
      <c r="SFD1" s="2" t="n"/>
      <c r="SFE1" s="2" t="n"/>
      <c r="SFF1" s="2" t="n"/>
      <c r="SFG1" s="2" t="n"/>
      <c r="SFH1" s="2" t="n"/>
      <c r="SFI1" s="2" t="n"/>
      <c r="SFJ1" s="2" t="n"/>
      <c r="SFK1" s="2" t="n"/>
      <c r="SFL1" s="2" t="n"/>
      <c r="SFM1" s="2" t="n"/>
      <c r="SFN1" s="2" t="n"/>
      <c r="SFO1" s="2" t="n"/>
      <c r="SFP1" s="2" t="n"/>
      <c r="SFQ1" s="2" t="n"/>
      <c r="SFR1" s="2" t="n"/>
      <c r="SFS1" s="2" t="n"/>
      <c r="SFT1" s="2" t="n"/>
      <c r="SFU1" s="2" t="n"/>
      <c r="SFV1" s="2" t="n"/>
      <c r="SFW1" s="2" t="n"/>
      <c r="SFX1" s="2" t="n"/>
      <c r="SFY1" s="2" t="n"/>
      <c r="SFZ1" s="2" t="n"/>
      <c r="SGA1" s="2" t="n"/>
      <c r="SGB1" s="2" t="n"/>
      <c r="SGC1" s="2" t="n"/>
      <c r="SGD1" s="2" t="n"/>
      <c r="SGE1" s="2" t="n"/>
      <c r="SGF1" s="2" t="n"/>
      <c r="SGG1" s="2" t="n"/>
      <c r="SGH1" s="2" t="n"/>
      <c r="SGI1" s="2" t="n"/>
      <c r="SGJ1" s="2" t="n"/>
      <c r="SGK1" s="2" t="n"/>
      <c r="SGL1" s="2" t="n"/>
      <c r="SGM1" s="2" t="n"/>
      <c r="SGN1" s="2" t="n"/>
      <c r="SGO1" s="2" t="n"/>
      <c r="SGP1" s="2" t="n"/>
      <c r="SGQ1" s="2" t="n"/>
      <c r="SGR1" s="2" t="n"/>
      <c r="SGS1" s="2" t="n"/>
      <c r="SGT1" s="2" t="n"/>
      <c r="SGU1" s="2" t="n"/>
      <c r="SGV1" s="2" t="n"/>
      <c r="SGW1" s="2" t="n"/>
      <c r="SGX1" s="2" t="n"/>
      <c r="SGY1" s="2" t="n"/>
      <c r="SGZ1" s="2" t="n"/>
      <c r="SHA1" s="2" t="n"/>
      <c r="SHB1" s="2" t="n"/>
      <c r="SHC1" s="2" t="n"/>
      <c r="SHD1" s="2" t="n"/>
      <c r="SHE1" s="2" t="n"/>
      <c r="SHF1" s="2" t="n"/>
      <c r="SHG1" s="2" t="n"/>
      <c r="SHH1" s="2" t="n"/>
      <c r="SHI1" s="2" t="n"/>
      <c r="SHJ1" s="2" t="n"/>
      <c r="SHK1" s="2" t="n"/>
      <c r="SHL1" s="2" t="n"/>
      <c r="SHM1" s="2" t="n"/>
      <c r="SHN1" s="2" t="n"/>
      <c r="SHO1" s="2" t="n"/>
      <c r="SHP1" s="2" t="n"/>
      <c r="SHQ1" s="2" t="n"/>
      <c r="SHR1" s="2" t="n"/>
      <c r="SHS1" s="2" t="n"/>
      <c r="SHT1" s="2" t="n"/>
      <c r="SHU1" s="2" t="n"/>
      <c r="SHV1" s="2" t="n"/>
      <c r="SHW1" s="2" t="n"/>
      <c r="SHX1" s="2" t="n"/>
      <c r="SHY1" s="2" t="n"/>
      <c r="SHZ1" s="2" t="n"/>
      <c r="SIA1" s="2" t="n"/>
      <c r="SIB1" s="2" t="n"/>
      <c r="SIC1" s="2" t="n"/>
      <c r="SID1" s="2" t="n"/>
      <c r="SIE1" s="2" t="n"/>
      <c r="SIF1" s="2" t="n"/>
      <c r="SIG1" s="2" t="n"/>
      <c r="SIH1" s="2" t="n"/>
      <c r="SII1" s="2" t="n"/>
      <c r="SIJ1" s="2" t="n"/>
      <c r="SIK1" s="2" t="n"/>
      <c r="SIL1" s="2" t="n"/>
      <c r="SIM1" s="2" t="n"/>
      <c r="SIN1" s="2" t="n"/>
      <c r="SIO1" s="2" t="n"/>
      <c r="SIP1" s="2" t="n"/>
      <c r="SIQ1" s="2" t="n"/>
      <c r="SIR1" s="2" t="n"/>
      <c r="SIS1" s="2" t="n"/>
      <c r="SIT1" s="2" t="n"/>
      <c r="SIU1" s="2" t="n"/>
      <c r="SIV1" s="2" t="n"/>
      <c r="SIW1" s="2" t="n"/>
      <c r="SIX1" s="2" t="n"/>
      <c r="SIY1" s="2" t="n"/>
      <c r="SIZ1" s="2" t="n"/>
      <c r="SJA1" s="2" t="n"/>
      <c r="SJB1" s="2" t="n"/>
      <c r="SJC1" s="2" t="n"/>
      <c r="SJD1" s="2" t="n"/>
      <c r="SJE1" s="2" t="n"/>
      <c r="SJF1" s="2" t="n"/>
      <c r="SJG1" s="2" t="n"/>
      <c r="SJH1" s="2" t="n"/>
      <c r="SJI1" s="2" t="n"/>
      <c r="SJJ1" s="2" t="n"/>
      <c r="SJK1" s="2" t="n"/>
      <c r="SJL1" s="2" t="n"/>
      <c r="SJM1" s="2" t="n"/>
      <c r="SJN1" s="2" t="n"/>
      <c r="SJO1" s="2" t="n"/>
      <c r="SJP1" s="2" t="n"/>
      <c r="SJQ1" s="2" t="n"/>
      <c r="SJR1" s="2" t="n"/>
      <c r="SJS1" s="2" t="n"/>
      <c r="SJT1" s="2" t="n"/>
      <c r="SJU1" s="2" t="n"/>
      <c r="SJV1" s="2" t="n"/>
      <c r="SJW1" s="2" t="n"/>
      <c r="SJX1" s="2" t="n"/>
      <c r="SJY1" s="2" t="n"/>
      <c r="SJZ1" s="2" t="n"/>
      <c r="SKA1" s="2" t="n"/>
      <c r="SKB1" s="2" t="n"/>
      <c r="SKC1" s="2" t="n"/>
      <c r="SKD1" s="2" t="n"/>
      <c r="SKE1" s="2" t="n"/>
      <c r="SKF1" s="2" t="n"/>
      <c r="SKG1" s="2" t="n"/>
      <c r="SKH1" s="2" t="n"/>
      <c r="SKI1" s="2" t="n"/>
      <c r="SKJ1" s="2" t="n"/>
      <c r="SKK1" s="2" t="n"/>
      <c r="SKL1" s="2" t="n"/>
      <c r="SKM1" s="2" t="n"/>
      <c r="SKN1" s="2" t="n"/>
      <c r="SKO1" s="2" t="n"/>
      <c r="SKP1" s="2" t="n"/>
      <c r="SKQ1" s="2" t="n"/>
      <c r="SKR1" s="2" t="n"/>
      <c r="SKS1" s="2" t="n"/>
      <c r="SKT1" s="2" t="n"/>
      <c r="SKU1" s="2" t="n"/>
      <c r="SKV1" s="2" t="n"/>
      <c r="SKW1" s="2" t="n"/>
      <c r="SKX1" s="2" t="n"/>
      <c r="SKY1" s="2" t="n"/>
      <c r="SKZ1" s="2" t="n"/>
      <c r="SLA1" s="2" t="n"/>
      <c r="SLB1" s="2" t="n"/>
      <c r="SLC1" s="2" t="n"/>
      <c r="SLD1" s="2" t="n"/>
      <c r="SLE1" s="2" t="n"/>
      <c r="SLF1" s="2" t="n"/>
      <c r="SLG1" s="2" t="n"/>
      <c r="SLH1" s="2" t="n"/>
      <c r="SLI1" s="2" t="n"/>
      <c r="SLJ1" s="2" t="n"/>
      <c r="SLK1" s="2" t="n"/>
      <c r="SLL1" s="2" t="n"/>
      <c r="SLM1" s="2" t="n"/>
      <c r="SLN1" s="2" t="n"/>
      <c r="SLO1" s="2" t="n"/>
      <c r="SLP1" s="2" t="n"/>
      <c r="SLQ1" s="2" t="n"/>
      <c r="SLR1" s="2" t="n"/>
      <c r="SLS1" s="2" t="n"/>
      <c r="SLT1" s="2" t="n"/>
      <c r="SLU1" s="2" t="n"/>
      <c r="SLV1" s="2" t="n"/>
      <c r="SLW1" s="2" t="n"/>
      <c r="SLX1" s="2" t="n"/>
      <c r="SLY1" s="2" t="n"/>
      <c r="SLZ1" s="2" t="n"/>
      <c r="SMA1" s="2" t="n"/>
      <c r="SMB1" s="2" t="n"/>
      <c r="SMC1" s="2" t="n"/>
      <c r="SMD1" s="2" t="n"/>
      <c r="SME1" s="2" t="n"/>
      <c r="SMF1" s="2" t="n"/>
      <c r="SMG1" s="2" t="n"/>
      <c r="SMH1" s="2" t="n"/>
      <c r="SMI1" s="2" t="n"/>
      <c r="SMJ1" s="2" t="n"/>
      <c r="SMK1" s="2" t="n"/>
      <c r="SML1" s="2" t="n"/>
      <c r="SMM1" s="2" t="n"/>
      <c r="SMN1" s="2" t="n"/>
      <c r="SMO1" s="2" t="n"/>
      <c r="SMP1" s="2" t="n"/>
      <c r="SMQ1" s="2" t="n"/>
      <c r="SMR1" s="2" t="n"/>
      <c r="SMS1" s="2" t="n"/>
      <c r="SMT1" s="2" t="n"/>
      <c r="SMU1" s="2" t="n"/>
      <c r="SMV1" s="2" t="n"/>
      <c r="SMW1" s="2" t="n"/>
      <c r="SMX1" s="2" t="n"/>
      <c r="SMY1" s="2" t="n"/>
      <c r="SMZ1" s="2" t="n"/>
      <c r="SNA1" s="2" t="n"/>
      <c r="SNB1" s="2" t="n"/>
      <c r="SNC1" s="2" t="n"/>
      <c r="SND1" s="2" t="n"/>
      <c r="SNE1" s="2" t="n"/>
      <c r="SNF1" s="2" t="n"/>
      <c r="SNG1" s="2" t="n"/>
      <c r="SNH1" s="2" t="n"/>
      <c r="SNI1" s="2" t="n"/>
      <c r="SNJ1" s="2" t="n"/>
      <c r="SNK1" s="2" t="n"/>
      <c r="SNL1" s="2" t="n"/>
      <c r="SNM1" s="2" t="n"/>
      <c r="SNN1" s="2" t="n"/>
      <c r="SNO1" s="2" t="n"/>
      <c r="SNP1" s="2" t="n"/>
      <c r="SNQ1" s="2" t="n"/>
      <c r="SNR1" s="2" t="n"/>
      <c r="SNS1" s="2" t="n"/>
      <c r="SNT1" s="2" t="n"/>
      <c r="SNU1" s="2" t="n"/>
      <c r="SNV1" s="2" t="n"/>
      <c r="SNW1" s="2" t="n"/>
      <c r="SNX1" s="2" t="n"/>
      <c r="SNY1" s="2" t="n"/>
      <c r="SNZ1" s="2" t="n"/>
      <c r="SOA1" s="2" t="n"/>
      <c r="SOB1" s="2" t="n"/>
      <c r="SOC1" s="2" t="n"/>
      <c r="SOD1" s="2" t="n"/>
      <c r="SOE1" s="2" t="n"/>
      <c r="SOF1" s="2" t="n"/>
      <c r="SOG1" s="2" t="n"/>
      <c r="SOH1" s="2" t="n"/>
      <c r="SOI1" s="2" t="n"/>
      <c r="SOJ1" s="2" t="n"/>
      <c r="SOK1" s="2" t="n"/>
      <c r="SOL1" s="2" t="n"/>
      <c r="SOM1" s="2" t="n"/>
      <c r="SON1" s="2" t="n"/>
      <c r="SOO1" s="2" t="n"/>
      <c r="SOP1" s="2" t="n"/>
      <c r="SOQ1" s="2" t="n"/>
      <c r="SOR1" s="2" t="n"/>
      <c r="SOS1" s="2" t="n"/>
      <c r="SOT1" s="2" t="n"/>
      <c r="SOU1" s="2" t="n"/>
      <c r="SOV1" s="2" t="n"/>
      <c r="SOW1" s="2" t="n"/>
      <c r="SOX1" s="2" t="n"/>
      <c r="SOY1" s="2" t="n"/>
      <c r="SOZ1" s="2" t="n"/>
      <c r="SPA1" s="2" t="n"/>
      <c r="SPB1" s="2" t="n"/>
      <c r="SPC1" s="2" t="n"/>
      <c r="SPD1" s="2" t="n"/>
      <c r="SPE1" s="2" t="n"/>
      <c r="SPF1" s="2" t="n"/>
      <c r="SPG1" s="2" t="n"/>
      <c r="SPH1" s="2" t="n"/>
      <c r="SPI1" s="2" t="n"/>
      <c r="SPJ1" s="2" t="n"/>
      <c r="SPK1" s="2" t="n"/>
      <c r="SPL1" s="2" t="n"/>
      <c r="SPM1" s="2" t="n"/>
      <c r="SPN1" s="2" t="n"/>
      <c r="SPO1" s="2" t="n"/>
      <c r="SPP1" s="2" t="n"/>
      <c r="SPQ1" s="2" t="n"/>
      <c r="SPR1" s="2" t="n"/>
      <c r="SPS1" s="2" t="n"/>
      <c r="SPT1" s="2" t="n"/>
      <c r="SPU1" s="2" t="n"/>
      <c r="SPV1" s="2" t="n"/>
      <c r="SPW1" s="2" t="n"/>
      <c r="SPX1" s="2" t="n"/>
      <c r="SPY1" s="2" t="n"/>
      <c r="SPZ1" s="2" t="n"/>
      <c r="SQA1" s="2" t="n"/>
      <c r="SQB1" s="2" t="n"/>
      <c r="SQC1" s="2" t="n"/>
      <c r="SQD1" s="2" t="n"/>
      <c r="SQE1" s="2" t="n"/>
      <c r="SQF1" s="2" t="n"/>
      <c r="SQG1" s="2" t="n"/>
      <c r="SQH1" s="2" t="n"/>
      <c r="SQI1" s="2" t="n"/>
      <c r="SQJ1" s="2" t="n"/>
      <c r="SQK1" s="2" t="n"/>
      <c r="SQL1" s="2" t="n"/>
      <c r="SQM1" s="2" t="n"/>
      <c r="SQN1" s="2" t="n"/>
      <c r="SQO1" s="2" t="n"/>
      <c r="SQP1" s="2" t="n"/>
      <c r="SQQ1" s="2" t="n"/>
      <c r="SQR1" s="2" t="n"/>
      <c r="SQS1" s="2" t="n"/>
      <c r="SQT1" s="2" t="n"/>
      <c r="SQU1" s="2" t="n"/>
      <c r="SQV1" s="2" t="n"/>
      <c r="SQW1" s="2" t="n"/>
      <c r="SQX1" s="2" t="n"/>
      <c r="SQY1" s="2" t="n"/>
      <c r="SQZ1" s="2" t="n"/>
      <c r="SRA1" s="2" t="n"/>
      <c r="SRB1" s="2" t="n"/>
      <c r="SRC1" s="2" t="n"/>
      <c r="SRD1" s="2" t="n"/>
      <c r="SRE1" s="2" t="n"/>
      <c r="SRF1" s="2" t="n"/>
      <c r="SRG1" s="2" t="n"/>
      <c r="SRH1" s="2" t="n"/>
      <c r="SRI1" s="2" t="n"/>
      <c r="SRJ1" s="2" t="n"/>
      <c r="SRK1" s="2" t="n"/>
      <c r="SRL1" s="2" t="n"/>
      <c r="SRM1" s="2" t="n"/>
      <c r="SRN1" s="2" t="n"/>
      <c r="SRO1" s="2" t="n"/>
      <c r="SRP1" s="2" t="n"/>
      <c r="SRQ1" s="2" t="n"/>
      <c r="SRR1" s="2" t="n"/>
      <c r="SRS1" s="2" t="n"/>
      <c r="SRT1" s="2" t="n"/>
      <c r="SRU1" s="2" t="n"/>
      <c r="SRV1" s="2" t="n"/>
      <c r="SRW1" s="2" t="n"/>
      <c r="SRX1" s="2" t="n"/>
      <c r="SRY1" s="2" t="n"/>
      <c r="SRZ1" s="2" t="n"/>
      <c r="SSA1" s="2" t="n"/>
      <c r="SSB1" s="2" t="n"/>
      <c r="SSC1" s="2" t="n"/>
      <c r="SSD1" s="2" t="n"/>
      <c r="SSE1" s="2" t="n"/>
      <c r="SSF1" s="2" t="n"/>
      <c r="SSG1" s="2" t="n"/>
      <c r="SSH1" s="2" t="n"/>
      <c r="SSI1" s="2" t="n"/>
      <c r="SSJ1" s="2" t="n"/>
      <c r="SSK1" s="2" t="n"/>
      <c r="SSL1" s="2" t="n"/>
      <c r="SSM1" s="2" t="n"/>
      <c r="SSN1" s="2" t="n"/>
      <c r="SSO1" s="2" t="n"/>
      <c r="SSP1" s="2" t="n"/>
      <c r="SSQ1" s="2" t="n"/>
      <c r="SSR1" s="2" t="n"/>
      <c r="SSS1" s="2" t="n"/>
      <c r="SST1" s="2" t="n"/>
      <c r="SSU1" s="2" t="n"/>
      <c r="SSV1" s="2" t="n"/>
      <c r="SSW1" s="2" t="n"/>
      <c r="SSX1" s="2" t="n"/>
      <c r="SSY1" s="2" t="n"/>
      <c r="SSZ1" s="2" t="n"/>
      <c r="STA1" s="2" t="n"/>
      <c r="STB1" s="2" t="n"/>
      <c r="STC1" s="2" t="n"/>
      <c r="STD1" s="2" t="n"/>
      <c r="STE1" s="2" t="n"/>
      <c r="STF1" s="2" t="n"/>
      <c r="STG1" s="2" t="n"/>
      <c r="STH1" s="2" t="n"/>
      <c r="STI1" s="2" t="n"/>
      <c r="STJ1" s="2" t="n"/>
      <c r="STK1" s="2" t="n"/>
      <c r="STL1" s="2" t="n"/>
      <c r="STM1" s="2" t="n"/>
      <c r="STN1" s="2" t="n"/>
      <c r="STO1" s="2" t="n"/>
      <c r="STP1" s="2" t="n"/>
      <c r="STQ1" s="2" t="n"/>
      <c r="STR1" s="2" t="n"/>
      <c r="STS1" s="2" t="n"/>
      <c r="STT1" s="2" t="n"/>
      <c r="STU1" s="2" t="n"/>
      <c r="STV1" s="2" t="n"/>
      <c r="STW1" s="2" t="n"/>
      <c r="STX1" s="2" t="n"/>
      <c r="STY1" s="2" t="n"/>
      <c r="STZ1" s="2" t="n"/>
      <c r="SUA1" s="2" t="n"/>
      <c r="SUB1" s="2" t="n"/>
      <c r="SUC1" s="2" t="n"/>
      <c r="SUD1" s="2" t="n"/>
      <c r="SUE1" s="2" t="n"/>
      <c r="SUF1" s="2" t="n"/>
      <c r="SUG1" s="2" t="n"/>
      <c r="SUH1" s="2" t="n"/>
      <c r="SUI1" s="2" t="n"/>
      <c r="SUJ1" s="2" t="n"/>
      <c r="SUK1" s="2" t="n"/>
      <c r="SUL1" s="2" t="n"/>
      <c r="SUM1" s="2" t="n"/>
      <c r="SUN1" s="2" t="n"/>
      <c r="SUO1" s="2" t="n"/>
      <c r="SUP1" s="2" t="n"/>
      <c r="SUQ1" s="2" t="n"/>
      <c r="SUR1" s="2" t="n"/>
      <c r="SUS1" s="2" t="n"/>
      <c r="SUT1" s="2" t="n"/>
      <c r="SUU1" s="2" t="n"/>
      <c r="SUV1" s="2" t="n"/>
      <c r="SUW1" s="2" t="n"/>
      <c r="SUX1" s="2" t="n"/>
      <c r="SUY1" s="2" t="n"/>
      <c r="SUZ1" s="2" t="n"/>
      <c r="SVA1" s="2" t="n"/>
      <c r="SVB1" s="2" t="n"/>
      <c r="SVC1" s="2" t="n"/>
      <c r="SVD1" s="2" t="n"/>
      <c r="SVE1" s="2" t="n"/>
      <c r="SVF1" s="2" t="n"/>
      <c r="SVG1" s="2" t="n"/>
      <c r="SVH1" s="2" t="n"/>
      <c r="SVI1" s="2" t="n"/>
      <c r="SVJ1" s="2" t="n"/>
      <c r="SVK1" s="2" t="n"/>
      <c r="SVL1" s="2" t="n"/>
      <c r="SVM1" s="2" t="n"/>
      <c r="SVN1" s="2" t="n"/>
      <c r="SVO1" s="2" t="n"/>
      <c r="SVP1" s="2" t="n"/>
      <c r="SVQ1" s="2" t="n"/>
      <c r="SVR1" s="2" t="n"/>
      <c r="SVS1" s="2" t="n"/>
      <c r="SVT1" s="2" t="n"/>
      <c r="SVU1" s="2" t="n"/>
      <c r="SVV1" s="2" t="n"/>
      <c r="SVW1" s="2" t="n"/>
      <c r="SVX1" s="2" t="n"/>
      <c r="SVY1" s="2" t="n"/>
      <c r="SVZ1" s="2" t="n"/>
      <c r="SWA1" s="2" t="n"/>
      <c r="SWB1" s="2" t="n"/>
      <c r="SWC1" s="2" t="n"/>
      <c r="SWD1" s="2" t="n"/>
      <c r="SWE1" s="2" t="n"/>
      <c r="SWF1" s="2" t="n"/>
      <c r="SWG1" s="2" t="n"/>
      <c r="SWH1" s="2" t="n"/>
      <c r="SWI1" s="2" t="n"/>
      <c r="SWJ1" s="2" t="n"/>
      <c r="SWK1" s="2" t="n"/>
      <c r="SWL1" s="2" t="n"/>
      <c r="SWM1" s="2" t="n"/>
      <c r="SWN1" s="2" t="n"/>
      <c r="SWO1" s="2" t="n"/>
      <c r="SWP1" s="2" t="n"/>
      <c r="SWQ1" s="2" t="n"/>
      <c r="SWR1" s="2" t="n"/>
      <c r="SWS1" s="2" t="n"/>
      <c r="SWT1" s="2" t="n"/>
      <c r="SWU1" s="2" t="n"/>
      <c r="SWV1" s="2" t="n"/>
      <c r="SWW1" s="2" t="n"/>
      <c r="SWX1" s="2" t="n"/>
      <c r="SWY1" s="2" t="n"/>
      <c r="SWZ1" s="2" t="n"/>
      <c r="SXA1" s="2" t="n"/>
      <c r="SXB1" s="2" t="n"/>
      <c r="SXC1" s="2" t="n"/>
      <c r="SXD1" s="2" t="n"/>
      <c r="SXE1" s="2" t="n"/>
      <c r="SXF1" s="2" t="n"/>
      <c r="SXG1" s="2" t="n"/>
      <c r="SXH1" s="2" t="n"/>
      <c r="SXI1" s="2" t="n"/>
      <c r="SXJ1" s="2" t="n"/>
      <c r="SXK1" s="2" t="n"/>
      <c r="SXL1" s="2" t="n"/>
      <c r="SXM1" s="2" t="n"/>
      <c r="SXN1" s="2" t="n"/>
      <c r="SXO1" s="2" t="n"/>
      <c r="SXP1" s="2" t="n"/>
      <c r="SXQ1" s="2" t="n"/>
      <c r="SXR1" s="2" t="n"/>
      <c r="SXS1" s="2" t="n"/>
      <c r="SXT1" s="2" t="n"/>
      <c r="SXU1" s="2" t="n"/>
      <c r="SXV1" s="2" t="n"/>
      <c r="SXW1" s="2" t="n"/>
      <c r="SXX1" s="2" t="n"/>
      <c r="SXY1" s="2" t="n"/>
      <c r="SXZ1" s="2" t="n"/>
      <c r="SYA1" s="2" t="n"/>
      <c r="SYB1" s="2" t="n"/>
      <c r="SYC1" s="2" t="n"/>
      <c r="SYD1" s="2" t="n"/>
      <c r="SYE1" s="2" t="n"/>
      <c r="SYF1" s="2" t="n"/>
      <c r="SYG1" s="2" t="n"/>
      <c r="SYH1" s="2" t="n"/>
      <c r="SYI1" s="2" t="n"/>
      <c r="SYJ1" s="2" t="n"/>
      <c r="SYK1" s="2" t="n"/>
      <c r="SYL1" s="2" t="n"/>
      <c r="SYM1" s="2" t="n"/>
      <c r="SYN1" s="2" t="n"/>
      <c r="SYO1" s="2" t="n"/>
      <c r="SYP1" s="2" t="n"/>
      <c r="SYQ1" s="2" t="n"/>
      <c r="SYR1" s="2" t="n"/>
      <c r="SYS1" s="2" t="n"/>
      <c r="SYT1" s="2" t="n"/>
      <c r="SYU1" s="2" t="n"/>
      <c r="SYV1" s="2" t="n"/>
      <c r="SYW1" s="2" t="n"/>
      <c r="SYX1" s="2" t="n"/>
      <c r="SYY1" s="2" t="n"/>
      <c r="SYZ1" s="2" t="n"/>
      <c r="SZA1" s="2" t="n"/>
      <c r="SZB1" s="2" t="n"/>
      <c r="SZC1" s="2" t="n"/>
      <c r="SZD1" s="2" t="n"/>
      <c r="SZE1" s="2" t="n"/>
      <c r="SZF1" s="2" t="n"/>
      <c r="SZG1" s="2" t="n"/>
      <c r="SZH1" s="2" t="n"/>
      <c r="SZI1" s="2" t="n"/>
      <c r="SZJ1" s="2" t="n"/>
      <c r="SZK1" s="2" t="n"/>
      <c r="SZL1" s="2" t="n"/>
      <c r="SZM1" s="2" t="n"/>
      <c r="SZN1" s="2" t="n"/>
      <c r="SZO1" s="2" t="n"/>
      <c r="SZP1" s="2" t="n"/>
      <c r="SZQ1" s="2" t="n"/>
      <c r="SZR1" s="2" t="n"/>
      <c r="SZS1" s="2" t="n"/>
      <c r="SZT1" s="2" t="n"/>
      <c r="SZU1" s="2" t="n"/>
      <c r="SZV1" s="2" t="n"/>
      <c r="SZW1" s="2" t="n"/>
      <c r="SZX1" s="2" t="n"/>
      <c r="SZY1" s="2" t="n"/>
      <c r="SZZ1" s="2" t="n"/>
      <c r="TAA1" s="2" t="n"/>
      <c r="TAB1" s="2" t="n"/>
      <c r="TAC1" s="2" t="n"/>
      <c r="TAD1" s="2" t="n"/>
      <c r="TAE1" s="2" t="n"/>
      <c r="TAF1" s="2" t="n"/>
      <c r="TAG1" s="2" t="n"/>
      <c r="TAH1" s="2" t="n"/>
      <c r="TAI1" s="2" t="n"/>
      <c r="TAJ1" s="2" t="n"/>
      <c r="TAK1" s="2" t="n"/>
      <c r="TAL1" s="2" t="n"/>
      <c r="TAM1" s="2" t="n"/>
      <c r="TAN1" s="2" t="n"/>
      <c r="TAO1" s="2" t="n"/>
      <c r="TAP1" s="2" t="n"/>
      <c r="TAQ1" s="2" t="n"/>
      <c r="TAR1" s="2" t="n"/>
      <c r="TAS1" s="2" t="n"/>
      <c r="TAT1" s="2" t="n"/>
      <c r="TAU1" s="2" t="n"/>
      <c r="TAV1" s="2" t="n"/>
      <c r="TAW1" s="2" t="n"/>
      <c r="TAX1" s="2" t="n"/>
      <c r="TAY1" s="2" t="n"/>
      <c r="TAZ1" s="2" t="n"/>
      <c r="TBA1" s="2" t="n"/>
      <c r="TBB1" s="2" t="n"/>
      <c r="TBC1" s="2" t="n"/>
      <c r="TBD1" s="2" t="n"/>
      <c r="TBE1" s="2" t="n"/>
      <c r="TBF1" s="2" t="n"/>
      <c r="TBG1" s="2" t="n"/>
      <c r="TBH1" s="2" t="n"/>
      <c r="TBI1" s="2" t="n"/>
      <c r="TBJ1" s="2" t="n"/>
      <c r="TBK1" s="2" t="n"/>
      <c r="TBL1" s="2" t="n"/>
      <c r="TBM1" s="2" t="n"/>
      <c r="TBN1" s="2" t="n"/>
      <c r="TBO1" s="2" t="n"/>
      <c r="TBP1" s="2" t="n"/>
      <c r="TBQ1" s="2" t="n"/>
      <c r="TBR1" s="2" t="n"/>
      <c r="TBS1" s="2" t="n"/>
      <c r="TBT1" s="2" t="n"/>
      <c r="TBU1" s="2" t="n"/>
      <c r="TBV1" s="2" t="n"/>
      <c r="TBW1" s="2" t="n"/>
      <c r="TBX1" s="2" t="n"/>
      <c r="TBY1" s="2" t="n"/>
      <c r="TBZ1" s="2" t="n"/>
      <c r="TCA1" s="2" t="n"/>
      <c r="TCB1" s="2" t="n"/>
      <c r="TCC1" s="2" t="n"/>
      <c r="TCD1" s="2" t="n"/>
      <c r="TCE1" s="2" t="n"/>
      <c r="TCF1" s="2" t="n"/>
      <c r="TCG1" s="2" t="n"/>
      <c r="TCH1" s="2" t="n"/>
      <c r="TCI1" s="2" t="n"/>
      <c r="TCJ1" s="2" t="n"/>
      <c r="TCK1" s="2" t="n"/>
      <c r="TCL1" s="2" t="n"/>
      <c r="TCM1" s="2" t="n"/>
      <c r="TCN1" s="2" t="n"/>
      <c r="TCO1" s="2" t="n"/>
      <c r="TCP1" s="2" t="n"/>
      <c r="TCQ1" s="2" t="n"/>
      <c r="TCR1" s="2" t="n"/>
      <c r="TCS1" s="2" t="n"/>
      <c r="TCT1" s="2" t="n"/>
      <c r="TCU1" s="2" t="n"/>
      <c r="TCV1" s="2" t="n"/>
      <c r="TCW1" s="2" t="n"/>
      <c r="TCX1" s="2" t="n"/>
      <c r="TCY1" s="2" t="n"/>
      <c r="TCZ1" s="2" t="n"/>
      <c r="TDA1" s="2" t="n"/>
      <c r="TDB1" s="2" t="n"/>
      <c r="TDC1" s="2" t="n"/>
      <c r="TDD1" s="2" t="n"/>
      <c r="TDE1" s="2" t="n"/>
      <c r="TDF1" s="2" t="n"/>
      <c r="TDG1" s="2" t="n"/>
      <c r="TDH1" s="2" t="n"/>
      <c r="TDI1" s="2" t="n"/>
      <c r="TDJ1" s="2" t="n"/>
      <c r="TDK1" s="2" t="n"/>
      <c r="TDL1" s="2" t="n"/>
      <c r="TDM1" s="2" t="n"/>
      <c r="TDN1" s="2" t="n"/>
      <c r="TDO1" s="2" t="n"/>
      <c r="TDP1" s="2" t="n"/>
      <c r="TDQ1" s="2" t="n"/>
      <c r="TDR1" s="2" t="n"/>
      <c r="TDS1" s="2" t="n"/>
      <c r="TDT1" s="2" t="n"/>
      <c r="TDU1" s="2" t="n"/>
      <c r="TDV1" s="2" t="n"/>
      <c r="TDW1" s="2" t="n"/>
      <c r="TDX1" s="2" t="n"/>
      <c r="TDY1" s="2" t="n"/>
      <c r="TDZ1" s="2" t="n"/>
      <c r="TEA1" s="2" t="n"/>
      <c r="TEB1" s="2" t="n"/>
      <c r="TEC1" s="2" t="n"/>
      <c r="TED1" s="2" t="n"/>
      <c r="TEE1" s="2" t="n"/>
      <c r="TEF1" s="2" t="n"/>
      <c r="TEG1" s="2" t="n"/>
      <c r="TEH1" s="2" t="n"/>
      <c r="TEI1" s="2" t="n"/>
      <c r="TEJ1" s="2" t="n"/>
      <c r="TEK1" s="2" t="n"/>
      <c r="TEL1" s="2" t="n"/>
      <c r="TEM1" s="2" t="n"/>
      <c r="TEN1" s="2" t="n"/>
      <c r="TEO1" s="2" t="n"/>
      <c r="TEP1" s="2" t="n"/>
      <c r="TEQ1" s="2" t="n"/>
      <c r="TER1" s="2" t="n"/>
      <c r="TES1" s="2" t="n"/>
      <c r="TET1" s="2" t="n"/>
      <c r="TEU1" s="2" t="n"/>
      <c r="TEV1" s="2" t="n"/>
      <c r="TEW1" s="2" t="n"/>
      <c r="TEX1" s="2" t="n"/>
      <c r="TEY1" s="2" t="n"/>
      <c r="TEZ1" s="2" t="n"/>
      <c r="TFA1" s="2" t="n"/>
      <c r="TFB1" s="2" t="n"/>
      <c r="TFC1" s="2" t="n"/>
      <c r="TFD1" s="2" t="n"/>
      <c r="TFE1" s="2" t="n"/>
      <c r="TFF1" s="2" t="n"/>
      <c r="TFG1" s="2" t="n"/>
      <c r="TFH1" s="2" t="n"/>
      <c r="TFI1" s="2" t="n"/>
      <c r="TFJ1" s="2" t="n"/>
      <c r="TFK1" s="2" t="n"/>
      <c r="TFL1" s="2" t="n"/>
      <c r="TFM1" s="2" t="n"/>
      <c r="TFN1" s="2" t="n"/>
      <c r="TFO1" s="2" t="n"/>
      <c r="TFP1" s="2" t="n"/>
      <c r="TFQ1" s="2" t="n"/>
      <c r="TFR1" s="2" t="n"/>
      <c r="TFS1" s="2" t="n"/>
      <c r="TFT1" s="2" t="n"/>
      <c r="TFU1" s="2" t="n"/>
      <c r="TFV1" s="2" t="n"/>
      <c r="TFW1" s="2" t="n"/>
      <c r="TFX1" s="2" t="n"/>
      <c r="TFY1" s="2" t="n"/>
      <c r="TFZ1" s="2" t="n"/>
      <c r="TGA1" s="2" t="n"/>
      <c r="TGB1" s="2" t="n"/>
      <c r="TGC1" s="2" t="n"/>
      <c r="TGD1" s="2" t="n"/>
      <c r="TGE1" s="2" t="n"/>
      <c r="TGF1" s="2" t="n"/>
      <c r="TGG1" s="2" t="n"/>
      <c r="TGH1" s="2" t="n"/>
      <c r="TGI1" s="2" t="n"/>
      <c r="TGJ1" s="2" t="n"/>
      <c r="TGK1" s="2" t="n"/>
      <c r="TGL1" s="2" t="n"/>
      <c r="TGM1" s="2" t="n"/>
      <c r="TGN1" s="2" t="n"/>
      <c r="TGO1" s="2" t="n"/>
      <c r="TGP1" s="2" t="n"/>
      <c r="TGQ1" s="2" t="n"/>
      <c r="TGR1" s="2" t="n"/>
      <c r="TGS1" s="2" t="n"/>
      <c r="TGT1" s="2" t="n"/>
      <c r="TGU1" s="2" t="n"/>
      <c r="TGV1" s="2" t="n"/>
      <c r="TGW1" s="2" t="n"/>
      <c r="TGX1" s="2" t="n"/>
      <c r="TGY1" s="2" t="n"/>
      <c r="TGZ1" s="2" t="n"/>
      <c r="THA1" s="2" t="n"/>
      <c r="THB1" s="2" t="n"/>
      <c r="THC1" s="2" t="n"/>
      <c r="THD1" s="2" t="n"/>
      <c r="THE1" s="2" t="n"/>
      <c r="THF1" s="2" t="n"/>
      <c r="THG1" s="2" t="n"/>
      <c r="THH1" s="2" t="n"/>
      <c r="THI1" s="2" t="n"/>
      <c r="THJ1" s="2" t="n"/>
      <c r="THK1" s="2" t="n"/>
      <c r="THL1" s="2" t="n"/>
      <c r="THM1" s="2" t="n"/>
      <c r="THN1" s="2" t="n"/>
      <c r="THO1" s="2" t="n"/>
      <c r="THP1" s="2" t="n"/>
      <c r="THQ1" s="2" t="n"/>
      <c r="THR1" s="2" t="n"/>
      <c r="THS1" s="2" t="n"/>
      <c r="THT1" s="2" t="n"/>
      <c r="THU1" s="2" t="n"/>
      <c r="THV1" s="2" t="n"/>
      <c r="THW1" s="2" t="n"/>
      <c r="THX1" s="2" t="n"/>
      <c r="THY1" s="2" t="n"/>
      <c r="THZ1" s="2" t="n"/>
      <c r="TIA1" s="2" t="n"/>
      <c r="TIB1" s="2" t="n"/>
      <c r="TIC1" s="2" t="n"/>
      <c r="TID1" s="2" t="n"/>
      <c r="TIE1" s="2" t="n"/>
      <c r="TIF1" s="2" t="n"/>
      <c r="TIG1" s="2" t="n"/>
      <c r="TIH1" s="2" t="n"/>
      <c r="TII1" s="2" t="n"/>
      <c r="TIJ1" s="2" t="n"/>
      <c r="TIK1" s="2" t="n"/>
      <c r="TIL1" s="2" t="n"/>
      <c r="TIM1" s="2" t="n"/>
      <c r="TIN1" s="2" t="n"/>
      <c r="TIO1" s="2" t="n"/>
      <c r="TIP1" s="2" t="n"/>
      <c r="TIQ1" s="2" t="n"/>
      <c r="TIR1" s="2" t="n"/>
      <c r="TIS1" s="2" t="n"/>
      <c r="TIT1" s="2" t="n"/>
      <c r="TIU1" s="2" t="n"/>
      <c r="TIV1" s="2" t="n"/>
      <c r="TIW1" s="2" t="n"/>
      <c r="TIX1" s="2" t="n"/>
      <c r="TIY1" s="2" t="n"/>
      <c r="TIZ1" s="2" t="n"/>
      <c r="TJA1" s="2" t="n"/>
      <c r="TJB1" s="2" t="n"/>
      <c r="TJC1" s="2" t="n"/>
      <c r="TJD1" s="2" t="n"/>
      <c r="TJE1" s="2" t="n"/>
      <c r="TJF1" s="2" t="n"/>
      <c r="TJG1" s="2" t="n"/>
      <c r="TJH1" s="2" t="n"/>
      <c r="TJI1" s="2" t="n"/>
      <c r="TJJ1" s="2" t="n"/>
      <c r="TJK1" s="2" t="n"/>
      <c r="TJL1" s="2" t="n"/>
      <c r="TJM1" s="2" t="n"/>
      <c r="TJN1" s="2" t="n"/>
      <c r="TJO1" s="2" t="n"/>
      <c r="TJP1" s="2" t="n"/>
      <c r="TJQ1" s="2" t="n"/>
      <c r="TJR1" s="2" t="n"/>
      <c r="TJS1" s="2" t="n"/>
      <c r="TJT1" s="2" t="n"/>
      <c r="TJU1" s="2" t="n"/>
      <c r="TJV1" s="2" t="n"/>
      <c r="TJW1" s="2" t="n"/>
      <c r="TJX1" s="2" t="n"/>
      <c r="TJY1" s="2" t="n"/>
      <c r="TJZ1" s="2" t="n"/>
      <c r="TKA1" s="2" t="n"/>
      <c r="TKB1" s="2" t="n"/>
      <c r="TKC1" s="2" t="n"/>
      <c r="TKD1" s="2" t="n"/>
      <c r="TKE1" s="2" t="n"/>
      <c r="TKF1" s="2" t="n"/>
      <c r="TKG1" s="2" t="n"/>
      <c r="TKH1" s="2" t="n"/>
      <c r="TKI1" s="2" t="n"/>
      <c r="TKJ1" s="2" t="n"/>
      <c r="TKK1" s="2" t="n"/>
      <c r="TKL1" s="2" t="n"/>
      <c r="TKM1" s="2" t="n"/>
      <c r="TKN1" s="2" t="n"/>
      <c r="TKO1" s="2" t="n"/>
      <c r="TKP1" s="2" t="n"/>
      <c r="TKQ1" s="2" t="n"/>
      <c r="TKR1" s="2" t="n"/>
      <c r="TKS1" s="2" t="n"/>
      <c r="TKT1" s="2" t="n"/>
      <c r="TKU1" s="2" t="n"/>
      <c r="TKV1" s="2" t="n"/>
      <c r="TKW1" s="2" t="n"/>
      <c r="TKX1" s="2" t="n"/>
      <c r="TKY1" s="2" t="n"/>
      <c r="TKZ1" s="2" t="n"/>
      <c r="TLA1" s="2" t="n"/>
      <c r="TLB1" s="2" t="n"/>
      <c r="TLC1" s="2" t="n"/>
      <c r="TLD1" s="2" t="n"/>
      <c r="TLE1" s="2" t="n"/>
      <c r="TLF1" s="2" t="n"/>
      <c r="TLG1" s="2" t="n"/>
      <c r="TLH1" s="2" t="n"/>
      <c r="TLI1" s="2" t="n"/>
      <c r="TLJ1" s="2" t="n"/>
      <c r="TLK1" s="2" t="n"/>
      <c r="TLL1" s="2" t="n"/>
      <c r="TLM1" s="2" t="n"/>
      <c r="TLN1" s="2" t="n"/>
      <c r="TLO1" s="2" t="n"/>
      <c r="TLP1" s="2" t="n"/>
      <c r="TLQ1" s="2" t="n"/>
      <c r="TLR1" s="2" t="n"/>
      <c r="TLS1" s="2" t="n"/>
      <c r="TLT1" s="2" t="n"/>
      <c r="TLU1" s="2" t="n"/>
      <c r="TLV1" s="2" t="n"/>
      <c r="TLW1" s="2" t="n"/>
      <c r="TLX1" s="2" t="n"/>
      <c r="TLY1" s="2" t="n"/>
      <c r="TLZ1" s="2" t="n"/>
      <c r="TMA1" s="2" t="n"/>
      <c r="TMB1" s="2" t="n"/>
      <c r="TMC1" s="2" t="n"/>
      <c r="TMD1" s="2" t="n"/>
      <c r="TME1" s="2" t="n"/>
      <c r="TMF1" s="2" t="n"/>
      <c r="TMG1" s="2" t="n"/>
      <c r="TMH1" s="2" t="n"/>
      <c r="TMI1" s="2" t="n"/>
      <c r="TMJ1" s="2" t="n"/>
      <c r="TMK1" s="2" t="n"/>
      <c r="TML1" s="2" t="n"/>
      <c r="TMM1" s="2" t="n"/>
      <c r="TMN1" s="2" t="n"/>
      <c r="TMO1" s="2" t="n"/>
      <c r="TMP1" s="2" t="n"/>
      <c r="TMQ1" s="2" t="n"/>
      <c r="TMR1" s="2" t="n"/>
      <c r="TMS1" s="2" t="n"/>
      <c r="TMT1" s="2" t="n"/>
      <c r="TMU1" s="2" t="n"/>
      <c r="TMV1" s="2" t="n"/>
      <c r="TMW1" s="2" t="n"/>
      <c r="TMX1" s="2" t="n"/>
      <c r="TMY1" s="2" t="n"/>
      <c r="TMZ1" s="2" t="n"/>
      <c r="TNA1" s="2" t="n"/>
      <c r="TNB1" s="2" t="n"/>
      <c r="TNC1" s="2" t="n"/>
      <c r="TND1" s="2" t="n"/>
      <c r="TNE1" s="2" t="n"/>
      <c r="TNF1" s="2" t="n"/>
      <c r="TNG1" s="2" t="n"/>
      <c r="TNH1" s="2" t="n"/>
      <c r="TNI1" s="2" t="n"/>
      <c r="TNJ1" s="2" t="n"/>
      <c r="TNK1" s="2" t="n"/>
      <c r="TNL1" s="2" t="n"/>
      <c r="TNM1" s="2" t="n"/>
      <c r="TNN1" s="2" t="n"/>
      <c r="TNO1" s="2" t="n"/>
      <c r="TNP1" s="2" t="n"/>
      <c r="TNQ1" s="2" t="n"/>
      <c r="TNR1" s="2" t="n"/>
      <c r="TNS1" s="2" t="n"/>
      <c r="TNT1" s="2" t="n"/>
      <c r="TNU1" s="2" t="n"/>
      <c r="TNV1" s="2" t="n"/>
      <c r="TNW1" s="2" t="n"/>
      <c r="TNX1" s="2" t="n"/>
      <c r="TNY1" s="2" t="n"/>
      <c r="TNZ1" s="2" t="n"/>
      <c r="TOA1" s="2" t="n"/>
      <c r="TOB1" s="2" t="n"/>
      <c r="TOC1" s="2" t="n"/>
      <c r="TOD1" s="2" t="n"/>
      <c r="TOE1" s="2" t="n"/>
      <c r="TOF1" s="2" t="n"/>
      <c r="TOG1" s="2" t="n"/>
      <c r="TOH1" s="2" t="n"/>
      <c r="TOI1" s="2" t="n"/>
      <c r="TOJ1" s="2" t="n"/>
      <c r="TOK1" s="2" t="n"/>
      <c r="TOL1" s="2" t="n"/>
      <c r="TOM1" s="2" t="n"/>
      <c r="TON1" s="2" t="n"/>
      <c r="TOO1" s="2" t="n"/>
      <c r="TOP1" s="2" t="n"/>
      <c r="TOQ1" s="2" t="n"/>
      <c r="TOR1" s="2" t="n"/>
      <c r="TOS1" s="2" t="n"/>
      <c r="TOT1" s="2" t="n"/>
      <c r="TOU1" s="2" t="n"/>
      <c r="TOV1" s="2" t="n"/>
      <c r="TOW1" s="2" t="n"/>
      <c r="TOX1" s="2" t="n"/>
      <c r="TOY1" s="2" t="n"/>
      <c r="TOZ1" s="2" t="n"/>
      <c r="TPA1" s="2" t="n"/>
      <c r="TPB1" s="2" t="n"/>
      <c r="TPC1" s="2" t="n"/>
      <c r="TPD1" s="2" t="n"/>
      <c r="TPE1" s="2" t="n"/>
      <c r="TPF1" s="2" t="n"/>
      <c r="TPG1" s="2" t="n"/>
      <c r="TPH1" s="2" t="n"/>
      <c r="TPI1" s="2" t="n"/>
      <c r="TPJ1" s="2" t="n"/>
      <c r="TPK1" s="2" t="n"/>
      <c r="TPL1" s="2" t="n"/>
      <c r="TPM1" s="2" t="n"/>
      <c r="TPN1" s="2" t="n"/>
      <c r="TPO1" s="2" t="n"/>
      <c r="TPP1" s="2" t="n"/>
      <c r="TPQ1" s="2" t="n"/>
      <c r="TPR1" s="2" t="n"/>
      <c r="TPS1" s="2" t="n"/>
      <c r="TPT1" s="2" t="n"/>
      <c r="TPU1" s="2" t="n"/>
      <c r="TPV1" s="2" t="n"/>
      <c r="TPW1" s="2" t="n"/>
      <c r="TPX1" s="2" t="n"/>
      <c r="TPY1" s="2" t="n"/>
      <c r="TPZ1" s="2" t="n"/>
      <c r="TQA1" s="2" t="n"/>
      <c r="TQB1" s="2" t="n"/>
      <c r="TQC1" s="2" t="n"/>
      <c r="TQD1" s="2" t="n"/>
      <c r="TQE1" s="2" t="n"/>
      <c r="TQF1" s="2" t="n"/>
      <c r="TQG1" s="2" t="n"/>
      <c r="TQH1" s="2" t="n"/>
      <c r="TQI1" s="2" t="n"/>
      <c r="TQJ1" s="2" t="n"/>
      <c r="TQK1" s="2" t="n"/>
      <c r="TQL1" s="2" t="n"/>
      <c r="TQM1" s="2" t="n"/>
      <c r="TQN1" s="2" t="n"/>
      <c r="TQO1" s="2" t="n"/>
      <c r="TQP1" s="2" t="n"/>
      <c r="TQQ1" s="2" t="n"/>
      <c r="TQR1" s="2" t="n"/>
      <c r="TQS1" s="2" t="n"/>
      <c r="TQT1" s="2" t="n"/>
      <c r="TQU1" s="2" t="n"/>
      <c r="TQV1" s="2" t="n"/>
      <c r="TQW1" s="2" t="n"/>
      <c r="TQX1" s="2" t="n"/>
      <c r="TQY1" s="2" t="n"/>
      <c r="TQZ1" s="2" t="n"/>
      <c r="TRA1" s="2" t="n"/>
      <c r="TRB1" s="2" t="n"/>
      <c r="TRC1" s="2" t="n"/>
      <c r="TRD1" s="2" t="n"/>
      <c r="TRE1" s="2" t="n"/>
      <c r="TRF1" s="2" t="n"/>
      <c r="TRG1" s="2" t="n"/>
      <c r="TRH1" s="2" t="n"/>
      <c r="TRI1" s="2" t="n"/>
      <c r="TRJ1" s="2" t="n"/>
      <c r="TRK1" s="2" t="n"/>
      <c r="TRL1" s="2" t="n"/>
      <c r="TRM1" s="2" t="n"/>
      <c r="TRN1" s="2" t="n"/>
      <c r="TRO1" s="2" t="n"/>
      <c r="TRP1" s="2" t="n"/>
      <c r="TRQ1" s="2" t="n"/>
      <c r="TRR1" s="2" t="n"/>
      <c r="TRS1" s="2" t="n"/>
      <c r="TRT1" s="2" t="n"/>
      <c r="TRU1" s="2" t="n"/>
      <c r="TRV1" s="2" t="n"/>
      <c r="TRW1" s="2" t="n"/>
      <c r="TRX1" s="2" t="n"/>
      <c r="TRY1" s="2" t="n"/>
      <c r="TRZ1" s="2" t="n"/>
      <c r="TSA1" s="2" t="n"/>
      <c r="TSB1" s="2" t="n"/>
      <c r="TSC1" s="2" t="n"/>
      <c r="TSD1" s="2" t="n"/>
      <c r="TSE1" s="2" t="n"/>
      <c r="TSF1" s="2" t="n"/>
      <c r="TSG1" s="2" t="n"/>
      <c r="TSH1" s="2" t="n"/>
      <c r="TSI1" s="2" t="n"/>
      <c r="TSJ1" s="2" t="n"/>
      <c r="TSK1" s="2" t="n"/>
      <c r="TSL1" s="2" t="n"/>
      <c r="TSM1" s="2" t="n"/>
      <c r="TSN1" s="2" t="n"/>
      <c r="TSO1" s="2" t="n"/>
      <c r="TSP1" s="2" t="n"/>
      <c r="TSQ1" s="2" t="n"/>
      <c r="TSR1" s="2" t="n"/>
      <c r="TSS1" s="2" t="n"/>
      <c r="TST1" s="2" t="n"/>
      <c r="TSU1" s="2" t="n"/>
      <c r="TSV1" s="2" t="n"/>
      <c r="TSW1" s="2" t="n"/>
      <c r="TSX1" s="2" t="n"/>
      <c r="TSY1" s="2" t="n"/>
      <c r="TSZ1" s="2" t="n"/>
      <c r="TTA1" s="2" t="n"/>
      <c r="TTB1" s="2" t="n"/>
      <c r="TTC1" s="2" t="n"/>
      <c r="TTD1" s="2" t="n"/>
      <c r="TTE1" s="2" t="n"/>
      <c r="TTF1" s="2" t="n"/>
      <c r="TTG1" s="2" t="n"/>
      <c r="TTH1" s="2" t="n"/>
      <c r="TTI1" s="2" t="n"/>
      <c r="TTJ1" s="2" t="n"/>
      <c r="TTK1" s="2" t="n"/>
      <c r="TTL1" s="2" t="n"/>
      <c r="TTM1" s="2" t="n"/>
      <c r="TTN1" s="2" t="n"/>
      <c r="TTO1" s="2" t="n"/>
      <c r="TTP1" s="2" t="n"/>
      <c r="TTQ1" s="2" t="n"/>
      <c r="TTR1" s="2" t="n"/>
      <c r="TTS1" s="2" t="n"/>
      <c r="TTT1" s="2" t="n"/>
      <c r="TTU1" s="2" t="n"/>
      <c r="TTV1" s="2" t="n"/>
      <c r="TTW1" s="2" t="n"/>
      <c r="TTX1" s="2" t="n"/>
      <c r="TTY1" s="2" t="n"/>
      <c r="TTZ1" s="2" t="n"/>
      <c r="TUA1" s="2" t="n"/>
      <c r="TUB1" s="2" t="n"/>
      <c r="TUC1" s="2" t="n"/>
      <c r="TUD1" s="2" t="n"/>
      <c r="TUE1" s="2" t="n"/>
      <c r="TUF1" s="2" t="n"/>
      <c r="TUG1" s="2" t="n"/>
      <c r="TUH1" s="2" t="n"/>
      <c r="TUI1" s="2" t="n"/>
      <c r="TUJ1" s="2" t="n"/>
      <c r="TUK1" s="2" t="n"/>
      <c r="TUL1" s="2" t="n"/>
      <c r="TUM1" s="2" t="n"/>
      <c r="TUN1" s="2" t="n"/>
      <c r="TUO1" s="2" t="n"/>
      <c r="TUP1" s="2" t="n"/>
      <c r="TUQ1" s="2" t="n"/>
      <c r="TUR1" s="2" t="n"/>
      <c r="TUS1" s="2" t="n"/>
      <c r="TUT1" s="2" t="n"/>
      <c r="TUU1" s="2" t="n"/>
      <c r="TUV1" s="2" t="n"/>
      <c r="TUW1" s="2" t="n"/>
      <c r="TUX1" s="2" t="n"/>
      <c r="TUY1" s="2" t="n"/>
      <c r="TUZ1" s="2" t="n"/>
      <c r="TVA1" s="2" t="n"/>
      <c r="TVB1" s="2" t="n"/>
      <c r="TVC1" s="2" t="n"/>
      <c r="TVD1" s="2" t="n"/>
      <c r="TVE1" s="2" t="n"/>
      <c r="TVF1" s="2" t="n"/>
      <c r="TVG1" s="2" t="n"/>
      <c r="TVH1" s="2" t="n"/>
      <c r="TVI1" s="2" t="n"/>
      <c r="TVJ1" s="2" t="n"/>
      <c r="TVK1" s="2" t="n"/>
      <c r="TVL1" s="2" t="n"/>
      <c r="TVM1" s="2" t="n"/>
      <c r="TVN1" s="2" t="n"/>
      <c r="TVO1" s="2" t="n"/>
      <c r="TVP1" s="2" t="n"/>
      <c r="TVQ1" s="2" t="n"/>
      <c r="TVR1" s="2" t="n"/>
      <c r="TVS1" s="2" t="n"/>
      <c r="TVT1" s="2" t="n"/>
      <c r="TVU1" s="2" t="n"/>
      <c r="TVV1" s="2" t="n"/>
      <c r="TVW1" s="2" t="n"/>
      <c r="TVX1" s="2" t="n"/>
      <c r="TVY1" s="2" t="n"/>
      <c r="TVZ1" s="2" t="n"/>
      <c r="TWA1" s="2" t="n"/>
      <c r="TWB1" s="2" t="n"/>
      <c r="TWC1" s="2" t="n"/>
      <c r="TWD1" s="2" t="n"/>
      <c r="TWE1" s="2" t="n"/>
      <c r="TWF1" s="2" t="n"/>
      <c r="TWG1" s="2" t="n"/>
      <c r="TWH1" s="2" t="n"/>
      <c r="TWI1" s="2" t="n"/>
      <c r="TWJ1" s="2" t="n"/>
      <c r="TWK1" s="2" t="n"/>
      <c r="TWL1" s="2" t="n"/>
      <c r="TWM1" s="2" t="n"/>
      <c r="TWN1" s="2" t="n"/>
      <c r="TWO1" s="2" t="n"/>
      <c r="TWP1" s="2" t="n"/>
      <c r="TWQ1" s="2" t="n"/>
      <c r="TWR1" s="2" t="n"/>
      <c r="TWS1" s="2" t="n"/>
      <c r="TWT1" s="2" t="n"/>
      <c r="TWU1" s="2" t="n"/>
      <c r="TWV1" s="2" t="n"/>
      <c r="TWW1" s="2" t="n"/>
      <c r="TWX1" s="2" t="n"/>
      <c r="TWY1" s="2" t="n"/>
      <c r="TWZ1" s="2" t="n"/>
      <c r="TXA1" s="2" t="n"/>
      <c r="TXB1" s="2" t="n"/>
      <c r="TXC1" s="2" t="n"/>
      <c r="TXD1" s="2" t="n"/>
      <c r="TXE1" s="2" t="n"/>
      <c r="TXF1" s="2" t="n"/>
      <c r="TXG1" s="2" t="n"/>
      <c r="TXH1" s="2" t="n"/>
      <c r="TXI1" s="2" t="n"/>
      <c r="TXJ1" s="2" t="n"/>
      <c r="TXK1" s="2" t="n"/>
      <c r="TXL1" s="2" t="n"/>
      <c r="TXM1" s="2" t="n"/>
      <c r="TXN1" s="2" t="n"/>
      <c r="TXO1" s="2" t="n"/>
      <c r="TXP1" s="2" t="n"/>
      <c r="TXQ1" s="2" t="n"/>
      <c r="TXR1" s="2" t="n"/>
      <c r="TXS1" s="2" t="n"/>
      <c r="TXT1" s="2" t="n"/>
      <c r="TXU1" s="2" t="n"/>
      <c r="TXV1" s="2" t="n"/>
      <c r="TXW1" s="2" t="n"/>
      <c r="TXX1" s="2" t="n"/>
      <c r="TXY1" s="2" t="n"/>
      <c r="TXZ1" s="2" t="n"/>
      <c r="TYA1" s="2" t="n"/>
      <c r="TYB1" s="2" t="n"/>
      <c r="TYC1" s="2" t="n"/>
      <c r="TYD1" s="2" t="n"/>
      <c r="TYE1" s="2" t="n"/>
      <c r="TYF1" s="2" t="n"/>
      <c r="TYG1" s="2" t="n"/>
      <c r="TYH1" s="2" t="n"/>
      <c r="TYI1" s="2" t="n"/>
      <c r="TYJ1" s="2" t="n"/>
      <c r="TYK1" s="2" t="n"/>
      <c r="TYL1" s="2" t="n"/>
      <c r="TYM1" s="2" t="n"/>
      <c r="TYN1" s="2" t="n"/>
      <c r="TYO1" s="2" t="n"/>
      <c r="TYP1" s="2" t="n"/>
      <c r="TYQ1" s="2" t="n"/>
      <c r="TYR1" s="2" t="n"/>
      <c r="TYS1" s="2" t="n"/>
      <c r="TYT1" s="2" t="n"/>
      <c r="TYU1" s="2" t="n"/>
      <c r="TYV1" s="2" t="n"/>
      <c r="TYW1" s="2" t="n"/>
      <c r="TYX1" s="2" t="n"/>
      <c r="TYY1" s="2" t="n"/>
      <c r="TYZ1" s="2" t="n"/>
      <c r="TZA1" s="2" t="n"/>
      <c r="TZB1" s="2" t="n"/>
      <c r="TZC1" s="2" t="n"/>
      <c r="TZD1" s="2" t="n"/>
      <c r="TZE1" s="2" t="n"/>
      <c r="TZF1" s="2" t="n"/>
      <c r="TZG1" s="2" t="n"/>
      <c r="TZH1" s="2" t="n"/>
      <c r="TZI1" s="2" t="n"/>
      <c r="TZJ1" s="2" t="n"/>
      <c r="TZK1" s="2" t="n"/>
      <c r="TZL1" s="2" t="n"/>
      <c r="TZM1" s="2" t="n"/>
      <c r="TZN1" s="2" t="n"/>
      <c r="TZO1" s="2" t="n"/>
      <c r="TZP1" s="2" t="n"/>
      <c r="TZQ1" s="2" t="n"/>
      <c r="TZR1" s="2" t="n"/>
      <c r="TZS1" s="2" t="n"/>
      <c r="TZT1" s="2" t="n"/>
      <c r="TZU1" s="2" t="n"/>
      <c r="TZV1" s="2" t="n"/>
      <c r="TZW1" s="2" t="n"/>
      <c r="TZX1" s="2" t="n"/>
      <c r="TZY1" s="2" t="n"/>
      <c r="TZZ1" s="2" t="n"/>
      <c r="UAA1" s="2" t="n"/>
      <c r="UAB1" s="2" t="n"/>
      <c r="UAC1" s="2" t="n"/>
      <c r="UAD1" s="2" t="n"/>
      <c r="UAE1" s="2" t="n"/>
      <c r="UAF1" s="2" t="n"/>
      <c r="UAG1" s="2" t="n"/>
      <c r="UAH1" s="2" t="n"/>
      <c r="UAI1" s="2" t="n"/>
      <c r="UAJ1" s="2" t="n"/>
      <c r="UAK1" s="2" t="n"/>
      <c r="UAL1" s="2" t="n"/>
      <c r="UAM1" s="2" t="n"/>
      <c r="UAN1" s="2" t="n"/>
      <c r="UAO1" s="2" t="n"/>
      <c r="UAP1" s="2" t="n"/>
      <c r="UAQ1" s="2" t="n"/>
      <c r="UAR1" s="2" t="n"/>
      <c r="UAS1" s="2" t="n"/>
      <c r="UAT1" s="2" t="n"/>
      <c r="UAU1" s="2" t="n"/>
      <c r="UAV1" s="2" t="n"/>
      <c r="UAW1" s="2" t="n"/>
      <c r="UAX1" s="2" t="n"/>
      <c r="UAY1" s="2" t="n"/>
      <c r="UAZ1" s="2" t="n"/>
      <c r="UBA1" s="2" t="n"/>
      <c r="UBB1" s="2" t="n"/>
      <c r="UBC1" s="2" t="n"/>
      <c r="UBD1" s="2" t="n"/>
      <c r="UBE1" s="2" t="n"/>
      <c r="UBF1" s="2" t="n"/>
      <c r="UBG1" s="2" t="n"/>
      <c r="UBH1" s="2" t="n"/>
      <c r="UBI1" s="2" t="n"/>
      <c r="UBJ1" s="2" t="n"/>
      <c r="UBK1" s="2" t="n"/>
      <c r="UBL1" s="2" t="n"/>
      <c r="UBM1" s="2" t="n"/>
      <c r="UBN1" s="2" t="n"/>
      <c r="UBO1" s="2" t="n"/>
      <c r="UBP1" s="2" t="n"/>
      <c r="UBQ1" s="2" t="n"/>
      <c r="UBR1" s="2" t="n"/>
      <c r="UBS1" s="2" t="n"/>
      <c r="UBT1" s="2" t="n"/>
      <c r="UBU1" s="2" t="n"/>
      <c r="UBV1" s="2" t="n"/>
      <c r="UBW1" s="2" t="n"/>
      <c r="UBX1" s="2" t="n"/>
      <c r="UBY1" s="2" t="n"/>
      <c r="UBZ1" s="2" t="n"/>
      <c r="UCA1" s="2" t="n"/>
      <c r="UCB1" s="2" t="n"/>
      <c r="UCC1" s="2" t="n"/>
      <c r="UCD1" s="2" t="n"/>
      <c r="UCE1" s="2" t="n"/>
      <c r="UCF1" s="2" t="n"/>
      <c r="UCG1" s="2" t="n"/>
      <c r="UCH1" s="2" t="n"/>
      <c r="UCI1" s="2" t="n"/>
      <c r="UCJ1" s="2" t="n"/>
      <c r="UCK1" s="2" t="n"/>
      <c r="UCL1" s="2" t="n"/>
      <c r="UCM1" s="2" t="n"/>
      <c r="UCN1" s="2" t="n"/>
      <c r="UCO1" s="2" t="n"/>
      <c r="UCP1" s="2" t="n"/>
      <c r="UCQ1" s="2" t="n"/>
      <c r="UCR1" s="2" t="n"/>
      <c r="UCS1" s="2" t="n"/>
      <c r="UCT1" s="2" t="n"/>
      <c r="UCU1" s="2" t="n"/>
      <c r="UCV1" s="2" t="n"/>
      <c r="UCW1" s="2" t="n"/>
      <c r="UCX1" s="2" t="n"/>
      <c r="UCY1" s="2" t="n"/>
      <c r="UCZ1" s="2" t="n"/>
      <c r="UDA1" s="2" t="n"/>
      <c r="UDB1" s="2" t="n"/>
      <c r="UDC1" s="2" t="n"/>
      <c r="UDD1" s="2" t="n"/>
      <c r="UDE1" s="2" t="n"/>
      <c r="UDF1" s="2" t="n"/>
      <c r="UDG1" s="2" t="n"/>
      <c r="UDH1" s="2" t="n"/>
      <c r="UDI1" s="2" t="n"/>
      <c r="UDJ1" s="2" t="n"/>
      <c r="UDK1" s="2" t="n"/>
      <c r="UDL1" s="2" t="n"/>
      <c r="UDM1" s="2" t="n"/>
      <c r="UDN1" s="2" t="n"/>
      <c r="UDO1" s="2" t="n"/>
      <c r="UDP1" s="2" t="n"/>
      <c r="UDQ1" s="2" t="n"/>
      <c r="UDR1" s="2" t="n"/>
      <c r="UDS1" s="2" t="n"/>
      <c r="UDT1" s="2" t="n"/>
      <c r="UDU1" s="2" t="n"/>
      <c r="UDV1" s="2" t="n"/>
      <c r="UDW1" s="2" t="n"/>
      <c r="UDX1" s="2" t="n"/>
      <c r="UDY1" s="2" t="n"/>
      <c r="UDZ1" s="2" t="n"/>
      <c r="UEA1" s="2" t="n"/>
      <c r="UEB1" s="2" t="n"/>
      <c r="UEC1" s="2" t="n"/>
      <c r="UED1" s="2" t="n"/>
      <c r="UEE1" s="2" t="n"/>
      <c r="UEF1" s="2" t="n"/>
      <c r="UEG1" s="2" t="n"/>
      <c r="UEH1" s="2" t="n"/>
      <c r="UEI1" s="2" t="n"/>
      <c r="UEJ1" s="2" t="n"/>
      <c r="UEK1" s="2" t="n"/>
      <c r="UEL1" s="2" t="n"/>
      <c r="UEM1" s="2" t="n"/>
      <c r="UEN1" s="2" t="n"/>
      <c r="UEO1" s="2" t="n"/>
      <c r="UEP1" s="2" t="n"/>
      <c r="UEQ1" s="2" t="n"/>
      <c r="UER1" s="2" t="n"/>
      <c r="UES1" s="2" t="n"/>
      <c r="UET1" s="2" t="n"/>
      <c r="UEU1" s="2" t="n"/>
      <c r="UEV1" s="2" t="n"/>
      <c r="UEW1" s="2" t="n"/>
      <c r="UEX1" s="2" t="n"/>
      <c r="UEY1" s="2" t="n"/>
      <c r="UEZ1" s="2" t="n"/>
      <c r="UFA1" s="2" t="n"/>
      <c r="UFB1" s="2" t="n"/>
      <c r="UFC1" s="2" t="n"/>
      <c r="UFD1" s="2" t="n"/>
      <c r="UFE1" s="2" t="n"/>
      <c r="UFF1" s="2" t="n"/>
      <c r="UFG1" s="2" t="n"/>
      <c r="UFH1" s="2" t="n"/>
      <c r="UFI1" s="2" t="n"/>
      <c r="UFJ1" s="2" t="n"/>
      <c r="UFK1" s="2" t="n"/>
      <c r="UFL1" s="2" t="n"/>
      <c r="UFM1" s="2" t="n"/>
      <c r="UFN1" s="2" t="n"/>
      <c r="UFO1" s="2" t="n"/>
      <c r="UFP1" s="2" t="n"/>
      <c r="UFQ1" s="2" t="n"/>
      <c r="UFR1" s="2" t="n"/>
      <c r="UFS1" s="2" t="n"/>
      <c r="UFT1" s="2" t="n"/>
      <c r="UFU1" s="2" t="n"/>
      <c r="UFV1" s="2" t="n"/>
      <c r="UFW1" s="2" t="n"/>
      <c r="UFX1" s="2" t="n"/>
      <c r="UFY1" s="2" t="n"/>
      <c r="UFZ1" s="2" t="n"/>
      <c r="UGA1" s="2" t="n"/>
      <c r="UGB1" s="2" t="n"/>
      <c r="UGC1" s="2" t="n"/>
      <c r="UGD1" s="2" t="n"/>
      <c r="UGE1" s="2" t="n"/>
      <c r="UGF1" s="2" t="n"/>
      <c r="UGG1" s="2" t="n"/>
      <c r="UGH1" s="2" t="n"/>
      <c r="UGI1" s="2" t="n"/>
      <c r="UGJ1" s="2" t="n"/>
      <c r="UGK1" s="2" t="n"/>
      <c r="UGL1" s="2" t="n"/>
      <c r="UGM1" s="2" t="n"/>
      <c r="UGN1" s="2" t="n"/>
      <c r="UGO1" s="2" t="n"/>
      <c r="UGP1" s="2" t="n"/>
      <c r="UGQ1" s="2" t="n"/>
      <c r="UGR1" s="2" t="n"/>
      <c r="UGS1" s="2" t="n"/>
      <c r="UGT1" s="2" t="n"/>
      <c r="UGU1" s="2" t="n"/>
      <c r="UGV1" s="2" t="n"/>
      <c r="UGW1" s="2" t="n"/>
      <c r="UGX1" s="2" t="n"/>
      <c r="UGY1" s="2" t="n"/>
      <c r="UGZ1" s="2" t="n"/>
      <c r="UHA1" s="2" t="n"/>
      <c r="UHB1" s="2" t="n"/>
      <c r="UHC1" s="2" t="n"/>
      <c r="UHD1" s="2" t="n"/>
      <c r="UHE1" s="2" t="n"/>
      <c r="UHF1" s="2" t="n"/>
      <c r="UHG1" s="2" t="n"/>
      <c r="UHH1" s="2" t="n"/>
      <c r="UHI1" s="2" t="n"/>
      <c r="UHJ1" s="2" t="n"/>
      <c r="UHK1" s="2" t="n"/>
      <c r="UHL1" s="2" t="n"/>
      <c r="UHM1" s="2" t="n"/>
      <c r="UHN1" s="2" t="n"/>
      <c r="UHO1" s="2" t="n"/>
      <c r="UHP1" s="2" t="n"/>
      <c r="UHQ1" s="2" t="n"/>
      <c r="UHR1" s="2" t="n"/>
      <c r="UHS1" s="2" t="n"/>
      <c r="UHT1" s="2" t="n"/>
      <c r="UHU1" s="2" t="n"/>
      <c r="UHV1" s="2" t="n"/>
      <c r="UHW1" s="2" t="n"/>
      <c r="UHX1" s="2" t="n"/>
      <c r="UHY1" s="2" t="n"/>
      <c r="UHZ1" s="2" t="n"/>
      <c r="UIA1" s="2" t="n"/>
      <c r="UIB1" s="2" t="n"/>
      <c r="UIC1" s="2" t="n"/>
      <c r="UID1" s="2" t="n"/>
      <c r="UIE1" s="2" t="n"/>
      <c r="UIF1" s="2" t="n"/>
      <c r="UIG1" s="2" t="n"/>
      <c r="UIH1" s="2" t="n"/>
      <c r="UII1" s="2" t="n"/>
      <c r="UIJ1" s="2" t="n"/>
      <c r="UIK1" s="2" t="n"/>
      <c r="UIL1" s="2" t="n"/>
      <c r="UIM1" s="2" t="n"/>
      <c r="UIN1" s="2" t="n"/>
      <c r="UIO1" s="2" t="n"/>
      <c r="UIP1" s="2" t="n"/>
      <c r="UIQ1" s="2" t="n"/>
      <c r="UIR1" s="2" t="n"/>
      <c r="UIS1" s="2" t="n"/>
      <c r="UIT1" s="2" t="n"/>
      <c r="UIU1" s="2" t="n"/>
      <c r="UIV1" s="2" t="n"/>
      <c r="UIW1" s="2" t="n"/>
      <c r="UIX1" s="2" t="n"/>
      <c r="UIY1" s="2" t="n"/>
      <c r="UIZ1" s="2" t="n"/>
      <c r="UJA1" s="2" t="n"/>
      <c r="UJB1" s="2" t="n"/>
      <c r="UJC1" s="2" t="n"/>
      <c r="UJD1" s="2" t="n"/>
      <c r="UJE1" s="2" t="n"/>
      <c r="UJF1" s="2" t="n"/>
      <c r="UJG1" s="2" t="n"/>
      <c r="UJH1" s="2" t="n"/>
      <c r="UJI1" s="2" t="n"/>
      <c r="UJJ1" s="2" t="n"/>
      <c r="UJK1" s="2" t="n"/>
      <c r="UJL1" s="2" t="n"/>
      <c r="UJM1" s="2" t="n"/>
      <c r="UJN1" s="2" t="n"/>
      <c r="UJO1" s="2" t="n"/>
      <c r="UJP1" s="2" t="n"/>
      <c r="UJQ1" s="2" t="n"/>
      <c r="UJR1" s="2" t="n"/>
      <c r="UJS1" s="2" t="n"/>
      <c r="UJT1" s="2" t="n"/>
      <c r="UJU1" s="2" t="n"/>
      <c r="UJV1" s="2" t="n"/>
      <c r="UJW1" s="2" t="n"/>
      <c r="UJX1" s="2" t="n"/>
      <c r="UJY1" s="2" t="n"/>
      <c r="UJZ1" s="2" t="n"/>
      <c r="UKA1" s="2" t="n"/>
      <c r="UKB1" s="2" t="n"/>
      <c r="UKC1" s="2" t="n"/>
      <c r="UKD1" s="2" t="n"/>
      <c r="UKE1" s="2" t="n"/>
      <c r="UKF1" s="2" t="n"/>
      <c r="UKG1" s="2" t="n"/>
      <c r="UKH1" s="2" t="n"/>
      <c r="UKI1" s="2" t="n"/>
      <c r="UKJ1" s="2" t="n"/>
      <c r="UKK1" s="2" t="n"/>
      <c r="UKL1" s="2" t="n"/>
      <c r="UKM1" s="2" t="n"/>
      <c r="UKN1" s="2" t="n"/>
      <c r="UKO1" s="2" t="n"/>
      <c r="UKP1" s="2" t="n"/>
      <c r="UKQ1" s="2" t="n"/>
      <c r="UKR1" s="2" t="n"/>
      <c r="UKS1" s="2" t="n"/>
      <c r="UKT1" s="2" t="n"/>
      <c r="UKU1" s="2" t="n"/>
      <c r="UKV1" s="2" t="n"/>
      <c r="UKW1" s="2" t="n"/>
      <c r="UKX1" s="2" t="n"/>
      <c r="UKY1" s="2" t="n"/>
      <c r="UKZ1" s="2" t="n"/>
      <c r="ULA1" s="2" t="n"/>
      <c r="ULB1" s="2" t="n"/>
      <c r="ULC1" s="2" t="n"/>
      <c r="ULD1" s="2" t="n"/>
      <c r="ULE1" s="2" t="n"/>
      <c r="ULF1" s="2" t="n"/>
      <c r="ULG1" s="2" t="n"/>
      <c r="ULH1" s="2" t="n"/>
      <c r="ULI1" s="2" t="n"/>
      <c r="ULJ1" s="2" t="n"/>
      <c r="ULK1" s="2" t="n"/>
      <c r="ULL1" s="2" t="n"/>
      <c r="ULM1" s="2" t="n"/>
      <c r="ULN1" s="2" t="n"/>
      <c r="ULO1" s="2" t="n"/>
      <c r="ULP1" s="2" t="n"/>
      <c r="ULQ1" s="2" t="n"/>
      <c r="ULR1" s="2" t="n"/>
      <c r="ULS1" s="2" t="n"/>
      <c r="ULT1" s="2" t="n"/>
      <c r="ULU1" s="2" t="n"/>
      <c r="ULV1" s="2" t="n"/>
      <c r="ULW1" s="2" t="n"/>
      <c r="ULX1" s="2" t="n"/>
      <c r="ULY1" s="2" t="n"/>
      <c r="ULZ1" s="2" t="n"/>
      <c r="UMA1" s="2" t="n"/>
      <c r="UMB1" s="2" t="n"/>
      <c r="UMC1" s="2" t="n"/>
      <c r="UMD1" s="2" t="n"/>
      <c r="UME1" s="2" t="n"/>
      <c r="UMF1" s="2" t="n"/>
      <c r="UMG1" s="2" t="n"/>
      <c r="UMH1" s="2" t="n"/>
      <c r="UMI1" s="2" t="n"/>
      <c r="UMJ1" s="2" t="n"/>
      <c r="UMK1" s="2" t="n"/>
      <c r="UML1" s="2" t="n"/>
      <c r="UMM1" s="2" t="n"/>
      <c r="UMN1" s="2" t="n"/>
      <c r="UMO1" s="2" t="n"/>
      <c r="UMP1" s="2" t="n"/>
      <c r="UMQ1" s="2" t="n"/>
      <c r="UMR1" s="2" t="n"/>
      <c r="UMS1" s="2" t="n"/>
      <c r="UMT1" s="2" t="n"/>
      <c r="UMU1" s="2" t="n"/>
      <c r="UMV1" s="2" t="n"/>
      <c r="UMW1" s="2" t="n"/>
      <c r="UMX1" s="2" t="n"/>
      <c r="UMY1" s="2" t="n"/>
      <c r="UMZ1" s="2" t="n"/>
      <c r="UNA1" s="2" t="n"/>
      <c r="UNB1" s="2" t="n"/>
      <c r="UNC1" s="2" t="n"/>
      <c r="UND1" s="2" t="n"/>
      <c r="UNE1" s="2" t="n"/>
      <c r="UNF1" s="2" t="n"/>
      <c r="UNG1" s="2" t="n"/>
      <c r="UNH1" s="2" t="n"/>
      <c r="UNI1" s="2" t="n"/>
      <c r="UNJ1" s="2" t="n"/>
      <c r="UNK1" s="2" t="n"/>
      <c r="UNL1" s="2" t="n"/>
      <c r="UNM1" s="2" t="n"/>
      <c r="UNN1" s="2" t="n"/>
      <c r="UNO1" s="2" t="n"/>
      <c r="UNP1" s="2" t="n"/>
      <c r="UNQ1" s="2" t="n"/>
      <c r="UNR1" s="2" t="n"/>
      <c r="UNS1" s="2" t="n"/>
      <c r="UNT1" s="2" t="n"/>
      <c r="UNU1" s="2" t="n"/>
      <c r="UNV1" s="2" t="n"/>
      <c r="UNW1" s="2" t="n"/>
      <c r="UNX1" s="2" t="n"/>
      <c r="UNY1" s="2" t="n"/>
      <c r="UNZ1" s="2" t="n"/>
      <c r="UOA1" s="2" t="n"/>
      <c r="UOB1" s="2" t="n"/>
      <c r="UOC1" s="2" t="n"/>
      <c r="UOD1" s="2" t="n"/>
      <c r="UOE1" s="2" t="n"/>
      <c r="UOF1" s="2" t="n"/>
      <c r="UOG1" s="2" t="n"/>
      <c r="UOH1" s="2" t="n"/>
      <c r="UOI1" s="2" t="n"/>
      <c r="UOJ1" s="2" t="n"/>
      <c r="UOK1" s="2" t="n"/>
      <c r="UOL1" s="2" t="n"/>
      <c r="UOM1" s="2" t="n"/>
      <c r="UON1" s="2" t="n"/>
      <c r="UOO1" s="2" t="n"/>
      <c r="UOP1" s="2" t="n"/>
      <c r="UOQ1" s="2" t="n"/>
      <c r="UOR1" s="2" t="n"/>
      <c r="UOS1" s="2" t="n"/>
      <c r="UOT1" s="2" t="n"/>
      <c r="UOU1" s="2" t="n"/>
      <c r="UOV1" s="2" t="n"/>
      <c r="UOW1" s="2" t="n"/>
      <c r="UOX1" s="2" t="n"/>
      <c r="UOY1" s="2" t="n"/>
      <c r="UOZ1" s="2" t="n"/>
      <c r="UPA1" s="2" t="n"/>
      <c r="UPB1" s="2" t="n"/>
      <c r="UPC1" s="2" t="n"/>
      <c r="UPD1" s="2" t="n"/>
      <c r="UPE1" s="2" t="n"/>
      <c r="UPF1" s="2" t="n"/>
      <c r="UPG1" s="2" t="n"/>
      <c r="UPH1" s="2" t="n"/>
      <c r="UPI1" s="2" t="n"/>
      <c r="UPJ1" s="2" t="n"/>
      <c r="UPK1" s="2" t="n"/>
      <c r="UPL1" s="2" t="n"/>
      <c r="UPM1" s="2" t="n"/>
      <c r="UPN1" s="2" t="n"/>
      <c r="UPO1" s="2" t="n"/>
      <c r="UPP1" s="2" t="n"/>
      <c r="UPQ1" s="2" t="n"/>
      <c r="UPR1" s="2" t="n"/>
      <c r="UPS1" s="2" t="n"/>
      <c r="UPT1" s="2" t="n"/>
      <c r="UPU1" s="2" t="n"/>
      <c r="UPV1" s="2" t="n"/>
      <c r="UPW1" s="2" t="n"/>
      <c r="UPX1" s="2" t="n"/>
      <c r="UPY1" s="2" t="n"/>
      <c r="UPZ1" s="2" t="n"/>
      <c r="UQA1" s="2" t="n"/>
      <c r="UQB1" s="2" t="n"/>
      <c r="UQC1" s="2" t="n"/>
      <c r="UQD1" s="2" t="n"/>
      <c r="UQE1" s="2" t="n"/>
      <c r="UQF1" s="2" t="n"/>
      <c r="UQG1" s="2" t="n"/>
      <c r="UQH1" s="2" t="n"/>
      <c r="UQI1" s="2" t="n"/>
      <c r="UQJ1" s="2" t="n"/>
      <c r="UQK1" s="2" t="n"/>
      <c r="UQL1" s="2" t="n"/>
      <c r="UQM1" s="2" t="n"/>
      <c r="UQN1" s="2" t="n"/>
      <c r="UQO1" s="2" t="n"/>
      <c r="UQP1" s="2" t="n"/>
      <c r="UQQ1" s="2" t="n"/>
      <c r="UQR1" s="2" t="n"/>
      <c r="UQS1" s="2" t="n"/>
      <c r="UQT1" s="2" t="n"/>
      <c r="UQU1" s="2" t="n"/>
      <c r="UQV1" s="2" t="n"/>
      <c r="UQW1" s="2" t="n"/>
      <c r="UQX1" s="2" t="n"/>
      <c r="UQY1" s="2" t="n"/>
      <c r="UQZ1" s="2" t="n"/>
      <c r="URA1" s="2" t="n"/>
      <c r="URB1" s="2" t="n"/>
      <c r="URC1" s="2" t="n"/>
      <c r="URD1" s="2" t="n"/>
      <c r="URE1" s="2" t="n"/>
      <c r="URF1" s="2" t="n"/>
      <c r="URG1" s="2" t="n"/>
      <c r="URH1" s="2" t="n"/>
      <c r="URI1" s="2" t="n"/>
      <c r="URJ1" s="2" t="n"/>
      <c r="URK1" s="2" t="n"/>
      <c r="URL1" s="2" t="n"/>
      <c r="URM1" s="2" t="n"/>
      <c r="URN1" s="2" t="n"/>
      <c r="URO1" s="2" t="n"/>
      <c r="URP1" s="2" t="n"/>
      <c r="URQ1" s="2" t="n"/>
      <c r="URR1" s="2" t="n"/>
      <c r="URS1" s="2" t="n"/>
      <c r="URT1" s="2" t="n"/>
      <c r="URU1" s="2" t="n"/>
      <c r="URV1" s="2" t="n"/>
      <c r="URW1" s="2" t="n"/>
      <c r="URX1" s="2" t="n"/>
      <c r="URY1" s="2" t="n"/>
      <c r="URZ1" s="2" t="n"/>
      <c r="USA1" s="2" t="n"/>
      <c r="USB1" s="2" t="n"/>
      <c r="USC1" s="2" t="n"/>
      <c r="USD1" s="2" t="n"/>
      <c r="USE1" s="2" t="n"/>
      <c r="USF1" s="2" t="n"/>
      <c r="USG1" s="2" t="n"/>
      <c r="USH1" s="2" t="n"/>
      <c r="USI1" s="2" t="n"/>
      <c r="USJ1" s="2" t="n"/>
      <c r="USK1" s="2" t="n"/>
      <c r="USL1" s="2" t="n"/>
      <c r="USM1" s="2" t="n"/>
      <c r="USN1" s="2" t="n"/>
      <c r="USO1" s="2" t="n"/>
      <c r="USP1" s="2" t="n"/>
      <c r="USQ1" s="2" t="n"/>
      <c r="USR1" s="2" t="n"/>
      <c r="USS1" s="2" t="n"/>
      <c r="UST1" s="2" t="n"/>
      <c r="USU1" s="2" t="n"/>
      <c r="USV1" s="2" t="n"/>
      <c r="USW1" s="2" t="n"/>
      <c r="USX1" s="2" t="n"/>
      <c r="USY1" s="2" t="n"/>
      <c r="USZ1" s="2" t="n"/>
      <c r="UTA1" s="2" t="n"/>
      <c r="UTB1" s="2" t="n"/>
      <c r="UTC1" s="2" t="n"/>
      <c r="UTD1" s="2" t="n"/>
      <c r="UTE1" s="2" t="n"/>
      <c r="UTF1" s="2" t="n"/>
      <c r="UTG1" s="2" t="n"/>
      <c r="UTH1" s="2" t="n"/>
      <c r="UTI1" s="2" t="n"/>
      <c r="UTJ1" s="2" t="n"/>
      <c r="UTK1" s="2" t="n"/>
      <c r="UTL1" s="2" t="n"/>
      <c r="UTM1" s="2" t="n"/>
      <c r="UTN1" s="2" t="n"/>
      <c r="UTO1" s="2" t="n"/>
      <c r="UTP1" s="2" t="n"/>
      <c r="UTQ1" s="2" t="n"/>
      <c r="UTR1" s="2" t="n"/>
      <c r="UTS1" s="2" t="n"/>
      <c r="UTT1" s="2" t="n"/>
      <c r="UTU1" s="2" t="n"/>
      <c r="UTV1" s="2" t="n"/>
      <c r="UTW1" s="2" t="n"/>
      <c r="UTX1" s="2" t="n"/>
      <c r="UTY1" s="2" t="n"/>
      <c r="UTZ1" s="2" t="n"/>
      <c r="UUA1" s="2" t="n"/>
      <c r="UUB1" s="2" t="n"/>
      <c r="UUC1" s="2" t="n"/>
      <c r="UUD1" s="2" t="n"/>
      <c r="UUE1" s="2" t="n"/>
      <c r="UUF1" s="2" t="n"/>
      <c r="UUG1" s="2" t="n"/>
      <c r="UUH1" s="2" t="n"/>
      <c r="UUI1" s="2" t="n"/>
      <c r="UUJ1" s="2" t="n"/>
      <c r="UUK1" s="2" t="n"/>
      <c r="UUL1" s="2" t="n"/>
      <c r="UUM1" s="2" t="n"/>
      <c r="UUN1" s="2" t="n"/>
      <c r="UUO1" s="2" t="n"/>
      <c r="UUP1" s="2" t="n"/>
      <c r="UUQ1" s="2" t="n"/>
      <c r="UUR1" s="2" t="n"/>
      <c r="UUS1" s="2" t="n"/>
      <c r="UUT1" s="2" t="n"/>
      <c r="UUU1" s="2" t="n"/>
      <c r="UUV1" s="2" t="n"/>
      <c r="UUW1" s="2" t="n"/>
      <c r="UUX1" s="2" t="n"/>
      <c r="UUY1" s="2" t="n"/>
      <c r="UUZ1" s="2" t="n"/>
      <c r="UVA1" s="2" t="n"/>
      <c r="UVB1" s="2" t="n"/>
      <c r="UVC1" s="2" t="n"/>
      <c r="UVD1" s="2" t="n"/>
      <c r="UVE1" s="2" t="n"/>
      <c r="UVF1" s="2" t="n"/>
      <c r="UVG1" s="2" t="n"/>
      <c r="UVH1" s="2" t="n"/>
      <c r="UVI1" s="2" t="n"/>
      <c r="UVJ1" s="2" t="n"/>
      <c r="UVK1" s="2" t="n"/>
      <c r="UVL1" s="2" t="n"/>
      <c r="UVM1" s="2" t="n"/>
      <c r="UVN1" s="2" t="n"/>
      <c r="UVO1" s="2" t="n"/>
      <c r="UVP1" s="2" t="n"/>
      <c r="UVQ1" s="2" t="n"/>
      <c r="UVR1" s="2" t="n"/>
      <c r="UVS1" s="2" t="n"/>
      <c r="UVT1" s="2" t="n"/>
      <c r="UVU1" s="2" t="n"/>
      <c r="UVV1" s="2" t="n"/>
      <c r="UVW1" s="2" t="n"/>
      <c r="UVX1" s="2" t="n"/>
      <c r="UVY1" s="2" t="n"/>
      <c r="UVZ1" s="2" t="n"/>
      <c r="UWA1" s="2" t="n"/>
      <c r="UWB1" s="2" t="n"/>
      <c r="UWC1" s="2" t="n"/>
      <c r="UWD1" s="2" t="n"/>
      <c r="UWE1" s="2" t="n"/>
      <c r="UWF1" s="2" t="n"/>
      <c r="UWG1" s="2" t="n"/>
      <c r="UWH1" s="2" t="n"/>
      <c r="UWI1" s="2" t="n"/>
      <c r="UWJ1" s="2" t="n"/>
      <c r="UWK1" s="2" t="n"/>
      <c r="UWL1" s="2" t="n"/>
      <c r="UWM1" s="2" t="n"/>
      <c r="UWN1" s="2" t="n"/>
      <c r="UWO1" s="2" t="n"/>
      <c r="UWP1" s="2" t="n"/>
      <c r="UWQ1" s="2" t="n"/>
      <c r="UWR1" s="2" t="n"/>
      <c r="UWS1" s="2" t="n"/>
      <c r="UWT1" s="2" t="n"/>
      <c r="UWU1" s="2" t="n"/>
      <c r="UWV1" s="2" t="n"/>
      <c r="UWW1" s="2" t="n"/>
      <c r="UWX1" s="2" t="n"/>
      <c r="UWY1" s="2" t="n"/>
      <c r="UWZ1" s="2" t="n"/>
      <c r="UXA1" s="2" t="n"/>
      <c r="UXB1" s="2" t="n"/>
      <c r="UXC1" s="2" t="n"/>
      <c r="UXD1" s="2" t="n"/>
      <c r="UXE1" s="2" t="n"/>
      <c r="UXF1" s="2" t="n"/>
      <c r="UXG1" s="2" t="n"/>
      <c r="UXH1" s="2" t="n"/>
      <c r="UXI1" s="2" t="n"/>
      <c r="UXJ1" s="2" t="n"/>
      <c r="UXK1" s="2" t="n"/>
      <c r="UXL1" s="2" t="n"/>
      <c r="UXM1" s="2" t="n"/>
      <c r="UXN1" s="2" t="n"/>
      <c r="UXO1" s="2" t="n"/>
      <c r="UXP1" s="2" t="n"/>
      <c r="UXQ1" s="2" t="n"/>
      <c r="UXR1" s="2" t="n"/>
      <c r="UXS1" s="2" t="n"/>
      <c r="UXT1" s="2" t="n"/>
      <c r="UXU1" s="2" t="n"/>
      <c r="UXV1" s="2" t="n"/>
      <c r="UXW1" s="2" t="n"/>
      <c r="UXX1" s="2" t="n"/>
      <c r="UXY1" s="2" t="n"/>
      <c r="UXZ1" s="2" t="n"/>
      <c r="UYA1" s="2" t="n"/>
      <c r="UYB1" s="2" t="n"/>
      <c r="UYC1" s="2" t="n"/>
      <c r="UYD1" s="2" t="n"/>
      <c r="UYE1" s="2" t="n"/>
      <c r="UYF1" s="2" t="n"/>
      <c r="UYG1" s="2" t="n"/>
      <c r="UYH1" s="2" t="n"/>
      <c r="UYI1" s="2" t="n"/>
      <c r="UYJ1" s="2" t="n"/>
      <c r="UYK1" s="2" t="n"/>
      <c r="UYL1" s="2" t="n"/>
      <c r="UYM1" s="2" t="n"/>
      <c r="UYN1" s="2" t="n"/>
      <c r="UYO1" s="2" t="n"/>
      <c r="UYP1" s="2" t="n"/>
      <c r="UYQ1" s="2" t="n"/>
      <c r="UYR1" s="2" t="n"/>
      <c r="UYS1" s="2" t="n"/>
      <c r="UYT1" s="2" t="n"/>
      <c r="UYU1" s="2" t="n"/>
      <c r="UYV1" s="2" t="n"/>
      <c r="UYW1" s="2" t="n"/>
      <c r="UYX1" s="2" t="n"/>
      <c r="UYY1" s="2" t="n"/>
      <c r="UYZ1" s="2" t="n"/>
      <c r="UZA1" s="2" t="n"/>
      <c r="UZB1" s="2" t="n"/>
      <c r="UZC1" s="2" t="n"/>
      <c r="UZD1" s="2" t="n"/>
      <c r="UZE1" s="2" t="n"/>
      <c r="UZF1" s="2" t="n"/>
      <c r="UZG1" s="2" t="n"/>
      <c r="UZH1" s="2" t="n"/>
      <c r="UZI1" s="2" t="n"/>
      <c r="UZJ1" s="2" t="n"/>
      <c r="UZK1" s="2" t="n"/>
      <c r="UZL1" s="2" t="n"/>
      <c r="UZM1" s="2" t="n"/>
      <c r="UZN1" s="2" t="n"/>
      <c r="UZO1" s="2" t="n"/>
      <c r="UZP1" s="2" t="n"/>
      <c r="UZQ1" s="2" t="n"/>
      <c r="UZR1" s="2" t="n"/>
      <c r="UZS1" s="2" t="n"/>
      <c r="UZT1" s="2" t="n"/>
      <c r="UZU1" s="2" t="n"/>
      <c r="UZV1" s="2" t="n"/>
      <c r="UZW1" s="2" t="n"/>
      <c r="UZX1" s="2" t="n"/>
      <c r="UZY1" s="2" t="n"/>
      <c r="UZZ1" s="2" t="n"/>
      <c r="VAA1" s="2" t="n"/>
      <c r="VAB1" s="2" t="n"/>
      <c r="VAC1" s="2" t="n"/>
      <c r="VAD1" s="2" t="n"/>
      <c r="VAE1" s="2" t="n"/>
      <c r="VAF1" s="2" t="n"/>
      <c r="VAG1" s="2" t="n"/>
      <c r="VAH1" s="2" t="n"/>
      <c r="VAI1" s="2" t="n"/>
      <c r="VAJ1" s="2" t="n"/>
      <c r="VAK1" s="2" t="n"/>
      <c r="VAL1" s="2" t="n"/>
      <c r="VAM1" s="2" t="n"/>
      <c r="VAN1" s="2" t="n"/>
      <c r="VAO1" s="2" t="n"/>
      <c r="VAP1" s="2" t="n"/>
      <c r="VAQ1" s="2" t="n"/>
      <c r="VAR1" s="2" t="n"/>
      <c r="VAS1" s="2" t="n"/>
      <c r="VAT1" s="2" t="n"/>
      <c r="VAU1" s="2" t="n"/>
      <c r="VAV1" s="2" t="n"/>
      <c r="VAW1" s="2" t="n"/>
      <c r="VAX1" s="2" t="n"/>
      <c r="VAY1" s="2" t="n"/>
      <c r="VAZ1" s="2" t="n"/>
      <c r="VBA1" s="2" t="n"/>
      <c r="VBB1" s="2" t="n"/>
      <c r="VBC1" s="2" t="n"/>
      <c r="VBD1" s="2" t="n"/>
      <c r="VBE1" s="2" t="n"/>
      <c r="VBF1" s="2" t="n"/>
      <c r="VBG1" s="2" t="n"/>
      <c r="VBH1" s="2" t="n"/>
      <c r="VBI1" s="2" t="n"/>
      <c r="VBJ1" s="2" t="n"/>
      <c r="VBK1" s="2" t="n"/>
      <c r="VBL1" s="2" t="n"/>
      <c r="VBM1" s="2" t="n"/>
      <c r="VBN1" s="2" t="n"/>
      <c r="VBO1" s="2" t="n"/>
      <c r="VBP1" s="2" t="n"/>
      <c r="VBQ1" s="2" t="n"/>
      <c r="VBR1" s="2" t="n"/>
      <c r="VBS1" s="2" t="n"/>
      <c r="VBT1" s="2" t="n"/>
      <c r="VBU1" s="2" t="n"/>
      <c r="VBV1" s="2" t="n"/>
      <c r="VBW1" s="2" t="n"/>
      <c r="VBX1" s="2" t="n"/>
      <c r="VBY1" s="2" t="n"/>
      <c r="VBZ1" s="2" t="n"/>
      <c r="VCA1" s="2" t="n"/>
      <c r="VCB1" s="2" t="n"/>
      <c r="VCC1" s="2" t="n"/>
      <c r="VCD1" s="2" t="n"/>
      <c r="VCE1" s="2" t="n"/>
      <c r="VCF1" s="2" t="n"/>
      <c r="VCG1" s="2" t="n"/>
      <c r="VCH1" s="2" t="n"/>
      <c r="VCI1" s="2" t="n"/>
      <c r="VCJ1" s="2" t="n"/>
      <c r="VCK1" s="2" t="n"/>
      <c r="VCL1" s="2" t="n"/>
      <c r="VCM1" s="2" t="n"/>
      <c r="VCN1" s="2" t="n"/>
      <c r="VCO1" s="2" t="n"/>
      <c r="VCP1" s="2" t="n"/>
      <c r="VCQ1" s="2" t="n"/>
      <c r="VCR1" s="2" t="n"/>
      <c r="VCS1" s="2" t="n"/>
      <c r="VCT1" s="2" t="n"/>
      <c r="VCU1" s="2" t="n"/>
      <c r="VCV1" s="2" t="n"/>
      <c r="VCW1" s="2" t="n"/>
      <c r="VCX1" s="2" t="n"/>
      <c r="VCY1" s="2" t="n"/>
      <c r="VCZ1" s="2" t="n"/>
      <c r="VDA1" s="2" t="n"/>
      <c r="VDB1" s="2" t="n"/>
      <c r="VDC1" s="2" t="n"/>
      <c r="VDD1" s="2" t="n"/>
      <c r="VDE1" s="2" t="n"/>
      <c r="VDF1" s="2" t="n"/>
      <c r="VDG1" s="2" t="n"/>
      <c r="VDH1" s="2" t="n"/>
      <c r="VDI1" s="2" t="n"/>
      <c r="VDJ1" s="2" t="n"/>
      <c r="VDK1" s="2" t="n"/>
      <c r="VDL1" s="2" t="n"/>
      <c r="VDM1" s="2" t="n"/>
      <c r="VDN1" s="2" t="n"/>
      <c r="VDO1" s="2" t="n"/>
      <c r="VDP1" s="2" t="n"/>
      <c r="VDQ1" s="2" t="n"/>
      <c r="VDR1" s="2" t="n"/>
      <c r="VDS1" s="2" t="n"/>
      <c r="VDT1" s="2" t="n"/>
      <c r="VDU1" s="2" t="n"/>
      <c r="VDV1" s="2" t="n"/>
      <c r="VDW1" s="2" t="n"/>
      <c r="VDX1" s="2" t="n"/>
      <c r="VDY1" s="2" t="n"/>
      <c r="VDZ1" s="2" t="n"/>
      <c r="VEA1" s="2" t="n"/>
      <c r="VEB1" s="2" t="n"/>
      <c r="VEC1" s="2" t="n"/>
      <c r="VED1" s="2" t="n"/>
      <c r="VEE1" s="2" t="n"/>
      <c r="VEF1" s="2" t="n"/>
      <c r="VEG1" s="2" t="n"/>
      <c r="VEH1" s="2" t="n"/>
      <c r="VEI1" s="2" t="n"/>
      <c r="VEJ1" s="2" t="n"/>
      <c r="VEK1" s="2" t="n"/>
      <c r="VEL1" s="2" t="n"/>
      <c r="VEM1" s="2" t="n"/>
      <c r="VEN1" s="2" t="n"/>
      <c r="VEO1" s="2" t="n"/>
      <c r="VEP1" s="2" t="n"/>
      <c r="VEQ1" s="2" t="n"/>
      <c r="VER1" s="2" t="n"/>
      <c r="VES1" s="2" t="n"/>
      <c r="VET1" s="2" t="n"/>
      <c r="VEU1" s="2" t="n"/>
      <c r="VEV1" s="2" t="n"/>
      <c r="VEW1" s="2" t="n"/>
      <c r="VEX1" s="2" t="n"/>
      <c r="VEY1" s="2" t="n"/>
      <c r="VEZ1" s="2" t="n"/>
      <c r="VFA1" s="2" t="n"/>
      <c r="VFB1" s="2" t="n"/>
      <c r="VFC1" s="2" t="n"/>
      <c r="VFD1" s="2" t="n"/>
      <c r="VFE1" s="2" t="n"/>
      <c r="VFF1" s="2" t="n"/>
      <c r="VFG1" s="2" t="n"/>
      <c r="VFH1" s="2" t="n"/>
      <c r="VFI1" s="2" t="n"/>
      <c r="VFJ1" s="2" t="n"/>
      <c r="VFK1" s="2" t="n"/>
      <c r="VFL1" s="2" t="n"/>
      <c r="VFM1" s="2" t="n"/>
      <c r="VFN1" s="2" t="n"/>
      <c r="VFO1" s="2" t="n"/>
      <c r="VFP1" s="2" t="n"/>
      <c r="VFQ1" s="2" t="n"/>
      <c r="VFR1" s="2" t="n"/>
      <c r="VFS1" s="2" t="n"/>
      <c r="VFT1" s="2" t="n"/>
      <c r="VFU1" s="2" t="n"/>
      <c r="VFV1" s="2" t="n"/>
      <c r="VFW1" s="2" t="n"/>
      <c r="VFX1" s="2" t="n"/>
      <c r="VFY1" s="2" t="n"/>
      <c r="VFZ1" s="2" t="n"/>
      <c r="VGA1" s="2" t="n"/>
      <c r="VGB1" s="2" t="n"/>
      <c r="VGC1" s="2" t="n"/>
      <c r="VGD1" s="2" t="n"/>
      <c r="VGE1" s="2" t="n"/>
      <c r="VGF1" s="2" t="n"/>
      <c r="VGG1" s="2" t="n"/>
      <c r="VGH1" s="2" t="n"/>
      <c r="VGI1" s="2" t="n"/>
      <c r="VGJ1" s="2" t="n"/>
      <c r="VGK1" s="2" t="n"/>
      <c r="VGL1" s="2" t="n"/>
      <c r="VGM1" s="2" t="n"/>
      <c r="VGN1" s="2" t="n"/>
      <c r="VGO1" s="2" t="n"/>
      <c r="VGP1" s="2" t="n"/>
      <c r="VGQ1" s="2" t="n"/>
      <c r="VGR1" s="2" t="n"/>
      <c r="VGS1" s="2" t="n"/>
      <c r="VGT1" s="2" t="n"/>
      <c r="VGU1" s="2" t="n"/>
      <c r="VGV1" s="2" t="n"/>
      <c r="VGW1" s="2" t="n"/>
      <c r="VGX1" s="2" t="n"/>
      <c r="VGY1" s="2" t="n"/>
      <c r="VGZ1" s="2" t="n"/>
      <c r="VHA1" s="2" t="n"/>
      <c r="VHB1" s="2" t="n"/>
      <c r="VHC1" s="2" t="n"/>
      <c r="VHD1" s="2" t="n"/>
      <c r="VHE1" s="2" t="n"/>
      <c r="VHF1" s="2" t="n"/>
      <c r="VHG1" s="2" t="n"/>
      <c r="VHH1" s="2" t="n"/>
      <c r="VHI1" s="2" t="n"/>
      <c r="VHJ1" s="2" t="n"/>
      <c r="VHK1" s="2" t="n"/>
      <c r="VHL1" s="2" t="n"/>
      <c r="VHM1" s="2" t="n"/>
      <c r="VHN1" s="2" t="n"/>
      <c r="VHO1" s="2" t="n"/>
      <c r="VHP1" s="2" t="n"/>
      <c r="VHQ1" s="2" t="n"/>
      <c r="VHR1" s="2" t="n"/>
      <c r="VHS1" s="2" t="n"/>
      <c r="VHT1" s="2" t="n"/>
      <c r="VHU1" s="2" t="n"/>
      <c r="VHV1" s="2" t="n"/>
      <c r="VHW1" s="2" t="n"/>
      <c r="VHX1" s="2" t="n"/>
      <c r="VHY1" s="2" t="n"/>
      <c r="VHZ1" s="2" t="n"/>
      <c r="VIA1" s="2" t="n"/>
      <c r="VIB1" s="2" t="n"/>
      <c r="VIC1" s="2" t="n"/>
      <c r="VID1" s="2" t="n"/>
      <c r="VIE1" s="2" t="n"/>
      <c r="VIF1" s="2" t="n"/>
      <c r="VIG1" s="2" t="n"/>
      <c r="VIH1" s="2" t="n"/>
      <c r="VII1" s="2" t="n"/>
      <c r="VIJ1" s="2" t="n"/>
      <c r="VIK1" s="2" t="n"/>
      <c r="VIL1" s="2" t="n"/>
      <c r="VIM1" s="2" t="n"/>
      <c r="VIN1" s="2" t="n"/>
      <c r="VIO1" s="2" t="n"/>
      <c r="VIP1" s="2" t="n"/>
      <c r="VIQ1" s="2" t="n"/>
      <c r="VIR1" s="2" t="n"/>
      <c r="VIS1" s="2" t="n"/>
      <c r="VIT1" s="2" t="n"/>
      <c r="VIU1" s="2" t="n"/>
      <c r="VIV1" s="2" t="n"/>
      <c r="VIW1" s="2" t="n"/>
      <c r="VIX1" s="2" t="n"/>
      <c r="VIY1" s="2" t="n"/>
      <c r="VIZ1" s="2" t="n"/>
      <c r="VJA1" s="2" t="n"/>
      <c r="VJB1" s="2" t="n"/>
      <c r="VJC1" s="2" t="n"/>
      <c r="VJD1" s="2" t="n"/>
      <c r="VJE1" s="2" t="n"/>
      <c r="VJF1" s="2" t="n"/>
      <c r="VJG1" s="2" t="n"/>
      <c r="VJH1" s="2" t="n"/>
      <c r="VJI1" s="2" t="n"/>
      <c r="VJJ1" s="2" t="n"/>
      <c r="VJK1" s="2" t="n"/>
      <c r="VJL1" s="2" t="n"/>
      <c r="VJM1" s="2" t="n"/>
      <c r="VJN1" s="2" t="n"/>
      <c r="VJO1" s="2" t="n"/>
      <c r="VJP1" s="2" t="n"/>
      <c r="VJQ1" s="2" t="n"/>
      <c r="VJR1" s="2" t="n"/>
      <c r="VJS1" s="2" t="n"/>
      <c r="VJT1" s="2" t="n"/>
      <c r="VJU1" s="2" t="n"/>
      <c r="VJV1" s="2" t="n"/>
      <c r="VJW1" s="2" t="n"/>
      <c r="VJX1" s="2" t="n"/>
      <c r="VJY1" s="2" t="n"/>
      <c r="VJZ1" s="2" t="n"/>
      <c r="VKA1" s="2" t="n"/>
      <c r="VKB1" s="2" t="n"/>
      <c r="VKC1" s="2" t="n"/>
      <c r="VKD1" s="2" t="n"/>
      <c r="VKE1" s="2" t="n"/>
      <c r="VKF1" s="2" t="n"/>
      <c r="VKG1" s="2" t="n"/>
      <c r="VKH1" s="2" t="n"/>
      <c r="VKI1" s="2" t="n"/>
      <c r="VKJ1" s="2" t="n"/>
      <c r="VKK1" s="2" t="n"/>
      <c r="VKL1" s="2" t="n"/>
      <c r="VKM1" s="2" t="n"/>
      <c r="VKN1" s="2" t="n"/>
      <c r="VKO1" s="2" t="n"/>
      <c r="VKP1" s="2" t="n"/>
      <c r="VKQ1" s="2" t="n"/>
      <c r="VKR1" s="2" t="n"/>
      <c r="VKS1" s="2" t="n"/>
      <c r="VKT1" s="2" t="n"/>
      <c r="VKU1" s="2" t="n"/>
      <c r="VKV1" s="2" t="n"/>
      <c r="VKW1" s="2" t="n"/>
      <c r="VKX1" s="2" t="n"/>
      <c r="VKY1" s="2" t="n"/>
      <c r="VKZ1" s="2" t="n"/>
      <c r="VLA1" s="2" t="n"/>
      <c r="VLB1" s="2" t="n"/>
      <c r="VLC1" s="2" t="n"/>
      <c r="VLD1" s="2" t="n"/>
      <c r="VLE1" s="2" t="n"/>
      <c r="VLF1" s="2" t="n"/>
      <c r="VLG1" s="2" t="n"/>
      <c r="VLH1" s="2" t="n"/>
      <c r="VLI1" s="2" t="n"/>
      <c r="VLJ1" s="2" t="n"/>
      <c r="VLK1" s="2" t="n"/>
      <c r="VLL1" s="2" t="n"/>
      <c r="VLM1" s="2" t="n"/>
      <c r="VLN1" s="2" t="n"/>
      <c r="VLO1" s="2" t="n"/>
      <c r="VLP1" s="2" t="n"/>
      <c r="VLQ1" s="2" t="n"/>
      <c r="VLR1" s="2" t="n"/>
      <c r="VLS1" s="2" t="n"/>
      <c r="VLT1" s="2" t="n"/>
      <c r="VLU1" s="2" t="n"/>
      <c r="VLV1" s="2" t="n"/>
      <c r="VLW1" s="2" t="n"/>
      <c r="VLX1" s="2" t="n"/>
      <c r="VLY1" s="2" t="n"/>
      <c r="VLZ1" s="2" t="n"/>
      <c r="VMA1" s="2" t="n"/>
      <c r="VMB1" s="2" t="n"/>
      <c r="VMC1" s="2" t="n"/>
      <c r="VMD1" s="2" t="n"/>
      <c r="VME1" s="2" t="n"/>
      <c r="VMF1" s="2" t="n"/>
      <c r="VMG1" s="2" t="n"/>
      <c r="VMH1" s="2" t="n"/>
      <c r="VMI1" s="2" t="n"/>
      <c r="VMJ1" s="2" t="n"/>
      <c r="VMK1" s="2" t="n"/>
      <c r="VML1" s="2" t="n"/>
      <c r="VMM1" s="2" t="n"/>
      <c r="VMN1" s="2" t="n"/>
      <c r="VMO1" s="2" t="n"/>
      <c r="VMP1" s="2" t="n"/>
      <c r="VMQ1" s="2" t="n"/>
      <c r="VMR1" s="2" t="n"/>
      <c r="VMS1" s="2" t="n"/>
      <c r="VMT1" s="2" t="n"/>
      <c r="VMU1" s="2" t="n"/>
      <c r="VMV1" s="2" t="n"/>
      <c r="VMW1" s="2" t="n"/>
      <c r="VMX1" s="2" t="n"/>
      <c r="VMY1" s="2" t="n"/>
      <c r="VMZ1" s="2" t="n"/>
      <c r="VNA1" s="2" t="n"/>
      <c r="VNB1" s="2" t="n"/>
      <c r="VNC1" s="2" t="n"/>
      <c r="VND1" s="2" t="n"/>
      <c r="VNE1" s="2" t="n"/>
      <c r="VNF1" s="2" t="n"/>
      <c r="VNG1" s="2" t="n"/>
      <c r="VNH1" s="2" t="n"/>
      <c r="VNI1" s="2" t="n"/>
      <c r="VNJ1" s="2" t="n"/>
      <c r="VNK1" s="2" t="n"/>
      <c r="VNL1" s="2" t="n"/>
      <c r="VNM1" s="2" t="n"/>
      <c r="VNN1" s="2" t="n"/>
      <c r="VNO1" s="2" t="n"/>
      <c r="VNP1" s="2" t="n"/>
      <c r="VNQ1" s="2" t="n"/>
      <c r="VNR1" s="2" t="n"/>
      <c r="VNS1" s="2" t="n"/>
      <c r="VNT1" s="2" t="n"/>
      <c r="VNU1" s="2" t="n"/>
      <c r="VNV1" s="2" t="n"/>
      <c r="VNW1" s="2" t="n"/>
      <c r="VNX1" s="2" t="n"/>
      <c r="VNY1" s="2" t="n"/>
      <c r="VNZ1" s="2" t="n"/>
      <c r="VOA1" s="2" t="n"/>
      <c r="VOB1" s="2" t="n"/>
      <c r="VOC1" s="2" t="n"/>
      <c r="VOD1" s="2" t="n"/>
      <c r="VOE1" s="2" t="n"/>
      <c r="VOF1" s="2" t="n"/>
      <c r="VOG1" s="2" t="n"/>
      <c r="VOH1" s="2" t="n"/>
      <c r="VOI1" s="2" t="n"/>
      <c r="VOJ1" s="2" t="n"/>
      <c r="VOK1" s="2" t="n"/>
      <c r="VOL1" s="2" t="n"/>
      <c r="VOM1" s="2" t="n"/>
      <c r="VON1" s="2" t="n"/>
      <c r="VOO1" s="2" t="n"/>
      <c r="VOP1" s="2" t="n"/>
      <c r="VOQ1" s="2" t="n"/>
      <c r="VOR1" s="2" t="n"/>
      <c r="VOS1" s="2" t="n"/>
      <c r="VOT1" s="2" t="n"/>
      <c r="VOU1" s="2" t="n"/>
      <c r="VOV1" s="2" t="n"/>
      <c r="VOW1" s="2" t="n"/>
      <c r="VOX1" s="2" t="n"/>
      <c r="VOY1" s="2" t="n"/>
      <c r="VOZ1" s="2" t="n"/>
      <c r="VPA1" s="2" t="n"/>
      <c r="VPB1" s="2" t="n"/>
      <c r="VPC1" s="2" t="n"/>
      <c r="VPD1" s="2" t="n"/>
      <c r="VPE1" s="2" t="n"/>
      <c r="VPF1" s="2" t="n"/>
      <c r="VPG1" s="2" t="n"/>
      <c r="VPH1" s="2" t="n"/>
      <c r="VPI1" s="2" t="n"/>
      <c r="VPJ1" s="2" t="n"/>
      <c r="VPK1" s="2" t="n"/>
      <c r="VPL1" s="2" t="n"/>
      <c r="VPM1" s="2" t="n"/>
      <c r="VPN1" s="2" t="n"/>
      <c r="VPO1" s="2" t="n"/>
      <c r="VPP1" s="2" t="n"/>
      <c r="VPQ1" s="2" t="n"/>
      <c r="VPR1" s="2" t="n"/>
      <c r="VPS1" s="2" t="n"/>
      <c r="VPT1" s="2" t="n"/>
      <c r="VPU1" s="2" t="n"/>
      <c r="VPV1" s="2" t="n"/>
      <c r="VPW1" s="2" t="n"/>
      <c r="VPX1" s="2" t="n"/>
      <c r="VPY1" s="2" t="n"/>
      <c r="VPZ1" s="2" t="n"/>
      <c r="VQA1" s="2" t="n"/>
      <c r="VQB1" s="2" t="n"/>
      <c r="VQC1" s="2" t="n"/>
      <c r="VQD1" s="2" t="n"/>
      <c r="VQE1" s="2" t="n"/>
      <c r="VQF1" s="2" t="n"/>
      <c r="VQG1" s="2" t="n"/>
      <c r="VQH1" s="2" t="n"/>
      <c r="VQI1" s="2" t="n"/>
      <c r="VQJ1" s="2" t="n"/>
      <c r="VQK1" s="2" t="n"/>
      <c r="VQL1" s="2" t="n"/>
      <c r="VQM1" s="2" t="n"/>
      <c r="VQN1" s="2" t="n"/>
      <c r="VQO1" s="2" t="n"/>
      <c r="VQP1" s="2" t="n"/>
      <c r="VQQ1" s="2" t="n"/>
      <c r="VQR1" s="2" t="n"/>
      <c r="VQS1" s="2" t="n"/>
      <c r="VQT1" s="2" t="n"/>
      <c r="VQU1" s="2" t="n"/>
      <c r="VQV1" s="2" t="n"/>
      <c r="VQW1" s="2" t="n"/>
      <c r="VQX1" s="2" t="n"/>
      <c r="VQY1" s="2" t="n"/>
      <c r="VQZ1" s="2" t="n"/>
      <c r="VRA1" s="2" t="n"/>
      <c r="VRB1" s="2" t="n"/>
      <c r="VRC1" s="2" t="n"/>
      <c r="VRD1" s="2" t="n"/>
      <c r="VRE1" s="2" t="n"/>
      <c r="VRF1" s="2" t="n"/>
      <c r="VRG1" s="2" t="n"/>
      <c r="VRH1" s="2" t="n"/>
      <c r="VRI1" s="2" t="n"/>
      <c r="VRJ1" s="2" t="n"/>
      <c r="VRK1" s="2" t="n"/>
      <c r="VRL1" s="2" t="n"/>
      <c r="VRM1" s="2" t="n"/>
      <c r="VRN1" s="2" t="n"/>
      <c r="VRO1" s="2" t="n"/>
      <c r="VRP1" s="2" t="n"/>
      <c r="VRQ1" s="2" t="n"/>
      <c r="VRR1" s="2" t="n"/>
      <c r="VRS1" s="2" t="n"/>
      <c r="VRT1" s="2" t="n"/>
      <c r="VRU1" s="2" t="n"/>
      <c r="VRV1" s="2" t="n"/>
      <c r="VRW1" s="2" t="n"/>
      <c r="VRX1" s="2" t="n"/>
      <c r="VRY1" s="2" t="n"/>
      <c r="VRZ1" s="2" t="n"/>
      <c r="VSA1" s="2" t="n"/>
      <c r="VSB1" s="2" t="n"/>
      <c r="VSC1" s="2" t="n"/>
      <c r="VSD1" s="2" t="n"/>
      <c r="VSE1" s="2" t="n"/>
      <c r="VSF1" s="2" t="n"/>
      <c r="VSG1" s="2" t="n"/>
      <c r="VSH1" s="2" t="n"/>
      <c r="VSI1" s="2" t="n"/>
      <c r="VSJ1" s="2" t="n"/>
      <c r="VSK1" s="2" t="n"/>
      <c r="VSL1" s="2" t="n"/>
      <c r="VSM1" s="2" t="n"/>
      <c r="VSN1" s="2" t="n"/>
      <c r="VSO1" s="2" t="n"/>
      <c r="VSP1" s="2" t="n"/>
      <c r="VSQ1" s="2" t="n"/>
      <c r="VSR1" s="2" t="n"/>
      <c r="VSS1" s="2" t="n"/>
      <c r="VST1" s="2" t="n"/>
      <c r="VSU1" s="2" t="n"/>
      <c r="VSV1" s="2" t="n"/>
      <c r="VSW1" s="2" t="n"/>
      <c r="VSX1" s="2" t="n"/>
      <c r="VSY1" s="2" t="n"/>
      <c r="VSZ1" s="2" t="n"/>
      <c r="VTA1" s="2" t="n"/>
      <c r="VTB1" s="2" t="n"/>
      <c r="VTC1" s="2" t="n"/>
      <c r="VTD1" s="2" t="n"/>
      <c r="VTE1" s="2" t="n"/>
      <c r="VTF1" s="2" t="n"/>
      <c r="VTG1" s="2" t="n"/>
      <c r="VTH1" s="2" t="n"/>
      <c r="VTI1" s="2" t="n"/>
      <c r="VTJ1" s="2" t="n"/>
      <c r="VTK1" s="2" t="n"/>
      <c r="VTL1" s="2" t="n"/>
      <c r="VTM1" s="2" t="n"/>
      <c r="VTN1" s="2" t="n"/>
      <c r="VTO1" s="2" t="n"/>
      <c r="VTP1" s="2" t="n"/>
      <c r="VTQ1" s="2" t="n"/>
      <c r="VTR1" s="2" t="n"/>
      <c r="VTS1" s="2" t="n"/>
      <c r="VTT1" s="2" t="n"/>
      <c r="VTU1" s="2" t="n"/>
      <c r="VTV1" s="2" t="n"/>
      <c r="VTW1" s="2" t="n"/>
      <c r="VTX1" s="2" t="n"/>
      <c r="VTY1" s="2" t="n"/>
      <c r="VTZ1" s="2" t="n"/>
      <c r="VUA1" s="2" t="n"/>
      <c r="VUB1" s="2" t="n"/>
      <c r="VUC1" s="2" t="n"/>
      <c r="VUD1" s="2" t="n"/>
      <c r="VUE1" s="2" t="n"/>
      <c r="VUF1" s="2" t="n"/>
      <c r="VUG1" s="2" t="n"/>
      <c r="VUH1" s="2" t="n"/>
      <c r="VUI1" s="2" t="n"/>
      <c r="VUJ1" s="2" t="n"/>
      <c r="VUK1" s="2" t="n"/>
      <c r="VUL1" s="2" t="n"/>
      <c r="VUM1" s="2" t="n"/>
      <c r="VUN1" s="2" t="n"/>
      <c r="VUO1" s="2" t="n"/>
      <c r="VUP1" s="2" t="n"/>
      <c r="VUQ1" s="2" t="n"/>
      <c r="VUR1" s="2" t="n"/>
      <c r="VUS1" s="2" t="n"/>
      <c r="VUT1" s="2" t="n"/>
      <c r="VUU1" s="2" t="n"/>
      <c r="VUV1" s="2" t="n"/>
      <c r="VUW1" s="2" t="n"/>
      <c r="VUX1" s="2" t="n"/>
      <c r="VUY1" s="2" t="n"/>
      <c r="VUZ1" s="2" t="n"/>
      <c r="VVA1" s="2" t="n"/>
      <c r="VVB1" s="2" t="n"/>
      <c r="VVC1" s="2" t="n"/>
      <c r="VVD1" s="2" t="n"/>
      <c r="VVE1" s="2" t="n"/>
      <c r="VVF1" s="2" t="n"/>
      <c r="VVG1" s="2" t="n"/>
      <c r="VVH1" s="2" t="n"/>
      <c r="VVI1" s="2" t="n"/>
      <c r="VVJ1" s="2" t="n"/>
      <c r="VVK1" s="2" t="n"/>
      <c r="VVL1" s="2" t="n"/>
      <c r="VVM1" s="2" t="n"/>
      <c r="VVN1" s="2" t="n"/>
      <c r="VVO1" s="2" t="n"/>
      <c r="VVP1" s="2" t="n"/>
      <c r="VVQ1" s="2" t="n"/>
      <c r="VVR1" s="2" t="n"/>
      <c r="VVS1" s="2" t="n"/>
      <c r="VVT1" s="2" t="n"/>
      <c r="VVU1" s="2" t="n"/>
      <c r="VVV1" s="2" t="n"/>
      <c r="VVW1" s="2" t="n"/>
      <c r="VVX1" s="2" t="n"/>
      <c r="VVY1" s="2" t="n"/>
      <c r="VVZ1" s="2" t="n"/>
      <c r="VWA1" s="2" t="n"/>
      <c r="VWB1" s="2" t="n"/>
      <c r="VWC1" s="2" t="n"/>
      <c r="VWD1" s="2" t="n"/>
      <c r="VWE1" s="2" t="n"/>
      <c r="VWF1" s="2" t="n"/>
      <c r="VWG1" s="2" t="n"/>
      <c r="VWH1" s="2" t="n"/>
      <c r="VWI1" s="2" t="n"/>
      <c r="VWJ1" s="2" t="n"/>
      <c r="VWK1" s="2" t="n"/>
      <c r="VWL1" s="2" t="n"/>
      <c r="VWM1" s="2" t="n"/>
      <c r="VWN1" s="2" t="n"/>
      <c r="VWO1" s="2" t="n"/>
      <c r="VWP1" s="2" t="n"/>
      <c r="VWQ1" s="2" t="n"/>
      <c r="VWR1" s="2" t="n"/>
      <c r="VWS1" s="2" t="n"/>
      <c r="VWT1" s="2" t="n"/>
      <c r="VWU1" s="2" t="n"/>
      <c r="VWV1" s="2" t="n"/>
      <c r="VWW1" s="2" t="n"/>
      <c r="VWX1" s="2" t="n"/>
      <c r="VWY1" s="2" t="n"/>
      <c r="VWZ1" s="2" t="n"/>
      <c r="VXA1" s="2" t="n"/>
      <c r="VXB1" s="2" t="n"/>
      <c r="VXC1" s="2" t="n"/>
      <c r="VXD1" s="2" t="n"/>
      <c r="VXE1" s="2" t="n"/>
      <c r="VXF1" s="2" t="n"/>
      <c r="VXG1" s="2" t="n"/>
      <c r="VXH1" s="2" t="n"/>
      <c r="VXI1" s="2" t="n"/>
      <c r="VXJ1" s="2" t="n"/>
      <c r="VXK1" s="2" t="n"/>
      <c r="VXL1" s="2" t="n"/>
      <c r="VXM1" s="2" t="n"/>
      <c r="VXN1" s="2" t="n"/>
      <c r="VXO1" s="2" t="n"/>
      <c r="VXP1" s="2" t="n"/>
      <c r="VXQ1" s="2" t="n"/>
      <c r="VXR1" s="2" t="n"/>
      <c r="VXS1" s="2" t="n"/>
      <c r="VXT1" s="2" t="n"/>
      <c r="VXU1" s="2" t="n"/>
      <c r="VXV1" s="2" t="n"/>
      <c r="VXW1" s="2" t="n"/>
      <c r="VXX1" s="2" t="n"/>
      <c r="VXY1" s="2" t="n"/>
      <c r="VXZ1" s="2" t="n"/>
      <c r="VYA1" s="2" t="n"/>
      <c r="VYB1" s="2" t="n"/>
      <c r="VYC1" s="2" t="n"/>
      <c r="VYD1" s="2" t="n"/>
      <c r="VYE1" s="2" t="n"/>
      <c r="VYF1" s="2" t="n"/>
      <c r="VYG1" s="2" t="n"/>
      <c r="VYH1" s="2" t="n"/>
      <c r="VYI1" s="2" t="n"/>
      <c r="VYJ1" s="2" t="n"/>
      <c r="VYK1" s="2" t="n"/>
      <c r="VYL1" s="2" t="n"/>
      <c r="VYM1" s="2" t="n"/>
      <c r="VYN1" s="2" t="n"/>
      <c r="VYO1" s="2" t="n"/>
      <c r="VYP1" s="2" t="n"/>
      <c r="VYQ1" s="2" t="n"/>
      <c r="VYR1" s="2" t="n"/>
      <c r="VYS1" s="2" t="n"/>
      <c r="VYT1" s="2" t="n"/>
      <c r="VYU1" s="2" t="n"/>
      <c r="VYV1" s="2" t="n"/>
      <c r="VYW1" s="2" t="n"/>
      <c r="VYX1" s="2" t="n"/>
      <c r="VYY1" s="2" t="n"/>
      <c r="VYZ1" s="2" t="n"/>
      <c r="VZA1" s="2" t="n"/>
      <c r="VZB1" s="2" t="n"/>
      <c r="VZC1" s="2" t="n"/>
      <c r="VZD1" s="2" t="n"/>
      <c r="VZE1" s="2" t="n"/>
      <c r="VZF1" s="2" t="n"/>
      <c r="VZG1" s="2" t="n"/>
      <c r="VZH1" s="2" t="n"/>
      <c r="VZI1" s="2" t="n"/>
      <c r="VZJ1" s="2" t="n"/>
      <c r="VZK1" s="2" t="n"/>
      <c r="VZL1" s="2" t="n"/>
      <c r="VZM1" s="2" t="n"/>
      <c r="VZN1" s="2" t="n"/>
      <c r="VZO1" s="2" t="n"/>
      <c r="VZP1" s="2" t="n"/>
      <c r="VZQ1" s="2" t="n"/>
      <c r="VZR1" s="2" t="n"/>
      <c r="VZS1" s="2" t="n"/>
      <c r="VZT1" s="2" t="n"/>
      <c r="VZU1" s="2" t="n"/>
      <c r="VZV1" s="2" t="n"/>
      <c r="VZW1" s="2" t="n"/>
      <c r="VZX1" s="2" t="n"/>
      <c r="VZY1" s="2" t="n"/>
      <c r="VZZ1" s="2" t="n"/>
      <c r="WAA1" s="2" t="n"/>
      <c r="WAB1" s="2" t="n"/>
      <c r="WAC1" s="2" t="n"/>
      <c r="WAD1" s="2" t="n"/>
      <c r="WAE1" s="2" t="n"/>
      <c r="WAF1" s="2" t="n"/>
      <c r="WAG1" s="2" t="n"/>
      <c r="WAH1" s="2" t="n"/>
      <c r="WAI1" s="2" t="n"/>
      <c r="WAJ1" s="2" t="n"/>
      <c r="WAK1" s="2" t="n"/>
      <c r="WAL1" s="2" t="n"/>
      <c r="WAM1" s="2" t="n"/>
      <c r="WAN1" s="2" t="n"/>
      <c r="WAO1" s="2" t="n"/>
      <c r="WAP1" s="2" t="n"/>
      <c r="WAQ1" s="2" t="n"/>
      <c r="WAR1" s="2" t="n"/>
      <c r="WAS1" s="2" t="n"/>
      <c r="WAT1" s="2" t="n"/>
      <c r="WAU1" s="2" t="n"/>
      <c r="WAV1" s="2" t="n"/>
      <c r="WAW1" s="2" t="n"/>
      <c r="WAX1" s="2" t="n"/>
      <c r="WAY1" s="2" t="n"/>
      <c r="WAZ1" s="2" t="n"/>
      <c r="WBA1" s="2" t="n"/>
      <c r="WBB1" s="2" t="n"/>
      <c r="WBC1" s="2" t="n"/>
      <c r="WBD1" s="2" t="n"/>
      <c r="WBE1" s="2" t="n"/>
      <c r="WBF1" s="2" t="n"/>
      <c r="WBG1" s="2" t="n"/>
      <c r="WBH1" s="2" t="n"/>
      <c r="WBI1" s="2" t="n"/>
      <c r="WBJ1" s="2" t="n"/>
      <c r="WBK1" s="2" t="n"/>
      <c r="WBL1" s="2" t="n"/>
      <c r="WBM1" s="2" t="n"/>
      <c r="WBN1" s="2" t="n"/>
      <c r="WBO1" s="2" t="n"/>
      <c r="WBP1" s="2" t="n"/>
      <c r="WBQ1" s="2" t="n"/>
      <c r="WBR1" s="2" t="n"/>
      <c r="WBS1" s="2" t="n"/>
      <c r="WBT1" s="2" t="n"/>
      <c r="WBU1" s="2" t="n"/>
      <c r="WBV1" s="2" t="n"/>
      <c r="WBW1" s="2" t="n"/>
      <c r="WBX1" s="2" t="n"/>
      <c r="WBY1" s="2" t="n"/>
      <c r="WBZ1" s="2" t="n"/>
      <c r="WCA1" s="2" t="n"/>
      <c r="WCB1" s="2" t="n"/>
      <c r="WCC1" s="2" t="n"/>
      <c r="WCD1" s="2" t="n"/>
      <c r="WCE1" s="2" t="n"/>
      <c r="WCF1" s="2" t="n"/>
      <c r="WCG1" s="2" t="n"/>
      <c r="WCH1" s="2" t="n"/>
      <c r="WCI1" s="2" t="n"/>
      <c r="WCJ1" s="2" t="n"/>
      <c r="WCK1" s="2" t="n"/>
      <c r="WCL1" s="2" t="n"/>
      <c r="WCM1" s="2" t="n"/>
      <c r="WCN1" s="2" t="n"/>
      <c r="WCO1" s="2" t="n"/>
      <c r="WCP1" s="2" t="n"/>
      <c r="WCQ1" s="2" t="n"/>
      <c r="WCR1" s="2" t="n"/>
      <c r="WCS1" s="2" t="n"/>
      <c r="WCT1" s="2" t="n"/>
      <c r="WCU1" s="2" t="n"/>
      <c r="WCV1" s="2" t="n"/>
      <c r="WCW1" s="2" t="n"/>
      <c r="WCX1" s="2" t="n"/>
      <c r="WCY1" s="2" t="n"/>
      <c r="WCZ1" s="2" t="n"/>
      <c r="WDA1" s="2" t="n"/>
      <c r="WDB1" s="2" t="n"/>
      <c r="WDC1" s="2" t="n"/>
      <c r="WDD1" s="2" t="n"/>
      <c r="WDE1" s="2" t="n"/>
      <c r="WDF1" s="2" t="n"/>
      <c r="WDG1" s="2" t="n"/>
      <c r="WDH1" s="2" t="n"/>
      <c r="WDI1" s="2" t="n"/>
      <c r="WDJ1" s="2" t="n"/>
      <c r="WDK1" s="2" t="n"/>
      <c r="WDL1" s="2" t="n"/>
      <c r="WDM1" s="2" t="n"/>
      <c r="WDN1" s="2" t="n"/>
      <c r="WDO1" s="2" t="n"/>
      <c r="WDP1" s="2" t="n"/>
      <c r="WDQ1" s="2" t="n"/>
      <c r="WDR1" s="2" t="n"/>
      <c r="WDS1" s="2" t="n"/>
      <c r="WDT1" s="2" t="n"/>
      <c r="WDU1" s="2" t="n"/>
      <c r="WDV1" s="2" t="n"/>
      <c r="WDW1" s="2" t="n"/>
      <c r="WDX1" s="2" t="n"/>
      <c r="WDY1" s="2" t="n"/>
      <c r="WDZ1" s="2" t="n"/>
      <c r="WEA1" s="2" t="n"/>
      <c r="WEB1" s="2" t="n"/>
      <c r="WEC1" s="2" t="n"/>
      <c r="WED1" s="2" t="n"/>
      <c r="WEE1" s="2" t="n"/>
      <c r="WEF1" s="2" t="n"/>
      <c r="WEG1" s="2" t="n"/>
      <c r="WEH1" s="2" t="n"/>
      <c r="WEI1" s="2" t="n"/>
      <c r="WEJ1" s="2" t="n"/>
      <c r="WEK1" s="2" t="n"/>
      <c r="WEL1" s="2" t="n"/>
      <c r="WEM1" s="2" t="n"/>
      <c r="WEN1" s="2" t="n"/>
      <c r="WEO1" s="2" t="n"/>
      <c r="WEP1" s="2" t="n"/>
      <c r="WEQ1" s="2" t="n"/>
      <c r="WER1" s="2" t="n"/>
      <c r="WES1" s="2" t="n"/>
      <c r="WET1" s="2" t="n"/>
      <c r="WEU1" s="2" t="n"/>
      <c r="WEV1" s="2" t="n"/>
      <c r="WEW1" s="2" t="n"/>
      <c r="WEX1" s="2" t="n"/>
      <c r="WEY1" s="2" t="n"/>
      <c r="WEZ1" s="2" t="n"/>
      <c r="WFA1" s="2" t="n"/>
      <c r="WFB1" s="2" t="n"/>
      <c r="WFC1" s="2" t="n"/>
      <c r="WFD1" s="2" t="n"/>
      <c r="WFE1" s="2" t="n"/>
      <c r="WFF1" s="2" t="n"/>
      <c r="WFG1" s="2" t="n"/>
      <c r="WFH1" s="2" t="n"/>
      <c r="WFI1" s="2" t="n"/>
      <c r="WFJ1" s="2" t="n"/>
      <c r="WFK1" s="2" t="n"/>
      <c r="WFL1" s="2" t="n"/>
      <c r="WFM1" s="2" t="n"/>
      <c r="WFN1" s="2" t="n"/>
      <c r="WFO1" s="2" t="n"/>
      <c r="WFP1" s="2" t="n"/>
      <c r="WFQ1" s="2" t="n"/>
      <c r="WFR1" s="2" t="n"/>
      <c r="WFS1" s="2" t="n"/>
      <c r="WFT1" s="2" t="n"/>
      <c r="WFU1" s="2" t="n"/>
      <c r="WFV1" s="2" t="n"/>
      <c r="WFW1" s="2" t="n"/>
      <c r="WFX1" s="2" t="n"/>
      <c r="WFY1" s="2" t="n"/>
      <c r="WFZ1" s="2" t="n"/>
      <c r="WGA1" s="2" t="n"/>
      <c r="WGB1" s="2" t="n"/>
      <c r="WGC1" s="2" t="n"/>
      <c r="WGD1" s="2" t="n"/>
      <c r="WGE1" s="2" t="n"/>
      <c r="WGF1" s="2" t="n"/>
      <c r="WGG1" s="2" t="n"/>
      <c r="WGH1" s="2" t="n"/>
      <c r="WGI1" s="2" t="n"/>
      <c r="WGJ1" s="2" t="n"/>
      <c r="WGK1" s="2" t="n"/>
      <c r="WGL1" s="2" t="n"/>
      <c r="WGM1" s="2" t="n"/>
      <c r="WGN1" s="2" t="n"/>
      <c r="WGO1" s="2" t="n"/>
      <c r="WGP1" s="2" t="n"/>
      <c r="WGQ1" s="2" t="n"/>
      <c r="WGR1" s="2" t="n"/>
      <c r="WGS1" s="2" t="n"/>
      <c r="WGT1" s="2" t="n"/>
      <c r="WGU1" s="2" t="n"/>
      <c r="WGV1" s="2" t="n"/>
      <c r="WGW1" s="2" t="n"/>
      <c r="WGX1" s="2" t="n"/>
      <c r="WGY1" s="2" t="n"/>
      <c r="WGZ1" s="2" t="n"/>
      <c r="WHA1" s="2" t="n"/>
      <c r="WHB1" s="2" t="n"/>
      <c r="WHC1" s="2" t="n"/>
      <c r="WHD1" s="2" t="n"/>
      <c r="WHE1" s="2" t="n"/>
      <c r="WHF1" s="2" t="n"/>
      <c r="WHG1" s="2" t="n"/>
      <c r="WHH1" s="2" t="n"/>
      <c r="WHI1" s="2" t="n"/>
      <c r="WHJ1" s="2" t="n"/>
      <c r="WHK1" s="2" t="n"/>
      <c r="WHL1" s="2" t="n"/>
      <c r="WHM1" s="2" t="n"/>
      <c r="WHN1" s="2" t="n"/>
      <c r="WHO1" s="2" t="n"/>
      <c r="WHP1" s="2" t="n"/>
      <c r="WHQ1" s="2" t="n"/>
      <c r="WHR1" s="2" t="n"/>
      <c r="WHS1" s="2" t="n"/>
      <c r="WHT1" s="2" t="n"/>
      <c r="WHU1" s="2" t="n"/>
      <c r="WHV1" s="2" t="n"/>
      <c r="WHW1" s="2" t="n"/>
      <c r="WHX1" s="2" t="n"/>
      <c r="WHY1" s="2" t="n"/>
      <c r="WHZ1" s="2" t="n"/>
      <c r="WIA1" s="2" t="n"/>
      <c r="WIB1" s="2" t="n"/>
      <c r="WIC1" s="2" t="n"/>
      <c r="WID1" s="2" t="n"/>
      <c r="WIE1" s="2" t="n"/>
      <c r="WIF1" s="2" t="n"/>
      <c r="WIG1" s="2" t="n"/>
      <c r="WIH1" s="2" t="n"/>
      <c r="WII1" s="2" t="n"/>
      <c r="WIJ1" s="2" t="n"/>
      <c r="WIK1" s="2" t="n"/>
      <c r="WIL1" s="2" t="n"/>
      <c r="WIM1" s="2" t="n"/>
      <c r="WIN1" s="2" t="n"/>
      <c r="WIO1" s="2" t="n"/>
      <c r="WIP1" s="2" t="n"/>
      <c r="WIQ1" s="2" t="n"/>
      <c r="WIR1" s="2" t="n"/>
      <c r="WIS1" s="2" t="n"/>
      <c r="WIT1" s="2" t="n"/>
      <c r="WIU1" s="2" t="n"/>
      <c r="WIV1" s="2" t="n"/>
      <c r="WIW1" s="2" t="n"/>
      <c r="WIX1" s="2" t="n"/>
      <c r="WIY1" s="2" t="n"/>
      <c r="WIZ1" s="2" t="n"/>
      <c r="WJA1" s="2" t="n"/>
      <c r="WJB1" s="2" t="n"/>
      <c r="WJC1" s="2" t="n"/>
      <c r="WJD1" s="2" t="n"/>
      <c r="WJE1" s="2" t="n"/>
      <c r="WJF1" s="2" t="n"/>
      <c r="WJG1" s="2" t="n"/>
      <c r="WJH1" s="2" t="n"/>
      <c r="WJI1" s="2" t="n"/>
      <c r="WJJ1" s="2" t="n"/>
      <c r="WJK1" s="2" t="n"/>
      <c r="WJL1" s="2" t="n"/>
      <c r="WJM1" s="2" t="n"/>
      <c r="WJN1" s="2" t="n"/>
      <c r="WJO1" s="2" t="n"/>
      <c r="WJP1" s="2" t="n"/>
      <c r="WJQ1" s="2" t="n"/>
      <c r="WJR1" s="2" t="n"/>
      <c r="WJS1" s="2" t="n"/>
      <c r="WJT1" s="2" t="n"/>
      <c r="WJU1" s="2" t="n"/>
      <c r="WJV1" s="2" t="n"/>
      <c r="WJW1" s="2" t="n"/>
      <c r="WJX1" s="2" t="n"/>
      <c r="WJY1" s="2" t="n"/>
      <c r="WJZ1" s="2" t="n"/>
      <c r="WKA1" s="2" t="n"/>
      <c r="WKB1" s="2" t="n"/>
      <c r="WKC1" s="2" t="n"/>
      <c r="WKD1" s="2" t="n"/>
      <c r="WKE1" s="2" t="n"/>
      <c r="WKF1" s="2" t="n"/>
      <c r="WKG1" s="2" t="n"/>
      <c r="WKH1" s="2" t="n"/>
      <c r="WKI1" s="2" t="n"/>
      <c r="WKJ1" s="2" t="n"/>
      <c r="WKK1" s="2" t="n"/>
      <c r="WKL1" s="2" t="n"/>
      <c r="WKM1" s="2" t="n"/>
      <c r="WKN1" s="2" t="n"/>
      <c r="WKO1" s="2" t="n"/>
      <c r="WKP1" s="2" t="n"/>
      <c r="WKQ1" s="2" t="n"/>
      <c r="WKR1" s="2" t="n"/>
      <c r="WKS1" s="2" t="n"/>
      <c r="WKT1" s="2" t="n"/>
      <c r="WKU1" s="2" t="n"/>
      <c r="WKV1" s="2" t="n"/>
      <c r="WKW1" s="2" t="n"/>
      <c r="WKX1" s="2" t="n"/>
      <c r="WKY1" s="2" t="n"/>
      <c r="WKZ1" s="2" t="n"/>
      <c r="WLA1" s="2" t="n"/>
      <c r="WLB1" s="2" t="n"/>
      <c r="WLC1" s="2" t="n"/>
      <c r="WLD1" s="2" t="n"/>
      <c r="WLE1" s="2" t="n"/>
      <c r="WLF1" s="2" t="n"/>
      <c r="WLG1" s="2" t="n"/>
      <c r="WLH1" s="2" t="n"/>
      <c r="WLI1" s="2" t="n"/>
      <c r="WLJ1" s="2" t="n"/>
      <c r="WLK1" s="2" t="n"/>
      <c r="WLL1" s="2" t="n"/>
      <c r="WLM1" s="2" t="n"/>
      <c r="WLN1" s="2" t="n"/>
      <c r="WLO1" s="2" t="n"/>
      <c r="WLP1" s="2" t="n"/>
      <c r="WLQ1" s="2" t="n"/>
      <c r="WLR1" s="2" t="n"/>
      <c r="WLS1" s="2" t="n"/>
      <c r="WLT1" s="2" t="n"/>
      <c r="WLU1" s="2" t="n"/>
      <c r="WLV1" s="2" t="n"/>
      <c r="WLW1" s="2" t="n"/>
      <c r="WLX1" s="2" t="n"/>
      <c r="WLY1" s="2" t="n"/>
      <c r="WLZ1" s="2" t="n"/>
      <c r="WMA1" s="2" t="n"/>
      <c r="WMB1" s="2" t="n"/>
      <c r="WMC1" s="2" t="n"/>
      <c r="WMD1" s="2" t="n"/>
      <c r="WME1" s="2" t="n"/>
      <c r="WMF1" s="2" t="n"/>
      <c r="WMG1" s="2" t="n"/>
      <c r="WMH1" s="2" t="n"/>
      <c r="WMI1" s="2" t="n"/>
      <c r="WMJ1" s="2" t="n"/>
      <c r="WMK1" s="2" t="n"/>
      <c r="WML1" s="2" t="n"/>
      <c r="WMM1" s="2" t="n"/>
      <c r="WMN1" s="2" t="n"/>
      <c r="WMO1" s="2" t="n"/>
      <c r="WMP1" s="2" t="n"/>
      <c r="WMQ1" s="2" t="n"/>
      <c r="WMR1" s="2" t="n"/>
      <c r="WMS1" s="2" t="n"/>
      <c r="WMT1" s="2" t="n"/>
      <c r="WMU1" s="2" t="n"/>
      <c r="WMV1" s="2" t="n"/>
      <c r="WMW1" s="2" t="n"/>
      <c r="WMX1" s="2" t="n"/>
      <c r="WMY1" s="2" t="n"/>
      <c r="WMZ1" s="2" t="n"/>
      <c r="WNA1" s="2" t="n"/>
      <c r="WNB1" s="2" t="n"/>
      <c r="WNC1" s="2" t="n"/>
      <c r="WND1" s="2" t="n"/>
      <c r="WNE1" s="2" t="n"/>
      <c r="WNF1" s="2" t="n"/>
      <c r="WNG1" s="2" t="n"/>
      <c r="WNH1" s="2" t="n"/>
      <c r="WNI1" s="2" t="n"/>
      <c r="WNJ1" s="2" t="n"/>
      <c r="WNK1" s="2" t="n"/>
      <c r="WNL1" s="2" t="n"/>
      <c r="WNM1" s="2" t="n"/>
      <c r="WNN1" s="2" t="n"/>
      <c r="WNO1" s="2" t="n"/>
      <c r="WNP1" s="2" t="n"/>
      <c r="WNQ1" s="2" t="n"/>
      <c r="WNR1" s="2" t="n"/>
      <c r="WNS1" s="2" t="n"/>
      <c r="WNT1" s="2" t="n"/>
      <c r="WNU1" s="2" t="n"/>
      <c r="WNV1" s="2" t="n"/>
      <c r="WNW1" s="2" t="n"/>
      <c r="WNX1" s="2" t="n"/>
      <c r="WNY1" s="2" t="n"/>
      <c r="WNZ1" s="2" t="n"/>
      <c r="WOA1" s="2" t="n"/>
      <c r="WOB1" s="2" t="n"/>
      <c r="WOC1" s="2" t="n"/>
      <c r="WOD1" s="2" t="n"/>
      <c r="WOE1" s="2" t="n"/>
      <c r="WOF1" s="2" t="n"/>
      <c r="WOG1" s="2" t="n"/>
      <c r="WOH1" s="2" t="n"/>
      <c r="WOI1" s="2" t="n"/>
      <c r="WOJ1" s="2" t="n"/>
      <c r="WOK1" s="2" t="n"/>
      <c r="WOL1" s="2" t="n"/>
      <c r="WOM1" s="2" t="n"/>
      <c r="WON1" s="2" t="n"/>
      <c r="WOO1" s="2" t="n"/>
      <c r="WOP1" s="2" t="n"/>
      <c r="WOQ1" s="2" t="n"/>
      <c r="WOR1" s="2" t="n"/>
      <c r="WOS1" s="2" t="n"/>
      <c r="WOT1" s="2" t="n"/>
      <c r="WOU1" s="2" t="n"/>
      <c r="WOV1" s="2" t="n"/>
      <c r="WOW1" s="2" t="n"/>
      <c r="WOX1" s="2" t="n"/>
      <c r="WOY1" s="2" t="n"/>
      <c r="WOZ1" s="2" t="n"/>
      <c r="WPA1" s="2" t="n"/>
      <c r="WPB1" s="2" t="n"/>
      <c r="WPC1" s="2" t="n"/>
      <c r="WPD1" s="2" t="n"/>
      <c r="WPE1" s="2" t="n"/>
      <c r="WPF1" s="2" t="n"/>
      <c r="WPG1" s="2" t="n"/>
      <c r="WPH1" s="2" t="n"/>
      <c r="WPI1" s="2" t="n"/>
      <c r="WPJ1" s="2" t="n"/>
      <c r="WPK1" s="2" t="n"/>
      <c r="WPL1" s="2" t="n"/>
      <c r="WPM1" s="2" t="n"/>
      <c r="WPN1" s="2" t="n"/>
      <c r="WPO1" s="2" t="n"/>
      <c r="WPP1" s="2" t="n"/>
      <c r="WPQ1" s="2" t="n"/>
      <c r="WPR1" s="2" t="n"/>
      <c r="WPS1" s="2" t="n"/>
      <c r="WPT1" s="2" t="n"/>
      <c r="WPU1" s="2" t="n"/>
      <c r="WPV1" s="2" t="n"/>
      <c r="WPW1" s="2" t="n"/>
      <c r="WPX1" s="2" t="n"/>
      <c r="WPY1" s="2" t="n"/>
      <c r="WPZ1" s="2" t="n"/>
      <c r="WQA1" s="2" t="n"/>
      <c r="WQB1" s="2" t="n"/>
      <c r="WQC1" s="2" t="n"/>
      <c r="WQD1" s="2" t="n"/>
      <c r="WQE1" s="2" t="n"/>
      <c r="WQF1" s="2" t="n"/>
      <c r="WQG1" s="2" t="n"/>
      <c r="WQH1" s="2" t="n"/>
      <c r="WQI1" s="2" t="n"/>
      <c r="WQJ1" s="2" t="n"/>
      <c r="WQK1" s="2" t="n"/>
      <c r="WQL1" s="2" t="n"/>
      <c r="WQM1" s="2" t="n"/>
      <c r="WQN1" s="2" t="n"/>
      <c r="WQO1" s="2" t="n"/>
      <c r="WQP1" s="2" t="n"/>
      <c r="WQQ1" s="2" t="n"/>
      <c r="WQR1" s="2" t="n"/>
      <c r="WQS1" s="2" t="n"/>
      <c r="WQT1" s="2" t="n"/>
      <c r="WQU1" s="2" t="n"/>
      <c r="WQV1" s="2" t="n"/>
      <c r="WQW1" s="2" t="n"/>
      <c r="WQX1" s="2" t="n"/>
      <c r="WQY1" s="2" t="n"/>
      <c r="WQZ1" s="2" t="n"/>
      <c r="WRA1" s="2" t="n"/>
      <c r="WRB1" s="2" t="n"/>
      <c r="WRC1" s="2" t="n"/>
      <c r="WRD1" s="2" t="n"/>
      <c r="WRE1" s="2" t="n"/>
      <c r="WRF1" s="2" t="n"/>
      <c r="WRG1" s="2" t="n"/>
      <c r="WRH1" s="2" t="n"/>
      <c r="WRI1" s="2" t="n"/>
      <c r="WRJ1" s="2" t="n"/>
      <c r="WRK1" s="2" t="n"/>
      <c r="WRL1" s="2" t="n"/>
      <c r="WRM1" s="2" t="n"/>
      <c r="WRN1" s="2" t="n"/>
      <c r="WRO1" s="2" t="n"/>
      <c r="WRP1" s="2" t="n"/>
      <c r="WRQ1" s="2" t="n"/>
      <c r="WRR1" s="2" t="n"/>
      <c r="WRS1" s="2" t="n"/>
      <c r="WRT1" s="2" t="n"/>
      <c r="WRU1" s="2" t="n"/>
      <c r="WRV1" s="2" t="n"/>
      <c r="WRW1" s="2" t="n"/>
      <c r="WRX1" s="2" t="n"/>
      <c r="WRY1" s="2" t="n"/>
      <c r="WRZ1" s="2" t="n"/>
      <c r="WSA1" s="2" t="n"/>
      <c r="WSB1" s="2" t="n"/>
      <c r="WSC1" s="2" t="n"/>
      <c r="WSD1" s="2" t="n"/>
      <c r="WSE1" s="2" t="n"/>
      <c r="WSF1" s="2" t="n"/>
      <c r="WSG1" s="2" t="n"/>
      <c r="WSH1" s="2" t="n"/>
      <c r="WSI1" s="2" t="n"/>
      <c r="WSJ1" s="2" t="n"/>
      <c r="WSK1" s="2" t="n"/>
      <c r="WSL1" s="2" t="n"/>
      <c r="WSM1" s="2" t="n"/>
      <c r="WSN1" s="2" t="n"/>
      <c r="WSO1" s="2" t="n"/>
      <c r="WSP1" s="2" t="n"/>
      <c r="WSQ1" s="2" t="n"/>
      <c r="WSR1" s="2" t="n"/>
      <c r="WSS1" s="2" t="n"/>
      <c r="WST1" s="2" t="n"/>
      <c r="WSU1" s="2" t="n"/>
      <c r="WSV1" s="2" t="n"/>
      <c r="WSW1" s="2" t="n"/>
      <c r="WSX1" s="2" t="n"/>
      <c r="WSY1" s="2" t="n"/>
      <c r="WSZ1" s="2" t="n"/>
      <c r="WTA1" s="2" t="n"/>
      <c r="WTB1" s="2" t="n"/>
      <c r="WTC1" s="2" t="n"/>
      <c r="WTD1" s="2" t="n"/>
      <c r="WTE1" s="2" t="n"/>
      <c r="WTF1" s="2" t="n"/>
      <c r="WTG1" s="2" t="n"/>
      <c r="WTH1" s="2" t="n"/>
      <c r="WTI1" s="2" t="n"/>
      <c r="WTJ1" s="2" t="n"/>
      <c r="WTK1" s="2" t="n"/>
      <c r="WTL1" s="2" t="n"/>
      <c r="WTM1" s="2" t="n"/>
      <c r="WTN1" s="2" t="n"/>
      <c r="WTO1" s="2" t="n"/>
      <c r="WTP1" s="2" t="n"/>
      <c r="WTQ1" s="2" t="n"/>
      <c r="WTR1" s="2" t="n"/>
      <c r="WTS1" s="2" t="n"/>
      <c r="WTT1" s="2" t="n"/>
      <c r="WTU1" s="2" t="n"/>
      <c r="WTV1" s="2" t="n"/>
      <c r="WTW1" s="2" t="n"/>
      <c r="WTX1" s="2" t="n"/>
      <c r="WTY1" s="2" t="n"/>
      <c r="WTZ1" s="2" t="n"/>
      <c r="WUA1" s="2" t="n"/>
      <c r="WUB1" s="2" t="n"/>
      <c r="WUC1" s="2" t="n"/>
      <c r="WUD1" s="2" t="n"/>
      <c r="WUE1" s="2" t="n"/>
      <c r="WUF1" s="2" t="n"/>
      <c r="WUG1" s="2" t="n"/>
      <c r="WUH1" s="2" t="n"/>
      <c r="WUI1" s="2" t="n"/>
      <c r="WUJ1" s="2" t="n"/>
      <c r="WUK1" s="2" t="n"/>
      <c r="WUL1" s="2" t="n"/>
      <c r="WUM1" s="2" t="n"/>
      <c r="WUN1" s="2" t="n"/>
      <c r="WUO1" s="2" t="n"/>
      <c r="WUP1" s="2" t="n"/>
      <c r="WUQ1" s="2" t="n"/>
      <c r="WUR1" s="2" t="n"/>
      <c r="WUS1" s="2" t="n"/>
      <c r="WUT1" s="2" t="n"/>
      <c r="WUU1" s="2" t="n"/>
      <c r="WUV1" s="2" t="n"/>
      <c r="WUW1" s="2" t="n"/>
      <c r="WUX1" s="2" t="n"/>
      <c r="WUY1" s="2" t="n"/>
      <c r="WUZ1" s="2" t="n"/>
      <c r="WVA1" s="2" t="n"/>
      <c r="WVB1" s="2" t="n"/>
      <c r="WVC1" s="2" t="n"/>
      <c r="WVD1" s="2" t="n"/>
      <c r="WVE1" s="2" t="n"/>
      <c r="WVF1" s="2" t="n"/>
      <c r="WVG1" s="2" t="n"/>
      <c r="WVH1" s="2" t="n"/>
      <c r="WVI1" s="2" t="n"/>
      <c r="WVJ1" s="2" t="n"/>
      <c r="WVK1" s="2" t="n"/>
      <c r="WVL1" s="2" t="n"/>
      <c r="WVM1" s="2" t="n"/>
      <c r="WVN1" s="2" t="n"/>
      <c r="WVO1" s="2" t="n"/>
      <c r="WVP1" s="2" t="n"/>
      <c r="WVQ1" s="2" t="n"/>
      <c r="WVR1" s="2" t="n"/>
      <c r="WVS1" s="2" t="n"/>
      <c r="WVT1" s="2" t="n"/>
      <c r="WVU1" s="2" t="n"/>
      <c r="WVV1" s="2" t="n"/>
      <c r="WVW1" s="2" t="n"/>
      <c r="WVX1" s="2" t="n"/>
      <c r="WVY1" s="2" t="n"/>
      <c r="WVZ1" s="2" t="n"/>
      <c r="WWA1" s="2" t="n"/>
      <c r="WWB1" s="2" t="n"/>
      <c r="WWC1" s="2" t="n"/>
      <c r="WWD1" s="2" t="n"/>
      <c r="WWE1" s="2" t="n"/>
      <c r="WWF1" s="2" t="n"/>
      <c r="WWG1" s="2" t="n"/>
      <c r="WWH1" s="2" t="n"/>
      <c r="WWI1" s="2" t="n"/>
      <c r="WWJ1" s="2" t="n"/>
      <c r="WWK1" s="2" t="n"/>
      <c r="WWL1" s="2" t="n"/>
      <c r="WWM1" s="2" t="n"/>
      <c r="WWN1" s="2" t="n"/>
      <c r="WWO1" s="2" t="n"/>
      <c r="WWP1" s="2" t="n"/>
      <c r="WWQ1" s="2" t="n"/>
      <c r="WWR1" s="2" t="n"/>
      <c r="WWS1" s="2" t="n"/>
      <c r="WWT1" s="2" t="n"/>
      <c r="WWU1" s="2" t="n"/>
      <c r="WWV1" s="2" t="n"/>
      <c r="WWW1" s="2" t="n"/>
      <c r="WWX1" s="2" t="n"/>
      <c r="WWY1" s="2" t="n"/>
      <c r="WWZ1" s="2" t="n"/>
      <c r="WXA1" s="2" t="n"/>
      <c r="WXB1" s="2" t="n"/>
      <c r="WXC1" s="2" t="n"/>
      <c r="WXD1" s="2" t="n"/>
      <c r="WXE1" s="2" t="n"/>
      <c r="WXF1" s="2" t="n"/>
      <c r="WXG1" s="2" t="n"/>
      <c r="WXH1" s="2" t="n"/>
      <c r="WXI1" s="2" t="n"/>
      <c r="WXJ1" s="2" t="n"/>
      <c r="WXK1" s="2" t="n"/>
      <c r="WXL1" s="2" t="n"/>
      <c r="WXM1" s="2" t="n"/>
      <c r="WXN1" s="2" t="n"/>
      <c r="WXO1" s="2" t="n"/>
      <c r="WXP1" s="2" t="n"/>
      <c r="WXQ1" s="2" t="n"/>
      <c r="WXR1" s="2" t="n"/>
      <c r="WXS1" s="2" t="n"/>
      <c r="WXT1" s="2" t="n"/>
      <c r="WXU1" s="2" t="n"/>
      <c r="WXV1" s="2" t="n"/>
      <c r="WXW1" s="2" t="n"/>
      <c r="WXX1" s="2" t="n"/>
      <c r="WXY1" s="2" t="n"/>
      <c r="WXZ1" s="2" t="n"/>
      <c r="WYA1" s="2" t="n"/>
      <c r="WYB1" s="2" t="n"/>
      <c r="WYC1" s="2" t="n"/>
      <c r="WYD1" s="2" t="n"/>
      <c r="WYE1" s="2" t="n"/>
      <c r="WYF1" s="2" t="n"/>
      <c r="WYG1" s="2" t="n"/>
      <c r="WYH1" s="2" t="n"/>
      <c r="WYI1" s="2" t="n"/>
      <c r="WYJ1" s="2" t="n"/>
      <c r="WYK1" s="2" t="n"/>
      <c r="WYL1" s="2" t="n"/>
      <c r="WYM1" s="2" t="n"/>
      <c r="WYN1" s="2" t="n"/>
      <c r="WYO1" s="2" t="n"/>
      <c r="WYP1" s="2" t="n"/>
      <c r="WYQ1" s="2" t="n"/>
      <c r="WYR1" s="2" t="n"/>
      <c r="WYS1" s="2" t="n"/>
      <c r="WYT1" s="2" t="n"/>
      <c r="WYU1" s="2" t="n"/>
      <c r="WYV1" s="2" t="n"/>
      <c r="WYW1" s="2" t="n"/>
      <c r="WYX1" s="2" t="n"/>
      <c r="WYY1" s="2" t="n"/>
      <c r="WYZ1" s="2" t="n"/>
      <c r="WZA1" s="2" t="n"/>
      <c r="WZB1" s="2" t="n"/>
      <c r="WZC1" s="2" t="n"/>
      <c r="WZD1" s="2" t="n"/>
      <c r="WZE1" s="2" t="n"/>
      <c r="WZF1" s="2" t="n"/>
      <c r="WZG1" s="2" t="n"/>
      <c r="WZH1" s="2" t="n"/>
      <c r="WZI1" s="2" t="n"/>
      <c r="WZJ1" s="2" t="n"/>
      <c r="WZK1" s="2" t="n"/>
      <c r="WZL1" s="2" t="n"/>
      <c r="WZM1" s="2" t="n"/>
      <c r="WZN1" s="2" t="n"/>
      <c r="WZO1" s="2" t="n"/>
      <c r="WZP1" s="2" t="n"/>
      <c r="WZQ1" s="2" t="n"/>
      <c r="WZR1" s="2" t="n"/>
      <c r="WZS1" s="2" t="n"/>
      <c r="WZT1" s="2" t="n"/>
      <c r="WZU1" s="2" t="n"/>
      <c r="WZV1" s="2" t="n"/>
      <c r="WZW1" s="2" t="n"/>
      <c r="WZX1" s="2" t="n"/>
      <c r="WZY1" s="2" t="n"/>
      <c r="WZZ1" s="2" t="n"/>
      <c r="XAA1" s="2" t="n"/>
      <c r="XAB1" s="2" t="n"/>
      <c r="XAC1" s="2" t="n"/>
      <c r="XAD1" s="2" t="n"/>
      <c r="XAE1" s="2" t="n"/>
      <c r="XAF1" s="2" t="n"/>
      <c r="XAG1" s="2" t="n"/>
      <c r="XAH1" s="2" t="n"/>
      <c r="XAI1" s="2" t="n"/>
      <c r="XAJ1" s="2" t="n"/>
      <c r="XAK1" s="2" t="n"/>
      <c r="XAL1" s="2" t="n"/>
      <c r="XAM1" s="2" t="n"/>
      <c r="XAN1" s="2" t="n"/>
      <c r="XAO1" s="2" t="n"/>
      <c r="XAP1" s="2" t="n"/>
      <c r="XAQ1" s="2" t="n"/>
      <c r="XAR1" s="2" t="n"/>
      <c r="XAS1" s="2" t="n"/>
      <c r="XAT1" s="2" t="n"/>
      <c r="XAU1" s="2" t="n"/>
      <c r="XAV1" s="2" t="n"/>
      <c r="XAW1" s="2" t="n"/>
      <c r="XAX1" s="2" t="n"/>
      <c r="XAY1" s="2" t="n"/>
      <c r="XAZ1" s="2" t="n"/>
      <c r="XBA1" s="2" t="n"/>
      <c r="XBB1" s="2" t="n"/>
      <c r="XBC1" s="2" t="n"/>
      <c r="XBD1" s="2" t="n"/>
      <c r="XBE1" s="2" t="n"/>
      <c r="XBF1" s="2" t="n"/>
      <c r="XBG1" s="2" t="n"/>
      <c r="XBH1" s="2" t="n"/>
      <c r="XBI1" s="2" t="n"/>
      <c r="XBJ1" s="2" t="n"/>
      <c r="XBK1" s="2" t="n"/>
      <c r="XBL1" s="2" t="n"/>
      <c r="XBM1" s="2" t="n"/>
      <c r="XBN1" s="2" t="n"/>
      <c r="XBO1" s="2" t="n"/>
      <c r="XBP1" s="2" t="n"/>
      <c r="XBQ1" s="2" t="n"/>
      <c r="XBR1" s="2" t="n"/>
      <c r="XBS1" s="2" t="n"/>
      <c r="XBT1" s="2" t="n"/>
      <c r="XBU1" s="2" t="n"/>
      <c r="XBV1" s="2" t="n"/>
      <c r="XBW1" s="2" t="n"/>
      <c r="XBX1" s="2" t="n"/>
      <c r="XBY1" s="2" t="n"/>
      <c r="XBZ1" s="2" t="n"/>
      <c r="XCA1" s="2" t="n"/>
      <c r="XCB1" s="2" t="n"/>
      <c r="XCC1" s="2" t="n"/>
      <c r="XCD1" s="2" t="n"/>
      <c r="XCE1" s="2" t="n"/>
      <c r="XCF1" s="2" t="n"/>
      <c r="XCG1" s="2" t="n"/>
      <c r="XCH1" s="2" t="n"/>
      <c r="XCI1" s="2" t="n"/>
      <c r="XCJ1" s="2" t="n"/>
      <c r="XCK1" s="2" t="n"/>
      <c r="XCL1" s="2" t="n"/>
      <c r="XCM1" s="2" t="n"/>
      <c r="XCN1" s="2" t="n"/>
      <c r="XCO1" s="2" t="n"/>
      <c r="XCP1" s="2" t="n"/>
      <c r="XCQ1" s="2" t="n"/>
      <c r="XCR1" s="2" t="n"/>
      <c r="XCS1" s="2" t="n"/>
      <c r="XCT1" s="2" t="n"/>
      <c r="XCU1" s="2" t="n"/>
      <c r="XCV1" s="2" t="n"/>
      <c r="XCW1" s="2" t="n"/>
      <c r="XCX1" s="2" t="n"/>
      <c r="XCY1" s="2" t="n"/>
      <c r="XCZ1" s="2" t="n"/>
      <c r="XDA1" s="2" t="n"/>
      <c r="XDB1" s="2" t="n"/>
      <c r="XDC1" s="2" t="n"/>
      <c r="XDD1" s="2" t="n"/>
      <c r="XDE1" s="2" t="n"/>
      <c r="XDF1" s="2" t="n"/>
      <c r="XDG1" s="2" t="n"/>
      <c r="XDH1" s="2" t="n"/>
      <c r="XDI1" s="2" t="n"/>
      <c r="XDJ1" s="2" t="n"/>
      <c r="XDK1" s="2" t="n"/>
      <c r="XDL1" s="2" t="n"/>
      <c r="XDM1" s="2" t="n"/>
      <c r="XDN1" s="2" t="n"/>
      <c r="XDO1" s="2" t="n"/>
      <c r="XDP1" s="2" t="n"/>
      <c r="XDQ1" s="2" t="n"/>
      <c r="XDR1" s="2" t="n"/>
      <c r="XDS1" s="2" t="n"/>
      <c r="XDT1" s="2" t="n"/>
      <c r="XDU1" s="2" t="n"/>
      <c r="XDV1" s="2" t="n"/>
      <c r="XDW1" s="2" t="n"/>
      <c r="XDX1" s="2" t="n"/>
      <c r="XDY1" s="2" t="n"/>
      <c r="XDZ1" s="2" t="n"/>
      <c r="XEA1" s="2" t="n"/>
      <c r="XEB1" s="2" t="n"/>
      <c r="XEC1" s="2" t="n"/>
      <c r="XED1" s="2" t="n"/>
      <c r="XEE1" s="2" t="n"/>
      <c r="XEF1" s="2" t="n"/>
      <c r="XEG1" s="2" t="n"/>
      <c r="XEH1" s="2" t="n"/>
      <c r="XEI1" s="2" t="n"/>
      <c r="XEJ1" s="2" t="n"/>
      <c r="XEK1" s="2" t="n"/>
      <c r="XEL1" s="2" t="n"/>
      <c r="XEM1" s="2" t="n"/>
      <c r="XEN1" s="2" t="n"/>
      <c r="XEO1" s="2" t="n"/>
      <c r="XEP1" s="2" t="n"/>
      <c r="XEQ1" s="2" t="n"/>
      <c r="XER1" s="2" t="n"/>
      <c r="XES1" s="2" t="n"/>
      <c r="XET1" s="2" t="n"/>
      <c r="XEU1" s="2" t="n"/>
      <c r="XEV1" s="2" t="n"/>
      <c r="XEW1" s="2" t="n"/>
      <c r="XEX1" s="2" t="n"/>
      <c r="XEY1" s="2" t="n"/>
      <c r="XEZ1" s="2" t="n"/>
      <c r="XFA1" s="2" t="n"/>
      <c r="XFB1" s="2" t="n"/>
      <c r="XFC1" s="2" t="n"/>
    </row>
    <row r="2">
      <c r="A2" t="n">
        <v>279</v>
      </c>
      <c r="B2" s="53" t="n">
        <v>2018</v>
      </c>
      <c r="C2" s="53" t="n">
        <v>1</v>
      </c>
      <c r="D2" s="53">
        <f>B2&amp;"-"&amp;C2</f>
        <v/>
      </c>
      <c r="E2" s="9" t="inlineStr">
        <is>
          <t>2018</t>
        </is>
      </c>
      <c r="F2" s="1" t="n">
        <v>43101</v>
      </c>
      <c r="G2" s="1" t="inlineStr">
        <is>
          <t>jarosoft: AfA 2018</t>
        </is>
      </c>
      <c r="H2" s="16" t="n"/>
      <c r="I2" s="16" t="inlineStr">
        <is>
          <t>Ausgaben</t>
        </is>
      </c>
      <c r="J2" s="16" t="inlineStr">
        <is>
          <t>Abschreibung Anlagevermögen</t>
        </is>
      </c>
      <c r="K2" s="16" t="inlineStr"/>
      <c r="L2" t="b">
        <v>0</v>
      </c>
      <c r="M2" s="36" t="n">
        <v>494.334</v>
      </c>
      <c r="N2" s="51" t="n">
        <v>1</v>
      </c>
      <c r="O2" s="251" t="n">
        <v>593.2008</v>
      </c>
      <c r="P2" s="251">
        <f>Q2&amp;"%"</f>
        <v/>
      </c>
      <c r="Q2" s="27" t="n">
        <v>20</v>
      </c>
      <c r="R2" s="237" t="n">
        <v>98.8668</v>
      </c>
      <c r="S2" s="237" t="n">
        <v>98.8668</v>
      </c>
      <c r="T2" s="208" t="n">
        <v>494.334</v>
      </c>
      <c r="U2" s="251" t="n">
        <v>593.2008</v>
      </c>
      <c r="V2" s="35" t="n">
        <v>43235</v>
      </c>
      <c r="W2" s="35" t="n"/>
      <c r="X2" s="27" t="n"/>
      <c r="Y2" s="210" t="n">
        <v>494.334</v>
      </c>
      <c r="Z2" s="237" t="n">
        <v>0</v>
      </c>
      <c r="AA2" t="b">
        <v>0</v>
      </c>
      <c r="AC2" s="268" t="n"/>
    </row>
    <row r="3">
      <c r="A3" t="n">
        <v>280</v>
      </c>
      <c r="B3" s="53" t="n">
        <v>2018</v>
      </c>
      <c r="C3" s="53" t="n">
        <v>2</v>
      </c>
      <c r="D3" s="53">
        <f>B3&amp;"-"&amp;C3</f>
        <v/>
      </c>
      <c r="E3" s="9" t="inlineStr">
        <is>
          <t>659185</t>
        </is>
      </c>
      <c r="F3" s="1" t="n">
        <v>43102</v>
      </c>
      <c r="G3" t="inlineStr">
        <is>
          <t>Lemon Thinkpad-Adapter, Maus</t>
        </is>
      </c>
      <c r="H3" s="16" t="n"/>
      <c r="I3" s="16" t="inlineStr">
        <is>
          <t>Ausgaben</t>
        </is>
      </c>
      <c r="J3" s="16" t="inlineStr">
        <is>
          <t>Waren, Rohstoffe, Hilfsstoffe</t>
        </is>
      </c>
      <c r="K3" s="16" t="inlineStr">
        <is>
          <t>Weiterverkauf</t>
        </is>
      </c>
      <c r="L3" t="b">
        <v>0</v>
      </c>
      <c r="M3" s="36" t="n">
        <v>79.33</v>
      </c>
      <c r="N3" s="51" t="n">
        <v>1</v>
      </c>
      <c r="O3" s="251" t="n">
        <v>95.196</v>
      </c>
      <c r="P3" s="251">
        <f>Q3&amp;"%"</f>
        <v/>
      </c>
      <c r="Q3" s="27" t="n">
        <v>20</v>
      </c>
      <c r="R3" s="237" t="n">
        <v>15.866</v>
      </c>
      <c r="S3" s="237" t="n">
        <v>15.866</v>
      </c>
      <c r="T3" s="208" t="n">
        <v>79.33</v>
      </c>
      <c r="U3" s="251" t="n">
        <v>95.196</v>
      </c>
      <c r="V3" s="35" t="n">
        <v>43235</v>
      </c>
      <c r="W3" s="35" t="n"/>
      <c r="X3" s="27" t="n"/>
      <c r="Y3" s="210" t="n">
        <v>79.33</v>
      </c>
      <c r="Z3" s="237" t="n">
        <v>0</v>
      </c>
      <c r="AA3" t="b">
        <v>0</v>
      </c>
    </row>
    <row r="4">
      <c r="A4" t="n">
        <v>281</v>
      </c>
      <c r="B4" s="53" t="n">
        <v>2018</v>
      </c>
      <c r="C4" s="53" t="n">
        <v>3</v>
      </c>
      <c r="D4" s="53">
        <f>B4&amp;"-"&amp;C4</f>
        <v/>
      </c>
      <c r="E4" s="9" t="inlineStr">
        <is>
          <t>167278439-00</t>
        </is>
      </c>
      <c r="F4" s="1" t="n">
        <v>43103</v>
      </c>
      <c r="G4" t="inlineStr">
        <is>
          <t>UPC Laudongasse</t>
        </is>
      </c>
      <c r="H4" s="16" t="n"/>
      <c r="I4" s="16" t="inlineStr">
        <is>
          <t>Ausgaben</t>
        </is>
      </c>
      <c r="J4" s="16" t="inlineStr">
        <is>
          <t>Telefon/Internet</t>
        </is>
      </c>
      <c r="K4" s="16" t="inlineStr"/>
      <c r="L4" t="b">
        <v>0</v>
      </c>
      <c r="M4" s="36" t="n">
        <v>42.12</v>
      </c>
      <c r="N4" s="51" t="n">
        <v>0.3460325577431178</v>
      </c>
      <c r="O4" s="251" t="n">
        <v>16.78257905054121</v>
      </c>
      <c r="P4" s="251">
        <f>Q4&amp;"%"</f>
        <v/>
      </c>
      <c r="Q4" s="27" t="inlineStr">
        <is>
          <t>gemischt</t>
        </is>
      </c>
      <c r="R4" s="237" t="n">
        <v>6.38</v>
      </c>
      <c r="S4" s="237" t="n">
        <v>2.207687718401091</v>
      </c>
      <c r="T4" s="208" t="n">
        <v>14.57489133214012</v>
      </c>
      <c r="U4" s="251" t="n">
        <v>48.5</v>
      </c>
      <c r="V4" s="35" t="n">
        <v>43235</v>
      </c>
      <c r="W4" s="35" t="n"/>
      <c r="X4" s="27" t="n"/>
      <c r="Y4" s="210" t="n">
        <v>14.57489133214012</v>
      </c>
      <c r="Z4" s="237" t="n">
        <v>0</v>
      </c>
      <c r="AA4" t="b">
        <v>0</v>
      </c>
    </row>
    <row r="5">
      <c r="A5" t="n">
        <v>282</v>
      </c>
      <c r="B5" s="53" t="n">
        <v>2018</v>
      </c>
      <c r="C5" s="53" t="n">
        <v>4</v>
      </c>
      <c r="D5" s="53">
        <f>B5&amp;"-"&amp;C5</f>
        <v/>
      </c>
      <c r="E5" s="9" t="inlineStr">
        <is>
          <t>6147758411</t>
        </is>
      </c>
      <c r="F5" s="1" t="n">
        <v>43111</v>
      </c>
      <c r="G5" t="inlineStr">
        <is>
          <t>Hutchison Drei Austria GmbH, Brünner Straße 52, 1210 Wien, Österreich</t>
        </is>
      </c>
      <c r="H5" s="16" t="n"/>
      <c r="I5" s="16" t="inlineStr">
        <is>
          <t>Ausgaben</t>
        </is>
      </c>
      <c r="J5" s="16" t="inlineStr">
        <is>
          <t>Telefon/Internet</t>
        </is>
      </c>
      <c r="K5" s="16" t="inlineStr"/>
      <c r="L5" t="b">
        <v>0</v>
      </c>
      <c r="M5" s="36" t="n">
        <v>16.74</v>
      </c>
      <c r="N5" s="51" t="n">
        <v>1</v>
      </c>
      <c r="O5" s="251" t="n">
        <v>20.088</v>
      </c>
      <c r="P5" s="251">
        <f>Q5&amp;"%"</f>
        <v/>
      </c>
      <c r="Q5" s="27" t="n">
        <v>20</v>
      </c>
      <c r="R5" s="237" t="n">
        <v>3.347999999999999</v>
      </c>
      <c r="S5" s="237" t="n">
        <v>3.347999999999999</v>
      </c>
      <c r="T5" s="208" t="n">
        <v>16.74</v>
      </c>
      <c r="U5" s="251" t="n">
        <v>20.088</v>
      </c>
      <c r="V5" s="35" t="n">
        <v>43235</v>
      </c>
      <c r="W5" s="35" t="n"/>
      <c r="X5" s="27" t="n"/>
      <c r="Y5" s="210" t="n">
        <v>16.74</v>
      </c>
      <c r="Z5" s="237" t="n">
        <v>0</v>
      </c>
      <c r="AA5" t="b">
        <v>0</v>
      </c>
    </row>
    <row r="6">
      <c r="A6" t="n">
        <v>295</v>
      </c>
      <c r="B6" s="53" t="n">
        <v>2018</v>
      </c>
      <c r="C6" s="53" t="n">
        <v>5</v>
      </c>
      <c r="D6" s="53">
        <f>B6&amp;"-"&amp;C6</f>
        <v/>
      </c>
      <c r="E6" s="9" t="n">
        <v>14002676583</v>
      </c>
      <c r="F6" s="1" t="n">
        <v>43115</v>
      </c>
      <c r="G6" s="1" t="inlineStr">
        <is>
          <t>MONTANA Energie-Handel AT GmbH: Teilzahlungsbetrag Gas</t>
        </is>
      </c>
      <c r="H6" s="16" t="n"/>
      <c r="I6" s="16" t="inlineStr">
        <is>
          <t>Ausgaben</t>
        </is>
      </c>
      <c r="J6" s="16" t="inlineStr">
        <is>
          <t>sonstige Betriebsausgaben</t>
        </is>
      </c>
      <c r="K6" s="16" t="inlineStr"/>
      <c r="L6" t="b">
        <v>0</v>
      </c>
      <c r="M6" s="36" t="n">
        <v>82.5</v>
      </c>
      <c r="N6" s="51" t="n">
        <v>0.2732037841984147</v>
      </c>
      <c r="O6" s="251" t="n">
        <v>27.04717463564306</v>
      </c>
      <c r="P6" s="251">
        <f>Q6&amp;"%"</f>
        <v/>
      </c>
      <c r="Q6" s="27" t="n">
        <v>20</v>
      </c>
      <c r="R6" s="237" t="n">
        <v>16.5</v>
      </c>
      <c r="S6" s="237" t="n">
        <v>4.507862439273843</v>
      </c>
      <c r="T6" s="208" t="n">
        <v>22.53931219636922</v>
      </c>
      <c r="U6" s="251" t="n">
        <v>99</v>
      </c>
      <c r="V6" s="35" t="n">
        <v>43235</v>
      </c>
      <c r="W6" s="35" t="n">
        <v>43234</v>
      </c>
      <c r="X6" s="27" t="n"/>
      <c r="Y6" s="210" t="n">
        <v>22.53931219636922</v>
      </c>
      <c r="Z6" s="237" t="n">
        <v>0</v>
      </c>
      <c r="AA6" t="b">
        <v>0</v>
      </c>
    </row>
    <row r="7">
      <c r="A7" t="n">
        <v>296</v>
      </c>
      <c r="B7" s="53" t="n">
        <v>2018</v>
      </c>
      <c r="C7" s="53" t="n">
        <v>6</v>
      </c>
      <c r="D7" s="53">
        <f>B7&amp;"-"&amp;C7</f>
        <v/>
      </c>
      <c r="E7" s="9" t="inlineStr">
        <is>
          <t>34015135358</t>
        </is>
      </c>
      <c r="F7" s="1" t="n">
        <v>43115</v>
      </c>
      <c r="G7" s="1" t="inlineStr">
        <is>
          <t>VERBUND AG, Postfach 8400, 1011 Wien, Österreich: Teilzahlungsvorschreibung</t>
        </is>
      </c>
      <c r="H7" s="16" t="n"/>
      <c r="I7" s="16" t="inlineStr">
        <is>
          <t>Ausgaben</t>
        </is>
      </c>
      <c r="J7" s="16" t="inlineStr">
        <is>
          <t>sonstige Betriebsausgaben</t>
        </is>
      </c>
      <c r="K7" s="16" t="inlineStr"/>
      <c r="L7" t="b">
        <v>0</v>
      </c>
      <c r="M7" s="36" t="n">
        <v>151.67</v>
      </c>
      <c r="N7" s="51" t="n">
        <v>0.2732037841984147</v>
      </c>
      <c r="O7" s="251" t="n">
        <v>49.72418153924828</v>
      </c>
      <c r="P7" s="251">
        <f>Q7&amp;"%"</f>
        <v/>
      </c>
      <c r="Q7" s="27" t="n">
        <v>20</v>
      </c>
      <c r="R7" s="237" t="n">
        <v>30.334</v>
      </c>
      <c r="S7" s="237" t="n">
        <v>8.287363589874712</v>
      </c>
      <c r="T7" s="208" t="n">
        <v>41.43681794937356</v>
      </c>
      <c r="U7" s="251" t="n">
        <v>182.004</v>
      </c>
      <c r="V7" s="35" t="n">
        <v>43235</v>
      </c>
      <c r="W7" s="35" t="n">
        <v>43234</v>
      </c>
      <c r="X7" s="27" t="n"/>
      <c r="Y7" s="210" t="n">
        <v>41.43681794937356</v>
      </c>
      <c r="Z7" s="237" t="n">
        <v>0</v>
      </c>
      <c r="AA7" t="b">
        <v>0</v>
      </c>
    </row>
    <row r="8">
      <c r="A8" t="n">
        <v>297</v>
      </c>
      <c r="B8" s="53" t="n">
        <v>2018</v>
      </c>
      <c r="C8" s="53" t="n">
        <v>7</v>
      </c>
      <c r="D8" s="53">
        <f>B8&amp;"-"&amp;C8</f>
        <v/>
      </c>
      <c r="E8" s="9" t="inlineStr">
        <is>
          <t>2018/8058/18</t>
        </is>
      </c>
      <c r="F8" s="1" t="n">
        <v>43125</v>
      </c>
      <c r="G8" s="1" t="inlineStr">
        <is>
          <t>PREMIUM Laudongasse 58 GmbH &amp; Co KG: Dauerrechnung 2018-D</t>
        </is>
      </c>
      <c r="H8" s="16" t="n"/>
      <c r="I8" s="16" t="inlineStr">
        <is>
          <t>Ausgaben</t>
        </is>
      </c>
      <c r="J8" s="16" t="inlineStr">
        <is>
          <t>Miet- und Pachtaufwand, Leasing</t>
        </is>
      </c>
      <c r="K8" s="16" t="inlineStr"/>
      <c r="L8" t="b">
        <v>0</v>
      </c>
      <c r="M8" s="36" t="n">
        <v>725.0999999999999</v>
      </c>
      <c r="N8" s="51" t="n">
        <v>0.2732037841984147</v>
      </c>
      <c r="O8" s="251" t="n">
        <v>217.9100703144975</v>
      </c>
      <c r="P8" s="251">
        <f>Q8&amp;"%"</f>
        <v/>
      </c>
      <c r="Q8" s="27" t="n">
        <v>10</v>
      </c>
      <c r="R8" s="237" t="n">
        <v>72.50999999999999</v>
      </c>
      <c r="S8" s="237" t="n">
        <v>19.81000639222705</v>
      </c>
      <c r="T8" s="208" t="n">
        <v>198.1000639222705</v>
      </c>
      <c r="U8" s="251" t="n">
        <v>797.6099999999999</v>
      </c>
      <c r="V8" s="35" t="n">
        <v>43235</v>
      </c>
      <c r="W8" s="35" t="n">
        <v>43234</v>
      </c>
      <c r="X8" s="27" t="n"/>
      <c r="Y8" s="210" t="n">
        <v>198.1000639222705</v>
      </c>
      <c r="Z8" s="237" t="n">
        <v>0</v>
      </c>
      <c r="AA8" t="b">
        <v>0</v>
      </c>
    </row>
    <row r="9">
      <c r="A9" t="n">
        <v>298</v>
      </c>
      <c r="B9" s="53" t="n">
        <v>2018</v>
      </c>
      <c r="C9" s="53" t="n">
        <v>8</v>
      </c>
      <c r="D9" s="53">
        <f>B9&amp;"-"&amp;C9</f>
        <v/>
      </c>
      <c r="E9" s="9" t="inlineStr">
        <is>
          <t>E050058GBA</t>
        </is>
      </c>
      <c r="F9" s="1" t="n">
        <v>43121</v>
      </c>
      <c r="G9" t="inlineStr">
        <is>
          <t>Microsoft Ireland Operations Ltd, One Microsoft Place, South County Business Park Leopardstown Dublin 18, D18 P521 Irland: Office 365 Business Essentials (monatlich)</t>
        </is>
      </c>
      <c r="H9" s="16" t="n"/>
      <c r="I9" s="16" t="inlineStr">
        <is>
          <t>Ausgaben</t>
        </is>
      </c>
      <c r="J9" s="16" t="inlineStr">
        <is>
          <t>sonstige Betriebsausgaben</t>
        </is>
      </c>
      <c r="K9" s="16" t="inlineStr"/>
      <c r="L9" t="b">
        <v>0</v>
      </c>
      <c r="M9" s="36" t="n">
        <v>15.3</v>
      </c>
      <c r="N9" s="51" t="n">
        <v>1</v>
      </c>
      <c r="O9" s="251" t="n">
        <v>18.36</v>
      </c>
      <c r="P9" s="251">
        <f>Q9&amp;"%"</f>
        <v/>
      </c>
      <c r="Q9" s="27" t="n">
        <v>20</v>
      </c>
      <c r="R9" s="237" t="n">
        <v>3.06</v>
      </c>
      <c r="S9" s="237" t="n">
        <v>3.06</v>
      </c>
      <c r="T9" s="208" t="n">
        <v>15.3</v>
      </c>
      <c r="U9" s="251" t="n">
        <v>18.36</v>
      </c>
      <c r="V9" s="35" t="n">
        <v>43235</v>
      </c>
      <c r="W9" s="35" t="n">
        <v>43234</v>
      </c>
      <c r="X9" s="27" t="n"/>
      <c r="Y9" s="210" t="n">
        <v>15.3</v>
      </c>
      <c r="Z9" s="237" t="n">
        <v>0</v>
      </c>
      <c r="AA9" t="b">
        <v>0</v>
      </c>
    </row>
    <row r="10">
      <c r="A10" t="n">
        <v>299</v>
      </c>
      <c r="B10" s="53" t="n">
        <v>2018</v>
      </c>
      <c r="C10" s="53" t="n">
        <v>9</v>
      </c>
      <c r="D10" s="53">
        <f>B10&amp;"-"&amp;C10</f>
        <v/>
      </c>
      <c r="E10" s="9" t="inlineStr">
        <is>
          <t>RE0562181</t>
        </is>
      </c>
      <c r="F10" s="1" t="n">
        <v>43121</v>
      </c>
      <c r="G10" s="1" t="inlineStr">
        <is>
          <t>easyname jarosoft.at</t>
        </is>
      </c>
      <c r="H10" s="16" t="n"/>
      <c r="I10" s="16" t="inlineStr">
        <is>
          <t>Ausgaben</t>
        </is>
      </c>
      <c r="J10" s="16" t="inlineStr">
        <is>
          <t>sonstige Betriebsausgaben</t>
        </is>
      </c>
      <c r="K10" s="16" t="inlineStr"/>
      <c r="L10" t="b">
        <v>0</v>
      </c>
      <c r="M10" s="36" t="n">
        <v>12.42</v>
      </c>
      <c r="N10" s="51" t="n">
        <v>1</v>
      </c>
      <c r="O10" s="251" t="n">
        <v>14.904</v>
      </c>
      <c r="P10" s="251">
        <f>Q10&amp;"%"</f>
        <v/>
      </c>
      <c r="Q10" s="27" t="n">
        <v>20</v>
      </c>
      <c r="R10" s="237" t="n">
        <v>2.484</v>
      </c>
      <c r="S10" s="237" t="n">
        <v>2.484</v>
      </c>
      <c r="T10" s="208" t="n">
        <v>12.42</v>
      </c>
      <c r="U10" s="251" t="n">
        <v>14.904</v>
      </c>
      <c r="V10" s="35" t="n">
        <v>43235</v>
      </c>
      <c r="W10" s="35" t="n">
        <v>43234</v>
      </c>
      <c r="X10" s="27" t="n"/>
      <c r="Y10" s="210" t="n">
        <v>12.42</v>
      </c>
      <c r="Z10" s="237" t="n">
        <v>0</v>
      </c>
      <c r="AA10" t="b">
        <v>0</v>
      </c>
    </row>
    <row r="11">
      <c r="A11" t="n">
        <v>312</v>
      </c>
      <c r="B11" s="53" t="n">
        <v>2018</v>
      </c>
      <c r="C11" s="53" t="n">
        <v>10</v>
      </c>
      <c r="D11" s="53">
        <f>B11&amp;"-"&amp;C11</f>
        <v/>
      </c>
      <c r="E11" s="9" t="inlineStr">
        <is>
          <t>6149618312</t>
        </is>
      </c>
      <c r="F11" s="1" t="n">
        <v>43132</v>
      </c>
      <c r="G11" t="inlineStr">
        <is>
          <t>Hutchison Drei Austria GmbH, Brünner Straße 52, 1210 Wien, Österreich</t>
        </is>
      </c>
      <c r="H11" s="16" t="n"/>
      <c r="I11" s="16" t="inlineStr">
        <is>
          <t>Ausgaben</t>
        </is>
      </c>
      <c r="J11" s="16" t="inlineStr">
        <is>
          <t>Telefon/Internet</t>
        </is>
      </c>
      <c r="K11" s="16" t="inlineStr"/>
      <c r="L11" t="b">
        <v>0</v>
      </c>
      <c r="M11" s="36" t="n">
        <v>15.58</v>
      </c>
      <c r="N11" s="51" t="n">
        <v>1</v>
      </c>
      <c r="O11" s="251" t="n">
        <v>18.696</v>
      </c>
      <c r="P11" s="251">
        <f>Q11&amp;"%"</f>
        <v/>
      </c>
      <c r="Q11" s="27" t="n">
        <v>20</v>
      </c>
      <c r="R11" s="237" t="n">
        <v>3.116</v>
      </c>
      <c r="S11" s="237" t="n">
        <v>3.116</v>
      </c>
      <c r="T11" s="208" t="n">
        <v>15.58</v>
      </c>
      <c r="U11" s="251" t="n">
        <v>18.696</v>
      </c>
      <c r="V11" s="35" t="n">
        <v>43235</v>
      </c>
      <c r="W11" s="35" t="n">
        <v>43234</v>
      </c>
      <c r="X11" s="27" t="n"/>
      <c r="Y11" s="210" t="n">
        <v>15.58</v>
      </c>
      <c r="Z11" s="237" t="n">
        <v>0</v>
      </c>
      <c r="AA11" t="b">
        <v>0</v>
      </c>
    </row>
    <row r="12">
      <c r="A12" t="n">
        <v>313</v>
      </c>
      <c r="B12" s="53" t="n">
        <v>2018</v>
      </c>
      <c r="C12" s="53" t="n">
        <v>11</v>
      </c>
      <c r="D12" s="53">
        <f>B12&amp;"-"&amp;C12</f>
        <v/>
      </c>
      <c r="E12" s="9" t="inlineStr">
        <is>
          <t>167750781-00</t>
        </is>
      </c>
      <c r="F12" s="1" t="n">
        <v>43132</v>
      </c>
      <c r="G12" t="inlineStr">
        <is>
          <t>UPC Laudongasse</t>
        </is>
      </c>
      <c r="H12" s="16" t="n"/>
      <c r="I12" s="16" t="inlineStr">
        <is>
          <t>Ausgaben</t>
        </is>
      </c>
      <c r="J12" s="16" t="inlineStr">
        <is>
          <t>Telefon/Internet</t>
        </is>
      </c>
      <c r="K12" s="16" t="inlineStr"/>
      <c r="L12" t="b">
        <v>0</v>
      </c>
      <c r="M12" s="36" t="n">
        <v>42.12</v>
      </c>
      <c r="N12" s="51" t="n">
        <v>0.3460325577431178</v>
      </c>
      <c r="O12" s="251" t="n">
        <v>16.78257905054121</v>
      </c>
      <c r="P12" s="251">
        <f>Q12&amp;"%"</f>
        <v/>
      </c>
      <c r="Q12" s="27" t="inlineStr">
        <is>
          <t>gemischt</t>
        </is>
      </c>
      <c r="R12" s="237" t="n">
        <v>6.38</v>
      </c>
      <c r="S12" s="237" t="n">
        <v>2.207687718401091</v>
      </c>
      <c r="T12" s="208" t="n">
        <v>14.57489133214012</v>
      </c>
      <c r="U12" s="251" t="n">
        <v>48.5</v>
      </c>
      <c r="V12" s="35" t="n">
        <v>43235</v>
      </c>
      <c r="W12" s="35" t="n">
        <v>43234</v>
      </c>
      <c r="X12" s="27" t="n"/>
      <c r="Y12" s="210" t="n">
        <v>14.57489133214012</v>
      </c>
      <c r="Z12" s="237" t="n">
        <v>0</v>
      </c>
      <c r="AA12" t="b">
        <v>0</v>
      </c>
    </row>
    <row r="13">
      <c r="A13" t="n">
        <v>314</v>
      </c>
      <c r="B13" s="53" t="n">
        <v>2018</v>
      </c>
      <c r="C13" s="53" t="n">
        <v>12</v>
      </c>
      <c r="D13" s="53">
        <f>B13&amp;"-"&amp;C13</f>
        <v/>
      </c>
      <c r="E13" s="9" t="inlineStr">
        <is>
          <t>14002797636/40/2018</t>
        </is>
      </c>
      <c r="F13" s="1" t="n">
        <v>43146</v>
      </c>
      <c r="G13" s="1" t="inlineStr">
        <is>
          <t>MONTANA Energie-Handel AT GmbH: Teilzahlungsbetrag Gas</t>
        </is>
      </c>
      <c r="H13" s="16" t="n"/>
      <c r="I13" s="16" t="inlineStr">
        <is>
          <t>Ausgaben</t>
        </is>
      </c>
      <c r="J13" s="16" t="inlineStr">
        <is>
          <t>sonstige Betriebsausgaben</t>
        </is>
      </c>
      <c r="K13" s="16" t="inlineStr"/>
      <c r="L13" t="b">
        <v>0</v>
      </c>
      <c r="M13" s="36" t="n">
        <v>82.5</v>
      </c>
      <c r="N13" s="51" t="n">
        <v>0.2732037841984147</v>
      </c>
      <c r="O13" s="251" t="n">
        <v>27.04717463564306</v>
      </c>
      <c r="P13" s="251">
        <f>Q13&amp;"%"</f>
        <v/>
      </c>
      <c r="Q13" s="27" t="n">
        <v>20</v>
      </c>
      <c r="R13" s="237" t="n">
        <v>16.5</v>
      </c>
      <c r="S13" s="237" t="n">
        <v>4.507862439273843</v>
      </c>
      <c r="T13" s="208" t="n">
        <v>22.53931219636922</v>
      </c>
      <c r="U13" s="251" t="n">
        <v>99</v>
      </c>
      <c r="V13" s="35" t="n">
        <v>43235</v>
      </c>
      <c r="W13" s="35" t="n">
        <v>43234</v>
      </c>
      <c r="X13" s="27" t="n"/>
      <c r="Y13" s="210" t="n">
        <v>22.53931219636922</v>
      </c>
      <c r="Z13" s="237" t="n">
        <v>0</v>
      </c>
      <c r="AA13" t="b">
        <v>0</v>
      </c>
    </row>
    <row r="14">
      <c r="A14" t="n">
        <v>315</v>
      </c>
      <c r="B14" s="53" t="n">
        <v>2018</v>
      </c>
      <c r="C14" s="53" t="n">
        <v>13</v>
      </c>
      <c r="D14" s="53">
        <f>B14&amp;"-"&amp;C14</f>
        <v/>
      </c>
      <c r="E14" s="9" t="inlineStr">
        <is>
          <t>12018006</t>
        </is>
      </c>
      <c r="F14" s="1" t="n">
        <v>43152</v>
      </c>
      <c r="G14" t="inlineStr">
        <is>
          <t>foxcraft OG, LAudongasse 58/16, 1080 Wien</t>
        </is>
      </c>
      <c r="H14" s="16" t="n"/>
      <c r="I14" s="16" t="inlineStr">
        <is>
          <t>Ausgaben</t>
        </is>
      </c>
      <c r="J14" s="16" t="inlineStr">
        <is>
          <t>sonstige Betriebsausgaben</t>
        </is>
      </c>
      <c r="K14" s="16" t="n"/>
      <c r="L14" t="b">
        <v>0</v>
      </c>
      <c r="M14" s="36" t="n">
        <v>168.75</v>
      </c>
      <c r="N14" s="51" t="n">
        <v>1</v>
      </c>
      <c r="O14" s="251" t="n">
        <v>202.5</v>
      </c>
      <c r="P14" s="251">
        <f>Q14&amp;"%"</f>
        <v/>
      </c>
      <c r="Q14" s="27" t="n">
        <v>20</v>
      </c>
      <c r="R14" s="237" t="n">
        <v>33.75</v>
      </c>
      <c r="S14" s="237" t="n">
        <v>33.75</v>
      </c>
      <c r="T14" s="208" t="n">
        <v>168.75</v>
      </c>
      <c r="U14" s="251" t="n">
        <v>202.5</v>
      </c>
      <c r="V14" s="35" t="n">
        <v>43235</v>
      </c>
      <c r="W14" s="35" t="n">
        <v>43234</v>
      </c>
      <c r="X14" s="27" t="n"/>
      <c r="Y14" s="210" t="n">
        <v>168.75</v>
      </c>
      <c r="Z14" s="237" t="n">
        <v>0</v>
      </c>
      <c r="AA14" t="b">
        <v>0</v>
      </c>
    </row>
    <row r="15">
      <c r="B15" s="53" t="n">
        <v>2018</v>
      </c>
      <c r="C15" s="53" t="n">
        <v>14</v>
      </c>
      <c r="D15" s="53">
        <f>B15&amp;"-"&amp;C15</f>
        <v/>
      </c>
      <c r="E15" s="9" t="inlineStr">
        <is>
          <t>2018/8058/18</t>
        </is>
      </c>
      <c r="F15" s="1" t="n">
        <v>43157</v>
      </c>
      <c r="G15" s="1" t="inlineStr">
        <is>
          <t>PREMIUM Laudongasse 58 GmbH &amp; Co KG: Dauerrechnung 2018-D</t>
        </is>
      </c>
      <c r="H15" s="16" t="n"/>
      <c r="I15" s="16" t="inlineStr">
        <is>
          <t>Ausgaben</t>
        </is>
      </c>
      <c r="J15" s="16" t="inlineStr">
        <is>
          <t>Miet- und Pachtaufwand, Leasing</t>
        </is>
      </c>
      <c r="K15" s="16" t="inlineStr"/>
      <c r="L15" t="b">
        <v>0</v>
      </c>
      <c r="M15" s="36" t="n">
        <v>763.4400000000001</v>
      </c>
      <c r="N15" s="51" t="n">
        <v>0.2732037841984147</v>
      </c>
      <c r="O15" s="251" t="n">
        <v>229.4321667092815</v>
      </c>
      <c r="P15" s="251">
        <f>Q15&amp;"%"</f>
        <v/>
      </c>
      <c r="Q15" s="27" t="n">
        <v>10</v>
      </c>
      <c r="R15" s="237" t="n">
        <v>76.34400000000001</v>
      </c>
      <c r="S15" s="237" t="n">
        <v>20.85746970084378</v>
      </c>
      <c r="T15" s="208" t="n">
        <v>208.5746970084378</v>
      </c>
      <c r="U15" s="251" t="n">
        <v>839.7840000000001</v>
      </c>
      <c r="V15" s="35" t="n">
        <v>43235</v>
      </c>
      <c r="W15" s="35" t="n">
        <v>43234</v>
      </c>
      <c r="X15" s="27" t="n"/>
      <c r="Y15" s="210" t="n">
        <v>208.5746970084378</v>
      </c>
      <c r="Z15" s="237" t="n">
        <v>0</v>
      </c>
      <c r="AA15" t="b">
        <v>0</v>
      </c>
    </row>
    <row r="16">
      <c r="B16" s="53" t="n">
        <v>2018</v>
      </c>
      <c r="C16" s="53" t="n">
        <v>15</v>
      </c>
      <c r="D16" s="53">
        <f>B16&amp;"-"&amp;C16</f>
        <v/>
      </c>
      <c r="E16" s="9" t="inlineStr">
        <is>
          <t>168210423-00</t>
        </is>
      </c>
      <c r="F16" s="1" t="n">
        <v>43160</v>
      </c>
      <c r="G16" t="inlineStr">
        <is>
          <t>UPC Laudongasse</t>
        </is>
      </c>
      <c r="H16" s="16" t="n"/>
      <c r="I16" s="16" t="inlineStr">
        <is>
          <t>Ausgaben</t>
        </is>
      </c>
      <c r="J16" s="16" t="inlineStr">
        <is>
          <t>Telefon/Internet</t>
        </is>
      </c>
      <c r="K16" s="16" t="inlineStr"/>
      <c r="L16" t="b">
        <v>0</v>
      </c>
      <c r="M16" s="36" t="n">
        <v>42.12</v>
      </c>
      <c r="N16" s="51" t="n">
        <v>0.3460325577431178</v>
      </c>
      <c r="O16" s="251" t="n">
        <v>16.78257905054121</v>
      </c>
      <c r="P16" s="251">
        <f>Q16&amp;"%"</f>
        <v/>
      </c>
      <c r="Q16" s="27" t="inlineStr">
        <is>
          <t>gemischt</t>
        </is>
      </c>
      <c r="R16" s="237" t="n">
        <v>6.38</v>
      </c>
      <c r="S16" s="237" t="n">
        <v>2.207687718401091</v>
      </c>
      <c r="T16" s="208" t="n">
        <v>14.57489133214012</v>
      </c>
      <c r="U16" s="251" t="n">
        <v>48.5</v>
      </c>
      <c r="V16" s="35" t="n">
        <v>43235</v>
      </c>
      <c r="W16" s="35" t="n">
        <v>43234</v>
      </c>
      <c r="X16" s="27" t="n"/>
      <c r="Y16" s="210" t="n">
        <v>14.57489133214012</v>
      </c>
      <c r="Z16" s="237" t="n">
        <v>0</v>
      </c>
      <c r="AA16" t="b">
        <v>0</v>
      </c>
    </row>
    <row r="17">
      <c r="B17" s="53" t="n">
        <v>2018</v>
      </c>
      <c r="C17" s="53" t="n">
        <v>16</v>
      </c>
      <c r="D17" s="53">
        <f>B17&amp;"-"&amp;C17</f>
        <v/>
      </c>
      <c r="E17" s="9" t="inlineStr">
        <is>
          <t>6151479272</t>
        </is>
      </c>
      <c r="F17" s="1" t="n">
        <v>43167</v>
      </c>
      <c r="G17" t="inlineStr">
        <is>
          <t>Hutchison Drei Austria GmbH, Brünner Straße 52, 1210 Wien, Österreich</t>
        </is>
      </c>
      <c r="H17" s="16" t="n"/>
      <c r="I17" s="16" t="inlineStr">
        <is>
          <t>Ausgaben</t>
        </is>
      </c>
      <c r="J17" s="16" t="inlineStr">
        <is>
          <t>Telefon/Internet</t>
        </is>
      </c>
      <c r="K17" s="16" t="inlineStr"/>
      <c r="L17" t="b">
        <v>0</v>
      </c>
      <c r="M17" s="36" t="n">
        <v>15.58</v>
      </c>
      <c r="N17" s="51" t="n">
        <v>1</v>
      </c>
      <c r="O17" s="251" t="n">
        <v>18.696</v>
      </c>
      <c r="P17" s="251">
        <f>Q17&amp;"%"</f>
        <v/>
      </c>
      <c r="Q17" s="27" t="n">
        <v>20</v>
      </c>
      <c r="R17" s="237" t="n">
        <v>3.116</v>
      </c>
      <c r="S17" s="237" t="n">
        <v>3.116</v>
      </c>
      <c r="T17" s="208" t="n">
        <v>15.58</v>
      </c>
      <c r="U17" s="251" t="n">
        <v>18.696</v>
      </c>
      <c r="V17" s="35" t="n">
        <v>43235</v>
      </c>
      <c r="W17" s="35" t="n">
        <v>43234</v>
      </c>
      <c r="X17" s="27" t="n"/>
      <c r="Y17" s="210" t="n">
        <v>15.58</v>
      </c>
      <c r="Z17" s="237" t="n">
        <v>0</v>
      </c>
      <c r="AA17" t="b">
        <v>0</v>
      </c>
    </row>
    <row r="18">
      <c r="B18" s="53" t="n">
        <v>2018</v>
      </c>
      <c r="C18" s="53" t="n">
        <v>17</v>
      </c>
      <c r="D18" s="53">
        <f>B18&amp;"-"&amp;C18</f>
        <v/>
      </c>
      <c r="E18" s="9" t="inlineStr">
        <is>
          <t>14002906745/40/2018</t>
        </is>
      </c>
      <c r="F18" s="1" t="n">
        <v>43174</v>
      </c>
      <c r="G18" s="1" t="inlineStr">
        <is>
          <t>MONTANA Energie-Handel AT GmbH: Teilzahlungsbetrag Gas</t>
        </is>
      </c>
      <c r="H18" s="16" t="n"/>
      <c r="I18" s="16" t="inlineStr">
        <is>
          <t>Ausgaben</t>
        </is>
      </c>
      <c r="J18" s="16" t="inlineStr">
        <is>
          <t>sonstige Betriebsausgaben</t>
        </is>
      </c>
      <c r="K18" s="16" t="inlineStr"/>
      <c r="L18" t="b">
        <v>0</v>
      </c>
      <c r="M18" s="36" t="n">
        <v>82.5</v>
      </c>
      <c r="N18" s="51" t="n">
        <v>0.2732037841984147</v>
      </c>
      <c r="O18" s="251" t="n">
        <v>27.04717463564306</v>
      </c>
      <c r="P18" s="251">
        <f>Q18&amp;"%"</f>
        <v/>
      </c>
      <c r="Q18" s="27" t="n">
        <v>20</v>
      </c>
      <c r="R18" s="237" t="n">
        <v>16.5</v>
      </c>
      <c r="S18" s="237" t="n">
        <v>4.507862439273843</v>
      </c>
      <c r="T18" s="208" t="n">
        <v>22.53931219636922</v>
      </c>
      <c r="U18" s="251" t="n">
        <v>99</v>
      </c>
      <c r="V18" s="35" t="n">
        <v>43235</v>
      </c>
      <c r="W18" s="35" t="n">
        <v>43234</v>
      </c>
      <c r="X18" s="27" t="n"/>
      <c r="Y18" s="210" t="n">
        <v>22.53931219636922</v>
      </c>
      <c r="Z18" s="237" t="n">
        <v>0</v>
      </c>
      <c r="AA18" t="b">
        <v>0</v>
      </c>
    </row>
    <row r="19">
      <c r="B19" s="53" t="n">
        <v>2018</v>
      </c>
      <c r="C19" s="53" t="n">
        <v>18</v>
      </c>
      <c r="D19" s="53">
        <f>B19&amp;"-"&amp;C19</f>
        <v/>
      </c>
      <c r="E19" s="9" t="inlineStr">
        <is>
          <t>E05005ER62</t>
        </is>
      </c>
      <c r="F19" s="1" t="n">
        <v>43152</v>
      </c>
      <c r="G19" t="inlineStr">
        <is>
          <t>Microsoft Ireland Operations Ltd, One Microsoft Place, South County Business Park Leopardstown Dublin 18, D18 P521 Irland: Office 365 Business Essentials (monatlich)</t>
        </is>
      </c>
      <c r="H19" s="16" t="n"/>
      <c r="I19" s="16" t="inlineStr">
        <is>
          <t>Ausgaben</t>
        </is>
      </c>
      <c r="J19" s="16" t="inlineStr">
        <is>
          <t>sonstige Betriebsausgaben</t>
        </is>
      </c>
      <c r="K19" s="16" t="inlineStr"/>
      <c r="L19" t="b">
        <v>0</v>
      </c>
      <c r="M19" s="36" t="n">
        <v>15.3</v>
      </c>
      <c r="N19" s="51" t="n">
        <v>1</v>
      </c>
      <c r="O19" s="251" t="n">
        <v>18.36</v>
      </c>
      <c r="P19" s="251">
        <f>Q19&amp;"%"</f>
        <v/>
      </c>
      <c r="Q19" s="27" t="n">
        <v>20</v>
      </c>
      <c r="R19" s="237" t="n">
        <v>3.06</v>
      </c>
      <c r="S19" s="237" t="n">
        <v>3.06</v>
      </c>
      <c r="T19" s="208" t="n">
        <v>15.3</v>
      </c>
      <c r="U19" s="251" t="n">
        <v>18.36</v>
      </c>
      <c r="V19" s="35" t="n">
        <v>43235</v>
      </c>
      <c r="W19" s="35" t="n">
        <v>43234</v>
      </c>
      <c r="X19" s="27" t="n"/>
      <c r="Y19" s="210" t="n">
        <v>15.3</v>
      </c>
      <c r="Z19" s="237" t="n">
        <v>0</v>
      </c>
      <c r="AA19" t="b">
        <v>0</v>
      </c>
    </row>
    <row r="20">
      <c r="B20" s="53" t="n">
        <v>2018</v>
      </c>
      <c r="C20" s="53" t="n">
        <v>19</v>
      </c>
      <c r="D20" s="53">
        <f>B20&amp;"-"&amp;C20</f>
        <v/>
      </c>
      <c r="E20" s="9" t="inlineStr">
        <is>
          <t>2018/8058/18</t>
        </is>
      </c>
      <c r="F20" s="1" t="n">
        <v>43185</v>
      </c>
      <c r="G20" s="1" t="inlineStr">
        <is>
          <t>PREMIUM Laudongasse 58 GmbH &amp; Co KG: Dauerrechnung 2018-D</t>
        </is>
      </c>
      <c r="H20" s="16" t="n"/>
      <c r="I20" s="16" t="inlineStr">
        <is>
          <t>Ausgaben</t>
        </is>
      </c>
      <c r="J20" s="16" t="inlineStr">
        <is>
          <t>Miet- und Pachtaufwand, Leasing</t>
        </is>
      </c>
      <c r="K20" s="16" t="inlineStr"/>
      <c r="L20" t="b">
        <v>0</v>
      </c>
      <c r="M20" s="36" t="n">
        <v>763.4400000000001</v>
      </c>
      <c r="N20" s="51" t="n">
        <v>0.2732037841984147</v>
      </c>
      <c r="O20" s="251" t="n">
        <v>229.4321667092815</v>
      </c>
      <c r="P20" s="251">
        <f>Q20&amp;"%"</f>
        <v/>
      </c>
      <c r="Q20" s="27" t="n">
        <v>10</v>
      </c>
      <c r="R20" s="237" t="n">
        <v>76.34400000000001</v>
      </c>
      <c r="S20" s="237" t="n">
        <v>20.85746970084378</v>
      </c>
      <c r="T20" s="208" t="n">
        <v>208.5746970084378</v>
      </c>
      <c r="U20" s="251" t="n">
        <v>839.7840000000001</v>
      </c>
      <c r="V20" s="35" t="n">
        <v>43235</v>
      </c>
      <c r="W20" s="35" t="n">
        <v>43234</v>
      </c>
      <c r="X20" s="27" t="n"/>
      <c r="Y20" s="210" t="n">
        <v>208.5746970084378</v>
      </c>
      <c r="Z20" s="237" t="n">
        <v>0</v>
      </c>
      <c r="AA20" t="b">
        <v>0</v>
      </c>
    </row>
    <row r="21">
      <c r="B21" s="53" t="n">
        <v>2018</v>
      </c>
      <c r="C21" s="53" t="n">
        <v>20</v>
      </c>
      <c r="D21" s="53">
        <f>B21&amp;"-"&amp;C21</f>
        <v/>
      </c>
      <c r="E21" s="9" t="inlineStr">
        <is>
          <t>168670526-00</t>
        </is>
      </c>
      <c r="F21" s="1" t="n">
        <v>43194</v>
      </c>
      <c r="G21" t="inlineStr">
        <is>
          <t>UPC Laudongasse</t>
        </is>
      </c>
      <c r="H21" s="16" t="n"/>
      <c r="I21" s="16" t="inlineStr">
        <is>
          <t>Ausgaben</t>
        </is>
      </c>
      <c r="J21" s="16" t="inlineStr">
        <is>
          <t>Telefon/Internet</t>
        </is>
      </c>
      <c r="K21" s="16" t="n"/>
      <c r="L21" t="b">
        <v>0</v>
      </c>
      <c r="M21" s="36" t="n">
        <v>57.02</v>
      </c>
      <c r="N21" s="56" t="n">
        <v>0.4356366187302701</v>
      </c>
      <c r="O21" s="251" t="n">
        <v>28.99597334268678</v>
      </c>
      <c r="P21" s="251">
        <f>Q21&amp;"%"</f>
        <v/>
      </c>
      <c r="Q21" s="27" t="inlineStr">
        <is>
          <t>gemischt</t>
        </is>
      </c>
      <c r="R21" s="237" t="n">
        <v>9.539999999999999</v>
      </c>
      <c r="S21" s="237" t="n">
        <v>4.155973342686776</v>
      </c>
      <c r="T21" s="208" t="n">
        <v>24.84</v>
      </c>
      <c r="U21" s="251" t="n">
        <v>66.56</v>
      </c>
      <c r="V21" s="35" t="n">
        <v>43327</v>
      </c>
      <c r="W21" s="35" t="n">
        <v>43318</v>
      </c>
      <c r="X21" s="27" t="n"/>
      <c r="Y21" s="210" t="n">
        <v>24.84</v>
      </c>
      <c r="Z21" s="237" t="n">
        <v>0</v>
      </c>
      <c r="AA21" t="b">
        <v>0</v>
      </c>
    </row>
    <row r="22">
      <c r="B22" s="53" t="n">
        <v>2018</v>
      </c>
      <c r="C22" s="53" t="n">
        <v>21</v>
      </c>
      <c r="D22" s="53">
        <f>B22&amp;"-"&amp;C22</f>
        <v/>
      </c>
      <c r="E22" s="9" t="inlineStr">
        <is>
          <t>6153332230</t>
        </is>
      </c>
      <c r="F22" s="1" t="n">
        <v>43196</v>
      </c>
      <c r="G22" t="inlineStr">
        <is>
          <t>Hutchison Drei Austria GmbH, Brünner Straße 52, 1210 Wien, Österreich</t>
        </is>
      </c>
      <c r="H22" s="16" t="n"/>
      <c r="I22" s="16" t="inlineStr">
        <is>
          <t>Ausgaben</t>
        </is>
      </c>
      <c r="J22" s="16" t="inlineStr">
        <is>
          <t>Telefon/Internet</t>
        </is>
      </c>
      <c r="K22" s="16" t="inlineStr"/>
      <c r="L22" t="b">
        <v>0</v>
      </c>
      <c r="M22" s="36" t="n">
        <v>15.58</v>
      </c>
      <c r="N22" s="51" t="n">
        <v>1</v>
      </c>
      <c r="O22" s="251" t="n">
        <v>18.696</v>
      </c>
      <c r="P22" s="251">
        <f>Q22&amp;"%"</f>
        <v/>
      </c>
      <c r="Q22" s="27" t="n">
        <v>20</v>
      </c>
      <c r="R22" s="237" t="n">
        <v>3.116</v>
      </c>
      <c r="S22" s="237" t="n">
        <v>3.116</v>
      </c>
      <c r="T22" s="208" t="n">
        <v>15.58</v>
      </c>
      <c r="U22" s="251" t="n">
        <v>18.696</v>
      </c>
      <c r="V22" s="35" t="n">
        <v>43327</v>
      </c>
      <c r="W22" s="35" t="n">
        <v>43318</v>
      </c>
      <c r="X22" s="27" t="n"/>
      <c r="Y22" s="210" t="n">
        <v>15.58</v>
      </c>
      <c r="Z22" s="237" t="n">
        <v>0</v>
      </c>
      <c r="AA22" t="b">
        <v>0</v>
      </c>
    </row>
    <row r="23">
      <c r="B23" s="53" t="n">
        <v>2018</v>
      </c>
      <c r="C23" s="53" t="n">
        <v>22</v>
      </c>
      <c r="D23" s="53">
        <f>B23&amp;"-"&amp;C23</f>
        <v/>
      </c>
      <c r="E23" s="9" t="inlineStr">
        <is>
          <t>34017285963/40/2018</t>
        </is>
      </c>
      <c r="F23" s="1" t="n">
        <v>43206</v>
      </c>
      <c r="G23" s="1" t="inlineStr">
        <is>
          <t>VERBUND AG, Postfach 8400, 1011 Wien, Österreich: Teilzahlungsvorschreibung</t>
        </is>
      </c>
      <c r="H23" s="16" t="n"/>
      <c r="I23" s="16" t="inlineStr">
        <is>
          <t>Ausgaben</t>
        </is>
      </c>
      <c r="J23" s="16" t="inlineStr">
        <is>
          <t>sonstige Betriebsausgaben</t>
        </is>
      </c>
      <c r="K23" s="16" t="inlineStr"/>
      <c r="L23" t="b">
        <v>0</v>
      </c>
      <c r="M23" s="36" t="n">
        <v>151.67</v>
      </c>
      <c r="N23" s="51" t="n">
        <v>0.2732037841984147</v>
      </c>
      <c r="O23" s="251" t="n">
        <v>49.72418153924828</v>
      </c>
      <c r="P23" s="251">
        <f>Q23&amp;"%"</f>
        <v/>
      </c>
      <c r="Q23" s="27" t="n">
        <v>20</v>
      </c>
      <c r="R23" s="237" t="n">
        <v>30.334</v>
      </c>
      <c r="S23" s="237" t="n">
        <v>8.287363589874712</v>
      </c>
      <c r="T23" s="208" t="n">
        <v>41.43681794937356</v>
      </c>
      <c r="U23" s="251" t="n">
        <v>182.004</v>
      </c>
      <c r="V23" s="35" t="n">
        <v>43327</v>
      </c>
      <c r="W23" s="35" t="n">
        <v>43318</v>
      </c>
      <c r="X23" s="27" t="n"/>
      <c r="Y23" s="210" t="n">
        <v>41.43681794937356</v>
      </c>
      <c r="Z23" s="237" t="n">
        <v>0</v>
      </c>
      <c r="AA23" t="b">
        <v>0</v>
      </c>
    </row>
    <row r="24">
      <c r="B24" s="53" t="n">
        <v>2018</v>
      </c>
      <c r="C24" s="53" t="n">
        <v>23</v>
      </c>
      <c r="D24" s="53">
        <f>B24&amp;"-"&amp;C24</f>
        <v/>
      </c>
      <c r="E24" s="9" t="inlineStr">
        <is>
          <t>14003021448/40/2018</t>
        </is>
      </c>
      <c r="F24" s="1" t="n">
        <v>43206</v>
      </c>
      <c r="G24" s="1" t="inlineStr">
        <is>
          <t>MONTANA Energie-Handel AT GmbH: Teilzahlungsbetrag Gas</t>
        </is>
      </c>
      <c r="H24" s="16" t="n"/>
      <c r="I24" s="16" t="inlineStr">
        <is>
          <t>Ausgaben</t>
        </is>
      </c>
      <c r="J24" s="16" t="inlineStr">
        <is>
          <t>sonstige Betriebsausgaben</t>
        </is>
      </c>
      <c r="K24" s="16" t="inlineStr"/>
      <c r="L24" t="b">
        <v>0</v>
      </c>
      <c r="M24" s="36" t="n">
        <v>82.5</v>
      </c>
      <c r="N24" s="51" t="n">
        <v>0.2732037841984147</v>
      </c>
      <c r="O24" s="251" t="n">
        <v>27.04717463564306</v>
      </c>
      <c r="P24" s="251">
        <f>Q24&amp;"%"</f>
        <v/>
      </c>
      <c r="Q24" s="27" t="n">
        <v>20</v>
      </c>
      <c r="R24" s="237" t="n">
        <v>16.5</v>
      </c>
      <c r="S24" s="237" t="n">
        <v>4.507862439273843</v>
      </c>
      <c r="T24" s="208" t="n">
        <v>22.53931219636922</v>
      </c>
      <c r="U24" s="251" t="n">
        <v>99</v>
      </c>
      <c r="V24" s="35" t="n">
        <v>43327</v>
      </c>
      <c r="W24" s="35" t="n">
        <v>43318</v>
      </c>
      <c r="X24" s="27" t="n"/>
      <c r="Y24" s="210" t="n">
        <v>22.53931219636922</v>
      </c>
      <c r="Z24" s="237" t="n">
        <v>0</v>
      </c>
      <c r="AA24" t="b">
        <v>0</v>
      </c>
    </row>
    <row r="25">
      <c r="B25" s="53" t="n">
        <v>2018</v>
      </c>
      <c r="C25" s="53" t="n">
        <v>24</v>
      </c>
      <c r="D25" s="53">
        <f>B25&amp;"-"&amp;C25</f>
        <v/>
      </c>
      <c r="E25" s="9" t="inlineStr">
        <is>
          <t>AEU-INV-AT-2018-6321625</t>
        </is>
      </c>
      <c r="F25" s="1" t="n">
        <v>43181</v>
      </c>
      <c r="G25" s="1" t="inlineStr">
        <is>
          <t>Amazon EU Sàrl, 5 Rue Plaetis, L-2338, Luxemburg: WLAN-AP</t>
        </is>
      </c>
      <c r="H25" s="16" t="n"/>
      <c r="I25" s="16" t="inlineStr">
        <is>
          <t>Ausgaben</t>
        </is>
      </c>
      <c r="J25" s="16" t="inlineStr">
        <is>
          <t>Waren, Rohstoffe, Hilfsstoffe</t>
        </is>
      </c>
      <c r="K25" s="36" t="inlineStr">
        <is>
          <t>Weiterverkauf</t>
        </is>
      </c>
      <c r="L25" t="b">
        <v>0</v>
      </c>
      <c r="M25" s="36" t="n">
        <v>30.24</v>
      </c>
      <c r="N25" s="51" t="n">
        <v>1</v>
      </c>
      <c r="O25" s="251" t="n">
        <v>36.288</v>
      </c>
      <c r="P25" s="251">
        <f>Q25&amp;"%"</f>
        <v/>
      </c>
      <c r="Q25" s="27" t="n">
        <v>20</v>
      </c>
      <c r="R25" s="237" t="n">
        <v>6.047999999999999</v>
      </c>
      <c r="S25" s="237" t="n">
        <v>6.047999999999999</v>
      </c>
      <c r="T25" s="208" t="n">
        <v>30.24</v>
      </c>
      <c r="U25" s="251" t="n">
        <v>36.288</v>
      </c>
      <c r="V25" s="35" t="n">
        <v>43235</v>
      </c>
      <c r="W25" s="35" t="n">
        <v>43234</v>
      </c>
      <c r="X25" s="27" t="n"/>
      <c r="Y25" s="210" t="n">
        <v>30.24</v>
      </c>
      <c r="Z25" s="237" t="n">
        <v>0</v>
      </c>
      <c r="AA25" t="b">
        <v>0</v>
      </c>
    </row>
    <row r="26">
      <c r="B26" s="53" t="n">
        <v>2018</v>
      </c>
      <c r="C26" s="53" t="n">
        <v>25</v>
      </c>
      <c r="D26" s="53">
        <f>B26&amp;"-"&amp;C26</f>
        <v/>
      </c>
      <c r="E26" s="9" t="inlineStr">
        <is>
          <t>2018/8058/18</t>
        </is>
      </c>
      <c r="F26" s="1" t="n">
        <v>43215</v>
      </c>
      <c r="G26" s="1" t="inlineStr">
        <is>
          <t>PREMIUM Laudongasse 58 GmbH &amp; Co KG: Dauerrechnung 2018-D</t>
        </is>
      </c>
      <c r="H26" s="16" t="n"/>
      <c r="I26" s="16" t="inlineStr">
        <is>
          <t>Ausgaben</t>
        </is>
      </c>
      <c r="J26" s="16" t="inlineStr">
        <is>
          <t>Miet- und Pachtaufwand, Leasing</t>
        </is>
      </c>
      <c r="K26" s="16" t="inlineStr"/>
      <c r="L26" t="b">
        <v>0</v>
      </c>
      <c r="M26" s="36" t="n">
        <v>763.4400000000001</v>
      </c>
      <c r="N26" s="51" t="n">
        <v>0.2732037841984147</v>
      </c>
      <c r="O26" s="251" t="n">
        <v>229.4321667092815</v>
      </c>
      <c r="P26" s="251">
        <f>Q26&amp;"%"</f>
        <v/>
      </c>
      <c r="Q26" s="27" t="n">
        <v>10</v>
      </c>
      <c r="R26" s="237" t="n">
        <v>76.34400000000001</v>
      </c>
      <c r="S26" s="237" t="n">
        <v>20.85746970084378</v>
      </c>
      <c r="T26" s="208" t="n">
        <v>208.5746970084378</v>
      </c>
      <c r="U26" s="251" t="n">
        <v>839.7840000000001</v>
      </c>
      <c r="V26" s="35" t="n">
        <v>43327</v>
      </c>
      <c r="W26" s="35" t="n">
        <v>43318</v>
      </c>
      <c r="X26" s="27" t="n"/>
      <c r="Y26" s="210" t="n">
        <v>208.5746970084378</v>
      </c>
      <c r="Z26" s="237" t="n">
        <v>0</v>
      </c>
      <c r="AA26" t="b">
        <v>0</v>
      </c>
    </row>
    <row r="27">
      <c r="B27" s="53" t="n">
        <v>2018</v>
      </c>
      <c r="C27" s="53" t="n">
        <v>26</v>
      </c>
      <c r="D27" s="53">
        <f>B27&amp;"-"&amp;C27</f>
        <v/>
      </c>
      <c r="E27" s="9" t="inlineStr">
        <is>
          <t>169132529-00</t>
        </is>
      </c>
      <c r="F27" s="1" t="n">
        <v>43224</v>
      </c>
      <c r="G27" t="inlineStr">
        <is>
          <t>UPC Laudongasse</t>
        </is>
      </c>
      <c r="H27" s="16" t="n"/>
      <c r="I27" s="16" t="inlineStr">
        <is>
          <t>Ausgaben</t>
        </is>
      </c>
      <c r="J27" s="16" t="inlineStr">
        <is>
          <t>Telefon/Internet</t>
        </is>
      </c>
      <c r="K27" s="16" t="n"/>
      <c r="L27" t="b">
        <v>0</v>
      </c>
      <c r="M27" s="36" t="n">
        <v>48.32</v>
      </c>
      <c r="N27" s="56" t="n">
        <v>0.3981788079470199</v>
      </c>
      <c r="O27" s="251" t="n">
        <v>22.313940397351</v>
      </c>
      <c r="P27" s="251">
        <f>Q27&amp;"%"</f>
        <v/>
      </c>
      <c r="Q27" s="27" t="inlineStr">
        <is>
          <t>gemischt</t>
        </is>
      </c>
      <c r="R27" s="237" t="n">
        <v>7.72</v>
      </c>
      <c r="S27" s="237" t="n">
        <v>3.073940397350993</v>
      </c>
      <c r="T27" s="208" t="n">
        <v>19.24</v>
      </c>
      <c r="U27" s="251" t="n">
        <v>56.04</v>
      </c>
      <c r="V27" s="35" t="n">
        <v>43327</v>
      </c>
      <c r="W27" s="35" t="n">
        <v>43318</v>
      </c>
      <c r="X27" s="27" t="n"/>
      <c r="Y27" s="210" t="n">
        <v>19.24</v>
      </c>
      <c r="Z27" s="237" t="n">
        <v>0</v>
      </c>
      <c r="AA27" t="b">
        <v>0</v>
      </c>
    </row>
    <row r="28">
      <c r="B28" s="53" t="n">
        <v>2018</v>
      </c>
      <c r="C28" s="53" t="n">
        <v>27</v>
      </c>
      <c r="D28" s="53">
        <f>B28&amp;"-"&amp;C28</f>
        <v/>
      </c>
      <c r="E28" s="9" t="inlineStr">
        <is>
          <t>6155179680</t>
        </is>
      </c>
      <c r="F28" s="1" t="n">
        <v>43227</v>
      </c>
      <c r="G28" t="inlineStr">
        <is>
          <t>Hutchison Drei Austria GmbH, Brünner Straße 52, 1210 Wien, Österreich</t>
        </is>
      </c>
      <c r="H28" s="16" t="n"/>
      <c r="I28" s="16" t="inlineStr">
        <is>
          <t>Ausgaben</t>
        </is>
      </c>
      <c r="J28" s="16" t="inlineStr">
        <is>
          <t>Telefon/Internet</t>
        </is>
      </c>
      <c r="K28" s="16" t="inlineStr"/>
      <c r="L28" t="b">
        <v>0</v>
      </c>
      <c r="M28" s="36" t="n">
        <v>15</v>
      </c>
      <c r="N28" s="51" t="n">
        <v>1</v>
      </c>
      <c r="O28" s="251" t="n">
        <v>18</v>
      </c>
      <c r="P28" s="251">
        <f>Q28&amp;"%"</f>
        <v/>
      </c>
      <c r="Q28" s="27" t="n">
        <v>20</v>
      </c>
      <c r="R28" s="237" t="n">
        <v>3</v>
      </c>
      <c r="S28" s="237" t="n">
        <v>3</v>
      </c>
      <c r="T28" s="208" t="n">
        <v>15</v>
      </c>
      <c r="U28" s="251" t="n">
        <v>18</v>
      </c>
      <c r="V28" s="35" t="n">
        <v>43327</v>
      </c>
      <c r="W28" s="35" t="n">
        <v>43318</v>
      </c>
      <c r="X28" s="27" t="n"/>
      <c r="Y28" s="210" t="n">
        <v>15</v>
      </c>
      <c r="Z28" s="237" t="n">
        <v>0</v>
      </c>
      <c r="AA28" t="b">
        <v>0</v>
      </c>
    </row>
    <row r="29">
      <c r="B29" s="53" t="n">
        <v>2018</v>
      </c>
      <c r="C29" s="53" t="n">
        <v>28</v>
      </c>
      <c r="D29" s="53">
        <f>B29&amp;"-"&amp;C29</f>
        <v/>
      </c>
      <c r="E29" s="9" t="inlineStr">
        <is>
          <t>181001871465</t>
        </is>
      </c>
      <c r="F29" s="1" t="n">
        <v>43234</v>
      </c>
      <c r="G29" s="1" t="inlineStr">
        <is>
          <t>WKO: Grundumlage</t>
        </is>
      </c>
      <c r="H29" s="16" t="n"/>
      <c r="I29" s="16" t="inlineStr">
        <is>
          <t>Ausgaben</t>
        </is>
      </c>
      <c r="J29" s="16" t="inlineStr">
        <is>
          <t>Porto/Gebühren</t>
        </is>
      </c>
      <c r="K29" s="16" t="n"/>
      <c r="L29" t="b">
        <v>0</v>
      </c>
      <c r="M29" s="36" t="n">
        <v>65</v>
      </c>
      <c r="N29" s="51" t="n">
        <v>1</v>
      </c>
      <c r="O29" s="251" t="n">
        <v>65</v>
      </c>
      <c r="P29" s="251">
        <f>Q29&amp;"%"</f>
        <v/>
      </c>
      <c r="Q29" s="27" t="n">
        <v>0</v>
      </c>
      <c r="R29" s="237" t="n">
        <v>0</v>
      </c>
      <c r="S29" s="237" t="n">
        <v>0</v>
      </c>
      <c r="T29" s="208" t="n">
        <v>65</v>
      </c>
      <c r="U29" s="251" t="n">
        <v>65</v>
      </c>
      <c r="V29" s="35" t="n">
        <v>43327</v>
      </c>
      <c r="W29" s="35" t="n">
        <v>43318</v>
      </c>
      <c r="X29" s="27" t="n"/>
      <c r="Y29" s="210" t="n">
        <v>65</v>
      </c>
      <c r="Z29" s="237" t="n">
        <v>0</v>
      </c>
      <c r="AA29" t="b">
        <v>0</v>
      </c>
    </row>
    <row r="30">
      <c r="B30" s="53" t="n">
        <v>2018</v>
      </c>
      <c r="C30" s="53" t="n">
        <v>29</v>
      </c>
      <c r="D30" s="53">
        <f>B30&amp;"-"&amp;C30</f>
        <v/>
      </c>
      <c r="E30" s="9" t="inlineStr">
        <is>
          <t>14003136019/40/2018</t>
        </is>
      </c>
      <c r="F30" s="1" t="n">
        <v>43235</v>
      </c>
      <c r="G30" s="1" t="inlineStr">
        <is>
          <t>MONTANA Energie-Handel AT GmbH: Teilzahlungsbetrag Gas</t>
        </is>
      </c>
      <c r="H30" s="16" t="n"/>
      <c r="I30" s="16" t="inlineStr">
        <is>
          <t>Ausgaben</t>
        </is>
      </c>
      <c r="J30" s="16" t="inlineStr">
        <is>
          <t>sonstige Betriebsausgaben</t>
        </is>
      </c>
      <c r="K30" s="16" t="inlineStr"/>
      <c r="L30" t="b">
        <v>0</v>
      </c>
      <c r="M30" s="36" t="n">
        <v>82.5</v>
      </c>
      <c r="N30" s="51" t="n">
        <v>0.2732037841984147</v>
      </c>
      <c r="O30" s="251" t="n">
        <v>27.04717463564306</v>
      </c>
      <c r="P30" s="251">
        <f>Q30&amp;"%"</f>
        <v/>
      </c>
      <c r="Q30" s="27" t="n">
        <v>20</v>
      </c>
      <c r="R30" s="237" t="n">
        <v>16.5</v>
      </c>
      <c r="S30" s="237" t="n">
        <v>4.507862439273843</v>
      </c>
      <c r="T30" s="208" t="n">
        <v>22.53931219636922</v>
      </c>
      <c r="U30" s="251" t="n">
        <v>99</v>
      </c>
      <c r="V30" s="35" t="n">
        <v>43327</v>
      </c>
      <c r="W30" s="35" t="n">
        <v>43318</v>
      </c>
      <c r="X30" s="27" t="n"/>
      <c r="Y30" s="210" t="n">
        <v>22.53931219636922</v>
      </c>
      <c r="Z30" s="237" t="n">
        <v>0</v>
      </c>
      <c r="AA30" t="b">
        <v>0</v>
      </c>
    </row>
    <row r="31">
      <c r="B31" s="53" t="n">
        <v>2018</v>
      </c>
      <c r="C31" s="53" t="n">
        <v>30</v>
      </c>
      <c r="D31" s="53">
        <f>B31&amp;"-"&amp;C31</f>
        <v/>
      </c>
      <c r="E31" s="9" t="inlineStr">
        <is>
          <t>2018/8058/18</t>
        </is>
      </c>
      <c r="F31" s="1" t="n">
        <v>43245</v>
      </c>
      <c r="G31" s="1" t="inlineStr">
        <is>
          <t>PREMIUM Laudongasse 58 GmbH &amp; Co KG: Dauerrechnung 2018-D</t>
        </is>
      </c>
      <c r="H31" s="16" t="n"/>
      <c r="I31" s="16" t="inlineStr">
        <is>
          <t>Ausgaben</t>
        </is>
      </c>
      <c r="J31" s="16" t="inlineStr">
        <is>
          <t>Miet- und Pachtaufwand, Leasing</t>
        </is>
      </c>
      <c r="K31" s="16" t="inlineStr"/>
      <c r="L31" t="b">
        <v>0</v>
      </c>
      <c r="M31" s="36" t="n">
        <v>763.4400000000001</v>
      </c>
      <c r="N31" s="51" t="n">
        <v>0.2732037841984147</v>
      </c>
      <c r="O31" s="251" t="n">
        <v>229.4321667092815</v>
      </c>
      <c r="P31" s="251">
        <f>Q31&amp;"%"</f>
        <v/>
      </c>
      <c r="Q31" s="27" t="n">
        <v>10</v>
      </c>
      <c r="R31" s="237" t="n">
        <v>76.34400000000001</v>
      </c>
      <c r="S31" s="237" t="n">
        <v>20.85746970084378</v>
      </c>
      <c r="T31" s="208" t="n">
        <v>208.5746970084378</v>
      </c>
      <c r="U31" s="251" t="n">
        <v>839.7840000000001</v>
      </c>
      <c r="V31" s="35" t="n">
        <v>43327</v>
      </c>
      <c r="W31" s="35" t="n">
        <v>43318</v>
      </c>
      <c r="X31" s="27" t="n"/>
      <c r="Y31" s="210" t="n">
        <v>208.5746970084378</v>
      </c>
      <c r="Z31" s="237" t="n">
        <v>0</v>
      </c>
      <c r="AA31" t="b">
        <v>0</v>
      </c>
    </row>
    <row r="32">
      <c r="B32" s="53" t="n">
        <v>2018</v>
      </c>
      <c r="C32" s="53" t="n">
        <v>31</v>
      </c>
      <c r="D32" s="53">
        <f>B32&amp;"-"&amp;C32</f>
        <v/>
      </c>
      <c r="E32" s="9" t="inlineStr">
        <is>
          <t>AEU-INV-AT-2018-7711065</t>
        </is>
      </c>
      <c r="F32" s="1" t="n">
        <v>43200</v>
      </c>
      <c r="G32" s="1" t="inlineStr">
        <is>
          <t>Amazon EU Sàrl, 5 Rue Plaetis, L-2338, Luxemburg: Toner magenta, gelb</t>
        </is>
      </c>
      <c r="H32" s="16" t="n"/>
      <c r="I32" s="16" t="inlineStr">
        <is>
          <t>Ausgaben</t>
        </is>
      </c>
      <c r="J32" s="16" t="inlineStr">
        <is>
          <t>Waren, Rohstoffe, Hilfsstoffe</t>
        </is>
      </c>
      <c r="K32" s="36" t="inlineStr">
        <is>
          <t>Weiterverkauf</t>
        </is>
      </c>
      <c r="L32" t="b">
        <v>0</v>
      </c>
      <c r="M32" s="36" t="n">
        <v>78.13</v>
      </c>
      <c r="N32" s="51" t="n">
        <v>1</v>
      </c>
      <c r="O32" s="251" t="n">
        <v>93.756</v>
      </c>
      <c r="P32" s="251">
        <f>Q32&amp;"%"</f>
        <v/>
      </c>
      <c r="Q32" s="27" t="n">
        <v>20</v>
      </c>
      <c r="R32" s="237" t="n">
        <v>15.626</v>
      </c>
      <c r="S32" s="237" t="n">
        <v>15.626</v>
      </c>
      <c r="T32" s="208" t="n">
        <v>78.13</v>
      </c>
      <c r="U32" s="251" t="n">
        <v>93.756</v>
      </c>
      <c r="V32" s="35" t="n">
        <v>43327</v>
      </c>
      <c r="W32" s="35" t="n">
        <v>43318</v>
      </c>
      <c r="X32" s="27" t="n"/>
      <c r="Y32" s="210" t="n">
        <v>30.24</v>
      </c>
      <c r="Z32" s="237" t="n">
        <v>0</v>
      </c>
      <c r="AA32" t="b">
        <v>0</v>
      </c>
    </row>
    <row r="33">
      <c r="B33" s="53" t="n">
        <v>2018</v>
      </c>
      <c r="C33" s="53" t="n">
        <v>32</v>
      </c>
      <c r="D33" s="53">
        <f>B33&amp;"-"&amp;C33</f>
        <v/>
      </c>
      <c r="E33" s="9" t="inlineStr">
        <is>
          <t>354007</t>
        </is>
      </c>
      <c r="F33" s="1" t="n">
        <v>43196</v>
      </c>
      <c r="G33" t="inlineStr">
        <is>
          <t>Impro Group Sàrl, Rue Saint-Léger 6, 1205 Geneva, Switzerland: Toner Cyan</t>
        </is>
      </c>
      <c r="H33" s="16" t="n"/>
      <c r="I33" s="16" t="inlineStr">
        <is>
          <t>Ausgaben</t>
        </is>
      </c>
      <c r="J33" s="16" t="inlineStr">
        <is>
          <t>Waren, Rohstoffe, Hilfsstoffe</t>
        </is>
      </c>
      <c r="K33" s="16" t="inlineStr">
        <is>
          <t>Weiterverkauf</t>
        </is>
      </c>
      <c r="L33" t="b">
        <v>0</v>
      </c>
      <c r="M33" s="36" t="n">
        <v>32.51</v>
      </c>
      <c r="N33" s="51" t="n">
        <v>1</v>
      </c>
      <c r="O33" s="251" t="n">
        <v>39.3371</v>
      </c>
      <c r="P33" s="251">
        <f>Q33&amp;"%"</f>
        <v/>
      </c>
      <c r="Q33" s="27" t="n">
        <v>21</v>
      </c>
      <c r="R33" s="237" t="n">
        <v>6.827099999999999</v>
      </c>
      <c r="S33" s="237" t="n">
        <v>6.827099999999999</v>
      </c>
      <c r="T33" s="208" t="n">
        <v>32.51</v>
      </c>
      <c r="U33" s="251" t="n">
        <v>39.3371</v>
      </c>
      <c r="V33" s="35" t="n">
        <v>43327</v>
      </c>
      <c r="W33" s="35" t="n">
        <v>43318</v>
      </c>
      <c r="X33" s="27" t="n"/>
      <c r="Y33" s="210" t="n">
        <v>30.24</v>
      </c>
      <c r="Z33" s="237" t="n">
        <v>0</v>
      </c>
      <c r="AA33" t="b">
        <v>0</v>
      </c>
    </row>
    <row r="34">
      <c r="B34" s="53" t="n">
        <v>2018</v>
      </c>
      <c r="C34" s="53" t="n">
        <v>33</v>
      </c>
      <c r="D34" s="53">
        <f>B34&amp;"-"&amp;C34</f>
        <v/>
      </c>
      <c r="E34" s="9" t="inlineStr">
        <is>
          <t>E05005Y89R</t>
        </is>
      </c>
      <c r="F34" s="1" t="n">
        <v>43242</v>
      </c>
      <c r="G34" t="inlineStr">
        <is>
          <t>Microsoft Ireland Operations Ltd, One Microsoft Place, South County Business Park Leopardstown Dublin 18, D18 P521 Irland: Office 365 Business Essentials (monatlich)</t>
        </is>
      </c>
      <c r="H34" s="16" t="n"/>
      <c r="I34" s="16" t="inlineStr">
        <is>
          <t>Ausgaben</t>
        </is>
      </c>
      <c r="J34" s="16" t="inlineStr">
        <is>
          <t>sonstige Betriebsausgaben</t>
        </is>
      </c>
      <c r="K34" s="16" t="inlineStr"/>
      <c r="L34" t="b">
        <v>0</v>
      </c>
      <c r="M34" s="36" t="n">
        <v>15.3</v>
      </c>
      <c r="N34" s="51" t="n">
        <v>1</v>
      </c>
      <c r="O34" s="251" t="n">
        <v>18.36</v>
      </c>
      <c r="P34" s="251">
        <f>Q34&amp;"%"</f>
        <v/>
      </c>
      <c r="Q34" s="27" t="n">
        <v>20</v>
      </c>
      <c r="R34" s="237" t="n">
        <v>3.06</v>
      </c>
      <c r="S34" s="237" t="n">
        <v>3.06</v>
      </c>
      <c r="T34" s="208" t="n">
        <v>15.3</v>
      </c>
      <c r="U34" s="251" t="n">
        <v>18.36</v>
      </c>
      <c r="V34" s="35" t="n">
        <v>43327</v>
      </c>
      <c r="W34" s="35" t="n">
        <v>43318</v>
      </c>
      <c r="X34" s="27" t="n"/>
      <c r="Y34" s="210" t="n">
        <v>15.3</v>
      </c>
      <c r="Z34" s="237" t="n">
        <v>0</v>
      </c>
      <c r="AA34" t="b">
        <v>0</v>
      </c>
    </row>
    <row r="35">
      <c r="B35" s="53" t="n">
        <v>2018</v>
      </c>
      <c r="C35" s="53" t="n">
        <v>34</v>
      </c>
      <c r="D35" s="53">
        <f>B35&amp;"-"&amp;C35</f>
        <v/>
      </c>
      <c r="E35" s="9" t="inlineStr">
        <is>
          <t>O-0000190422</t>
        </is>
      </c>
      <c r="F35" s="1" t="n">
        <v>43102</v>
      </c>
      <c r="G35" s="1" t="inlineStr">
        <is>
          <t>Flextronics Global Services Manchester Ltd, Stretton Green Distribution Cn, Langford Way, Appleton, Cheshire, WA4 4TQ, United Kingdom</t>
        </is>
      </c>
      <c r="H35" s="16" t="n"/>
      <c r="I35" s="16" t="inlineStr">
        <is>
          <t>Ausgaben</t>
        </is>
      </c>
      <c r="J35" s="16" t="n"/>
      <c r="K35" s="16" t="inlineStr">
        <is>
          <t>Weiterverkauf</t>
        </is>
      </c>
      <c r="L35" t="b">
        <v>0</v>
      </c>
      <c r="M35" s="36" t="n">
        <v>91.33</v>
      </c>
      <c r="N35" s="51" t="n">
        <v>1</v>
      </c>
      <c r="O35" s="251" t="n">
        <v>91.33</v>
      </c>
      <c r="P35" s="251">
        <f>Q35&amp;"%"</f>
        <v/>
      </c>
      <c r="Q35" s="27" t="n">
        <v>0</v>
      </c>
      <c r="R35" s="237" t="n">
        <v>0</v>
      </c>
      <c r="S35" s="237" t="n">
        <v>0</v>
      </c>
      <c r="T35" s="208" t="n">
        <v>91.33</v>
      </c>
      <c r="U35" s="251" t="n">
        <v>91.33</v>
      </c>
      <c r="V35" s="35" t="n">
        <v>43235</v>
      </c>
      <c r="W35" s="35" t="n"/>
      <c r="X35" s="27" t="n"/>
      <c r="Y35" s="210" t="n">
        <v>91.33</v>
      </c>
      <c r="Z35" s="237" t="n">
        <v>0</v>
      </c>
      <c r="AA35" t="b">
        <v>0</v>
      </c>
    </row>
    <row r="36">
      <c r="B36" s="53" t="n">
        <v>2018</v>
      </c>
      <c r="C36" s="53" t="n">
        <v>35</v>
      </c>
      <c r="D36" s="53">
        <f>B36&amp;"-"&amp;C36</f>
        <v/>
      </c>
      <c r="E36" s="9" t="inlineStr">
        <is>
          <t>E05005LAV5</t>
        </is>
      </c>
      <c r="F36" s="1" t="n">
        <v>43181</v>
      </c>
      <c r="G36" t="inlineStr">
        <is>
          <t>Microsoft Ireland Operations Ltd, One Microsoft Place, South County Business Park Leopardstown Dublin 18, D18 P521 Irland: Office 365 Business Essentials (monatlich)</t>
        </is>
      </c>
      <c r="H36" s="16" t="n"/>
      <c r="I36" s="16" t="inlineStr">
        <is>
          <t>Ausgaben</t>
        </is>
      </c>
      <c r="J36" s="16" t="inlineStr">
        <is>
          <t>sonstige Betriebsausgaben</t>
        </is>
      </c>
      <c r="K36" s="16" t="inlineStr"/>
      <c r="L36" t="b">
        <v>0</v>
      </c>
      <c r="M36" s="36" t="n">
        <v>15.3</v>
      </c>
      <c r="N36" s="51" t="n">
        <v>1</v>
      </c>
      <c r="O36" s="251" t="n">
        <v>18.36</v>
      </c>
      <c r="P36" s="251">
        <f>Q36&amp;"%"</f>
        <v/>
      </c>
      <c r="Q36" s="27" t="n">
        <v>20</v>
      </c>
      <c r="R36" s="237" t="n">
        <v>3.06</v>
      </c>
      <c r="S36" s="237" t="n">
        <v>3.06</v>
      </c>
      <c r="T36" s="208" t="n">
        <v>15.3</v>
      </c>
      <c r="U36" s="251" t="n">
        <v>18.36</v>
      </c>
      <c r="V36" s="35" t="n">
        <v>43235</v>
      </c>
      <c r="W36" s="35" t="n"/>
      <c r="X36" s="27" t="n"/>
      <c r="Y36" s="210" t="n">
        <v>15.3</v>
      </c>
      <c r="Z36" s="237" t="n">
        <v>0</v>
      </c>
      <c r="AA36" t="b">
        <v>0</v>
      </c>
    </row>
    <row r="37">
      <c r="B37" s="53" t="n">
        <v>2018</v>
      </c>
      <c r="C37" s="53" t="n">
        <v>36</v>
      </c>
      <c r="D37" s="53">
        <f>B37&amp;"-"&amp;C37</f>
        <v/>
      </c>
      <c r="E37" s="9" t="inlineStr">
        <is>
          <t>AEU-INV-AT-2018-6088080</t>
        </is>
      </c>
      <c r="F37" s="1" t="n">
        <v>43178</v>
      </c>
      <c r="G37" s="1" t="inlineStr">
        <is>
          <t>Amazon EU Sàrl, 5 Rue Plaetis, L-2338, Luxemburg: Toner schwarz</t>
        </is>
      </c>
      <c r="H37" s="16" t="n"/>
      <c r="I37" s="16" t="inlineStr">
        <is>
          <t>Ausgaben</t>
        </is>
      </c>
      <c r="J37" s="16" t="inlineStr">
        <is>
          <t>Waren, Rohstoffe, Hilfsstoffe</t>
        </is>
      </c>
      <c r="K37" s="36" t="inlineStr">
        <is>
          <t>Weiterverkauf</t>
        </is>
      </c>
      <c r="L37" t="b">
        <v>0</v>
      </c>
      <c r="M37" s="36" t="n">
        <v>46.02</v>
      </c>
      <c r="N37" s="51" t="n">
        <v>1</v>
      </c>
      <c r="O37" s="251" t="n">
        <v>55.224</v>
      </c>
      <c r="P37" s="251">
        <f>Q37&amp;"%"</f>
        <v/>
      </c>
      <c r="Q37" s="27" t="n">
        <v>20</v>
      </c>
      <c r="R37" s="237" t="n">
        <v>9.204000000000001</v>
      </c>
      <c r="S37" s="237" t="n">
        <v>9.204000000000001</v>
      </c>
      <c r="T37" s="208" t="n">
        <v>46.02</v>
      </c>
      <c r="U37" s="251" t="n">
        <v>55.224</v>
      </c>
      <c r="V37" s="35" t="n">
        <v>43235</v>
      </c>
      <c r="W37" s="35" t="n"/>
      <c r="X37" s="27" t="n"/>
      <c r="Y37" s="210" t="n">
        <v>30.24</v>
      </c>
      <c r="Z37" s="237" t="n">
        <v>0</v>
      </c>
      <c r="AA37" t="b">
        <v>0</v>
      </c>
    </row>
    <row r="38">
      <c r="B38" s="53" t="n">
        <v>2018</v>
      </c>
      <c r="C38" s="53" t="n">
        <v>37</v>
      </c>
      <c r="D38" s="53">
        <f>B38&amp;"-"&amp;C38</f>
        <v/>
      </c>
      <c r="E38" s="9" t="inlineStr">
        <is>
          <t>AEU-INV-AT-2018-10486099</t>
        </is>
      </c>
      <c r="F38" s="1" t="n">
        <v>43238</v>
      </c>
      <c r="G38" s="1" t="inlineStr">
        <is>
          <t>Amazon EU Sàrl, 5 Rue Plaetis, L-2338, Luxemburg: Logo modernism</t>
        </is>
      </c>
      <c r="H38" s="16" t="n"/>
      <c r="I38" s="16" t="inlineStr">
        <is>
          <t>Ausgaben</t>
        </is>
      </c>
      <c r="J38" s="16" t="inlineStr">
        <is>
          <t>Fachliteratur</t>
        </is>
      </c>
      <c r="K38" s="16" t="inlineStr"/>
      <c r="L38" t="b">
        <v>0</v>
      </c>
      <c r="M38" s="36" t="n">
        <v>46.73</v>
      </c>
      <c r="N38" s="51" t="n">
        <v>1</v>
      </c>
      <c r="O38" s="251" t="n">
        <v>51.403</v>
      </c>
      <c r="P38" s="251">
        <f>Q38&amp;"%"</f>
        <v/>
      </c>
      <c r="Q38" s="27" t="n">
        <v>10</v>
      </c>
      <c r="R38" s="237" t="n">
        <v>4.672999999999999</v>
      </c>
      <c r="S38" s="237" t="n">
        <v>4.672999999999999</v>
      </c>
      <c r="T38" s="208" t="n">
        <v>46.73</v>
      </c>
      <c r="U38" s="251" t="n">
        <v>51.403</v>
      </c>
      <c r="V38" s="35" t="n">
        <v>43327</v>
      </c>
      <c r="W38" s="35" t="n">
        <v>43318</v>
      </c>
      <c r="X38" s="27" t="n"/>
      <c r="Y38" s="210" t="n">
        <v>30.24</v>
      </c>
      <c r="Z38" s="237" t="n">
        <v>0</v>
      </c>
      <c r="AA38" t="b">
        <v>0</v>
      </c>
    </row>
    <row r="39">
      <c r="B39" s="53" t="n">
        <v>2018</v>
      </c>
      <c r="C39" s="53" t="n">
        <v>38</v>
      </c>
      <c r="D39" s="53">
        <f>B39&amp;"-"&amp;C39</f>
        <v/>
      </c>
      <c r="E39" s="9" t="inlineStr">
        <is>
          <t>2131969</t>
        </is>
      </c>
      <c r="F39" s="1" t="n">
        <v>43210</v>
      </c>
      <c r="G39" t="inlineStr">
        <is>
          <t>freiwerk GmbH, Drahthammerstr. 20, 92224 Amberg: Netzwerkkabel+Versand</t>
        </is>
      </c>
      <c r="H39" s="16" t="n"/>
      <c r="I39" s="16" t="inlineStr">
        <is>
          <t>Ausgaben</t>
        </is>
      </c>
      <c r="J39" s="16" t="n"/>
      <c r="K39" s="36" t="inlineStr">
        <is>
          <t>Weiterverkauf</t>
        </is>
      </c>
      <c r="L39" t="b">
        <v>0</v>
      </c>
      <c r="M39" s="36" t="n">
        <v>20.9</v>
      </c>
      <c r="N39" s="51" t="n">
        <v>1</v>
      </c>
      <c r="O39" s="251" t="n">
        <v>25.08</v>
      </c>
      <c r="P39" s="251">
        <f>Q39&amp;"%"</f>
        <v/>
      </c>
      <c r="Q39" s="27" t="n">
        <v>20</v>
      </c>
      <c r="R39" s="237" t="n">
        <v>4.18</v>
      </c>
      <c r="S39" s="237" t="n">
        <v>4.18</v>
      </c>
      <c r="T39" s="208" t="n">
        <v>20.9</v>
      </c>
      <c r="U39" s="251" t="n">
        <v>25.08</v>
      </c>
      <c r="V39" s="35" t="n">
        <v>43327</v>
      </c>
      <c r="W39" s="35" t="n">
        <v>43318</v>
      </c>
      <c r="X39" s="27" t="n"/>
      <c r="Y39" s="210" t="n">
        <v>30.24</v>
      </c>
      <c r="Z39" s="237" t="n">
        <v>0</v>
      </c>
      <c r="AA39" t="b">
        <v>0</v>
      </c>
    </row>
    <row r="40">
      <c r="B40" s="53" t="n">
        <v>2018</v>
      </c>
      <c r="C40" s="53" t="n">
        <v>39</v>
      </c>
      <c r="D40" s="53">
        <f>B40&amp;"-"&amp;C40</f>
        <v/>
      </c>
      <c r="E40" s="9" t="inlineStr">
        <is>
          <t>E05005ROXE</t>
        </is>
      </c>
      <c r="F40" s="1" t="n">
        <v>43213</v>
      </c>
      <c r="G40" t="inlineStr">
        <is>
          <t>Microsoft Ireland Operations Ltd, One Microsoft Place, South County Business Park Leopardstown Dublin 18, D18 P521 Irland: Office 365 Business Essentials (monatlich)</t>
        </is>
      </c>
      <c r="H40" s="16" t="n"/>
      <c r="I40" s="16" t="inlineStr">
        <is>
          <t>Ausgaben</t>
        </is>
      </c>
      <c r="J40" s="16" t="inlineStr">
        <is>
          <t>sonstige Betriebsausgaben</t>
        </is>
      </c>
      <c r="K40" s="16" t="inlineStr"/>
      <c r="L40" t="b">
        <v>0</v>
      </c>
      <c r="M40" s="36" t="n">
        <v>15.3</v>
      </c>
      <c r="N40" s="51" t="n">
        <v>1</v>
      </c>
      <c r="O40" s="251" t="n">
        <v>18.36</v>
      </c>
      <c r="P40" s="251">
        <f>Q40&amp;"%"</f>
        <v/>
      </c>
      <c r="Q40" s="27" t="n">
        <v>20</v>
      </c>
      <c r="R40" s="237" t="n">
        <v>3.06</v>
      </c>
      <c r="S40" s="237" t="n">
        <v>3.06</v>
      </c>
      <c r="T40" s="208" t="n">
        <v>15.3</v>
      </c>
      <c r="U40" s="251" t="n">
        <v>18.36</v>
      </c>
      <c r="V40" s="35" t="n">
        <v>43327</v>
      </c>
      <c r="W40" s="35" t="n">
        <v>43318</v>
      </c>
      <c r="X40" s="27" t="n"/>
      <c r="Y40" s="210" t="n">
        <v>15.3</v>
      </c>
      <c r="Z40" s="237" t="n">
        <v>0</v>
      </c>
      <c r="AA40" t="b">
        <v>0</v>
      </c>
    </row>
    <row r="41">
      <c r="B41" s="53" t="n">
        <v>2018</v>
      </c>
      <c r="C41" s="53" t="n">
        <v>40</v>
      </c>
      <c r="D41" s="53">
        <f>B41&amp;"-"&amp;C41</f>
        <v/>
      </c>
      <c r="E41" s="9" t="inlineStr">
        <is>
          <t>RE0600113</t>
        </is>
      </c>
      <c r="F41" s="1" t="n">
        <v>43245</v>
      </c>
      <c r="G41" s="1" t="inlineStr">
        <is>
          <t>easyname mj1.at</t>
        </is>
      </c>
      <c r="H41" s="16" t="n"/>
      <c r="I41" s="16" t="inlineStr">
        <is>
          <t>Ausgaben</t>
        </is>
      </c>
      <c r="J41" s="16" t="inlineStr">
        <is>
          <t>sonstige Betriebsausgaben</t>
        </is>
      </c>
      <c r="K41" s="16" t="inlineStr"/>
      <c r="L41" t="b">
        <v>0</v>
      </c>
      <c r="M41" s="36" t="n">
        <v>12.42</v>
      </c>
      <c r="N41" s="51" t="n">
        <v>1</v>
      </c>
      <c r="O41" s="251" t="n">
        <v>14.904</v>
      </c>
      <c r="P41" s="251">
        <f>Q41&amp;"%"</f>
        <v/>
      </c>
      <c r="Q41" s="27" t="n">
        <v>20</v>
      </c>
      <c r="R41" s="237" t="n">
        <v>2.484</v>
      </c>
      <c r="S41" s="237" t="n">
        <v>2.484</v>
      </c>
      <c r="T41" s="208" t="n">
        <v>12.42</v>
      </c>
      <c r="U41" s="251" t="n">
        <v>14.904</v>
      </c>
      <c r="V41" s="35" t="n">
        <v>43327</v>
      </c>
      <c r="W41" s="35" t="n">
        <v>43318</v>
      </c>
      <c r="X41" s="27" t="n"/>
      <c r="Y41" s="210" t="n">
        <v>12.42</v>
      </c>
      <c r="Z41" s="237" t="n">
        <v>0</v>
      </c>
      <c r="AA41" t="b">
        <v>0</v>
      </c>
    </row>
    <row r="42">
      <c r="B42" s="53" t="n">
        <v>2018</v>
      </c>
      <c r="C42" s="53" t="n">
        <v>41</v>
      </c>
      <c r="D42" s="53">
        <f>B42&amp;"-"&amp;C42</f>
        <v/>
      </c>
      <c r="E42" s="9" t="inlineStr">
        <is>
          <t>3293000005973773</t>
        </is>
      </c>
      <c r="F42" s="1" t="n">
        <v>43229</v>
      </c>
      <c r="G42" t="inlineStr">
        <is>
          <t>Daimler Mobility Services GmbH, Fasanenweg 15-17, 70771 Leinfelden-Echterdingen, Germany</t>
        </is>
      </c>
      <c r="H42" s="16" t="n"/>
      <c r="I42" s="16" t="inlineStr">
        <is>
          <t>Ausgaben</t>
        </is>
      </c>
      <c r="J42" s="16" t="inlineStr">
        <is>
          <t>Reise- und Fahrtspesen inkl. Kilometergeld und Diäten</t>
        </is>
      </c>
      <c r="K42" s="16" t="n"/>
      <c r="L42" t="b">
        <v>0</v>
      </c>
      <c r="M42" s="36" t="n">
        <v>8.52</v>
      </c>
      <c r="N42" s="51" t="n">
        <v>1</v>
      </c>
      <c r="O42" s="251" t="n">
        <v>10.224</v>
      </c>
      <c r="P42" s="251">
        <f>Q42&amp;"%"</f>
        <v/>
      </c>
      <c r="Q42" s="27" t="n">
        <v>20</v>
      </c>
      <c r="R42" s="237" t="n">
        <v>1.704</v>
      </c>
      <c r="S42" s="237" t="n">
        <v>1.704</v>
      </c>
      <c r="T42" s="208" t="n">
        <v>8.52</v>
      </c>
      <c r="U42" s="251" t="n">
        <v>10.224</v>
      </c>
      <c r="V42" s="35" t="n">
        <v>43327</v>
      </c>
      <c r="W42" s="35" t="n">
        <v>43318</v>
      </c>
      <c r="X42" s="27" t="n"/>
      <c r="Y42" s="210" t="n">
        <v>8.52</v>
      </c>
      <c r="Z42" s="237" t="n">
        <v>0</v>
      </c>
      <c r="AA42" t="b">
        <v>0</v>
      </c>
    </row>
    <row r="43">
      <c r="B43" s="53" t="n">
        <v>2018</v>
      </c>
      <c r="C43" s="53" t="n">
        <v>42</v>
      </c>
      <c r="D43" s="53">
        <f>B43&amp;"-"&amp;C43</f>
        <v/>
      </c>
      <c r="E43" s="9" t="inlineStr">
        <is>
          <t>E05005Y89R</t>
        </is>
      </c>
      <c r="F43" s="1" t="n">
        <v>43241</v>
      </c>
      <c r="G43" t="inlineStr">
        <is>
          <t>Microsoft Ireland Operations Ltd, One Microsoft Place, South County Business Park Leopardstown Dublin 18, D18 P521 Irland: Office 365 Business Essentials (monatlich)</t>
        </is>
      </c>
      <c r="H43" s="16" t="n"/>
      <c r="I43" s="16" t="inlineStr">
        <is>
          <t>Ausgaben</t>
        </is>
      </c>
      <c r="J43" s="16" t="inlineStr">
        <is>
          <t>sonstige Betriebsausgaben</t>
        </is>
      </c>
      <c r="K43" s="16" t="n"/>
      <c r="L43" t="b">
        <v>0</v>
      </c>
      <c r="M43" s="36" t="n">
        <v>15.3</v>
      </c>
      <c r="N43" s="51" t="n">
        <v>1</v>
      </c>
      <c r="O43" s="251" t="n">
        <v>18.36</v>
      </c>
      <c r="P43" s="251">
        <f>Q43&amp;"%"</f>
        <v/>
      </c>
      <c r="Q43" s="27" t="n">
        <v>20</v>
      </c>
      <c r="R43" s="237" t="n">
        <v>3.06</v>
      </c>
      <c r="S43" s="237" t="n">
        <v>3.06</v>
      </c>
      <c r="T43" s="208" t="n">
        <v>15.3</v>
      </c>
      <c r="U43" s="251" t="n">
        <v>18.36</v>
      </c>
      <c r="V43" s="35" t="n">
        <v>43327</v>
      </c>
      <c r="W43" s="35" t="n">
        <v>43318</v>
      </c>
      <c r="X43" s="27" t="n"/>
      <c r="Y43" s="210" t="n">
        <v>15.3</v>
      </c>
      <c r="Z43" s="237" t="n">
        <v>0</v>
      </c>
      <c r="AA43" t="b">
        <v>0</v>
      </c>
    </row>
    <row r="44">
      <c r="B44" s="53" t="n">
        <v>2018</v>
      </c>
      <c r="C44" s="53" t="n">
        <v>43</v>
      </c>
      <c r="D44" s="53">
        <f>B44&amp;"-"&amp;C44</f>
        <v/>
      </c>
      <c r="E44" s="9" t="inlineStr">
        <is>
          <t>3467622978</t>
        </is>
      </c>
      <c r="F44" s="1" t="n">
        <v>43253</v>
      </c>
      <c r="G44" t="inlineStr">
        <is>
          <t>Google Ireland Limited, Gordon House, Barrow Street, Dublin 4, Ireland, UID: IE6388047V</t>
        </is>
      </c>
      <c r="H44" s="16" t="n"/>
      <c r="I44" s="16" t="inlineStr">
        <is>
          <t>Ausgaben</t>
        </is>
      </c>
      <c r="J44" s="16" t="inlineStr">
        <is>
          <t>sonstige Betriebsausgaben</t>
        </is>
      </c>
      <c r="K44" s="16" t="n"/>
      <c r="L44" t="b">
        <v>0</v>
      </c>
      <c r="M44" s="36" t="n">
        <v>2.32</v>
      </c>
      <c r="N44" s="51" t="n">
        <v>1</v>
      </c>
      <c r="O44" s="251" t="n">
        <v>2.32</v>
      </c>
      <c r="P44" s="251">
        <f>Q44&amp;"%"</f>
        <v/>
      </c>
      <c r="Q44" s="27" t="n">
        <v>0</v>
      </c>
      <c r="R44" s="237" t="n">
        <v>0</v>
      </c>
      <c r="S44" s="237" t="n">
        <v>0</v>
      </c>
      <c r="T44" s="208" t="n">
        <v>2.32</v>
      </c>
      <c r="U44" s="251" t="n">
        <v>2.32</v>
      </c>
      <c r="V44" s="35" t="n">
        <v>43327</v>
      </c>
      <c r="W44" s="35" t="n">
        <v>43318</v>
      </c>
      <c r="X44" s="27" t="n">
        <v>20</v>
      </c>
      <c r="Y44" s="210" t="n">
        <v>2.32</v>
      </c>
      <c r="Z44" s="237" t="n">
        <v>0.464</v>
      </c>
      <c r="AA44" t="b">
        <v>0</v>
      </c>
    </row>
    <row r="45">
      <c r="B45" s="53" t="n">
        <v>2018</v>
      </c>
      <c r="C45" s="53" t="n">
        <v>44</v>
      </c>
      <c r="D45" s="53">
        <f>B45&amp;"-"&amp;C45</f>
        <v/>
      </c>
      <c r="E45" s="9" t="inlineStr">
        <is>
          <t>6157023742</t>
        </is>
      </c>
      <c r="F45" s="1" t="n">
        <v>43265</v>
      </c>
      <c r="G45" t="inlineStr">
        <is>
          <t>Hutchison Drei Austria GmbH, Brünner Straße 52, 1210 Wien, Österreich</t>
        </is>
      </c>
      <c r="H45" s="16" t="n"/>
      <c r="I45" s="16" t="inlineStr">
        <is>
          <t>Ausgaben</t>
        </is>
      </c>
      <c r="J45" s="16" t="inlineStr">
        <is>
          <t>Telefon/Internet</t>
        </is>
      </c>
      <c r="K45" s="16" t="n"/>
      <c r="L45" t="b">
        <v>0</v>
      </c>
      <c r="M45" s="36" t="n">
        <v>15.58</v>
      </c>
      <c r="N45" s="51" t="n">
        <v>1</v>
      </c>
      <c r="O45" s="251" t="n">
        <v>18.696</v>
      </c>
      <c r="P45" s="251">
        <f>Q45&amp;"%"</f>
        <v/>
      </c>
      <c r="Q45" s="27" t="n">
        <v>20</v>
      </c>
      <c r="R45" s="237" t="n">
        <v>3.116</v>
      </c>
      <c r="S45" s="237" t="n">
        <v>3.116</v>
      </c>
      <c r="T45" s="208" t="n">
        <v>15.58</v>
      </c>
      <c r="U45" s="251" t="n">
        <v>18.696</v>
      </c>
      <c r="V45" s="35" t="n">
        <v>43327</v>
      </c>
      <c r="W45" s="35" t="n">
        <v>43318</v>
      </c>
      <c r="X45" s="27" t="n"/>
      <c r="Y45" s="210" t="n">
        <v>15.58</v>
      </c>
      <c r="Z45" s="237" t="n">
        <v>0</v>
      </c>
      <c r="AA45" t="b">
        <v>0</v>
      </c>
    </row>
    <row r="46">
      <c r="B46" s="53" t="n">
        <v>2018</v>
      </c>
      <c r="C46" s="53" t="n">
        <v>45</v>
      </c>
      <c r="D46" s="53">
        <f>B46&amp;"-"&amp;C46</f>
        <v/>
      </c>
      <c r="E46" s="9" t="inlineStr">
        <is>
          <t>169593506-00</t>
        </is>
      </c>
      <c r="F46" s="1" t="n">
        <v>43256</v>
      </c>
      <c r="G46" t="inlineStr">
        <is>
          <t>UPC Laudongasse</t>
        </is>
      </c>
      <c r="H46" s="16" t="n"/>
      <c r="I46" s="16" t="inlineStr">
        <is>
          <t>Ausgaben</t>
        </is>
      </c>
      <c r="J46" s="16" t="inlineStr">
        <is>
          <t>Telefon/Internet</t>
        </is>
      </c>
      <c r="K46" s="16" t="n"/>
      <c r="L46" t="b">
        <v>0</v>
      </c>
      <c r="M46" s="36" t="n">
        <v>48.32</v>
      </c>
      <c r="N46" s="51" t="n">
        <v>0.3981788079470199</v>
      </c>
      <c r="O46" s="251" t="n">
        <v>22.313940397351</v>
      </c>
      <c r="P46" s="251">
        <f>Q46&amp;"%"</f>
        <v/>
      </c>
      <c r="Q46" s="27" t="inlineStr">
        <is>
          <t>gemischt</t>
        </is>
      </c>
      <c r="R46" s="237" t="n">
        <v>7.72</v>
      </c>
      <c r="S46" s="237" t="n">
        <v>3.073940397350993</v>
      </c>
      <c r="T46" s="208" t="n">
        <v>19.24</v>
      </c>
      <c r="U46" s="251" t="n">
        <v>56.04</v>
      </c>
      <c r="V46" s="35" t="n">
        <v>43327</v>
      </c>
      <c r="W46" s="35" t="n">
        <v>43318</v>
      </c>
      <c r="X46" s="27" t="n"/>
      <c r="Y46" s="210" t="n">
        <v>19.24</v>
      </c>
      <c r="Z46" s="237" t="n">
        <v>0</v>
      </c>
      <c r="AA46" t="b">
        <v>0</v>
      </c>
    </row>
    <row r="47">
      <c r="B47" s="53" t="n">
        <v>2018</v>
      </c>
      <c r="C47" s="53" t="n">
        <v>46</v>
      </c>
      <c r="D47" s="53">
        <f>B47&amp;"-"&amp;C47</f>
        <v/>
      </c>
      <c r="E47" s="9" t="inlineStr">
        <is>
          <t>14003245753/40/2018</t>
        </is>
      </c>
      <c r="F47" s="1" t="n">
        <v>43266</v>
      </c>
      <c r="G47" s="1" t="inlineStr">
        <is>
          <t>MONTANA Energie-Handel AT GmbH: Teilzahlungsbetrag Gas</t>
        </is>
      </c>
      <c r="H47" s="16" t="n"/>
      <c r="I47" s="16" t="inlineStr">
        <is>
          <t>Ausgaben</t>
        </is>
      </c>
      <c r="J47" s="16" t="inlineStr">
        <is>
          <t>sonstige Betriebsausgaben</t>
        </is>
      </c>
      <c r="K47" s="16" t="inlineStr"/>
      <c r="L47" t="b">
        <v>0</v>
      </c>
      <c r="M47" s="36" t="n">
        <v>82.5</v>
      </c>
      <c r="N47" s="51" t="n">
        <v>0.2732037841984147</v>
      </c>
      <c r="O47" s="251" t="n">
        <v>27.04717463564306</v>
      </c>
      <c r="P47" s="251">
        <f>Q47&amp;"%"</f>
        <v/>
      </c>
      <c r="Q47" s="27" t="n">
        <v>20</v>
      </c>
      <c r="R47" s="237" t="n">
        <v>16.5</v>
      </c>
      <c r="S47" s="237" t="n">
        <v>4.507862439273843</v>
      </c>
      <c r="T47" s="208" t="n">
        <v>22.53931219636922</v>
      </c>
      <c r="U47" s="251" t="n">
        <v>99</v>
      </c>
      <c r="V47" s="35" t="n">
        <v>43327</v>
      </c>
      <c r="W47" s="35" t="n">
        <v>43318</v>
      </c>
      <c r="X47" s="27" t="n"/>
      <c r="Y47" s="210" t="n">
        <v>22.53931219636922</v>
      </c>
      <c r="Z47" s="237" t="n">
        <v>0</v>
      </c>
      <c r="AA47" t="b">
        <v>0</v>
      </c>
    </row>
    <row r="48">
      <c r="B48" s="53" t="n">
        <v>2018</v>
      </c>
      <c r="C48" s="53" t="n">
        <v>47</v>
      </c>
      <c r="D48" s="53">
        <f>B48&amp;"-"&amp;C48</f>
        <v/>
      </c>
      <c r="E48" s="9" t="inlineStr">
        <is>
          <t>11793156960</t>
        </is>
      </c>
      <c r="F48" s="1" t="n">
        <v>43272</v>
      </c>
      <c r="G48" t="inlineStr">
        <is>
          <t>Microsoft Ireland Operations Ltd, One Microsoft Place, South County Business Park Leopardstown Dublin 18, D18 P521 Irland: Office 365 Business Essentials (monatlich)</t>
        </is>
      </c>
      <c r="H48" s="16" t="n"/>
      <c r="I48" s="16" t="inlineStr">
        <is>
          <t>Ausgaben</t>
        </is>
      </c>
      <c r="J48" s="16" t="inlineStr">
        <is>
          <t>sonstige Betriebsausgaben</t>
        </is>
      </c>
      <c r="K48" s="16" t="n"/>
      <c r="L48" t="b">
        <v>0</v>
      </c>
      <c r="M48" s="36" t="n">
        <v>57.5</v>
      </c>
      <c r="N48" s="51" t="n">
        <v>1</v>
      </c>
      <c r="O48" s="251" t="n">
        <v>69</v>
      </c>
      <c r="P48" s="251">
        <f>Q48&amp;"%"</f>
        <v/>
      </c>
      <c r="Q48" s="27" t="n">
        <v>20</v>
      </c>
      <c r="R48" s="237" t="n">
        <v>11.5</v>
      </c>
      <c r="S48" s="237" t="n">
        <v>11.5</v>
      </c>
      <c r="T48" s="208" t="n">
        <v>57.5</v>
      </c>
      <c r="U48" s="251" t="n">
        <v>69</v>
      </c>
      <c r="V48" s="35" t="n">
        <v>43327</v>
      </c>
      <c r="W48" s="35" t="n">
        <v>43318</v>
      </c>
      <c r="X48" s="27" t="n"/>
      <c r="Y48" s="210" t="n">
        <v>57.5</v>
      </c>
      <c r="Z48" s="237" t="n">
        <v>0</v>
      </c>
      <c r="AA48" t="b">
        <v>0</v>
      </c>
    </row>
    <row r="49">
      <c r="B49" s="53" t="n">
        <v>2018</v>
      </c>
      <c r="C49" s="53" t="n">
        <v>48</v>
      </c>
      <c r="D49" s="53">
        <f>B49&amp;"-"&amp;C49</f>
        <v/>
      </c>
      <c r="E49" s="9" t="inlineStr">
        <is>
          <t>E050064VW3</t>
        </is>
      </c>
      <c r="F49" s="1" t="n">
        <v>43273</v>
      </c>
      <c r="G49" t="inlineStr">
        <is>
          <t>Microsoft Ireland Operations Ltd, One Microsoft Place, South County Business Park Leopardstown Dublin 18, D18 P521 Irland: Office 365 Business Essentials (monatlich)</t>
        </is>
      </c>
      <c r="H49" s="16" t="n"/>
      <c r="I49" s="16" t="inlineStr">
        <is>
          <t>Ausgaben</t>
        </is>
      </c>
      <c r="J49" s="16" t="inlineStr">
        <is>
          <t>sonstige Betriebsausgaben</t>
        </is>
      </c>
      <c r="K49" s="16" t="n"/>
      <c r="L49" t="b">
        <v>0</v>
      </c>
      <c r="M49" s="36" t="n">
        <v>15.3</v>
      </c>
      <c r="N49" s="51" t="n">
        <v>1</v>
      </c>
      <c r="O49" s="251" t="n">
        <v>18.36</v>
      </c>
      <c r="P49" s="251">
        <f>Q49&amp;"%"</f>
        <v/>
      </c>
      <c r="Q49" s="27" t="n">
        <v>20</v>
      </c>
      <c r="R49" s="237" t="n">
        <v>3.06</v>
      </c>
      <c r="S49" s="237" t="n">
        <v>3.06</v>
      </c>
      <c r="T49" s="208" t="n">
        <v>15.3</v>
      </c>
      <c r="U49" s="251" t="n">
        <v>18.36</v>
      </c>
      <c r="V49" s="35" t="n">
        <v>43327</v>
      </c>
      <c r="W49" s="35" t="n">
        <v>43318</v>
      </c>
      <c r="X49" s="27" t="n"/>
      <c r="Y49" s="210" t="n">
        <v>15.3</v>
      </c>
      <c r="Z49" s="237" t="n">
        <v>0</v>
      </c>
      <c r="AA49" t="b">
        <v>0</v>
      </c>
    </row>
    <row r="50">
      <c r="B50" s="53" t="n">
        <v>2018</v>
      </c>
      <c r="C50" s="53" t="n">
        <v>49</v>
      </c>
      <c r="D50" s="53">
        <f>B50&amp;"-"&amp;C50</f>
        <v/>
      </c>
      <c r="E50" s="9" t="inlineStr">
        <is>
          <t>2018/8058/18</t>
        </is>
      </c>
      <c r="F50" s="1" t="n">
        <v>43276</v>
      </c>
      <c r="G50" s="1" t="inlineStr">
        <is>
          <t>PREMIUM Laudongasse 58 GmbH &amp; Co KG: Dauerrechnung 2018-D</t>
        </is>
      </c>
      <c r="H50" s="16" t="n"/>
      <c r="I50" s="16" t="inlineStr">
        <is>
          <t>Ausgaben</t>
        </is>
      </c>
      <c r="J50" s="16" t="inlineStr">
        <is>
          <t>Miet- und Pachtaufwand, Leasing</t>
        </is>
      </c>
      <c r="K50" s="16" t="inlineStr"/>
      <c r="L50" t="b">
        <v>0</v>
      </c>
      <c r="M50" s="36" t="n">
        <v>763.4400000000001</v>
      </c>
      <c r="N50" s="51" t="n">
        <v>0.2732037841984147</v>
      </c>
      <c r="O50" s="251" t="n">
        <v>229.4321667092815</v>
      </c>
      <c r="P50" s="251">
        <f>Q50&amp;"%"</f>
        <v/>
      </c>
      <c r="Q50" s="27" t="n">
        <v>10</v>
      </c>
      <c r="R50" s="237" t="n">
        <v>76.34400000000001</v>
      </c>
      <c r="S50" s="237" t="n">
        <v>20.85746970084378</v>
      </c>
      <c r="T50" s="208" t="n">
        <v>208.5746970084378</v>
      </c>
      <c r="U50" s="251" t="n">
        <v>839.7840000000001</v>
      </c>
      <c r="V50" s="35" t="n">
        <v>43327</v>
      </c>
      <c r="W50" s="35" t="n">
        <v>43318</v>
      </c>
      <c r="X50" s="27" t="n"/>
      <c r="Y50" s="210" t="n">
        <v>208.5746970084378</v>
      </c>
      <c r="Z50" s="237" t="n">
        <v>0</v>
      </c>
      <c r="AA50" t="b">
        <v>0</v>
      </c>
    </row>
    <row r="51">
      <c r="B51" s="53" t="n">
        <v>2018</v>
      </c>
      <c r="C51" s="53" t="n">
        <v>50</v>
      </c>
      <c r="D51" s="53">
        <f>B51&amp;"-"&amp;C51</f>
        <v/>
      </c>
      <c r="E51" s="9" t="inlineStr">
        <is>
          <t>AEU-INV-AT-2018-13729083</t>
        </is>
      </c>
      <c r="F51" s="1" t="n">
        <v>43278</v>
      </c>
      <c r="G51" t="inlineStr">
        <is>
          <t>Clean Coder Amazon EU S.à.r.l. - 5 Rue Plaetis, L-2338 Luxembourg, ATU62353134</t>
        </is>
      </c>
      <c r="H51" s="16" t="n"/>
      <c r="I51" s="16" t="inlineStr">
        <is>
          <t>Ausgaben</t>
        </is>
      </c>
      <c r="J51" s="16" t="inlineStr">
        <is>
          <t>sonstige Betriebsausgaben</t>
        </is>
      </c>
      <c r="K51" s="16" t="n"/>
      <c r="L51" t="b">
        <v>0</v>
      </c>
      <c r="M51" s="36" t="n">
        <v>27.09</v>
      </c>
      <c r="N51" s="51" t="n">
        <v>1</v>
      </c>
      <c r="O51" s="251" t="n">
        <v>29.799</v>
      </c>
      <c r="P51" s="251">
        <f>Q51&amp;"%"</f>
        <v/>
      </c>
      <c r="Q51" s="27" t="n">
        <v>10</v>
      </c>
      <c r="R51" s="237" t="n">
        <v>2.709</v>
      </c>
      <c r="S51" s="237" t="n">
        <v>2.709</v>
      </c>
      <c r="T51" s="208" t="n">
        <v>27.09</v>
      </c>
      <c r="U51" s="251" t="n">
        <v>29.799</v>
      </c>
      <c r="V51" s="35" t="n">
        <v>43327</v>
      </c>
      <c r="W51" s="35" t="n">
        <v>43318</v>
      </c>
      <c r="X51" s="27" t="n"/>
      <c r="Y51" s="210" t="n">
        <v>27.09</v>
      </c>
      <c r="Z51" s="237" t="n">
        <v>0</v>
      </c>
      <c r="AA51" t="b">
        <v>0</v>
      </c>
    </row>
    <row r="52">
      <c r="B52" s="53" t="n">
        <v>2018</v>
      </c>
      <c r="C52" s="53" t="n">
        <v>51</v>
      </c>
      <c r="D52" s="53">
        <f>B52&amp;"-"&amp;C52</f>
        <v/>
      </c>
      <c r="E52" s="9" t="inlineStr">
        <is>
          <t>684128</t>
        </is>
      </c>
      <c r="F52" s="1" t="n">
        <v>43278</v>
      </c>
      <c r="G52" t="inlineStr">
        <is>
          <t xml:space="preserve">Drucker+PCs+LCDs: Lemon Technologies GmbH,Unterweißenbach 181, 8330 Feldbach, Österreich </t>
        </is>
      </c>
      <c r="H52" s="16" t="n"/>
      <c r="I52" s="16" t="inlineStr">
        <is>
          <t>Ausgaben</t>
        </is>
      </c>
      <c r="J52" s="16" t="inlineStr">
        <is>
          <t>sonstige Betriebsausgaben</t>
        </is>
      </c>
      <c r="K52" s="16" t="inlineStr">
        <is>
          <t>Weiterverkauf</t>
        </is>
      </c>
      <c r="L52" t="b">
        <v>0</v>
      </c>
      <c r="M52" s="36" t="n">
        <v>3132.56</v>
      </c>
      <c r="N52" s="51" t="n">
        <v>1</v>
      </c>
      <c r="O52" s="251" t="n">
        <v>3759.072</v>
      </c>
      <c r="P52" s="251">
        <f>Q52&amp;"%"</f>
        <v/>
      </c>
      <c r="Q52" s="27" t="n">
        <v>20</v>
      </c>
      <c r="R52" s="237" t="n">
        <v>626.5119999999999</v>
      </c>
      <c r="S52" s="237" t="n">
        <v>626.5119999999999</v>
      </c>
      <c r="T52" s="208" t="n">
        <v>3132.56</v>
      </c>
      <c r="U52" s="251" t="n">
        <v>3759.072</v>
      </c>
      <c r="V52" s="35" t="n">
        <v>43327</v>
      </c>
      <c r="W52" s="35" t="n">
        <v>43318</v>
      </c>
      <c r="X52" s="27" t="n"/>
      <c r="Y52" s="210" t="n">
        <v>3132.56</v>
      </c>
      <c r="Z52" s="237" t="n">
        <v>0</v>
      </c>
      <c r="AA52" t="b">
        <v>0</v>
      </c>
    </row>
    <row r="53">
      <c r="B53" s="53" t="n">
        <v>2018</v>
      </c>
      <c r="C53" s="53" t="n">
        <v>52</v>
      </c>
      <c r="D53" s="53">
        <f>B53&amp;"-"&amp;C53</f>
        <v/>
      </c>
      <c r="E53" s="9" t="inlineStr">
        <is>
          <t>684492</t>
        </is>
      </c>
      <c r="F53" s="1" t="n">
        <v>43280</v>
      </c>
      <c r="G53" t="inlineStr">
        <is>
          <t xml:space="preserve">UEPC: Lemon Technologies GmbH,Unterweißenbach 181, 8330 Feldbach, Österreich </t>
        </is>
      </c>
      <c r="H53" s="16" t="n"/>
      <c r="I53" s="16" t="inlineStr">
        <is>
          <t>Ausgaben</t>
        </is>
      </c>
      <c r="J53" s="16" t="inlineStr">
        <is>
          <t>sonstige Betriebsausgaben</t>
        </is>
      </c>
      <c r="K53" s="16" t="inlineStr">
        <is>
          <t>Weiterverkauf</t>
        </is>
      </c>
      <c r="L53" t="b">
        <v>0</v>
      </c>
      <c r="M53" s="36" t="n">
        <v>529.01</v>
      </c>
      <c r="N53" s="51" t="n">
        <v>1</v>
      </c>
      <c r="O53" s="251" t="n">
        <v>634.812</v>
      </c>
      <c r="P53" s="251">
        <f>Q53&amp;"%"</f>
        <v/>
      </c>
      <c r="Q53" s="27" t="n">
        <v>20</v>
      </c>
      <c r="R53" s="237" t="n">
        <v>105.802</v>
      </c>
      <c r="S53" s="237" t="n">
        <v>105.802</v>
      </c>
      <c r="T53" s="208" t="n">
        <v>529.01</v>
      </c>
      <c r="U53" s="251" t="n">
        <v>634.812</v>
      </c>
      <c r="V53" s="35" t="n">
        <v>43327</v>
      </c>
      <c r="W53" s="35" t="n">
        <v>43318</v>
      </c>
      <c r="X53" s="27" t="n"/>
      <c r="Y53" s="210" t="n">
        <v>529.01</v>
      </c>
      <c r="Z53" s="237" t="n">
        <v>0</v>
      </c>
      <c r="AA53" t="b">
        <v>0</v>
      </c>
    </row>
    <row r="54">
      <c r="B54" s="53" t="n">
        <v>2018</v>
      </c>
      <c r="C54" s="53" t="n">
        <v>53</v>
      </c>
      <c r="D54" s="53">
        <f>B54&amp;"-"&amp;C54</f>
        <v/>
      </c>
      <c r="E54" s="9" t="inlineStr">
        <is>
          <t>Amazon: AEU-INV-AT-2018-13708794; 1attack: 2191562</t>
        </is>
      </c>
      <c r="F54" s="1" t="n">
        <v>43278</v>
      </c>
      <c r="G54" s="1" t="inlineStr">
        <is>
          <t>1attack Patchkabel und Zyxel Switch, Steckdosenleisten: Amazon EU Sàrl, 5 Rue Plaetis, L-2338, Luxemburg</t>
        </is>
      </c>
      <c r="H54" s="16" t="n"/>
      <c r="I54" s="16" t="inlineStr">
        <is>
          <t>Ausgaben</t>
        </is>
      </c>
      <c r="J54" s="16" t="inlineStr">
        <is>
          <t>sonstige Betriebsausgaben</t>
        </is>
      </c>
      <c r="K54" s="16" t="inlineStr">
        <is>
          <t>Weiterverkauf</t>
        </is>
      </c>
      <c r="L54" t="b">
        <v>0</v>
      </c>
      <c r="M54" s="36" t="n">
        <v>51.54000000000001</v>
      </c>
      <c r="N54" s="51" t="n">
        <v>1</v>
      </c>
      <c r="O54" s="251" t="n">
        <v>61.84800000000001</v>
      </c>
      <c r="P54" s="251">
        <f>Q54&amp;"%"</f>
        <v/>
      </c>
      <c r="Q54" s="27" t="n">
        <v>20</v>
      </c>
      <c r="R54" s="237" t="n">
        <v>10.308</v>
      </c>
      <c r="S54" s="237" t="n">
        <v>10.308</v>
      </c>
      <c r="T54" s="208" t="n">
        <v>51.54000000000001</v>
      </c>
      <c r="U54" s="251" t="n">
        <v>61.84800000000001</v>
      </c>
      <c r="V54" s="35" t="n">
        <v>43327</v>
      </c>
      <c r="W54" s="35" t="n">
        <v>43318</v>
      </c>
      <c r="X54" s="27" t="n"/>
      <c r="Y54" s="210" t="n">
        <v>51.54000000000001</v>
      </c>
      <c r="Z54" s="237" t="n">
        <v>0</v>
      </c>
      <c r="AA54" t="b">
        <v>0</v>
      </c>
    </row>
    <row r="55">
      <c r="B55" s="53" t="n">
        <v>2018</v>
      </c>
      <c r="C55" s="53" t="n">
        <v>54</v>
      </c>
      <c r="D55" s="53">
        <f>B55&amp;"-"&amp;C55</f>
        <v/>
      </c>
      <c r="E55" s="9" t="inlineStr">
        <is>
          <t>AEU-INV-AT-2018-13708984</t>
        </is>
      </c>
      <c r="F55" s="1" t="n">
        <v>43278</v>
      </c>
      <c r="G55" t="inlineStr">
        <is>
          <t>Steckdosenleisten Amazon Marketplace 5040</t>
        </is>
      </c>
      <c r="H55" s="16" t="n"/>
      <c r="I55" s="16" t="inlineStr">
        <is>
          <t>Ausgaben</t>
        </is>
      </c>
      <c r="J55" s="16" t="inlineStr">
        <is>
          <t>sonstige Betriebsausgaben</t>
        </is>
      </c>
      <c r="K55" s="16" t="inlineStr">
        <is>
          <t>Weiterverkauf</t>
        </is>
      </c>
      <c r="L55" t="b">
        <v>0</v>
      </c>
      <c r="M55" s="36" t="n">
        <v>29.32</v>
      </c>
      <c r="N55" s="51" t="n">
        <v>1</v>
      </c>
      <c r="O55" s="251" t="n">
        <v>35.184</v>
      </c>
      <c r="P55" s="251">
        <f>Q55&amp;"%"</f>
        <v/>
      </c>
      <c r="Q55" s="27" t="n">
        <v>20</v>
      </c>
      <c r="R55" s="237" t="n">
        <v>5.864</v>
      </c>
      <c r="S55" s="237" t="n">
        <v>5.864</v>
      </c>
      <c r="T55" s="208" t="n">
        <v>29.32</v>
      </c>
      <c r="U55" s="251" t="n">
        <v>35.184</v>
      </c>
      <c r="V55" s="35" t="n">
        <v>43327</v>
      </c>
      <c r="W55" s="35" t="n">
        <v>43318</v>
      </c>
      <c r="X55" s="27" t="n"/>
      <c r="Y55" s="210" t="n">
        <v>29.32</v>
      </c>
      <c r="Z55" s="237" t="n">
        <v>0</v>
      </c>
      <c r="AA55" t="b">
        <v>0</v>
      </c>
    </row>
    <row r="56">
      <c r="B56" s="53" t="n">
        <v>2018</v>
      </c>
      <c r="C56" s="53" t="n">
        <v>55</v>
      </c>
      <c r="D56" s="53">
        <f>B56&amp;"-"&amp;C56</f>
        <v/>
      </c>
      <c r="E56" s="9" t="inlineStr">
        <is>
          <t>AEU-INV-AT-2018-13708785</t>
        </is>
      </c>
      <c r="F56" s="1" t="n">
        <v>43278</v>
      </c>
      <c r="G56" t="inlineStr">
        <is>
          <t>Tastatur+Maus Logitech: Amazon Marketplace 3518</t>
        </is>
      </c>
      <c r="H56" s="16" t="n"/>
      <c r="I56" s="16" t="inlineStr">
        <is>
          <t>Ausgaben</t>
        </is>
      </c>
      <c r="J56" s="16" t="inlineStr">
        <is>
          <t>sonstige Betriebsausgaben</t>
        </is>
      </c>
      <c r="K56" s="16" t="inlineStr">
        <is>
          <t>Weiterverkauf</t>
        </is>
      </c>
      <c r="L56" t="b">
        <v>0</v>
      </c>
      <c r="M56" s="36" t="n">
        <v>42</v>
      </c>
      <c r="N56" s="51" t="n">
        <v>1</v>
      </c>
      <c r="O56" s="251" t="n">
        <v>50.4</v>
      </c>
      <c r="P56" s="251">
        <f>Q56&amp;"%"</f>
        <v/>
      </c>
      <c r="Q56" s="27" t="n">
        <v>20</v>
      </c>
      <c r="R56" s="237" t="n">
        <v>8.4</v>
      </c>
      <c r="S56" s="237" t="n">
        <v>8.4</v>
      </c>
      <c r="T56" s="208" t="n">
        <v>42</v>
      </c>
      <c r="U56" s="251" t="n">
        <v>50.4</v>
      </c>
      <c r="V56" s="35" t="n">
        <v>43327</v>
      </c>
      <c r="W56" s="35" t="n">
        <v>43318</v>
      </c>
      <c r="X56" s="27" t="n"/>
      <c r="Y56" s="210" t="n">
        <v>42</v>
      </c>
      <c r="Z56" s="237" t="n">
        <v>0</v>
      </c>
      <c r="AA56" t="b">
        <v>0</v>
      </c>
    </row>
    <row r="57">
      <c r="B57" s="53" t="n">
        <v>2018</v>
      </c>
      <c r="C57" s="53" t="n">
        <v>56</v>
      </c>
      <c r="D57" s="53">
        <f>B57&amp;"-"&amp;C57</f>
        <v/>
      </c>
      <c r="E57" s="9" t="inlineStr">
        <is>
          <t>170054282-00</t>
        </is>
      </c>
      <c r="F57" s="1" t="n">
        <v>43284</v>
      </c>
      <c r="G57" t="inlineStr">
        <is>
          <t>UPC Laudongasse</t>
        </is>
      </c>
      <c r="H57" s="16" t="n"/>
      <c r="I57" s="16" t="inlineStr">
        <is>
          <t>Ausgaben</t>
        </is>
      </c>
      <c r="J57" s="16" t="inlineStr">
        <is>
          <t>Telefon/Internet</t>
        </is>
      </c>
      <c r="K57" s="16" t="n"/>
      <c r="L57" t="b">
        <v>0</v>
      </c>
      <c r="M57" s="36" t="n">
        <v>48.32</v>
      </c>
      <c r="N57" s="51" t="n">
        <v>0.3981788079470199</v>
      </c>
      <c r="O57" s="251" t="n">
        <v>22.313940397351</v>
      </c>
      <c r="P57" s="251">
        <f>Q57&amp;"%"</f>
        <v/>
      </c>
      <c r="Q57" s="27" t="inlineStr">
        <is>
          <t>gemischt</t>
        </is>
      </c>
      <c r="R57" s="237" t="n">
        <v>7.72</v>
      </c>
      <c r="S57" s="237" t="n">
        <v>3.073940397350993</v>
      </c>
      <c r="T57" s="208" t="n">
        <v>19.24</v>
      </c>
      <c r="U57" s="251" t="n">
        <v>56.04</v>
      </c>
      <c r="V57" s="35" t="n">
        <v>43419</v>
      </c>
      <c r="W57" s="35" t="n">
        <v>43418</v>
      </c>
      <c r="X57" s="27" t="n"/>
      <c r="Y57" s="210" t="n">
        <v>19.24</v>
      </c>
      <c r="Z57" s="237" t="n">
        <v>0</v>
      </c>
      <c r="AA57" t="b">
        <v>0</v>
      </c>
    </row>
    <row r="58">
      <c r="B58" s="53" t="n">
        <v>2018</v>
      </c>
      <c r="C58" s="53" t="n">
        <v>57</v>
      </c>
      <c r="D58" s="53">
        <f>B58&amp;"-"&amp;C58</f>
        <v/>
      </c>
      <c r="E58" s="9" t="inlineStr">
        <is>
          <t>6055</t>
        </is>
      </c>
      <c r="F58" s="1" t="n">
        <v>43287</v>
      </c>
      <c r="G58" t="inlineStr">
        <is>
          <t>ProcessWire, Ryan Cramer Design, LLC, 204 Clarion Ave, Decatur, GA 30030, USA ==&gt; 129,00 USD</t>
        </is>
      </c>
      <c r="H58" s="16" t="n"/>
      <c r="I58" s="16" t="inlineStr">
        <is>
          <t>Ausgaben</t>
        </is>
      </c>
      <c r="J58" s="16" t="inlineStr">
        <is>
          <t>sonstige Betriebsausgaben</t>
        </is>
      </c>
      <c r="K58" s="16" t="n"/>
      <c r="L58" t="b">
        <v>0</v>
      </c>
      <c r="M58" s="36" t="n">
        <v>112.6</v>
      </c>
      <c r="N58" s="51" t="n">
        <v>1</v>
      </c>
      <c r="O58" s="251" t="n">
        <v>112.6</v>
      </c>
      <c r="P58" s="251">
        <f>Q58&amp;"%"</f>
        <v/>
      </c>
      <c r="Q58" s="27" t="n">
        <v>0</v>
      </c>
      <c r="R58" s="237" t="n">
        <v>0</v>
      </c>
      <c r="S58" s="237" t="n">
        <v>0</v>
      </c>
      <c r="T58" s="208" t="n">
        <v>112.6</v>
      </c>
      <c r="U58" s="251" t="n">
        <v>112.6</v>
      </c>
      <c r="V58" s="35" t="n">
        <v>43419</v>
      </c>
      <c r="W58" s="35" t="n">
        <v>43418</v>
      </c>
      <c r="X58" s="27" t="n"/>
      <c r="Y58" s="210" t="n">
        <v>112.6</v>
      </c>
      <c r="Z58" s="237" t="n">
        <v>0</v>
      </c>
      <c r="AA58" t="b">
        <v>0</v>
      </c>
    </row>
    <row r="59">
      <c r="B59" s="53" t="n">
        <v>2018</v>
      </c>
      <c r="C59" s="53" t="n">
        <v>58</v>
      </c>
      <c r="D59" s="53">
        <f>B59&amp;"-"&amp;C59</f>
        <v/>
      </c>
      <c r="E59" s="9" t="inlineStr">
        <is>
          <t>AI2208418</t>
        </is>
      </c>
      <c r="F59" s="1" t="n">
        <v>43290</v>
      </c>
      <c r="G59" t="inlineStr">
        <is>
          <t>Nemt GmbH</t>
        </is>
      </c>
      <c r="H59" s="16" t="n"/>
      <c r="I59" s="16" t="inlineStr">
        <is>
          <t>Ausgaben</t>
        </is>
      </c>
      <c r="J59" s="16" t="inlineStr">
        <is>
          <t>sonstige Betriebsausgaben</t>
        </is>
      </c>
      <c r="K59" s="16" t="inlineStr">
        <is>
          <t>Weiterverkauf</t>
        </is>
      </c>
      <c r="L59" t="b">
        <v>0</v>
      </c>
      <c r="M59" s="36" t="n">
        <v>12.9</v>
      </c>
      <c r="N59" s="51" t="n">
        <v>1</v>
      </c>
      <c r="O59" s="251" t="n">
        <v>15.48</v>
      </c>
      <c r="P59" s="251">
        <f>Q59&amp;"%"</f>
        <v/>
      </c>
      <c r="Q59" s="27" t="n">
        <v>20</v>
      </c>
      <c r="R59" s="237" t="n">
        <v>2.58</v>
      </c>
      <c r="S59" s="237" t="n">
        <v>2.58</v>
      </c>
      <c r="T59" s="208" t="n">
        <v>12.9</v>
      </c>
      <c r="U59" s="251" t="n">
        <v>15.48</v>
      </c>
      <c r="V59" s="35" t="n">
        <v>43419</v>
      </c>
      <c r="W59" s="35" t="n">
        <v>43418</v>
      </c>
      <c r="X59" s="27" t="n"/>
      <c r="Y59" s="210" t="n">
        <v>12.9</v>
      </c>
      <c r="Z59" s="237" t="n">
        <v>0</v>
      </c>
      <c r="AA59" t="b">
        <v>0</v>
      </c>
    </row>
    <row r="60">
      <c r="B60" s="53" t="n">
        <v>2018</v>
      </c>
      <c r="C60" s="53" t="n">
        <v>59</v>
      </c>
      <c r="D60" s="53">
        <f>B60&amp;"-"&amp;C60</f>
        <v/>
      </c>
      <c r="E60" s="9" t="inlineStr">
        <is>
          <t>6158865234</t>
        </is>
      </c>
      <c r="F60" s="1" t="n">
        <v>43290</v>
      </c>
      <c r="G60" t="inlineStr">
        <is>
          <t>Hutchison Drei Austria GmbH, Brünner Straße 52, 1210 Wien, Österreich</t>
        </is>
      </c>
      <c r="H60" s="16" t="n"/>
      <c r="I60" s="16" t="inlineStr">
        <is>
          <t>Ausgaben</t>
        </is>
      </c>
      <c r="J60" s="16" t="inlineStr">
        <is>
          <t>Telefon/Internet</t>
        </is>
      </c>
      <c r="K60" s="16" t="n"/>
      <c r="L60" t="b">
        <v>0</v>
      </c>
      <c r="M60" s="36" t="n">
        <v>15</v>
      </c>
      <c r="N60" s="51" t="n">
        <v>1</v>
      </c>
      <c r="O60" s="251" t="n">
        <v>18</v>
      </c>
      <c r="P60" s="251">
        <f>Q60&amp;"%"</f>
        <v/>
      </c>
      <c r="Q60" s="27" t="n">
        <v>20</v>
      </c>
      <c r="R60" s="237" t="n">
        <v>3</v>
      </c>
      <c r="S60" s="237" t="n">
        <v>3</v>
      </c>
      <c r="T60" s="208" t="n">
        <v>15</v>
      </c>
      <c r="U60" s="251" t="n">
        <v>18</v>
      </c>
      <c r="V60" s="35" t="n">
        <v>43419</v>
      </c>
      <c r="W60" s="35" t="n">
        <v>43418</v>
      </c>
      <c r="X60" s="27" t="n"/>
      <c r="Y60" s="210" t="n">
        <v>15</v>
      </c>
      <c r="Z60" s="237" t="n">
        <v>0</v>
      </c>
      <c r="AA60" t="b">
        <v>0</v>
      </c>
    </row>
    <row r="61">
      <c r="B61" s="53" t="n">
        <v>2018</v>
      </c>
      <c r="C61" s="53" t="n">
        <v>60</v>
      </c>
      <c r="D61" s="53">
        <f>B61&amp;"-"&amp;C61</f>
        <v/>
      </c>
      <c r="E61" s="9" t="inlineStr">
        <is>
          <t>20180901202</t>
        </is>
      </c>
      <c r="F61" s="1" t="n">
        <v>43293</v>
      </c>
      <c r="G61" t="inlineStr">
        <is>
          <t xml:space="preserve">Shenzhenshi Yunguihui Keji Youxian Gongsi: Türstopper Gummi 4 Stk. </t>
        </is>
      </c>
      <c r="H61" s="16" t="n"/>
      <c r="I61" s="16" t="inlineStr">
        <is>
          <t>Ausgaben</t>
        </is>
      </c>
      <c r="J61" s="16" t="inlineStr">
        <is>
          <t>sonstige Betriebsausgaben</t>
        </is>
      </c>
      <c r="K61" s="16" t="inlineStr">
        <is>
          <t>Weiterverkauf</t>
        </is>
      </c>
      <c r="L61" t="b">
        <v>0</v>
      </c>
      <c r="M61" s="36" t="n">
        <v>8.99</v>
      </c>
      <c r="N61" s="51" t="n">
        <v>1</v>
      </c>
      <c r="O61" s="251" t="n">
        <v>8.99</v>
      </c>
      <c r="P61" s="251">
        <f>Q61&amp;"%"</f>
        <v/>
      </c>
      <c r="Q61" s="27" t="n">
        <v>0</v>
      </c>
      <c r="R61" s="237" t="n">
        <v>0</v>
      </c>
      <c r="S61" s="237" t="n">
        <v>0</v>
      </c>
      <c r="T61" s="208" t="n">
        <v>8.99</v>
      </c>
      <c r="U61" s="251" t="n">
        <v>8.99</v>
      </c>
      <c r="V61" s="35" t="n">
        <v>43419</v>
      </c>
      <c r="W61" s="35" t="n">
        <v>43418</v>
      </c>
      <c r="X61" s="27" t="n"/>
      <c r="Y61" s="210" t="n">
        <v>8.99</v>
      </c>
      <c r="Z61" s="237" t="n">
        <v>0</v>
      </c>
      <c r="AA61" t="b">
        <v>0</v>
      </c>
    </row>
    <row r="62">
      <c r="B62" s="53" t="n">
        <v>2018</v>
      </c>
      <c r="C62" s="53" t="n">
        <v>61</v>
      </c>
      <c r="D62" s="53">
        <f>B62&amp;"-"&amp;C62</f>
        <v/>
      </c>
      <c r="E62" s="9" t="inlineStr">
        <is>
          <t>34019581014/40/2018</t>
        </is>
      </c>
      <c r="F62" s="1" t="n">
        <v>43297</v>
      </c>
      <c r="G62" s="1" t="inlineStr">
        <is>
          <t>VERBUND AG, Postfach 8400, 1011 Wien, Österreich: Teilzahlungsvorschreibung</t>
        </is>
      </c>
      <c r="H62" s="16" t="n"/>
      <c r="I62" s="16" t="inlineStr">
        <is>
          <t>Ausgaben</t>
        </is>
      </c>
      <c r="J62" s="16" t="inlineStr">
        <is>
          <t>sonstige Betriebsausgaben</t>
        </is>
      </c>
      <c r="K62" s="16" t="inlineStr"/>
      <c r="L62" t="b">
        <v>0</v>
      </c>
      <c r="M62" s="36" t="n">
        <v>151.67</v>
      </c>
      <c r="N62" s="51" t="n">
        <v>0.2732037841984147</v>
      </c>
      <c r="O62" s="251" t="n">
        <v>49.72418153924828</v>
      </c>
      <c r="P62" s="251">
        <f>Q62&amp;"%"</f>
        <v/>
      </c>
      <c r="Q62" s="27" t="n">
        <v>20</v>
      </c>
      <c r="R62" s="237" t="n">
        <v>30.334</v>
      </c>
      <c r="S62" s="237" t="n">
        <v>8.287363589874712</v>
      </c>
      <c r="T62" s="208" t="n">
        <v>41.43681794937356</v>
      </c>
      <c r="U62" s="251" t="n">
        <v>182.004</v>
      </c>
      <c r="V62" s="35" t="n">
        <v>43419</v>
      </c>
      <c r="W62" s="35" t="n">
        <v>43418</v>
      </c>
      <c r="X62" s="27" t="n"/>
      <c r="Y62" s="210" t="n">
        <v>41.43681794937356</v>
      </c>
      <c r="Z62" s="237" t="n">
        <v>0</v>
      </c>
      <c r="AA62" t="b">
        <v>0</v>
      </c>
    </row>
    <row r="63">
      <c r="B63" s="53" t="n">
        <v>2018</v>
      </c>
      <c r="C63" s="53" t="n">
        <v>62</v>
      </c>
      <c r="D63" s="53">
        <f>B63&amp;"-"&amp;C63</f>
        <v/>
      </c>
      <c r="E63" s="9" t="inlineStr">
        <is>
          <t>14003364782/40/2018</t>
        </is>
      </c>
      <c r="F63" s="1" t="n">
        <v>43297</v>
      </c>
      <c r="G63" s="1" t="inlineStr">
        <is>
          <t>MONTANA Energie-Handel AT GmbH: Teilzahlungsbetrag Gas</t>
        </is>
      </c>
      <c r="H63" s="16" t="n"/>
      <c r="I63" s="16" t="inlineStr">
        <is>
          <t>Ausgaben</t>
        </is>
      </c>
      <c r="J63" s="16" t="inlineStr">
        <is>
          <t>sonstige Betriebsausgaben</t>
        </is>
      </c>
      <c r="K63" s="16" t="inlineStr"/>
      <c r="L63" t="b">
        <v>0</v>
      </c>
      <c r="M63" s="36" t="n">
        <v>82.5</v>
      </c>
      <c r="N63" s="51" t="n">
        <v>0.2732037841984147</v>
      </c>
      <c r="O63" s="251" t="n">
        <v>27.04717463564306</v>
      </c>
      <c r="P63" s="251">
        <f>Q63&amp;"%"</f>
        <v/>
      </c>
      <c r="Q63" s="27" t="n">
        <v>20</v>
      </c>
      <c r="R63" s="237" t="n">
        <v>16.5</v>
      </c>
      <c r="S63" s="237" t="n">
        <v>4.507862439273843</v>
      </c>
      <c r="T63" s="208" t="n">
        <v>22.53931219636922</v>
      </c>
      <c r="U63" s="251" t="n">
        <v>99</v>
      </c>
      <c r="V63" s="35" t="n">
        <v>43419</v>
      </c>
      <c r="W63" s="35" t="n">
        <v>43418</v>
      </c>
      <c r="X63" s="27" t="n"/>
      <c r="Y63" s="210" t="n">
        <v>22.53931219636922</v>
      </c>
      <c r="Z63" s="237" t="n">
        <v>0</v>
      </c>
      <c r="AA63" t="b">
        <v>0</v>
      </c>
    </row>
    <row r="64">
      <c r="B64" s="53" t="n">
        <v>2018</v>
      </c>
      <c r="C64" s="53" t="n">
        <v>63</v>
      </c>
      <c r="D64" s="53">
        <f>B64&amp;"-"&amp;C64</f>
        <v/>
      </c>
      <c r="E64" s="9" t="inlineStr">
        <is>
          <t>E05006BO0M</t>
        </is>
      </c>
      <c r="F64" s="1" t="n">
        <v>43304</v>
      </c>
      <c r="G64" t="inlineStr">
        <is>
          <t>Microsoft Ireland Operations Ltd, One Microsoft Place, South County Business Park Leopardstown Dublin 18, D18 P521 Irland: Office 365 Business Essentials (monatlich)</t>
        </is>
      </c>
      <c r="H64" s="16" t="n"/>
      <c r="I64" s="16" t="inlineStr">
        <is>
          <t>Ausgaben</t>
        </is>
      </c>
      <c r="J64" s="16" t="inlineStr">
        <is>
          <t>sonstige Betriebsausgaben</t>
        </is>
      </c>
      <c r="K64" s="16" t="inlineStr"/>
      <c r="L64" t="b">
        <v>0</v>
      </c>
      <c r="M64" s="36" t="n">
        <v>15.3</v>
      </c>
      <c r="N64" s="51" t="n">
        <v>1</v>
      </c>
      <c r="O64" s="251" t="n">
        <v>18.36</v>
      </c>
      <c r="P64" s="251">
        <f>Q64&amp;"%"</f>
        <v/>
      </c>
      <c r="Q64" s="27" t="n">
        <v>20</v>
      </c>
      <c r="R64" s="237" t="n">
        <v>3.06</v>
      </c>
      <c r="S64" s="237" t="n">
        <v>3.06</v>
      </c>
      <c r="T64" s="208" t="n">
        <v>15.3</v>
      </c>
      <c r="U64" s="251" t="n">
        <v>18.36</v>
      </c>
      <c r="V64" s="35" t="n">
        <v>43419</v>
      </c>
      <c r="W64" s="35" t="n">
        <v>43418</v>
      </c>
      <c r="X64" s="27" t="n"/>
      <c r="Y64" s="210" t="n">
        <v>15.3</v>
      </c>
      <c r="Z64" s="237" t="n">
        <v>0</v>
      </c>
      <c r="AA64" t="b">
        <v>0</v>
      </c>
    </row>
    <row r="65">
      <c r="B65" s="53" t="n">
        <v>2018</v>
      </c>
      <c r="C65" s="53" t="n">
        <v>64</v>
      </c>
      <c r="D65" s="53">
        <f>B65&amp;"-"&amp;C65</f>
        <v/>
      </c>
      <c r="E65" s="9" t="inlineStr">
        <is>
          <t>2018/8058/18</t>
        </is>
      </c>
      <c r="F65" s="1" t="n">
        <v>43306</v>
      </c>
      <c r="G65" s="1" t="inlineStr">
        <is>
          <t>PREMIUM Laudongasse 58 GmbH &amp; Co KG: Dauerrechnung 2018-D</t>
        </is>
      </c>
      <c r="H65" s="16" t="n"/>
      <c r="I65" s="16" t="inlineStr">
        <is>
          <t>Ausgaben</t>
        </is>
      </c>
      <c r="J65" s="16" t="inlineStr">
        <is>
          <t>Miet- und Pachtaufwand, Leasing</t>
        </is>
      </c>
      <c r="K65" s="16" t="inlineStr"/>
      <c r="L65" t="b">
        <v>0</v>
      </c>
      <c r="M65" s="36" t="n">
        <v>763.4400000000001</v>
      </c>
      <c r="N65" s="51" t="n">
        <v>0.2732037841984147</v>
      </c>
      <c r="O65" s="251" t="n">
        <v>229.4321667092815</v>
      </c>
      <c r="P65" s="251">
        <f>Q65&amp;"%"</f>
        <v/>
      </c>
      <c r="Q65" s="27" t="n">
        <v>10</v>
      </c>
      <c r="R65" s="237" t="n">
        <v>76.34400000000001</v>
      </c>
      <c r="S65" s="237" t="n">
        <v>20.85746970084378</v>
      </c>
      <c r="T65" s="208" t="n">
        <v>208.5746970084378</v>
      </c>
      <c r="U65" s="251" t="n">
        <v>839.7840000000001</v>
      </c>
      <c r="V65" s="35" t="n">
        <v>43419</v>
      </c>
      <c r="W65" s="35" t="n">
        <v>43418</v>
      </c>
      <c r="X65" s="27" t="n"/>
      <c r="Y65" s="210" t="n">
        <v>208.5746970084378</v>
      </c>
      <c r="Z65" s="237" t="n">
        <v>0</v>
      </c>
      <c r="AA65" t="b">
        <v>0</v>
      </c>
    </row>
    <row r="66">
      <c r="B66" s="53" t="n">
        <v>2018</v>
      </c>
      <c r="C66" s="53" t="n">
        <v>65</v>
      </c>
      <c r="D66" s="53">
        <f>B66&amp;"-"&amp;C66</f>
        <v/>
      </c>
      <c r="E66" s="9" t="inlineStr">
        <is>
          <t>170518765-00</t>
        </is>
      </c>
      <c r="F66" s="1" t="n">
        <v>43314</v>
      </c>
      <c r="G66" t="inlineStr">
        <is>
          <t>UPC Laudongasse</t>
        </is>
      </c>
      <c r="H66" s="16" t="n"/>
      <c r="I66" s="16" t="inlineStr">
        <is>
          <t>Ausgaben</t>
        </is>
      </c>
      <c r="J66" s="16" t="inlineStr">
        <is>
          <t>Telefon/Internet</t>
        </is>
      </c>
      <c r="K66" s="16" t="n"/>
      <c r="L66" t="b">
        <v>0</v>
      </c>
      <c r="M66" s="36" t="n">
        <v>48.32</v>
      </c>
      <c r="N66" s="51" t="n">
        <v>0.3981788079470199</v>
      </c>
      <c r="O66" s="251" t="n">
        <v>22.313940397351</v>
      </c>
      <c r="P66" s="251">
        <f>Q66&amp;"%"</f>
        <v/>
      </c>
      <c r="Q66" s="27" t="inlineStr">
        <is>
          <t>gemischt</t>
        </is>
      </c>
      <c r="R66" s="237" t="n">
        <v>7.72</v>
      </c>
      <c r="S66" s="237" t="n">
        <v>3.073940397350993</v>
      </c>
      <c r="T66" s="208" t="n">
        <v>19.24</v>
      </c>
      <c r="U66" s="251" t="n">
        <v>56.04</v>
      </c>
      <c r="V66" s="35" t="n">
        <v>43419</v>
      </c>
      <c r="W66" s="35" t="n">
        <v>43418</v>
      </c>
      <c r="X66" s="27" t="n"/>
      <c r="Y66" s="210" t="n">
        <v>19.24</v>
      </c>
      <c r="Z66" s="237" t="n">
        <v>0</v>
      </c>
      <c r="AA66" t="b">
        <v>0</v>
      </c>
    </row>
    <row r="67">
      <c r="B67" s="53" t="n">
        <v>2018</v>
      </c>
      <c r="C67" s="53" t="n">
        <v>66</v>
      </c>
      <c r="D67" s="53">
        <f>B67&amp;"-"&amp;C67</f>
        <v/>
      </c>
      <c r="E67" s="9" t="inlineStr">
        <is>
          <t>6160696858</t>
        </is>
      </c>
      <c r="F67" s="1" t="n">
        <v>43315</v>
      </c>
      <c r="G67" t="inlineStr">
        <is>
          <t>Hutchison Drei Austria GmbH, Brünner Straße 52, 1210 Wien, Österreich</t>
        </is>
      </c>
      <c r="H67" s="16" t="n"/>
      <c r="I67" s="16" t="inlineStr">
        <is>
          <t>Ausgaben</t>
        </is>
      </c>
      <c r="J67" s="16" t="inlineStr">
        <is>
          <t>Telefon/Internet</t>
        </is>
      </c>
      <c r="K67" s="16" t="n"/>
      <c r="L67" t="b">
        <v>0</v>
      </c>
      <c r="M67" s="36" t="n">
        <v>15</v>
      </c>
      <c r="N67" s="51" t="n">
        <v>1</v>
      </c>
      <c r="O67" s="251" t="n">
        <v>18</v>
      </c>
      <c r="P67" s="251">
        <f>Q67&amp;"%"</f>
        <v/>
      </c>
      <c r="Q67" s="27" t="n">
        <v>20</v>
      </c>
      <c r="R67" s="237" t="n">
        <v>3</v>
      </c>
      <c r="S67" s="237" t="n">
        <v>3</v>
      </c>
      <c r="T67" s="208" t="n">
        <v>15</v>
      </c>
      <c r="U67" s="251" t="n">
        <v>18</v>
      </c>
      <c r="V67" s="35" t="n">
        <v>43419</v>
      </c>
      <c r="W67" s="35" t="n">
        <v>43418</v>
      </c>
      <c r="X67" s="27" t="n"/>
      <c r="Y67" s="210" t="n">
        <v>15</v>
      </c>
      <c r="Z67" s="237" t="n">
        <v>0</v>
      </c>
      <c r="AA67" t="b">
        <v>0</v>
      </c>
    </row>
    <row r="68">
      <c r="B68" s="53" t="n">
        <v>2018</v>
      </c>
      <c r="C68" s="53" t="n">
        <v>67</v>
      </c>
      <c r="D68" s="53">
        <f>B68&amp;"-"&amp;C68</f>
        <v/>
      </c>
      <c r="E68" s="9" t="inlineStr">
        <is>
          <t>14003481874/40/2018</t>
        </is>
      </c>
      <c r="F68" s="1" t="n">
        <v>43328</v>
      </c>
      <c r="G68" s="1" t="inlineStr">
        <is>
          <t>MONTANA Energie-Handel AT GmbH: Teilzahlungsbetrag Gas</t>
        </is>
      </c>
      <c r="H68" s="16" t="n"/>
      <c r="I68" s="16" t="inlineStr">
        <is>
          <t>Ausgaben</t>
        </is>
      </c>
      <c r="J68" s="16" t="inlineStr">
        <is>
          <t>sonstige Betriebsausgaben</t>
        </is>
      </c>
      <c r="K68" s="16" t="inlineStr"/>
      <c r="L68" t="b">
        <v>0</v>
      </c>
      <c r="M68" s="36" t="n">
        <v>82.5</v>
      </c>
      <c r="N68" s="51" t="n">
        <v>0.2732037841984147</v>
      </c>
      <c r="O68" s="251" t="n">
        <v>27.04717463564306</v>
      </c>
      <c r="P68" s="251">
        <f>Q68&amp;"%"</f>
        <v/>
      </c>
      <c r="Q68" s="27" t="n">
        <v>20</v>
      </c>
      <c r="R68" s="237" t="n">
        <v>16.5</v>
      </c>
      <c r="S68" s="237" t="n">
        <v>4.507862439273843</v>
      </c>
      <c r="T68" s="208" t="n">
        <v>22.53931219636922</v>
      </c>
      <c r="U68" s="251" t="n">
        <v>99</v>
      </c>
      <c r="V68" s="35" t="n">
        <v>43419</v>
      </c>
      <c r="W68" s="35" t="n">
        <v>43418</v>
      </c>
      <c r="X68" s="27" t="n"/>
      <c r="Y68" s="210" t="n">
        <v>22.53931219636922</v>
      </c>
      <c r="Z68" s="237" t="n">
        <v>0</v>
      </c>
      <c r="AA68" t="b">
        <v>0</v>
      </c>
    </row>
    <row r="69">
      <c r="B69" s="53" t="n">
        <v>2018</v>
      </c>
      <c r="C69" s="53" t="n">
        <v>68</v>
      </c>
      <c r="D69" s="53">
        <f>B69&amp;"-"&amp;C69</f>
        <v/>
      </c>
      <c r="E69" s="9" t="inlineStr">
        <is>
          <t>2018/8058/18</t>
        </is>
      </c>
      <c r="F69" s="1" t="n">
        <v>43339</v>
      </c>
      <c r="G69" s="1" t="inlineStr">
        <is>
          <t>PREMIUM Laudongasse 58 GmbH &amp; Co KG: Dauerrechnung 2018-D</t>
        </is>
      </c>
      <c r="H69" s="16" t="n"/>
      <c r="I69" s="16" t="inlineStr">
        <is>
          <t>Ausgaben</t>
        </is>
      </c>
      <c r="J69" s="16" t="inlineStr">
        <is>
          <t>Miet- und Pachtaufwand, Leasing</t>
        </is>
      </c>
      <c r="K69" s="16" t="inlineStr"/>
      <c r="L69" t="b">
        <v>0</v>
      </c>
      <c r="M69" s="36" t="n">
        <v>763.4400000000001</v>
      </c>
      <c r="N69" s="51" t="n">
        <v>0.2732037841984147</v>
      </c>
      <c r="O69" s="251" t="n">
        <v>229.4321667092815</v>
      </c>
      <c r="P69" s="251">
        <f>Q69&amp;"%"</f>
        <v/>
      </c>
      <c r="Q69" s="27" t="n">
        <v>10</v>
      </c>
      <c r="R69" s="237" t="n">
        <v>76.34400000000001</v>
      </c>
      <c r="S69" s="237" t="n">
        <v>20.85746970084378</v>
      </c>
      <c r="T69" s="208" t="n">
        <v>208.5746970084378</v>
      </c>
      <c r="U69" s="251" t="n">
        <v>839.7840000000001</v>
      </c>
      <c r="V69" s="35" t="n">
        <v>43419</v>
      </c>
      <c r="W69" s="35" t="n">
        <v>43418</v>
      </c>
      <c r="X69" s="27" t="n"/>
      <c r="Y69" s="210" t="n">
        <v>208.5746970084378</v>
      </c>
      <c r="Z69" s="237" t="n">
        <v>0</v>
      </c>
      <c r="AA69" t="b">
        <v>0</v>
      </c>
    </row>
    <row r="70">
      <c r="B70" s="53" t="n">
        <v>2018</v>
      </c>
      <c r="C70" s="53" t="n">
        <v>69</v>
      </c>
      <c r="D70" s="53">
        <f>B70&amp;"-"&amp;C70</f>
        <v/>
      </c>
      <c r="E70" s="9" t="inlineStr">
        <is>
          <t>6162525369</t>
        </is>
      </c>
      <c r="F70" s="1" t="n">
        <v>43343</v>
      </c>
      <c r="G70" t="inlineStr">
        <is>
          <t>Hutchison Drei Austria GmbH, Brünner Straße 52, 1210 Wien, Österreich</t>
        </is>
      </c>
      <c r="H70" s="16" t="n"/>
      <c r="I70" s="16" t="inlineStr">
        <is>
          <t>Ausgaben</t>
        </is>
      </c>
      <c r="J70" s="16" t="inlineStr">
        <is>
          <t>Telefon/Internet</t>
        </is>
      </c>
      <c r="K70" s="16" t="n"/>
      <c r="L70" t="b">
        <v>0</v>
      </c>
      <c r="M70" s="36" t="n">
        <v>19.23</v>
      </c>
      <c r="N70" s="51" t="n">
        <v>1</v>
      </c>
      <c r="O70" s="251" t="n">
        <v>23.076</v>
      </c>
      <c r="P70" s="251">
        <f>Q70&amp;"%"</f>
        <v/>
      </c>
      <c r="Q70" s="27" t="n">
        <v>20</v>
      </c>
      <c r="R70" s="237" t="n">
        <v>3.846</v>
      </c>
      <c r="S70" s="237" t="n">
        <v>3.846</v>
      </c>
      <c r="T70" s="208" t="n">
        <v>19.23</v>
      </c>
      <c r="U70" s="251" t="n">
        <v>23.076</v>
      </c>
      <c r="V70" s="35" t="n">
        <v>43419</v>
      </c>
      <c r="W70" s="35" t="n">
        <v>43418</v>
      </c>
      <c r="X70" s="27" t="n"/>
      <c r="Y70" s="210" t="n">
        <v>19.23</v>
      </c>
      <c r="Z70" s="237" t="n">
        <v>0</v>
      </c>
      <c r="AA70" t="b">
        <v>0</v>
      </c>
    </row>
    <row r="71">
      <c r="B71" s="53" t="n">
        <v>2018</v>
      </c>
      <c r="C71" s="53" t="n">
        <v>70</v>
      </c>
      <c r="D71" s="53">
        <f>B71&amp;"-"&amp;C71</f>
        <v/>
      </c>
      <c r="E71" s="9" t="inlineStr">
        <is>
          <t>RE0629060</t>
        </is>
      </c>
      <c r="F71" s="1" t="n">
        <v>43346</v>
      </c>
      <c r="G71" s="1" t="inlineStr">
        <is>
          <t>easyname raunz.info</t>
        </is>
      </c>
      <c r="H71" s="16" t="n"/>
      <c r="I71" s="16" t="inlineStr">
        <is>
          <t>Ausgaben</t>
        </is>
      </c>
      <c r="J71" s="16" t="inlineStr">
        <is>
          <t>sonstige Betriebsausgaben</t>
        </is>
      </c>
      <c r="K71" s="16" t="inlineStr"/>
      <c r="L71" t="b">
        <v>0</v>
      </c>
      <c r="M71" s="36" t="n">
        <v>13.25</v>
      </c>
      <c r="N71" s="51" t="n">
        <v>1</v>
      </c>
      <c r="O71" s="251" t="n">
        <v>15.9</v>
      </c>
      <c r="P71" s="251">
        <f>Q71&amp;"%"</f>
        <v/>
      </c>
      <c r="Q71" s="27" t="n">
        <v>20</v>
      </c>
      <c r="R71" s="237" t="n">
        <v>2.65</v>
      </c>
      <c r="S71" s="237" t="n">
        <v>2.65</v>
      </c>
      <c r="T71" s="208" t="n">
        <v>13.25</v>
      </c>
      <c r="U71" s="251" t="n">
        <v>15.9</v>
      </c>
      <c r="V71" s="35" t="n">
        <v>43419</v>
      </c>
      <c r="W71" s="35" t="n">
        <v>43418</v>
      </c>
      <c r="X71" s="27" t="n"/>
      <c r="Y71" s="210" t="n">
        <v>13.25</v>
      </c>
      <c r="Z71" s="237" t="n">
        <v>0</v>
      </c>
      <c r="AA71" t="b">
        <v>0</v>
      </c>
    </row>
    <row r="72">
      <c r="B72" s="53" t="n">
        <v>2018</v>
      </c>
      <c r="C72" s="53" t="n">
        <v>71</v>
      </c>
      <c r="D72" s="53">
        <f>B72&amp;"-"&amp;C72</f>
        <v/>
      </c>
      <c r="E72" s="9" t="inlineStr">
        <is>
          <t>170981024-00</t>
        </is>
      </c>
      <c r="F72" s="1" t="n">
        <v>43347</v>
      </c>
      <c r="G72" t="inlineStr">
        <is>
          <t>UPC Laudongasse</t>
        </is>
      </c>
      <c r="H72" s="16" t="n"/>
      <c r="I72" s="16" t="inlineStr">
        <is>
          <t>Ausgaben</t>
        </is>
      </c>
      <c r="J72" s="16" t="inlineStr">
        <is>
          <t>Telefon/Internet</t>
        </is>
      </c>
      <c r="K72" s="16" t="n"/>
      <c r="L72" t="b">
        <v>0</v>
      </c>
      <c r="M72" s="36" t="n">
        <v>48.32</v>
      </c>
      <c r="N72" s="51" t="n">
        <v>0.3981788079470199</v>
      </c>
      <c r="O72" s="251" t="n">
        <v>22.313940397351</v>
      </c>
      <c r="P72" s="251">
        <f>Q72&amp;"%"</f>
        <v/>
      </c>
      <c r="Q72" s="27" t="inlineStr">
        <is>
          <t>gemischt</t>
        </is>
      </c>
      <c r="R72" s="237" t="n">
        <v>7.72</v>
      </c>
      <c r="S72" s="237" t="n">
        <v>3.073940397350993</v>
      </c>
      <c r="T72" s="208" t="n">
        <v>19.24</v>
      </c>
      <c r="U72" s="251" t="n">
        <v>56.04</v>
      </c>
      <c r="V72" s="35" t="n">
        <v>43419</v>
      </c>
      <c r="W72" s="35" t="n">
        <v>43418</v>
      </c>
      <c r="X72" s="27" t="n"/>
      <c r="Y72" s="210" t="n">
        <v>19.24</v>
      </c>
      <c r="Z72" s="237" t="n">
        <v>0</v>
      </c>
      <c r="AA72" t="b">
        <v>0</v>
      </c>
    </row>
    <row r="73">
      <c r="B73" s="53" t="n">
        <v>2018</v>
      </c>
      <c r="C73" s="53" t="n">
        <v>72</v>
      </c>
      <c r="D73" s="53">
        <f>B73&amp;"-"&amp;C73</f>
        <v/>
      </c>
      <c r="E73" s="61" t="n"/>
      <c r="F73" s="1" t="n">
        <v>43346</v>
      </c>
      <c r="G73" s="59" t="inlineStr">
        <is>
          <t>??VERKÄUFER??: Avantree USB Bluetooth 4.0 Dongle</t>
        </is>
      </c>
      <c r="H73" s="60" t="n"/>
      <c r="I73" s="16" t="inlineStr">
        <is>
          <t>Ausgaben</t>
        </is>
      </c>
      <c r="J73" s="16" t="inlineStr">
        <is>
          <t>sonstige Betriebsausgaben</t>
        </is>
      </c>
      <c r="K73" s="16" t="n"/>
      <c r="L73" t="b">
        <v>0</v>
      </c>
      <c r="M73" s="36" t="n">
        <v>14.06</v>
      </c>
      <c r="N73" s="51" t="n">
        <v>1</v>
      </c>
      <c r="O73" s="251" t="n">
        <v>16.872</v>
      </c>
      <c r="P73" s="251">
        <f>Q73&amp;"%"</f>
        <v/>
      </c>
      <c r="Q73" s="27" t="n">
        <v>20</v>
      </c>
      <c r="R73" s="237" t="n">
        <v>2.812</v>
      </c>
      <c r="S73" s="237" t="n">
        <v>2.812</v>
      </c>
      <c r="T73" s="208" t="n">
        <v>14.06</v>
      </c>
      <c r="U73" s="251" t="n">
        <v>16.872</v>
      </c>
      <c r="V73" s="35" t="n">
        <v>43419</v>
      </c>
      <c r="W73" s="35" t="n">
        <v>43418</v>
      </c>
      <c r="X73" s="27" t="n"/>
      <c r="Y73" s="210" t="n">
        <v>14.06</v>
      </c>
      <c r="Z73" s="237" t="n">
        <v>0</v>
      </c>
      <c r="AA73" t="b">
        <v>0</v>
      </c>
    </row>
    <row r="74">
      <c r="B74" s="53" t="n">
        <v>2018</v>
      </c>
      <c r="C74" s="53" t="n">
        <v>73</v>
      </c>
      <c r="D74" s="53">
        <f>B74&amp;"-"&amp;C74</f>
        <v/>
      </c>
      <c r="E74" s="9" t="inlineStr">
        <is>
          <t>14003587017/40/2018</t>
        </is>
      </c>
      <c r="F74" s="1" t="n">
        <v>43360</v>
      </c>
      <c r="G74" s="1" t="inlineStr">
        <is>
          <t>MONTANA Energie-Handel AT GmbH: Teilzahlungsbetrag Gas</t>
        </is>
      </c>
      <c r="H74" s="16" t="n"/>
      <c r="I74" s="16" t="inlineStr">
        <is>
          <t>Ausgaben</t>
        </is>
      </c>
      <c r="J74" s="16" t="inlineStr">
        <is>
          <t>sonstige Betriebsausgaben</t>
        </is>
      </c>
      <c r="K74" s="16" t="inlineStr"/>
      <c r="L74" t="b">
        <v>0</v>
      </c>
      <c r="M74" s="36" t="n">
        <v>82.5</v>
      </c>
      <c r="N74" s="51" t="n">
        <v>0.2732037841984147</v>
      </c>
      <c r="O74" s="251" t="n">
        <v>27.04717463564306</v>
      </c>
      <c r="P74" s="251">
        <f>Q74&amp;"%"</f>
        <v/>
      </c>
      <c r="Q74" s="27" t="n">
        <v>20</v>
      </c>
      <c r="R74" s="237" t="n">
        <v>16.5</v>
      </c>
      <c r="S74" s="237" t="n">
        <v>4.507862439273843</v>
      </c>
      <c r="T74" s="208" t="n">
        <v>22.53931219636922</v>
      </c>
      <c r="U74" s="251" t="n">
        <v>99</v>
      </c>
      <c r="V74" s="35" t="n">
        <v>43419</v>
      </c>
      <c r="W74" s="35" t="n">
        <v>43418</v>
      </c>
      <c r="X74" s="27" t="n"/>
      <c r="Y74" s="210" t="n">
        <v>22.53931219636922</v>
      </c>
      <c r="Z74" s="237" t="n">
        <v>0</v>
      </c>
      <c r="AA74" t="b">
        <v>0</v>
      </c>
    </row>
    <row r="75">
      <c r="B75" s="53" t="n">
        <v>2018</v>
      </c>
      <c r="C75" s="53" t="n">
        <v>74</v>
      </c>
      <c r="D75" s="53">
        <f>B75&amp;"-"&amp;C75</f>
        <v/>
      </c>
      <c r="E75" s="9" t="inlineStr">
        <is>
          <t>E2EC180919000006</t>
        </is>
      </c>
      <c r="F75" s="1" t="n">
        <v>43363</v>
      </c>
      <c r="G75" s="1" t="inlineStr">
        <is>
          <t>PREMIUM Laudongasse 58 GmbH &amp; Co KG: Dauerrechnung 2018-D: Rückerstattung BK</t>
        </is>
      </c>
      <c r="H75" s="16" t="n"/>
      <c r="I75" s="16" t="inlineStr">
        <is>
          <t>Ausgaben</t>
        </is>
      </c>
      <c r="J75" s="16" t="inlineStr">
        <is>
          <t>Miet- und Pachtaufwand, Leasing</t>
        </is>
      </c>
      <c r="K75" s="16" t="inlineStr"/>
      <c r="L75" t="b">
        <v>0</v>
      </c>
      <c r="M75" s="36" t="n">
        <v>-551.95</v>
      </c>
      <c r="N75" s="51" t="n">
        <v>0.2732037841984147</v>
      </c>
      <c r="O75" s="251" t="n">
        <v>-165.8743115571465</v>
      </c>
      <c r="P75" s="251">
        <f>Q75&amp;"%"</f>
        <v/>
      </c>
      <c r="Q75" s="27" t="n">
        <v>10</v>
      </c>
      <c r="R75" s="237" t="n">
        <v>-55.195</v>
      </c>
      <c r="S75" s="237" t="n">
        <v>-15.0794828688315</v>
      </c>
      <c r="T75" s="208" t="n">
        <v>-150.794828688315</v>
      </c>
      <c r="U75" s="251" t="n">
        <v>-607.1450000000001</v>
      </c>
      <c r="V75" s="35" t="n">
        <v>43419</v>
      </c>
      <c r="W75" s="35" t="n">
        <v>43418</v>
      </c>
      <c r="X75" s="27" t="n"/>
      <c r="Y75" s="210" t="n">
        <v>-150.794828688315</v>
      </c>
      <c r="Z75" s="237" t="n">
        <v>0</v>
      </c>
      <c r="AA75" t="b">
        <v>0</v>
      </c>
    </row>
    <row r="76">
      <c r="B76" s="53" t="n">
        <v>2018</v>
      </c>
      <c r="C76" s="53" t="n">
        <v>75</v>
      </c>
      <c r="D76" s="53">
        <f>B76&amp;"-"&amp;C76</f>
        <v/>
      </c>
      <c r="E76" s="9" t="inlineStr">
        <is>
          <t>536000000024904222</t>
        </is>
      </c>
      <c r="F76" s="1" t="n">
        <v>43364</v>
      </c>
      <c r="G76" s="1" t="inlineStr">
        <is>
          <t>ÖBB Personenverkehr AG Wien St. Pölten &amp; retour</t>
        </is>
      </c>
      <c r="H76" s="16" t="n"/>
      <c r="I76" s="16" t="inlineStr">
        <is>
          <t>Ausgaben</t>
        </is>
      </c>
      <c r="J76" s="16" t="inlineStr">
        <is>
          <t>Reise- und Fahrtspesen inkl. Kilometergeld und Diäten</t>
        </is>
      </c>
      <c r="K76" s="16" t="n"/>
      <c r="L76" t="b">
        <v>0</v>
      </c>
      <c r="M76" s="36" t="n">
        <v>10</v>
      </c>
      <c r="N76" s="51" t="n">
        <v>1</v>
      </c>
      <c r="O76" s="251" t="n">
        <v>11</v>
      </c>
      <c r="P76" s="251">
        <f>Q76&amp;"%"</f>
        <v/>
      </c>
      <c r="Q76" s="27" t="n">
        <v>10</v>
      </c>
      <c r="R76" s="237" t="n">
        <v>1</v>
      </c>
      <c r="S76" s="237" t="n">
        <v>1</v>
      </c>
      <c r="T76" s="208" t="n">
        <v>10</v>
      </c>
      <c r="U76" s="251" t="n">
        <v>11</v>
      </c>
      <c r="V76" s="35" t="n">
        <v>43419</v>
      </c>
      <c r="W76" s="35" t="n">
        <v>43418</v>
      </c>
      <c r="X76" s="27" t="n"/>
      <c r="Y76" s="210" t="n">
        <v>10</v>
      </c>
      <c r="Z76" s="237" t="n">
        <v>0</v>
      </c>
      <c r="AA76" t="b">
        <v>0</v>
      </c>
    </row>
    <row r="77">
      <c r="B77" s="53" t="n">
        <v>2018</v>
      </c>
      <c r="C77" s="53" t="n">
        <v>76</v>
      </c>
      <c r="D77" s="53">
        <f>B77&amp;"-"&amp;C77</f>
        <v/>
      </c>
      <c r="E77" s="9" t="inlineStr">
        <is>
          <t>2018/8058/18</t>
        </is>
      </c>
      <c r="F77" s="1" t="n">
        <v>43368</v>
      </c>
      <c r="G77" s="1" t="inlineStr">
        <is>
          <t>PREMIUM Laudongasse 58 GmbH &amp; Co KG: Dauerrechnung 2018-D</t>
        </is>
      </c>
      <c r="H77" s="16" t="n"/>
      <c r="I77" s="16" t="inlineStr">
        <is>
          <t>Ausgaben</t>
        </is>
      </c>
      <c r="J77" s="16" t="inlineStr">
        <is>
          <t>Miet- und Pachtaufwand, Leasing</t>
        </is>
      </c>
      <c r="K77" s="16" t="inlineStr"/>
      <c r="L77" t="b">
        <v>0</v>
      </c>
      <c r="M77" s="36" t="n">
        <v>763.4400000000001</v>
      </c>
      <c r="N77" s="51" t="n">
        <v>0.2732037841984147</v>
      </c>
      <c r="O77" s="251" t="n">
        <v>229.4321667092815</v>
      </c>
      <c r="P77" s="251">
        <f>Q77&amp;"%"</f>
        <v/>
      </c>
      <c r="Q77" s="27" t="n">
        <v>10</v>
      </c>
      <c r="R77" s="237" t="n">
        <v>76.34400000000001</v>
      </c>
      <c r="S77" s="237" t="n">
        <v>20.85746970084378</v>
      </c>
      <c r="T77" s="208" t="n">
        <v>208.5746970084378</v>
      </c>
      <c r="U77" s="251" t="n">
        <v>839.7840000000001</v>
      </c>
      <c r="V77" s="35" t="n">
        <v>43419</v>
      </c>
      <c r="W77" s="35" t="n">
        <v>43418</v>
      </c>
      <c r="X77" s="27" t="n"/>
      <c r="Y77" s="210" t="n">
        <v>208.5746970084378</v>
      </c>
      <c r="Z77" s="237" t="n">
        <v>0</v>
      </c>
      <c r="AA77" t="b">
        <v>0</v>
      </c>
    </row>
    <row r="78">
      <c r="B78" s="53" t="n">
        <v>2018</v>
      </c>
      <c r="C78" s="53" t="n">
        <v>77</v>
      </c>
      <c r="D78" s="53">
        <f>B78&amp;"-"&amp;C78</f>
        <v/>
      </c>
      <c r="E78" s="9" t="inlineStr">
        <is>
          <t>10800180903823</t>
        </is>
      </c>
      <c r="F78" s="1" t="n">
        <v>43369</v>
      </c>
      <c r="G78" s="1" t="inlineStr">
        <is>
          <t>Österreichische Post AG Brief + Marken</t>
        </is>
      </c>
      <c r="H78" s="16" t="n"/>
      <c r="I78" s="16" t="inlineStr">
        <is>
          <t>Ausgaben</t>
        </is>
      </c>
      <c r="J78" s="16" t="inlineStr">
        <is>
          <t>Porto/Gebühren</t>
        </is>
      </c>
      <c r="K78" s="16" t="n"/>
      <c r="L78" t="b">
        <v>0</v>
      </c>
      <c r="M78" s="36" t="n">
        <v>20.8</v>
      </c>
      <c r="N78" s="51" t="n">
        <v>1</v>
      </c>
      <c r="O78" s="251" t="n">
        <v>20.8</v>
      </c>
      <c r="P78" s="251">
        <f>Q78&amp;"%"</f>
        <v/>
      </c>
      <c r="Q78" s="27" t="n">
        <v>0</v>
      </c>
      <c r="R78" s="237" t="n">
        <v>0</v>
      </c>
      <c r="S78" s="237" t="n">
        <v>0</v>
      </c>
      <c r="T78" s="208" t="n">
        <v>20.8</v>
      </c>
      <c r="U78" s="251" t="n">
        <v>20.8</v>
      </c>
      <c r="V78" s="35" t="n">
        <v>43419</v>
      </c>
      <c r="W78" s="35" t="n">
        <v>43418</v>
      </c>
      <c r="X78" s="27" t="n"/>
      <c r="Y78" s="210" t="n">
        <v>20.8</v>
      </c>
      <c r="Z78" s="237" t="n">
        <v>0</v>
      </c>
      <c r="AA78" t="b">
        <v>0</v>
      </c>
    </row>
    <row r="79">
      <c r="B79" s="53" t="n">
        <v>2018</v>
      </c>
      <c r="C79" s="53" t="n">
        <v>78</v>
      </c>
      <c r="D79" s="53">
        <f>B79&amp;"-"&amp;C79</f>
        <v/>
      </c>
      <c r="E79" s="9" t="inlineStr">
        <is>
          <t>51643619</t>
        </is>
      </c>
      <c r="F79" s="1" t="n">
        <v>43370</v>
      </c>
      <c r="G79" s="1" t="inlineStr">
        <is>
          <t>Office Partner GmbH: Samsung CLX 6260ND/SEE</t>
        </is>
      </c>
      <c r="H79" s="16" t="n"/>
      <c r="I79" s="16" t="inlineStr">
        <is>
          <t>Ausgaben</t>
        </is>
      </c>
      <c r="J79" s="16" t="inlineStr">
        <is>
          <t>Waren, Rohstoffe, Hilfsstoffe</t>
        </is>
      </c>
      <c r="K79" s="16" t="inlineStr">
        <is>
          <t>Weiterverkauf</t>
        </is>
      </c>
      <c r="L79" t="b">
        <v>0</v>
      </c>
      <c r="M79" s="36" t="n">
        <v>299.16</v>
      </c>
      <c r="N79" s="51" t="n">
        <v>1</v>
      </c>
      <c r="O79" s="251" t="n">
        <v>358.992</v>
      </c>
      <c r="P79" s="251">
        <f>Q79&amp;"%"</f>
        <v/>
      </c>
      <c r="Q79" s="27" t="n">
        <v>20</v>
      </c>
      <c r="R79" s="237" t="n">
        <v>59.83200000000001</v>
      </c>
      <c r="S79" s="237" t="n">
        <v>59.83200000000001</v>
      </c>
      <c r="T79" s="208" t="n">
        <v>299.16</v>
      </c>
      <c r="U79" s="251" t="n">
        <v>358.992</v>
      </c>
      <c r="V79" s="35" t="n">
        <v>43419</v>
      </c>
      <c r="W79" s="35" t="n">
        <v>43418</v>
      </c>
      <c r="X79" s="27" t="n"/>
      <c r="Y79" s="210" t="n">
        <v>299.16</v>
      </c>
      <c r="Z79" s="237" t="n">
        <v>0</v>
      </c>
      <c r="AA79" t="b">
        <v>0</v>
      </c>
    </row>
    <row r="80">
      <c r="B80" s="53" t="n">
        <v>2018</v>
      </c>
      <c r="C80" s="53" t="n">
        <v>79</v>
      </c>
      <c r="D80" s="53">
        <f>B80&amp;"-"&amp;C80</f>
        <v/>
      </c>
      <c r="E80" s="9" t="inlineStr">
        <is>
          <t>171443843-00</t>
        </is>
      </c>
      <c r="F80" s="1" t="n">
        <v>43377</v>
      </c>
      <c r="G80" t="inlineStr">
        <is>
          <t>UPC Laudongasse</t>
        </is>
      </c>
      <c r="H80" s="16" t="n"/>
      <c r="I80" s="16" t="inlineStr">
        <is>
          <t>Ausgaben</t>
        </is>
      </c>
      <c r="J80" s="16" t="inlineStr">
        <is>
          <t>Telefon/Internet</t>
        </is>
      </c>
      <c r="K80" s="16" t="n"/>
      <c r="L80" t="b">
        <v>0</v>
      </c>
      <c r="M80" s="36" t="n">
        <v>48.32</v>
      </c>
      <c r="N80" s="51" t="n">
        <v>0.3981788079470199</v>
      </c>
      <c r="O80" s="251" t="n">
        <v>22.313940397351</v>
      </c>
      <c r="P80" s="251">
        <f>Q80&amp;"%"</f>
        <v/>
      </c>
      <c r="Q80" s="27" t="inlineStr">
        <is>
          <t>gemischt</t>
        </is>
      </c>
      <c r="R80" s="237" t="n">
        <v>7.72</v>
      </c>
      <c r="S80" s="237" t="n">
        <v>3.073940397350993</v>
      </c>
      <c r="T80" s="208" t="n">
        <v>19.24</v>
      </c>
      <c r="U80" s="251" t="n">
        <v>56.04</v>
      </c>
      <c r="V80" s="35" t="n">
        <v>43511</v>
      </c>
      <c r="W80" s="35" t="n"/>
      <c r="X80" s="27" t="n"/>
      <c r="Y80" s="210" t="n">
        <v>19.24</v>
      </c>
      <c r="Z80" s="237" t="n">
        <v>0</v>
      </c>
      <c r="AA80" t="b">
        <v>0</v>
      </c>
    </row>
    <row r="81">
      <c r="B81" s="53" t="n">
        <v>2018</v>
      </c>
      <c r="C81" s="53" t="n">
        <v>80</v>
      </c>
      <c r="D81" s="53">
        <f>B81&amp;"-"&amp;C81</f>
        <v/>
      </c>
      <c r="E81" s="9" t="inlineStr">
        <is>
          <t>6164351414</t>
        </is>
      </c>
      <c r="F81" s="1" t="n">
        <v>43378</v>
      </c>
      <c r="G81" t="inlineStr">
        <is>
          <t>Hutchison Drei Austria GmbH, Brünner Straße 52, 1210 Wien, Österreich</t>
        </is>
      </c>
      <c r="H81" s="16" t="n"/>
      <c r="I81" s="16" t="inlineStr">
        <is>
          <t>Ausgaben</t>
        </is>
      </c>
      <c r="J81" s="16" t="inlineStr">
        <is>
          <t>Telefon/Internet</t>
        </is>
      </c>
      <c r="K81" s="16" t="n"/>
      <c r="L81" t="b">
        <v>0</v>
      </c>
      <c r="M81" s="36" t="n">
        <v>15</v>
      </c>
      <c r="N81" s="51" t="n">
        <v>1</v>
      </c>
      <c r="O81" s="251" t="n">
        <v>18</v>
      </c>
      <c r="P81" s="251">
        <f>Q81&amp;"%"</f>
        <v/>
      </c>
      <c r="Q81" s="27" t="n">
        <v>20</v>
      </c>
      <c r="R81" s="237" t="n">
        <v>3</v>
      </c>
      <c r="S81" s="237" t="n">
        <v>3</v>
      </c>
      <c r="T81" s="208" t="n">
        <v>15</v>
      </c>
      <c r="U81" s="251" t="n">
        <v>18</v>
      </c>
      <c r="V81" s="35" t="n">
        <v>43511</v>
      </c>
      <c r="W81" s="35" t="n"/>
      <c r="X81" s="27" t="n"/>
      <c r="Y81" s="210" t="n">
        <v>15</v>
      </c>
      <c r="Z81" s="237" t="n">
        <v>0</v>
      </c>
      <c r="AA81" t="b">
        <v>0</v>
      </c>
    </row>
    <row r="82">
      <c r="B82" s="53" t="n">
        <v>2018</v>
      </c>
      <c r="C82" s="53" t="n">
        <v>81</v>
      </c>
      <c r="D82" s="53">
        <f>B82&amp;"-"&amp;C82</f>
        <v/>
      </c>
      <c r="E82" s="9" t="inlineStr">
        <is>
          <t>71 Fr 18314/18 i</t>
        </is>
      </c>
      <c r="F82" s="1" t="n">
        <v>43382</v>
      </c>
      <c r="G82" s="1" t="inlineStr">
        <is>
          <t>Bezirksgericht Beglaubigung</t>
        </is>
      </c>
      <c r="H82" s="16" t="n"/>
      <c r="I82" s="16" t="inlineStr">
        <is>
          <t>Ausgaben</t>
        </is>
      </c>
      <c r="J82" s="16" t="inlineStr">
        <is>
          <t>Porto/Gebühren</t>
        </is>
      </c>
      <c r="K82" s="16" t="n"/>
      <c r="L82" t="b">
        <v>0</v>
      </c>
      <c r="M82" s="36" t="n">
        <v>64.8</v>
      </c>
      <c r="N82" s="51" t="n">
        <v>1</v>
      </c>
      <c r="O82" s="251" t="n">
        <v>64.8</v>
      </c>
      <c r="P82" s="251">
        <f>Q82&amp;"%"</f>
        <v/>
      </c>
      <c r="Q82" s="27" t="n">
        <v>0</v>
      </c>
      <c r="R82" s="237" t="n">
        <v>0</v>
      </c>
      <c r="S82" s="237" t="n">
        <v>0</v>
      </c>
      <c r="T82" s="208" t="n">
        <v>64.8</v>
      </c>
      <c r="U82" s="251" t="n">
        <v>64.8</v>
      </c>
      <c r="V82" s="35" t="n">
        <v>43511</v>
      </c>
      <c r="W82" s="27" t="n"/>
      <c r="X82" s="27" t="n"/>
      <c r="Y82" s="210" t="n">
        <v>64.8</v>
      </c>
      <c r="Z82" s="237" t="n">
        <v>0</v>
      </c>
      <c r="AA82" t="b">
        <v>0</v>
      </c>
    </row>
    <row r="83">
      <c r="B83" s="53" t="n">
        <v>2018</v>
      </c>
      <c r="C83" s="53" t="n">
        <v>82</v>
      </c>
      <c r="D83" s="53">
        <f>B83&amp;"-"&amp;C83</f>
        <v/>
      </c>
      <c r="E83" s="9" t="inlineStr">
        <is>
          <t>34021907236/40/2018</t>
        </is>
      </c>
      <c r="F83" s="1" t="n">
        <v>43388</v>
      </c>
      <c r="G83" s="1" t="inlineStr">
        <is>
          <t>VERBUND AG, Postfach 8400, 1011 Wien, Österreich: Teilzahlungsvorschreibung</t>
        </is>
      </c>
      <c r="H83" s="16" t="n"/>
      <c r="I83" s="16" t="inlineStr">
        <is>
          <t>Ausgaben</t>
        </is>
      </c>
      <c r="J83" s="16" t="inlineStr">
        <is>
          <t>sonstige Betriebsausgaben</t>
        </is>
      </c>
      <c r="K83" s="16" t="inlineStr"/>
      <c r="L83" t="b">
        <v>0</v>
      </c>
      <c r="M83" s="36" t="n">
        <v>151.67</v>
      </c>
      <c r="N83" s="51" t="n">
        <v>0.2732037841984147</v>
      </c>
      <c r="O83" s="251" t="n">
        <v>49.72418153924828</v>
      </c>
      <c r="P83" s="251">
        <f>Q83&amp;"%"</f>
        <v/>
      </c>
      <c r="Q83" s="27" t="n">
        <v>20</v>
      </c>
      <c r="R83" s="237" t="n">
        <v>30.334</v>
      </c>
      <c r="S83" s="237" t="n">
        <v>8.287363589874712</v>
      </c>
      <c r="T83" s="208" t="n">
        <v>41.43681794937356</v>
      </c>
      <c r="U83" s="251" t="n">
        <v>182.004</v>
      </c>
      <c r="V83" s="35" t="n">
        <v>43511</v>
      </c>
      <c r="W83" s="35" t="n"/>
      <c r="X83" s="27" t="n"/>
      <c r="Y83" s="210" t="n">
        <v>41.43681794937356</v>
      </c>
      <c r="Z83" s="237" t="n">
        <v>0</v>
      </c>
      <c r="AA83" t="b">
        <v>0</v>
      </c>
    </row>
    <row r="84">
      <c r="B84" s="53" t="n">
        <v>2018</v>
      </c>
      <c r="C84" s="53" t="n">
        <v>83</v>
      </c>
      <c r="D84" s="53">
        <f>B84&amp;"-"&amp;C84</f>
        <v/>
      </c>
      <c r="E84" s="9" t="inlineStr">
        <is>
          <t>14003700445/40/2018</t>
        </is>
      </c>
      <c r="F84" s="1" t="n">
        <v>43388</v>
      </c>
      <c r="G84" s="1" t="inlineStr">
        <is>
          <t>MONTANA Energie-Handel AT GmbH: Teilzahlungsbetrag Gas</t>
        </is>
      </c>
      <c r="H84" s="16" t="n"/>
      <c r="I84" s="16" t="inlineStr">
        <is>
          <t>Ausgaben</t>
        </is>
      </c>
      <c r="J84" s="16" t="inlineStr">
        <is>
          <t>sonstige Betriebsausgaben</t>
        </is>
      </c>
      <c r="K84" s="16" t="inlineStr"/>
      <c r="L84" t="b">
        <v>0</v>
      </c>
      <c r="M84" s="36" t="n">
        <v>82.5</v>
      </c>
      <c r="N84" s="51" t="n">
        <v>0.2732037841984147</v>
      </c>
      <c r="O84" s="251" t="n">
        <v>27.04717463564306</v>
      </c>
      <c r="P84" s="251">
        <f>Q84&amp;"%"</f>
        <v/>
      </c>
      <c r="Q84" s="27" t="n">
        <v>20</v>
      </c>
      <c r="R84" s="237" t="n">
        <v>16.5</v>
      </c>
      <c r="S84" s="237" t="n">
        <v>4.507862439273843</v>
      </c>
      <c r="T84" s="208" t="n">
        <v>22.53931219636922</v>
      </c>
      <c r="U84" s="251" t="n">
        <v>99</v>
      </c>
      <c r="V84" s="35" t="n">
        <v>43511</v>
      </c>
      <c r="W84" s="35" t="n"/>
      <c r="X84" s="27" t="n"/>
      <c r="Y84" s="210" t="n">
        <v>22.53931219636922</v>
      </c>
      <c r="Z84" s="237" t="n">
        <v>0</v>
      </c>
      <c r="AA84" t="b">
        <v>0</v>
      </c>
    </row>
    <row r="85">
      <c r="B85" s="53" t="n">
        <v>2018</v>
      </c>
      <c r="C85" s="53" t="n">
        <v>84</v>
      </c>
      <c r="D85" s="53">
        <f>B85&amp;"-"&amp;C85</f>
        <v/>
      </c>
      <c r="E85" s="9" t="inlineStr">
        <is>
          <t>RE0641423</t>
        </is>
      </c>
      <c r="F85" s="1" t="n">
        <v>43382</v>
      </c>
      <c r="G85" s="1" t="inlineStr">
        <is>
          <t>easyname stokol.at</t>
        </is>
      </c>
      <c r="H85" s="16" t="n"/>
      <c r="I85" s="16" t="inlineStr">
        <is>
          <t>Ausgaben</t>
        </is>
      </c>
      <c r="J85" s="16" t="inlineStr">
        <is>
          <t>sonstige Betriebsausgaben</t>
        </is>
      </c>
      <c r="K85" s="16" t="inlineStr"/>
      <c r="L85" t="b">
        <v>0</v>
      </c>
      <c r="M85" s="36" t="n">
        <v>12.42</v>
      </c>
      <c r="N85" s="51" t="n">
        <v>1</v>
      </c>
      <c r="O85" s="251" t="n">
        <v>14.904</v>
      </c>
      <c r="P85" s="251">
        <f>Q85&amp;"%"</f>
        <v/>
      </c>
      <c r="Q85" s="27" t="n">
        <v>20</v>
      </c>
      <c r="R85" s="237" t="n">
        <v>2.484</v>
      </c>
      <c r="S85" s="237" t="n">
        <v>2.484</v>
      </c>
      <c r="T85" s="208" t="n">
        <v>12.42</v>
      </c>
      <c r="U85" s="251" t="n">
        <v>14.904</v>
      </c>
      <c r="V85" s="35" t="n">
        <v>43511</v>
      </c>
      <c r="W85" s="35" t="n"/>
      <c r="X85" s="27" t="n"/>
      <c r="Y85" s="210" t="n">
        <v>12.42</v>
      </c>
      <c r="Z85" s="237" t="n">
        <v>0</v>
      </c>
      <c r="AA85" t="b">
        <v>0</v>
      </c>
    </row>
    <row r="86">
      <c r="B86" s="53" t="n">
        <v>2018</v>
      </c>
      <c r="C86" s="53" t="n">
        <v>85</v>
      </c>
      <c r="D86" s="53">
        <f>B86&amp;"-"&amp;C86</f>
        <v/>
      </c>
      <c r="E86" s="9" t="inlineStr">
        <is>
          <t>E05006T0YG</t>
        </is>
      </c>
      <c r="F86" s="1" t="n">
        <v>43381</v>
      </c>
      <c r="G86" t="inlineStr">
        <is>
          <t>Microsoft Ireland Operations Ltd, One Microsoft Place, South County Business Park Leopardstown Dublin 18, D18 P521 Irland: Office 365 Business Essentials (jährlich)</t>
        </is>
      </c>
      <c r="H86" s="16" t="n"/>
      <c r="I86" s="16" t="inlineStr">
        <is>
          <t>Ausgaben</t>
        </is>
      </c>
      <c r="J86" s="16" t="inlineStr">
        <is>
          <t>sonstige Betriebsausgaben</t>
        </is>
      </c>
      <c r="K86" s="16" t="inlineStr"/>
      <c r="L86" t="b">
        <v>0</v>
      </c>
      <c r="M86" s="36" t="n">
        <v>100.8</v>
      </c>
      <c r="N86" s="51" t="n">
        <v>1</v>
      </c>
      <c r="O86" s="251" t="n">
        <v>120.96</v>
      </c>
      <c r="P86" s="251">
        <f>Q86&amp;"%"</f>
        <v/>
      </c>
      <c r="Q86" s="27" t="n">
        <v>20</v>
      </c>
      <c r="R86" s="237" t="n">
        <v>20.16</v>
      </c>
      <c r="S86" s="237" t="n">
        <v>20.16</v>
      </c>
      <c r="T86" s="208" t="n">
        <v>100.8</v>
      </c>
      <c r="U86" s="251" t="n">
        <v>120.96</v>
      </c>
      <c r="V86" s="35" t="n">
        <v>43511</v>
      </c>
      <c r="W86" s="35" t="n"/>
      <c r="X86" s="27" t="n"/>
      <c r="Y86" s="210" t="n">
        <v>100.8</v>
      </c>
      <c r="Z86" s="237" t="n">
        <v>0</v>
      </c>
      <c r="AA86" t="b">
        <v>0</v>
      </c>
    </row>
    <row r="87">
      <c r="B87" s="53" t="n">
        <v>2018</v>
      </c>
      <c r="C87" s="53" t="n">
        <v>86</v>
      </c>
      <c r="D87" s="53">
        <f>B87&amp;"-"&amp;C87</f>
        <v/>
      </c>
      <c r="E87" s="9" t="inlineStr">
        <is>
          <t>A18-7592</t>
        </is>
      </c>
      <c r="F87" s="1" t="n">
        <v>43385</v>
      </c>
      <c r="G87" s="1" t="inlineStr">
        <is>
          <t>Faxonline GmbH</t>
        </is>
      </c>
      <c r="H87" s="16" t="n"/>
      <c r="I87" s="16" t="inlineStr">
        <is>
          <t>Ausgaben</t>
        </is>
      </c>
      <c r="J87" s="16" t="inlineStr">
        <is>
          <t>sonstige Betriebsausgaben</t>
        </is>
      </c>
      <c r="K87" s="16" t="inlineStr"/>
      <c r="L87" t="b">
        <v>0</v>
      </c>
      <c r="M87" s="36" t="n">
        <v>6.67</v>
      </c>
      <c r="N87" s="51" t="n">
        <v>1</v>
      </c>
      <c r="O87" s="251" t="n">
        <v>8.004</v>
      </c>
      <c r="P87" s="251">
        <f>Q87&amp;"%"</f>
        <v/>
      </c>
      <c r="Q87" s="27" t="n">
        <v>20</v>
      </c>
      <c r="R87" s="237" t="n">
        <v>1.334</v>
      </c>
      <c r="S87" s="237" t="n">
        <v>1.334</v>
      </c>
      <c r="T87" s="208" t="n">
        <v>6.67</v>
      </c>
      <c r="U87" s="251" t="n">
        <v>8.004</v>
      </c>
      <c r="V87" s="35" t="n">
        <v>43511</v>
      </c>
      <c r="W87" s="35" t="n"/>
      <c r="X87" s="27" t="n"/>
      <c r="Y87" s="210" t="n">
        <v>6.67</v>
      </c>
      <c r="Z87" s="237" t="n">
        <v>0</v>
      </c>
      <c r="AA87" t="b">
        <v>0</v>
      </c>
    </row>
    <row r="88">
      <c r="B88" s="53" t="n">
        <v>2018</v>
      </c>
      <c r="C88" s="53" t="n">
        <v>87</v>
      </c>
      <c r="D88" s="53">
        <f>B88&amp;"-"&amp;C88</f>
        <v/>
      </c>
      <c r="E88" s="9" t="inlineStr">
        <is>
          <t>71 Fr 18314/18 i</t>
        </is>
      </c>
      <c r="F88" s="1" t="n">
        <v>43397</v>
      </c>
      <c r="G88" s="1" t="inlineStr">
        <is>
          <t>Bezirksgericht FB-Eintragung</t>
        </is>
      </c>
      <c r="H88" s="16" t="n"/>
      <c r="I88" s="16" t="inlineStr">
        <is>
          <t>Ausgaben</t>
        </is>
      </c>
      <c r="J88" s="16" t="inlineStr">
        <is>
          <t>Porto/Gebühren</t>
        </is>
      </c>
      <c r="K88" s="16" t="n"/>
      <c r="L88" t="b">
        <v>0</v>
      </c>
      <c r="M88" s="36" t="n">
        <v>91.40000000000001</v>
      </c>
      <c r="N88" s="51" t="n">
        <v>1</v>
      </c>
      <c r="O88" s="251" t="n">
        <v>109.68</v>
      </c>
      <c r="P88" s="251">
        <f>Q88&amp;"%"</f>
        <v/>
      </c>
      <c r="Q88" s="27" t="n">
        <v>20</v>
      </c>
      <c r="R88" s="237" t="n">
        <v>18.28</v>
      </c>
      <c r="S88" s="237" t="n">
        <v>18.28</v>
      </c>
      <c r="T88" s="208" t="n">
        <v>91.40000000000001</v>
      </c>
      <c r="U88" s="251" t="n">
        <v>109.68</v>
      </c>
      <c r="V88" s="35" t="n">
        <v>43511</v>
      </c>
      <c r="W88" s="35" t="n"/>
      <c r="X88" s="27" t="n"/>
      <c r="Y88" s="210" t="n">
        <v>91.40000000000001</v>
      </c>
      <c r="Z88" s="237" t="n">
        <v>0</v>
      </c>
      <c r="AA88" t="b">
        <v>0</v>
      </c>
    </row>
    <row r="89">
      <c r="B89" s="53" t="n">
        <v>2018</v>
      </c>
      <c r="C89" s="53" t="n">
        <v>88</v>
      </c>
      <c r="D89" s="53">
        <f>B89&amp;"-"&amp;C89</f>
        <v/>
      </c>
      <c r="E89" s="9" t="inlineStr">
        <is>
          <t>E2EC180919000006</t>
        </is>
      </c>
      <c r="F89" s="1" t="n">
        <v>43398</v>
      </c>
      <c r="G89" s="1" t="inlineStr">
        <is>
          <t>PREMIUM Laudongasse 58 GmbH &amp; Co KG: Dauerrechnung 2018-D</t>
        </is>
      </c>
      <c r="H89" s="16" t="n"/>
      <c r="I89" s="16" t="inlineStr">
        <is>
          <t>Ausgaben</t>
        </is>
      </c>
      <c r="J89" s="16" t="inlineStr">
        <is>
          <t>Miet- und Pachtaufwand, Leasing</t>
        </is>
      </c>
      <c r="K89" s="16" t="inlineStr"/>
      <c r="L89" t="b">
        <v>0</v>
      </c>
      <c r="M89" s="36" t="n">
        <v>763.4400000000001</v>
      </c>
      <c r="N89" s="51" t="n">
        <v>0.2732037841984147</v>
      </c>
      <c r="O89" s="251" t="n">
        <v>229.4321667092815</v>
      </c>
      <c r="P89" s="251">
        <f>Q89&amp;"%"</f>
        <v/>
      </c>
      <c r="Q89" s="27" t="n">
        <v>10</v>
      </c>
      <c r="R89" s="237" t="n">
        <v>76.34400000000001</v>
      </c>
      <c r="S89" s="237" t="n">
        <v>20.85746970084378</v>
      </c>
      <c r="T89" s="208" t="n">
        <v>208.5746970084378</v>
      </c>
      <c r="U89" s="251" t="n">
        <v>839.7840000000001</v>
      </c>
      <c r="V89" s="35" t="n">
        <v>43511</v>
      </c>
      <c r="W89" s="35" t="n"/>
      <c r="X89" s="27" t="n"/>
      <c r="Y89" s="210" t="n">
        <v>208.5746970084378</v>
      </c>
      <c r="Z89" s="237" t="n">
        <v>0</v>
      </c>
      <c r="AA89" t="b">
        <v>0</v>
      </c>
    </row>
    <row r="90">
      <c r="B90" s="53" t="n">
        <v>2018</v>
      </c>
      <c r="C90" s="53" t="n">
        <v>89</v>
      </c>
      <c r="D90" s="53">
        <f>B90&amp;"-"&amp;C90</f>
        <v/>
      </c>
      <c r="E90" s="9" t="inlineStr">
        <is>
          <t>IVIP28712590</t>
        </is>
      </c>
      <c r="F90" s="1" t="n">
        <v>43403</v>
      </c>
      <c r="G90" s="1" t="inlineStr">
        <is>
          <t>Envato Pty LTd, PO Box 16122, Collins St. West, Victoria   8007, Australia, EU VAT ID EU826409867</t>
        </is>
      </c>
      <c r="H90" s="16" t="n"/>
      <c r="I90" s="16" t="inlineStr">
        <is>
          <t>Ausgaben</t>
        </is>
      </c>
      <c r="J90" s="16" t="inlineStr">
        <is>
          <t>Werbe- und Repräsentationsaufwand</t>
        </is>
      </c>
      <c r="K90" s="16" t="n"/>
      <c r="L90" t="b">
        <v>0</v>
      </c>
      <c r="M90" s="36" t="n">
        <v>12.56</v>
      </c>
      <c r="N90" s="51" t="n">
        <v>1</v>
      </c>
      <c r="O90" s="251" t="n">
        <v>12.56</v>
      </c>
      <c r="P90" s="251">
        <f>Q90&amp;"%"</f>
        <v/>
      </c>
      <c r="Q90" s="27" t="n">
        <v>0</v>
      </c>
      <c r="R90" s="237" t="n">
        <v>0</v>
      </c>
      <c r="S90" s="237" t="n">
        <v>0</v>
      </c>
      <c r="T90" s="208" t="n">
        <v>12.56</v>
      </c>
      <c r="U90" s="251" t="n">
        <v>12.56</v>
      </c>
      <c r="V90" s="35" t="n">
        <v>43511</v>
      </c>
      <c r="W90" s="35" t="n"/>
      <c r="X90" s="27" t="n">
        <v>20</v>
      </c>
      <c r="Y90" s="210" t="n">
        <v>12.56</v>
      </c>
      <c r="Z90" s="237" t="n">
        <v>2.512</v>
      </c>
      <c r="AA90" t="b">
        <v>0</v>
      </c>
    </row>
    <row r="91">
      <c r="B91" s="53" t="n">
        <v>2018</v>
      </c>
      <c r="C91" s="53" t="n">
        <v>90</v>
      </c>
      <c r="D91" s="53">
        <f>B91&amp;"-"&amp;C91</f>
        <v/>
      </c>
      <c r="E91" s="9" t="inlineStr">
        <is>
          <t>6166179078</t>
        </is>
      </c>
      <c r="F91" s="1" t="n">
        <v>43406</v>
      </c>
      <c r="G91" t="inlineStr">
        <is>
          <t>Hutchison Drei Austria GmbH, Brünner Straße 52, 1210 Wien, Österreich</t>
        </is>
      </c>
      <c r="H91" s="16" t="n"/>
      <c r="I91" s="16" t="inlineStr">
        <is>
          <t>Ausgaben</t>
        </is>
      </c>
      <c r="J91" s="16" t="inlineStr">
        <is>
          <t>Telefon/Internet</t>
        </is>
      </c>
      <c r="K91" s="16" t="n"/>
      <c r="L91" t="b">
        <v>0</v>
      </c>
      <c r="M91" s="36" t="n">
        <v>17.32</v>
      </c>
      <c r="N91" s="51" t="n">
        <v>1</v>
      </c>
      <c r="O91" s="251" t="n">
        <v>20.784</v>
      </c>
      <c r="P91" s="251">
        <f>Q91&amp;"%"</f>
        <v/>
      </c>
      <c r="Q91" s="27" t="n">
        <v>20</v>
      </c>
      <c r="R91" s="237" t="n">
        <v>3.464</v>
      </c>
      <c r="S91" s="237" t="n">
        <v>3.464</v>
      </c>
      <c r="T91" s="208" t="n">
        <v>17.32</v>
      </c>
      <c r="U91" s="251" t="n">
        <v>20.784</v>
      </c>
      <c r="V91" s="35" t="n">
        <v>43511</v>
      </c>
      <c r="W91" s="35" t="n"/>
      <c r="X91" s="27" t="n"/>
      <c r="Y91" s="210" t="n">
        <v>17.32</v>
      </c>
      <c r="Z91" s="237" t="n">
        <v>0</v>
      </c>
      <c r="AA91" t="b">
        <v>0</v>
      </c>
    </row>
    <row r="92">
      <c r="B92" s="53" t="n">
        <v>2018</v>
      </c>
      <c r="C92" s="53" t="n">
        <v>91</v>
      </c>
      <c r="D92" s="53">
        <f>B92&amp;"-"&amp;C92</f>
        <v/>
      </c>
      <c r="E92" s="9" t="inlineStr">
        <is>
          <t>IEE2018004924624</t>
        </is>
      </c>
      <c r="F92" s="1" t="n">
        <v>43406</v>
      </c>
      <c r="G92" s="1" t="inlineStr">
        <is>
          <t>Adobe Systems Software Ireland Ltd., 2-6 Riverwalk, Citywest Business Park, Dublin 24, Ireland</t>
        </is>
      </c>
      <c r="H92" s="16" t="n"/>
      <c r="I92" s="16" t="inlineStr">
        <is>
          <t>Ausgaben</t>
        </is>
      </c>
      <c r="J92" s="16" t="inlineStr">
        <is>
          <t>Werbe- und Repräsentationsaufwand</t>
        </is>
      </c>
      <c r="K92" s="16" t="n"/>
      <c r="L92" t="b">
        <v>0</v>
      </c>
      <c r="M92" s="36" t="n">
        <v>29.99</v>
      </c>
      <c r="N92" s="51" t="n">
        <v>1</v>
      </c>
      <c r="O92" s="251" t="n">
        <v>29.99</v>
      </c>
      <c r="P92" s="251">
        <f>Q92&amp;"%"</f>
        <v/>
      </c>
      <c r="Q92" s="27" t="n">
        <v>0</v>
      </c>
      <c r="R92" s="237" t="n">
        <v>0</v>
      </c>
      <c r="S92" s="237" t="n">
        <v>0</v>
      </c>
      <c r="T92" s="208" t="n">
        <v>29.99</v>
      </c>
      <c r="U92" s="251" t="n">
        <v>29.99</v>
      </c>
      <c r="V92" s="35" t="n">
        <v>43511</v>
      </c>
      <c r="W92" s="27" t="n"/>
      <c r="X92" s="27" t="n">
        <v>20</v>
      </c>
      <c r="Y92" s="210" t="n">
        <v>29.99</v>
      </c>
      <c r="Z92" s="237" t="n">
        <v>5.998</v>
      </c>
      <c r="AA92" t="b">
        <v>0</v>
      </c>
    </row>
    <row r="93">
      <c r="B93" s="53" t="n">
        <v>2018</v>
      </c>
      <c r="C93" s="53" t="n">
        <v>92</v>
      </c>
      <c r="D93" s="53">
        <f>B93&amp;"-"&amp;C93</f>
        <v/>
      </c>
      <c r="E93" s="9" t="inlineStr">
        <is>
          <t>171913896-00</t>
        </is>
      </c>
      <c r="F93" s="1" t="n">
        <v>43409</v>
      </c>
      <c r="G93" t="inlineStr">
        <is>
          <t>UPC Laudongasse</t>
        </is>
      </c>
      <c r="H93" s="16" t="n"/>
      <c r="I93" s="16" t="inlineStr">
        <is>
          <t>Ausgaben</t>
        </is>
      </c>
      <c r="J93" s="16" t="inlineStr">
        <is>
          <t>Telefon/Internet</t>
        </is>
      </c>
      <c r="K93" s="16" t="n"/>
      <c r="L93" t="b">
        <v>0</v>
      </c>
      <c r="M93" s="36" t="n">
        <v>48.32</v>
      </c>
      <c r="N93" s="51" t="n">
        <v>0.3981788079470199</v>
      </c>
      <c r="O93" s="251" t="n">
        <v>22.313940397351</v>
      </c>
      <c r="P93" s="251">
        <f>Q93&amp;"%"</f>
        <v/>
      </c>
      <c r="Q93" s="27" t="inlineStr">
        <is>
          <t>gemischt</t>
        </is>
      </c>
      <c r="R93" s="237" t="n">
        <v>7.72</v>
      </c>
      <c r="S93" s="237" t="n">
        <v>3.073940397350993</v>
      </c>
      <c r="T93" s="208" t="n">
        <v>19.24</v>
      </c>
      <c r="U93" s="251" t="n">
        <v>56.04</v>
      </c>
      <c r="V93" s="35" t="n">
        <v>43511</v>
      </c>
      <c r="W93" s="35" t="n"/>
      <c r="X93" s="27" t="n"/>
      <c r="Y93" s="210" t="n">
        <v>19.24</v>
      </c>
      <c r="Z93" s="237" t="n">
        <v>0</v>
      </c>
      <c r="AA93" t="b">
        <v>0</v>
      </c>
    </row>
    <row r="94">
      <c r="B94" s="53" t="n">
        <v>2018</v>
      </c>
      <c r="C94" s="53" t="n">
        <v>93</v>
      </c>
      <c r="D94" s="53">
        <f>B94&amp;"-"&amp;C94</f>
        <v/>
      </c>
      <c r="E94" s="9" t="inlineStr">
        <is>
          <t>701930</t>
        </is>
      </c>
      <c r="F94" s="1" t="n">
        <v>43411</v>
      </c>
      <c r="G94" s="1" t="inlineStr">
        <is>
          <t>Lemon Technologies GmbH, Unterweißenbach 181, 8330 Feldbach: Seagate Skyhawk 8TB ST8000VX0022</t>
        </is>
      </c>
      <c r="H94" s="16" t="n"/>
      <c r="I94" s="16" t="inlineStr">
        <is>
          <t>Ausgaben</t>
        </is>
      </c>
      <c r="J94" s="16" t="inlineStr">
        <is>
          <t>Waren, Rohstoffe, Hilfsstoffe</t>
        </is>
      </c>
      <c r="K94" s="16" t="inlineStr">
        <is>
          <t>Weiterverkauf</t>
        </is>
      </c>
      <c r="L94" t="b">
        <v>0</v>
      </c>
      <c r="M94" s="36" t="n">
        <v>202.17</v>
      </c>
      <c r="N94" s="51" t="n">
        <v>1</v>
      </c>
      <c r="O94" s="251" t="n">
        <v>242.604</v>
      </c>
      <c r="P94" s="251">
        <f>Q94&amp;"%"</f>
        <v/>
      </c>
      <c r="Q94" s="27" t="n">
        <v>20</v>
      </c>
      <c r="R94" s="237" t="n">
        <v>40.434</v>
      </c>
      <c r="S94" s="237" t="n">
        <v>40.434</v>
      </c>
      <c r="T94" s="208" t="n">
        <v>202.17</v>
      </c>
      <c r="U94" s="251" t="n">
        <v>242.604</v>
      </c>
      <c r="V94" s="35" t="n">
        <v>43511</v>
      </c>
      <c r="W94" s="35" t="n"/>
      <c r="X94" s="27" t="n"/>
      <c r="Y94" s="210" t="n">
        <v>202.17</v>
      </c>
      <c r="Z94" s="237" t="n">
        <v>0</v>
      </c>
      <c r="AA94" t="b">
        <v>0</v>
      </c>
    </row>
    <row r="95">
      <c r="B95" s="53" t="n">
        <v>2018</v>
      </c>
      <c r="C95" s="53" t="n">
        <v>94</v>
      </c>
      <c r="D95" s="53">
        <f>B95&amp;"-"&amp;C95</f>
        <v/>
      </c>
      <c r="E95" s="9" t="inlineStr">
        <is>
          <t>13337582</t>
        </is>
      </c>
      <c r="F95" s="1" t="n">
        <v>43411</v>
      </c>
      <c r="G95" t="inlineStr">
        <is>
          <t>Primus office products HandelsgmbH &amp; Co KG, Margaretengürtel 44,1050 Wien: Tonershop, TOSM-CLP360MULTI.O</t>
        </is>
      </c>
      <c r="H95" s="16" t="n"/>
      <c r="I95" s="16" t="inlineStr">
        <is>
          <t>Ausgaben</t>
        </is>
      </c>
      <c r="J95" s="16" t="inlineStr">
        <is>
          <t>Waren, Rohstoffe, Hilfsstoffe</t>
        </is>
      </c>
      <c r="K95" s="16" t="inlineStr">
        <is>
          <t>Weiterverkauf</t>
        </is>
      </c>
      <c r="L95" t="b">
        <v>0</v>
      </c>
      <c r="M95" s="36" t="n">
        <v>126.08</v>
      </c>
      <c r="N95" s="51" t="n">
        <v>1</v>
      </c>
      <c r="O95" s="251" t="n">
        <v>151.296</v>
      </c>
      <c r="P95" s="251">
        <f>Q95&amp;"%"</f>
        <v/>
      </c>
      <c r="Q95" s="27" t="n">
        <v>20</v>
      </c>
      <c r="R95" s="237" t="n">
        <v>25.216</v>
      </c>
      <c r="S95" s="237" t="n">
        <v>25.216</v>
      </c>
      <c r="T95" s="208" t="n">
        <v>126.08</v>
      </c>
      <c r="U95" s="251" t="n">
        <v>151.296</v>
      </c>
      <c r="V95" s="35" t="n">
        <v>43511</v>
      </c>
      <c r="W95" s="35" t="n"/>
      <c r="X95" s="27" t="n"/>
      <c r="Y95" s="210" t="n">
        <v>126.08</v>
      </c>
      <c r="Z95" s="237" t="n">
        <v>0</v>
      </c>
      <c r="AA95" t="b">
        <v>0</v>
      </c>
    </row>
    <row r="96">
      <c r="B96" s="53" t="n">
        <v>2018</v>
      </c>
      <c r="C96" s="53" t="n">
        <v>95</v>
      </c>
      <c r="D96" s="53">
        <f>B96&amp;"-"&amp;C96</f>
        <v/>
      </c>
      <c r="E96" s="9" t="inlineStr">
        <is>
          <t>AT1756279</t>
        </is>
      </c>
      <c r="F96" s="1" t="n">
        <v>43413</v>
      </c>
      <c r="G96" s="1" t="inlineStr">
        <is>
          <t>Flyeralarm  online Druck GmbH, Brown-Boveri-Str. 8, 2351 Wr. Neudorf</t>
        </is>
      </c>
      <c r="H96" s="16" t="n"/>
      <c r="I96" s="16" t="inlineStr">
        <is>
          <t>Ausgaben</t>
        </is>
      </c>
      <c r="J96" s="16" t="inlineStr">
        <is>
          <t>Werbe- und Repräsentationsaufwand</t>
        </is>
      </c>
      <c r="K96" s="16" t="n"/>
      <c r="L96" t="b">
        <v>0</v>
      </c>
      <c r="M96" s="36" t="n">
        <v>31.01</v>
      </c>
      <c r="N96" s="51" t="n">
        <v>1</v>
      </c>
      <c r="O96" s="251" t="n">
        <v>37.212</v>
      </c>
      <c r="P96" s="251">
        <f>Q96&amp;"%"</f>
        <v/>
      </c>
      <c r="Q96" s="27" t="n">
        <v>20</v>
      </c>
      <c r="R96" s="237" t="n">
        <v>6.202000000000001</v>
      </c>
      <c r="S96" s="237" t="n">
        <v>6.202000000000001</v>
      </c>
      <c r="T96" s="208" t="n">
        <v>31.01</v>
      </c>
      <c r="U96" s="251" t="n">
        <v>37.212</v>
      </c>
      <c r="V96" s="35" t="n">
        <v>43511</v>
      </c>
      <c r="W96" s="35" t="n"/>
      <c r="X96" s="27" t="n"/>
      <c r="Y96" s="210" t="n">
        <v>31.01</v>
      </c>
      <c r="Z96" s="237" t="n">
        <v>0</v>
      </c>
      <c r="AA96" t="b">
        <v>0</v>
      </c>
    </row>
    <row r="97">
      <c r="B97" s="53" t="n">
        <v>2018</v>
      </c>
      <c r="C97" s="53" t="n">
        <v>96</v>
      </c>
      <c r="D97" s="53">
        <f>B97&amp;"-"&amp;C97</f>
        <v/>
      </c>
      <c r="E97" s="9" t="inlineStr">
        <is>
          <t>FDC6360477</t>
        </is>
      </c>
      <c r="F97" s="1" t="n">
        <v>43416</v>
      </c>
      <c r="G97" t="inlineStr">
        <is>
          <t>fonts.com Monotype, 600 Unicorn Park Drive, Woburn, MA 01801 USA, VAT ID EU826009166</t>
        </is>
      </c>
      <c r="H97" s="16" t="n"/>
      <c r="I97" s="16" t="inlineStr">
        <is>
          <t>Ausgaben</t>
        </is>
      </c>
      <c r="J97" s="16" t="inlineStr">
        <is>
          <t>Werbe- und Repräsentationsaufwand</t>
        </is>
      </c>
      <c r="K97" s="16" t="n"/>
      <c r="L97" t="b">
        <v>0</v>
      </c>
      <c r="M97" s="36" t="n">
        <v>35</v>
      </c>
      <c r="N97" s="51" t="n">
        <v>1</v>
      </c>
      <c r="O97" s="251" t="n">
        <v>35</v>
      </c>
      <c r="P97" s="251">
        <f>Q97&amp;"%"</f>
        <v/>
      </c>
      <c r="Q97" s="27" t="n">
        <v>0</v>
      </c>
      <c r="R97" s="237" t="n">
        <v>0</v>
      </c>
      <c r="S97" s="237" t="n">
        <v>0</v>
      </c>
      <c r="T97" s="208" t="n">
        <v>35</v>
      </c>
      <c r="U97" s="251" t="n">
        <v>35</v>
      </c>
      <c r="V97" s="35" t="n">
        <v>43511</v>
      </c>
      <c r="W97" s="27" t="n"/>
      <c r="X97" s="27" t="n">
        <v>20</v>
      </c>
      <c r="Y97" s="210" t="n">
        <v>35</v>
      </c>
      <c r="Z97" s="237" t="n">
        <v>7</v>
      </c>
      <c r="AA97" t="b">
        <v>0</v>
      </c>
    </row>
    <row r="98">
      <c r="B98" s="53" t="n">
        <v>2018</v>
      </c>
      <c r="C98" s="53" t="n">
        <v>97</v>
      </c>
      <c r="D98" s="53">
        <f>B98&amp;"-"&amp;C98</f>
        <v/>
      </c>
      <c r="E98" s="9" t="inlineStr">
        <is>
          <t>FDC6360492</t>
        </is>
      </c>
      <c r="F98" s="1" t="n">
        <v>43416</v>
      </c>
      <c r="G98" t="inlineStr">
        <is>
          <t>fonts.com Monotype, 600 Unicorn Park Drive, Woburn, MA 01801 USA, VAT ID EU826009166</t>
        </is>
      </c>
      <c r="H98" s="16" t="n"/>
      <c r="I98" s="16" t="inlineStr">
        <is>
          <t>Ausgaben</t>
        </is>
      </c>
      <c r="J98" s="16" t="inlineStr">
        <is>
          <t>Werbe- und Repräsentationsaufwand</t>
        </is>
      </c>
      <c r="K98" s="16" t="n"/>
      <c r="L98" t="b">
        <v>0</v>
      </c>
      <c r="M98" s="36" t="n">
        <v>35</v>
      </c>
      <c r="N98" s="51" t="n">
        <v>1</v>
      </c>
      <c r="O98" s="251" t="n">
        <v>35</v>
      </c>
      <c r="P98" s="251">
        <f>Q98&amp;"%"</f>
        <v/>
      </c>
      <c r="Q98" s="27" t="n">
        <v>0</v>
      </c>
      <c r="R98" s="237" t="n">
        <v>0</v>
      </c>
      <c r="S98" s="237" t="n">
        <v>0</v>
      </c>
      <c r="T98" s="208" t="n">
        <v>35</v>
      </c>
      <c r="U98" s="251" t="n">
        <v>35</v>
      </c>
      <c r="V98" s="35" t="n">
        <v>43511</v>
      </c>
      <c r="W98" s="27" t="n"/>
      <c r="X98" s="27" t="n">
        <v>20</v>
      </c>
      <c r="Y98" s="210" t="n">
        <v>35</v>
      </c>
      <c r="Z98" s="237" t="n">
        <v>7</v>
      </c>
      <c r="AA98" t="b">
        <v>0</v>
      </c>
    </row>
    <row r="99">
      <c r="B99" s="53" t="n">
        <v>2018</v>
      </c>
      <c r="C99" s="53" t="n">
        <v>98</v>
      </c>
      <c r="D99" s="53">
        <f>B99&amp;"-"&amp;C99</f>
        <v/>
      </c>
      <c r="E99" s="9" t="inlineStr">
        <is>
          <t>14003807434/40/2018</t>
        </is>
      </c>
      <c r="F99" s="1" t="n">
        <v>43419</v>
      </c>
      <c r="G99" s="1" t="inlineStr">
        <is>
          <t>MONTANA Energie-Handel AT GmbH: Teilzahlungsbetrag Gas + Jahresabrechnung (94-66,83=27,17 inkl. 20% USt.)</t>
        </is>
      </c>
      <c r="H99" s="16" t="n"/>
      <c r="I99" s="16" t="inlineStr">
        <is>
          <t>Ausgaben</t>
        </is>
      </c>
      <c r="J99" s="16" t="inlineStr">
        <is>
          <t>sonstige Betriebsausgaben</t>
        </is>
      </c>
      <c r="K99" s="16" t="n"/>
      <c r="L99" t="b">
        <v>0</v>
      </c>
      <c r="M99" s="36" t="n">
        <v>22.64</v>
      </c>
      <c r="N99" s="51" t="n">
        <v>0.2732037841984147</v>
      </c>
      <c r="O99" s="251" t="n">
        <v>7.422400409102532</v>
      </c>
      <c r="P99" s="251">
        <f>Q99&amp;"%"</f>
        <v/>
      </c>
      <c r="Q99" s="27" t="n">
        <v>20</v>
      </c>
      <c r="R99" s="237" t="n">
        <v>4.528</v>
      </c>
      <c r="S99" s="237" t="n">
        <v>1.237066734850422</v>
      </c>
      <c r="T99" s="208" t="n">
        <v>6.18533367425211</v>
      </c>
      <c r="U99" s="251" t="n">
        <v>27.168</v>
      </c>
      <c r="V99" s="35" t="n">
        <v>43511</v>
      </c>
      <c r="W99" s="27" t="n"/>
      <c r="X99" s="27" t="n"/>
      <c r="Y99" s="210" t="n">
        <v>6.18533367425211</v>
      </c>
      <c r="Z99" s="237" t="n">
        <v>0</v>
      </c>
      <c r="AA99" t="b">
        <v>0</v>
      </c>
    </row>
    <row r="100">
      <c r="B100" s="53" t="n">
        <v>2018</v>
      </c>
      <c r="C100" s="53" t="n">
        <v>99</v>
      </c>
      <c r="D100" s="53">
        <f>B100&amp;"-"&amp;C100</f>
        <v/>
      </c>
      <c r="E100" s="9" t="inlineStr">
        <is>
          <t>2/81/82354875~13113 0</t>
        </is>
      </c>
      <c r="F100" s="1" t="n">
        <v>43420</v>
      </c>
      <c r="G100" s="1" t="inlineStr">
        <is>
          <t>AON Austria GmbH: UBIT Berufshaftpflicht-/Rechtschutzversicherung</t>
        </is>
      </c>
      <c r="H100" s="16" t="n"/>
      <c r="I100" s="16" t="inlineStr">
        <is>
          <t>Ausgaben</t>
        </is>
      </c>
      <c r="J100" s="16" t="inlineStr">
        <is>
          <t>sonstige Betriebsausgaben</t>
        </is>
      </c>
      <c r="K100" s="16" t="n"/>
      <c r="L100" t="b">
        <v>0</v>
      </c>
      <c r="M100" s="36" t="n">
        <v>117.8</v>
      </c>
      <c r="N100" s="51" t="n">
        <v>1</v>
      </c>
      <c r="O100" s="251" t="n">
        <v>117.8</v>
      </c>
      <c r="P100" s="251">
        <f>Q100&amp;"%"</f>
        <v/>
      </c>
      <c r="Q100" s="27" t="n">
        <v>0</v>
      </c>
      <c r="R100" s="237" t="n">
        <v>0</v>
      </c>
      <c r="S100" s="237" t="n">
        <v>0</v>
      </c>
      <c r="T100" s="208" t="n">
        <v>117.8</v>
      </c>
      <c r="U100" s="251" t="n">
        <v>117.8</v>
      </c>
      <c r="V100" s="35" t="n">
        <v>43511</v>
      </c>
      <c r="W100" s="27" t="n"/>
      <c r="X100" s="27" t="n"/>
      <c r="Y100" s="210" t="n">
        <v>117.8</v>
      </c>
      <c r="Z100" s="237" t="n">
        <v>0</v>
      </c>
      <c r="AA100" t="b">
        <v>0</v>
      </c>
    </row>
    <row r="101">
      <c r="B101" s="53" t="n">
        <v>2018</v>
      </c>
      <c r="C101" s="53" t="n">
        <v>100</v>
      </c>
      <c r="D101" s="53">
        <f>B101&amp;"-"&amp;C101</f>
        <v/>
      </c>
      <c r="E101" s="9" t="inlineStr">
        <is>
          <t>3647872/0</t>
        </is>
      </c>
      <c r="F101" s="1" t="n">
        <v>43425</v>
      </c>
      <c r="G101" s="1" t="inlineStr">
        <is>
          <t>Niederösterreichische Versicherung AG, Neue Herrengasse 10, 3100 St. Pölten; Polizze 3647872/0</t>
        </is>
      </c>
      <c r="H101" s="16" t="n"/>
      <c r="I101" s="16" t="inlineStr">
        <is>
          <t>Ausgaben</t>
        </is>
      </c>
      <c r="J101" s="16" t="inlineStr">
        <is>
          <t>sonstige Betriebsausgaben</t>
        </is>
      </c>
      <c r="K101" s="16" t="n"/>
      <c r="L101" t="b">
        <v>0</v>
      </c>
      <c r="M101" s="36" t="n">
        <v>81.75</v>
      </c>
      <c r="N101" s="51" t="n">
        <v>0.2732037841984147</v>
      </c>
      <c r="O101" s="251" t="n">
        <v>22.33440935822041</v>
      </c>
      <c r="P101" s="251">
        <f>Q101&amp;"%"</f>
        <v/>
      </c>
      <c r="Q101" s="27" t="n">
        <v>0</v>
      </c>
      <c r="R101" s="237" t="n">
        <v>0</v>
      </c>
      <c r="S101" s="237" t="n">
        <v>0</v>
      </c>
      <c r="T101" s="208" t="n">
        <v>22.33440935822041</v>
      </c>
      <c r="U101" s="251" t="n">
        <v>81.75</v>
      </c>
      <c r="V101" s="35" t="n">
        <v>43511</v>
      </c>
      <c r="W101" s="27" t="n"/>
      <c r="X101" s="27" t="n"/>
      <c r="Y101" s="210" t="n">
        <v>22.33440935822041</v>
      </c>
      <c r="Z101" s="237" t="n">
        <v>0</v>
      </c>
      <c r="AA101" t="b">
        <v>0</v>
      </c>
    </row>
    <row r="102">
      <c r="B102" s="53" t="n">
        <v>2018</v>
      </c>
      <c r="C102" s="53" t="n">
        <v>101</v>
      </c>
      <c r="D102" s="53">
        <f>B102&amp;"-"&amp;C102</f>
        <v/>
      </c>
      <c r="E102" s="9" t="inlineStr">
        <is>
          <t>704781</t>
        </is>
      </c>
      <c r="F102" s="1" t="n">
        <v>43426</v>
      </c>
      <c r="G102" s="1" t="inlineStr">
        <is>
          <t>Lemon Technologies GmbH, Unterweißenbach 181, 8330 Feldbach: HP Toner Samsung 4 Artikel</t>
        </is>
      </c>
      <c r="H102" s="16" t="n"/>
      <c r="I102" s="16" t="inlineStr">
        <is>
          <t>Ausgaben</t>
        </is>
      </c>
      <c r="J102" s="16" t="inlineStr">
        <is>
          <t>Waren, Rohstoffe, Hilfsstoffe</t>
        </is>
      </c>
      <c r="K102" s="16" t="inlineStr">
        <is>
          <t>Weiterverkauf</t>
        </is>
      </c>
      <c r="L102" t="b">
        <v>0</v>
      </c>
      <c r="M102" s="36" t="n">
        <v>243.78</v>
      </c>
      <c r="N102" s="51" t="n">
        <v>1</v>
      </c>
      <c r="O102" s="251" t="n">
        <v>292.536</v>
      </c>
      <c r="P102" s="251">
        <f>Q102&amp;"%"</f>
        <v/>
      </c>
      <c r="Q102" s="27" t="n">
        <v>20</v>
      </c>
      <c r="R102" s="237" t="n">
        <v>48.756</v>
      </c>
      <c r="S102" s="237" t="n">
        <v>48.756</v>
      </c>
      <c r="T102" s="208" t="n">
        <v>243.78</v>
      </c>
      <c r="U102" s="251" t="n">
        <v>292.536</v>
      </c>
      <c r="V102" s="35" t="n">
        <v>43511</v>
      </c>
      <c r="W102" s="27" t="n"/>
      <c r="X102" s="27" t="n"/>
      <c r="Y102" s="210" t="n">
        <v>243.78</v>
      </c>
      <c r="Z102" s="237" t="n">
        <v>0</v>
      </c>
      <c r="AA102" t="b">
        <v>0</v>
      </c>
    </row>
    <row r="103">
      <c r="B103" s="53" t="n">
        <v>2018</v>
      </c>
      <c r="C103" s="53" t="n">
        <v>102</v>
      </c>
      <c r="D103" s="53">
        <f>B103&amp;"-"&amp;C103</f>
        <v/>
      </c>
      <c r="E103" s="9" t="inlineStr">
        <is>
          <t>AEU-INV-AT-2018-27151801</t>
        </is>
      </c>
      <c r="F103" s="1" t="n">
        <v>43426</v>
      </c>
      <c r="G103" s="1" t="inlineStr">
        <is>
          <t>Amazon EU Sàrl, 5 Rue Plaetis, L-2338, Luxemburg: Gutschrift für Strong TV (Kauf Vorjahr, Reklamation)</t>
        </is>
      </c>
      <c r="H103" s="16" t="n"/>
      <c r="I103" s="16" t="inlineStr">
        <is>
          <t>Ausgaben</t>
        </is>
      </c>
      <c r="J103" s="16" t="inlineStr">
        <is>
          <t>Übrige Erträge</t>
        </is>
      </c>
      <c r="K103" s="16" t="n"/>
      <c r="L103" t="b">
        <v>0</v>
      </c>
      <c r="M103" s="36" t="n">
        <v>-238.45</v>
      </c>
      <c r="N103" s="51" t="n">
        <v>1</v>
      </c>
      <c r="O103" s="251" t="n">
        <v>-286.14</v>
      </c>
      <c r="P103" s="251">
        <f>Q103&amp;"%"</f>
        <v/>
      </c>
      <c r="Q103" s="27" t="n">
        <v>20</v>
      </c>
      <c r="R103" s="237" t="n">
        <v>-47.69</v>
      </c>
      <c r="S103" s="237" t="n">
        <v>-47.69</v>
      </c>
      <c r="T103" s="208" t="n">
        <v>-238.45</v>
      </c>
      <c r="U103" s="251" t="n">
        <v>-286.14</v>
      </c>
      <c r="V103" s="35" t="n">
        <v>43511</v>
      </c>
      <c r="W103" s="27" t="n"/>
      <c r="X103" s="27" t="n"/>
      <c r="Y103" s="210" t="n">
        <v>-238.45</v>
      </c>
      <c r="Z103" s="237" t="n">
        <v>0</v>
      </c>
      <c r="AA103" t="b">
        <v>0</v>
      </c>
    </row>
    <row r="104">
      <c r="B104" s="53" t="n">
        <v>2018</v>
      </c>
      <c r="C104" s="53" t="n">
        <v>103</v>
      </c>
      <c r="D104" s="53">
        <f>B104&amp;"-"&amp;C104</f>
        <v/>
      </c>
      <c r="E104" s="9" t="inlineStr">
        <is>
          <t>AEU-INV-AT-2018-27151801</t>
        </is>
      </c>
      <c r="F104" s="1" t="n">
        <v>43427</v>
      </c>
      <c r="G104" s="1" t="inlineStr">
        <is>
          <t>Amazon EU Sàrl, 5 Rue Plaetis, L-2338, Luxemburg: Strong SRT 40FZ4003N</t>
        </is>
      </c>
      <c r="H104" s="16" t="n"/>
      <c r="I104" s="16" t="inlineStr">
        <is>
          <t>Ausgaben</t>
        </is>
      </c>
      <c r="J104" s="16" t="inlineStr">
        <is>
          <t>Waren, Rohstoffe, Hilfsstoffe</t>
        </is>
      </c>
      <c r="K104" s="16" t="inlineStr">
        <is>
          <t>Weiterverkauf</t>
        </is>
      </c>
      <c r="L104" t="b">
        <v>0</v>
      </c>
      <c r="M104" s="36" t="n">
        <v>188.19</v>
      </c>
      <c r="N104" s="51" t="n">
        <v>1</v>
      </c>
      <c r="O104" s="251" t="n">
        <v>225.828</v>
      </c>
      <c r="P104" s="251">
        <f>Q104&amp;"%"</f>
        <v/>
      </c>
      <c r="Q104" s="27" t="n">
        <v>20</v>
      </c>
      <c r="R104" s="237" t="n">
        <v>37.63800000000001</v>
      </c>
      <c r="S104" s="237" t="n">
        <v>37.63800000000001</v>
      </c>
      <c r="T104" s="208" t="n">
        <v>188.19</v>
      </c>
      <c r="U104" s="251" t="n">
        <v>225.828</v>
      </c>
      <c r="V104" s="35" t="n">
        <v>43511</v>
      </c>
      <c r="W104" s="27" t="n"/>
      <c r="X104" s="27" t="n"/>
      <c r="Y104" s="210" t="n">
        <v>188.19</v>
      </c>
      <c r="Z104" s="237" t="n">
        <v>0</v>
      </c>
      <c r="AA104" t="b">
        <v>0</v>
      </c>
    </row>
    <row r="105">
      <c r="B105" s="53" t="n">
        <v>2018</v>
      </c>
      <c r="C105" s="53" t="n">
        <v>104</v>
      </c>
      <c r="D105" s="53">
        <f>B105&amp;"-"&amp;C105</f>
        <v/>
      </c>
      <c r="E105" s="9" t="inlineStr">
        <is>
          <t>2018/8058/18</t>
        </is>
      </c>
      <c r="F105" s="1" t="n">
        <v>43430</v>
      </c>
      <c r="G105" s="1" t="inlineStr">
        <is>
          <t>PREMIUM Laudongasse 58 GmbH &amp; Co KG: Dauerrechnung 2018-D</t>
        </is>
      </c>
      <c r="H105" s="16" t="n"/>
      <c r="I105" s="16" t="inlineStr">
        <is>
          <t>Ausgaben</t>
        </is>
      </c>
      <c r="J105" s="16" t="inlineStr">
        <is>
          <t>Miet- und Pachtaufwand, Leasing</t>
        </is>
      </c>
      <c r="K105" s="16" t="n"/>
      <c r="L105" t="b">
        <v>0</v>
      </c>
      <c r="M105" s="36" t="n">
        <v>763.4400000000001</v>
      </c>
      <c r="N105" s="51" t="n">
        <v>0.2732037841984147</v>
      </c>
      <c r="O105" s="251" t="n">
        <v>229.4321667092815</v>
      </c>
      <c r="P105" s="251">
        <f>Q105&amp;"%"</f>
        <v/>
      </c>
      <c r="Q105" s="27" t="n">
        <v>10</v>
      </c>
      <c r="R105" s="237" t="n">
        <v>76.34400000000001</v>
      </c>
      <c r="S105" s="237" t="n">
        <v>20.85746970084378</v>
      </c>
      <c r="T105" s="208" t="n">
        <v>208.5746970084378</v>
      </c>
      <c r="U105" s="251" t="n">
        <v>839.7840000000001</v>
      </c>
      <c r="V105" s="35" t="n">
        <v>43511</v>
      </c>
      <c r="W105" s="27" t="n"/>
      <c r="X105" s="27" t="n"/>
      <c r="Y105" s="210" t="n">
        <v>208.5746970084378</v>
      </c>
      <c r="Z105" s="237" t="n">
        <v>0</v>
      </c>
      <c r="AA105" t="b">
        <v>0</v>
      </c>
    </row>
    <row r="106">
      <c r="B106" s="53" t="n">
        <v>2018</v>
      </c>
      <c r="C106" s="53" t="n">
        <v>105</v>
      </c>
      <c r="D106" s="53">
        <f>B106&amp;"-"&amp;C106</f>
        <v/>
      </c>
      <c r="E106" s="9" t="inlineStr">
        <is>
          <t>2017/75</t>
        </is>
      </c>
      <c r="F106" s="1" t="n">
        <v>43430</v>
      </c>
      <c r="G106" s="1" t="inlineStr">
        <is>
          <t>Blaha Wilhelm Steuerberater, 1080 Wien, Roter Hof 1a</t>
        </is>
      </c>
      <c r="H106" s="16" t="n"/>
      <c r="I106" s="16" t="inlineStr">
        <is>
          <t>Ausgaben</t>
        </is>
      </c>
      <c r="J106" s="16" t="inlineStr">
        <is>
          <t>sonstige Betriebsausgaben</t>
        </is>
      </c>
      <c r="K106" s="16" t="n"/>
      <c r="L106" t="b">
        <v>0</v>
      </c>
      <c r="M106" s="36" t="n">
        <v>855</v>
      </c>
      <c r="N106" s="51" t="n">
        <v>1</v>
      </c>
      <c r="O106" s="251" t="n">
        <v>1026</v>
      </c>
      <c r="P106" s="251">
        <f>Q106&amp;"%"</f>
        <v/>
      </c>
      <c r="Q106" s="27" t="n">
        <v>20</v>
      </c>
      <c r="R106" s="237" t="n">
        <v>171</v>
      </c>
      <c r="S106" s="237" t="n">
        <v>171</v>
      </c>
      <c r="T106" s="208" t="n">
        <v>855</v>
      </c>
      <c r="U106" s="251" t="n">
        <v>1026</v>
      </c>
      <c r="V106" s="35" t="n">
        <v>43511</v>
      </c>
      <c r="W106" s="27" t="n"/>
      <c r="X106" s="27" t="n"/>
      <c r="Y106" s="210" t="n">
        <v>855</v>
      </c>
      <c r="Z106" s="237" t="n">
        <v>0</v>
      </c>
      <c r="AA106" t="b">
        <v>0</v>
      </c>
    </row>
    <row r="107">
      <c r="B107" s="53" t="n">
        <v>2018</v>
      </c>
      <c r="C107" s="53" t="n">
        <v>106</v>
      </c>
      <c r="D107" s="53">
        <f>B107&amp;"-"&amp;C107</f>
        <v/>
      </c>
      <c r="E107" s="9" t="inlineStr">
        <is>
          <t>10800281166026</t>
        </is>
      </c>
      <c r="F107" s="1" t="n">
        <v>43431</v>
      </c>
      <c r="G107" s="1" t="inlineStr">
        <is>
          <t>Österreichische Post AG Paket (Küche &amp; Co.)</t>
        </is>
      </c>
      <c r="H107" s="16" t="n"/>
      <c r="I107" s="16" t="inlineStr">
        <is>
          <t>Ausgaben</t>
        </is>
      </c>
      <c r="J107" s="16" t="inlineStr">
        <is>
          <t>Porto/Gebühren</t>
        </is>
      </c>
      <c r="K107" s="16" t="n"/>
      <c r="L107" t="b">
        <v>0</v>
      </c>
      <c r="M107" s="36" t="n">
        <v>11.5</v>
      </c>
      <c r="N107" s="51" t="n">
        <v>1</v>
      </c>
      <c r="O107" s="251" t="n">
        <v>11.5</v>
      </c>
      <c r="P107" s="251">
        <f>Q107&amp;"%"</f>
        <v/>
      </c>
      <c r="Q107" s="27" t="n">
        <v>0</v>
      </c>
      <c r="R107" s="237" t="n">
        <v>0</v>
      </c>
      <c r="S107" s="237" t="n">
        <v>0</v>
      </c>
      <c r="T107" s="208" t="n">
        <v>11.5</v>
      </c>
      <c r="U107" s="251" t="n">
        <v>11.5</v>
      </c>
      <c r="V107" s="35" t="n">
        <v>43511</v>
      </c>
      <c r="W107" s="27" t="n"/>
      <c r="X107" s="27" t="n"/>
      <c r="Y107" s="210" t="n">
        <v>11.5</v>
      </c>
      <c r="Z107" s="237" t="n">
        <v>0</v>
      </c>
      <c r="AA107" t="b">
        <v>0</v>
      </c>
    </row>
    <row r="108">
      <c r="B108" s="53" t="n">
        <v>2018</v>
      </c>
      <c r="C108" s="53" t="n">
        <v>107</v>
      </c>
      <c r="D108" s="53">
        <f>B108&amp;"-"&amp;C108</f>
        <v/>
      </c>
      <c r="E108" s="9" t="inlineStr">
        <is>
          <t>PRM318110005752</t>
        </is>
      </c>
      <c r="F108" s="1" t="n">
        <v>43433</v>
      </c>
      <c r="G108" s="1" t="inlineStr">
        <is>
          <t>XING AG, D-20354 Hamburg, Dammtorstrasse 30: Xing Premium 3 Monate</t>
        </is>
      </c>
      <c r="H108" s="16" t="n"/>
      <c r="I108" s="16" t="inlineStr">
        <is>
          <t>Ausgaben</t>
        </is>
      </c>
      <c r="J108" s="16" t="inlineStr">
        <is>
          <t>Werbe- und Repräsentationsaufwand</t>
        </is>
      </c>
      <c r="K108" s="16" t="n"/>
      <c r="L108" t="b">
        <v>0</v>
      </c>
      <c r="M108" s="36" t="n">
        <v>24.88</v>
      </c>
      <c r="N108" s="51" t="n">
        <v>1</v>
      </c>
      <c r="O108" s="251" t="n">
        <v>24.88</v>
      </c>
      <c r="P108" s="251">
        <f>Q108&amp;"%"</f>
        <v/>
      </c>
      <c r="Q108" s="27" t="n">
        <v>0</v>
      </c>
      <c r="R108" s="237" t="n">
        <v>0</v>
      </c>
      <c r="S108" s="237" t="n">
        <v>0</v>
      </c>
      <c r="T108" s="208" t="n">
        <v>24.88</v>
      </c>
      <c r="U108" s="251" t="n">
        <v>24.88</v>
      </c>
      <c r="V108" s="35" t="n">
        <v>43511</v>
      </c>
      <c r="W108" s="27" t="n"/>
      <c r="X108" s="27" t="n">
        <v>20</v>
      </c>
      <c r="Y108" s="210" t="n">
        <v>24.88</v>
      </c>
      <c r="Z108" s="237" t="n">
        <v>4.976</v>
      </c>
      <c r="AA108" t="b">
        <v>0</v>
      </c>
    </row>
    <row r="109">
      <c r="B109" s="53" t="n">
        <v>2018</v>
      </c>
      <c r="C109" s="53" t="n">
        <v>108</v>
      </c>
      <c r="D109" s="53">
        <f>B109&amp;"-"&amp;C109</f>
        <v/>
      </c>
      <c r="E109" s="9" t="inlineStr">
        <is>
          <t>172374600-00</t>
        </is>
      </c>
      <c r="F109" s="1" t="n">
        <v>43437</v>
      </c>
      <c r="G109" t="inlineStr">
        <is>
          <t>UPC Laudongasse</t>
        </is>
      </c>
      <c r="H109" s="16" t="n"/>
      <c r="I109" s="16" t="inlineStr">
        <is>
          <t>Ausgaben</t>
        </is>
      </c>
      <c r="J109" s="16" t="inlineStr">
        <is>
          <t>Telefon/Internet</t>
        </is>
      </c>
      <c r="K109" s="16" t="n"/>
      <c r="L109" t="b">
        <v>0</v>
      </c>
      <c r="M109" s="36" t="n">
        <v>48.32</v>
      </c>
      <c r="N109" s="51" t="n">
        <v>0.3981788079470199</v>
      </c>
      <c r="O109" s="251" t="n">
        <v>22.313940397351</v>
      </c>
      <c r="P109" s="251">
        <f>Q109&amp;"%"</f>
        <v/>
      </c>
      <c r="Q109" s="27" t="inlineStr">
        <is>
          <t>gemischt</t>
        </is>
      </c>
      <c r="R109" s="237" t="n">
        <v>7.72</v>
      </c>
      <c r="S109" s="237" t="n">
        <v>3.073940397350993</v>
      </c>
      <c r="T109" s="208" t="n">
        <v>19.24</v>
      </c>
      <c r="U109" s="251" t="n">
        <v>56.04</v>
      </c>
      <c r="V109" s="35" t="n">
        <v>43511</v>
      </c>
      <c r="W109" s="35" t="n"/>
      <c r="X109" s="27" t="n"/>
      <c r="Y109" s="210" t="n">
        <v>19.24</v>
      </c>
      <c r="Z109" s="237" t="n">
        <v>0</v>
      </c>
      <c r="AA109" t="b">
        <v>0</v>
      </c>
    </row>
    <row r="110">
      <c r="B110" s="53" t="n">
        <v>2018</v>
      </c>
      <c r="C110" s="53" t="n">
        <v>109</v>
      </c>
      <c r="D110" s="53">
        <f>B110&amp;"-"&amp;C110</f>
        <v/>
      </c>
      <c r="E110" s="9" t="inlineStr">
        <is>
          <t>6168007977</t>
        </is>
      </c>
      <c r="F110" s="1" t="n">
        <v>43437</v>
      </c>
      <c r="G110" t="inlineStr">
        <is>
          <t>Hutchison Drei Austria GmbH, Brünner Straße 52, 1210 Wien, Österreich</t>
        </is>
      </c>
      <c r="H110" s="16" t="n"/>
      <c r="I110" s="16" t="inlineStr">
        <is>
          <t>Ausgaben</t>
        </is>
      </c>
      <c r="J110" s="16" t="inlineStr">
        <is>
          <t>Telefon/Internet</t>
        </is>
      </c>
      <c r="K110" s="16" t="n"/>
      <c r="L110" t="b">
        <v>0</v>
      </c>
      <c r="M110" s="36" t="n">
        <v>15</v>
      </c>
      <c r="N110" s="51" t="n">
        <v>1</v>
      </c>
      <c r="O110" s="251" t="n">
        <v>18</v>
      </c>
      <c r="P110" s="251">
        <f>Q110&amp;"%"</f>
        <v/>
      </c>
      <c r="Q110" s="27" t="n">
        <v>20</v>
      </c>
      <c r="R110" s="237" t="n">
        <v>3</v>
      </c>
      <c r="S110" s="237" t="n">
        <v>3</v>
      </c>
      <c r="T110" s="208" t="n">
        <v>15</v>
      </c>
      <c r="U110" s="251" t="n">
        <v>18</v>
      </c>
      <c r="V110" s="35" t="n">
        <v>43511</v>
      </c>
      <c r="W110" s="27" t="n"/>
      <c r="X110" s="27" t="n"/>
      <c r="Y110" s="210" t="n">
        <v>15</v>
      </c>
      <c r="Z110" s="237" t="n">
        <v>0</v>
      </c>
      <c r="AA110" t="b">
        <v>0</v>
      </c>
    </row>
    <row r="111">
      <c r="B111" s="53" t="n">
        <v>2018</v>
      </c>
      <c r="C111" s="53" t="n">
        <v>110</v>
      </c>
      <c r="D111" s="53">
        <f>B111&amp;"-"&amp;C111</f>
        <v/>
      </c>
      <c r="E111" s="9" t="inlineStr">
        <is>
          <t>34022881671/40/2018</t>
        </is>
      </c>
      <c r="F111" s="1" t="n">
        <v>43437</v>
      </c>
      <c r="G111" s="1" t="inlineStr">
        <is>
          <t>VERBUND AG, Postfach 8400, 1011 Wien, Österreich: Teilzahlungsvorschreibung</t>
        </is>
      </c>
      <c r="H111" s="16" t="n"/>
      <c r="I111" s="16" t="inlineStr">
        <is>
          <t>Ausgaben</t>
        </is>
      </c>
      <c r="J111" s="16" t="inlineStr">
        <is>
          <t>sonstige Betriebsausgaben</t>
        </is>
      </c>
      <c r="K111" s="16" t="inlineStr"/>
      <c r="L111" t="b">
        <v>0</v>
      </c>
      <c r="M111" s="36" t="n">
        <v>149.17</v>
      </c>
      <c r="N111" s="51" t="n">
        <v>0.2732037841984147</v>
      </c>
      <c r="O111" s="251" t="n">
        <v>48.90457018665303</v>
      </c>
      <c r="P111" s="251">
        <f>Q111&amp;"%"</f>
        <v/>
      </c>
      <c r="Q111" s="27" t="n">
        <v>20</v>
      </c>
      <c r="R111" s="237" t="n">
        <v>29.834</v>
      </c>
      <c r="S111" s="237" t="n">
        <v>8.150761697775504</v>
      </c>
      <c r="T111" s="208" t="n">
        <v>40.75380848887752</v>
      </c>
      <c r="U111" s="251" t="n">
        <v>179.004</v>
      </c>
      <c r="V111" s="35" t="n">
        <v>43511</v>
      </c>
      <c r="W111" s="27" t="n"/>
      <c r="X111" s="27" t="n"/>
      <c r="Y111" s="210" t="n">
        <v>40.75380848887752</v>
      </c>
      <c r="Z111" s="237" t="n">
        <v>0</v>
      </c>
      <c r="AA111" t="b">
        <v>0</v>
      </c>
    </row>
    <row r="112">
      <c r="B112" s="53" t="n">
        <v>2018</v>
      </c>
      <c r="C112" s="53" t="n">
        <v>111</v>
      </c>
      <c r="D112" s="53">
        <f>B112&amp;"-"&amp;C112</f>
        <v/>
      </c>
      <c r="E112" s="9" t="inlineStr">
        <is>
          <t>AEU-INV-AT-2018-30447820</t>
        </is>
      </c>
      <c r="F112" s="1" t="n">
        <v>43451</v>
      </c>
      <c r="G112" s="1" t="inlineStr">
        <is>
          <t>Amazon EU Sàrl, 5 Rue Plaetis, L-2338, Luxemburg: Buch "der agile Festpreis" (Achtung: Weder Rechnung noch Zahlung geben exten Preis dieser Betriebsausgabe wieder)</t>
        </is>
      </c>
      <c r="H112" s="16" t="n"/>
      <c r="I112" s="16" t="inlineStr">
        <is>
          <t>Ausgaben</t>
        </is>
      </c>
      <c r="J112" s="16" t="inlineStr">
        <is>
          <t>Fachliteratur</t>
        </is>
      </c>
      <c r="K112" s="16" t="n"/>
      <c r="L112" t="b">
        <v>0</v>
      </c>
      <c r="M112" s="36" t="n">
        <v>31.93</v>
      </c>
      <c r="N112" s="51" t="n">
        <v>1</v>
      </c>
      <c r="O112" s="251" t="n">
        <v>38.316</v>
      </c>
      <c r="P112" s="251">
        <f>Q112&amp;"%"</f>
        <v/>
      </c>
      <c r="Q112" s="27" t="n">
        <v>20</v>
      </c>
      <c r="R112" s="237" t="n">
        <v>6.386</v>
      </c>
      <c r="S112" s="237" t="n">
        <v>6.386</v>
      </c>
      <c r="T112" s="208" t="n">
        <v>31.93</v>
      </c>
      <c r="U112" s="251" t="n">
        <v>38.316</v>
      </c>
      <c r="V112" s="35" t="n">
        <v>43511</v>
      </c>
      <c r="W112" s="27" t="n"/>
      <c r="X112" s="27" t="n"/>
      <c r="Y112" s="210" t="n">
        <v>31.93</v>
      </c>
      <c r="Z112" s="237" t="n">
        <v>0</v>
      </c>
      <c r="AA112" t="b">
        <v>0</v>
      </c>
    </row>
    <row r="113">
      <c r="B113" s="53" t="n">
        <v>2018</v>
      </c>
      <c r="C113" s="53" t="n">
        <v>112</v>
      </c>
      <c r="D113" s="53">
        <f>B113&amp;"-"&amp;C113</f>
        <v/>
      </c>
      <c r="E113" s="9" t="inlineStr">
        <is>
          <t>0893-20181203-01-3380</t>
        </is>
      </c>
      <c r="F113" s="1" t="n">
        <v>43451</v>
      </c>
      <c r="G113" s="1" t="inlineStr">
        <is>
          <t>Libro (Überwiesen an Eva Kolbitsch)</t>
        </is>
      </c>
      <c r="H113" s="16" t="n"/>
      <c r="I113" s="16" t="inlineStr">
        <is>
          <t>Ausgaben</t>
        </is>
      </c>
      <c r="J113" s="16" t="inlineStr">
        <is>
          <t>Büromaterial</t>
        </is>
      </c>
      <c r="K113" s="16" t="n"/>
      <c r="L113" t="b">
        <v>0</v>
      </c>
      <c r="M113" s="36" t="n">
        <v>23.25</v>
      </c>
      <c r="N113" s="51" t="n">
        <v>1</v>
      </c>
      <c r="O113" s="251" t="n">
        <v>27.9</v>
      </c>
      <c r="P113" s="251">
        <f>Q113&amp;"%"</f>
        <v/>
      </c>
      <c r="Q113" s="27" t="n">
        <v>20</v>
      </c>
      <c r="R113" s="237" t="n">
        <v>4.65</v>
      </c>
      <c r="S113" s="237" t="n">
        <v>4.65</v>
      </c>
      <c r="T113" s="208" t="n">
        <v>23.25</v>
      </c>
      <c r="U113" s="251" t="n">
        <v>27.9</v>
      </c>
      <c r="V113" s="35" t="n">
        <v>43511</v>
      </c>
      <c r="W113" s="27" t="n"/>
      <c r="X113" s="27" t="n"/>
      <c r="Y113" s="210" t="n">
        <v>23.25</v>
      </c>
      <c r="Z113" s="237" t="n">
        <v>0</v>
      </c>
      <c r="AA113" t="b">
        <v>0</v>
      </c>
    </row>
    <row r="114">
      <c r="B114" s="53" t="n">
        <v>2018</v>
      </c>
      <c r="C114" s="53" t="n">
        <v>113</v>
      </c>
      <c r="D114" s="53">
        <f>B114&amp;"-"&amp;C114</f>
        <v/>
      </c>
      <c r="E114" s="9" t="inlineStr">
        <is>
          <t>14003915689/40/2018</t>
        </is>
      </c>
      <c r="F114" s="1" t="n">
        <v>43451</v>
      </c>
      <c r="G114" s="1" t="inlineStr">
        <is>
          <t>MONTANA Energie-Handel AT GmbH: Teilzahlungsbetrag Gas + Jahresabrechnung (94-66,83=27,17 inkl. 20% USt.)</t>
        </is>
      </c>
      <c r="H114" s="16" t="n"/>
      <c r="I114" s="16" t="inlineStr">
        <is>
          <t>Ausgaben</t>
        </is>
      </c>
      <c r="J114" s="16" t="inlineStr">
        <is>
          <t>sonstige Betriebsausgaben</t>
        </is>
      </c>
      <c r="K114" s="16" t="n"/>
      <c r="L114" t="b">
        <v>0</v>
      </c>
      <c r="M114" s="36" t="n">
        <v>78.33</v>
      </c>
      <c r="N114" s="51" t="n">
        <v>0.2732037841984147</v>
      </c>
      <c r="O114" s="251" t="n">
        <v>25.68006289951419</v>
      </c>
      <c r="P114" s="251">
        <f>Q114&amp;"%"</f>
        <v/>
      </c>
      <c r="Q114" s="27" t="n">
        <v>20</v>
      </c>
      <c r="R114" s="237" t="n">
        <v>15.666</v>
      </c>
      <c r="S114" s="237" t="n">
        <v>4.280010483252365</v>
      </c>
      <c r="T114" s="208" t="n">
        <v>21.40005241626183</v>
      </c>
      <c r="U114" s="251" t="n">
        <v>93.996</v>
      </c>
      <c r="V114" s="35" t="n">
        <v>43511</v>
      </c>
      <c r="W114" s="27" t="n"/>
      <c r="X114" s="27" t="n"/>
      <c r="Y114" s="210" t="n">
        <v>21.40005241626183</v>
      </c>
      <c r="Z114" s="237" t="n">
        <v>0</v>
      </c>
      <c r="AA114" t="b">
        <v>0</v>
      </c>
    </row>
    <row r="115">
      <c r="B115" s="53" t="n">
        <v>2018</v>
      </c>
      <c r="C115" s="53" t="n">
        <v>114</v>
      </c>
      <c r="D115" s="53">
        <f>B115&amp;"-"&amp;C115</f>
        <v/>
      </c>
      <c r="E115" s="9" t="inlineStr">
        <is>
          <t>2018/8058/18</t>
        </is>
      </c>
      <c r="F115" s="1" t="n">
        <v>43461</v>
      </c>
      <c r="G115" s="1" t="inlineStr">
        <is>
          <t>PREMIUM Laudongasse 58 GmbH &amp; Co KG: Dauerrechnung 2018-D</t>
        </is>
      </c>
      <c r="H115" s="16" t="n"/>
      <c r="I115" s="16" t="inlineStr">
        <is>
          <t>Ausgaben</t>
        </is>
      </c>
      <c r="J115" s="16" t="inlineStr">
        <is>
          <t>Miet- und Pachtaufwand, Leasing</t>
        </is>
      </c>
      <c r="K115" s="16" t="n"/>
      <c r="L115" t="b">
        <v>0</v>
      </c>
      <c r="M115" s="36" t="n">
        <v>763.4400000000001</v>
      </c>
      <c r="N115" s="51" t="n">
        <v>0.2732037841984147</v>
      </c>
      <c r="O115" s="251" t="n">
        <v>229.4321667092815</v>
      </c>
      <c r="P115" s="251">
        <f>Q115&amp;"%"</f>
        <v/>
      </c>
      <c r="Q115" s="27" t="n">
        <v>10</v>
      </c>
      <c r="R115" s="237" t="n">
        <v>76.34400000000001</v>
      </c>
      <c r="S115" s="237" t="n">
        <v>20.85746970084378</v>
      </c>
      <c r="T115" s="208" t="n">
        <v>208.5746970084378</v>
      </c>
      <c r="U115" s="251" t="n">
        <v>839.7840000000001</v>
      </c>
      <c r="V115" s="35" t="n">
        <v>43511</v>
      </c>
      <c r="W115" s="27" t="n"/>
      <c r="X115" s="27" t="n"/>
      <c r="Y115" s="210" t="n">
        <v>208.5746970084378</v>
      </c>
      <c r="Z115" s="237" t="n">
        <v>0</v>
      </c>
      <c r="AA115" t="b">
        <v>0</v>
      </c>
    </row>
  </sheetData>
  <conditionalFormatting sqref="F3:F7 F9:F12 F14:F15 F19:F33 F35 F37 F39:F41 F43:F76 F78:F85 F89:F92 F94:F97 F101:F102 F104:F115">
    <cfRule type="expression" priority="283" dxfId="2">
      <formula>ISBLANK($G3)</formula>
    </cfRule>
  </conditionalFormatting>
  <conditionalFormatting sqref="F2">
    <cfRule type="expression" priority="282" dxfId="2">
      <formula>ISBLANK($G2)</formula>
    </cfRule>
  </conditionalFormatting>
  <conditionalFormatting sqref="M3:M5 M14 M21 M35 M42:M45 M48:M49 M51:M54 M58:M59 M61 M73 M78:M79 M82 M90 M92 M113">
    <cfRule type="expression" priority="281" dxfId="420">
      <formula>"$G$G&gt;400"</formula>
    </cfRule>
  </conditionalFormatting>
  <conditionalFormatting sqref="V2 V48:V49 V51:V53 V110:V113">
    <cfRule type="expression" priority="280" dxfId="2">
      <formula>AND(AND($Z2&lt;TODAY(),$Z2&lt;&gt;""),$AA2="")</formula>
    </cfRule>
  </conditionalFormatting>
  <conditionalFormatting sqref="M2">
    <cfRule type="expression" priority="279" dxfId="420">
      <formula>"$G$G&gt;400"</formula>
    </cfRule>
  </conditionalFormatting>
  <conditionalFormatting sqref="V3">
    <cfRule type="expression" priority="278" dxfId="2">
      <formula>AND(AND($Z3&lt;TODAY(),$Z3&lt;&gt;""),$AA3="")</formula>
    </cfRule>
  </conditionalFormatting>
  <conditionalFormatting sqref="V4">
    <cfRule type="expression" priority="277" dxfId="2">
      <formula>AND(AND($Z4&lt;TODAY(),$Z4&lt;&gt;""),$AA4="")</formula>
    </cfRule>
  </conditionalFormatting>
  <conditionalFormatting sqref="V5">
    <cfRule type="expression" priority="276" dxfId="2">
      <formula>AND(AND($Z5&lt;TODAY(),$Z5&lt;&gt;""),$AA5="")</formula>
    </cfRule>
  </conditionalFormatting>
  <conditionalFormatting sqref="F8">
    <cfRule type="expression" priority="275" dxfId="2">
      <formula>ISBLANK($G8)</formula>
    </cfRule>
  </conditionalFormatting>
  <conditionalFormatting sqref="V6">
    <cfRule type="expression" priority="274" dxfId="2">
      <formula>AND(AND($Z6&lt;TODAY(),$Z6&lt;&gt;""),$AA6="")</formula>
    </cfRule>
  </conditionalFormatting>
  <conditionalFormatting sqref="M6">
    <cfRule type="expression" priority="273" dxfId="420">
      <formula>"$G$G&gt;400"</formula>
    </cfRule>
  </conditionalFormatting>
  <conditionalFormatting sqref="M7">
    <cfRule type="expression" priority="272" dxfId="420">
      <formula>"$G$G&gt;400"</formula>
    </cfRule>
  </conditionalFormatting>
  <conditionalFormatting sqref="V7">
    <cfRule type="expression" priority="271" dxfId="2">
      <formula>AND(AND($Z7&lt;TODAY(),$Z7&lt;&gt;""),$AA7="")</formula>
    </cfRule>
  </conditionalFormatting>
  <conditionalFormatting sqref="V8">
    <cfRule type="expression" priority="270" dxfId="2">
      <formula>AND(AND($Z8&lt;TODAY(),$Z8&lt;&gt;""),$AA8="")</formula>
    </cfRule>
  </conditionalFormatting>
  <conditionalFormatting sqref="V9">
    <cfRule type="expression" priority="269" dxfId="2">
      <formula>AND(AND($Z9&lt;TODAY(),$Z9&lt;&gt;""),$AA9="")</formula>
    </cfRule>
  </conditionalFormatting>
  <conditionalFormatting sqref="V10">
    <cfRule type="expression" priority="268" dxfId="2">
      <formula>AND(AND($Z10&lt;TODAY(),$Z10&lt;&gt;""),$AA10="")</formula>
    </cfRule>
  </conditionalFormatting>
  <conditionalFormatting sqref="M10">
    <cfRule type="expression" priority="267" dxfId="420">
      <formula>"$G$G&gt;400"</formula>
    </cfRule>
  </conditionalFormatting>
  <conditionalFormatting sqref="M8">
    <cfRule type="expression" priority="266" dxfId="420">
      <formula>"$G$G&gt;400"</formula>
    </cfRule>
    <cfRule type="expression" priority="265" dxfId="420">
      <formula>"$G$G&gt;400"</formula>
    </cfRule>
  </conditionalFormatting>
  <conditionalFormatting sqref="M9">
    <cfRule type="expression" priority="264" dxfId="420">
      <formula>"$G$G&gt;400"</formula>
    </cfRule>
  </conditionalFormatting>
  <conditionalFormatting sqref="F16">
    <cfRule type="expression" priority="263" dxfId="2">
      <formula>ISBLANK($G16)</formula>
    </cfRule>
  </conditionalFormatting>
  <conditionalFormatting sqref="F17">
    <cfRule type="expression" priority="262" dxfId="2">
      <formula>ISBLANK($G17)</formula>
    </cfRule>
  </conditionalFormatting>
  <conditionalFormatting sqref="F34">
    <cfRule type="expression" priority="261" dxfId="2">
      <formula>ISBLANK($G34)</formula>
    </cfRule>
  </conditionalFormatting>
  <conditionalFormatting sqref="F36">
    <cfRule type="expression" priority="260" dxfId="2">
      <formula>ISBLANK($G36)</formula>
    </cfRule>
  </conditionalFormatting>
  <conditionalFormatting sqref="F38">
    <cfRule type="expression" priority="259" dxfId="2">
      <formula>ISBLANK($G38)</formula>
    </cfRule>
  </conditionalFormatting>
  <conditionalFormatting sqref="F42">
    <cfRule type="expression" priority="258" dxfId="2">
      <formula>ISBLANK($G42)</formula>
    </cfRule>
  </conditionalFormatting>
  <conditionalFormatting sqref="F77">
    <cfRule type="expression" priority="257" dxfId="2">
      <formula>ISBLANK($G77)</formula>
    </cfRule>
  </conditionalFormatting>
  <conditionalFormatting sqref="F88">
    <cfRule type="expression" priority="256" dxfId="2">
      <formula>ISBLANK($G88)</formula>
    </cfRule>
  </conditionalFormatting>
  <conditionalFormatting sqref="F86">
    <cfRule type="expression" priority="255" dxfId="2">
      <formula>ISBLANK($G86)</formula>
    </cfRule>
  </conditionalFormatting>
  <conditionalFormatting sqref="F87">
    <cfRule type="expression" priority="254" dxfId="2">
      <formula>ISBLANK($G87)</formula>
    </cfRule>
  </conditionalFormatting>
  <conditionalFormatting sqref="F93">
    <cfRule type="expression" priority="253" dxfId="2">
      <formula>ISBLANK($G93)</formula>
    </cfRule>
  </conditionalFormatting>
  <conditionalFormatting sqref="F98">
    <cfRule type="expression" priority="252" dxfId="2">
      <formula>ISBLANK($G98)</formula>
    </cfRule>
  </conditionalFormatting>
  <conditionalFormatting sqref="F100">
    <cfRule type="expression" priority="251" dxfId="2">
      <formula>ISBLANK($G100)</formula>
    </cfRule>
    <cfRule type="expression" priority="248" dxfId="2">
      <formula>ISBLANK($G100)</formula>
    </cfRule>
    <cfRule type="expression" priority="246" dxfId="2">
      <formula>ISBLANK($G100)</formula>
    </cfRule>
  </conditionalFormatting>
  <conditionalFormatting sqref="F99">
    <cfRule type="expression" priority="250" dxfId="2">
      <formula>ISBLANK($G99)</formula>
    </cfRule>
  </conditionalFormatting>
  <conditionalFormatting sqref="F101">
    <cfRule type="expression" priority="249" dxfId="2">
      <formula>ISBLANK($G101)</formula>
    </cfRule>
    <cfRule type="expression" priority="247" dxfId="2">
      <formula>ISBLANK($G101)</formula>
    </cfRule>
    <cfRule type="expression" priority="244" dxfId="2">
      <formula>ISBLANK($G101)</formula>
    </cfRule>
  </conditionalFormatting>
  <conditionalFormatting sqref="F102">
    <cfRule type="expression" priority="245" dxfId="2">
      <formula>ISBLANK($G102)</formula>
    </cfRule>
  </conditionalFormatting>
  <conditionalFormatting sqref="V11">
    <cfRule type="expression" priority="243" dxfId="2">
      <formula>AND(AND($Z11&lt;TODAY(),$Z11&lt;&gt;""),$AA11="")</formula>
    </cfRule>
  </conditionalFormatting>
  <conditionalFormatting sqref="M11">
    <cfRule type="expression" priority="242" dxfId="420">
      <formula>"$G$G&gt;400"</formula>
    </cfRule>
  </conditionalFormatting>
  <conditionalFormatting sqref="M12">
    <cfRule type="expression" priority="241" dxfId="420">
      <formula>"$G$G&gt;400"</formula>
    </cfRule>
  </conditionalFormatting>
  <conditionalFormatting sqref="V12">
    <cfRule type="expression" priority="240" dxfId="2">
      <formula>AND(AND($Z12&lt;TODAY(),$Z12&lt;&gt;""),$AA12="")</formula>
    </cfRule>
  </conditionalFormatting>
  <conditionalFormatting sqref="V13">
    <cfRule type="expression" priority="239" dxfId="2">
      <formula>AND(AND($Z13&lt;TODAY(),$Z13&lt;&gt;""),$AA13="")</formula>
    </cfRule>
  </conditionalFormatting>
  <conditionalFormatting sqref="M13">
    <cfRule type="expression" priority="238" dxfId="420">
      <formula>"$G$G&gt;400"</formula>
    </cfRule>
  </conditionalFormatting>
  <conditionalFormatting sqref="V15">
    <cfRule type="expression" priority="237" dxfId="2">
      <formula>AND(AND($Z15&lt;TODAY(),$Z15&lt;&gt;""),$AA15="")</formula>
    </cfRule>
  </conditionalFormatting>
  <conditionalFormatting sqref="M15">
    <cfRule type="expression" priority="236" dxfId="420">
      <formula>"$G$G&gt;400"</formula>
    </cfRule>
    <cfRule type="expression" priority="235" dxfId="420">
      <formula>"$G$G&gt;400"</formula>
    </cfRule>
  </conditionalFormatting>
  <conditionalFormatting sqref="M16">
    <cfRule type="expression" priority="234" dxfId="420">
      <formula>"$G$G&gt;400"</formula>
    </cfRule>
  </conditionalFormatting>
  <conditionalFormatting sqref="V16">
    <cfRule type="expression" priority="233" dxfId="2">
      <formula>AND(AND($Z16&lt;TODAY(),$Z16&lt;&gt;""),$AA16="")</formula>
    </cfRule>
  </conditionalFormatting>
  <conditionalFormatting sqref="V17">
    <cfRule type="expression" priority="232" dxfId="2">
      <formula>AND(AND($Z17&lt;TODAY(),$Z17&lt;&gt;""),$AA17="")</formula>
    </cfRule>
  </conditionalFormatting>
  <conditionalFormatting sqref="M17">
    <cfRule type="expression" priority="231" dxfId="420">
      <formula>"$G$G&gt;400"</formula>
    </cfRule>
  </conditionalFormatting>
  <conditionalFormatting sqref="V18">
    <cfRule type="expression" priority="230" dxfId="2">
      <formula>AND(AND($Z18&lt;TODAY(),$Z18&lt;&gt;""),$AA18="")</formula>
    </cfRule>
  </conditionalFormatting>
  <conditionalFormatting sqref="M18">
    <cfRule type="expression" priority="229" dxfId="420">
      <formula>"$G$G&gt;400"</formula>
    </cfRule>
  </conditionalFormatting>
  <conditionalFormatting sqref="V19">
    <cfRule type="expression" priority="228" dxfId="2">
      <formula>AND(AND($Z19&lt;TODAY(),$Z19&lt;&gt;""),$AA19="")</formula>
    </cfRule>
  </conditionalFormatting>
  <conditionalFormatting sqref="V20">
    <cfRule type="expression" priority="227" dxfId="2">
      <formula>AND(AND($Z20&lt;TODAY(),$Z20&lt;&gt;""),$AA20="")</formula>
    </cfRule>
  </conditionalFormatting>
  <conditionalFormatting sqref="M20">
    <cfRule type="expression" priority="226" dxfId="420">
      <formula>"$G$G&gt;400"</formula>
    </cfRule>
    <cfRule type="expression" priority="225" dxfId="420">
      <formula>"$G$G&gt;400"</formula>
    </cfRule>
  </conditionalFormatting>
  <conditionalFormatting sqref="V21">
    <cfRule type="expression" priority="224" dxfId="2">
      <formula>AND(AND($Z21&lt;TODAY(),$Z21&lt;&gt;""),$AA21="")</formula>
    </cfRule>
  </conditionalFormatting>
  <conditionalFormatting sqref="V22">
    <cfRule type="expression" priority="223" dxfId="2">
      <formula>AND(AND($Z22&lt;TODAY(),$Z22&lt;&gt;""),$AA22="")</formula>
    </cfRule>
  </conditionalFormatting>
  <conditionalFormatting sqref="M22">
    <cfRule type="expression" priority="222" dxfId="420">
      <formula>"$G$G&gt;400"</formula>
    </cfRule>
  </conditionalFormatting>
  <conditionalFormatting sqref="M23">
    <cfRule type="expression" priority="221" dxfId="420">
      <formula>"$G$G&gt;400"</formula>
    </cfRule>
  </conditionalFormatting>
  <conditionalFormatting sqref="V23">
    <cfRule type="expression" priority="220" dxfId="2">
      <formula>AND(AND($Z23&lt;TODAY(),$Z23&lt;&gt;""),$AA23="")</formula>
    </cfRule>
  </conditionalFormatting>
  <conditionalFormatting sqref="V24">
    <cfRule type="expression" priority="219" dxfId="2">
      <formula>AND(AND($Z24&lt;TODAY(),$Z24&lt;&gt;""),$AA24="")</formula>
    </cfRule>
  </conditionalFormatting>
  <conditionalFormatting sqref="M24">
    <cfRule type="expression" priority="218" dxfId="420">
      <formula>"$G$G&gt;400"</formula>
    </cfRule>
  </conditionalFormatting>
  <conditionalFormatting sqref="K25 M25">
    <cfRule type="expression" priority="217" dxfId="420">
      <formula>"$G$G&gt;400"</formula>
    </cfRule>
  </conditionalFormatting>
  <conditionalFormatting sqref="V14">
    <cfRule type="expression" priority="216" dxfId="2">
      <formula>AND(AND($Z14&lt;TODAY(),$Z14&lt;&gt;""),$AA14="")</formula>
    </cfRule>
  </conditionalFormatting>
  <conditionalFormatting sqref="V26">
    <cfRule type="expression" priority="215" dxfId="2">
      <formula>AND(AND($Z26&lt;TODAY(),$Z26&lt;&gt;""),$AA26="")</formula>
    </cfRule>
  </conditionalFormatting>
  <conditionalFormatting sqref="M26">
    <cfRule type="expression" priority="214" dxfId="420">
      <formula>"$G$G&gt;400"</formula>
    </cfRule>
    <cfRule type="expression" priority="213" dxfId="420">
      <formula>"$G$G&gt;400"</formula>
    </cfRule>
  </conditionalFormatting>
  <conditionalFormatting sqref="M27">
    <cfRule type="expression" priority="212" dxfId="420">
      <formula>"$G$G&gt;400"</formula>
    </cfRule>
  </conditionalFormatting>
  <conditionalFormatting sqref="V27">
    <cfRule type="expression" priority="211" dxfId="2">
      <formula>AND(AND($Z27&lt;TODAY(),$Z27&lt;&gt;""),$AA27="")</formula>
    </cfRule>
  </conditionalFormatting>
  <conditionalFormatting sqref="V28">
    <cfRule type="expression" priority="210" dxfId="2">
      <formula>AND(AND($Z28&lt;TODAY(),$Z28&lt;&gt;""),$AA28="")</formula>
    </cfRule>
  </conditionalFormatting>
  <conditionalFormatting sqref="M28">
    <cfRule type="expression" priority="209" dxfId="420">
      <formula>"$G$G&gt;400"</formula>
    </cfRule>
  </conditionalFormatting>
  <conditionalFormatting sqref="V29">
    <cfRule type="expression" priority="208" dxfId="2">
      <formula>AND(AND($Z29&lt;TODAY(),$Z29&lt;&gt;""),$AA29="")</formula>
    </cfRule>
  </conditionalFormatting>
  <conditionalFormatting sqref="M29">
    <cfRule type="expression" priority="207" dxfId="420">
      <formula>"$G$G&gt;400"</formula>
    </cfRule>
  </conditionalFormatting>
  <conditionalFormatting sqref="V30">
    <cfRule type="expression" priority="206" dxfId="2">
      <formula>AND(AND($Z30&lt;TODAY(),$Z30&lt;&gt;""),$AA30="")</formula>
    </cfRule>
  </conditionalFormatting>
  <conditionalFormatting sqref="M30">
    <cfRule type="expression" priority="205" dxfId="420">
      <formula>"$G$G&gt;400"</formula>
    </cfRule>
  </conditionalFormatting>
  <conditionalFormatting sqref="V31">
    <cfRule type="expression" priority="204" dxfId="2">
      <formula>AND(AND($Z31&lt;TODAY(),$Z31&lt;&gt;""),$AA31="")</formula>
    </cfRule>
  </conditionalFormatting>
  <conditionalFormatting sqref="M31">
    <cfRule type="expression" priority="203" dxfId="420">
      <formula>"$G$G&gt;400"</formula>
    </cfRule>
    <cfRule type="expression" priority="202" dxfId="420">
      <formula>"$G$G&gt;400"</formula>
    </cfRule>
  </conditionalFormatting>
  <conditionalFormatting sqref="K32 M32">
    <cfRule type="expression" priority="201" dxfId="420">
      <formula>"$G$G&gt;400"</formula>
    </cfRule>
  </conditionalFormatting>
  <conditionalFormatting sqref="V32">
    <cfRule type="expression" priority="200" dxfId="2">
      <formula>AND(AND($Z32&lt;TODAY(),$Z32&lt;&gt;""),$AA32="")</formula>
    </cfRule>
  </conditionalFormatting>
  <conditionalFormatting sqref="V25">
    <cfRule type="expression" priority="199" dxfId="2">
      <formula>AND(AND($Z25&lt;TODAY(),$Z25&lt;&gt;""),$AA25="")</formula>
    </cfRule>
  </conditionalFormatting>
  <conditionalFormatting sqref="M33">
    <cfRule type="expression" priority="198" dxfId="420">
      <formula>"$G$G&gt;400"</formula>
    </cfRule>
  </conditionalFormatting>
  <conditionalFormatting sqref="V33">
    <cfRule type="expression" priority="197" dxfId="2">
      <formula>AND(AND($Z33&lt;TODAY(),$Z33&lt;&gt;""),$AA33="")</formula>
    </cfRule>
  </conditionalFormatting>
  <conditionalFormatting sqref="V34">
    <cfRule type="expression" priority="196" dxfId="2">
      <formula>AND(AND($Z34&lt;TODAY(),$Z34&lt;&gt;""),$AA34="")</formula>
    </cfRule>
  </conditionalFormatting>
  <conditionalFormatting sqref="V35">
    <cfRule type="expression" priority="195" dxfId="2">
      <formula>AND(AND($Z35&lt;TODAY(),$Z35&lt;&gt;""),$AA35="")</formula>
    </cfRule>
  </conditionalFormatting>
  <conditionalFormatting sqref="V36">
    <cfRule type="expression" priority="194" dxfId="2">
      <formula>AND(AND($Z36&lt;TODAY(),$Z36&lt;&gt;""),$AA36="")</formula>
    </cfRule>
  </conditionalFormatting>
  <conditionalFormatting sqref="K37 M37">
    <cfRule type="expression" priority="193" dxfId="420">
      <formula>"$G$G&gt;400"</formula>
    </cfRule>
  </conditionalFormatting>
  <conditionalFormatting sqref="V37">
    <cfRule type="expression" priority="192" dxfId="2">
      <formula>AND(AND($Z37&lt;TODAY(),$Z37&lt;&gt;""),$AA37="")</formula>
    </cfRule>
  </conditionalFormatting>
  <conditionalFormatting sqref="M38">
    <cfRule type="expression" priority="191" dxfId="420">
      <formula>"$G$G&gt;400"</formula>
    </cfRule>
  </conditionalFormatting>
  <conditionalFormatting sqref="V38">
    <cfRule type="expression" priority="190" dxfId="2">
      <formula>AND(AND($Z38&lt;TODAY(),$Z38&lt;&gt;""),$AA38="")</formula>
    </cfRule>
  </conditionalFormatting>
  <conditionalFormatting sqref="K39">
    <cfRule type="expression" priority="189" dxfId="420">
      <formula>"$G$G&gt;400"</formula>
    </cfRule>
  </conditionalFormatting>
  <conditionalFormatting sqref="M39">
    <cfRule type="expression" priority="188" dxfId="420">
      <formula>"$G$G&gt;400"</formula>
    </cfRule>
  </conditionalFormatting>
  <conditionalFormatting sqref="V39">
    <cfRule type="expression" priority="187" dxfId="2">
      <formula>AND(AND($Z39&lt;TODAY(),$Z39&lt;&gt;""),$AA39="")</formula>
    </cfRule>
  </conditionalFormatting>
  <conditionalFormatting sqref="M40">
    <cfRule type="expression" priority="186" dxfId="420">
      <formula>"$G$G&gt;400"</formula>
    </cfRule>
  </conditionalFormatting>
  <conditionalFormatting sqref="V40">
    <cfRule type="expression" priority="185" dxfId="2">
      <formula>AND(AND($Z40&lt;TODAY(),$Z40&lt;&gt;""),$AA40="")</formula>
    </cfRule>
  </conditionalFormatting>
  <conditionalFormatting sqref="M34">
    <cfRule type="expression" priority="184" dxfId="420">
      <formula>"$G$G&gt;400"</formula>
    </cfRule>
  </conditionalFormatting>
  <conditionalFormatting sqref="M19">
    <cfRule type="expression" priority="183" dxfId="420">
      <formula>"$G$G&gt;400"</formula>
    </cfRule>
  </conditionalFormatting>
  <conditionalFormatting sqref="V41">
    <cfRule type="expression" priority="182" dxfId="2">
      <formula>AND(AND($Z41&lt;TODAY(),$Z41&lt;&gt;""),$AA41="")</formula>
    </cfRule>
  </conditionalFormatting>
  <conditionalFormatting sqref="M41">
    <cfRule type="expression" priority="181" dxfId="420">
      <formula>"$G$G&gt;400"</formula>
    </cfRule>
  </conditionalFormatting>
  <conditionalFormatting sqref="M36">
    <cfRule type="expression" priority="180" dxfId="420">
      <formula>"$G$G&gt;400"</formula>
    </cfRule>
  </conditionalFormatting>
  <conditionalFormatting sqref="V52">
    <cfRule type="expression" priority="179" dxfId="2">
      <formula>AND(AND($Z52&lt;TODAY(),$Z52&lt;&gt;""),$AA52="")</formula>
    </cfRule>
    <cfRule type="expression" priority="175" dxfId="2">
      <formula>AND(AND($Z52&lt;TODAY(),$Z52&lt;&gt;""),$AA52="")</formula>
    </cfRule>
    <cfRule type="expression" priority="169" dxfId="2">
      <formula>AND(AND($Z52&lt;TODAY(),$Z52&lt;&gt;""),$AA52="")</formula>
    </cfRule>
    <cfRule type="expression" priority="163" dxfId="2">
      <formula>AND(AND($Z52&lt;TODAY(),$Z52&lt;&gt;""),$AA52="")</formula>
    </cfRule>
  </conditionalFormatting>
  <conditionalFormatting sqref="V42:V45">
    <cfRule type="expression" priority="178" dxfId="2">
      <formula>AND(AND($Z42&lt;TODAY(),$Z42&lt;&gt;""),$AA42="")</formula>
    </cfRule>
  </conditionalFormatting>
  <conditionalFormatting sqref="V51">
    <cfRule type="expression" priority="177" dxfId="2">
      <formula>AND(AND($Z51&lt;TODAY(),$Z51&lt;&gt;""),$AA51="")</formula>
    </cfRule>
  </conditionalFormatting>
  <conditionalFormatting sqref="V53">
    <cfRule type="expression" priority="176" dxfId="2">
      <formula>AND(AND($Z53&lt;TODAY(),$Z53&lt;&gt;""),$AA53="")</formula>
    </cfRule>
    <cfRule type="expression" priority="170" dxfId="2">
      <formula>AND(AND($Z53&lt;TODAY(),$Z53&lt;&gt;""),$AA53="")</formula>
    </cfRule>
    <cfRule type="expression" priority="168" dxfId="2">
      <formula>AND(AND($Z53&lt;TODAY(),$Z53&lt;&gt;""),$AA53="")</formula>
    </cfRule>
    <cfRule type="expression" priority="164" dxfId="2">
      <formula>AND(AND($Z53&lt;TODAY(),$Z53&lt;&gt;""),$AA53="")</formula>
    </cfRule>
    <cfRule type="expression" priority="162" dxfId="2">
      <formula>AND(AND($Z53&lt;TODAY(),$Z53&lt;&gt;""),$AA53="")</formula>
    </cfRule>
    <cfRule type="expression" priority="161" dxfId="2">
      <formula>AND(AND($Z53&lt;TODAY(),$Z53&lt;&gt;""),$AA53="")</formula>
    </cfRule>
    <cfRule type="expression" priority="160" dxfId="2">
      <formula>AND(AND($Z53&lt;TODAY(),$Z53&lt;&gt;""),$AA53="")</formula>
    </cfRule>
    <cfRule type="expression" priority="159" dxfId="2">
      <formula>AND(AND($Z53&lt;TODAY(),$Z53&lt;&gt;""),$AA53="")</formula>
    </cfRule>
    <cfRule type="expression" priority="158" dxfId="2">
      <formula>AND(AND($Z53&lt;TODAY(),$Z53&lt;&gt;""),$AA53="")</formula>
    </cfRule>
    <cfRule type="expression" priority="157" dxfId="2">
      <formula>AND(AND($Z53&lt;TODAY(),$Z53&lt;&gt;""),$AA53="")</formula>
    </cfRule>
  </conditionalFormatting>
  <conditionalFormatting sqref="M46">
    <cfRule type="expression" priority="174" dxfId="420">
      <formula>"$G$G&gt;400"</formula>
    </cfRule>
  </conditionalFormatting>
  <conditionalFormatting sqref="V46">
    <cfRule type="expression" priority="173" dxfId="2">
      <formula>AND(AND($Z46&lt;TODAY(),$Z46&lt;&gt;""),$AA46="")</formula>
    </cfRule>
  </conditionalFormatting>
  <conditionalFormatting sqref="V47">
    <cfRule type="expression" priority="172" dxfId="2">
      <formula>AND(AND($Z47&lt;TODAY(),$Z47&lt;&gt;""),$AA47="")</formula>
    </cfRule>
  </conditionalFormatting>
  <conditionalFormatting sqref="M47">
    <cfRule type="expression" priority="171" dxfId="420">
      <formula>"$G$G&gt;400"</formula>
    </cfRule>
  </conditionalFormatting>
  <conditionalFormatting sqref="V50">
    <cfRule type="expression" priority="167" dxfId="2">
      <formula>AND(AND($Z50&lt;TODAY(),$Z50&lt;&gt;""),$AA50="")</formula>
    </cfRule>
  </conditionalFormatting>
  <conditionalFormatting sqref="M50">
    <cfRule type="expression" priority="166" dxfId="420">
      <formula>"$G$G&gt;400"</formula>
    </cfRule>
    <cfRule type="expression" priority="165" dxfId="420">
      <formula>"$G$G&gt;400"</formula>
    </cfRule>
  </conditionalFormatting>
  <conditionalFormatting sqref="V55:V56">
    <cfRule type="expression" priority="156" dxfId="2">
      <formula>AND(AND($Z55&lt;TODAY(),$Z55&lt;&gt;""),$AA55="")</formula>
    </cfRule>
    <cfRule type="expression" priority="154" dxfId="2">
      <formula>AND(AND($Z55&lt;TODAY(),$Z55&lt;&gt;""),$AA55="")</formula>
    </cfRule>
  </conditionalFormatting>
  <conditionalFormatting sqref="M55:M56">
    <cfRule type="expression" priority="155" dxfId="420">
      <formula>"$G$G&gt;400"</formula>
    </cfRule>
  </conditionalFormatting>
  <conditionalFormatting sqref="V55">
    <cfRule type="expression" priority="153" dxfId="2">
      <formula>AND(AND($Z55&lt;TODAY(),$Z55&lt;&gt;""),$AA55="")</formula>
    </cfRule>
    <cfRule type="expression" priority="152" dxfId="2">
      <formula>AND(AND($Z55&lt;TODAY(),$Z55&lt;&gt;""),$AA55="")</formula>
    </cfRule>
    <cfRule type="expression" priority="150" dxfId="2">
      <formula>AND(AND($Z55&lt;TODAY(),$Z55&lt;&gt;""),$AA55="")</formula>
    </cfRule>
    <cfRule type="expression" priority="149" dxfId="2">
      <formula>AND(AND($Z55&lt;TODAY(),$Z55&lt;&gt;""),$AA55="")</formula>
    </cfRule>
    <cfRule type="expression" priority="147" dxfId="2">
      <formula>AND(AND($Z55&lt;TODAY(),$Z55&lt;&gt;""),$AA55="")</formula>
    </cfRule>
    <cfRule type="expression" priority="145" dxfId="2">
      <formula>AND(AND($Z55&lt;TODAY(),$Z55&lt;&gt;""),$AA55="")</formula>
    </cfRule>
    <cfRule type="expression" priority="143" dxfId="2">
      <formula>AND(AND($Z55&lt;TODAY(),$Z55&lt;&gt;""),$AA55="")</formula>
    </cfRule>
    <cfRule type="expression" priority="141" dxfId="2">
      <formula>AND(AND($Z55&lt;TODAY(),$Z55&lt;&gt;""),$AA55="")</formula>
    </cfRule>
    <cfRule type="expression" priority="139" dxfId="2">
      <formula>AND(AND($Z55&lt;TODAY(),$Z55&lt;&gt;""),$AA55="")</formula>
    </cfRule>
    <cfRule type="expression" priority="136" dxfId="2">
      <formula>AND(AND($Z55&lt;TODAY(),$Z55&lt;&gt;""),$AA55="")</formula>
    </cfRule>
  </conditionalFormatting>
  <conditionalFormatting sqref="V56">
    <cfRule type="expression" priority="151" dxfId="2">
      <formula>AND(AND($Z56&lt;TODAY(),$Z56&lt;&gt;""),$AA56="")</formula>
    </cfRule>
    <cfRule type="expression" priority="148" dxfId="2">
      <formula>AND(AND($Z56&lt;TODAY(),$Z56&lt;&gt;""),$AA56="")</formula>
    </cfRule>
    <cfRule type="expression" priority="146" dxfId="2">
      <formula>AND(AND($Z56&lt;TODAY(),$Z56&lt;&gt;""),$AA56="")</formula>
    </cfRule>
    <cfRule type="expression" priority="144" dxfId="2">
      <formula>AND(AND($Z56&lt;TODAY(),$Z56&lt;&gt;""),$AA56="")</formula>
    </cfRule>
    <cfRule type="expression" priority="142" dxfId="2">
      <formula>AND(AND($Z56&lt;TODAY(),$Z56&lt;&gt;""),$AA56="")</formula>
    </cfRule>
    <cfRule type="expression" priority="140" dxfId="2">
      <formula>AND(AND($Z56&lt;TODAY(),$Z56&lt;&gt;""),$AA56="")</formula>
    </cfRule>
    <cfRule type="expression" priority="138" dxfId="2">
      <formula>AND(AND($Z56&lt;TODAY(),$Z56&lt;&gt;""),$AA56="")</formula>
    </cfRule>
    <cfRule type="expression" priority="137" dxfId="2">
      <formula>AND(AND($Z56&lt;TODAY(),$Z56&lt;&gt;""),$AA56="")</formula>
    </cfRule>
    <cfRule type="expression" priority="135" dxfId="2">
      <formula>AND(AND($Z56&lt;TODAY(),$Z56&lt;&gt;""),$AA56="")</formula>
    </cfRule>
    <cfRule type="expression" priority="134" dxfId="2">
      <formula>AND(AND($Z56&lt;TODAY(),$Z56&lt;&gt;""),$AA56="")</formula>
    </cfRule>
  </conditionalFormatting>
  <conditionalFormatting sqref="V54">
    <cfRule type="expression" priority="133" dxfId="2">
      <formula>AND(AND($Z54&lt;TODAY(),$Z54&lt;&gt;""),$AA54="")</formula>
    </cfRule>
    <cfRule type="expression" priority="132" dxfId="2">
      <formula>AND(AND($Z54&lt;TODAY(),$Z54&lt;&gt;""),$AA54="")</formula>
    </cfRule>
    <cfRule type="expression" priority="131" dxfId="2">
      <formula>AND(AND($Z54&lt;TODAY(),$Z54&lt;&gt;""),$AA54="")</formula>
    </cfRule>
    <cfRule type="expression" priority="130" dxfId="2">
      <formula>AND(AND($Z54&lt;TODAY(),$Z54&lt;&gt;""),$AA54="")</formula>
    </cfRule>
    <cfRule type="expression" priority="129" dxfId="2">
      <formula>AND(AND($Z54&lt;TODAY(),$Z54&lt;&gt;""),$AA54="")</formula>
    </cfRule>
    <cfRule type="expression" priority="128" dxfId="2">
      <formula>AND(AND($Z54&lt;TODAY(),$Z54&lt;&gt;""),$AA54="")</formula>
    </cfRule>
    <cfRule type="expression" priority="127" dxfId="2">
      <formula>AND(AND($Z54&lt;TODAY(),$Z54&lt;&gt;""),$AA54="")</formula>
    </cfRule>
    <cfRule type="expression" priority="126" dxfId="2">
      <formula>AND(AND($Z54&lt;TODAY(),$Z54&lt;&gt;""),$AA54="")</formula>
    </cfRule>
    <cfRule type="expression" priority="125" dxfId="2">
      <formula>AND(AND($Z54&lt;TODAY(),$Z54&lt;&gt;""),$AA54="")</formula>
    </cfRule>
    <cfRule type="expression" priority="124" dxfId="2">
      <formula>AND(AND($Z54&lt;TODAY(),$Z54&lt;&gt;""),$AA54="")</formula>
    </cfRule>
    <cfRule type="expression" priority="123" dxfId="2">
      <formula>AND(AND($Z54&lt;TODAY(),$Z54&lt;&gt;""),$AA54="")</formula>
    </cfRule>
    <cfRule type="expression" priority="122" dxfId="2">
      <formula>AND(AND($Z54&lt;TODAY(),$Z54&lt;&gt;""),$AA54="")</formula>
    </cfRule>
  </conditionalFormatting>
  <conditionalFormatting sqref="M57">
    <cfRule type="expression" priority="121" dxfId="420">
      <formula>"$G$G&gt;400"</formula>
    </cfRule>
  </conditionalFormatting>
  <conditionalFormatting sqref="V57">
    <cfRule type="expression" priority="120" dxfId="2">
      <formula>AND(AND($Z57&lt;TODAY(),$Z57&lt;&gt;""),$AA57="")</formula>
    </cfRule>
  </conditionalFormatting>
  <conditionalFormatting sqref="V58:V59">
    <cfRule type="expression" priority="119" dxfId="2">
      <formula>AND(AND($Z58&lt;TODAY(),$Z58&lt;&gt;""),$AA58="")</formula>
    </cfRule>
    <cfRule type="expression" priority="118" dxfId="2">
      <formula>AND(AND($Z58&lt;TODAY(),$Z58&lt;&gt;""),$AA58="")</formula>
    </cfRule>
    <cfRule type="expression" priority="117" dxfId="2">
      <formula>AND(AND($Z58&lt;TODAY(),$Z58&lt;&gt;""),$AA58="")</formula>
    </cfRule>
    <cfRule type="expression" priority="116" dxfId="2">
      <formula>AND(AND($Z58&lt;TODAY(),$Z58&lt;&gt;""),$AA58="")</formula>
    </cfRule>
    <cfRule type="expression" priority="115" dxfId="2">
      <formula>AND(AND($Z58&lt;TODAY(),$Z58&lt;&gt;""),$AA58="")</formula>
    </cfRule>
    <cfRule type="expression" priority="114" dxfId="2">
      <formula>AND(AND($Z58&lt;TODAY(),$Z58&lt;&gt;""),$AA58="")</formula>
    </cfRule>
    <cfRule type="expression" priority="113" dxfId="2">
      <formula>AND(AND($Z58&lt;TODAY(),$Z58&lt;&gt;""),$AA58="")</formula>
    </cfRule>
    <cfRule type="expression" priority="112" dxfId="2">
      <formula>AND(AND($Z58&lt;TODAY(),$Z58&lt;&gt;""),$AA58="")</formula>
    </cfRule>
    <cfRule type="expression" priority="111" dxfId="2">
      <formula>AND(AND($Z58&lt;TODAY(),$Z58&lt;&gt;""),$AA58="")</formula>
    </cfRule>
    <cfRule type="expression" priority="110" dxfId="2">
      <formula>AND(AND($Z58&lt;TODAY(),$Z58&lt;&gt;""),$AA58="")</formula>
    </cfRule>
    <cfRule type="expression" priority="109" dxfId="2">
      <formula>AND(AND($Z58&lt;TODAY(),$Z58&lt;&gt;""),$AA58="")</formula>
    </cfRule>
    <cfRule type="expression" priority="108" dxfId="2">
      <formula>AND(AND($Z58&lt;TODAY(),$Z58&lt;&gt;""),$AA58="")</formula>
    </cfRule>
  </conditionalFormatting>
  <conditionalFormatting sqref="M60">
    <cfRule type="expression" priority="107" dxfId="420">
      <formula>"$G$G&gt;400"</formula>
    </cfRule>
  </conditionalFormatting>
  <conditionalFormatting sqref="V60">
    <cfRule type="expression" priority="106" dxfId="2">
      <formula>AND(AND($Z60&lt;TODAY(),$Z60&lt;&gt;""),$AA60="")</formula>
    </cfRule>
  </conditionalFormatting>
  <conditionalFormatting sqref="V61">
    <cfRule type="expression" priority="105" dxfId="2">
      <formula>AND(AND($Z61&lt;TODAY(),$Z61&lt;&gt;""),$AA61="")</formula>
    </cfRule>
  </conditionalFormatting>
  <conditionalFormatting sqref="M62">
    <cfRule type="expression" priority="104" dxfId="420">
      <formula>"$G$G&gt;400"</formula>
    </cfRule>
  </conditionalFormatting>
  <conditionalFormatting sqref="V62">
    <cfRule type="expression" priority="103" dxfId="2">
      <formula>AND(AND($Z62&lt;TODAY(),$Z62&lt;&gt;""),$AA62="")</formula>
    </cfRule>
  </conditionalFormatting>
  <conditionalFormatting sqref="V63">
    <cfRule type="expression" priority="102" dxfId="2">
      <formula>AND(AND($Z63&lt;TODAY(),$Z63&lt;&gt;""),$AA63="")</formula>
    </cfRule>
  </conditionalFormatting>
  <conditionalFormatting sqref="M63">
    <cfRule type="expression" priority="101" dxfId="420">
      <formula>"$G$G&gt;400"</formula>
    </cfRule>
  </conditionalFormatting>
  <conditionalFormatting sqref="V64">
    <cfRule type="expression" priority="100" dxfId="2">
      <formula>AND(AND($Z64&lt;TODAY(),$Z64&lt;&gt;""),$AA64="")</formula>
    </cfRule>
  </conditionalFormatting>
  <conditionalFormatting sqref="M64">
    <cfRule type="expression" priority="99" dxfId="420">
      <formula>"$G$G&gt;400"</formula>
    </cfRule>
  </conditionalFormatting>
  <conditionalFormatting sqref="V65">
    <cfRule type="expression" priority="98" dxfId="2">
      <formula>AND(AND($Z65&lt;TODAY(),$Z65&lt;&gt;""),$AA65="")</formula>
    </cfRule>
  </conditionalFormatting>
  <conditionalFormatting sqref="M65">
    <cfRule type="expression" priority="97" dxfId="420">
      <formula>"$G$G&gt;400"</formula>
    </cfRule>
    <cfRule type="expression" priority="96" dxfId="420">
      <formula>"$G$G&gt;400"</formula>
    </cfRule>
  </conditionalFormatting>
  <conditionalFormatting sqref="M66">
    <cfRule type="expression" priority="95" dxfId="420">
      <formula>"$G$G&gt;400"</formula>
    </cfRule>
  </conditionalFormatting>
  <conditionalFormatting sqref="V66">
    <cfRule type="expression" priority="94" dxfId="2">
      <formula>AND(AND($Z66&lt;TODAY(),$Z66&lt;&gt;""),$AA66="")</formula>
    </cfRule>
  </conditionalFormatting>
  <conditionalFormatting sqref="M67">
    <cfRule type="expression" priority="93" dxfId="420">
      <formula>"$G$G&gt;400"</formula>
    </cfRule>
  </conditionalFormatting>
  <conditionalFormatting sqref="V67">
    <cfRule type="expression" priority="92" dxfId="2">
      <formula>AND(AND($Z67&lt;TODAY(),$Z67&lt;&gt;""),$AA67="")</formula>
    </cfRule>
  </conditionalFormatting>
  <conditionalFormatting sqref="V68">
    <cfRule type="expression" priority="91" dxfId="2">
      <formula>AND(AND($Z68&lt;TODAY(),$Z68&lt;&gt;""),$AA68="")</formula>
    </cfRule>
  </conditionalFormatting>
  <conditionalFormatting sqref="M68">
    <cfRule type="expression" priority="90" dxfId="420">
      <formula>"$G$G&gt;400"</formula>
    </cfRule>
  </conditionalFormatting>
  <conditionalFormatting sqref="V69">
    <cfRule type="expression" priority="89" dxfId="2">
      <formula>AND(AND($Z69&lt;TODAY(),$Z69&lt;&gt;""),$AA69="")</formula>
    </cfRule>
  </conditionalFormatting>
  <conditionalFormatting sqref="M69">
    <cfRule type="expression" priority="88" dxfId="420">
      <formula>"$G$G&gt;400"</formula>
    </cfRule>
    <cfRule type="expression" priority="87" dxfId="420">
      <formula>"$G$G&gt;400"</formula>
    </cfRule>
  </conditionalFormatting>
  <conditionalFormatting sqref="M70">
    <cfRule type="expression" priority="86" dxfId="420">
      <formula>"$G$G&gt;400"</formula>
    </cfRule>
  </conditionalFormatting>
  <conditionalFormatting sqref="V70">
    <cfRule type="expression" priority="85" dxfId="2">
      <formula>AND(AND($Z70&lt;TODAY(),$Z70&lt;&gt;""),$AA70="")</formula>
    </cfRule>
  </conditionalFormatting>
  <conditionalFormatting sqref="V71">
    <cfRule type="expression" priority="84" dxfId="2">
      <formula>AND(AND($Z71&lt;TODAY(),$Z71&lt;&gt;""),$AA71="")</formula>
    </cfRule>
  </conditionalFormatting>
  <conditionalFormatting sqref="M71">
    <cfRule type="expression" priority="83" dxfId="420">
      <formula>"$G$G&gt;400"</formula>
    </cfRule>
  </conditionalFormatting>
  <conditionalFormatting sqref="M72">
    <cfRule type="expression" priority="82" dxfId="420">
      <formula>"$G$G&gt;400"</formula>
    </cfRule>
  </conditionalFormatting>
  <conditionalFormatting sqref="V72">
    <cfRule type="expression" priority="81" dxfId="2">
      <formula>AND(AND($Z72&lt;TODAY(),$Z72&lt;&gt;""),$AA72="")</formula>
    </cfRule>
  </conditionalFormatting>
  <conditionalFormatting sqref="V73">
    <cfRule type="expression" priority="80" dxfId="2">
      <formula>AND(AND($Z73&lt;TODAY(),$Z73&lt;&gt;""),$AA73="")</formula>
    </cfRule>
  </conditionalFormatting>
  <conditionalFormatting sqref="V74">
    <cfRule type="expression" priority="79" dxfId="2">
      <formula>AND(AND($Z74&lt;TODAY(),$Z74&lt;&gt;""),$AA74="")</formula>
    </cfRule>
  </conditionalFormatting>
  <conditionalFormatting sqref="M74">
    <cfRule type="expression" priority="78" dxfId="420">
      <formula>"$G$G&gt;400"</formula>
    </cfRule>
  </conditionalFormatting>
  <conditionalFormatting sqref="V75">
    <cfRule type="expression" priority="77" dxfId="2">
      <formula>AND(AND($Z75&lt;TODAY(),$Z75&lt;&gt;""),$AA75="")</formula>
    </cfRule>
  </conditionalFormatting>
  <conditionalFormatting sqref="M75">
    <cfRule type="expression" priority="76" dxfId="420">
      <formula>"$G$G&gt;400"</formula>
    </cfRule>
    <cfRule type="expression" priority="75" dxfId="420">
      <formula>"$G$G&gt;400"</formula>
    </cfRule>
  </conditionalFormatting>
  <conditionalFormatting sqref="M76">
    <cfRule type="expression" priority="74" dxfId="420">
      <formula>"$G$G&gt;400"</formula>
    </cfRule>
  </conditionalFormatting>
  <conditionalFormatting sqref="V76">
    <cfRule type="expression" priority="73" dxfId="2">
      <formula>AND(AND($Z76&lt;TODAY(),$Z76&lt;&gt;""),$AA76="")</formula>
    </cfRule>
  </conditionalFormatting>
  <conditionalFormatting sqref="V77">
    <cfRule type="expression" priority="72" dxfId="2">
      <formula>AND(AND($Z77&lt;TODAY(),$Z77&lt;&gt;""),$AA77="")</formula>
    </cfRule>
  </conditionalFormatting>
  <conditionalFormatting sqref="M77">
    <cfRule type="expression" priority="71" dxfId="420">
      <formula>"$G$G&gt;400"</formula>
    </cfRule>
    <cfRule type="expression" priority="70" dxfId="420">
      <formula>"$G$G&gt;400"</formula>
    </cfRule>
  </conditionalFormatting>
  <conditionalFormatting sqref="V78">
    <cfRule type="expression" priority="69" dxfId="2">
      <formula>AND(AND($Z78&lt;TODAY(),$Z78&lt;&gt;""),$AA78="")</formula>
    </cfRule>
  </conditionalFormatting>
  <conditionalFormatting sqref="V79">
    <cfRule type="expression" priority="68" dxfId="2">
      <formula>AND(AND($Z79&lt;TODAY(),$Z79&lt;&gt;""),$AA79="")</formula>
    </cfRule>
  </conditionalFormatting>
  <conditionalFormatting sqref="M80">
    <cfRule type="expression" priority="67" dxfId="420">
      <formula>"$G$G&gt;400"</formula>
    </cfRule>
  </conditionalFormatting>
  <conditionalFormatting sqref="M81">
    <cfRule type="expression" priority="66" dxfId="420">
      <formula>"$G$G&gt;400"</formula>
    </cfRule>
  </conditionalFormatting>
  <conditionalFormatting sqref="M83">
    <cfRule type="expression" priority="65" dxfId="420">
      <formula>"$G$G&gt;400"</formula>
    </cfRule>
  </conditionalFormatting>
  <conditionalFormatting sqref="M84">
    <cfRule type="expression" priority="64" dxfId="420">
      <formula>"$G$G&gt;400"</formula>
    </cfRule>
  </conditionalFormatting>
  <conditionalFormatting sqref="V83">
    <cfRule type="expression" priority="63" dxfId="2">
      <formula>AND(AND($Z83&lt;TODAY(),$Z83&lt;&gt;""),$AA83="")</formula>
    </cfRule>
  </conditionalFormatting>
  <conditionalFormatting sqref="V84">
    <cfRule type="expression" priority="62" dxfId="2">
      <formula>AND(AND($Z84&lt;TODAY(),$Z84&lt;&gt;""),$AA84="")</formula>
    </cfRule>
  </conditionalFormatting>
  <conditionalFormatting sqref="V81">
    <cfRule type="expression" priority="61" dxfId="2">
      <formula>AND(AND($Z81&lt;TODAY(),$Z81&lt;&gt;""),$AA81="")</formula>
    </cfRule>
  </conditionalFormatting>
  <conditionalFormatting sqref="V80">
    <cfRule type="expression" priority="60" dxfId="2">
      <formula>AND(AND($Z80&lt;TODAY(),$Z80&lt;&gt;""),$AA80="")</formula>
    </cfRule>
  </conditionalFormatting>
  <conditionalFormatting sqref="V85">
    <cfRule type="expression" priority="59" dxfId="2">
      <formula>AND(AND($Z85&lt;TODAY(),$Z85&lt;&gt;""),$AA85="")</formula>
    </cfRule>
  </conditionalFormatting>
  <conditionalFormatting sqref="M85">
    <cfRule type="expression" priority="58" dxfId="420">
      <formula>"$G$G&gt;400"</formula>
    </cfRule>
  </conditionalFormatting>
  <conditionalFormatting sqref="V86">
    <cfRule type="expression" priority="57" dxfId="2">
      <formula>AND(AND($Z86&lt;TODAY(),$Z86&lt;&gt;""),$AA86="")</formula>
    </cfRule>
  </conditionalFormatting>
  <conditionalFormatting sqref="M86">
    <cfRule type="expression" priority="56" dxfId="420">
      <formula>"$G$G&gt;400"</formula>
    </cfRule>
  </conditionalFormatting>
  <conditionalFormatting sqref="V87">
    <cfRule type="expression" priority="55" dxfId="2">
      <formula>AND(AND($Z87&lt;TODAY(),$Z87&lt;&gt;""),$AA87="")</formula>
    </cfRule>
  </conditionalFormatting>
  <conditionalFormatting sqref="M87">
    <cfRule type="expression" priority="54" dxfId="420">
      <formula>"$G$G&gt;400"</formula>
    </cfRule>
  </conditionalFormatting>
  <conditionalFormatting sqref="V88">
    <cfRule type="expression" priority="53" dxfId="2">
      <formula>AND(AND($Z88&lt;TODAY(),$Z88&lt;&gt;""),$AA88="")</formula>
    </cfRule>
  </conditionalFormatting>
  <conditionalFormatting sqref="M88">
    <cfRule type="expression" priority="52" dxfId="420">
      <formula>"$G$G&gt;400"</formula>
    </cfRule>
  </conditionalFormatting>
  <conditionalFormatting sqref="V89">
    <cfRule type="expression" priority="51" dxfId="2">
      <formula>AND(AND($Z89&lt;TODAY(),$Z89&lt;&gt;""),$AA89="")</formula>
    </cfRule>
  </conditionalFormatting>
  <conditionalFormatting sqref="M89">
    <cfRule type="expression" priority="50" dxfId="420">
      <formula>"$G$G&gt;400"</formula>
    </cfRule>
    <cfRule type="expression" priority="49" dxfId="420">
      <formula>"$G$G&gt;400"</formula>
    </cfRule>
  </conditionalFormatting>
  <conditionalFormatting sqref="V90">
    <cfRule type="expression" priority="48" dxfId="2">
      <formula>AND(AND($Z90&lt;TODAY(),$Z90&lt;&gt;""),$AA90="")</formula>
    </cfRule>
  </conditionalFormatting>
  <conditionalFormatting sqref="M91">
    <cfRule type="expression" priority="47" dxfId="420">
      <formula>"$G$G&gt;400"</formula>
    </cfRule>
  </conditionalFormatting>
  <conditionalFormatting sqref="V91">
    <cfRule type="expression" priority="46" dxfId="2">
      <formula>AND(AND($Z91&lt;TODAY(),$Z91&lt;&gt;""),$AA91="")</formula>
    </cfRule>
  </conditionalFormatting>
  <conditionalFormatting sqref="M93">
    <cfRule type="expression" priority="45" dxfId="420">
      <formula>"$G$G&gt;400"</formula>
    </cfRule>
  </conditionalFormatting>
  <conditionalFormatting sqref="V93">
    <cfRule type="expression" priority="44" dxfId="2">
      <formula>AND(AND($Z93&lt;TODAY(),$Z93&lt;&gt;""),$AA93="")</formula>
    </cfRule>
  </conditionalFormatting>
  <conditionalFormatting sqref="M94:M96">
    <cfRule type="expression" priority="43" dxfId="420">
      <formula>"$G$G&gt;400"</formula>
    </cfRule>
  </conditionalFormatting>
  <conditionalFormatting sqref="V94:V96">
    <cfRule type="expression" priority="42" dxfId="2">
      <formula>AND(AND($Z94&lt;TODAY(),$Z94&lt;&gt;""),$AA94="")</formula>
    </cfRule>
  </conditionalFormatting>
  <conditionalFormatting sqref="M97">
    <cfRule type="expression" priority="41" dxfId="420">
      <formula>"$G$G&gt;400"</formula>
    </cfRule>
  </conditionalFormatting>
  <conditionalFormatting sqref="V97">
    <cfRule type="expression" priority="40" dxfId="2">
      <formula>AND(AND($Z97&lt;TODAY(),$Z97&lt;&gt;""),$AA97="")</formula>
    </cfRule>
  </conditionalFormatting>
  <conditionalFormatting sqref="M98">
    <cfRule type="expression" priority="39" dxfId="420">
      <formula>"$G$G&gt;400"</formula>
    </cfRule>
  </conditionalFormatting>
  <conditionalFormatting sqref="V98">
    <cfRule type="expression" priority="38" dxfId="2">
      <formula>AND(AND($Z98&lt;TODAY(),$Z98&lt;&gt;""),$AA98="")</formula>
    </cfRule>
  </conditionalFormatting>
  <conditionalFormatting sqref="V82">
    <cfRule type="expression" priority="37" dxfId="2">
      <formula>AND(AND($Z82&lt;TODAY(),$Z82&lt;&gt;""),$AA82="")</formula>
    </cfRule>
  </conditionalFormatting>
  <conditionalFormatting sqref="V92">
    <cfRule type="expression" priority="36" dxfId="2">
      <formula>AND(AND($Z92&lt;TODAY(),$Z92&lt;&gt;""),$AA92="")</formula>
    </cfRule>
  </conditionalFormatting>
  <conditionalFormatting sqref="M101 M104">
    <cfRule type="expression" priority="35" dxfId="420">
      <formula>"$G$G&gt;400"</formula>
    </cfRule>
  </conditionalFormatting>
  <conditionalFormatting sqref="V99:V102">
    <cfRule type="expression" priority="34" dxfId="2">
      <formula>AND(AND($Z99&lt;TODAY(),$Z99&lt;&gt;""),$AA99="")</formula>
    </cfRule>
  </conditionalFormatting>
  <conditionalFormatting sqref="M100">
    <cfRule type="expression" priority="33" dxfId="420">
      <formula>"$G$G&gt;400"</formula>
    </cfRule>
    <cfRule type="expression" priority="30" dxfId="420">
      <formula>"$G$G&gt;400"</formula>
    </cfRule>
    <cfRule type="expression" priority="26" dxfId="420">
      <formula>"$G$G&gt;400"</formula>
    </cfRule>
  </conditionalFormatting>
  <conditionalFormatting sqref="M102">
    <cfRule type="expression" priority="32" dxfId="420">
      <formula>"$G$G&gt;400"</formula>
    </cfRule>
    <cfRule type="expression" priority="29" dxfId="420">
      <formula>"$G$G&gt;400"</formula>
    </cfRule>
    <cfRule type="expression" priority="25" dxfId="420">
      <formula>"$G$G&gt;400"</formula>
    </cfRule>
  </conditionalFormatting>
  <conditionalFormatting sqref="M101">
    <cfRule type="expression" priority="31" dxfId="420">
      <formula>"$G$G&gt;400"</formula>
    </cfRule>
    <cfRule type="expression" priority="28" dxfId="420">
      <formula>"$G$G&gt;400"</formula>
    </cfRule>
    <cfRule type="expression" priority="24" dxfId="420">
      <formula>"$G$G&gt;400"</formula>
    </cfRule>
  </conditionalFormatting>
  <conditionalFormatting sqref="M104">
    <cfRule type="expression" priority="27" dxfId="420">
      <formula>"$G$G&gt;400"</formula>
    </cfRule>
  </conditionalFormatting>
  <conditionalFormatting sqref="M107">
    <cfRule type="expression" priority="23" dxfId="420">
      <formula>"$G$G&gt;400"</formula>
    </cfRule>
    <cfRule type="expression" priority="22" dxfId="420">
      <formula>"$G$G&gt;400"</formula>
    </cfRule>
  </conditionalFormatting>
  <conditionalFormatting sqref="M108">
    <cfRule type="expression" priority="21" dxfId="420">
      <formula>"$G$G&gt;400"</formula>
    </cfRule>
    <cfRule type="expression" priority="20" dxfId="420">
      <formula>"$G$G&gt;400"</formula>
    </cfRule>
  </conditionalFormatting>
  <conditionalFormatting sqref="M106">
    <cfRule type="expression" priority="19" dxfId="420">
      <formula>"$G$G&gt;400"</formula>
    </cfRule>
    <cfRule type="expression" priority="18" dxfId="420">
      <formula>"$G$G&gt;400"</formula>
    </cfRule>
  </conditionalFormatting>
  <conditionalFormatting sqref="M105">
    <cfRule type="expression" priority="17" dxfId="420">
      <formula>"$G$G&gt;400"</formula>
    </cfRule>
    <cfRule type="expression" priority="16" dxfId="420">
      <formula>"$G$G&gt;400"</formula>
    </cfRule>
  </conditionalFormatting>
  <conditionalFormatting sqref="M109">
    <cfRule type="expression" priority="15" dxfId="420">
      <formula>"$G$G&gt;400"</formula>
    </cfRule>
  </conditionalFormatting>
  <conditionalFormatting sqref="M110">
    <cfRule type="expression" priority="14" dxfId="420">
      <formula>"$G$G&gt;400"</formula>
    </cfRule>
  </conditionalFormatting>
  <conditionalFormatting sqref="M112">
    <cfRule type="expression" priority="13" dxfId="420">
      <formula>"$G$G&gt;400"</formula>
    </cfRule>
  </conditionalFormatting>
  <conditionalFormatting sqref="M99">
    <cfRule type="expression" priority="12" dxfId="420">
      <formula>"$G$G&gt;400"</formula>
    </cfRule>
  </conditionalFormatting>
  <conditionalFormatting sqref="V103:V108">
    <cfRule type="expression" priority="11" dxfId="2">
      <formula>AND(AND($Z103&lt;TODAY(),$Z103&lt;&gt;""),$AA103="")</formula>
    </cfRule>
  </conditionalFormatting>
  <conditionalFormatting sqref="V109">
    <cfRule type="expression" priority="10" dxfId="2">
      <formula>AND(AND($Z109&lt;TODAY(),$Z109&lt;&gt;""),$AA109="")</formula>
    </cfRule>
  </conditionalFormatting>
  <conditionalFormatting sqref="M111">
    <cfRule type="expression" priority="9" dxfId="420">
      <formula>"$G$G&gt;400"</formula>
    </cfRule>
  </conditionalFormatting>
  <conditionalFormatting sqref="V115">
    <cfRule type="expression" priority="4" dxfId="2">
      <formula>AND(AND($Z115&lt;TODAY(),$Z115&lt;&gt;""),$AA115="")</formula>
    </cfRule>
  </conditionalFormatting>
  <conditionalFormatting sqref="V114">
    <cfRule type="expression" priority="8" dxfId="2">
      <formula>AND(AND($Z114&lt;TODAY(),$Z114&lt;&gt;""),$AA114="")</formula>
    </cfRule>
  </conditionalFormatting>
  <conditionalFormatting sqref="M114">
    <cfRule type="expression" priority="7" dxfId="420">
      <formula>"$G$G&gt;400"</formula>
    </cfRule>
  </conditionalFormatting>
  <conditionalFormatting sqref="M115">
    <cfRule type="expression" priority="6" dxfId="420">
      <formula>"$G$G&gt;400"</formula>
    </cfRule>
    <cfRule type="expression" priority="5" dxfId="420">
      <formula>"$G$G&gt;400"</formula>
    </cfRule>
  </conditionalFormatting>
  <conditionalFormatting sqref="F1">
    <cfRule type="expression" priority="3" dxfId="2">
      <formula>ISBLANK($G1)</formula>
    </cfRule>
  </conditionalFormatting>
  <conditionalFormatting sqref="M1">
    <cfRule type="expression" priority="2" dxfId="420">
      <formula>"$G$G&gt;400"</formula>
    </cfRule>
  </conditionalFormatting>
  <conditionalFormatting sqref="AB1">
    <cfRule type="iconSet" priority="1">
      <iconSet iconSet="3Symbols2">
        <cfvo type="percent" val="0"/>
        <cfvo type="percent" val="33"/>
        <cfvo type="percent" val="67"/>
      </iconSet>
    </cfRule>
  </conditionalFormatting>
  <dataValidations count="1">
    <dataValidation sqref="J2:J115" showDropDown="0" showInputMessage="1" showErrorMessage="1" allowBlank="1" type="list">
      <formula1>Spesenart</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26.xml><?xml version="1.0" encoding="utf-8"?>
<worksheet xmlns="http://schemas.openxmlformats.org/spreadsheetml/2006/main">
  <sheetPr codeName="Tabelle17">
    <outlinePr summaryBelow="1" summaryRight="1"/>
    <pageSetUpPr/>
  </sheetPr>
  <dimension ref="A1:Q16"/>
  <sheetViews>
    <sheetView workbookViewId="0">
      <selection activeCell="A1" sqref="A1:P12"/>
    </sheetView>
  </sheetViews>
  <sheetFormatPr baseColWidth="10" defaultRowHeight="15"/>
  <cols>
    <col hidden="1" min="2" max="3"/>
    <col hidden="1" min="5" max="5"/>
    <col hidden="1" min="7" max="7"/>
    <col hidden="1" min="11" max="11"/>
    <col hidden="1" min="14" max="15"/>
  </cols>
  <sheetData>
    <row r="1">
      <c r="A1" s="40" t="inlineStr">
        <is>
          <t>Rechnungsnummer</t>
        </is>
      </c>
      <c r="B1" s="40" t="inlineStr">
        <is>
          <t>Rechnungsdatum</t>
        </is>
      </c>
      <c r="C1" s="40" t="inlineStr">
        <is>
          <t>Zahlungsziel</t>
        </is>
      </c>
      <c r="D1" s="40" t="inlineStr">
        <is>
          <t>Zahlungsdatum</t>
        </is>
      </c>
      <c r="E1" s="40" t="inlineStr">
        <is>
          <t>Mahnungsdatum</t>
        </is>
      </c>
      <c r="F1" s="40" t="inlineStr">
        <is>
          <t>Rechnungsempfänger</t>
        </is>
      </c>
      <c r="G1" s="40" t="inlineStr">
        <is>
          <t>Bezeichnung</t>
        </is>
      </c>
      <c r="H1" s="2" t="inlineStr">
        <is>
          <t>Kategorie</t>
        </is>
      </c>
      <c r="I1" s="2" t="inlineStr">
        <is>
          <t>Spesenart</t>
        </is>
      </c>
      <c r="J1" s="207" t="inlineStr">
        <is>
          <t>Brutto</t>
        </is>
      </c>
      <c r="K1" s="40" t="inlineStr">
        <is>
          <t>USt.</t>
        </is>
      </c>
      <c r="L1" s="2" t="inlineStr">
        <is>
          <t>USt.</t>
        </is>
      </c>
      <c r="M1" s="207" t="inlineStr">
        <is>
          <t>Vorsteuer</t>
        </is>
      </c>
      <c r="N1" s="42" t="inlineStr">
        <is>
          <t xml:space="preserve"> USt Fälligkeit</t>
        </is>
      </c>
      <c r="O1" s="40" t="inlineStr">
        <is>
          <t>USt abgerechnet</t>
        </is>
      </c>
      <c r="P1" s="207" t="inlineStr">
        <is>
          <t>Netto</t>
        </is>
      </c>
      <c r="Q1" s="40" t="n"/>
    </row>
    <row r="2">
      <c r="A2" t="n">
        <v>12018001</v>
      </c>
      <c r="B2" s="44" t="n">
        <v>43215</v>
      </c>
      <c r="C2" s="1" t="n">
        <v>43229</v>
      </c>
      <c r="D2" s="44" t="n">
        <v>43215</v>
      </c>
      <c r="E2" s="43" t="n"/>
      <c r="F2" s="43" t="inlineStr">
        <is>
          <t>Dr. Arno Kolbitsch, Zivilingenieur, Gütleweg 1, 6822 Satteins</t>
        </is>
      </c>
      <c r="G2" s="43" t="inlineStr">
        <is>
          <t>P15001MJ</t>
        </is>
      </c>
      <c r="H2" s="43" t="inlineStr">
        <is>
          <t>Einnahmen</t>
        </is>
      </c>
      <c r="I2" s="43" t="inlineStr">
        <is>
          <t>Waren-/Leistungserlöse</t>
        </is>
      </c>
      <c r="J2" s="206" t="n">
        <v>417.1799999999999</v>
      </c>
      <c r="K2" t="n">
        <v>20</v>
      </c>
      <c r="L2">
        <f>K2&amp;"%"</f>
        <v/>
      </c>
      <c r="M2" s="206" t="n">
        <v>69.53</v>
      </c>
      <c r="N2" s="44" t="n">
        <v>43327</v>
      </c>
      <c r="O2" s="1" t="n">
        <v>43318</v>
      </c>
      <c r="P2" s="206" t="n">
        <v>347.65</v>
      </c>
      <c r="Q2" s="43" t="n"/>
    </row>
    <row r="3">
      <c r="A3" t="n">
        <v>12018002</v>
      </c>
      <c r="B3" s="1" t="n">
        <v>43220</v>
      </c>
      <c r="C3" s="1" t="n">
        <v>43234</v>
      </c>
      <c r="D3" s="44" t="n">
        <v>43223</v>
      </c>
      <c r="E3" s="43" t="n"/>
      <c r="F3" t="inlineStr">
        <is>
          <t>Stokol GmbH, Weiglg. 10/10d/11, 1150 Wien</t>
        </is>
      </c>
      <c r="G3" s="43" t="n"/>
      <c r="H3" s="43" t="inlineStr">
        <is>
          <t>Einnahmen</t>
        </is>
      </c>
      <c r="I3" s="43" t="inlineStr">
        <is>
          <t>Waren-/Leistungserlöse</t>
        </is>
      </c>
      <c r="J3" s="206" t="n">
        <v>1006.836</v>
      </c>
      <c r="K3" t="n">
        <v>20</v>
      </c>
      <c r="L3">
        <f>K3&amp;"%"</f>
        <v/>
      </c>
      <c r="M3" s="206" t="n">
        <v>167.806</v>
      </c>
      <c r="N3" s="44" t="n">
        <v>43327</v>
      </c>
      <c r="O3" s="1" t="n">
        <v>43318</v>
      </c>
      <c r="P3" s="206" t="n">
        <v>839.03</v>
      </c>
      <c r="Q3" s="43" t="n"/>
    </row>
    <row r="4">
      <c r="A4" t="n">
        <v>12018003</v>
      </c>
      <c r="B4" s="44" t="n">
        <v>43287</v>
      </c>
      <c r="C4" s="1" t="n">
        <v>43301</v>
      </c>
      <c r="D4" s="44" t="n">
        <v>43290</v>
      </c>
      <c r="E4" s="43" t="n"/>
      <c r="F4" s="43" t="inlineStr">
        <is>
          <t>H. Jaros e.U., Fischhof 3/23, 1010 Wien, ATU 67698048</t>
        </is>
      </c>
      <c r="G4" s="43" t="n"/>
      <c r="H4" s="43" t="inlineStr">
        <is>
          <t>Einnahmen</t>
        </is>
      </c>
      <c r="I4" s="43" t="inlineStr">
        <is>
          <t>Waren-/Leistungserlöse</t>
        </is>
      </c>
      <c r="J4" s="206" t="n">
        <v>2800.428</v>
      </c>
      <c r="K4" t="n">
        <v>20</v>
      </c>
      <c r="L4">
        <f>K4&amp;"%"</f>
        <v/>
      </c>
      <c r="M4" s="206" t="n">
        <v>466.7380000000001</v>
      </c>
      <c r="N4" s="44" t="n">
        <v>43419</v>
      </c>
      <c r="O4" s="44" t="n">
        <v>43418</v>
      </c>
      <c r="P4" s="206" t="n">
        <v>2333.69</v>
      </c>
      <c r="Q4" s="43" t="n"/>
    </row>
    <row r="5">
      <c r="A5" t="n">
        <v>12018004</v>
      </c>
      <c r="B5" s="44" t="n">
        <v>43290</v>
      </c>
      <c r="C5" s="1" t="n">
        <v>43304</v>
      </c>
      <c r="D5" s="44" t="n">
        <v>43292</v>
      </c>
      <c r="E5" s="43" t="n"/>
      <c r="F5" t="inlineStr">
        <is>
          <t>Stokol GmbH, Weiglg. 10/10d/11, 1150 Wien</t>
        </is>
      </c>
      <c r="G5" s="43" t="n"/>
      <c r="H5" s="43" t="inlineStr">
        <is>
          <t>Einnahmen</t>
        </is>
      </c>
      <c r="I5" s="43" t="inlineStr">
        <is>
          <t>Waren-/Leistungserlöse</t>
        </is>
      </c>
      <c r="J5" s="206" t="n">
        <v>837.1799999999999</v>
      </c>
      <c r="K5" t="n">
        <v>20</v>
      </c>
      <c r="L5">
        <f>K5&amp;"%"</f>
        <v/>
      </c>
      <c r="M5" s="206" t="n">
        <v>139.53</v>
      </c>
      <c r="N5" s="44" t="n">
        <v>43419</v>
      </c>
      <c r="O5" s="44" t="n">
        <v>43418</v>
      </c>
      <c r="P5" s="206" t="n">
        <v>697.65</v>
      </c>
      <c r="Q5" s="43" t="n"/>
    </row>
    <row r="6">
      <c r="A6" t="n">
        <v>12018005</v>
      </c>
      <c r="B6" s="44" t="n">
        <v>43289</v>
      </c>
      <c r="C6" s="1" t="n">
        <v>43303</v>
      </c>
      <c r="D6" s="44" t="n">
        <v>43291</v>
      </c>
      <c r="E6" s="43" t="n"/>
      <c r="F6" s="43" t="inlineStr">
        <is>
          <t>Dr. Arno Kolbitsch, Zivilingenieur, Gütleweg 1, 6822 Satteins</t>
        </is>
      </c>
      <c r="G6" s="43" t="inlineStr">
        <is>
          <t>P15001MJ</t>
        </is>
      </c>
      <c r="H6" s="43" t="inlineStr">
        <is>
          <t>Einnahmen</t>
        </is>
      </c>
      <c r="I6" s="43" t="inlineStr">
        <is>
          <t>Waren-/Leistungserlöse</t>
        </is>
      </c>
      <c r="J6" s="206" t="n">
        <v>12.384</v>
      </c>
      <c r="K6" t="n">
        <v>20</v>
      </c>
      <c r="L6">
        <f>K6&amp;"%"</f>
        <v/>
      </c>
      <c r="M6" s="206" t="n">
        <v>2.064</v>
      </c>
      <c r="N6" s="44" t="n">
        <v>43419</v>
      </c>
      <c r="O6" s="44" t="n">
        <v>43418</v>
      </c>
      <c r="P6" s="206" t="n">
        <v>10.32</v>
      </c>
      <c r="Q6" s="43" t="n"/>
    </row>
    <row r="7">
      <c r="A7" t="n">
        <v>12018006</v>
      </c>
      <c r="B7" s="44" t="n">
        <v>43314</v>
      </c>
      <c r="C7" s="1" t="n">
        <v>43328</v>
      </c>
      <c r="D7" s="44" t="n">
        <v>43315</v>
      </c>
      <c r="E7" s="43" t="n"/>
      <c r="F7" s="43" t="inlineStr">
        <is>
          <t>H. Jaros e.U., Fischhof 3/23, 1010 Wien, ATU 67698048</t>
        </is>
      </c>
      <c r="G7" s="43" t="n"/>
      <c r="H7" s="43" t="inlineStr">
        <is>
          <t>Einnahmen</t>
        </is>
      </c>
      <c r="I7" s="43" t="inlineStr">
        <is>
          <t>Waren-/Leistungserlöse</t>
        </is>
      </c>
      <c r="J7" s="206" t="n">
        <v>14576.19</v>
      </c>
      <c r="K7" t="n">
        <v>20</v>
      </c>
      <c r="L7">
        <f>K7&amp;"%"</f>
        <v/>
      </c>
      <c r="M7" s="206" t="n">
        <v>2429.364</v>
      </c>
      <c r="N7" s="44" t="n">
        <v>43419</v>
      </c>
      <c r="O7" s="44" t="n">
        <v>43418</v>
      </c>
      <c r="P7" s="206" t="n">
        <v>12146.82</v>
      </c>
      <c r="Q7" s="43" t="n"/>
    </row>
    <row r="8">
      <c r="A8" t="n">
        <v>12018007</v>
      </c>
      <c r="B8" s="44" t="n">
        <v>43376</v>
      </c>
      <c r="C8" s="1" t="n">
        <v>43390</v>
      </c>
      <c r="D8" s="44" t="n">
        <v>43358</v>
      </c>
      <c r="E8" s="43" t="n"/>
      <c r="F8" s="43" t="inlineStr">
        <is>
          <t>Dr. Arno Kolbitsch, Zivilingenieur, Gütleweg 1, 6822 Satteins</t>
        </is>
      </c>
      <c r="G8" s="43" t="inlineStr">
        <is>
          <t>P15001MJ</t>
        </is>
      </c>
      <c r="H8" s="43" t="inlineStr">
        <is>
          <t>Einnahmen</t>
        </is>
      </c>
      <c r="I8" s="43" t="inlineStr">
        <is>
          <t>Waren-/Leistungserlöse</t>
        </is>
      </c>
      <c r="J8" s="206" t="n">
        <v>359.988</v>
      </c>
      <c r="K8" t="n">
        <v>20</v>
      </c>
      <c r="L8">
        <f>K8&amp;"%"</f>
        <v/>
      </c>
      <c r="M8" s="206" t="n">
        <v>59.998</v>
      </c>
      <c r="N8" s="44" t="n">
        <v>43419</v>
      </c>
      <c r="O8" s="44" t="n">
        <v>43418</v>
      </c>
      <c r="P8" s="206" t="n">
        <v>299.99</v>
      </c>
    </row>
    <row r="9">
      <c r="A9" t="n">
        <v>12018008</v>
      </c>
      <c r="B9" s="44" t="n">
        <v>43376</v>
      </c>
      <c r="C9" s="1" t="n">
        <v>43390</v>
      </c>
      <c r="D9" s="44" t="n">
        <v>43409</v>
      </c>
      <c r="E9" s="44" t="n">
        <v>43397</v>
      </c>
      <c r="F9" t="inlineStr">
        <is>
          <t>Stokol GmbH, Weiglg. 10/10d/11, 1150 Wien</t>
        </is>
      </c>
      <c r="G9" s="43" t="n"/>
      <c r="H9" s="43" t="inlineStr">
        <is>
          <t>Einnahmen</t>
        </is>
      </c>
      <c r="I9" s="43" t="inlineStr">
        <is>
          <t>Waren-/Leistungserlöse</t>
        </is>
      </c>
      <c r="J9" s="206" t="n">
        <v>369.72</v>
      </c>
      <c r="K9" t="n">
        <v>20</v>
      </c>
      <c r="L9">
        <f>K9&amp;"%"</f>
        <v/>
      </c>
      <c r="M9" s="206" t="n">
        <v>61.62</v>
      </c>
      <c r="N9" s="44" t="n">
        <v>43511</v>
      </c>
      <c r="O9" s="43" t="n"/>
      <c r="P9" s="206" t="n">
        <v>308.1</v>
      </c>
      <c r="Q9" s="43" t="n"/>
    </row>
    <row r="10">
      <c r="A10" t="n">
        <v>12018009</v>
      </c>
      <c r="B10" s="44" t="n">
        <v>43418</v>
      </c>
      <c r="C10" s="1" t="n">
        <v>43432</v>
      </c>
      <c r="D10" s="44" t="n">
        <v>43388</v>
      </c>
      <c r="E10" s="43" t="n"/>
      <c r="F10" s="43" t="inlineStr">
        <is>
          <t>Dr. Arno Kolbitsch, Zivilingenieur, Gütleweg 1, 6822 Satteins</t>
        </is>
      </c>
      <c r="G10" s="43" t="inlineStr">
        <is>
          <t>P15001MJ</t>
        </is>
      </c>
      <c r="H10" s="43" t="inlineStr">
        <is>
          <t>Einnahmen</t>
        </is>
      </c>
      <c r="I10" s="43" t="inlineStr">
        <is>
          <t>Waren-/Leistungserlöse</t>
        </is>
      </c>
      <c r="J10" s="206" t="n">
        <v>586.296</v>
      </c>
      <c r="K10" t="n">
        <v>20</v>
      </c>
      <c r="L10">
        <f>K10&amp;"%"</f>
        <v/>
      </c>
      <c r="M10" s="206" t="n">
        <v>97.71600000000001</v>
      </c>
      <c r="N10" s="44" t="n">
        <v>43511</v>
      </c>
      <c r="O10" s="44" t="n"/>
      <c r="P10" s="206" t="n">
        <v>488.58</v>
      </c>
      <c r="Q10" s="43" t="n"/>
    </row>
    <row r="11">
      <c r="A11" t="n">
        <v>12018010</v>
      </c>
      <c r="B11" s="44" t="n">
        <v>43454</v>
      </c>
      <c r="C11" s="44" t="n">
        <v>43468</v>
      </c>
      <c r="D11" s="44" t="n">
        <v>43462</v>
      </c>
      <c r="E11" s="43" t="n"/>
      <c r="F11" t="inlineStr">
        <is>
          <t>foxcraft OG, Laudongasse 58/16, 1080 Wien</t>
        </is>
      </c>
      <c r="G11" s="43" t="n"/>
      <c r="H11" s="43" t="inlineStr">
        <is>
          <t>Einnahmen</t>
        </is>
      </c>
      <c r="I11" s="43" t="inlineStr">
        <is>
          <t>Waren-/Leistungserlöse</t>
        </is>
      </c>
      <c r="J11" s="206" t="n">
        <v>952.5359999999999</v>
      </c>
      <c r="K11" t="n">
        <v>20</v>
      </c>
      <c r="L11">
        <f>K11&amp;"%"</f>
        <v/>
      </c>
      <c r="M11" s="206" t="n">
        <v>158.756</v>
      </c>
      <c r="N11" s="44" t="n">
        <v>43511</v>
      </c>
      <c r="O11" s="43" t="n"/>
      <c r="P11" s="206" t="n">
        <v>793.78</v>
      </c>
      <c r="Q11" s="43" t="n"/>
    </row>
    <row r="12">
      <c r="A12" t="n">
        <v>12018014</v>
      </c>
      <c r="B12" s="44" t="n">
        <v>43461</v>
      </c>
      <c r="C12" s="1" t="n">
        <v>43475</v>
      </c>
      <c r="D12" s="44" t="n">
        <v>43461</v>
      </c>
      <c r="E12" s="43" t="n"/>
      <c r="F12" s="43" t="inlineStr">
        <is>
          <t>Dr. Arno Kolbitsch, Zivilingenieur, Gütleweg 1, 6822 Satteins</t>
        </is>
      </c>
      <c r="G12" s="43" t="n"/>
      <c r="H12" s="43" t="inlineStr">
        <is>
          <t>Einnahmen</t>
        </is>
      </c>
      <c r="I12" s="43" t="inlineStr">
        <is>
          <t>Waren-/Leistungserlöse</t>
        </is>
      </c>
      <c r="J12" s="206" t="n">
        <v>10125.756</v>
      </c>
      <c r="K12" t="n">
        <v>20</v>
      </c>
      <c r="L12">
        <f>K12&amp;"%"</f>
        <v/>
      </c>
      <c r="M12" s="206" t="n">
        <v>1687.626</v>
      </c>
      <c r="N12" s="44" t="n">
        <v>43511</v>
      </c>
      <c r="O12" s="43" t="n"/>
      <c r="P12" s="206" t="n">
        <v>8438.129999999999</v>
      </c>
      <c r="Q12" s="43" t="n"/>
    </row>
    <row r="13">
      <c r="B13" s="44" t="n"/>
      <c r="C13" s="1" t="n"/>
      <c r="D13" s="44" t="n"/>
      <c r="E13" s="43" t="n"/>
      <c r="F13" s="43" t="n"/>
      <c r="G13" s="43" t="n"/>
      <c r="H13" s="43" t="n"/>
      <c r="I13" s="43" t="n"/>
      <c r="J13" s="206" t="n"/>
      <c r="M13" s="206" t="n"/>
      <c r="N13" s="44" t="n"/>
      <c r="O13" s="43" t="n"/>
      <c r="P13" s="206" t="n"/>
      <c r="Q13" s="43" t="n"/>
    </row>
    <row r="14">
      <c r="B14" s="44" t="n"/>
      <c r="C14" s="1" t="n"/>
      <c r="D14" s="44" t="n"/>
      <c r="E14" s="43" t="n"/>
      <c r="G14" s="43" t="n"/>
      <c r="H14" s="43" t="n"/>
      <c r="I14" s="43" t="n"/>
      <c r="J14" s="206" t="n"/>
      <c r="M14" s="206" t="n"/>
      <c r="N14" s="44" t="n"/>
      <c r="O14" s="43" t="n"/>
      <c r="P14" s="206" t="n"/>
      <c r="Q14" s="43" t="n"/>
    </row>
    <row r="15">
      <c r="B15" s="44" t="n"/>
      <c r="C15" s="44" t="n"/>
      <c r="D15" s="44" t="n"/>
      <c r="E15" s="43" t="n"/>
      <c r="G15" s="43" t="n"/>
      <c r="H15" s="43" t="n"/>
      <c r="I15" s="43" t="n"/>
      <c r="J15" s="206" t="n"/>
      <c r="M15" s="206" t="n"/>
      <c r="N15" s="44" t="n"/>
      <c r="O15" s="43" t="n"/>
      <c r="P15" s="206" t="n"/>
      <c r="Q15" s="43" t="n"/>
    </row>
    <row r="16">
      <c r="H16" s="43" t="n"/>
      <c r="I16" s="43" t="n"/>
    </row>
  </sheetData>
  <conditionalFormatting sqref="N1 N11:N13">
    <cfRule type="expression" priority="14" dxfId="2">
      <formula>AND(AND($S1&lt;TODAY(),$S1&lt;&gt;""),$T1="")</formula>
    </cfRule>
  </conditionalFormatting>
  <conditionalFormatting sqref="E1:E6 E8:E15">
    <cfRule type="expression" priority="13" dxfId="1390">
      <formula>OR(AND($C1&lt;TODAY(),ISBLANK($D1)),$D1&gt;$C1)</formula>
    </cfRule>
  </conditionalFormatting>
  <conditionalFormatting sqref="N2">
    <cfRule type="expression" priority="12" dxfId="2">
      <formula>AND(AND($S2&lt;TODAY(),$S2&lt;&gt;""),$T2="")</formula>
    </cfRule>
  </conditionalFormatting>
  <conditionalFormatting sqref="N3">
    <cfRule type="expression" priority="11" dxfId="2">
      <formula>AND(AND($S3&lt;TODAY(),$S3&lt;&gt;""),$T3="")</formula>
    </cfRule>
  </conditionalFormatting>
  <conditionalFormatting sqref="E7">
    <cfRule type="expression" priority="10" dxfId="1390">
      <formula>OR(AND($C7&lt;TODAY(),ISBLANK($D7)),$D7&gt;$C7)</formula>
    </cfRule>
  </conditionalFormatting>
  <conditionalFormatting sqref="N5:N7">
    <cfRule type="expression" priority="9" dxfId="2">
      <formula>AND(AND($S5&lt;TODAY(),$S5&lt;&gt;""),$T5="")</formula>
    </cfRule>
  </conditionalFormatting>
  <conditionalFormatting sqref="N4">
    <cfRule type="expression" priority="8" dxfId="2">
      <formula>AND(AND($S4&lt;TODAY(),$S4&lt;&gt;""),$T4="")</formula>
    </cfRule>
  </conditionalFormatting>
  <conditionalFormatting sqref="N8">
    <cfRule type="expression" priority="7" dxfId="2">
      <formula>AND(AND($S8&lt;TODAY(),$S8&lt;&gt;""),$T8="")</formula>
    </cfRule>
  </conditionalFormatting>
  <conditionalFormatting sqref="N9">
    <cfRule type="expression" priority="6" dxfId="2">
      <formula>AND(AND($S9&lt;TODAY(),$S9&lt;&gt;""),$T9="")</formula>
    </cfRule>
  </conditionalFormatting>
  <conditionalFormatting sqref="N10">
    <cfRule type="expression" priority="5" dxfId="2">
      <formula>AND(AND($S10&lt;TODAY(),$S10&lt;&gt;""),$T10="")</formula>
    </cfRule>
  </conditionalFormatting>
  <conditionalFormatting sqref="N14:N15">
    <cfRule type="expression" priority="3" dxfId="2">
      <formula>AND(AND($S14&lt;TODAY(),$S14&lt;&gt;""),$T14="")</formula>
    </cfRule>
  </conditionalFormatting>
  <pageMargins left="0.7" right="0.7" top="0.787401575" bottom="0.787401575" header="0.3" footer="0.3"/>
  <pageSetup orientation="portrait" paperSize="9"/>
</worksheet>
</file>

<file path=xl/worksheets/sheet27.xml><?xml version="1.0" encoding="utf-8"?>
<worksheet xmlns="http://schemas.openxmlformats.org/spreadsheetml/2006/main">
  <sheetPr codeName="Tabelle18">
    <outlinePr summaryBelow="1" summaryRight="1"/>
    <pageSetUpPr/>
  </sheetPr>
  <dimension ref="A1:XFC131"/>
  <sheetViews>
    <sheetView topLeftCell="D1" workbookViewId="0">
      <pane xSplit="1" ySplit="1" topLeftCell="E2" activePane="bottomRight" state="frozen"/>
      <selection activeCell="D1" sqref="D1"/>
      <selection pane="topRight" activeCell="E1" sqref="E1"/>
      <selection pane="bottomLeft" activeCell="D2" sqref="D2"/>
      <selection pane="bottomRight" activeCell="J2" sqref="J2"/>
    </sheetView>
  </sheetViews>
  <sheetFormatPr baseColWidth="10" defaultRowHeight="15"/>
  <cols>
    <col hidden="1" min="1" max="3"/>
    <col hidden="1" width="11.42578125" customWidth="1" min="5" max="5"/>
    <col hidden="1" width="11.42578125" customWidth="1" min="8" max="8"/>
    <col width="36.7109375" customWidth="1" min="10" max="10"/>
    <col hidden="1" width="14" customWidth="1" min="11" max="11"/>
    <col hidden="1" width="7.5703125" customWidth="1" min="12" max="12"/>
    <col hidden="1" width="16.42578125" customWidth="1" min="13" max="13"/>
    <col hidden="1" width="10.28515625" customWidth="1" min="14" max="14"/>
    <col width="15.28515625" customWidth="1" min="15" max="15"/>
    <col hidden="1" width="9" customWidth="1" min="17" max="17"/>
    <col hidden="1" width="16.85546875" customWidth="1" min="18" max="18"/>
    <col width="16.85546875" bestFit="1" customWidth="1" min="19" max="19"/>
    <col width="18.85546875" bestFit="1" customWidth="1" min="20" max="20"/>
    <col hidden="1" width="13" customWidth="1" min="21" max="21"/>
    <col hidden="1" width="11.42578125" customWidth="1" min="22" max="27"/>
  </cols>
  <sheetData>
    <row r="1" ht="22.5" customHeight="1">
      <c r="A1" s="2" t="inlineStr">
        <is>
          <t>Lfd. Nr.</t>
        </is>
      </c>
      <c r="B1" s="2" t="inlineStr">
        <is>
          <t>Jahr</t>
        </is>
      </c>
      <c r="C1" s="2" t="inlineStr">
        <is>
          <t>Belegnr.</t>
        </is>
      </c>
      <c r="D1" s="63" t="inlineStr">
        <is>
          <t>lfd. Nr.</t>
        </is>
      </c>
      <c r="E1" s="8" t="inlineStr">
        <is>
          <t>Rechnungsnummer</t>
        </is>
      </c>
      <c r="F1" s="63" t="inlineStr">
        <is>
          <t>Datum</t>
        </is>
      </c>
      <c r="G1" s="63" t="inlineStr">
        <is>
          <t>Text</t>
        </is>
      </c>
      <c r="H1" s="15" t="inlineStr">
        <is>
          <t>Nutzungsdauer</t>
        </is>
      </c>
      <c r="I1" s="63" t="inlineStr">
        <is>
          <t>Kategorie</t>
        </is>
      </c>
      <c r="J1" s="63" t="inlineStr">
        <is>
          <t>Spesenart</t>
        </is>
      </c>
      <c r="K1" s="15" t="inlineStr">
        <is>
          <t>Weiterverkauf</t>
        </is>
      </c>
      <c r="L1" s="2" t="inlineStr">
        <is>
          <t>AfA</t>
        </is>
      </c>
      <c r="M1" s="11" t="inlineStr">
        <is>
          <t>Netto Einzelpreis</t>
        </is>
      </c>
      <c r="N1" s="52" t="inlineStr">
        <is>
          <t>Anteil (v1)</t>
        </is>
      </c>
      <c r="O1" s="63" t="inlineStr">
        <is>
          <t>Bruttobetrag</t>
        </is>
      </c>
      <c r="P1" s="63" t="inlineStr">
        <is>
          <t>Steuersatz</t>
        </is>
      </c>
      <c r="Q1" s="26" t="inlineStr">
        <is>
          <t>USt.(%)</t>
        </is>
      </c>
      <c r="R1" s="261" t="inlineStr">
        <is>
          <t>Vorsteuer gesamt</t>
        </is>
      </c>
      <c r="S1" s="63" t="inlineStr">
        <is>
          <t>Steuer
Betrag</t>
        </is>
      </c>
      <c r="T1" s="63" t="inlineStr">
        <is>
          <t>Nettobetrag</t>
        </is>
      </c>
      <c r="U1" s="263" t="inlineStr">
        <is>
          <t>Brutto (100%)</t>
        </is>
      </c>
      <c r="V1" s="34" t="inlineStr">
        <is>
          <t xml:space="preserve"> USt Fälligkeit</t>
        </is>
      </c>
      <c r="W1" s="26" t="inlineStr">
        <is>
          <t>USt abgerechnet</t>
        </is>
      </c>
      <c r="X1" s="26" t="inlineStr">
        <is>
          <t>IG / in Ö steuerbar</t>
        </is>
      </c>
      <c r="Y1" s="264" t="inlineStr">
        <is>
          <t>ESt: Betrag abzugsfähig</t>
        </is>
      </c>
      <c r="Z1" s="26" t="inlineStr">
        <is>
          <t>In Ö z.e. Vorsteuer</t>
        </is>
      </c>
      <c r="AA1" s="2" t="inlineStr">
        <is>
          <t>Fehler bei "steuerbar"</t>
        </is>
      </c>
      <c r="AB1" s="2" t="n"/>
      <c r="AC1" s="2" t="n"/>
      <c r="AD1" s="2" t="n"/>
      <c r="AE1" s="2" t="n"/>
      <c r="AF1" s="2" t="n"/>
      <c r="AG1" s="2" t="n"/>
      <c r="AH1" s="2" t="n"/>
      <c r="AI1" s="2" t="n"/>
      <c r="AJ1" s="2" t="n"/>
      <c r="AK1" s="2" t="n"/>
      <c r="AL1" s="2" t="n"/>
      <c r="AM1" s="2" t="n"/>
      <c r="AN1" s="2" t="n"/>
      <c r="AO1" s="2" t="n"/>
      <c r="AP1" s="2" t="n"/>
      <c r="AQ1" s="2" t="n"/>
      <c r="AR1" s="2" t="n"/>
      <c r="AS1" s="2" t="n"/>
      <c r="AT1" s="2" t="n"/>
      <c r="AU1" s="2" t="n"/>
      <c r="AV1" s="2" t="n"/>
      <c r="AW1" s="2" t="n"/>
      <c r="AX1" s="2" t="n"/>
      <c r="AY1" s="2" t="n"/>
      <c r="AZ1" s="2" t="n"/>
      <c r="BA1" s="2" t="n"/>
      <c r="BB1" s="2" t="n"/>
      <c r="BC1" s="2" t="n"/>
      <c r="BD1" s="2" t="n"/>
      <c r="BE1" s="2" t="n"/>
      <c r="BF1" s="2" t="n"/>
      <c r="BG1" s="2" t="n"/>
      <c r="BH1" s="2" t="n"/>
      <c r="BI1" s="2" t="n"/>
      <c r="BJ1" s="2" t="n"/>
      <c r="BK1" s="2" t="n"/>
      <c r="BL1" s="2" t="n"/>
      <c r="BM1" s="2" t="n"/>
      <c r="BN1" s="2" t="n"/>
      <c r="BO1" s="2" t="n"/>
      <c r="BP1" s="2" t="n"/>
      <c r="BQ1" s="2" t="n"/>
      <c r="BR1" s="2" t="n"/>
      <c r="BS1" s="2" t="n"/>
      <c r="BT1" s="2" t="n"/>
      <c r="BU1" s="2" t="n"/>
      <c r="BV1" s="2" t="n"/>
      <c r="BW1" s="2" t="n"/>
      <c r="BX1" s="2" t="n"/>
      <c r="BY1" s="2" t="n"/>
      <c r="BZ1" s="2" t="n"/>
      <c r="CA1" s="2" t="n"/>
      <c r="CB1" s="2" t="n"/>
      <c r="CC1" s="2" t="n"/>
      <c r="CD1" s="2" t="n"/>
      <c r="CE1" s="2" t="n"/>
      <c r="CF1" s="2" t="n"/>
      <c r="CG1" s="2" t="n"/>
      <c r="CH1" s="2" t="n"/>
      <c r="CI1" s="2" t="n"/>
      <c r="CJ1" s="2" t="n"/>
      <c r="CK1" s="2" t="n"/>
      <c r="CL1" s="2" t="n"/>
      <c r="CM1" s="2" t="n"/>
      <c r="CN1" s="2" t="n"/>
      <c r="CO1" s="2" t="n"/>
      <c r="CP1" s="2" t="n"/>
      <c r="CQ1" s="2" t="n"/>
      <c r="CR1" s="2" t="n"/>
      <c r="CS1" s="2" t="n"/>
      <c r="CT1" s="2" t="n"/>
      <c r="CU1" s="2" t="n"/>
      <c r="CV1" s="2" t="n"/>
      <c r="CW1" s="2" t="n"/>
      <c r="CX1" s="2" t="n"/>
      <c r="CY1" s="2" t="n"/>
      <c r="CZ1" s="2" t="n"/>
      <c r="DA1" s="2" t="n"/>
      <c r="DB1" s="2" t="n"/>
      <c r="DC1" s="2" t="n"/>
      <c r="DD1" s="2" t="n"/>
      <c r="DE1" s="2" t="n"/>
      <c r="DF1" s="2" t="n"/>
      <c r="DG1" s="2" t="n"/>
      <c r="DH1" s="2" t="n"/>
      <c r="DI1" s="2" t="n"/>
      <c r="DJ1" s="2" t="n"/>
      <c r="DK1" s="2" t="n"/>
      <c r="DL1" s="2" t="n"/>
      <c r="DM1" s="2" t="n"/>
      <c r="DN1" s="2" t="n"/>
      <c r="DO1" s="2" t="n"/>
      <c r="DP1" s="2" t="n"/>
      <c r="DQ1" s="2" t="n"/>
      <c r="DR1" s="2" t="n"/>
      <c r="DS1" s="2" t="n"/>
      <c r="DT1" s="2" t="n"/>
      <c r="DU1" s="2" t="n"/>
      <c r="DV1" s="2" t="n"/>
      <c r="DW1" s="2" t="n"/>
      <c r="DX1" s="2" t="n"/>
      <c r="DY1" s="2" t="n"/>
      <c r="DZ1" s="2" t="n"/>
      <c r="EA1" s="2" t="n"/>
      <c r="EB1" s="2" t="n"/>
      <c r="EC1" s="2" t="n"/>
      <c r="ED1" s="2" t="n"/>
      <c r="EE1" s="2" t="n"/>
      <c r="EF1" s="2" t="n"/>
      <c r="EG1" s="2" t="n"/>
      <c r="EH1" s="2" t="n"/>
      <c r="EI1" s="2" t="n"/>
      <c r="EJ1" s="2" t="n"/>
      <c r="EK1" s="2" t="n"/>
      <c r="EL1" s="2" t="n"/>
      <c r="EM1" s="2" t="n"/>
      <c r="EN1" s="2" t="n"/>
      <c r="EO1" s="2" t="n"/>
      <c r="EP1" s="2" t="n"/>
      <c r="EQ1" s="2" t="n"/>
      <c r="ER1" s="2" t="n"/>
      <c r="ES1" s="2" t="n"/>
      <c r="ET1" s="2" t="n"/>
      <c r="EU1" s="2" t="n"/>
      <c r="EV1" s="2" t="n"/>
      <c r="EW1" s="2" t="n"/>
      <c r="EX1" s="2" t="n"/>
      <c r="EY1" s="2" t="n"/>
      <c r="EZ1" s="2" t="n"/>
      <c r="FA1" s="2" t="n"/>
      <c r="FB1" s="2" t="n"/>
      <c r="FC1" s="2" t="n"/>
      <c r="FD1" s="2" t="n"/>
      <c r="FE1" s="2" t="n"/>
      <c r="FF1" s="2" t="n"/>
      <c r="FG1" s="2" t="n"/>
      <c r="FH1" s="2" t="n"/>
      <c r="FI1" s="2" t="n"/>
      <c r="FJ1" s="2" t="n"/>
      <c r="FK1" s="2" t="n"/>
      <c r="FL1" s="2" t="n"/>
      <c r="FM1" s="2" t="n"/>
      <c r="FN1" s="2" t="n"/>
      <c r="FO1" s="2" t="n"/>
      <c r="FP1" s="2" t="n"/>
      <c r="FQ1" s="2" t="n"/>
      <c r="FR1" s="2" t="n"/>
      <c r="FS1" s="2" t="n"/>
      <c r="FT1" s="2" t="n"/>
      <c r="FU1" s="2" t="n"/>
      <c r="FV1" s="2" t="n"/>
      <c r="FW1" s="2" t="n"/>
      <c r="FX1" s="2" t="n"/>
      <c r="FY1" s="2" t="n"/>
      <c r="FZ1" s="2" t="n"/>
      <c r="GA1" s="2" t="n"/>
      <c r="GB1" s="2" t="n"/>
      <c r="GC1" s="2" t="n"/>
      <c r="GD1" s="2" t="n"/>
      <c r="GE1" s="2" t="n"/>
      <c r="GF1" s="2" t="n"/>
      <c r="GG1" s="2" t="n"/>
      <c r="GH1" s="2" t="n"/>
      <c r="GI1" s="2" t="n"/>
      <c r="GJ1" s="2" t="n"/>
      <c r="GK1" s="2" t="n"/>
      <c r="GL1" s="2" t="n"/>
      <c r="GM1" s="2" t="n"/>
      <c r="GN1" s="2" t="n"/>
      <c r="GO1" s="2" t="n"/>
      <c r="GP1" s="2" t="n"/>
      <c r="GQ1" s="2" t="n"/>
      <c r="GR1" s="2" t="n"/>
      <c r="GS1" s="2" t="n"/>
      <c r="GT1" s="2" t="n"/>
      <c r="GU1" s="2" t="n"/>
      <c r="GV1" s="2" t="n"/>
      <c r="GW1" s="2" t="n"/>
      <c r="GX1" s="2" t="n"/>
      <c r="GY1" s="2" t="n"/>
      <c r="GZ1" s="2" t="n"/>
      <c r="HA1" s="2" t="n"/>
      <c r="HB1" s="2" t="n"/>
      <c r="HC1" s="2" t="n"/>
      <c r="HD1" s="2" t="n"/>
      <c r="HE1" s="2" t="n"/>
      <c r="HF1" s="2" t="n"/>
      <c r="HG1" s="2" t="n"/>
      <c r="HH1" s="2" t="n"/>
      <c r="HI1" s="2" t="n"/>
      <c r="HJ1" s="2" t="n"/>
      <c r="HK1" s="2" t="n"/>
      <c r="HL1" s="2" t="n"/>
      <c r="HM1" s="2" t="n"/>
      <c r="HN1" s="2" t="n"/>
      <c r="HO1" s="2" t="n"/>
      <c r="HP1" s="2" t="n"/>
      <c r="HQ1" s="2" t="n"/>
      <c r="HR1" s="2" t="n"/>
      <c r="HS1" s="2" t="n"/>
      <c r="HT1" s="2" t="n"/>
      <c r="HU1" s="2" t="n"/>
      <c r="HV1" s="2" t="n"/>
      <c r="HW1" s="2" t="n"/>
      <c r="HX1" s="2" t="n"/>
      <c r="HY1" s="2" t="n"/>
      <c r="HZ1" s="2" t="n"/>
      <c r="IA1" s="2" t="n"/>
      <c r="IB1" s="2" t="n"/>
      <c r="IC1" s="2" t="n"/>
      <c r="ID1" s="2" t="n"/>
      <c r="IE1" s="2" t="n"/>
      <c r="IF1" s="2" t="n"/>
      <c r="IG1" s="2" t="n"/>
      <c r="IH1" s="2" t="n"/>
      <c r="II1" s="2" t="n"/>
      <c r="IJ1" s="2" t="n"/>
      <c r="IK1" s="2" t="n"/>
      <c r="IL1" s="2" t="n"/>
      <c r="IM1" s="2" t="n"/>
      <c r="IN1" s="2" t="n"/>
      <c r="IO1" s="2" t="n"/>
      <c r="IP1" s="2" t="n"/>
      <c r="IQ1" s="2" t="n"/>
      <c r="IR1" s="2" t="n"/>
      <c r="IS1" s="2" t="n"/>
      <c r="IT1" s="2" t="n"/>
      <c r="IU1" s="2" t="n"/>
      <c r="IV1" s="2" t="n"/>
      <c r="IW1" s="2" t="n"/>
      <c r="IX1" s="2" t="n"/>
      <c r="IY1" s="2" t="n"/>
      <c r="IZ1" s="2" t="n"/>
      <c r="JA1" s="2" t="n"/>
      <c r="JB1" s="2" t="n"/>
      <c r="JC1" s="2" t="n"/>
      <c r="JD1" s="2" t="n"/>
      <c r="JE1" s="2" t="n"/>
      <c r="JF1" s="2" t="n"/>
      <c r="JG1" s="2" t="n"/>
      <c r="JH1" s="2" t="n"/>
      <c r="JI1" s="2" t="n"/>
      <c r="JJ1" s="2" t="n"/>
      <c r="JK1" s="2" t="n"/>
      <c r="JL1" s="2" t="n"/>
      <c r="JM1" s="2" t="n"/>
      <c r="JN1" s="2" t="n"/>
      <c r="JO1" s="2" t="n"/>
      <c r="JP1" s="2" t="n"/>
      <c r="JQ1" s="2" t="n"/>
      <c r="JR1" s="2" t="n"/>
      <c r="JS1" s="2" t="n"/>
      <c r="JT1" s="2" t="n"/>
      <c r="JU1" s="2" t="n"/>
      <c r="JV1" s="2" t="n"/>
      <c r="JW1" s="2" t="n"/>
      <c r="JX1" s="2" t="n"/>
      <c r="JY1" s="2" t="n"/>
      <c r="JZ1" s="2" t="n"/>
      <c r="KA1" s="2" t="n"/>
      <c r="KB1" s="2" t="n"/>
      <c r="KC1" s="2" t="n"/>
      <c r="KD1" s="2" t="n"/>
      <c r="KE1" s="2" t="n"/>
      <c r="KF1" s="2" t="n"/>
      <c r="KG1" s="2" t="n"/>
      <c r="KH1" s="2" t="n"/>
      <c r="KI1" s="2" t="n"/>
      <c r="KJ1" s="2" t="n"/>
      <c r="KK1" s="2" t="n"/>
      <c r="KL1" s="2" t="n"/>
      <c r="KM1" s="2" t="n"/>
      <c r="KN1" s="2" t="n"/>
      <c r="KO1" s="2" t="n"/>
      <c r="KP1" s="2" t="n"/>
      <c r="KQ1" s="2" t="n"/>
      <c r="KR1" s="2" t="n"/>
      <c r="KS1" s="2" t="n"/>
      <c r="KT1" s="2" t="n"/>
      <c r="KU1" s="2" t="n"/>
      <c r="KV1" s="2" t="n"/>
      <c r="KW1" s="2" t="n"/>
      <c r="KX1" s="2" t="n"/>
      <c r="KY1" s="2" t="n"/>
      <c r="KZ1" s="2" t="n"/>
      <c r="LA1" s="2" t="n"/>
      <c r="LB1" s="2" t="n"/>
      <c r="LC1" s="2" t="n"/>
      <c r="LD1" s="2" t="n"/>
      <c r="LE1" s="2" t="n"/>
      <c r="LF1" s="2" t="n"/>
      <c r="LG1" s="2" t="n"/>
      <c r="LH1" s="2" t="n"/>
      <c r="LI1" s="2" t="n"/>
      <c r="LJ1" s="2" t="n"/>
      <c r="LK1" s="2" t="n"/>
      <c r="LL1" s="2" t="n"/>
      <c r="LM1" s="2" t="n"/>
      <c r="LN1" s="2" t="n"/>
      <c r="LO1" s="2" t="n"/>
      <c r="LP1" s="2" t="n"/>
      <c r="LQ1" s="2" t="n"/>
      <c r="LR1" s="2" t="n"/>
      <c r="LS1" s="2" t="n"/>
      <c r="LT1" s="2" t="n"/>
      <c r="LU1" s="2" t="n"/>
      <c r="LV1" s="2" t="n"/>
      <c r="LW1" s="2" t="n"/>
      <c r="LX1" s="2" t="n"/>
      <c r="LY1" s="2" t="n"/>
      <c r="LZ1" s="2" t="n"/>
      <c r="MA1" s="2" t="n"/>
      <c r="MB1" s="2" t="n"/>
      <c r="MC1" s="2" t="n"/>
      <c r="MD1" s="2" t="n"/>
      <c r="ME1" s="2" t="n"/>
      <c r="MF1" s="2" t="n"/>
      <c r="MG1" s="2" t="n"/>
      <c r="MH1" s="2" t="n"/>
      <c r="MI1" s="2" t="n"/>
      <c r="MJ1" s="2" t="n"/>
      <c r="MK1" s="2" t="n"/>
      <c r="ML1" s="2" t="n"/>
      <c r="MM1" s="2" t="n"/>
      <c r="MN1" s="2" t="n"/>
      <c r="MO1" s="2" t="n"/>
      <c r="MP1" s="2" t="n"/>
      <c r="MQ1" s="2" t="n"/>
      <c r="MR1" s="2" t="n"/>
      <c r="MS1" s="2" t="n"/>
      <c r="MT1" s="2" t="n"/>
      <c r="MU1" s="2" t="n"/>
      <c r="MV1" s="2" t="n"/>
      <c r="MW1" s="2" t="n"/>
      <c r="MX1" s="2" t="n"/>
      <c r="MY1" s="2" t="n"/>
      <c r="MZ1" s="2" t="n"/>
      <c r="NA1" s="2" t="n"/>
      <c r="NB1" s="2" t="n"/>
      <c r="NC1" s="2" t="n"/>
      <c r="ND1" s="2" t="n"/>
      <c r="NE1" s="2" t="n"/>
      <c r="NF1" s="2" t="n"/>
      <c r="NG1" s="2" t="n"/>
      <c r="NH1" s="2" t="n"/>
      <c r="NI1" s="2" t="n"/>
      <c r="NJ1" s="2" t="n"/>
      <c r="NK1" s="2" t="n"/>
      <c r="NL1" s="2" t="n"/>
      <c r="NM1" s="2" t="n"/>
      <c r="NN1" s="2" t="n"/>
      <c r="NO1" s="2" t="n"/>
      <c r="NP1" s="2" t="n"/>
      <c r="NQ1" s="2" t="n"/>
      <c r="NR1" s="2" t="n"/>
      <c r="NS1" s="2" t="n"/>
      <c r="NT1" s="2" t="n"/>
      <c r="NU1" s="2" t="n"/>
      <c r="NV1" s="2" t="n"/>
      <c r="NW1" s="2" t="n"/>
      <c r="NX1" s="2" t="n"/>
      <c r="NY1" s="2" t="n"/>
      <c r="NZ1" s="2" t="n"/>
      <c r="OA1" s="2" t="n"/>
      <c r="OB1" s="2" t="n"/>
      <c r="OC1" s="2" t="n"/>
      <c r="OD1" s="2" t="n"/>
      <c r="OE1" s="2" t="n"/>
      <c r="OF1" s="2" t="n"/>
      <c r="OG1" s="2" t="n"/>
      <c r="OH1" s="2" t="n"/>
      <c r="OI1" s="2" t="n"/>
      <c r="OJ1" s="2" t="n"/>
      <c r="OK1" s="2" t="n"/>
      <c r="OL1" s="2" t="n"/>
      <c r="OM1" s="2" t="n"/>
      <c r="ON1" s="2" t="n"/>
      <c r="OO1" s="2" t="n"/>
      <c r="OP1" s="2" t="n"/>
      <c r="OQ1" s="2" t="n"/>
      <c r="OR1" s="2" t="n"/>
      <c r="OS1" s="2" t="n"/>
      <c r="OT1" s="2" t="n"/>
      <c r="OU1" s="2" t="n"/>
      <c r="OV1" s="2" t="n"/>
      <c r="OW1" s="2" t="n"/>
      <c r="OX1" s="2" t="n"/>
      <c r="OY1" s="2" t="n"/>
      <c r="OZ1" s="2" t="n"/>
      <c r="PA1" s="2" t="n"/>
      <c r="PB1" s="2" t="n"/>
      <c r="PC1" s="2" t="n"/>
      <c r="PD1" s="2" t="n"/>
      <c r="PE1" s="2" t="n"/>
      <c r="PF1" s="2" t="n"/>
      <c r="PG1" s="2" t="n"/>
      <c r="PH1" s="2" t="n"/>
      <c r="PI1" s="2" t="n"/>
      <c r="PJ1" s="2" t="n"/>
      <c r="PK1" s="2" t="n"/>
      <c r="PL1" s="2" t="n"/>
      <c r="PM1" s="2" t="n"/>
      <c r="PN1" s="2" t="n"/>
      <c r="PO1" s="2" t="n"/>
      <c r="PP1" s="2" t="n"/>
      <c r="PQ1" s="2" t="n"/>
      <c r="PR1" s="2" t="n"/>
      <c r="PS1" s="2" t="n"/>
      <c r="PT1" s="2" t="n"/>
      <c r="PU1" s="2" t="n"/>
      <c r="PV1" s="2" t="n"/>
      <c r="PW1" s="2" t="n"/>
      <c r="PX1" s="2" t="n"/>
      <c r="PY1" s="2" t="n"/>
      <c r="PZ1" s="2" t="n"/>
      <c r="QA1" s="2" t="n"/>
      <c r="QB1" s="2" t="n"/>
      <c r="QC1" s="2" t="n"/>
      <c r="QD1" s="2" t="n"/>
      <c r="QE1" s="2" t="n"/>
      <c r="QF1" s="2" t="n"/>
      <c r="QG1" s="2" t="n"/>
      <c r="QH1" s="2" t="n"/>
      <c r="QI1" s="2" t="n"/>
      <c r="QJ1" s="2" t="n"/>
      <c r="QK1" s="2" t="n"/>
      <c r="QL1" s="2" t="n"/>
      <c r="QM1" s="2" t="n"/>
      <c r="QN1" s="2" t="n"/>
      <c r="QO1" s="2" t="n"/>
      <c r="QP1" s="2" t="n"/>
      <c r="QQ1" s="2" t="n"/>
      <c r="QR1" s="2" t="n"/>
      <c r="QS1" s="2" t="n"/>
      <c r="QT1" s="2" t="n"/>
      <c r="QU1" s="2" t="n"/>
      <c r="QV1" s="2" t="n"/>
      <c r="QW1" s="2" t="n"/>
      <c r="QX1" s="2" t="n"/>
      <c r="QY1" s="2" t="n"/>
      <c r="QZ1" s="2" t="n"/>
      <c r="RA1" s="2" t="n"/>
      <c r="RB1" s="2" t="n"/>
      <c r="RC1" s="2" t="n"/>
      <c r="RD1" s="2" t="n"/>
      <c r="RE1" s="2" t="n"/>
      <c r="RF1" s="2" t="n"/>
      <c r="RG1" s="2" t="n"/>
      <c r="RH1" s="2" t="n"/>
      <c r="RI1" s="2" t="n"/>
      <c r="RJ1" s="2" t="n"/>
      <c r="RK1" s="2" t="n"/>
      <c r="RL1" s="2" t="n"/>
      <c r="RM1" s="2" t="n"/>
      <c r="RN1" s="2" t="n"/>
      <c r="RO1" s="2" t="n"/>
      <c r="RP1" s="2" t="n"/>
      <c r="RQ1" s="2" t="n"/>
      <c r="RR1" s="2" t="n"/>
      <c r="RS1" s="2" t="n"/>
      <c r="RT1" s="2" t="n"/>
      <c r="RU1" s="2" t="n"/>
      <c r="RV1" s="2" t="n"/>
      <c r="RW1" s="2" t="n"/>
      <c r="RX1" s="2" t="n"/>
      <c r="RY1" s="2" t="n"/>
      <c r="RZ1" s="2" t="n"/>
      <c r="SA1" s="2" t="n"/>
      <c r="SB1" s="2" t="n"/>
      <c r="SC1" s="2" t="n"/>
      <c r="SD1" s="2" t="n"/>
      <c r="SE1" s="2" t="n"/>
      <c r="SF1" s="2" t="n"/>
      <c r="SG1" s="2" t="n"/>
      <c r="SH1" s="2" t="n"/>
      <c r="SI1" s="2" t="n"/>
      <c r="SJ1" s="2" t="n"/>
      <c r="SK1" s="2" t="n"/>
      <c r="SL1" s="2" t="n"/>
      <c r="SM1" s="2" t="n"/>
      <c r="SN1" s="2" t="n"/>
      <c r="SO1" s="2" t="n"/>
      <c r="SP1" s="2" t="n"/>
      <c r="SQ1" s="2" t="n"/>
      <c r="SR1" s="2" t="n"/>
      <c r="SS1" s="2" t="n"/>
      <c r="ST1" s="2" t="n"/>
      <c r="SU1" s="2" t="n"/>
      <c r="SV1" s="2" t="n"/>
      <c r="SW1" s="2" t="n"/>
      <c r="SX1" s="2" t="n"/>
      <c r="SY1" s="2" t="n"/>
      <c r="SZ1" s="2" t="n"/>
      <c r="TA1" s="2" t="n"/>
      <c r="TB1" s="2" t="n"/>
      <c r="TC1" s="2" t="n"/>
      <c r="TD1" s="2" t="n"/>
      <c r="TE1" s="2" t="n"/>
      <c r="TF1" s="2" t="n"/>
      <c r="TG1" s="2" t="n"/>
      <c r="TH1" s="2" t="n"/>
      <c r="TI1" s="2" t="n"/>
      <c r="TJ1" s="2" t="n"/>
      <c r="TK1" s="2" t="n"/>
      <c r="TL1" s="2" t="n"/>
      <c r="TM1" s="2" t="n"/>
      <c r="TN1" s="2" t="n"/>
      <c r="TO1" s="2" t="n"/>
      <c r="TP1" s="2" t="n"/>
      <c r="TQ1" s="2" t="n"/>
      <c r="TR1" s="2" t="n"/>
      <c r="TS1" s="2" t="n"/>
      <c r="TT1" s="2" t="n"/>
      <c r="TU1" s="2" t="n"/>
      <c r="TV1" s="2" t="n"/>
      <c r="TW1" s="2" t="n"/>
      <c r="TX1" s="2" t="n"/>
      <c r="TY1" s="2" t="n"/>
      <c r="TZ1" s="2" t="n"/>
      <c r="UA1" s="2" t="n"/>
      <c r="UB1" s="2" t="n"/>
      <c r="UC1" s="2" t="n"/>
      <c r="UD1" s="2" t="n"/>
      <c r="UE1" s="2" t="n"/>
      <c r="UF1" s="2" t="n"/>
      <c r="UG1" s="2" t="n"/>
      <c r="UH1" s="2" t="n"/>
      <c r="UI1" s="2" t="n"/>
      <c r="UJ1" s="2" t="n"/>
      <c r="UK1" s="2" t="n"/>
      <c r="UL1" s="2" t="n"/>
      <c r="UM1" s="2" t="n"/>
      <c r="UN1" s="2" t="n"/>
      <c r="UO1" s="2" t="n"/>
      <c r="UP1" s="2" t="n"/>
      <c r="UQ1" s="2" t="n"/>
      <c r="UR1" s="2" t="n"/>
      <c r="US1" s="2" t="n"/>
      <c r="UT1" s="2" t="n"/>
      <c r="UU1" s="2" t="n"/>
      <c r="UV1" s="2" t="n"/>
      <c r="UW1" s="2" t="n"/>
      <c r="UX1" s="2" t="n"/>
      <c r="UY1" s="2" t="n"/>
      <c r="UZ1" s="2" t="n"/>
      <c r="VA1" s="2" t="n"/>
      <c r="VB1" s="2" t="n"/>
      <c r="VC1" s="2" t="n"/>
      <c r="VD1" s="2" t="n"/>
      <c r="VE1" s="2" t="n"/>
      <c r="VF1" s="2" t="n"/>
      <c r="VG1" s="2" t="n"/>
      <c r="VH1" s="2" t="n"/>
      <c r="VI1" s="2" t="n"/>
      <c r="VJ1" s="2" t="n"/>
      <c r="VK1" s="2" t="n"/>
      <c r="VL1" s="2" t="n"/>
      <c r="VM1" s="2" t="n"/>
      <c r="VN1" s="2" t="n"/>
      <c r="VO1" s="2" t="n"/>
      <c r="VP1" s="2" t="n"/>
      <c r="VQ1" s="2" t="n"/>
      <c r="VR1" s="2" t="n"/>
      <c r="VS1" s="2" t="n"/>
      <c r="VT1" s="2" t="n"/>
      <c r="VU1" s="2" t="n"/>
      <c r="VV1" s="2" t="n"/>
      <c r="VW1" s="2" t="n"/>
      <c r="VX1" s="2" t="n"/>
      <c r="VY1" s="2" t="n"/>
      <c r="VZ1" s="2" t="n"/>
      <c r="WA1" s="2" t="n"/>
      <c r="WB1" s="2" t="n"/>
      <c r="WC1" s="2" t="n"/>
      <c r="WD1" s="2" t="n"/>
      <c r="WE1" s="2" t="n"/>
      <c r="WF1" s="2" t="n"/>
      <c r="WG1" s="2" t="n"/>
      <c r="WH1" s="2" t="n"/>
      <c r="WI1" s="2" t="n"/>
      <c r="WJ1" s="2" t="n"/>
      <c r="WK1" s="2" t="n"/>
      <c r="WL1" s="2" t="n"/>
      <c r="WM1" s="2" t="n"/>
      <c r="WN1" s="2" t="n"/>
      <c r="WO1" s="2" t="n"/>
      <c r="WP1" s="2" t="n"/>
      <c r="WQ1" s="2" t="n"/>
      <c r="WR1" s="2" t="n"/>
      <c r="WS1" s="2" t="n"/>
      <c r="WT1" s="2" t="n"/>
      <c r="WU1" s="2" t="n"/>
      <c r="WV1" s="2" t="n"/>
      <c r="WW1" s="2" t="n"/>
      <c r="WX1" s="2" t="n"/>
      <c r="WY1" s="2" t="n"/>
      <c r="WZ1" s="2" t="n"/>
      <c r="XA1" s="2" t="n"/>
      <c r="XB1" s="2" t="n"/>
      <c r="XC1" s="2" t="n"/>
      <c r="XD1" s="2" t="n"/>
      <c r="XE1" s="2" t="n"/>
      <c r="XF1" s="2" t="n"/>
      <c r="XG1" s="2" t="n"/>
      <c r="XH1" s="2" t="n"/>
      <c r="XI1" s="2" t="n"/>
      <c r="XJ1" s="2" t="n"/>
      <c r="XK1" s="2" t="n"/>
      <c r="XL1" s="2" t="n"/>
      <c r="XM1" s="2" t="n"/>
      <c r="XN1" s="2" t="n"/>
      <c r="XO1" s="2" t="n"/>
      <c r="XP1" s="2" t="n"/>
      <c r="XQ1" s="2" t="n"/>
      <c r="XR1" s="2" t="n"/>
      <c r="XS1" s="2" t="n"/>
      <c r="XT1" s="2" t="n"/>
      <c r="XU1" s="2" t="n"/>
      <c r="XV1" s="2" t="n"/>
      <c r="XW1" s="2" t="n"/>
      <c r="XX1" s="2" t="n"/>
      <c r="XY1" s="2" t="n"/>
      <c r="XZ1" s="2" t="n"/>
      <c r="YA1" s="2" t="n"/>
      <c r="YB1" s="2" t="n"/>
      <c r="YC1" s="2" t="n"/>
      <c r="YD1" s="2" t="n"/>
      <c r="YE1" s="2" t="n"/>
      <c r="YF1" s="2" t="n"/>
      <c r="YG1" s="2" t="n"/>
      <c r="YH1" s="2" t="n"/>
      <c r="YI1" s="2" t="n"/>
      <c r="YJ1" s="2" t="n"/>
      <c r="YK1" s="2" t="n"/>
      <c r="YL1" s="2" t="n"/>
      <c r="YM1" s="2" t="n"/>
      <c r="YN1" s="2" t="n"/>
      <c r="YO1" s="2" t="n"/>
      <c r="YP1" s="2" t="n"/>
      <c r="YQ1" s="2" t="n"/>
      <c r="YR1" s="2" t="n"/>
      <c r="YS1" s="2" t="n"/>
      <c r="YT1" s="2" t="n"/>
      <c r="YU1" s="2" t="n"/>
      <c r="YV1" s="2" t="n"/>
      <c r="YW1" s="2" t="n"/>
      <c r="YX1" s="2" t="n"/>
      <c r="YY1" s="2" t="n"/>
      <c r="YZ1" s="2" t="n"/>
      <c r="ZA1" s="2" t="n"/>
      <c r="ZB1" s="2" t="n"/>
      <c r="ZC1" s="2" t="n"/>
      <c r="ZD1" s="2" t="n"/>
      <c r="ZE1" s="2" t="n"/>
      <c r="ZF1" s="2" t="n"/>
      <c r="ZG1" s="2" t="n"/>
      <c r="ZH1" s="2" t="n"/>
      <c r="ZI1" s="2" t="n"/>
      <c r="ZJ1" s="2" t="n"/>
      <c r="ZK1" s="2" t="n"/>
      <c r="ZL1" s="2" t="n"/>
      <c r="ZM1" s="2" t="n"/>
      <c r="ZN1" s="2" t="n"/>
      <c r="ZO1" s="2" t="n"/>
      <c r="ZP1" s="2" t="n"/>
      <c r="ZQ1" s="2" t="n"/>
      <c r="ZR1" s="2" t="n"/>
      <c r="ZS1" s="2" t="n"/>
      <c r="ZT1" s="2" t="n"/>
      <c r="ZU1" s="2" t="n"/>
      <c r="ZV1" s="2" t="n"/>
      <c r="ZW1" s="2" t="n"/>
      <c r="ZX1" s="2" t="n"/>
      <c r="ZY1" s="2" t="n"/>
      <c r="ZZ1" s="2" t="n"/>
      <c r="AAA1" s="2" t="n"/>
      <c r="AAB1" s="2" t="n"/>
      <c r="AAC1" s="2" t="n"/>
      <c r="AAD1" s="2" t="n"/>
      <c r="AAE1" s="2" t="n"/>
      <c r="AAF1" s="2" t="n"/>
      <c r="AAG1" s="2" t="n"/>
      <c r="AAH1" s="2" t="n"/>
      <c r="AAI1" s="2" t="n"/>
      <c r="AAJ1" s="2" t="n"/>
      <c r="AAK1" s="2" t="n"/>
      <c r="AAL1" s="2" t="n"/>
      <c r="AAM1" s="2" t="n"/>
      <c r="AAN1" s="2" t="n"/>
      <c r="AAO1" s="2" t="n"/>
      <c r="AAP1" s="2" t="n"/>
      <c r="AAQ1" s="2" t="n"/>
      <c r="AAR1" s="2" t="n"/>
      <c r="AAS1" s="2" t="n"/>
      <c r="AAT1" s="2" t="n"/>
      <c r="AAU1" s="2" t="n"/>
      <c r="AAV1" s="2" t="n"/>
      <c r="AAW1" s="2" t="n"/>
      <c r="AAX1" s="2" t="n"/>
      <c r="AAY1" s="2" t="n"/>
      <c r="AAZ1" s="2" t="n"/>
      <c r="ABA1" s="2" t="n"/>
      <c r="ABB1" s="2" t="n"/>
      <c r="ABC1" s="2" t="n"/>
      <c r="ABD1" s="2" t="n"/>
      <c r="ABE1" s="2" t="n"/>
      <c r="ABF1" s="2" t="n"/>
      <c r="ABG1" s="2" t="n"/>
      <c r="ABH1" s="2" t="n"/>
      <c r="ABI1" s="2" t="n"/>
      <c r="ABJ1" s="2" t="n"/>
      <c r="ABK1" s="2" t="n"/>
      <c r="ABL1" s="2" t="n"/>
      <c r="ABM1" s="2" t="n"/>
      <c r="ABN1" s="2" t="n"/>
      <c r="ABO1" s="2" t="n"/>
      <c r="ABP1" s="2" t="n"/>
      <c r="ABQ1" s="2" t="n"/>
      <c r="ABR1" s="2" t="n"/>
      <c r="ABS1" s="2" t="n"/>
      <c r="ABT1" s="2" t="n"/>
      <c r="ABU1" s="2" t="n"/>
      <c r="ABV1" s="2" t="n"/>
      <c r="ABW1" s="2" t="n"/>
      <c r="ABX1" s="2" t="n"/>
      <c r="ABY1" s="2" t="n"/>
      <c r="ABZ1" s="2" t="n"/>
      <c r="ACA1" s="2" t="n"/>
      <c r="ACB1" s="2" t="n"/>
      <c r="ACC1" s="2" t="n"/>
      <c r="ACD1" s="2" t="n"/>
      <c r="ACE1" s="2" t="n"/>
      <c r="ACF1" s="2" t="n"/>
      <c r="ACG1" s="2" t="n"/>
      <c r="ACH1" s="2" t="n"/>
      <c r="ACI1" s="2" t="n"/>
      <c r="ACJ1" s="2" t="n"/>
      <c r="ACK1" s="2" t="n"/>
      <c r="ACL1" s="2" t="n"/>
      <c r="ACM1" s="2" t="n"/>
      <c r="ACN1" s="2" t="n"/>
      <c r="ACO1" s="2" t="n"/>
      <c r="ACP1" s="2" t="n"/>
      <c r="ACQ1" s="2" t="n"/>
      <c r="ACR1" s="2" t="n"/>
      <c r="ACS1" s="2" t="n"/>
      <c r="ACT1" s="2" t="n"/>
      <c r="ACU1" s="2" t="n"/>
      <c r="ACV1" s="2" t="n"/>
      <c r="ACW1" s="2" t="n"/>
      <c r="ACX1" s="2" t="n"/>
      <c r="ACY1" s="2" t="n"/>
      <c r="ACZ1" s="2" t="n"/>
      <c r="ADA1" s="2" t="n"/>
      <c r="ADB1" s="2" t="n"/>
      <c r="ADC1" s="2" t="n"/>
      <c r="ADD1" s="2" t="n"/>
      <c r="ADE1" s="2" t="n"/>
      <c r="ADF1" s="2" t="n"/>
      <c r="ADG1" s="2" t="n"/>
      <c r="ADH1" s="2" t="n"/>
      <c r="ADI1" s="2" t="n"/>
      <c r="ADJ1" s="2" t="n"/>
      <c r="ADK1" s="2" t="n"/>
      <c r="ADL1" s="2" t="n"/>
      <c r="ADM1" s="2" t="n"/>
      <c r="ADN1" s="2" t="n"/>
      <c r="ADO1" s="2" t="n"/>
      <c r="ADP1" s="2" t="n"/>
      <c r="ADQ1" s="2" t="n"/>
      <c r="ADR1" s="2" t="n"/>
      <c r="ADS1" s="2" t="n"/>
      <c r="ADT1" s="2" t="n"/>
      <c r="ADU1" s="2" t="n"/>
      <c r="ADV1" s="2" t="n"/>
      <c r="ADW1" s="2" t="n"/>
      <c r="ADX1" s="2" t="n"/>
      <c r="ADY1" s="2" t="n"/>
      <c r="ADZ1" s="2" t="n"/>
      <c r="AEA1" s="2" t="n"/>
      <c r="AEB1" s="2" t="n"/>
      <c r="AEC1" s="2" t="n"/>
      <c r="AED1" s="2" t="n"/>
      <c r="AEE1" s="2" t="n"/>
      <c r="AEF1" s="2" t="n"/>
      <c r="AEG1" s="2" t="n"/>
      <c r="AEH1" s="2" t="n"/>
      <c r="AEI1" s="2" t="n"/>
      <c r="AEJ1" s="2" t="n"/>
      <c r="AEK1" s="2" t="n"/>
      <c r="AEL1" s="2" t="n"/>
      <c r="AEM1" s="2" t="n"/>
      <c r="AEN1" s="2" t="n"/>
      <c r="AEO1" s="2" t="n"/>
      <c r="AEP1" s="2" t="n"/>
      <c r="AEQ1" s="2" t="n"/>
      <c r="AER1" s="2" t="n"/>
      <c r="AES1" s="2" t="n"/>
      <c r="AET1" s="2" t="n"/>
      <c r="AEU1" s="2" t="n"/>
      <c r="AEV1" s="2" t="n"/>
      <c r="AEW1" s="2" t="n"/>
      <c r="AEX1" s="2" t="n"/>
      <c r="AEY1" s="2" t="n"/>
      <c r="AEZ1" s="2" t="n"/>
      <c r="AFA1" s="2" t="n"/>
      <c r="AFB1" s="2" t="n"/>
      <c r="AFC1" s="2" t="n"/>
      <c r="AFD1" s="2" t="n"/>
      <c r="AFE1" s="2" t="n"/>
      <c r="AFF1" s="2" t="n"/>
      <c r="AFG1" s="2" t="n"/>
      <c r="AFH1" s="2" t="n"/>
      <c r="AFI1" s="2" t="n"/>
      <c r="AFJ1" s="2" t="n"/>
      <c r="AFK1" s="2" t="n"/>
      <c r="AFL1" s="2" t="n"/>
      <c r="AFM1" s="2" t="n"/>
      <c r="AFN1" s="2" t="n"/>
      <c r="AFO1" s="2" t="n"/>
      <c r="AFP1" s="2" t="n"/>
      <c r="AFQ1" s="2" t="n"/>
      <c r="AFR1" s="2" t="n"/>
      <c r="AFS1" s="2" t="n"/>
      <c r="AFT1" s="2" t="n"/>
      <c r="AFU1" s="2" t="n"/>
      <c r="AFV1" s="2" t="n"/>
      <c r="AFW1" s="2" t="n"/>
      <c r="AFX1" s="2" t="n"/>
      <c r="AFY1" s="2" t="n"/>
      <c r="AFZ1" s="2" t="n"/>
      <c r="AGA1" s="2" t="n"/>
      <c r="AGB1" s="2" t="n"/>
      <c r="AGC1" s="2" t="n"/>
      <c r="AGD1" s="2" t="n"/>
      <c r="AGE1" s="2" t="n"/>
      <c r="AGF1" s="2" t="n"/>
      <c r="AGG1" s="2" t="n"/>
      <c r="AGH1" s="2" t="n"/>
      <c r="AGI1" s="2" t="n"/>
      <c r="AGJ1" s="2" t="n"/>
      <c r="AGK1" s="2" t="n"/>
      <c r="AGL1" s="2" t="n"/>
      <c r="AGM1" s="2" t="n"/>
      <c r="AGN1" s="2" t="n"/>
      <c r="AGO1" s="2" t="n"/>
      <c r="AGP1" s="2" t="n"/>
      <c r="AGQ1" s="2" t="n"/>
      <c r="AGR1" s="2" t="n"/>
      <c r="AGS1" s="2" t="n"/>
      <c r="AGT1" s="2" t="n"/>
      <c r="AGU1" s="2" t="n"/>
      <c r="AGV1" s="2" t="n"/>
      <c r="AGW1" s="2" t="n"/>
      <c r="AGX1" s="2" t="n"/>
      <c r="AGY1" s="2" t="n"/>
      <c r="AGZ1" s="2" t="n"/>
      <c r="AHA1" s="2" t="n"/>
      <c r="AHB1" s="2" t="n"/>
      <c r="AHC1" s="2" t="n"/>
      <c r="AHD1" s="2" t="n"/>
      <c r="AHE1" s="2" t="n"/>
      <c r="AHF1" s="2" t="n"/>
      <c r="AHG1" s="2" t="n"/>
      <c r="AHH1" s="2" t="n"/>
      <c r="AHI1" s="2" t="n"/>
      <c r="AHJ1" s="2" t="n"/>
      <c r="AHK1" s="2" t="n"/>
      <c r="AHL1" s="2" t="n"/>
      <c r="AHM1" s="2" t="n"/>
      <c r="AHN1" s="2" t="n"/>
      <c r="AHO1" s="2" t="n"/>
      <c r="AHP1" s="2" t="n"/>
      <c r="AHQ1" s="2" t="n"/>
      <c r="AHR1" s="2" t="n"/>
      <c r="AHS1" s="2" t="n"/>
      <c r="AHT1" s="2" t="n"/>
      <c r="AHU1" s="2" t="n"/>
      <c r="AHV1" s="2" t="n"/>
      <c r="AHW1" s="2" t="n"/>
      <c r="AHX1" s="2" t="n"/>
      <c r="AHY1" s="2" t="n"/>
      <c r="AHZ1" s="2" t="n"/>
      <c r="AIA1" s="2" t="n"/>
      <c r="AIB1" s="2" t="n"/>
      <c r="AIC1" s="2" t="n"/>
      <c r="AID1" s="2" t="n"/>
      <c r="AIE1" s="2" t="n"/>
      <c r="AIF1" s="2" t="n"/>
      <c r="AIG1" s="2" t="n"/>
      <c r="AIH1" s="2" t="n"/>
      <c r="AII1" s="2" t="n"/>
      <c r="AIJ1" s="2" t="n"/>
      <c r="AIK1" s="2" t="n"/>
      <c r="AIL1" s="2" t="n"/>
      <c r="AIM1" s="2" t="n"/>
      <c r="AIN1" s="2" t="n"/>
      <c r="AIO1" s="2" t="n"/>
      <c r="AIP1" s="2" t="n"/>
      <c r="AIQ1" s="2" t="n"/>
      <c r="AIR1" s="2" t="n"/>
      <c r="AIS1" s="2" t="n"/>
      <c r="AIT1" s="2" t="n"/>
      <c r="AIU1" s="2" t="n"/>
      <c r="AIV1" s="2" t="n"/>
      <c r="AIW1" s="2" t="n"/>
      <c r="AIX1" s="2" t="n"/>
      <c r="AIY1" s="2" t="n"/>
      <c r="AIZ1" s="2" t="n"/>
      <c r="AJA1" s="2" t="n"/>
      <c r="AJB1" s="2" t="n"/>
      <c r="AJC1" s="2" t="n"/>
      <c r="AJD1" s="2" t="n"/>
      <c r="AJE1" s="2" t="n"/>
      <c r="AJF1" s="2" t="n"/>
      <c r="AJG1" s="2" t="n"/>
      <c r="AJH1" s="2" t="n"/>
      <c r="AJI1" s="2" t="n"/>
      <c r="AJJ1" s="2" t="n"/>
      <c r="AJK1" s="2" t="n"/>
      <c r="AJL1" s="2" t="n"/>
      <c r="AJM1" s="2" t="n"/>
      <c r="AJN1" s="2" t="n"/>
      <c r="AJO1" s="2" t="n"/>
      <c r="AJP1" s="2" t="n"/>
      <c r="AJQ1" s="2" t="n"/>
      <c r="AJR1" s="2" t="n"/>
      <c r="AJS1" s="2" t="n"/>
      <c r="AJT1" s="2" t="n"/>
      <c r="AJU1" s="2" t="n"/>
      <c r="AJV1" s="2" t="n"/>
      <c r="AJW1" s="2" t="n"/>
      <c r="AJX1" s="2" t="n"/>
      <c r="AJY1" s="2" t="n"/>
      <c r="AJZ1" s="2" t="n"/>
      <c r="AKA1" s="2" t="n"/>
      <c r="AKB1" s="2" t="n"/>
      <c r="AKC1" s="2" t="n"/>
      <c r="AKD1" s="2" t="n"/>
      <c r="AKE1" s="2" t="n"/>
      <c r="AKF1" s="2" t="n"/>
      <c r="AKG1" s="2" t="n"/>
      <c r="AKH1" s="2" t="n"/>
      <c r="AKI1" s="2" t="n"/>
      <c r="AKJ1" s="2" t="n"/>
      <c r="AKK1" s="2" t="n"/>
      <c r="AKL1" s="2" t="n"/>
      <c r="AKM1" s="2" t="n"/>
      <c r="AKN1" s="2" t="n"/>
      <c r="AKO1" s="2" t="n"/>
      <c r="AKP1" s="2" t="n"/>
      <c r="AKQ1" s="2" t="n"/>
      <c r="AKR1" s="2" t="n"/>
      <c r="AKS1" s="2" t="n"/>
      <c r="AKT1" s="2" t="n"/>
      <c r="AKU1" s="2" t="n"/>
      <c r="AKV1" s="2" t="n"/>
      <c r="AKW1" s="2" t="n"/>
      <c r="AKX1" s="2" t="n"/>
      <c r="AKY1" s="2" t="n"/>
      <c r="AKZ1" s="2" t="n"/>
      <c r="ALA1" s="2" t="n"/>
      <c r="ALB1" s="2" t="n"/>
      <c r="ALC1" s="2" t="n"/>
      <c r="ALD1" s="2" t="n"/>
      <c r="ALE1" s="2" t="n"/>
      <c r="ALF1" s="2" t="n"/>
      <c r="ALG1" s="2" t="n"/>
      <c r="ALH1" s="2" t="n"/>
      <c r="ALI1" s="2" t="n"/>
      <c r="ALJ1" s="2" t="n"/>
      <c r="ALK1" s="2" t="n"/>
      <c r="ALL1" s="2" t="n"/>
      <c r="ALM1" s="2" t="n"/>
      <c r="ALN1" s="2" t="n"/>
      <c r="ALO1" s="2" t="n"/>
      <c r="ALP1" s="2" t="n"/>
      <c r="ALQ1" s="2" t="n"/>
      <c r="ALR1" s="2" t="n"/>
      <c r="ALS1" s="2" t="n"/>
      <c r="ALT1" s="2" t="n"/>
      <c r="ALU1" s="2" t="n"/>
      <c r="ALV1" s="2" t="n"/>
      <c r="ALW1" s="2" t="n"/>
      <c r="ALX1" s="2" t="n"/>
      <c r="ALY1" s="2" t="n"/>
      <c r="ALZ1" s="2" t="n"/>
      <c r="AMA1" s="2" t="n"/>
      <c r="AMB1" s="2" t="n"/>
      <c r="AMC1" s="2" t="n"/>
      <c r="AMD1" s="2" t="n"/>
      <c r="AME1" s="2" t="n"/>
      <c r="AMF1" s="2" t="n"/>
      <c r="AMG1" s="2" t="n"/>
      <c r="AMH1" s="2" t="n"/>
      <c r="AMI1" s="2" t="n"/>
      <c r="AMJ1" s="2" t="n"/>
      <c r="AMK1" s="2" t="n"/>
      <c r="AML1" s="2" t="n"/>
      <c r="AMM1" s="2" t="n"/>
      <c r="AMN1" s="2" t="n"/>
      <c r="AMO1" s="2" t="n"/>
      <c r="AMP1" s="2" t="n"/>
      <c r="AMQ1" s="2" t="n"/>
      <c r="AMR1" s="2" t="n"/>
      <c r="AMS1" s="2" t="n"/>
      <c r="AMT1" s="2" t="n"/>
      <c r="AMU1" s="2" t="n"/>
      <c r="AMV1" s="2" t="n"/>
      <c r="AMW1" s="2" t="n"/>
      <c r="AMX1" s="2" t="n"/>
      <c r="AMY1" s="2" t="n"/>
      <c r="AMZ1" s="2" t="n"/>
      <c r="ANA1" s="2" t="n"/>
      <c r="ANB1" s="2" t="n"/>
      <c r="ANC1" s="2" t="n"/>
      <c r="AND1" s="2" t="n"/>
      <c r="ANE1" s="2" t="n"/>
      <c r="ANF1" s="2" t="n"/>
      <c r="ANG1" s="2" t="n"/>
      <c r="ANH1" s="2" t="n"/>
      <c r="ANI1" s="2" t="n"/>
      <c r="ANJ1" s="2" t="n"/>
      <c r="ANK1" s="2" t="n"/>
      <c r="ANL1" s="2" t="n"/>
      <c r="ANM1" s="2" t="n"/>
      <c r="ANN1" s="2" t="n"/>
      <c r="ANO1" s="2" t="n"/>
      <c r="ANP1" s="2" t="n"/>
      <c r="ANQ1" s="2" t="n"/>
      <c r="ANR1" s="2" t="n"/>
      <c r="ANS1" s="2" t="n"/>
      <c r="ANT1" s="2" t="n"/>
      <c r="ANU1" s="2" t="n"/>
      <c r="ANV1" s="2" t="n"/>
      <c r="ANW1" s="2" t="n"/>
      <c r="ANX1" s="2" t="n"/>
      <c r="ANY1" s="2" t="n"/>
      <c r="ANZ1" s="2" t="n"/>
      <c r="AOA1" s="2" t="n"/>
      <c r="AOB1" s="2" t="n"/>
      <c r="AOC1" s="2" t="n"/>
      <c r="AOD1" s="2" t="n"/>
      <c r="AOE1" s="2" t="n"/>
      <c r="AOF1" s="2" t="n"/>
      <c r="AOG1" s="2" t="n"/>
      <c r="AOH1" s="2" t="n"/>
      <c r="AOI1" s="2" t="n"/>
      <c r="AOJ1" s="2" t="n"/>
      <c r="AOK1" s="2" t="n"/>
      <c r="AOL1" s="2" t="n"/>
      <c r="AOM1" s="2" t="n"/>
      <c r="AON1" s="2" t="n"/>
      <c r="AOO1" s="2" t="n"/>
      <c r="AOP1" s="2" t="n"/>
      <c r="AOQ1" s="2" t="n"/>
      <c r="AOR1" s="2" t="n"/>
      <c r="AOS1" s="2" t="n"/>
      <c r="AOT1" s="2" t="n"/>
      <c r="AOU1" s="2" t="n"/>
      <c r="AOV1" s="2" t="n"/>
      <c r="AOW1" s="2" t="n"/>
      <c r="AOX1" s="2" t="n"/>
      <c r="AOY1" s="2" t="n"/>
      <c r="AOZ1" s="2" t="n"/>
      <c r="APA1" s="2" t="n"/>
      <c r="APB1" s="2" t="n"/>
      <c r="APC1" s="2" t="n"/>
      <c r="APD1" s="2" t="n"/>
      <c r="APE1" s="2" t="n"/>
      <c r="APF1" s="2" t="n"/>
      <c r="APG1" s="2" t="n"/>
      <c r="APH1" s="2" t="n"/>
      <c r="API1" s="2" t="n"/>
      <c r="APJ1" s="2" t="n"/>
      <c r="APK1" s="2" t="n"/>
      <c r="APL1" s="2" t="n"/>
      <c r="APM1" s="2" t="n"/>
      <c r="APN1" s="2" t="n"/>
      <c r="APO1" s="2" t="n"/>
      <c r="APP1" s="2" t="n"/>
      <c r="APQ1" s="2" t="n"/>
      <c r="APR1" s="2" t="n"/>
      <c r="APS1" s="2" t="n"/>
      <c r="APT1" s="2" t="n"/>
      <c r="APU1" s="2" t="n"/>
      <c r="APV1" s="2" t="n"/>
      <c r="APW1" s="2" t="n"/>
      <c r="APX1" s="2" t="n"/>
      <c r="APY1" s="2" t="n"/>
      <c r="APZ1" s="2" t="n"/>
      <c r="AQA1" s="2" t="n"/>
      <c r="AQB1" s="2" t="n"/>
      <c r="AQC1" s="2" t="n"/>
      <c r="AQD1" s="2" t="n"/>
      <c r="AQE1" s="2" t="n"/>
      <c r="AQF1" s="2" t="n"/>
      <c r="AQG1" s="2" t="n"/>
      <c r="AQH1" s="2" t="n"/>
      <c r="AQI1" s="2" t="n"/>
      <c r="AQJ1" s="2" t="n"/>
      <c r="AQK1" s="2" t="n"/>
      <c r="AQL1" s="2" t="n"/>
      <c r="AQM1" s="2" t="n"/>
      <c r="AQN1" s="2" t="n"/>
      <c r="AQO1" s="2" t="n"/>
      <c r="AQP1" s="2" t="n"/>
      <c r="AQQ1" s="2" t="n"/>
      <c r="AQR1" s="2" t="n"/>
      <c r="AQS1" s="2" t="n"/>
      <c r="AQT1" s="2" t="n"/>
      <c r="AQU1" s="2" t="n"/>
      <c r="AQV1" s="2" t="n"/>
      <c r="AQW1" s="2" t="n"/>
      <c r="AQX1" s="2" t="n"/>
      <c r="AQY1" s="2" t="n"/>
      <c r="AQZ1" s="2" t="n"/>
      <c r="ARA1" s="2" t="n"/>
      <c r="ARB1" s="2" t="n"/>
      <c r="ARC1" s="2" t="n"/>
      <c r="ARD1" s="2" t="n"/>
      <c r="ARE1" s="2" t="n"/>
      <c r="ARF1" s="2" t="n"/>
      <c r="ARG1" s="2" t="n"/>
      <c r="ARH1" s="2" t="n"/>
      <c r="ARI1" s="2" t="n"/>
      <c r="ARJ1" s="2" t="n"/>
      <c r="ARK1" s="2" t="n"/>
      <c r="ARL1" s="2" t="n"/>
      <c r="ARM1" s="2" t="n"/>
      <c r="ARN1" s="2" t="n"/>
      <c r="ARO1" s="2" t="n"/>
      <c r="ARP1" s="2" t="n"/>
      <c r="ARQ1" s="2" t="n"/>
      <c r="ARR1" s="2" t="n"/>
      <c r="ARS1" s="2" t="n"/>
      <c r="ART1" s="2" t="n"/>
      <c r="ARU1" s="2" t="n"/>
      <c r="ARV1" s="2" t="n"/>
      <c r="ARW1" s="2" t="n"/>
      <c r="ARX1" s="2" t="n"/>
      <c r="ARY1" s="2" t="n"/>
      <c r="ARZ1" s="2" t="n"/>
      <c r="ASA1" s="2" t="n"/>
      <c r="ASB1" s="2" t="n"/>
      <c r="ASC1" s="2" t="n"/>
      <c r="ASD1" s="2" t="n"/>
      <c r="ASE1" s="2" t="n"/>
      <c r="ASF1" s="2" t="n"/>
      <c r="ASG1" s="2" t="n"/>
      <c r="ASH1" s="2" t="n"/>
      <c r="ASI1" s="2" t="n"/>
      <c r="ASJ1" s="2" t="n"/>
      <c r="ASK1" s="2" t="n"/>
      <c r="ASL1" s="2" t="n"/>
      <c r="ASM1" s="2" t="n"/>
      <c r="ASN1" s="2" t="n"/>
      <c r="ASO1" s="2" t="n"/>
      <c r="ASP1" s="2" t="n"/>
      <c r="ASQ1" s="2" t="n"/>
      <c r="ASR1" s="2" t="n"/>
      <c r="ASS1" s="2" t="n"/>
      <c r="AST1" s="2" t="n"/>
      <c r="ASU1" s="2" t="n"/>
      <c r="ASV1" s="2" t="n"/>
      <c r="ASW1" s="2" t="n"/>
      <c r="ASX1" s="2" t="n"/>
      <c r="ASY1" s="2" t="n"/>
      <c r="ASZ1" s="2" t="n"/>
      <c r="ATA1" s="2" t="n"/>
      <c r="ATB1" s="2" t="n"/>
      <c r="ATC1" s="2" t="n"/>
      <c r="ATD1" s="2" t="n"/>
      <c r="ATE1" s="2" t="n"/>
      <c r="ATF1" s="2" t="n"/>
      <c r="ATG1" s="2" t="n"/>
      <c r="ATH1" s="2" t="n"/>
      <c r="ATI1" s="2" t="n"/>
      <c r="ATJ1" s="2" t="n"/>
      <c r="ATK1" s="2" t="n"/>
      <c r="ATL1" s="2" t="n"/>
      <c r="ATM1" s="2" t="n"/>
      <c r="ATN1" s="2" t="n"/>
      <c r="ATO1" s="2" t="n"/>
      <c r="ATP1" s="2" t="n"/>
      <c r="ATQ1" s="2" t="n"/>
      <c r="ATR1" s="2" t="n"/>
      <c r="ATS1" s="2" t="n"/>
      <c r="ATT1" s="2" t="n"/>
      <c r="ATU1" s="2" t="n"/>
      <c r="ATV1" s="2" t="n"/>
      <c r="ATW1" s="2" t="n"/>
      <c r="ATX1" s="2" t="n"/>
      <c r="ATY1" s="2" t="n"/>
      <c r="ATZ1" s="2" t="n"/>
      <c r="AUA1" s="2" t="n"/>
      <c r="AUB1" s="2" t="n"/>
      <c r="AUC1" s="2" t="n"/>
      <c r="AUD1" s="2" t="n"/>
      <c r="AUE1" s="2" t="n"/>
      <c r="AUF1" s="2" t="n"/>
      <c r="AUG1" s="2" t="n"/>
      <c r="AUH1" s="2" t="n"/>
      <c r="AUI1" s="2" t="n"/>
      <c r="AUJ1" s="2" t="n"/>
      <c r="AUK1" s="2" t="n"/>
      <c r="AUL1" s="2" t="n"/>
      <c r="AUM1" s="2" t="n"/>
      <c r="AUN1" s="2" t="n"/>
      <c r="AUO1" s="2" t="n"/>
      <c r="AUP1" s="2" t="n"/>
      <c r="AUQ1" s="2" t="n"/>
      <c r="AUR1" s="2" t="n"/>
      <c r="AUS1" s="2" t="n"/>
      <c r="AUT1" s="2" t="n"/>
      <c r="AUU1" s="2" t="n"/>
      <c r="AUV1" s="2" t="n"/>
      <c r="AUW1" s="2" t="n"/>
      <c r="AUX1" s="2" t="n"/>
      <c r="AUY1" s="2" t="n"/>
      <c r="AUZ1" s="2" t="n"/>
      <c r="AVA1" s="2" t="n"/>
      <c r="AVB1" s="2" t="n"/>
      <c r="AVC1" s="2" t="n"/>
      <c r="AVD1" s="2" t="n"/>
      <c r="AVE1" s="2" t="n"/>
      <c r="AVF1" s="2" t="n"/>
      <c r="AVG1" s="2" t="n"/>
      <c r="AVH1" s="2" t="n"/>
      <c r="AVI1" s="2" t="n"/>
      <c r="AVJ1" s="2" t="n"/>
      <c r="AVK1" s="2" t="n"/>
      <c r="AVL1" s="2" t="n"/>
      <c r="AVM1" s="2" t="n"/>
      <c r="AVN1" s="2" t="n"/>
      <c r="AVO1" s="2" t="n"/>
      <c r="AVP1" s="2" t="n"/>
      <c r="AVQ1" s="2" t="n"/>
      <c r="AVR1" s="2" t="n"/>
      <c r="AVS1" s="2" t="n"/>
      <c r="AVT1" s="2" t="n"/>
      <c r="AVU1" s="2" t="n"/>
      <c r="AVV1" s="2" t="n"/>
      <c r="AVW1" s="2" t="n"/>
      <c r="AVX1" s="2" t="n"/>
      <c r="AVY1" s="2" t="n"/>
      <c r="AVZ1" s="2" t="n"/>
      <c r="AWA1" s="2" t="n"/>
      <c r="AWB1" s="2" t="n"/>
      <c r="AWC1" s="2" t="n"/>
      <c r="AWD1" s="2" t="n"/>
      <c r="AWE1" s="2" t="n"/>
      <c r="AWF1" s="2" t="n"/>
      <c r="AWG1" s="2" t="n"/>
      <c r="AWH1" s="2" t="n"/>
      <c r="AWI1" s="2" t="n"/>
      <c r="AWJ1" s="2" t="n"/>
      <c r="AWK1" s="2" t="n"/>
      <c r="AWL1" s="2" t="n"/>
      <c r="AWM1" s="2" t="n"/>
      <c r="AWN1" s="2" t="n"/>
      <c r="AWO1" s="2" t="n"/>
      <c r="AWP1" s="2" t="n"/>
      <c r="AWQ1" s="2" t="n"/>
      <c r="AWR1" s="2" t="n"/>
      <c r="AWS1" s="2" t="n"/>
      <c r="AWT1" s="2" t="n"/>
      <c r="AWU1" s="2" t="n"/>
      <c r="AWV1" s="2" t="n"/>
      <c r="AWW1" s="2" t="n"/>
      <c r="AWX1" s="2" t="n"/>
      <c r="AWY1" s="2" t="n"/>
      <c r="AWZ1" s="2" t="n"/>
      <c r="AXA1" s="2" t="n"/>
      <c r="AXB1" s="2" t="n"/>
      <c r="AXC1" s="2" t="n"/>
      <c r="AXD1" s="2" t="n"/>
      <c r="AXE1" s="2" t="n"/>
      <c r="AXF1" s="2" t="n"/>
      <c r="AXG1" s="2" t="n"/>
      <c r="AXH1" s="2" t="n"/>
      <c r="AXI1" s="2" t="n"/>
      <c r="AXJ1" s="2" t="n"/>
      <c r="AXK1" s="2" t="n"/>
      <c r="AXL1" s="2" t="n"/>
      <c r="AXM1" s="2" t="n"/>
      <c r="AXN1" s="2" t="n"/>
      <c r="AXO1" s="2" t="n"/>
      <c r="AXP1" s="2" t="n"/>
      <c r="AXQ1" s="2" t="n"/>
      <c r="AXR1" s="2" t="n"/>
      <c r="AXS1" s="2" t="n"/>
      <c r="AXT1" s="2" t="n"/>
      <c r="AXU1" s="2" t="n"/>
      <c r="AXV1" s="2" t="n"/>
      <c r="AXW1" s="2" t="n"/>
      <c r="AXX1" s="2" t="n"/>
      <c r="AXY1" s="2" t="n"/>
      <c r="AXZ1" s="2" t="n"/>
      <c r="AYA1" s="2" t="n"/>
      <c r="AYB1" s="2" t="n"/>
      <c r="AYC1" s="2" t="n"/>
      <c r="AYD1" s="2" t="n"/>
      <c r="AYE1" s="2" t="n"/>
      <c r="AYF1" s="2" t="n"/>
      <c r="AYG1" s="2" t="n"/>
      <c r="AYH1" s="2" t="n"/>
      <c r="AYI1" s="2" t="n"/>
      <c r="AYJ1" s="2" t="n"/>
      <c r="AYK1" s="2" t="n"/>
      <c r="AYL1" s="2" t="n"/>
      <c r="AYM1" s="2" t="n"/>
      <c r="AYN1" s="2" t="n"/>
      <c r="AYO1" s="2" t="n"/>
      <c r="AYP1" s="2" t="n"/>
      <c r="AYQ1" s="2" t="n"/>
      <c r="AYR1" s="2" t="n"/>
      <c r="AYS1" s="2" t="n"/>
      <c r="AYT1" s="2" t="n"/>
      <c r="AYU1" s="2" t="n"/>
      <c r="AYV1" s="2" t="n"/>
      <c r="AYW1" s="2" t="n"/>
      <c r="AYX1" s="2" t="n"/>
      <c r="AYY1" s="2" t="n"/>
      <c r="AYZ1" s="2" t="n"/>
      <c r="AZA1" s="2" t="n"/>
      <c r="AZB1" s="2" t="n"/>
      <c r="AZC1" s="2" t="n"/>
      <c r="AZD1" s="2" t="n"/>
      <c r="AZE1" s="2" t="n"/>
      <c r="AZF1" s="2" t="n"/>
      <c r="AZG1" s="2" t="n"/>
      <c r="AZH1" s="2" t="n"/>
      <c r="AZI1" s="2" t="n"/>
      <c r="AZJ1" s="2" t="n"/>
      <c r="AZK1" s="2" t="n"/>
      <c r="AZL1" s="2" t="n"/>
      <c r="AZM1" s="2" t="n"/>
      <c r="AZN1" s="2" t="n"/>
      <c r="AZO1" s="2" t="n"/>
      <c r="AZP1" s="2" t="n"/>
      <c r="AZQ1" s="2" t="n"/>
      <c r="AZR1" s="2" t="n"/>
      <c r="AZS1" s="2" t="n"/>
      <c r="AZT1" s="2" t="n"/>
      <c r="AZU1" s="2" t="n"/>
      <c r="AZV1" s="2" t="n"/>
      <c r="AZW1" s="2" t="n"/>
      <c r="AZX1" s="2" t="n"/>
      <c r="AZY1" s="2" t="n"/>
      <c r="AZZ1" s="2" t="n"/>
      <c r="BAA1" s="2" t="n"/>
      <c r="BAB1" s="2" t="n"/>
      <c r="BAC1" s="2" t="n"/>
      <c r="BAD1" s="2" t="n"/>
      <c r="BAE1" s="2" t="n"/>
      <c r="BAF1" s="2" t="n"/>
      <c r="BAG1" s="2" t="n"/>
      <c r="BAH1" s="2" t="n"/>
      <c r="BAI1" s="2" t="n"/>
      <c r="BAJ1" s="2" t="n"/>
      <c r="BAK1" s="2" t="n"/>
      <c r="BAL1" s="2" t="n"/>
      <c r="BAM1" s="2" t="n"/>
      <c r="BAN1" s="2" t="n"/>
      <c r="BAO1" s="2" t="n"/>
      <c r="BAP1" s="2" t="n"/>
      <c r="BAQ1" s="2" t="n"/>
      <c r="BAR1" s="2" t="n"/>
      <c r="BAS1" s="2" t="n"/>
      <c r="BAT1" s="2" t="n"/>
      <c r="BAU1" s="2" t="n"/>
      <c r="BAV1" s="2" t="n"/>
      <c r="BAW1" s="2" t="n"/>
      <c r="BAX1" s="2" t="n"/>
      <c r="BAY1" s="2" t="n"/>
      <c r="BAZ1" s="2" t="n"/>
      <c r="BBA1" s="2" t="n"/>
      <c r="BBB1" s="2" t="n"/>
      <c r="BBC1" s="2" t="n"/>
      <c r="BBD1" s="2" t="n"/>
      <c r="BBE1" s="2" t="n"/>
      <c r="BBF1" s="2" t="n"/>
      <c r="BBG1" s="2" t="n"/>
      <c r="BBH1" s="2" t="n"/>
      <c r="BBI1" s="2" t="n"/>
      <c r="BBJ1" s="2" t="n"/>
      <c r="BBK1" s="2" t="n"/>
      <c r="BBL1" s="2" t="n"/>
      <c r="BBM1" s="2" t="n"/>
      <c r="BBN1" s="2" t="n"/>
      <c r="BBO1" s="2" t="n"/>
      <c r="BBP1" s="2" t="n"/>
      <c r="BBQ1" s="2" t="n"/>
      <c r="BBR1" s="2" t="n"/>
      <c r="BBS1" s="2" t="n"/>
      <c r="BBT1" s="2" t="n"/>
      <c r="BBU1" s="2" t="n"/>
      <c r="BBV1" s="2" t="n"/>
      <c r="BBW1" s="2" t="n"/>
      <c r="BBX1" s="2" t="n"/>
      <c r="BBY1" s="2" t="n"/>
      <c r="BBZ1" s="2" t="n"/>
      <c r="BCA1" s="2" t="n"/>
      <c r="BCB1" s="2" t="n"/>
      <c r="BCC1" s="2" t="n"/>
      <c r="BCD1" s="2" t="n"/>
      <c r="BCE1" s="2" t="n"/>
      <c r="BCF1" s="2" t="n"/>
      <c r="BCG1" s="2" t="n"/>
      <c r="BCH1" s="2" t="n"/>
      <c r="BCI1" s="2" t="n"/>
      <c r="BCJ1" s="2" t="n"/>
      <c r="BCK1" s="2" t="n"/>
      <c r="BCL1" s="2" t="n"/>
      <c r="BCM1" s="2" t="n"/>
      <c r="BCN1" s="2" t="n"/>
      <c r="BCO1" s="2" t="n"/>
      <c r="BCP1" s="2" t="n"/>
      <c r="BCQ1" s="2" t="n"/>
      <c r="BCR1" s="2" t="n"/>
      <c r="BCS1" s="2" t="n"/>
      <c r="BCT1" s="2" t="n"/>
      <c r="BCU1" s="2" t="n"/>
      <c r="BCV1" s="2" t="n"/>
      <c r="BCW1" s="2" t="n"/>
      <c r="BCX1" s="2" t="n"/>
      <c r="BCY1" s="2" t="n"/>
      <c r="BCZ1" s="2" t="n"/>
      <c r="BDA1" s="2" t="n"/>
      <c r="BDB1" s="2" t="n"/>
      <c r="BDC1" s="2" t="n"/>
      <c r="BDD1" s="2" t="n"/>
      <c r="BDE1" s="2" t="n"/>
      <c r="BDF1" s="2" t="n"/>
      <c r="BDG1" s="2" t="n"/>
      <c r="BDH1" s="2" t="n"/>
      <c r="BDI1" s="2" t="n"/>
      <c r="BDJ1" s="2" t="n"/>
      <c r="BDK1" s="2" t="n"/>
      <c r="BDL1" s="2" t="n"/>
      <c r="BDM1" s="2" t="n"/>
      <c r="BDN1" s="2" t="n"/>
      <c r="BDO1" s="2" t="n"/>
      <c r="BDP1" s="2" t="n"/>
      <c r="BDQ1" s="2" t="n"/>
      <c r="BDR1" s="2" t="n"/>
      <c r="BDS1" s="2" t="n"/>
      <c r="BDT1" s="2" t="n"/>
      <c r="BDU1" s="2" t="n"/>
      <c r="BDV1" s="2" t="n"/>
      <c r="BDW1" s="2" t="n"/>
      <c r="BDX1" s="2" t="n"/>
      <c r="BDY1" s="2" t="n"/>
      <c r="BDZ1" s="2" t="n"/>
      <c r="BEA1" s="2" t="n"/>
      <c r="BEB1" s="2" t="n"/>
      <c r="BEC1" s="2" t="n"/>
      <c r="BED1" s="2" t="n"/>
      <c r="BEE1" s="2" t="n"/>
      <c r="BEF1" s="2" t="n"/>
      <c r="BEG1" s="2" t="n"/>
      <c r="BEH1" s="2" t="n"/>
      <c r="BEI1" s="2" t="n"/>
      <c r="BEJ1" s="2" t="n"/>
      <c r="BEK1" s="2" t="n"/>
      <c r="BEL1" s="2" t="n"/>
      <c r="BEM1" s="2" t="n"/>
      <c r="BEN1" s="2" t="n"/>
      <c r="BEO1" s="2" t="n"/>
      <c r="BEP1" s="2" t="n"/>
      <c r="BEQ1" s="2" t="n"/>
      <c r="BER1" s="2" t="n"/>
      <c r="BES1" s="2" t="n"/>
      <c r="BET1" s="2" t="n"/>
      <c r="BEU1" s="2" t="n"/>
      <c r="BEV1" s="2" t="n"/>
      <c r="BEW1" s="2" t="n"/>
      <c r="BEX1" s="2" t="n"/>
      <c r="BEY1" s="2" t="n"/>
      <c r="BEZ1" s="2" t="n"/>
      <c r="BFA1" s="2" t="n"/>
      <c r="BFB1" s="2" t="n"/>
      <c r="BFC1" s="2" t="n"/>
      <c r="BFD1" s="2" t="n"/>
      <c r="BFE1" s="2" t="n"/>
      <c r="BFF1" s="2" t="n"/>
      <c r="BFG1" s="2" t="n"/>
      <c r="BFH1" s="2" t="n"/>
      <c r="BFI1" s="2" t="n"/>
      <c r="BFJ1" s="2" t="n"/>
      <c r="BFK1" s="2" t="n"/>
      <c r="BFL1" s="2" t="n"/>
      <c r="BFM1" s="2" t="n"/>
      <c r="BFN1" s="2" t="n"/>
      <c r="BFO1" s="2" t="n"/>
      <c r="BFP1" s="2" t="n"/>
      <c r="BFQ1" s="2" t="n"/>
      <c r="BFR1" s="2" t="n"/>
      <c r="BFS1" s="2" t="n"/>
      <c r="BFT1" s="2" t="n"/>
      <c r="BFU1" s="2" t="n"/>
      <c r="BFV1" s="2" t="n"/>
      <c r="BFW1" s="2" t="n"/>
      <c r="BFX1" s="2" t="n"/>
      <c r="BFY1" s="2" t="n"/>
      <c r="BFZ1" s="2" t="n"/>
      <c r="BGA1" s="2" t="n"/>
      <c r="BGB1" s="2" t="n"/>
      <c r="BGC1" s="2" t="n"/>
      <c r="BGD1" s="2" t="n"/>
      <c r="BGE1" s="2" t="n"/>
      <c r="BGF1" s="2" t="n"/>
      <c r="BGG1" s="2" t="n"/>
      <c r="BGH1" s="2" t="n"/>
      <c r="BGI1" s="2" t="n"/>
      <c r="BGJ1" s="2" t="n"/>
      <c r="BGK1" s="2" t="n"/>
      <c r="BGL1" s="2" t="n"/>
      <c r="BGM1" s="2" t="n"/>
      <c r="BGN1" s="2" t="n"/>
      <c r="BGO1" s="2" t="n"/>
      <c r="BGP1" s="2" t="n"/>
      <c r="BGQ1" s="2" t="n"/>
      <c r="BGR1" s="2" t="n"/>
      <c r="BGS1" s="2" t="n"/>
      <c r="BGT1" s="2" t="n"/>
      <c r="BGU1" s="2" t="n"/>
      <c r="BGV1" s="2" t="n"/>
      <c r="BGW1" s="2" t="n"/>
      <c r="BGX1" s="2" t="n"/>
      <c r="BGY1" s="2" t="n"/>
      <c r="BGZ1" s="2" t="n"/>
      <c r="BHA1" s="2" t="n"/>
      <c r="BHB1" s="2" t="n"/>
      <c r="BHC1" s="2" t="n"/>
      <c r="BHD1" s="2" t="n"/>
      <c r="BHE1" s="2" t="n"/>
      <c r="BHF1" s="2" t="n"/>
      <c r="BHG1" s="2" t="n"/>
      <c r="BHH1" s="2" t="n"/>
      <c r="BHI1" s="2" t="n"/>
      <c r="BHJ1" s="2" t="n"/>
      <c r="BHK1" s="2" t="n"/>
      <c r="BHL1" s="2" t="n"/>
      <c r="BHM1" s="2" t="n"/>
      <c r="BHN1" s="2" t="n"/>
      <c r="BHO1" s="2" t="n"/>
      <c r="BHP1" s="2" t="n"/>
      <c r="BHQ1" s="2" t="n"/>
      <c r="BHR1" s="2" t="n"/>
      <c r="BHS1" s="2" t="n"/>
      <c r="BHT1" s="2" t="n"/>
      <c r="BHU1" s="2" t="n"/>
      <c r="BHV1" s="2" t="n"/>
      <c r="BHW1" s="2" t="n"/>
      <c r="BHX1" s="2" t="n"/>
      <c r="BHY1" s="2" t="n"/>
      <c r="BHZ1" s="2" t="n"/>
      <c r="BIA1" s="2" t="n"/>
      <c r="BIB1" s="2" t="n"/>
      <c r="BIC1" s="2" t="n"/>
      <c r="BID1" s="2" t="n"/>
      <c r="BIE1" s="2" t="n"/>
      <c r="BIF1" s="2" t="n"/>
      <c r="BIG1" s="2" t="n"/>
      <c r="BIH1" s="2" t="n"/>
      <c r="BII1" s="2" t="n"/>
      <c r="BIJ1" s="2" t="n"/>
      <c r="BIK1" s="2" t="n"/>
      <c r="BIL1" s="2" t="n"/>
      <c r="BIM1" s="2" t="n"/>
      <c r="BIN1" s="2" t="n"/>
      <c r="BIO1" s="2" t="n"/>
      <c r="BIP1" s="2" t="n"/>
      <c r="BIQ1" s="2" t="n"/>
      <c r="BIR1" s="2" t="n"/>
      <c r="BIS1" s="2" t="n"/>
      <c r="BIT1" s="2" t="n"/>
      <c r="BIU1" s="2" t="n"/>
      <c r="BIV1" s="2" t="n"/>
      <c r="BIW1" s="2" t="n"/>
      <c r="BIX1" s="2" t="n"/>
      <c r="BIY1" s="2" t="n"/>
      <c r="BIZ1" s="2" t="n"/>
      <c r="BJA1" s="2" t="n"/>
      <c r="BJB1" s="2" t="n"/>
      <c r="BJC1" s="2" t="n"/>
      <c r="BJD1" s="2" t="n"/>
      <c r="BJE1" s="2" t="n"/>
      <c r="BJF1" s="2" t="n"/>
      <c r="BJG1" s="2" t="n"/>
      <c r="BJH1" s="2" t="n"/>
      <c r="BJI1" s="2" t="n"/>
      <c r="BJJ1" s="2" t="n"/>
      <c r="BJK1" s="2" t="n"/>
      <c r="BJL1" s="2" t="n"/>
      <c r="BJM1" s="2" t="n"/>
      <c r="BJN1" s="2" t="n"/>
      <c r="BJO1" s="2" t="n"/>
      <c r="BJP1" s="2" t="n"/>
      <c r="BJQ1" s="2" t="n"/>
      <c r="BJR1" s="2" t="n"/>
      <c r="BJS1" s="2" t="n"/>
      <c r="BJT1" s="2" t="n"/>
      <c r="BJU1" s="2" t="n"/>
      <c r="BJV1" s="2" t="n"/>
      <c r="BJW1" s="2" t="n"/>
      <c r="BJX1" s="2" t="n"/>
      <c r="BJY1" s="2" t="n"/>
      <c r="BJZ1" s="2" t="n"/>
      <c r="BKA1" s="2" t="n"/>
      <c r="BKB1" s="2" t="n"/>
      <c r="BKC1" s="2" t="n"/>
      <c r="BKD1" s="2" t="n"/>
      <c r="BKE1" s="2" t="n"/>
      <c r="BKF1" s="2" t="n"/>
      <c r="BKG1" s="2" t="n"/>
      <c r="BKH1" s="2" t="n"/>
      <c r="BKI1" s="2" t="n"/>
      <c r="BKJ1" s="2" t="n"/>
      <c r="BKK1" s="2" t="n"/>
      <c r="BKL1" s="2" t="n"/>
      <c r="BKM1" s="2" t="n"/>
      <c r="BKN1" s="2" t="n"/>
      <c r="BKO1" s="2" t="n"/>
      <c r="BKP1" s="2" t="n"/>
      <c r="BKQ1" s="2" t="n"/>
      <c r="BKR1" s="2" t="n"/>
      <c r="BKS1" s="2" t="n"/>
      <c r="BKT1" s="2" t="n"/>
      <c r="BKU1" s="2" t="n"/>
      <c r="BKV1" s="2" t="n"/>
      <c r="BKW1" s="2" t="n"/>
      <c r="BKX1" s="2" t="n"/>
      <c r="BKY1" s="2" t="n"/>
      <c r="BKZ1" s="2" t="n"/>
      <c r="BLA1" s="2" t="n"/>
      <c r="BLB1" s="2" t="n"/>
      <c r="BLC1" s="2" t="n"/>
      <c r="BLD1" s="2" t="n"/>
      <c r="BLE1" s="2" t="n"/>
      <c r="BLF1" s="2" t="n"/>
      <c r="BLG1" s="2" t="n"/>
      <c r="BLH1" s="2" t="n"/>
      <c r="BLI1" s="2" t="n"/>
      <c r="BLJ1" s="2" t="n"/>
      <c r="BLK1" s="2" t="n"/>
      <c r="BLL1" s="2" t="n"/>
      <c r="BLM1" s="2" t="n"/>
      <c r="BLN1" s="2" t="n"/>
      <c r="BLO1" s="2" t="n"/>
      <c r="BLP1" s="2" t="n"/>
      <c r="BLQ1" s="2" t="n"/>
      <c r="BLR1" s="2" t="n"/>
      <c r="BLS1" s="2" t="n"/>
      <c r="BLT1" s="2" t="n"/>
      <c r="BLU1" s="2" t="n"/>
      <c r="BLV1" s="2" t="n"/>
      <c r="BLW1" s="2" t="n"/>
      <c r="BLX1" s="2" t="n"/>
      <c r="BLY1" s="2" t="n"/>
      <c r="BLZ1" s="2" t="n"/>
      <c r="BMA1" s="2" t="n"/>
      <c r="BMB1" s="2" t="n"/>
      <c r="BMC1" s="2" t="n"/>
      <c r="BMD1" s="2" t="n"/>
      <c r="BME1" s="2" t="n"/>
      <c r="BMF1" s="2" t="n"/>
      <c r="BMG1" s="2" t="n"/>
      <c r="BMH1" s="2" t="n"/>
      <c r="BMI1" s="2" t="n"/>
      <c r="BMJ1" s="2" t="n"/>
      <c r="BMK1" s="2" t="n"/>
      <c r="BML1" s="2" t="n"/>
      <c r="BMM1" s="2" t="n"/>
      <c r="BMN1" s="2" t="n"/>
      <c r="BMO1" s="2" t="n"/>
      <c r="BMP1" s="2" t="n"/>
      <c r="BMQ1" s="2" t="n"/>
      <c r="BMR1" s="2" t="n"/>
      <c r="BMS1" s="2" t="n"/>
      <c r="BMT1" s="2" t="n"/>
      <c r="BMU1" s="2" t="n"/>
      <c r="BMV1" s="2" t="n"/>
      <c r="BMW1" s="2" t="n"/>
      <c r="BMX1" s="2" t="n"/>
      <c r="BMY1" s="2" t="n"/>
      <c r="BMZ1" s="2" t="n"/>
      <c r="BNA1" s="2" t="n"/>
      <c r="BNB1" s="2" t="n"/>
      <c r="BNC1" s="2" t="n"/>
      <c r="BND1" s="2" t="n"/>
      <c r="BNE1" s="2" t="n"/>
      <c r="BNF1" s="2" t="n"/>
      <c r="BNG1" s="2" t="n"/>
      <c r="BNH1" s="2" t="n"/>
      <c r="BNI1" s="2" t="n"/>
      <c r="BNJ1" s="2" t="n"/>
      <c r="BNK1" s="2" t="n"/>
      <c r="BNL1" s="2" t="n"/>
      <c r="BNM1" s="2" t="n"/>
      <c r="BNN1" s="2" t="n"/>
      <c r="BNO1" s="2" t="n"/>
      <c r="BNP1" s="2" t="n"/>
      <c r="BNQ1" s="2" t="n"/>
      <c r="BNR1" s="2" t="n"/>
      <c r="BNS1" s="2" t="n"/>
      <c r="BNT1" s="2" t="n"/>
      <c r="BNU1" s="2" t="n"/>
      <c r="BNV1" s="2" t="n"/>
      <c r="BNW1" s="2" t="n"/>
      <c r="BNX1" s="2" t="n"/>
      <c r="BNY1" s="2" t="n"/>
      <c r="BNZ1" s="2" t="n"/>
      <c r="BOA1" s="2" t="n"/>
      <c r="BOB1" s="2" t="n"/>
      <c r="BOC1" s="2" t="n"/>
      <c r="BOD1" s="2" t="n"/>
      <c r="BOE1" s="2" t="n"/>
      <c r="BOF1" s="2" t="n"/>
      <c r="BOG1" s="2" t="n"/>
      <c r="BOH1" s="2" t="n"/>
      <c r="BOI1" s="2" t="n"/>
      <c r="BOJ1" s="2" t="n"/>
      <c r="BOK1" s="2" t="n"/>
      <c r="BOL1" s="2" t="n"/>
      <c r="BOM1" s="2" t="n"/>
      <c r="BON1" s="2" t="n"/>
      <c r="BOO1" s="2" t="n"/>
      <c r="BOP1" s="2" t="n"/>
      <c r="BOQ1" s="2" t="n"/>
      <c r="BOR1" s="2" t="n"/>
      <c r="BOS1" s="2" t="n"/>
      <c r="BOT1" s="2" t="n"/>
      <c r="BOU1" s="2" t="n"/>
      <c r="BOV1" s="2" t="n"/>
      <c r="BOW1" s="2" t="n"/>
      <c r="BOX1" s="2" t="n"/>
      <c r="BOY1" s="2" t="n"/>
      <c r="BOZ1" s="2" t="n"/>
      <c r="BPA1" s="2" t="n"/>
      <c r="BPB1" s="2" t="n"/>
      <c r="BPC1" s="2" t="n"/>
      <c r="BPD1" s="2" t="n"/>
      <c r="BPE1" s="2" t="n"/>
      <c r="BPF1" s="2" t="n"/>
      <c r="BPG1" s="2" t="n"/>
      <c r="BPH1" s="2" t="n"/>
      <c r="BPI1" s="2" t="n"/>
      <c r="BPJ1" s="2" t="n"/>
      <c r="BPK1" s="2" t="n"/>
      <c r="BPL1" s="2" t="n"/>
      <c r="BPM1" s="2" t="n"/>
      <c r="BPN1" s="2" t="n"/>
      <c r="BPO1" s="2" t="n"/>
      <c r="BPP1" s="2" t="n"/>
      <c r="BPQ1" s="2" t="n"/>
      <c r="BPR1" s="2" t="n"/>
      <c r="BPS1" s="2" t="n"/>
      <c r="BPT1" s="2" t="n"/>
      <c r="BPU1" s="2" t="n"/>
      <c r="BPV1" s="2" t="n"/>
      <c r="BPW1" s="2" t="n"/>
      <c r="BPX1" s="2" t="n"/>
      <c r="BPY1" s="2" t="n"/>
      <c r="BPZ1" s="2" t="n"/>
      <c r="BQA1" s="2" t="n"/>
      <c r="BQB1" s="2" t="n"/>
      <c r="BQC1" s="2" t="n"/>
      <c r="BQD1" s="2" t="n"/>
      <c r="BQE1" s="2" t="n"/>
      <c r="BQF1" s="2" t="n"/>
      <c r="BQG1" s="2" t="n"/>
      <c r="BQH1" s="2" t="n"/>
      <c r="BQI1" s="2" t="n"/>
      <c r="BQJ1" s="2" t="n"/>
      <c r="BQK1" s="2" t="n"/>
      <c r="BQL1" s="2" t="n"/>
      <c r="BQM1" s="2" t="n"/>
      <c r="BQN1" s="2" t="n"/>
      <c r="BQO1" s="2" t="n"/>
      <c r="BQP1" s="2" t="n"/>
      <c r="BQQ1" s="2" t="n"/>
      <c r="BQR1" s="2" t="n"/>
      <c r="BQS1" s="2" t="n"/>
      <c r="BQT1" s="2" t="n"/>
      <c r="BQU1" s="2" t="n"/>
      <c r="BQV1" s="2" t="n"/>
      <c r="BQW1" s="2" t="n"/>
      <c r="BQX1" s="2" t="n"/>
      <c r="BQY1" s="2" t="n"/>
      <c r="BQZ1" s="2" t="n"/>
      <c r="BRA1" s="2" t="n"/>
      <c r="BRB1" s="2" t="n"/>
      <c r="BRC1" s="2" t="n"/>
      <c r="BRD1" s="2" t="n"/>
      <c r="BRE1" s="2" t="n"/>
      <c r="BRF1" s="2" t="n"/>
      <c r="BRG1" s="2" t="n"/>
      <c r="BRH1" s="2" t="n"/>
      <c r="BRI1" s="2" t="n"/>
      <c r="BRJ1" s="2" t="n"/>
      <c r="BRK1" s="2" t="n"/>
      <c r="BRL1" s="2" t="n"/>
      <c r="BRM1" s="2" t="n"/>
      <c r="BRN1" s="2" t="n"/>
      <c r="BRO1" s="2" t="n"/>
      <c r="BRP1" s="2" t="n"/>
      <c r="BRQ1" s="2" t="n"/>
      <c r="BRR1" s="2" t="n"/>
      <c r="BRS1" s="2" t="n"/>
      <c r="BRT1" s="2" t="n"/>
      <c r="BRU1" s="2" t="n"/>
      <c r="BRV1" s="2" t="n"/>
      <c r="BRW1" s="2" t="n"/>
      <c r="BRX1" s="2" t="n"/>
      <c r="BRY1" s="2" t="n"/>
      <c r="BRZ1" s="2" t="n"/>
      <c r="BSA1" s="2" t="n"/>
      <c r="BSB1" s="2" t="n"/>
      <c r="BSC1" s="2" t="n"/>
      <c r="BSD1" s="2" t="n"/>
      <c r="BSE1" s="2" t="n"/>
      <c r="BSF1" s="2" t="n"/>
      <c r="BSG1" s="2" t="n"/>
      <c r="BSH1" s="2" t="n"/>
      <c r="BSI1" s="2" t="n"/>
      <c r="BSJ1" s="2" t="n"/>
      <c r="BSK1" s="2" t="n"/>
      <c r="BSL1" s="2" t="n"/>
      <c r="BSM1" s="2" t="n"/>
      <c r="BSN1" s="2" t="n"/>
      <c r="BSO1" s="2" t="n"/>
      <c r="BSP1" s="2" t="n"/>
      <c r="BSQ1" s="2" t="n"/>
      <c r="BSR1" s="2" t="n"/>
      <c r="BSS1" s="2" t="n"/>
      <c r="BST1" s="2" t="n"/>
      <c r="BSU1" s="2" t="n"/>
      <c r="BSV1" s="2" t="n"/>
      <c r="BSW1" s="2" t="n"/>
      <c r="BSX1" s="2" t="n"/>
      <c r="BSY1" s="2" t="n"/>
      <c r="BSZ1" s="2" t="n"/>
      <c r="BTA1" s="2" t="n"/>
      <c r="BTB1" s="2" t="n"/>
      <c r="BTC1" s="2" t="n"/>
      <c r="BTD1" s="2" t="n"/>
      <c r="BTE1" s="2" t="n"/>
      <c r="BTF1" s="2" t="n"/>
      <c r="BTG1" s="2" t="n"/>
      <c r="BTH1" s="2" t="n"/>
      <c r="BTI1" s="2" t="n"/>
      <c r="BTJ1" s="2" t="n"/>
      <c r="BTK1" s="2" t="n"/>
      <c r="BTL1" s="2" t="n"/>
      <c r="BTM1" s="2" t="n"/>
      <c r="BTN1" s="2" t="n"/>
      <c r="BTO1" s="2" t="n"/>
      <c r="BTP1" s="2" t="n"/>
      <c r="BTQ1" s="2" t="n"/>
      <c r="BTR1" s="2" t="n"/>
      <c r="BTS1" s="2" t="n"/>
      <c r="BTT1" s="2" t="n"/>
      <c r="BTU1" s="2" t="n"/>
      <c r="BTV1" s="2" t="n"/>
      <c r="BTW1" s="2" t="n"/>
      <c r="BTX1" s="2" t="n"/>
      <c r="BTY1" s="2" t="n"/>
      <c r="BTZ1" s="2" t="n"/>
      <c r="BUA1" s="2" t="n"/>
      <c r="BUB1" s="2" t="n"/>
      <c r="BUC1" s="2" t="n"/>
      <c r="BUD1" s="2" t="n"/>
      <c r="BUE1" s="2" t="n"/>
      <c r="BUF1" s="2" t="n"/>
      <c r="BUG1" s="2" t="n"/>
      <c r="BUH1" s="2" t="n"/>
      <c r="BUI1" s="2" t="n"/>
      <c r="BUJ1" s="2" t="n"/>
      <c r="BUK1" s="2" t="n"/>
      <c r="BUL1" s="2" t="n"/>
      <c r="BUM1" s="2" t="n"/>
      <c r="BUN1" s="2" t="n"/>
      <c r="BUO1" s="2" t="n"/>
      <c r="BUP1" s="2" t="n"/>
      <c r="BUQ1" s="2" t="n"/>
      <c r="BUR1" s="2" t="n"/>
      <c r="BUS1" s="2" t="n"/>
      <c r="BUT1" s="2" t="n"/>
      <c r="BUU1" s="2" t="n"/>
      <c r="BUV1" s="2" t="n"/>
      <c r="BUW1" s="2" t="n"/>
      <c r="BUX1" s="2" t="n"/>
      <c r="BUY1" s="2" t="n"/>
      <c r="BUZ1" s="2" t="n"/>
      <c r="BVA1" s="2" t="n"/>
      <c r="BVB1" s="2" t="n"/>
      <c r="BVC1" s="2" t="n"/>
      <c r="BVD1" s="2" t="n"/>
      <c r="BVE1" s="2" t="n"/>
      <c r="BVF1" s="2" t="n"/>
      <c r="BVG1" s="2" t="n"/>
      <c r="BVH1" s="2" t="n"/>
      <c r="BVI1" s="2" t="n"/>
      <c r="BVJ1" s="2" t="n"/>
      <c r="BVK1" s="2" t="n"/>
      <c r="BVL1" s="2" t="n"/>
      <c r="BVM1" s="2" t="n"/>
      <c r="BVN1" s="2" t="n"/>
      <c r="BVO1" s="2" t="n"/>
      <c r="BVP1" s="2" t="n"/>
      <c r="BVQ1" s="2" t="n"/>
      <c r="BVR1" s="2" t="n"/>
      <c r="BVS1" s="2" t="n"/>
      <c r="BVT1" s="2" t="n"/>
      <c r="BVU1" s="2" t="n"/>
      <c r="BVV1" s="2" t="n"/>
      <c r="BVW1" s="2" t="n"/>
      <c r="BVX1" s="2" t="n"/>
      <c r="BVY1" s="2" t="n"/>
      <c r="BVZ1" s="2" t="n"/>
      <c r="BWA1" s="2" t="n"/>
      <c r="BWB1" s="2" t="n"/>
      <c r="BWC1" s="2" t="n"/>
      <c r="BWD1" s="2" t="n"/>
      <c r="BWE1" s="2" t="n"/>
      <c r="BWF1" s="2" t="n"/>
      <c r="BWG1" s="2" t="n"/>
      <c r="BWH1" s="2" t="n"/>
      <c r="BWI1" s="2" t="n"/>
      <c r="BWJ1" s="2" t="n"/>
      <c r="BWK1" s="2" t="n"/>
      <c r="BWL1" s="2" t="n"/>
      <c r="BWM1" s="2" t="n"/>
      <c r="BWN1" s="2" t="n"/>
      <c r="BWO1" s="2" t="n"/>
      <c r="BWP1" s="2" t="n"/>
      <c r="BWQ1" s="2" t="n"/>
      <c r="BWR1" s="2" t="n"/>
      <c r="BWS1" s="2" t="n"/>
      <c r="BWT1" s="2" t="n"/>
      <c r="BWU1" s="2" t="n"/>
      <c r="BWV1" s="2" t="n"/>
      <c r="BWW1" s="2" t="n"/>
      <c r="BWX1" s="2" t="n"/>
      <c r="BWY1" s="2" t="n"/>
      <c r="BWZ1" s="2" t="n"/>
      <c r="BXA1" s="2" t="n"/>
      <c r="BXB1" s="2" t="n"/>
      <c r="BXC1" s="2" t="n"/>
      <c r="BXD1" s="2" t="n"/>
      <c r="BXE1" s="2" t="n"/>
      <c r="BXF1" s="2" t="n"/>
      <c r="BXG1" s="2" t="n"/>
      <c r="BXH1" s="2" t="n"/>
      <c r="BXI1" s="2" t="n"/>
      <c r="BXJ1" s="2" t="n"/>
      <c r="BXK1" s="2" t="n"/>
      <c r="BXL1" s="2" t="n"/>
      <c r="BXM1" s="2" t="n"/>
      <c r="BXN1" s="2" t="n"/>
      <c r="BXO1" s="2" t="n"/>
      <c r="BXP1" s="2" t="n"/>
      <c r="BXQ1" s="2" t="n"/>
      <c r="BXR1" s="2" t="n"/>
      <c r="BXS1" s="2" t="n"/>
      <c r="BXT1" s="2" t="n"/>
      <c r="BXU1" s="2" t="n"/>
      <c r="BXV1" s="2" t="n"/>
      <c r="BXW1" s="2" t="n"/>
      <c r="BXX1" s="2" t="n"/>
      <c r="BXY1" s="2" t="n"/>
      <c r="BXZ1" s="2" t="n"/>
      <c r="BYA1" s="2" t="n"/>
      <c r="BYB1" s="2" t="n"/>
      <c r="BYC1" s="2" t="n"/>
      <c r="BYD1" s="2" t="n"/>
      <c r="BYE1" s="2" t="n"/>
      <c r="BYF1" s="2" t="n"/>
      <c r="BYG1" s="2" t="n"/>
      <c r="BYH1" s="2" t="n"/>
      <c r="BYI1" s="2" t="n"/>
      <c r="BYJ1" s="2" t="n"/>
      <c r="BYK1" s="2" t="n"/>
      <c r="BYL1" s="2" t="n"/>
      <c r="BYM1" s="2" t="n"/>
      <c r="BYN1" s="2" t="n"/>
      <c r="BYO1" s="2" t="n"/>
      <c r="BYP1" s="2" t="n"/>
      <c r="BYQ1" s="2" t="n"/>
      <c r="BYR1" s="2" t="n"/>
      <c r="BYS1" s="2" t="n"/>
      <c r="BYT1" s="2" t="n"/>
      <c r="BYU1" s="2" t="n"/>
      <c r="BYV1" s="2" t="n"/>
      <c r="BYW1" s="2" t="n"/>
      <c r="BYX1" s="2" t="n"/>
      <c r="BYY1" s="2" t="n"/>
      <c r="BYZ1" s="2" t="n"/>
      <c r="BZA1" s="2" t="n"/>
      <c r="BZB1" s="2" t="n"/>
      <c r="BZC1" s="2" t="n"/>
      <c r="BZD1" s="2" t="n"/>
      <c r="BZE1" s="2" t="n"/>
      <c r="BZF1" s="2" t="n"/>
      <c r="BZG1" s="2" t="n"/>
      <c r="BZH1" s="2" t="n"/>
      <c r="BZI1" s="2" t="n"/>
      <c r="BZJ1" s="2" t="n"/>
      <c r="BZK1" s="2" t="n"/>
      <c r="BZL1" s="2" t="n"/>
      <c r="BZM1" s="2" t="n"/>
      <c r="BZN1" s="2" t="n"/>
      <c r="BZO1" s="2" t="n"/>
      <c r="BZP1" s="2" t="n"/>
      <c r="BZQ1" s="2" t="n"/>
      <c r="BZR1" s="2" t="n"/>
      <c r="BZS1" s="2" t="n"/>
      <c r="BZT1" s="2" t="n"/>
      <c r="BZU1" s="2" t="n"/>
      <c r="BZV1" s="2" t="n"/>
      <c r="BZW1" s="2" t="n"/>
      <c r="BZX1" s="2" t="n"/>
      <c r="BZY1" s="2" t="n"/>
      <c r="BZZ1" s="2" t="n"/>
      <c r="CAA1" s="2" t="n"/>
      <c r="CAB1" s="2" t="n"/>
      <c r="CAC1" s="2" t="n"/>
      <c r="CAD1" s="2" t="n"/>
      <c r="CAE1" s="2" t="n"/>
      <c r="CAF1" s="2" t="n"/>
      <c r="CAG1" s="2" t="n"/>
      <c r="CAH1" s="2" t="n"/>
      <c r="CAI1" s="2" t="n"/>
      <c r="CAJ1" s="2" t="n"/>
      <c r="CAK1" s="2" t="n"/>
      <c r="CAL1" s="2" t="n"/>
      <c r="CAM1" s="2" t="n"/>
      <c r="CAN1" s="2" t="n"/>
      <c r="CAO1" s="2" t="n"/>
      <c r="CAP1" s="2" t="n"/>
      <c r="CAQ1" s="2" t="n"/>
      <c r="CAR1" s="2" t="n"/>
      <c r="CAS1" s="2" t="n"/>
      <c r="CAT1" s="2" t="n"/>
      <c r="CAU1" s="2" t="n"/>
      <c r="CAV1" s="2" t="n"/>
      <c r="CAW1" s="2" t="n"/>
      <c r="CAX1" s="2" t="n"/>
      <c r="CAY1" s="2" t="n"/>
      <c r="CAZ1" s="2" t="n"/>
      <c r="CBA1" s="2" t="n"/>
      <c r="CBB1" s="2" t="n"/>
      <c r="CBC1" s="2" t="n"/>
      <c r="CBD1" s="2" t="n"/>
      <c r="CBE1" s="2" t="n"/>
      <c r="CBF1" s="2" t="n"/>
      <c r="CBG1" s="2" t="n"/>
      <c r="CBH1" s="2" t="n"/>
      <c r="CBI1" s="2" t="n"/>
      <c r="CBJ1" s="2" t="n"/>
      <c r="CBK1" s="2" t="n"/>
      <c r="CBL1" s="2" t="n"/>
      <c r="CBM1" s="2" t="n"/>
      <c r="CBN1" s="2" t="n"/>
      <c r="CBO1" s="2" t="n"/>
      <c r="CBP1" s="2" t="n"/>
      <c r="CBQ1" s="2" t="n"/>
      <c r="CBR1" s="2" t="n"/>
      <c r="CBS1" s="2" t="n"/>
      <c r="CBT1" s="2" t="n"/>
      <c r="CBU1" s="2" t="n"/>
      <c r="CBV1" s="2" t="n"/>
      <c r="CBW1" s="2" t="n"/>
      <c r="CBX1" s="2" t="n"/>
      <c r="CBY1" s="2" t="n"/>
      <c r="CBZ1" s="2" t="n"/>
      <c r="CCA1" s="2" t="n"/>
      <c r="CCB1" s="2" t="n"/>
      <c r="CCC1" s="2" t="n"/>
      <c r="CCD1" s="2" t="n"/>
      <c r="CCE1" s="2" t="n"/>
      <c r="CCF1" s="2" t="n"/>
      <c r="CCG1" s="2" t="n"/>
      <c r="CCH1" s="2" t="n"/>
      <c r="CCI1" s="2" t="n"/>
      <c r="CCJ1" s="2" t="n"/>
      <c r="CCK1" s="2" t="n"/>
      <c r="CCL1" s="2" t="n"/>
      <c r="CCM1" s="2" t="n"/>
      <c r="CCN1" s="2" t="n"/>
      <c r="CCO1" s="2" t="n"/>
      <c r="CCP1" s="2" t="n"/>
      <c r="CCQ1" s="2" t="n"/>
      <c r="CCR1" s="2" t="n"/>
      <c r="CCS1" s="2" t="n"/>
      <c r="CCT1" s="2" t="n"/>
      <c r="CCU1" s="2" t="n"/>
      <c r="CCV1" s="2" t="n"/>
      <c r="CCW1" s="2" t="n"/>
      <c r="CCX1" s="2" t="n"/>
      <c r="CCY1" s="2" t="n"/>
      <c r="CCZ1" s="2" t="n"/>
      <c r="CDA1" s="2" t="n"/>
      <c r="CDB1" s="2" t="n"/>
      <c r="CDC1" s="2" t="n"/>
      <c r="CDD1" s="2" t="n"/>
      <c r="CDE1" s="2" t="n"/>
      <c r="CDF1" s="2" t="n"/>
      <c r="CDG1" s="2" t="n"/>
      <c r="CDH1" s="2" t="n"/>
      <c r="CDI1" s="2" t="n"/>
      <c r="CDJ1" s="2" t="n"/>
      <c r="CDK1" s="2" t="n"/>
      <c r="CDL1" s="2" t="n"/>
      <c r="CDM1" s="2" t="n"/>
      <c r="CDN1" s="2" t="n"/>
      <c r="CDO1" s="2" t="n"/>
      <c r="CDP1" s="2" t="n"/>
      <c r="CDQ1" s="2" t="n"/>
      <c r="CDR1" s="2" t="n"/>
      <c r="CDS1" s="2" t="n"/>
      <c r="CDT1" s="2" t="n"/>
      <c r="CDU1" s="2" t="n"/>
      <c r="CDV1" s="2" t="n"/>
      <c r="CDW1" s="2" t="n"/>
      <c r="CDX1" s="2" t="n"/>
      <c r="CDY1" s="2" t="n"/>
      <c r="CDZ1" s="2" t="n"/>
      <c r="CEA1" s="2" t="n"/>
      <c r="CEB1" s="2" t="n"/>
      <c r="CEC1" s="2" t="n"/>
      <c r="CED1" s="2" t="n"/>
      <c r="CEE1" s="2" t="n"/>
      <c r="CEF1" s="2" t="n"/>
      <c r="CEG1" s="2" t="n"/>
      <c r="CEH1" s="2" t="n"/>
      <c r="CEI1" s="2" t="n"/>
      <c r="CEJ1" s="2" t="n"/>
      <c r="CEK1" s="2" t="n"/>
      <c r="CEL1" s="2" t="n"/>
      <c r="CEM1" s="2" t="n"/>
      <c r="CEN1" s="2" t="n"/>
      <c r="CEO1" s="2" t="n"/>
      <c r="CEP1" s="2" t="n"/>
      <c r="CEQ1" s="2" t="n"/>
      <c r="CER1" s="2" t="n"/>
      <c r="CES1" s="2" t="n"/>
      <c r="CET1" s="2" t="n"/>
      <c r="CEU1" s="2" t="n"/>
      <c r="CEV1" s="2" t="n"/>
      <c r="CEW1" s="2" t="n"/>
      <c r="CEX1" s="2" t="n"/>
      <c r="CEY1" s="2" t="n"/>
      <c r="CEZ1" s="2" t="n"/>
      <c r="CFA1" s="2" t="n"/>
      <c r="CFB1" s="2" t="n"/>
      <c r="CFC1" s="2" t="n"/>
      <c r="CFD1" s="2" t="n"/>
      <c r="CFE1" s="2" t="n"/>
      <c r="CFF1" s="2" t="n"/>
      <c r="CFG1" s="2" t="n"/>
      <c r="CFH1" s="2" t="n"/>
      <c r="CFI1" s="2" t="n"/>
      <c r="CFJ1" s="2" t="n"/>
      <c r="CFK1" s="2" t="n"/>
      <c r="CFL1" s="2" t="n"/>
      <c r="CFM1" s="2" t="n"/>
      <c r="CFN1" s="2" t="n"/>
      <c r="CFO1" s="2" t="n"/>
      <c r="CFP1" s="2" t="n"/>
      <c r="CFQ1" s="2" t="n"/>
      <c r="CFR1" s="2" t="n"/>
      <c r="CFS1" s="2" t="n"/>
      <c r="CFT1" s="2" t="n"/>
      <c r="CFU1" s="2" t="n"/>
      <c r="CFV1" s="2" t="n"/>
      <c r="CFW1" s="2" t="n"/>
      <c r="CFX1" s="2" t="n"/>
      <c r="CFY1" s="2" t="n"/>
      <c r="CFZ1" s="2" t="n"/>
      <c r="CGA1" s="2" t="n"/>
      <c r="CGB1" s="2" t="n"/>
      <c r="CGC1" s="2" t="n"/>
      <c r="CGD1" s="2" t="n"/>
      <c r="CGE1" s="2" t="n"/>
      <c r="CGF1" s="2" t="n"/>
      <c r="CGG1" s="2" t="n"/>
      <c r="CGH1" s="2" t="n"/>
      <c r="CGI1" s="2" t="n"/>
      <c r="CGJ1" s="2" t="n"/>
      <c r="CGK1" s="2" t="n"/>
      <c r="CGL1" s="2" t="n"/>
      <c r="CGM1" s="2" t="n"/>
      <c r="CGN1" s="2" t="n"/>
      <c r="CGO1" s="2" t="n"/>
      <c r="CGP1" s="2" t="n"/>
      <c r="CGQ1" s="2" t="n"/>
      <c r="CGR1" s="2" t="n"/>
      <c r="CGS1" s="2" t="n"/>
      <c r="CGT1" s="2" t="n"/>
      <c r="CGU1" s="2" t="n"/>
      <c r="CGV1" s="2" t="n"/>
      <c r="CGW1" s="2" t="n"/>
      <c r="CGX1" s="2" t="n"/>
      <c r="CGY1" s="2" t="n"/>
      <c r="CGZ1" s="2" t="n"/>
      <c r="CHA1" s="2" t="n"/>
      <c r="CHB1" s="2" t="n"/>
      <c r="CHC1" s="2" t="n"/>
      <c r="CHD1" s="2" t="n"/>
      <c r="CHE1" s="2" t="n"/>
      <c r="CHF1" s="2" t="n"/>
      <c r="CHG1" s="2" t="n"/>
      <c r="CHH1" s="2" t="n"/>
      <c r="CHI1" s="2" t="n"/>
      <c r="CHJ1" s="2" t="n"/>
      <c r="CHK1" s="2" t="n"/>
      <c r="CHL1" s="2" t="n"/>
      <c r="CHM1" s="2" t="n"/>
      <c r="CHN1" s="2" t="n"/>
      <c r="CHO1" s="2" t="n"/>
      <c r="CHP1" s="2" t="n"/>
      <c r="CHQ1" s="2" t="n"/>
      <c r="CHR1" s="2" t="n"/>
      <c r="CHS1" s="2" t="n"/>
      <c r="CHT1" s="2" t="n"/>
      <c r="CHU1" s="2" t="n"/>
      <c r="CHV1" s="2" t="n"/>
      <c r="CHW1" s="2" t="n"/>
      <c r="CHX1" s="2" t="n"/>
      <c r="CHY1" s="2" t="n"/>
      <c r="CHZ1" s="2" t="n"/>
      <c r="CIA1" s="2" t="n"/>
      <c r="CIB1" s="2" t="n"/>
      <c r="CIC1" s="2" t="n"/>
      <c r="CID1" s="2" t="n"/>
      <c r="CIE1" s="2" t="n"/>
      <c r="CIF1" s="2" t="n"/>
      <c r="CIG1" s="2" t="n"/>
      <c r="CIH1" s="2" t="n"/>
      <c r="CII1" s="2" t="n"/>
      <c r="CIJ1" s="2" t="n"/>
      <c r="CIK1" s="2" t="n"/>
      <c r="CIL1" s="2" t="n"/>
      <c r="CIM1" s="2" t="n"/>
      <c r="CIN1" s="2" t="n"/>
      <c r="CIO1" s="2" t="n"/>
      <c r="CIP1" s="2" t="n"/>
      <c r="CIQ1" s="2" t="n"/>
      <c r="CIR1" s="2" t="n"/>
      <c r="CIS1" s="2" t="n"/>
      <c r="CIT1" s="2" t="n"/>
      <c r="CIU1" s="2" t="n"/>
      <c r="CIV1" s="2" t="n"/>
      <c r="CIW1" s="2" t="n"/>
      <c r="CIX1" s="2" t="n"/>
      <c r="CIY1" s="2" t="n"/>
      <c r="CIZ1" s="2" t="n"/>
      <c r="CJA1" s="2" t="n"/>
      <c r="CJB1" s="2" t="n"/>
      <c r="CJC1" s="2" t="n"/>
      <c r="CJD1" s="2" t="n"/>
      <c r="CJE1" s="2" t="n"/>
      <c r="CJF1" s="2" t="n"/>
      <c r="CJG1" s="2" t="n"/>
      <c r="CJH1" s="2" t="n"/>
      <c r="CJI1" s="2" t="n"/>
      <c r="CJJ1" s="2" t="n"/>
      <c r="CJK1" s="2" t="n"/>
      <c r="CJL1" s="2" t="n"/>
      <c r="CJM1" s="2" t="n"/>
      <c r="CJN1" s="2" t="n"/>
      <c r="CJO1" s="2" t="n"/>
      <c r="CJP1" s="2" t="n"/>
      <c r="CJQ1" s="2" t="n"/>
      <c r="CJR1" s="2" t="n"/>
      <c r="CJS1" s="2" t="n"/>
      <c r="CJT1" s="2" t="n"/>
      <c r="CJU1" s="2" t="n"/>
      <c r="CJV1" s="2" t="n"/>
      <c r="CJW1" s="2" t="n"/>
      <c r="CJX1" s="2" t="n"/>
      <c r="CJY1" s="2" t="n"/>
      <c r="CJZ1" s="2" t="n"/>
      <c r="CKA1" s="2" t="n"/>
      <c r="CKB1" s="2" t="n"/>
      <c r="CKC1" s="2" t="n"/>
      <c r="CKD1" s="2" t="n"/>
      <c r="CKE1" s="2" t="n"/>
      <c r="CKF1" s="2" t="n"/>
      <c r="CKG1" s="2" t="n"/>
      <c r="CKH1" s="2" t="n"/>
      <c r="CKI1" s="2" t="n"/>
      <c r="CKJ1" s="2" t="n"/>
      <c r="CKK1" s="2" t="n"/>
      <c r="CKL1" s="2" t="n"/>
      <c r="CKM1" s="2" t="n"/>
      <c r="CKN1" s="2" t="n"/>
      <c r="CKO1" s="2" t="n"/>
      <c r="CKP1" s="2" t="n"/>
      <c r="CKQ1" s="2" t="n"/>
      <c r="CKR1" s="2" t="n"/>
      <c r="CKS1" s="2" t="n"/>
      <c r="CKT1" s="2" t="n"/>
      <c r="CKU1" s="2" t="n"/>
      <c r="CKV1" s="2" t="n"/>
      <c r="CKW1" s="2" t="n"/>
      <c r="CKX1" s="2" t="n"/>
      <c r="CKY1" s="2" t="n"/>
      <c r="CKZ1" s="2" t="n"/>
      <c r="CLA1" s="2" t="n"/>
      <c r="CLB1" s="2" t="n"/>
      <c r="CLC1" s="2" t="n"/>
      <c r="CLD1" s="2" t="n"/>
      <c r="CLE1" s="2" t="n"/>
      <c r="CLF1" s="2" t="n"/>
      <c r="CLG1" s="2" t="n"/>
      <c r="CLH1" s="2" t="n"/>
      <c r="CLI1" s="2" t="n"/>
      <c r="CLJ1" s="2" t="n"/>
      <c r="CLK1" s="2" t="n"/>
      <c r="CLL1" s="2" t="n"/>
      <c r="CLM1" s="2" t="n"/>
      <c r="CLN1" s="2" t="n"/>
      <c r="CLO1" s="2" t="n"/>
      <c r="CLP1" s="2" t="n"/>
      <c r="CLQ1" s="2" t="n"/>
      <c r="CLR1" s="2" t="n"/>
      <c r="CLS1" s="2" t="n"/>
      <c r="CLT1" s="2" t="n"/>
      <c r="CLU1" s="2" t="n"/>
      <c r="CLV1" s="2" t="n"/>
      <c r="CLW1" s="2" t="n"/>
      <c r="CLX1" s="2" t="n"/>
      <c r="CLY1" s="2" t="n"/>
      <c r="CLZ1" s="2" t="n"/>
      <c r="CMA1" s="2" t="n"/>
      <c r="CMB1" s="2" t="n"/>
      <c r="CMC1" s="2" t="n"/>
      <c r="CMD1" s="2" t="n"/>
      <c r="CME1" s="2" t="n"/>
      <c r="CMF1" s="2" t="n"/>
      <c r="CMG1" s="2" t="n"/>
      <c r="CMH1" s="2" t="n"/>
      <c r="CMI1" s="2" t="n"/>
      <c r="CMJ1" s="2" t="n"/>
      <c r="CMK1" s="2" t="n"/>
      <c r="CML1" s="2" t="n"/>
      <c r="CMM1" s="2" t="n"/>
      <c r="CMN1" s="2" t="n"/>
      <c r="CMO1" s="2" t="n"/>
      <c r="CMP1" s="2" t="n"/>
      <c r="CMQ1" s="2" t="n"/>
      <c r="CMR1" s="2" t="n"/>
      <c r="CMS1" s="2" t="n"/>
      <c r="CMT1" s="2" t="n"/>
      <c r="CMU1" s="2" t="n"/>
      <c r="CMV1" s="2" t="n"/>
      <c r="CMW1" s="2" t="n"/>
      <c r="CMX1" s="2" t="n"/>
      <c r="CMY1" s="2" t="n"/>
      <c r="CMZ1" s="2" t="n"/>
      <c r="CNA1" s="2" t="n"/>
      <c r="CNB1" s="2" t="n"/>
      <c r="CNC1" s="2" t="n"/>
      <c r="CND1" s="2" t="n"/>
      <c r="CNE1" s="2" t="n"/>
      <c r="CNF1" s="2" t="n"/>
      <c r="CNG1" s="2" t="n"/>
      <c r="CNH1" s="2" t="n"/>
      <c r="CNI1" s="2" t="n"/>
      <c r="CNJ1" s="2" t="n"/>
      <c r="CNK1" s="2" t="n"/>
      <c r="CNL1" s="2" t="n"/>
      <c r="CNM1" s="2" t="n"/>
      <c r="CNN1" s="2" t="n"/>
      <c r="CNO1" s="2" t="n"/>
      <c r="CNP1" s="2" t="n"/>
      <c r="CNQ1" s="2" t="n"/>
      <c r="CNR1" s="2" t="n"/>
      <c r="CNS1" s="2" t="n"/>
      <c r="CNT1" s="2" t="n"/>
      <c r="CNU1" s="2" t="n"/>
      <c r="CNV1" s="2" t="n"/>
      <c r="CNW1" s="2" t="n"/>
      <c r="CNX1" s="2" t="n"/>
      <c r="CNY1" s="2" t="n"/>
      <c r="CNZ1" s="2" t="n"/>
      <c r="COA1" s="2" t="n"/>
      <c r="COB1" s="2" t="n"/>
      <c r="COC1" s="2" t="n"/>
      <c r="COD1" s="2" t="n"/>
      <c r="COE1" s="2" t="n"/>
      <c r="COF1" s="2" t="n"/>
      <c r="COG1" s="2" t="n"/>
      <c r="COH1" s="2" t="n"/>
      <c r="COI1" s="2" t="n"/>
      <c r="COJ1" s="2" t="n"/>
      <c r="COK1" s="2" t="n"/>
      <c r="COL1" s="2" t="n"/>
      <c r="COM1" s="2" t="n"/>
      <c r="CON1" s="2" t="n"/>
      <c r="COO1" s="2" t="n"/>
      <c r="COP1" s="2" t="n"/>
      <c r="COQ1" s="2" t="n"/>
      <c r="COR1" s="2" t="n"/>
      <c r="COS1" s="2" t="n"/>
      <c r="COT1" s="2" t="n"/>
      <c r="COU1" s="2" t="n"/>
      <c r="COV1" s="2" t="n"/>
      <c r="COW1" s="2" t="n"/>
      <c r="COX1" s="2" t="n"/>
      <c r="COY1" s="2" t="n"/>
      <c r="COZ1" s="2" t="n"/>
      <c r="CPA1" s="2" t="n"/>
      <c r="CPB1" s="2" t="n"/>
      <c r="CPC1" s="2" t="n"/>
      <c r="CPD1" s="2" t="n"/>
      <c r="CPE1" s="2" t="n"/>
      <c r="CPF1" s="2" t="n"/>
      <c r="CPG1" s="2" t="n"/>
      <c r="CPH1" s="2" t="n"/>
      <c r="CPI1" s="2" t="n"/>
      <c r="CPJ1" s="2" t="n"/>
      <c r="CPK1" s="2" t="n"/>
      <c r="CPL1" s="2" t="n"/>
      <c r="CPM1" s="2" t="n"/>
      <c r="CPN1" s="2" t="n"/>
      <c r="CPO1" s="2" t="n"/>
      <c r="CPP1" s="2" t="n"/>
      <c r="CPQ1" s="2" t="n"/>
      <c r="CPR1" s="2" t="n"/>
      <c r="CPS1" s="2" t="n"/>
      <c r="CPT1" s="2" t="n"/>
      <c r="CPU1" s="2" t="n"/>
      <c r="CPV1" s="2" t="n"/>
      <c r="CPW1" s="2" t="n"/>
      <c r="CPX1" s="2" t="n"/>
      <c r="CPY1" s="2" t="n"/>
      <c r="CPZ1" s="2" t="n"/>
      <c r="CQA1" s="2" t="n"/>
      <c r="CQB1" s="2" t="n"/>
      <c r="CQC1" s="2" t="n"/>
      <c r="CQD1" s="2" t="n"/>
      <c r="CQE1" s="2" t="n"/>
      <c r="CQF1" s="2" t="n"/>
      <c r="CQG1" s="2" t="n"/>
      <c r="CQH1" s="2" t="n"/>
      <c r="CQI1" s="2" t="n"/>
      <c r="CQJ1" s="2" t="n"/>
      <c r="CQK1" s="2" t="n"/>
      <c r="CQL1" s="2" t="n"/>
      <c r="CQM1" s="2" t="n"/>
      <c r="CQN1" s="2" t="n"/>
      <c r="CQO1" s="2" t="n"/>
      <c r="CQP1" s="2" t="n"/>
      <c r="CQQ1" s="2" t="n"/>
      <c r="CQR1" s="2" t="n"/>
      <c r="CQS1" s="2" t="n"/>
      <c r="CQT1" s="2" t="n"/>
      <c r="CQU1" s="2" t="n"/>
      <c r="CQV1" s="2" t="n"/>
      <c r="CQW1" s="2" t="n"/>
      <c r="CQX1" s="2" t="n"/>
      <c r="CQY1" s="2" t="n"/>
      <c r="CQZ1" s="2" t="n"/>
      <c r="CRA1" s="2" t="n"/>
      <c r="CRB1" s="2" t="n"/>
      <c r="CRC1" s="2" t="n"/>
      <c r="CRD1" s="2" t="n"/>
      <c r="CRE1" s="2" t="n"/>
      <c r="CRF1" s="2" t="n"/>
      <c r="CRG1" s="2" t="n"/>
      <c r="CRH1" s="2" t="n"/>
      <c r="CRI1" s="2" t="n"/>
      <c r="CRJ1" s="2" t="n"/>
      <c r="CRK1" s="2" t="n"/>
      <c r="CRL1" s="2" t="n"/>
      <c r="CRM1" s="2" t="n"/>
      <c r="CRN1" s="2" t="n"/>
      <c r="CRO1" s="2" t="n"/>
      <c r="CRP1" s="2" t="n"/>
      <c r="CRQ1" s="2" t="n"/>
      <c r="CRR1" s="2" t="n"/>
      <c r="CRS1" s="2" t="n"/>
      <c r="CRT1" s="2" t="n"/>
      <c r="CRU1" s="2" t="n"/>
      <c r="CRV1" s="2" t="n"/>
      <c r="CRW1" s="2" t="n"/>
      <c r="CRX1" s="2" t="n"/>
      <c r="CRY1" s="2" t="n"/>
      <c r="CRZ1" s="2" t="n"/>
      <c r="CSA1" s="2" t="n"/>
      <c r="CSB1" s="2" t="n"/>
      <c r="CSC1" s="2" t="n"/>
      <c r="CSD1" s="2" t="n"/>
      <c r="CSE1" s="2" t="n"/>
      <c r="CSF1" s="2" t="n"/>
      <c r="CSG1" s="2" t="n"/>
      <c r="CSH1" s="2" t="n"/>
      <c r="CSI1" s="2" t="n"/>
      <c r="CSJ1" s="2" t="n"/>
      <c r="CSK1" s="2" t="n"/>
      <c r="CSL1" s="2" t="n"/>
      <c r="CSM1" s="2" t="n"/>
      <c r="CSN1" s="2" t="n"/>
      <c r="CSO1" s="2" t="n"/>
      <c r="CSP1" s="2" t="n"/>
      <c r="CSQ1" s="2" t="n"/>
      <c r="CSR1" s="2" t="n"/>
      <c r="CSS1" s="2" t="n"/>
      <c r="CST1" s="2" t="n"/>
      <c r="CSU1" s="2" t="n"/>
      <c r="CSV1" s="2" t="n"/>
      <c r="CSW1" s="2" t="n"/>
      <c r="CSX1" s="2" t="n"/>
      <c r="CSY1" s="2" t="n"/>
      <c r="CSZ1" s="2" t="n"/>
      <c r="CTA1" s="2" t="n"/>
      <c r="CTB1" s="2" t="n"/>
      <c r="CTC1" s="2" t="n"/>
      <c r="CTD1" s="2" t="n"/>
      <c r="CTE1" s="2" t="n"/>
      <c r="CTF1" s="2" t="n"/>
      <c r="CTG1" s="2" t="n"/>
      <c r="CTH1" s="2" t="n"/>
      <c r="CTI1" s="2" t="n"/>
      <c r="CTJ1" s="2" t="n"/>
      <c r="CTK1" s="2" t="n"/>
      <c r="CTL1" s="2" t="n"/>
      <c r="CTM1" s="2" t="n"/>
      <c r="CTN1" s="2" t="n"/>
      <c r="CTO1" s="2" t="n"/>
      <c r="CTP1" s="2" t="n"/>
      <c r="CTQ1" s="2" t="n"/>
      <c r="CTR1" s="2" t="n"/>
      <c r="CTS1" s="2" t="n"/>
      <c r="CTT1" s="2" t="n"/>
      <c r="CTU1" s="2" t="n"/>
      <c r="CTV1" s="2" t="n"/>
      <c r="CTW1" s="2" t="n"/>
      <c r="CTX1" s="2" t="n"/>
      <c r="CTY1" s="2" t="n"/>
      <c r="CTZ1" s="2" t="n"/>
      <c r="CUA1" s="2" t="n"/>
      <c r="CUB1" s="2" t="n"/>
      <c r="CUC1" s="2" t="n"/>
      <c r="CUD1" s="2" t="n"/>
      <c r="CUE1" s="2" t="n"/>
      <c r="CUF1" s="2" t="n"/>
      <c r="CUG1" s="2" t="n"/>
      <c r="CUH1" s="2" t="n"/>
      <c r="CUI1" s="2" t="n"/>
      <c r="CUJ1" s="2" t="n"/>
      <c r="CUK1" s="2" t="n"/>
      <c r="CUL1" s="2" t="n"/>
      <c r="CUM1" s="2" t="n"/>
      <c r="CUN1" s="2" t="n"/>
      <c r="CUO1" s="2" t="n"/>
      <c r="CUP1" s="2" t="n"/>
      <c r="CUQ1" s="2" t="n"/>
      <c r="CUR1" s="2" t="n"/>
      <c r="CUS1" s="2" t="n"/>
      <c r="CUT1" s="2" t="n"/>
      <c r="CUU1" s="2" t="n"/>
      <c r="CUV1" s="2" t="n"/>
      <c r="CUW1" s="2" t="n"/>
      <c r="CUX1" s="2" t="n"/>
      <c r="CUY1" s="2" t="n"/>
      <c r="CUZ1" s="2" t="n"/>
      <c r="CVA1" s="2" t="n"/>
      <c r="CVB1" s="2" t="n"/>
      <c r="CVC1" s="2" t="n"/>
      <c r="CVD1" s="2" t="n"/>
      <c r="CVE1" s="2" t="n"/>
      <c r="CVF1" s="2" t="n"/>
      <c r="CVG1" s="2" t="n"/>
      <c r="CVH1" s="2" t="n"/>
      <c r="CVI1" s="2" t="n"/>
      <c r="CVJ1" s="2" t="n"/>
      <c r="CVK1" s="2" t="n"/>
      <c r="CVL1" s="2" t="n"/>
      <c r="CVM1" s="2" t="n"/>
      <c r="CVN1" s="2" t="n"/>
      <c r="CVO1" s="2" t="n"/>
      <c r="CVP1" s="2" t="n"/>
      <c r="CVQ1" s="2" t="n"/>
      <c r="CVR1" s="2" t="n"/>
      <c r="CVS1" s="2" t="n"/>
      <c r="CVT1" s="2" t="n"/>
      <c r="CVU1" s="2" t="n"/>
      <c r="CVV1" s="2" t="n"/>
      <c r="CVW1" s="2" t="n"/>
      <c r="CVX1" s="2" t="n"/>
      <c r="CVY1" s="2" t="n"/>
      <c r="CVZ1" s="2" t="n"/>
      <c r="CWA1" s="2" t="n"/>
      <c r="CWB1" s="2" t="n"/>
      <c r="CWC1" s="2" t="n"/>
      <c r="CWD1" s="2" t="n"/>
      <c r="CWE1" s="2" t="n"/>
      <c r="CWF1" s="2" t="n"/>
      <c r="CWG1" s="2" t="n"/>
      <c r="CWH1" s="2" t="n"/>
      <c r="CWI1" s="2" t="n"/>
      <c r="CWJ1" s="2" t="n"/>
      <c r="CWK1" s="2" t="n"/>
      <c r="CWL1" s="2" t="n"/>
      <c r="CWM1" s="2" t="n"/>
      <c r="CWN1" s="2" t="n"/>
      <c r="CWO1" s="2" t="n"/>
      <c r="CWP1" s="2" t="n"/>
      <c r="CWQ1" s="2" t="n"/>
      <c r="CWR1" s="2" t="n"/>
      <c r="CWS1" s="2" t="n"/>
      <c r="CWT1" s="2" t="n"/>
      <c r="CWU1" s="2" t="n"/>
      <c r="CWV1" s="2" t="n"/>
      <c r="CWW1" s="2" t="n"/>
      <c r="CWX1" s="2" t="n"/>
      <c r="CWY1" s="2" t="n"/>
      <c r="CWZ1" s="2" t="n"/>
      <c r="CXA1" s="2" t="n"/>
      <c r="CXB1" s="2" t="n"/>
      <c r="CXC1" s="2" t="n"/>
      <c r="CXD1" s="2" t="n"/>
      <c r="CXE1" s="2" t="n"/>
      <c r="CXF1" s="2" t="n"/>
      <c r="CXG1" s="2" t="n"/>
      <c r="CXH1" s="2" t="n"/>
      <c r="CXI1" s="2" t="n"/>
      <c r="CXJ1" s="2" t="n"/>
      <c r="CXK1" s="2" t="n"/>
      <c r="CXL1" s="2" t="n"/>
      <c r="CXM1" s="2" t="n"/>
      <c r="CXN1" s="2" t="n"/>
      <c r="CXO1" s="2" t="n"/>
      <c r="CXP1" s="2" t="n"/>
      <c r="CXQ1" s="2" t="n"/>
      <c r="CXR1" s="2" t="n"/>
      <c r="CXS1" s="2" t="n"/>
      <c r="CXT1" s="2" t="n"/>
      <c r="CXU1" s="2" t="n"/>
      <c r="CXV1" s="2" t="n"/>
      <c r="CXW1" s="2" t="n"/>
      <c r="CXX1" s="2" t="n"/>
      <c r="CXY1" s="2" t="n"/>
      <c r="CXZ1" s="2" t="n"/>
      <c r="CYA1" s="2" t="n"/>
      <c r="CYB1" s="2" t="n"/>
      <c r="CYC1" s="2" t="n"/>
      <c r="CYD1" s="2" t="n"/>
      <c r="CYE1" s="2" t="n"/>
      <c r="CYF1" s="2" t="n"/>
      <c r="CYG1" s="2" t="n"/>
      <c r="CYH1" s="2" t="n"/>
      <c r="CYI1" s="2" t="n"/>
      <c r="CYJ1" s="2" t="n"/>
      <c r="CYK1" s="2" t="n"/>
      <c r="CYL1" s="2" t="n"/>
      <c r="CYM1" s="2" t="n"/>
      <c r="CYN1" s="2" t="n"/>
      <c r="CYO1" s="2" t="n"/>
      <c r="CYP1" s="2" t="n"/>
      <c r="CYQ1" s="2" t="n"/>
      <c r="CYR1" s="2" t="n"/>
      <c r="CYS1" s="2" t="n"/>
      <c r="CYT1" s="2" t="n"/>
      <c r="CYU1" s="2" t="n"/>
      <c r="CYV1" s="2" t="n"/>
      <c r="CYW1" s="2" t="n"/>
      <c r="CYX1" s="2" t="n"/>
      <c r="CYY1" s="2" t="n"/>
      <c r="CYZ1" s="2" t="n"/>
      <c r="CZA1" s="2" t="n"/>
      <c r="CZB1" s="2" t="n"/>
      <c r="CZC1" s="2" t="n"/>
      <c r="CZD1" s="2" t="n"/>
      <c r="CZE1" s="2" t="n"/>
      <c r="CZF1" s="2" t="n"/>
      <c r="CZG1" s="2" t="n"/>
      <c r="CZH1" s="2" t="n"/>
      <c r="CZI1" s="2" t="n"/>
      <c r="CZJ1" s="2" t="n"/>
      <c r="CZK1" s="2" t="n"/>
      <c r="CZL1" s="2" t="n"/>
      <c r="CZM1" s="2" t="n"/>
      <c r="CZN1" s="2" t="n"/>
      <c r="CZO1" s="2" t="n"/>
      <c r="CZP1" s="2" t="n"/>
      <c r="CZQ1" s="2" t="n"/>
      <c r="CZR1" s="2" t="n"/>
      <c r="CZS1" s="2" t="n"/>
      <c r="CZT1" s="2" t="n"/>
      <c r="CZU1" s="2" t="n"/>
      <c r="CZV1" s="2" t="n"/>
      <c r="CZW1" s="2" t="n"/>
      <c r="CZX1" s="2" t="n"/>
      <c r="CZY1" s="2" t="n"/>
      <c r="CZZ1" s="2" t="n"/>
      <c r="DAA1" s="2" t="n"/>
      <c r="DAB1" s="2" t="n"/>
      <c r="DAC1" s="2" t="n"/>
      <c r="DAD1" s="2" t="n"/>
      <c r="DAE1" s="2" t="n"/>
      <c r="DAF1" s="2" t="n"/>
      <c r="DAG1" s="2" t="n"/>
      <c r="DAH1" s="2" t="n"/>
      <c r="DAI1" s="2" t="n"/>
      <c r="DAJ1" s="2" t="n"/>
      <c r="DAK1" s="2" t="n"/>
      <c r="DAL1" s="2" t="n"/>
      <c r="DAM1" s="2" t="n"/>
      <c r="DAN1" s="2" t="n"/>
      <c r="DAO1" s="2" t="n"/>
      <c r="DAP1" s="2" t="n"/>
      <c r="DAQ1" s="2" t="n"/>
      <c r="DAR1" s="2" t="n"/>
      <c r="DAS1" s="2" t="n"/>
      <c r="DAT1" s="2" t="n"/>
      <c r="DAU1" s="2" t="n"/>
      <c r="DAV1" s="2" t="n"/>
      <c r="DAW1" s="2" t="n"/>
      <c r="DAX1" s="2" t="n"/>
      <c r="DAY1" s="2" t="n"/>
      <c r="DAZ1" s="2" t="n"/>
      <c r="DBA1" s="2" t="n"/>
      <c r="DBB1" s="2" t="n"/>
      <c r="DBC1" s="2" t="n"/>
      <c r="DBD1" s="2" t="n"/>
      <c r="DBE1" s="2" t="n"/>
      <c r="DBF1" s="2" t="n"/>
      <c r="DBG1" s="2" t="n"/>
      <c r="DBH1" s="2" t="n"/>
      <c r="DBI1" s="2" t="n"/>
      <c r="DBJ1" s="2" t="n"/>
      <c r="DBK1" s="2" t="n"/>
      <c r="DBL1" s="2" t="n"/>
      <c r="DBM1" s="2" t="n"/>
      <c r="DBN1" s="2" t="n"/>
      <c r="DBO1" s="2" t="n"/>
      <c r="DBP1" s="2" t="n"/>
      <c r="DBQ1" s="2" t="n"/>
      <c r="DBR1" s="2" t="n"/>
      <c r="DBS1" s="2" t="n"/>
      <c r="DBT1" s="2" t="n"/>
      <c r="DBU1" s="2" t="n"/>
      <c r="DBV1" s="2" t="n"/>
      <c r="DBW1" s="2" t="n"/>
      <c r="DBX1" s="2" t="n"/>
      <c r="DBY1" s="2" t="n"/>
      <c r="DBZ1" s="2" t="n"/>
      <c r="DCA1" s="2" t="n"/>
      <c r="DCB1" s="2" t="n"/>
      <c r="DCC1" s="2" t="n"/>
      <c r="DCD1" s="2" t="n"/>
      <c r="DCE1" s="2" t="n"/>
      <c r="DCF1" s="2" t="n"/>
      <c r="DCG1" s="2" t="n"/>
      <c r="DCH1" s="2" t="n"/>
      <c r="DCI1" s="2" t="n"/>
      <c r="DCJ1" s="2" t="n"/>
      <c r="DCK1" s="2" t="n"/>
      <c r="DCL1" s="2" t="n"/>
      <c r="DCM1" s="2" t="n"/>
      <c r="DCN1" s="2" t="n"/>
      <c r="DCO1" s="2" t="n"/>
      <c r="DCP1" s="2" t="n"/>
      <c r="DCQ1" s="2" t="n"/>
      <c r="DCR1" s="2" t="n"/>
      <c r="DCS1" s="2" t="n"/>
      <c r="DCT1" s="2" t="n"/>
      <c r="DCU1" s="2" t="n"/>
      <c r="DCV1" s="2" t="n"/>
      <c r="DCW1" s="2" t="n"/>
      <c r="DCX1" s="2" t="n"/>
      <c r="DCY1" s="2" t="n"/>
      <c r="DCZ1" s="2" t="n"/>
      <c r="DDA1" s="2" t="n"/>
      <c r="DDB1" s="2" t="n"/>
      <c r="DDC1" s="2" t="n"/>
      <c r="DDD1" s="2" t="n"/>
      <c r="DDE1" s="2" t="n"/>
      <c r="DDF1" s="2" t="n"/>
      <c r="DDG1" s="2" t="n"/>
      <c r="DDH1" s="2" t="n"/>
      <c r="DDI1" s="2" t="n"/>
      <c r="DDJ1" s="2" t="n"/>
      <c r="DDK1" s="2" t="n"/>
      <c r="DDL1" s="2" t="n"/>
      <c r="DDM1" s="2" t="n"/>
      <c r="DDN1" s="2" t="n"/>
      <c r="DDO1" s="2" t="n"/>
      <c r="DDP1" s="2" t="n"/>
      <c r="DDQ1" s="2" t="n"/>
      <c r="DDR1" s="2" t="n"/>
      <c r="DDS1" s="2" t="n"/>
      <c r="DDT1" s="2" t="n"/>
      <c r="DDU1" s="2" t="n"/>
      <c r="DDV1" s="2" t="n"/>
      <c r="DDW1" s="2" t="n"/>
      <c r="DDX1" s="2" t="n"/>
      <c r="DDY1" s="2" t="n"/>
      <c r="DDZ1" s="2" t="n"/>
      <c r="DEA1" s="2" t="n"/>
      <c r="DEB1" s="2" t="n"/>
      <c r="DEC1" s="2" t="n"/>
      <c r="DED1" s="2" t="n"/>
      <c r="DEE1" s="2" t="n"/>
      <c r="DEF1" s="2" t="n"/>
      <c r="DEG1" s="2" t="n"/>
      <c r="DEH1" s="2" t="n"/>
      <c r="DEI1" s="2" t="n"/>
      <c r="DEJ1" s="2" t="n"/>
      <c r="DEK1" s="2" t="n"/>
      <c r="DEL1" s="2" t="n"/>
      <c r="DEM1" s="2" t="n"/>
      <c r="DEN1" s="2" t="n"/>
      <c r="DEO1" s="2" t="n"/>
      <c r="DEP1" s="2" t="n"/>
      <c r="DEQ1" s="2" t="n"/>
      <c r="DER1" s="2" t="n"/>
      <c r="DES1" s="2" t="n"/>
      <c r="DET1" s="2" t="n"/>
      <c r="DEU1" s="2" t="n"/>
      <c r="DEV1" s="2" t="n"/>
      <c r="DEW1" s="2" t="n"/>
      <c r="DEX1" s="2" t="n"/>
      <c r="DEY1" s="2" t="n"/>
      <c r="DEZ1" s="2" t="n"/>
      <c r="DFA1" s="2" t="n"/>
      <c r="DFB1" s="2" t="n"/>
      <c r="DFC1" s="2" t="n"/>
      <c r="DFD1" s="2" t="n"/>
      <c r="DFE1" s="2" t="n"/>
      <c r="DFF1" s="2" t="n"/>
      <c r="DFG1" s="2" t="n"/>
      <c r="DFH1" s="2" t="n"/>
      <c r="DFI1" s="2" t="n"/>
      <c r="DFJ1" s="2" t="n"/>
      <c r="DFK1" s="2" t="n"/>
      <c r="DFL1" s="2" t="n"/>
      <c r="DFM1" s="2" t="n"/>
      <c r="DFN1" s="2" t="n"/>
      <c r="DFO1" s="2" t="n"/>
      <c r="DFP1" s="2" t="n"/>
      <c r="DFQ1" s="2" t="n"/>
      <c r="DFR1" s="2" t="n"/>
      <c r="DFS1" s="2" t="n"/>
      <c r="DFT1" s="2" t="n"/>
      <c r="DFU1" s="2" t="n"/>
      <c r="DFV1" s="2" t="n"/>
      <c r="DFW1" s="2" t="n"/>
      <c r="DFX1" s="2" t="n"/>
      <c r="DFY1" s="2" t="n"/>
      <c r="DFZ1" s="2" t="n"/>
      <c r="DGA1" s="2" t="n"/>
      <c r="DGB1" s="2" t="n"/>
      <c r="DGC1" s="2" t="n"/>
      <c r="DGD1" s="2" t="n"/>
      <c r="DGE1" s="2" t="n"/>
      <c r="DGF1" s="2" t="n"/>
      <c r="DGG1" s="2" t="n"/>
      <c r="DGH1" s="2" t="n"/>
      <c r="DGI1" s="2" t="n"/>
      <c r="DGJ1" s="2" t="n"/>
      <c r="DGK1" s="2" t="n"/>
      <c r="DGL1" s="2" t="n"/>
      <c r="DGM1" s="2" t="n"/>
      <c r="DGN1" s="2" t="n"/>
      <c r="DGO1" s="2" t="n"/>
      <c r="DGP1" s="2" t="n"/>
      <c r="DGQ1" s="2" t="n"/>
      <c r="DGR1" s="2" t="n"/>
      <c r="DGS1" s="2" t="n"/>
      <c r="DGT1" s="2" t="n"/>
      <c r="DGU1" s="2" t="n"/>
      <c r="DGV1" s="2" t="n"/>
      <c r="DGW1" s="2" t="n"/>
      <c r="DGX1" s="2" t="n"/>
      <c r="DGY1" s="2" t="n"/>
      <c r="DGZ1" s="2" t="n"/>
      <c r="DHA1" s="2" t="n"/>
      <c r="DHB1" s="2" t="n"/>
      <c r="DHC1" s="2" t="n"/>
      <c r="DHD1" s="2" t="n"/>
      <c r="DHE1" s="2" t="n"/>
      <c r="DHF1" s="2" t="n"/>
      <c r="DHG1" s="2" t="n"/>
      <c r="DHH1" s="2" t="n"/>
      <c r="DHI1" s="2" t="n"/>
      <c r="DHJ1" s="2" t="n"/>
      <c r="DHK1" s="2" t="n"/>
      <c r="DHL1" s="2" t="n"/>
      <c r="DHM1" s="2" t="n"/>
      <c r="DHN1" s="2" t="n"/>
      <c r="DHO1" s="2" t="n"/>
      <c r="DHP1" s="2" t="n"/>
      <c r="DHQ1" s="2" t="n"/>
      <c r="DHR1" s="2" t="n"/>
      <c r="DHS1" s="2" t="n"/>
      <c r="DHT1" s="2" t="n"/>
      <c r="DHU1" s="2" t="n"/>
      <c r="DHV1" s="2" t="n"/>
      <c r="DHW1" s="2" t="n"/>
      <c r="DHX1" s="2" t="n"/>
      <c r="DHY1" s="2" t="n"/>
      <c r="DHZ1" s="2" t="n"/>
      <c r="DIA1" s="2" t="n"/>
      <c r="DIB1" s="2" t="n"/>
      <c r="DIC1" s="2" t="n"/>
      <c r="DID1" s="2" t="n"/>
      <c r="DIE1" s="2" t="n"/>
      <c r="DIF1" s="2" t="n"/>
      <c r="DIG1" s="2" t="n"/>
      <c r="DIH1" s="2" t="n"/>
      <c r="DII1" s="2" t="n"/>
      <c r="DIJ1" s="2" t="n"/>
      <c r="DIK1" s="2" t="n"/>
      <c r="DIL1" s="2" t="n"/>
      <c r="DIM1" s="2" t="n"/>
      <c r="DIN1" s="2" t="n"/>
      <c r="DIO1" s="2" t="n"/>
      <c r="DIP1" s="2" t="n"/>
      <c r="DIQ1" s="2" t="n"/>
      <c r="DIR1" s="2" t="n"/>
      <c r="DIS1" s="2" t="n"/>
      <c r="DIT1" s="2" t="n"/>
      <c r="DIU1" s="2" t="n"/>
      <c r="DIV1" s="2" t="n"/>
      <c r="DIW1" s="2" t="n"/>
      <c r="DIX1" s="2" t="n"/>
      <c r="DIY1" s="2" t="n"/>
      <c r="DIZ1" s="2" t="n"/>
      <c r="DJA1" s="2" t="n"/>
      <c r="DJB1" s="2" t="n"/>
      <c r="DJC1" s="2" t="n"/>
      <c r="DJD1" s="2" t="n"/>
      <c r="DJE1" s="2" t="n"/>
      <c r="DJF1" s="2" t="n"/>
      <c r="DJG1" s="2" t="n"/>
      <c r="DJH1" s="2" t="n"/>
      <c r="DJI1" s="2" t="n"/>
      <c r="DJJ1" s="2" t="n"/>
      <c r="DJK1" s="2" t="n"/>
      <c r="DJL1" s="2" t="n"/>
      <c r="DJM1" s="2" t="n"/>
      <c r="DJN1" s="2" t="n"/>
      <c r="DJO1" s="2" t="n"/>
      <c r="DJP1" s="2" t="n"/>
      <c r="DJQ1" s="2" t="n"/>
      <c r="DJR1" s="2" t="n"/>
      <c r="DJS1" s="2" t="n"/>
      <c r="DJT1" s="2" t="n"/>
      <c r="DJU1" s="2" t="n"/>
      <c r="DJV1" s="2" t="n"/>
      <c r="DJW1" s="2" t="n"/>
      <c r="DJX1" s="2" t="n"/>
      <c r="DJY1" s="2" t="n"/>
      <c r="DJZ1" s="2" t="n"/>
      <c r="DKA1" s="2" t="n"/>
      <c r="DKB1" s="2" t="n"/>
      <c r="DKC1" s="2" t="n"/>
      <c r="DKD1" s="2" t="n"/>
      <c r="DKE1" s="2" t="n"/>
      <c r="DKF1" s="2" t="n"/>
      <c r="DKG1" s="2" t="n"/>
      <c r="DKH1" s="2" t="n"/>
      <c r="DKI1" s="2" t="n"/>
      <c r="DKJ1" s="2" t="n"/>
      <c r="DKK1" s="2" t="n"/>
      <c r="DKL1" s="2" t="n"/>
      <c r="DKM1" s="2" t="n"/>
      <c r="DKN1" s="2" t="n"/>
      <c r="DKO1" s="2" t="n"/>
      <c r="DKP1" s="2" t="n"/>
      <c r="DKQ1" s="2" t="n"/>
      <c r="DKR1" s="2" t="n"/>
      <c r="DKS1" s="2" t="n"/>
      <c r="DKT1" s="2" t="n"/>
      <c r="DKU1" s="2" t="n"/>
      <c r="DKV1" s="2" t="n"/>
      <c r="DKW1" s="2" t="n"/>
      <c r="DKX1" s="2" t="n"/>
      <c r="DKY1" s="2" t="n"/>
      <c r="DKZ1" s="2" t="n"/>
      <c r="DLA1" s="2" t="n"/>
      <c r="DLB1" s="2" t="n"/>
      <c r="DLC1" s="2" t="n"/>
      <c r="DLD1" s="2" t="n"/>
      <c r="DLE1" s="2" t="n"/>
      <c r="DLF1" s="2" t="n"/>
      <c r="DLG1" s="2" t="n"/>
      <c r="DLH1" s="2" t="n"/>
      <c r="DLI1" s="2" t="n"/>
      <c r="DLJ1" s="2" t="n"/>
      <c r="DLK1" s="2" t="n"/>
      <c r="DLL1" s="2" t="n"/>
      <c r="DLM1" s="2" t="n"/>
      <c r="DLN1" s="2" t="n"/>
      <c r="DLO1" s="2" t="n"/>
      <c r="DLP1" s="2" t="n"/>
      <c r="DLQ1" s="2" t="n"/>
      <c r="DLR1" s="2" t="n"/>
      <c r="DLS1" s="2" t="n"/>
      <c r="DLT1" s="2" t="n"/>
      <c r="DLU1" s="2" t="n"/>
      <c r="DLV1" s="2" t="n"/>
      <c r="DLW1" s="2" t="n"/>
      <c r="DLX1" s="2" t="n"/>
      <c r="DLY1" s="2" t="n"/>
      <c r="DLZ1" s="2" t="n"/>
      <c r="DMA1" s="2" t="n"/>
      <c r="DMB1" s="2" t="n"/>
      <c r="DMC1" s="2" t="n"/>
      <c r="DMD1" s="2" t="n"/>
      <c r="DME1" s="2" t="n"/>
      <c r="DMF1" s="2" t="n"/>
      <c r="DMG1" s="2" t="n"/>
      <c r="DMH1" s="2" t="n"/>
      <c r="DMI1" s="2" t="n"/>
      <c r="DMJ1" s="2" t="n"/>
      <c r="DMK1" s="2" t="n"/>
      <c r="DML1" s="2" t="n"/>
      <c r="DMM1" s="2" t="n"/>
      <c r="DMN1" s="2" t="n"/>
      <c r="DMO1" s="2" t="n"/>
      <c r="DMP1" s="2" t="n"/>
      <c r="DMQ1" s="2" t="n"/>
      <c r="DMR1" s="2" t="n"/>
      <c r="DMS1" s="2" t="n"/>
      <c r="DMT1" s="2" t="n"/>
      <c r="DMU1" s="2" t="n"/>
      <c r="DMV1" s="2" t="n"/>
      <c r="DMW1" s="2" t="n"/>
      <c r="DMX1" s="2" t="n"/>
      <c r="DMY1" s="2" t="n"/>
      <c r="DMZ1" s="2" t="n"/>
      <c r="DNA1" s="2" t="n"/>
      <c r="DNB1" s="2" t="n"/>
      <c r="DNC1" s="2" t="n"/>
      <c r="DND1" s="2" t="n"/>
      <c r="DNE1" s="2" t="n"/>
      <c r="DNF1" s="2" t="n"/>
      <c r="DNG1" s="2" t="n"/>
      <c r="DNH1" s="2" t="n"/>
      <c r="DNI1" s="2" t="n"/>
      <c r="DNJ1" s="2" t="n"/>
      <c r="DNK1" s="2" t="n"/>
      <c r="DNL1" s="2" t="n"/>
      <c r="DNM1" s="2" t="n"/>
      <c r="DNN1" s="2" t="n"/>
      <c r="DNO1" s="2" t="n"/>
      <c r="DNP1" s="2" t="n"/>
      <c r="DNQ1" s="2" t="n"/>
      <c r="DNR1" s="2" t="n"/>
      <c r="DNS1" s="2" t="n"/>
      <c r="DNT1" s="2" t="n"/>
      <c r="DNU1" s="2" t="n"/>
      <c r="DNV1" s="2" t="n"/>
      <c r="DNW1" s="2" t="n"/>
      <c r="DNX1" s="2" t="n"/>
      <c r="DNY1" s="2" t="n"/>
      <c r="DNZ1" s="2" t="n"/>
      <c r="DOA1" s="2" t="n"/>
      <c r="DOB1" s="2" t="n"/>
      <c r="DOC1" s="2" t="n"/>
      <c r="DOD1" s="2" t="n"/>
      <c r="DOE1" s="2" t="n"/>
      <c r="DOF1" s="2" t="n"/>
      <c r="DOG1" s="2" t="n"/>
      <c r="DOH1" s="2" t="n"/>
      <c r="DOI1" s="2" t="n"/>
      <c r="DOJ1" s="2" t="n"/>
      <c r="DOK1" s="2" t="n"/>
      <c r="DOL1" s="2" t="n"/>
      <c r="DOM1" s="2" t="n"/>
      <c r="DON1" s="2" t="n"/>
      <c r="DOO1" s="2" t="n"/>
      <c r="DOP1" s="2" t="n"/>
      <c r="DOQ1" s="2" t="n"/>
      <c r="DOR1" s="2" t="n"/>
      <c r="DOS1" s="2" t="n"/>
      <c r="DOT1" s="2" t="n"/>
      <c r="DOU1" s="2" t="n"/>
      <c r="DOV1" s="2" t="n"/>
      <c r="DOW1" s="2" t="n"/>
      <c r="DOX1" s="2" t="n"/>
      <c r="DOY1" s="2" t="n"/>
      <c r="DOZ1" s="2" t="n"/>
      <c r="DPA1" s="2" t="n"/>
      <c r="DPB1" s="2" t="n"/>
      <c r="DPC1" s="2" t="n"/>
      <c r="DPD1" s="2" t="n"/>
      <c r="DPE1" s="2" t="n"/>
      <c r="DPF1" s="2" t="n"/>
      <c r="DPG1" s="2" t="n"/>
      <c r="DPH1" s="2" t="n"/>
      <c r="DPI1" s="2" t="n"/>
      <c r="DPJ1" s="2" t="n"/>
      <c r="DPK1" s="2" t="n"/>
      <c r="DPL1" s="2" t="n"/>
      <c r="DPM1" s="2" t="n"/>
      <c r="DPN1" s="2" t="n"/>
      <c r="DPO1" s="2" t="n"/>
      <c r="DPP1" s="2" t="n"/>
      <c r="DPQ1" s="2" t="n"/>
      <c r="DPR1" s="2" t="n"/>
      <c r="DPS1" s="2" t="n"/>
      <c r="DPT1" s="2" t="n"/>
      <c r="DPU1" s="2" t="n"/>
      <c r="DPV1" s="2" t="n"/>
      <c r="DPW1" s="2" t="n"/>
      <c r="DPX1" s="2" t="n"/>
      <c r="DPY1" s="2" t="n"/>
      <c r="DPZ1" s="2" t="n"/>
      <c r="DQA1" s="2" t="n"/>
      <c r="DQB1" s="2" t="n"/>
      <c r="DQC1" s="2" t="n"/>
      <c r="DQD1" s="2" t="n"/>
      <c r="DQE1" s="2" t="n"/>
      <c r="DQF1" s="2" t="n"/>
      <c r="DQG1" s="2" t="n"/>
      <c r="DQH1" s="2" t="n"/>
      <c r="DQI1" s="2" t="n"/>
      <c r="DQJ1" s="2" t="n"/>
      <c r="DQK1" s="2" t="n"/>
      <c r="DQL1" s="2" t="n"/>
      <c r="DQM1" s="2" t="n"/>
      <c r="DQN1" s="2" t="n"/>
      <c r="DQO1" s="2" t="n"/>
      <c r="DQP1" s="2" t="n"/>
      <c r="DQQ1" s="2" t="n"/>
      <c r="DQR1" s="2" t="n"/>
      <c r="DQS1" s="2" t="n"/>
      <c r="DQT1" s="2" t="n"/>
      <c r="DQU1" s="2" t="n"/>
      <c r="DQV1" s="2" t="n"/>
      <c r="DQW1" s="2" t="n"/>
      <c r="DQX1" s="2" t="n"/>
      <c r="DQY1" s="2" t="n"/>
      <c r="DQZ1" s="2" t="n"/>
      <c r="DRA1" s="2" t="n"/>
      <c r="DRB1" s="2" t="n"/>
      <c r="DRC1" s="2" t="n"/>
      <c r="DRD1" s="2" t="n"/>
      <c r="DRE1" s="2" t="n"/>
      <c r="DRF1" s="2" t="n"/>
      <c r="DRG1" s="2" t="n"/>
      <c r="DRH1" s="2" t="n"/>
      <c r="DRI1" s="2" t="n"/>
      <c r="DRJ1" s="2" t="n"/>
      <c r="DRK1" s="2" t="n"/>
      <c r="DRL1" s="2" t="n"/>
      <c r="DRM1" s="2" t="n"/>
      <c r="DRN1" s="2" t="n"/>
      <c r="DRO1" s="2" t="n"/>
      <c r="DRP1" s="2" t="n"/>
      <c r="DRQ1" s="2" t="n"/>
      <c r="DRR1" s="2" t="n"/>
      <c r="DRS1" s="2" t="n"/>
      <c r="DRT1" s="2" t="n"/>
      <c r="DRU1" s="2" t="n"/>
      <c r="DRV1" s="2" t="n"/>
      <c r="DRW1" s="2" t="n"/>
      <c r="DRX1" s="2" t="n"/>
      <c r="DRY1" s="2" t="n"/>
      <c r="DRZ1" s="2" t="n"/>
      <c r="DSA1" s="2" t="n"/>
      <c r="DSB1" s="2" t="n"/>
      <c r="DSC1" s="2" t="n"/>
      <c r="DSD1" s="2" t="n"/>
      <c r="DSE1" s="2" t="n"/>
      <c r="DSF1" s="2" t="n"/>
      <c r="DSG1" s="2" t="n"/>
      <c r="DSH1" s="2" t="n"/>
      <c r="DSI1" s="2" t="n"/>
      <c r="DSJ1" s="2" t="n"/>
      <c r="DSK1" s="2" t="n"/>
      <c r="DSL1" s="2" t="n"/>
      <c r="DSM1" s="2" t="n"/>
      <c r="DSN1" s="2" t="n"/>
      <c r="DSO1" s="2" t="n"/>
      <c r="DSP1" s="2" t="n"/>
      <c r="DSQ1" s="2" t="n"/>
      <c r="DSR1" s="2" t="n"/>
      <c r="DSS1" s="2" t="n"/>
      <c r="DST1" s="2" t="n"/>
      <c r="DSU1" s="2" t="n"/>
      <c r="DSV1" s="2" t="n"/>
      <c r="DSW1" s="2" t="n"/>
      <c r="DSX1" s="2" t="n"/>
      <c r="DSY1" s="2" t="n"/>
      <c r="DSZ1" s="2" t="n"/>
      <c r="DTA1" s="2" t="n"/>
      <c r="DTB1" s="2" t="n"/>
      <c r="DTC1" s="2" t="n"/>
      <c r="DTD1" s="2" t="n"/>
      <c r="DTE1" s="2" t="n"/>
      <c r="DTF1" s="2" t="n"/>
      <c r="DTG1" s="2" t="n"/>
      <c r="DTH1" s="2" t="n"/>
      <c r="DTI1" s="2" t="n"/>
      <c r="DTJ1" s="2" t="n"/>
      <c r="DTK1" s="2" t="n"/>
      <c r="DTL1" s="2" t="n"/>
      <c r="DTM1" s="2" t="n"/>
      <c r="DTN1" s="2" t="n"/>
      <c r="DTO1" s="2" t="n"/>
      <c r="DTP1" s="2" t="n"/>
      <c r="DTQ1" s="2" t="n"/>
      <c r="DTR1" s="2" t="n"/>
      <c r="DTS1" s="2" t="n"/>
      <c r="DTT1" s="2" t="n"/>
      <c r="DTU1" s="2" t="n"/>
      <c r="DTV1" s="2" t="n"/>
      <c r="DTW1" s="2" t="n"/>
      <c r="DTX1" s="2" t="n"/>
      <c r="DTY1" s="2" t="n"/>
      <c r="DTZ1" s="2" t="n"/>
      <c r="DUA1" s="2" t="n"/>
      <c r="DUB1" s="2" t="n"/>
      <c r="DUC1" s="2" t="n"/>
      <c r="DUD1" s="2" t="n"/>
      <c r="DUE1" s="2" t="n"/>
      <c r="DUF1" s="2" t="n"/>
      <c r="DUG1" s="2" t="n"/>
      <c r="DUH1" s="2" t="n"/>
      <c r="DUI1" s="2" t="n"/>
      <c r="DUJ1" s="2" t="n"/>
      <c r="DUK1" s="2" t="n"/>
      <c r="DUL1" s="2" t="n"/>
      <c r="DUM1" s="2" t="n"/>
      <c r="DUN1" s="2" t="n"/>
      <c r="DUO1" s="2" t="n"/>
      <c r="DUP1" s="2" t="n"/>
      <c r="DUQ1" s="2" t="n"/>
      <c r="DUR1" s="2" t="n"/>
      <c r="DUS1" s="2" t="n"/>
      <c r="DUT1" s="2" t="n"/>
      <c r="DUU1" s="2" t="n"/>
      <c r="DUV1" s="2" t="n"/>
      <c r="DUW1" s="2" t="n"/>
      <c r="DUX1" s="2" t="n"/>
      <c r="DUY1" s="2" t="n"/>
      <c r="DUZ1" s="2" t="n"/>
      <c r="DVA1" s="2" t="n"/>
      <c r="DVB1" s="2" t="n"/>
      <c r="DVC1" s="2" t="n"/>
      <c r="DVD1" s="2" t="n"/>
      <c r="DVE1" s="2" t="n"/>
      <c r="DVF1" s="2" t="n"/>
      <c r="DVG1" s="2" t="n"/>
      <c r="DVH1" s="2" t="n"/>
      <c r="DVI1" s="2" t="n"/>
      <c r="DVJ1" s="2" t="n"/>
      <c r="DVK1" s="2" t="n"/>
      <c r="DVL1" s="2" t="n"/>
      <c r="DVM1" s="2" t="n"/>
      <c r="DVN1" s="2" t="n"/>
      <c r="DVO1" s="2" t="n"/>
      <c r="DVP1" s="2" t="n"/>
      <c r="DVQ1" s="2" t="n"/>
      <c r="DVR1" s="2" t="n"/>
      <c r="DVS1" s="2" t="n"/>
      <c r="DVT1" s="2" t="n"/>
      <c r="DVU1" s="2" t="n"/>
      <c r="DVV1" s="2" t="n"/>
      <c r="DVW1" s="2" t="n"/>
      <c r="DVX1" s="2" t="n"/>
      <c r="DVY1" s="2" t="n"/>
      <c r="DVZ1" s="2" t="n"/>
      <c r="DWA1" s="2" t="n"/>
      <c r="DWB1" s="2" t="n"/>
      <c r="DWC1" s="2" t="n"/>
      <c r="DWD1" s="2" t="n"/>
      <c r="DWE1" s="2" t="n"/>
      <c r="DWF1" s="2" t="n"/>
      <c r="DWG1" s="2" t="n"/>
      <c r="DWH1" s="2" t="n"/>
      <c r="DWI1" s="2" t="n"/>
      <c r="DWJ1" s="2" t="n"/>
      <c r="DWK1" s="2" t="n"/>
      <c r="DWL1" s="2" t="n"/>
      <c r="DWM1" s="2" t="n"/>
      <c r="DWN1" s="2" t="n"/>
      <c r="DWO1" s="2" t="n"/>
      <c r="DWP1" s="2" t="n"/>
      <c r="DWQ1" s="2" t="n"/>
      <c r="DWR1" s="2" t="n"/>
      <c r="DWS1" s="2" t="n"/>
      <c r="DWT1" s="2" t="n"/>
      <c r="DWU1" s="2" t="n"/>
      <c r="DWV1" s="2" t="n"/>
      <c r="DWW1" s="2" t="n"/>
      <c r="DWX1" s="2" t="n"/>
      <c r="DWY1" s="2" t="n"/>
      <c r="DWZ1" s="2" t="n"/>
      <c r="DXA1" s="2" t="n"/>
      <c r="DXB1" s="2" t="n"/>
      <c r="DXC1" s="2" t="n"/>
      <c r="DXD1" s="2" t="n"/>
      <c r="DXE1" s="2" t="n"/>
      <c r="DXF1" s="2" t="n"/>
      <c r="DXG1" s="2" t="n"/>
      <c r="DXH1" s="2" t="n"/>
      <c r="DXI1" s="2" t="n"/>
      <c r="DXJ1" s="2" t="n"/>
      <c r="DXK1" s="2" t="n"/>
      <c r="DXL1" s="2" t="n"/>
      <c r="DXM1" s="2" t="n"/>
      <c r="DXN1" s="2" t="n"/>
      <c r="DXO1" s="2" t="n"/>
      <c r="DXP1" s="2" t="n"/>
      <c r="DXQ1" s="2" t="n"/>
      <c r="DXR1" s="2" t="n"/>
      <c r="DXS1" s="2" t="n"/>
      <c r="DXT1" s="2" t="n"/>
      <c r="DXU1" s="2" t="n"/>
      <c r="DXV1" s="2" t="n"/>
      <c r="DXW1" s="2" t="n"/>
      <c r="DXX1" s="2" t="n"/>
      <c r="DXY1" s="2" t="n"/>
      <c r="DXZ1" s="2" t="n"/>
      <c r="DYA1" s="2" t="n"/>
      <c r="DYB1" s="2" t="n"/>
      <c r="DYC1" s="2" t="n"/>
      <c r="DYD1" s="2" t="n"/>
      <c r="DYE1" s="2" t="n"/>
      <c r="DYF1" s="2" t="n"/>
      <c r="DYG1" s="2" t="n"/>
      <c r="DYH1" s="2" t="n"/>
      <c r="DYI1" s="2" t="n"/>
      <c r="DYJ1" s="2" t="n"/>
      <c r="DYK1" s="2" t="n"/>
      <c r="DYL1" s="2" t="n"/>
      <c r="DYM1" s="2" t="n"/>
      <c r="DYN1" s="2" t="n"/>
      <c r="DYO1" s="2" t="n"/>
      <c r="DYP1" s="2" t="n"/>
      <c r="DYQ1" s="2" t="n"/>
      <c r="DYR1" s="2" t="n"/>
      <c r="DYS1" s="2" t="n"/>
      <c r="DYT1" s="2" t="n"/>
      <c r="DYU1" s="2" t="n"/>
      <c r="DYV1" s="2" t="n"/>
      <c r="DYW1" s="2" t="n"/>
      <c r="DYX1" s="2" t="n"/>
      <c r="DYY1" s="2" t="n"/>
      <c r="DYZ1" s="2" t="n"/>
      <c r="DZA1" s="2" t="n"/>
      <c r="DZB1" s="2" t="n"/>
      <c r="DZC1" s="2" t="n"/>
      <c r="DZD1" s="2" t="n"/>
      <c r="DZE1" s="2" t="n"/>
      <c r="DZF1" s="2" t="n"/>
      <c r="DZG1" s="2" t="n"/>
      <c r="DZH1" s="2" t="n"/>
      <c r="DZI1" s="2" t="n"/>
      <c r="DZJ1" s="2" t="n"/>
      <c r="DZK1" s="2" t="n"/>
      <c r="DZL1" s="2" t="n"/>
      <c r="DZM1" s="2" t="n"/>
      <c r="DZN1" s="2" t="n"/>
      <c r="DZO1" s="2" t="n"/>
      <c r="DZP1" s="2" t="n"/>
      <c r="DZQ1" s="2" t="n"/>
      <c r="DZR1" s="2" t="n"/>
      <c r="DZS1" s="2" t="n"/>
      <c r="DZT1" s="2" t="n"/>
      <c r="DZU1" s="2" t="n"/>
      <c r="DZV1" s="2" t="n"/>
      <c r="DZW1" s="2" t="n"/>
      <c r="DZX1" s="2" t="n"/>
      <c r="DZY1" s="2" t="n"/>
      <c r="DZZ1" s="2" t="n"/>
      <c r="EAA1" s="2" t="n"/>
      <c r="EAB1" s="2" t="n"/>
      <c r="EAC1" s="2" t="n"/>
      <c r="EAD1" s="2" t="n"/>
      <c r="EAE1" s="2" t="n"/>
      <c r="EAF1" s="2" t="n"/>
      <c r="EAG1" s="2" t="n"/>
      <c r="EAH1" s="2" t="n"/>
      <c r="EAI1" s="2" t="n"/>
      <c r="EAJ1" s="2" t="n"/>
      <c r="EAK1" s="2" t="n"/>
      <c r="EAL1" s="2" t="n"/>
      <c r="EAM1" s="2" t="n"/>
      <c r="EAN1" s="2" t="n"/>
      <c r="EAO1" s="2" t="n"/>
      <c r="EAP1" s="2" t="n"/>
      <c r="EAQ1" s="2" t="n"/>
      <c r="EAR1" s="2" t="n"/>
      <c r="EAS1" s="2" t="n"/>
      <c r="EAT1" s="2" t="n"/>
      <c r="EAU1" s="2" t="n"/>
      <c r="EAV1" s="2" t="n"/>
      <c r="EAW1" s="2" t="n"/>
      <c r="EAX1" s="2" t="n"/>
      <c r="EAY1" s="2" t="n"/>
      <c r="EAZ1" s="2" t="n"/>
      <c r="EBA1" s="2" t="n"/>
      <c r="EBB1" s="2" t="n"/>
      <c r="EBC1" s="2" t="n"/>
      <c r="EBD1" s="2" t="n"/>
      <c r="EBE1" s="2" t="n"/>
      <c r="EBF1" s="2" t="n"/>
      <c r="EBG1" s="2" t="n"/>
      <c r="EBH1" s="2" t="n"/>
      <c r="EBI1" s="2" t="n"/>
      <c r="EBJ1" s="2" t="n"/>
      <c r="EBK1" s="2" t="n"/>
      <c r="EBL1" s="2" t="n"/>
      <c r="EBM1" s="2" t="n"/>
      <c r="EBN1" s="2" t="n"/>
      <c r="EBO1" s="2" t="n"/>
      <c r="EBP1" s="2" t="n"/>
      <c r="EBQ1" s="2" t="n"/>
      <c r="EBR1" s="2" t="n"/>
      <c r="EBS1" s="2" t="n"/>
      <c r="EBT1" s="2" t="n"/>
      <c r="EBU1" s="2" t="n"/>
      <c r="EBV1" s="2" t="n"/>
      <c r="EBW1" s="2" t="n"/>
      <c r="EBX1" s="2" t="n"/>
      <c r="EBY1" s="2" t="n"/>
      <c r="EBZ1" s="2" t="n"/>
      <c r="ECA1" s="2" t="n"/>
      <c r="ECB1" s="2" t="n"/>
      <c r="ECC1" s="2" t="n"/>
      <c r="ECD1" s="2" t="n"/>
      <c r="ECE1" s="2" t="n"/>
      <c r="ECF1" s="2" t="n"/>
      <c r="ECG1" s="2" t="n"/>
      <c r="ECH1" s="2" t="n"/>
      <c r="ECI1" s="2" t="n"/>
      <c r="ECJ1" s="2" t="n"/>
      <c r="ECK1" s="2" t="n"/>
      <c r="ECL1" s="2" t="n"/>
      <c r="ECM1" s="2" t="n"/>
      <c r="ECN1" s="2" t="n"/>
      <c r="ECO1" s="2" t="n"/>
      <c r="ECP1" s="2" t="n"/>
      <c r="ECQ1" s="2" t="n"/>
      <c r="ECR1" s="2" t="n"/>
      <c r="ECS1" s="2" t="n"/>
      <c r="ECT1" s="2" t="n"/>
      <c r="ECU1" s="2" t="n"/>
      <c r="ECV1" s="2" t="n"/>
      <c r="ECW1" s="2" t="n"/>
      <c r="ECX1" s="2" t="n"/>
      <c r="ECY1" s="2" t="n"/>
      <c r="ECZ1" s="2" t="n"/>
      <c r="EDA1" s="2" t="n"/>
      <c r="EDB1" s="2" t="n"/>
      <c r="EDC1" s="2" t="n"/>
      <c r="EDD1" s="2" t="n"/>
      <c r="EDE1" s="2" t="n"/>
      <c r="EDF1" s="2" t="n"/>
      <c r="EDG1" s="2" t="n"/>
      <c r="EDH1" s="2" t="n"/>
      <c r="EDI1" s="2" t="n"/>
      <c r="EDJ1" s="2" t="n"/>
      <c r="EDK1" s="2" t="n"/>
      <c r="EDL1" s="2" t="n"/>
      <c r="EDM1" s="2" t="n"/>
      <c r="EDN1" s="2" t="n"/>
      <c r="EDO1" s="2" t="n"/>
      <c r="EDP1" s="2" t="n"/>
      <c r="EDQ1" s="2" t="n"/>
      <c r="EDR1" s="2" t="n"/>
      <c r="EDS1" s="2" t="n"/>
      <c r="EDT1" s="2" t="n"/>
      <c r="EDU1" s="2" t="n"/>
      <c r="EDV1" s="2" t="n"/>
      <c r="EDW1" s="2" t="n"/>
      <c r="EDX1" s="2" t="n"/>
      <c r="EDY1" s="2" t="n"/>
      <c r="EDZ1" s="2" t="n"/>
      <c r="EEA1" s="2" t="n"/>
      <c r="EEB1" s="2" t="n"/>
      <c r="EEC1" s="2" t="n"/>
      <c r="EED1" s="2" t="n"/>
      <c r="EEE1" s="2" t="n"/>
      <c r="EEF1" s="2" t="n"/>
      <c r="EEG1" s="2" t="n"/>
      <c r="EEH1" s="2" t="n"/>
      <c r="EEI1" s="2" t="n"/>
      <c r="EEJ1" s="2" t="n"/>
      <c r="EEK1" s="2" t="n"/>
      <c r="EEL1" s="2" t="n"/>
      <c r="EEM1" s="2" t="n"/>
      <c r="EEN1" s="2" t="n"/>
      <c r="EEO1" s="2" t="n"/>
      <c r="EEP1" s="2" t="n"/>
      <c r="EEQ1" s="2" t="n"/>
      <c r="EER1" s="2" t="n"/>
      <c r="EES1" s="2" t="n"/>
      <c r="EET1" s="2" t="n"/>
      <c r="EEU1" s="2" t="n"/>
      <c r="EEV1" s="2" t="n"/>
      <c r="EEW1" s="2" t="n"/>
      <c r="EEX1" s="2" t="n"/>
      <c r="EEY1" s="2" t="n"/>
      <c r="EEZ1" s="2" t="n"/>
      <c r="EFA1" s="2" t="n"/>
      <c r="EFB1" s="2" t="n"/>
      <c r="EFC1" s="2" t="n"/>
      <c r="EFD1" s="2" t="n"/>
      <c r="EFE1" s="2" t="n"/>
      <c r="EFF1" s="2" t="n"/>
      <c r="EFG1" s="2" t="n"/>
      <c r="EFH1" s="2" t="n"/>
      <c r="EFI1" s="2" t="n"/>
      <c r="EFJ1" s="2" t="n"/>
      <c r="EFK1" s="2" t="n"/>
      <c r="EFL1" s="2" t="n"/>
      <c r="EFM1" s="2" t="n"/>
      <c r="EFN1" s="2" t="n"/>
      <c r="EFO1" s="2" t="n"/>
      <c r="EFP1" s="2" t="n"/>
      <c r="EFQ1" s="2" t="n"/>
      <c r="EFR1" s="2" t="n"/>
      <c r="EFS1" s="2" t="n"/>
      <c r="EFT1" s="2" t="n"/>
      <c r="EFU1" s="2" t="n"/>
      <c r="EFV1" s="2" t="n"/>
      <c r="EFW1" s="2" t="n"/>
      <c r="EFX1" s="2" t="n"/>
      <c r="EFY1" s="2" t="n"/>
      <c r="EFZ1" s="2" t="n"/>
      <c r="EGA1" s="2" t="n"/>
      <c r="EGB1" s="2" t="n"/>
      <c r="EGC1" s="2" t="n"/>
      <c r="EGD1" s="2" t="n"/>
      <c r="EGE1" s="2" t="n"/>
      <c r="EGF1" s="2" t="n"/>
      <c r="EGG1" s="2" t="n"/>
      <c r="EGH1" s="2" t="n"/>
      <c r="EGI1" s="2" t="n"/>
      <c r="EGJ1" s="2" t="n"/>
      <c r="EGK1" s="2" t="n"/>
      <c r="EGL1" s="2" t="n"/>
      <c r="EGM1" s="2" t="n"/>
      <c r="EGN1" s="2" t="n"/>
      <c r="EGO1" s="2" t="n"/>
      <c r="EGP1" s="2" t="n"/>
      <c r="EGQ1" s="2" t="n"/>
      <c r="EGR1" s="2" t="n"/>
      <c r="EGS1" s="2" t="n"/>
      <c r="EGT1" s="2" t="n"/>
      <c r="EGU1" s="2" t="n"/>
      <c r="EGV1" s="2" t="n"/>
      <c r="EGW1" s="2" t="n"/>
      <c r="EGX1" s="2" t="n"/>
      <c r="EGY1" s="2" t="n"/>
      <c r="EGZ1" s="2" t="n"/>
      <c r="EHA1" s="2" t="n"/>
      <c r="EHB1" s="2" t="n"/>
      <c r="EHC1" s="2" t="n"/>
      <c r="EHD1" s="2" t="n"/>
      <c r="EHE1" s="2" t="n"/>
      <c r="EHF1" s="2" t="n"/>
      <c r="EHG1" s="2" t="n"/>
      <c r="EHH1" s="2" t="n"/>
      <c r="EHI1" s="2" t="n"/>
      <c r="EHJ1" s="2" t="n"/>
      <c r="EHK1" s="2" t="n"/>
      <c r="EHL1" s="2" t="n"/>
      <c r="EHM1" s="2" t="n"/>
      <c r="EHN1" s="2" t="n"/>
      <c r="EHO1" s="2" t="n"/>
      <c r="EHP1" s="2" t="n"/>
      <c r="EHQ1" s="2" t="n"/>
      <c r="EHR1" s="2" t="n"/>
      <c r="EHS1" s="2" t="n"/>
      <c r="EHT1" s="2" t="n"/>
      <c r="EHU1" s="2" t="n"/>
      <c r="EHV1" s="2" t="n"/>
      <c r="EHW1" s="2" t="n"/>
      <c r="EHX1" s="2" t="n"/>
      <c r="EHY1" s="2" t="n"/>
      <c r="EHZ1" s="2" t="n"/>
      <c r="EIA1" s="2" t="n"/>
      <c r="EIB1" s="2" t="n"/>
      <c r="EIC1" s="2" t="n"/>
      <c r="EID1" s="2" t="n"/>
      <c r="EIE1" s="2" t="n"/>
      <c r="EIF1" s="2" t="n"/>
      <c r="EIG1" s="2" t="n"/>
      <c r="EIH1" s="2" t="n"/>
      <c r="EII1" s="2" t="n"/>
      <c r="EIJ1" s="2" t="n"/>
      <c r="EIK1" s="2" t="n"/>
      <c r="EIL1" s="2" t="n"/>
      <c r="EIM1" s="2" t="n"/>
      <c r="EIN1" s="2" t="n"/>
      <c r="EIO1" s="2" t="n"/>
      <c r="EIP1" s="2" t="n"/>
      <c r="EIQ1" s="2" t="n"/>
      <c r="EIR1" s="2" t="n"/>
      <c r="EIS1" s="2" t="n"/>
      <c r="EIT1" s="2" t="n"/>
      <c r="EIU1" s="2" t="n"/>
      <c r="EIV1" s="2" t="n"/>
      <c r="EIW1" s="2" t="n"/>
      <c r="EIX1" s="2" t="n"/>
      <c r="EIY1" s="2" t="n"/>
      <c r="EIZ1" s="2" t="n"/>
      <c r="EJA1" s="2" t="n"/>
      <c r="EJB1" s="2" t="n"/>
      <c r="EJC1" s="2" t="n"/>
      <c r="EJD1" s="2" t="n"/>
      <c r="EJE1" s="2" t="n"/>
      <c r="EJF1" s="2" t="n"/>
      <c r="EJG1" s="2" t="n"/>
      <c r="EJH1" s="2" t="n"/>
      <c r="EJI1" s="2" t="n"/>
      <c r="EJJ1" s="2" t="n"/>
      <c r="EJK1" s="2" t="n"/>
      <c r="EJL1" s="2" t="n"/>
      <c r="EJM1" s="2" t="n"/>
      <c r="EJN1" s="2" t="n"/>
      <c r="EJO1" s="2" t="n"/>
      <c r="EJP1" s="2" t="n"/>
      <c r="EJQ1" s="2" t="n"/>
      <c r="EJR1" s="2" t="n"/>
      <c r="EJS1" s="2" t="n"/>
      <c r="EJT1" s="2" t="n"/>
      <c r="EJU1" s="2" t="n"/>
      <c r="EJV1" s="2" t="n"/>
      <c r="EJW1" s="2" t="n"/>
      <c r="EJX1" s="2" t="n"/>
      <c r="EJY1" s="2" t="n"/>
      <c r="EJZ1" s="2" t="n"/>
      <c r="EKA1" s="2" t="n"/>
      <c r="EKB1" s="2" t="n"/>
      <c r="EKC1" s="2" t="n"/>
      <c r="EKD1" s="2" t="n"/>
      <c r="EKE1" s="2" t="n"/>
      <c r="EKF1" s="2" t="n"/>
      <c r="EKG1" s="2" t="n"/>
      <c r="EKH1" s="2" t="n"/>
      <c r="EKI1" s="2" t="n"/>
      <c r="EKJ1" s="2" t="n"/>
      <c r="EKK1" s="2" t="n"/>
      <c r="EKL1" s="2" t="n"/>
      <c r="EKM1" s="2" t="n"/>
      <c r="EKN1" s="2" t="n"/>
      <c r="EKO1" s="2" t="n"/>
      <c r="EKP1" s="2" t="n"/>
      <c r="EKQ1" s="2" t="n"/>
      <c r="EKR1" s="2" t="n"/>
      <c r="EKS1" s="2" t="n"/>
      <c r="EKT1" s="2" t="n"/>
      <c r="EKU1" s="2" t="n"/>
      <c r="EKV1" s="2" t="n"/>
      <c r="EKW1" s="2" t="n"/>
      <c r="EKX1" s="2" t="n"/>
      <c r="EKY1" s="2" t="n"/>
      <c r="EKZ1" s="2" t="n"/>
      <c r="ELA1" s="2" t="n"/>
      <c r="ELB1" s="2" t="n"/>
      <c r="ELC1" s="2" t="n"/>
      <c r="ELD1" s="2" t="n"/>
      <c r="ELE1" s="2" t="n"/>
      <c r="ELF1" s="2" t="n"/>
      <c r="ELG1" s="2" t="n"/>
      <c r="ELH1" s="2" t="n"/>
      <c r="ELI1" s="2" t="n"/>
      <c r="ELJ1" s="2" t="n"/>
      <c r="ELK1" s="2" t="n"/>
      <c r="ELL1" s="2" t="n"/>
      <c r="ELM1" s="2" t="n"/>
      <c r="ELN1" s="2" t="n"/>
      <c r="ELO1" s="2" t="n"/>
      <c r="ELP1" s="2" t="n"/>
      <c r="ELQ1" s="2" t="n"/>
      <c r="ELR1" s="2" t="n"/>
      <c r="ELS1" s="2" t="n"/>
      <c r="ELT1" s="2" t="n"/>
      <c r="ELU1" s="2" t="n"/>
      <c r="ELV1" s="2" t="n"/>
      <c r="ELW1" s="2" t="n"/>
      <c r="ELX1" s="2" t="n"/>
      <c r="ELY1" s="2" t="n"/>
      <c r="ELZ1" s="2" t="n"/>
      <c r="EMA1" s="2" t="n"/>
      <c r="EMB1" s="2" t="n"/>
      <c r="EMC1" s="2" t="n"/>
      <c r="EMD1" s="2" t="n"/>
      <c r="EME1" s="2" t="n"/>
      <c r="EMF1" s="2" t="n"/>
      <c r="EMG1" s="2" t="n"/>
      <c r="EMH1" s="2" t="n"/>
      <c r="EMI1" s="2" t="n"/>
      <c r="EMJ1" s="2" t="n"/>
      <c r="EMK1" s="2" t="n"/>
      <c r="EML1" s="2" t="n"/>
      <c r="EMM1" s="2" t="n"/>
      <c r="EMN1" s="2" t="n"/>
      <c r="EMO1" s="2" t="n"/>
      <c r="EMP1" s="2" t="n"/>
      <c r="EMQ1" s="2" t="n"/>
      <c r="EMR1" s="2" t="n"/>
      <c r="EMS1" s="2" t="n"/>
      <c r="EMT1" s="2" t="n"/>
      <c r="EMU1" s="2" t="n"/>
      <c r="EMV1" s="2" t="n"/>
      <c r="EMW1" s="2" t="n"/>
      <c r="EMX1" s="2" t="n"/>
      <c r="EMY1" s="2" t="n"/>
      <c r="EMZ1" s="2" t="n"/>
      <c r="ENA1" s="2" t="n"/>
      <c r="ENB1" s="2" t="n"/>
      <c r="ENC1" s="2" t="n"/>
      <c r="END1" s="2" t="n"/>
      <c r="ENE1" s="2" t="n"/>
      <c r="ENF1" s="2" t="n"/>
      <c r="ENG1" s="2" t="n"/>
      <c r="ENH1" s="2" t="n"/>
      <c r="ENI1" s="2" t="n"/>
      <c r="ENJ1" s="2" t="n"/>
      <c r="ENK1" s="2" t="n"/>
      <c r="ENL1" s="2" t="n"/>
      <c r="ENM1" s="2" t="n"/>
      <c r="ENN1" s="2" t="n"/>
      <c r="ENO1" s="2" t="n"/>
      <c r="ENP1" s="2" t="n"/>
      <c r="ENQ1" s="2" t="n"/>
      <c r="ENR1" s="2" t="n"/>
      <c r="ENS1" s="2" t="n"/>
      <c r="ENT1" s="2" t="n"/>
      <c r="ENU1" s="2" t="n"/>
      <c r="ENV1" s="2" t="n"/>
      <c r="ENW1" s="2" t="n"/>
      <c r="ENX1" s="2" t="n"/>
      <c r="ENY1" s="2" t="n"/>
      <c r="ENZ1" s="2" t="n"/>
      <c r="EOA1" s="2" t="n"/>
      <c r="EOB1" s="2" t="n"/>
      <c r="EOC1" s="2" t="n"/>
      <c r="EOD1" s="2" t="n"/>
      <c r="EOE1" s="2" t="n"/>
      <c r="EOF1" s="2" t="n"/>
      <c r="EOG1" s="2" t="n"/>
      <c r="EOH1" s="2" t="n"/>
      <c r="EOI1" s="2" t="n"/>
      <c r="EOJ1" s="2" t="n"/>
      <c r="EOK1" s="2" t="n"/>
      <c r="EOL1" s="2" t="n"/>
      <c r="EOM1" s="2" t="n"/>
      <c r="EON1" s="2" t="n"/>
      <c r="EOO1" s="2" t="n"/>
      <c r="EOP1" s="2" t="n"/>
      <c r="EOQ1" s="2" t="n"/>
      <c r="EOR1" s="2" t="n"/>
      <c r="EOS1" s="2" t="n"/>
      <c r="EOT1" s="2" t="n"/>
      <c r="EOU1" s="2" t="n"/>
      <c r="EOV1" s="2" t="n"/>
      <c r="EOW1" s="2" t="n"/>
      <c r="EOX1" s="2" t="n"/>
      <c r="EOY1" s="2" t="n"/>
      <c r="EOZ1" s="2" t="n"/>
      <c r="EPA1" s="2" t="n"/>
      <c r="EPB1" s="2" t="n"/>
      <c r="EPC1" s="2" t="n"/>
      <c r="EPD1" s="2" t="n"/>
      <c r="EPE1" s="2" t="n"/>
      <c r="EPF1" s="2" t="n"/>
      <c r="EPG1" s="2" t="n"/>
      <c r="EPH1" s="2" t="n"/>
      <c r="EPI1" s="2" t="n"/>
      <c r="EPJ1" s="2" t="n"/>
      <c r="EPK1" s="2" t="n"/>
      <c r="EPL1" s="2" t="n"/>
      <c r="EPM1" s="2" t="n"/>
      <c r="EPN1" s="2" t="n"/>
      <c r="EPO1" s="2" t="n"/>
      <c r="EPP1" s="2" t="n"/>
      <c r="EPQ1" s="2" t="n"/>
      <c r="EPR1" s="2" t="n"/>
      <c r="EPS1" s="2" t="n"/>
      <c r="EPT1" s="2" t="n"/>
      <c r="EPU1" s="2" t="n"/>
      <c r="EPV1" s="2" t="n"/>
      <c r="EPW1" s="2" t="n"/>
      <c r="EPX1" s="2" t="n"/>
      <c r="EPY1" s="2" t="n"/>
      <c r="EPZ1" s="2" t="n"/>
      <c r="EQA1" s="2" t="n"/>
      <c r="EQB1" s="2" t="n"/>
      <c r="EQC1" s="2" t="n"/>
      <c r="EQD1" s="2" t="n"/>
      <c r="EQE1" s="2" t="n"/>
      <c r="EQF1" s="2" t="n"/>
      <c r="EQG1" s="2" t="n"/>
      <c r="EQH1" s="2" t="n"/>
      <c r="EQI1" s="2" t="n"/>
      <c r="EQJ1" s="2" t="n"/>
      <c r="EQK1" s="2" t="n"/>
      <c r="EQL1" s="2" t="n"/>
      <c r="EQM1" s="2" t="n"/>
      <c r="EQN1" s="2" t="n"/>
      <c r="EQO1" s="2" t="n"/>
      <c r="EQP1" s="2" t="n"/>
      <c r="EQQ1" s="2" t="n"/>
      <c r="EQR1" s="2" t="n"/>
      <c r="EQS1" s="2" t="n"/>
      <c r="EQT1" s="2" t="n"/>
      <c r="EQU1" s="2" t="n"/>
      <c r="EQV1" s="2" t="n"/>
      <c r="EQW1" s="2" t="n"/>
      <c r="EQX1" s="2" t="n"/>
      <c r="EQY1" s="2" t="n"/>
      <c r="EQZ1" s="2" t="n"/>
      <c r="ERA1" s="2" t="n"/>
      <c r="ERB1" s="2" t="n"/>
      <c r="ERC1" s="2" t="n"/>
      <c r="ERD1" s="2" t="n"/>
      <c r="ERE1" s="2" t="n"/>
      <c r="ERF1" s="2" t="n"/>
      <c r="ERG1" s="2" t="n"/>
      <c r="ERH1" s="2" t="n"/>
      <c r="ERI1" s="2" t="n"/>
      <c r="ERJ1" s="2" t="n"/>
      <c r="ERK1" s="2" t="n"/>
      <c r="ERL1" s="2" t="n"/>
      <c r="ERM1" s="2" t="n"/>
      <c r="ERN1" s="2" t="n"/>
      <c r="ERO1" s="2" t="n"/>
      <c r="ERP1" s="2" t="n"/>
      <c r="ERQ1" s="2" t="n"/>
      <c r="ERR1" s="2" t="n"/>
      <c r="ERS1" s="2" t="n"/>
      <c r="ERT1" s="2" t="n"/>
      <c r="ERU1" s="2" t="n"/>
      <c r="ERV1" s="2" t="n"/>
      <c r="ERW1" s="2" t="n"/>
      <c r="ERX1" s="2" t="n"/>
      <c r="ERY1" s="2" t="n"/>
      <c r="ERZ1" s="2" t="n"/>
      <c r="ESA1" s="2" t="n"/>
      <c r="ESB1" s="2" t="n"/>
      <c r="ESC1" s="2" t="n"/>
      <c r="ESD1" s="2" t="n"/>
      <c r="ESE1" s="2" t="n"/>
      <c r="ESF1" s="2" t="n"/>
      <c r="ESG1" s="2" t="n"/>
      <c r="ESH1" s="2" t="n"/>
      <c r="ESI1" s="2" t="n"/>
      <c r="ESJ1" s="2" t="n"/>
      <c r="ESK1" s="2" t="n"/>
      <c r="ESL1" s="2" t="n"/>
      <c r="ESM1" s="2" t="n"/>
      <c r="ESN1" s="2" t="n"/>
      <c r="ESO1" s="2" t="n"/>
      <c r="ESP1" s="2" t="n"/>
      <c r="ESQ1" s="2" t="n"/>
      <c r="ESR1" s="2" t="n"/>
      <c r="ESS1" s="2" t="n"/>
      <c r="EST1" s="2" t="n"/>
      <c r="ESU1" s="2" t="n"/>
      <c r="ESV1" s="2" t="n"/>
      <c r="ESW1" s="2" t="n"/>
      <c r="ESX1" s="2" t="n"/>
      <c r="ESY1" s="2" t="n"/>
      <c r="ESZ1" s="2" t="n"/>
      <c r="ETA1" s="2" t="n"/>
      <c r="ETB1" s="2" t="n"/>
      <c r="ETC1" s="2" t="n"/>
      <c r="ETD1" s="2" t="n"/>
      <c r="ETE1" s="2" t="n"/>
      <c r="ETF1" s="2" t="n"/>
      <c r="ETG1" s="2" t="n"/>
      <c r="ETH1" s="2" t="n"/>
      <c r="ETI1" s="2" t="n"/>
      <c r="ETJ1" s="2" t="n"/>
      <c r="ETK1" s="2" t="n"/>
      <c r="ETL1" s="2" t="n"/>
      <c r="ETM1" s="2" t="n"/>
      <c r="ETN1" s="2" t="n"/>
      <c r="ETO1" s="2" t="n"/>
      <c r="ETP1" s="2" t="n"/>
      <c r="ETQ1" s="2" t="n"/>
      <c r="ETR1" s="2" t="n"/>
      <c r="ETS1" s="2" t="n"/>
      <c r="ETT1" s="2" t="n"/>
      <c r="ETU1" s="2" t="n"/>
      <c r="ETV1" s="2" t="n"/>
      <c r="ETW1" s="2" t="n"/>
      <c r="ETX1" s="2" t="n"/>
      <c r="ETY1" s="2" t="n"/>
      <c r="ETZ1" s="2" t="n"/>
      <c r="EUA1" s="2" t="n"/>
      <c r="EUB1" s="2" t="n"/>
      <c r="EUC1" s="2" t="n"/>
      <c r="EUD1" s="2" t="n"/>
      <c r="EUE1" s="2" t="n"/>
      <c r="EUF1" s="2" t="n"/>
      <c r="EUG1" s="2" t="n"/>
      <c r="EUH1" s="2" t="n"/>
      <c r="EUI1" s="2" t="n"/>
      <c r="EUJ1" s="2" t="n"/>
      <c r="EUK1" s="2" t="n"/>
      <c r="EUL1" s="2" t="n"/>
      <c r="EUM1" s="2" t="n"/>
      <c r="EUN1" s="2" t="n"/>
      <c r="EUO1" s="2" t="n"/>
      <c r="EUP1" s="2" t="n"/>
      <c r="EUQ1" s="2" t="n"/>
      <c r="EUR1" s="2" t="n"/>
      <c r="EUS1" s="2" t="n"/>
      <c r="EUT1" s="2" t="n"/>
      <c r="EUU1" s="2" t="n"/>
      <c r="EUV1" s="2" t="n"/>
      <c r="EUW1" s="2" t="n"/>
      <c r="EUX1" s="2" t="n"/>
      <c r="EUY1" s="2" t="n"/>
      <c r="EUZ1" s="2" t="n"/>
      <c r="EVA1" s="2" t="n"/>
      <c r="EVB1" s="2" t="n"/>
      <c r="EVC1" s="2" t="n"/>
      <c r="EVD1" s="2" t="n"/>
      <c r="EVE1" s="2" t="n"/>
      <c r="EVF1" s="2" t="n"/>
      <c r="EVG1" s="2" t="n"/>
      <c r="EVH1" s="2" t="n"/>
      <c r="EVI1" s="2" t="n"/>
      <c r="EVJ1" s="2" t="n"/>
      <c r="EVK1" s="2" t="n"/>
      <c r="EVL1" s="2" t="n"/>
      <c r="EVM1" s="2" t="n"/>
      <c r="EVN1" s="2" t="n"/>
      <c r="EVO1" s="2" t="n"/>
      <c r="EVP1" s="2" t="n"/>
      <c r="EVQ1" s="2" t="n"/>
      <c r="EVR1" s="2" t="n"/>
      <c r="EVS1" s="2" t="n"/>
      <c r="EVT1" s="2" t="n"/>
      <c r="EVU1" s="2" t="n"/>
      <c r="EVV1" s="2" t="n"/>
      <c r="EVW1" s="2" t="n"/>
      <c r="EVX1" s="2" t="n"/>
      <c r="EVY1" s="2" t="n"/>
      <c r="EVZ1" s="2" t="n"/>
      <c r="EWA1" s="2" t="n"/>
      <c r="EWB1" s="2" t="n"/>
      <c r="EWC1" s="2" t="n"/>
      <c r="EWD1" s="2" t="n"/>
      <c r="EWE1" s="2" t="n"/>
      <c r="EWF1" s="2" t="n"/>
      <c r="EWG1" s="2" t="n"/>
      <c r="EWH1" s="2" t="n"/>
      <c r="EWI1" s="2" t="n"/>
      <c r="EWJ1" s="2" t="n"/>
      <c r="EWK1" s="2" t="n"/>
      <c r="EWL1" s="2" t="n"/>
      <c r="EWM1" s="2" t="n"/>
      <c r="EWN1" s="2" t="n"/>
      <c r="EWO1" s="2" t="n"/>
      <c r="EWP1" s="2" t="n"/>
      <c r="EWQ1" s="2" t="n"/>
      <c r="EWR1" s="2" t="n"/>
      <c r="EWS1" s="2" t="n"/>
      <c r="EWT1" s="2" t="n"/>
      <c r="EWU1" s="2" t="n"/>
      <c r="EWV1" s="2" t="n"/>
      <c r="EWW1" s="2" t="n"/>
      <c r="EWX1" s="2" t="n"/>
      <c r="EWY1" s="2" t="n"/>
      <c r="EWZ1" s="2" t="n"/>
      <c r="EXA1" s="2" t="n"/>
      <c r="EXB1" s="2" t="n"/>
      <c r="EXC1" s="2" t="n"/>
      <c r="EXD1" s="2" t="n"/>
      <c r="EXE1" s="2" t="n"/>
      <c r="EXF1" s="2" t="n"/>
      <c r="EXG1" s="2" t="n"/>
      <c r="EXH1" s="2" t="n"/>
      <c r="EXI1" s="2" t="n"/>
      <c r="EXJ1" s="2" t="n"/>
      <c r="EXK1" s="2" t="n"/>
      <c r="EXL1" s="2" t="n"/>
      <c r="EXM1" s="2" t="n"/>
      <c r="EXN1" s="2" t="n"/>
      <c r="EXO1" s="2" t="n"/>
      <c r="EXP1" s="2" t="n"/>
      <c r="EXQ1" s="2" t="n"/>
      <c r="EXR1" s="2" t="n"/>
      <c r="EXS1" s="2" t="n"/>
      <c r="EXT1" s="2" t="n"/>
      <c r="EXU1" s="2" t="n"/>
      <c r="EXV1" s="2" t="n"/>
      <c r="EXW1" s="2" t="n"/>
      <c r="EXX1" s="2" t="n"/>
      <c r="EXY1" s="2" t="n"/>
      <c r="EXZ1" s="2" t="n"/>
      <c r="EYA1" s="2" t="n"/>
      <c r="EYB1" s="2" t="n"/>
      <c r="EYC1" s="2" t="n"/>
      <c r="EYD1" s="2" t="n"/>
      <c r="EYE1" s="2" t="n"/>
      <c r="EYF1" s="2" t="n"/>
      <c r="EYG1" s="2" t="n"/>
      <c r="EYH1" s="2" t="n"/>
      <c r="EYI1" s="2" t="n"/>
      <c r="EYJ1" s="2" t="n"/>
      <c r="EYK1" s="2" t="n"/>
      <c r="EYL1" s="2" t="n"/>
      <c r="EYM1" s="2" t="n"/>
      <c r="EYN1" s="2" t="n"/>
      <c r="EYO1" s="2" t="n"/>
      <c r="EYP1" s="2" t="n"/>
      <c r="EYQ1" s="2" t="n"/>
      <c r="EYR1" s="2" t="n"/>
      <c r="EYS1" s="2" t="n"/>
      <c r="EYT1" s="2" t="n"/>
      <c r="EYU1" s="2" t="n"/>
      <c r="EYV1" s="2" t="n"/>
      <c r="EYW1" s="2" t="n"/>
      <c r="EYX1" s="2" t="n"/>
      <c r="EYY1" s="2" t="n"/>
      <c r="EYZ1" s="2" t="n"/>
      <c r="EZA1" s="2" t="n"/>
      <c r="EZB1" s="2" t="n"/>
      <c r="EZC1" s="2" t="n"/>
      <c r="EZD1" s="2" t="n"/>
      <c r="EZE1" s="2" t="n"/>
      <c r="EZF1" s="2" t="n"/>
      <c r="EZG1" s="2" t="n"/>
      <c r="EZH1" s="2" t="n"/>
      <c r="EZI1" s="2" t="n"/>
      <c r="EZJ1" s="2" t="n"/>
      <c r="EZK1" s="2" t="n"/>
      <c r="EZL1" s="2" t="n"/>
      <c r="EZM1" s="2" t="n"/>
      <c r="EZN1" s="2" t="n"/>
      <c r="EZO1" s="2" t="n"/>
      <c r="EZP1" s="2" t="n"/>
      <c r="EZQ1" s="2" t="n"/>
      <c r="EZR1" s="2" t="n"/>
      <c r="EZS1" s="2" t="n"/>
      <c r="EZT1" s="2" t="n"/>
      <c r="EZU1" s="2" t="n"/>
      <c r="EZV1" s="2" t="n"/>
      <c r="EZW1" s="2" t="n"/>
      <c r="EZX1" s="2" t="n"/>
      <c r="EZY1" s="2" t="n"/>
      <c r="EZZ1" s="2" t="n"/>
      <c r="FAA1" s="2" t="n"/>
      <c r="FAB1" s="2" t="n"/>
      <c r="FAC1" s="2" t="n"/>
      <c r="FAD1" s="2" t="n"/>
      <c r="FAE1" s="2" t="n"/>
      <c r="FAF1" s="2" t="n"/>
      <c r="FAG1" s="2" t="n"/>
      <c r="FAH1" s="2" t="n"/>
      <c r="FAI1" s="2" t="n"/>
      <c r="FAJ1" s="2" t="n"/>
      <c r="FAK1" s="2" t="n"/>
      <c r="FAL1" s="2" t="n"/>
      <c r="FAM1" s="2" t="n"/>
      <c r="FAN1" s="2" t="n"/>
      <c r="FAO1" s="2" t="n"/>
      <c r="FAP1" s="2" t="n"/>
      <c r="FAQ1" s="2" t="n"/>
      <c r="FAR1" s="2" t="n"/>
      <c r="FAS1" s="2" t="n"/>
      <c r="FAT1" s="2" t="n"/>
      <c r="FAU1" s="2" t="n"/>
      <c r="FAV1" s="2" t="n"/>
      <c r="FAW1" s="2" t="n"/>
      <c r="FAX1" s="2" t="n"/>
      <c r="FAY1" s="2" t="n"/>
      <c r="FAZ1" s="2" t="n"/>
      <c r="FBA1" s="2" t="n"/>
      <c r="FBB1" s="2" t="n"/>
      <c r="FBC1" s="2" t="n"/>
      <c r="FBD1" s="2" t="n"/>
      <c r="FBE1" s="2" t="n"/>
      <c r="FBF1" s="2" t="n"/>
      <c r="FBG1" s="2" t="n"/>
      <c r="FBH1" s="2" t="n"/>
      <c r="FBI1" s="2" t="n"/>
      <c r="FBJ1" s="2" t="n"/>
      <c r="FBK1" s="2" t="n"/>
      <c r="FBL1" s="2" t="n"/>
      <c r="FBM1" s="2" t="n"/>
      <c r="FBN1" s="2" t="n"/>
      <c r="FBO1" s="2" t="n"/>
      <c r="FBP1" s="2" t="n"/>
      <c r="FBQ1" s="2" t="n"/>
      <c r="FBR1" s="2" t="n"/>
      <c r="FBS1" s="2" t="n"/>
      <c r="FBT1" s="2" t="n"/>
      <c r="FBU1" s="2" t="n"/>
      <c r="FBV1" s="2" t="n"/>
      <c r="FBW1" s="2" t="n"/>
      <c r="FBX1" s="2" t="n"/>
      <c r="FBY1" s="2" t="n"/>
      <c r="FBZ1" s="2" t="n"/>
      <c r="FCA1" s="2" t="n"/>
      <c r="FCB1" s="2" t="n"/>
      <c r="FCC1" s="2" t="n"/>
      <c r="FCD1" s="2" t="n"/>
      <c r="FCE1" s="2" t="n"/>
      <c r="FCF1" s="2" t="n"/>
      <c r="FCG1" s="2" t="n"/>
      <c r="FCH1" s="2" t="n"/>
      <c r="FCI1" s="2" t="n"/>
      <c r="FCJ1" s="2" t="n"/>
      <c r="FCK1" s="2" t="n"/>
      <c r="FCL1" s="2" t="n"/>
      <c r="FCM1" s="2" t="n"/>
      <c r="FCN1" s="2" t="n"/>
      <c r="FCO1" s="2" t="n"/>
      <c r="FCP1" s="2" t="n"/>
      <c r="FCQ1" s="2" t="n"/>
      <c r="FCR1" s="2" t="n"/>
      <c r="FCS1" s="2" t="n"/>
      <c r="FCT1" s="2" t="n"/>
      <c r="FCU1" s="2" t="n"/>
      <c r="FCV1" s="2" t="n"/>
      <c r="FCW1" s="2" t="n"/>
      <c r="FCX1" s="2" t="n"/>
      <c r="FCY1" s="2" t="n"/>
      <c r="FCZ1" s="2" t="n"/>
      <c r="FDA1" s="2" t="n"/>
      <c r="FDB1" s="2" t="n"/>
      <c r="FDC1" s="2" t="n"/>
      <c r="FDD1" s="2" t="n"/>
      <c r="FDE1" s="2" t="n"/>
      <c r="FDF1" s="2" t="n"/>
      <c r="FDG1" s="2" t="n"/>
      <c r="FDH1" s="2" t="n"/>
      <c r="FDI1" s="2" t="n"/>
      <c r="FDJ1" s="2" t="n"/>
      <c r="FDK1" s="2" t="n"/>
      <c r="FDL1" s="2" t="n"/>
      <c r="FDM1" s="2" t="n"/>
      <c r="FDN1" s="2" t="n"/>
      <c r="FDO1" s="2" t="n"/>
      <c r="FDP1" s="2" t="n"/>
      <c r="FDQ1" s="2" t="n"/>
      <c r="FDR1" s="2" t="n"/>
      <c r="FDS1" s="2" t="n"/>
      <c r="FDT1" s="2" t="n"/>
      <c r="FDU1" s="2" t="n"/>
      <c r="FDV1" s="2" t="n"/>
      <c r="FDW1" s="2" t="n"/>
      <c r="FDX1" s="2" t="n"/>
      <c r="FDY1" s="2" t="n"/>
      <c r="FDZ1" s="2" t="n"/>
      <c r="FEA1" s="2" t="n"/>
      <c r="FEB1" s="2" t="n"/>
      <c r="FEC1" s="2" t="n"/>
      <c r="FED1" s="2" t="n"/>
      <c r="FEE1" s="2" t="n"/>
      <c r="FEF1" s="2" t="n"/>
      <c r="FEG1" s="2" t="n"/>
      <c r="FEH1" s="2" t="n"/>
      <c r="FEI1" s="2" t="n"/>
      <c r="FEJ1" s="2" t="n"/>
      <c r="FEK1" s="2" t="n"/>
      <c r="FEL1" s="2" t="n"/>
      <c r="FEM1" s="2" t="n"/>
      <c r="FEN1" s="2" t="n"/>
      <c r="FEO1" s="2" t="n"/>
      <c r="FEP1" s="2" t="n"/>
      <c r="FEQ1" s="2" t="n"/>
      <c r="FER1" s="2" t="n"/>
      <c r="FES1" s="2" t="n"/>
      <c r="FET1" s="2" t="n"/>
      <c r="FEU1" s="2" t="n"/>
      <c r="FEV1" s="2" t="n"/>
      <c r="FEW1" s="2" t="n"/>
      <c r="FEX1" s="2" t="n"/>
      <c r="FEY1" s="2" t="n"/>
      <c r="FEZ1" s="2" t="n"/>
      <c r="FFA1" s="2" t="n"/>
      <c r="FFB1" s="2" t="n"/>
      <c r="FFC1" s="2" t="n"/>
      <c r="FFD1" s="2" t="n"/>
      <c r="FFE1" s="2" t="n"/>
      <c r="FFF1" s="2" t="n"/>
      <c r="FFG1" s="2" t="n"/>
      <c r="FFH1" s="2" t="n"/>
      <c r="FFI1" s="2" t="n"/>
      <c r="FFJ1" s="2" t="n"/>
      <c r="FFK1" s="2" t="n"/>
      <c r="FFL1" s="2" t="n"/>
      <c r="FFM1" s="2" t="n"/>
      <c r="FFN1" s="2" t="n"/>
      <c r="FFO1" s="2" t="n"/>
      <c r="FFP1" s="2" t="n"/>
      <c r="FFQ1" s="2" t="n"/>
      <c r="FFR1" s="2" t="n"/>
      <c r="FFS1" s="2" t="n"/>
      <c r="FFT1" s="2" t="n"/>
      <c r="FFU1" s="2" t="n"/>
      <c r="FFV1" s="2" t="n"/>
      <c r="FFW1" s="2" t="n"/>
      <c r="FFX1" s="2" t="n"/>
      <c r="FFY1" s="2" t="n"/>
      <c r="FFZ1" s="2" t="n"/>
      <c r="FGA1" s="2" t="n"/>
      <c r="FGB1" s="2" t="n"/>
      <c r="FGC1" s="2" t="n"/>
      <c r="FGD1" s="2" t="n"/>
      <c r="FGE1" s="2" t="n"/>
      <c r="FGF1" s="2" t="n"/>
      <c r="FGG1" s="2" t="n"/>
      <c r="FGH1" s="2" t="n"/>
      <c r="FGI1" s="2" t="n"/>
      <c r="FGJ1" s="2" t="n"/>
      <c r="FGK1" s="2" t="n"/>
      <c r="FGL1" s="2" t="n"/>
      <c r="FGM1" s="2" t="n"/>
      <c r="FGN1" s="2" t="n"/>
      <c r="FGO1" s="2" t="n"/>
      <c r="FGP1" s="2" t="n"/>
      <c r="FGQ1" s="2" t="n"/>
      <c r="FGR1" s="2" t="n"/>
      <c r="FGS1" s="2" t="n"/>
      <c r="FGT1" s="2" t="n"/>
      <c r="FGU1" s="2" t="n"/>
      <c r="FGV1" s="2" t="n"/>
      <c r="FGW1" s="2" t="n"/>
      <c r="FGX1" s="2" t="n"/>
      <c r="FGY1" s="2" t="n"/>
      <c r="FGZ1" s="2" t="n"/>
      <c r="FHA1" s="2" t="n"/>
      <c r="FHB1" s="2" t="n"/>
      <c r="FHC1" s="2" t="n"/>
      <c r="FHD1" s="2" t="n"/>
      <c r="FHE1" s="2" t="n"/>
      <c r="FHF1" s="2" t="n"/>
      <c r="FHG1" s="2" t="n"/>
      <c r="FHH1" s="2" t="n"/>
      <c r="FHI1" s="2" t="n"/>
      <c r="FHJ1" s="2" t="n"/>
      <c r="FHK1" s="2" t="n"/>
      <c r="FHL1" s="2" t="n"/>
      <c r="FHM1" s="2" t="n"/>
      <c r="FHN1" s="2" t="n"/>
      <c r="FHO1" s="2" t="n"/>
      <c r="FHP1" s="2" t="n"/>
      <c r="FHQ1" s="2" t="n"/>
      <c r="FHR1" s="2" t="n"/>
      <c r="FHS1" s="2" t="n"/>
      <c r="FHT1" s="2" t="n"/>
      <c r="FHU1" s="2" t="n"/>
      <c r="FHV1" s="2" t="n"/>
      <c r="FHW1" s="2" t="n"/>
      <c r="FHX1" s="2" t="n"/>
      <c r="FHY1" s="2" t="n"/>
      <c r="FHZ1" s="2" t="n"/>
      <c r="FIA1" s="2" t="n"/>
      <c r="FIB1" s="2" t="n"/>
      <c r="FIC1" s="2" t="n"/>
      <c r="FID1" s="2" t="n"/>
      <c r="FIE1" s="2" t="n"/>
      <c r="FIF1" s="2" t="n"/>
      <c r="FIG1" s="2" t="n"/>
      <c r="FIH1" s="2" t="n"/>
      <c r="FII1" s="2" t="n"/>
      <c r="FIJ1" s="2" t="n"/>
      <c r="FIK1" s="2" t="n"/>
      <c r="FIL1" s="2" t="n"/>
      <c r="FIM1" s="2" t="n"/>
      <c r="FIN1" s="2" t="n"/>
      <c r="FIO1" s="2" t="n"/>
      <c r="FIP1" s="2" t="n"/>
      <c r="FIQ1" s="2" t="n"/>
      <c r="FIR1" s="2" t="n"/>
      <c r="FIS1" s="2" t="n"/>
      <c r="FIT1" s="2" t="n"/>
      <c r="FIU1" s="2" t="n"/>
      <c r="FIV1" s="2" t="n"/>
      <c r="FIW1" s="2" t="n"/>
      <c r="FIX1" s="2" t="n"/>
      <c r="FIY1" s="2" t="n"/>
      <c r="FIZ1" s="2" t="n"/>
      <c r="FJA1" s="2" t="n"/>
      <c r="FJB1" s="2" t="n"/>
      <c r="FJC1" s="2" t="n"/>
      <c r="FJD1" s="2" t="n"/>
      <c r="FJE1" s="2" t="n"/>
      <c r="FJF1" s="2" t="n"/>
      <c r="FJG1" s="2" t="n"/>
      <c r="FJH1" s="2" t="n"/>
      <c r="FJI1" s="2" t="n"/>
      <c r="FJJ1" s="2" t="n"/>
      <c r="FJK1" s="2" t="n"/>
      <c r="FJL1" s="2" t="n"/>
      <c r="FJM1" s="2" t="n"/>
      <c r="FJN1" s="2" t="n"/>
      <c r="FJO1" s="2" t="n"/>
      <c r="FJP1" s="2" t="n"/>
      <c r="FJQ1" s="2" t="n"/>
      <c r="FJR1" s="2" t="n"/>
      <c r="FJS1" s="2" t="n"/>
      <c r="FJT1" s="2" t="n"/>
      <c r="FJU1" s="2" t="n"/>
      <c r="FJV1" s="2" t="n"/>
      <c r="FJW1" s="2" t="n"/>
      <c r="FJX1" s="2" t="n"/>
      <c r="FJY1" s="2" t="n"/>
      <c r="FJZ1" s="2" t="n"/>
      <c r="FKA1" s="2" t="n"/>
      <c r="FKB1" s="2" t="n"/>
      <c r="FKC1" s="2" t="n"/>
      <c r="FKD1" s="2" t="n"/>
      <c r="FKE1" s="2" t="n"/>
      <c r="FKF1" s="2" t="n"/>
      <c r="FKG1" s="2" t="n"/>
      <c r="FKH1" s="2" t="n"/>
      <c r="FKI1" s="2" t="n"/>
      <c r="FKJ1" s="2" t="n"/>
      <c r="FKK1" s="2" t="n"/>
      <c r="FKL1" s="2" t="n"/>
      <c r="FKM1" s="2" t="n"/>
      <c r="FKN1" s="2" t="n"/>
      <c r="FKO1" s="2" t="n"/>
      <c r="FKP1" s="2" t="n"/>
      <c r="FKQ1" s="2" t="n"/>
      <c r="FKR1" s="2" t="n"/>
      <c r="FKS1" s="2" t="n"/>
      <c r="FKT1" s="2" t="n"/>
      <c r="FKU1" s="2" t="n"/>
      <c r="FKV1" s="2" t="n"/>
      <c r="FKW1" s="2" t="n"/>
      <c r="FKX1" s="2" t="n"/>
      <c r="FKY1" s="2" t="n"/>
      <c r="FKZ1" s="2" t="n"/>
      <c r="FLA1" s="2" t="n"/>
      <c r="FLB1" s="2" t="n"/>
      <c r="FLC1" s="2" t="n"/>
      <c r="FLD1" s="2" t="n"/>
      <c r="FLE1" s="2" t="n"/>
      <c r="FLF1" s="2" t="n"/>
      <c r="FLG1" s="2" t="n"/>
      <c r="FLH1" s="2" t="n"/>
      <c r="FLI1" s="2" t="n"/>
      <c r="FLJ1" s="2" t="n"/>
      <c r="FLK1" s="2" t="n"/>
      <c r="FLL1" s="2" t="n"/>
      <c r="FLM1" s="2" t="n"/>
      <c r="FLN1" s="2" t="n"/>
      <c r="FLO1" s="2" t="n"/>
      <c r="FLP1" s="2" t="n"/>
      <c r="FLQ1" s="2" t="n"/>
      <c r="FLR1" s="2" t="n"/>
      <c r="FLS1" s="2" t="n"/>
      <c r="FLT1" s="2" t="n"/>
      <c r="FLU1" s="2" t="n"/>
      <c r="FLV1" s="2" t="n"/>
      <c r="FLW1" s="2" t="n"/>
      <c r="FLX1" s="2" t="n"/>
      <c r="FLY1" s="2" t="n"/>
      <c r="FLZ1" s="2" t="n"/>
      <c r="FMA1" s="2" t="n"/>
      <c r="FMB1" s="2" t="n"/>
      <c r="FMC1" s="2" t="n"/>
      <c r="FMD1" s="2" t="n"/>
      <c r="FME1" s="2" t="n"/>
      <c r="FMF1" s="2" t="n"/>
      <c r="FMG1" s="2" t="n"/>
      <c r="FMH1" s="2" t="n"/>
      <c r="FMI1" s="2" t="n"/>
      <c r="FMJ1" s="2" t="n"/>
      <c r="FMK1" s="2" t="n"/>
      <c r="FML1" s="2" t="n"/>
      <c r="FMM1" s="2" t="n"/>
      <c r="FMN1" s="2" t="n"/>
      <c r="FMO1" s="2" t="n"/>
      <c r="FMP1" s="2" t="n"/>
      <c r="FMQ1" s="2" t="n"/>
      <c r="FMR1" s="2" t="n"/>
      <c r="FMS1" s="2" t="n"/>
      <c r="FMT1" s="2" t="n"/>
      <c r="FMU1" s="2" t="n"/>
      <c r="FMV1" s="2" t="n"/>
      <c r="FMW1" s="2" t="n"/>
      <c r="FMX1" s="2" t="n"/>
      <c r="FMY1" s="2" t="n"/>
      <c r="FMZ1" s="2" t="n"/>
      <c r="FNA1" s="2" t="n"/>
      <c r="FNB1" s="2" t="n"/>
      <c r="FNC1" s="2" t="n"/>
      <c r="FND1" s="2" t="n"/>
      <c r="FNE1" s="2" t="n"/>
      <c r="FNF1" s="2" t="n"/>
      <c r="FNG1" s="2" t="n"/>
      <c r="FNH1" s="2" t="n"/>
      <c r="FNI1" s="2" t="n"/>
      <c r="FNJ1" s="2" t="n"/>
      <c r="FNK1" s="2" t="n"/>
      <c r="FNL1" s="2" t="n"/>
      <c r="FNM1" s="2" t="n"/>
      <c r="FNN1" s="2" t="n"/>
      <c r="FNO1" s="2" t="n"/>
      <c r="FNP1" s="2" t="n"/>
      <c r="FNQ1" s="2" t="n"/>
      <c r="FNR1" s="2" t="n"/>
      <c r="FNS1" s="2" t="n"/>
      <c r="FNT1" s="2" t="n"/>
      <c r="FNU1" s="2" t="n"/>
      <c r="FNV1" s="2" t="n"/>
      <c r="FNW1" s="2" t="n"/>
      <c r="FNX1" s="2" t="n"/>
      <c r="FNY1" s="2" t="n"/>
      <c r="FNZ1" s="2" t="n"/>
      <c r="FOA1" s="2" t="n"/>
      <c r="FOB1" s="2" t="n"/>
      <c r="FOC1" s="2" t="n"/>
      <c r="FOD1" s="2" t="n"/>
      <c r="FOE1" s="2" t="n"/>
      <c r="FOF1" s="2" t="n"/>
      <c r="FOG1" s="2" t="n"/>
      <c r="FOH1" s="2" t="n"/>
      <c r="FOI1" s="2" t="n"/>
      <c r="FOJ1" s="2" t="n"/>
      <c r="FOK1" s="2" t="n"/>
      <c r="FOL1" s="2" t="n"/>
      <c r="FOM1" s="2" t="n"/>
      <c r="FON1" s="2" t="n"/>
      <c r="FOO1" s="2" t="n"/>
      <c r="FOP1" s="2" t="n"/>
      <c r="FOQ1" s="2" t="n"/>
      <c r="FOR1" s="2" t="n"/>
      <c r="FOS1" s="2" t="n"/>
      <c r="FOT1" s="2" t="n"/>
      <c r="FOU1" s="2" t="n"/>
      <c r="FOV1" s="2" t="n"/>
      <c r="FOW1" s="2" t="n"/>
      <c r="FOX1" s="2" t="n"/>
      <c r="FOY1" s="2" t="n"/>
      <c r="FOZ1" s="2" t="n"/>
      <c r="FPA1" s="2" t="n"/>
      <c r="FPB1" s="2" t="n"/>
      <c r="FPC1" s="2" t="n"/>
      <c r="FPD1" s="2" t="n"/>
      <c r="FPE1" s="2" t="n"/>
      <c r="FPF1" s="2" t="n"/>
      <c r="FPG1" s="2" t="n"/>
      <c r="FPH1" s="2" t="n"/>
      <c r="FPI1" s="2" t="n"/>
      <c r="FPJ1" s="2" t="n"/>
      <c r="FPK1" s="2" t="n"/>
      <c r="FPL1" s="2" t="n"/>
      <c r="FPM1" s="2" t="n"/>
      <c r="FPN1" s="2" t="n"/>
      <c r="FPO1" s="2" t="n"/>
      <c r="FPP1" s="2" t="n"/>
      <c r="FPQ1" s="2" t="n"/>
      <c r="FPR1" s="2" t="n"/>
      <c r="FPS1" s="2" t="n"/>
      <c r="FPT1" s="2" t="n"/>
      <c r="FPU1" s="2" t="n"/>
      <c r="FPV1" s="2" t="n"/>
      <c r="FPW1" s="2" t="n"/>
      <c r="FPX1" s="2" t="n"/>
      <c r="FPY1" s="2" t="n"/>
      <c r="FPZ1" s="2" t="n"/>
      <c r="FQA1" s="2" t="n"/>
      <c r="FQB1" s="2" t="n"/>
      <c r="FQC1" s="2" t="n"/>
      <c r="FQD1" s="2" t="n"/>
      <c r="FQE1" s="2" t="n"/>
      <c r="FQF1" s="2" t="n"/>
      <c r="FQG1" s="2" t="n"/>
      <c r="FQH1" s="2" t="n"/>
      <c r="FQI1" s="2" t="n"/>
      <c r="FQJ1" s="2" t="n"/>
      <c r="FQK1" s="2" t="n"/>
      <c r="FQL1" s="2" t="n"/>
      <c r="FQM1" s="2" t="n"/>
      <c r="FQN1" s="2" t="n"/>
      <c r="FQO1" s="2" t="n"/>
      <c r="FQP1" s="2" t="n"/>
      <c r="FQQ1" s="2" t="n"/>
      <c r="FQR1" s="2" t="n"/>
      <c r="FQS1" s="2" t="n"/>
      <c r="FQT1" s="2" t="n"/>
      <c r="FQU1" s="2" t="n"/>
      <c r="FQV1" s="2" t="n"/>
      <c r="FQW1" s="2" t="n"/>
      <c r="FQX1" s="2" t="n"/>
      <c r="FQY1" s="2" t="n"/>
      <c r="FQZ1" s="2" t="n"/>
      <c r="FRA1" s="2" t="n"/>
      <c r="FRB1" s="2" t="n"/>
      <c r="FRC1" s="2" t="n"/>
      <c r="FRD1" s="2" t="n"/>
      <c r="FRE1" s="2" t="n"/>
      <c r="FRF1" s="2" t="n"/>
      <c r="FRG1" s="2" t="n"/>
      <c r="FRH1" s="2" t="n"/>
      <c r="FRI1" s="2" t="n"/>
      <c r="FRJ1" s="2" t="n"/>
      <c r="FRK1" s="2" t="n"/>
      <c r="FRL1" s="2" t="n"/>
      <c r="FRM1" s="2" t="n"/>
      <c r="FRN1" s="2" t="n"/>
      <c r="FRO1" s="2" t="n"/>
      <c r="FRP1" s="2" t="n"/>
      <c r="FRQ1" s="2" t="n"/>
      <c r="FRR1" s="2" t="n"/>
      <c r="FRS1" s="2" t="n"/>
      <c r="FRT1" s="2" t="n"/>
      <c r="FRU1" s="2" t="n"/>
      <c r="FRV1" s="2" t="n"/>
      <c r="FRW1" s="2" t="n"/>
      <c r="FRX1" s="2" t="n"/>
      <c r="FRY1" s="2" t="n"/>
      <c r="FRZ1" s="2" t="n"/>
      <c r="FSA1" s="2" t="n"/>
      <c r="FSB1" s="2" t="n"/>
      <c r="FSC1" s="2" t="n"/>
      <c r="FSD1" s="2" t="n"/>
      <c r="FSE1" s="2" t="n"/>
      <c r="FSF1" s="2" t="n"/>
      <c r="FSG1" s="2" t="n"/>
      <c r="FSH1" s="2" t="n"/>
      <c r="FSI1" s="2" t="n"/>
      <c r="FSJ1" s="2" t="n"/>
      <c r="FSK1" s="2" t="n"/>
      <c r="FSL1" s="2" t="n"/>
      <c r="FSM1" s="2" t="n"/>
      <c r="FSN1" s="2" t="n"/>
      <c r="FSO1" s="2" t="n"/>
      <c r="FSP1" s="2" t="n"/>
      <c r="FSQ1" s="2" t="n"/>
      <c r="FSR1" s="2" t="n"/>
      <c r="FSS1" s="2" t="n"/>
      <c r="FST1" s="2" t="n"/>
      <c r="FSU1" s="2" t="n"/>
      <c r="FSV1" s="2" t="n"/>
      <c r="FSW1" s="2" t="n"/>
      <c r="FSX1" s="2" t="n"/>
      <c r="FSY1" s="2" t="n"/>
      <c r="FSZ1" s="2" t="n"/>
      <c r="FTA1" s="2" t="n"/>
      <c r="FTB1" s="2" t="n"/>
      <c r="FTC1" s="2" t="n"/>
      <c r="FTD1" s="2" t="n"/>
      <c r="FTE1" s="2" t="n"/>
      <c r="FTF1" s="2" t="n"/>
      <c r="FTG1" s="2" t="n"/>
      <c r="FTH1" s="2" t="n"/>
      <c r="FTI1" s="2" t="n"/>
      <c r="FTJ1" s="2" t="n"/>
      <c r="FTK1" s="2" t="n"/>
      <c r="FTL1" s="2" t="n"/>
      <c r="FTM1" s="2" t="n"/>
      <c r="FTN1" s="2" t="n"/>
      <c r="FTO1" s="2" t="n"/>
      <c r="FTP1" s="2" t="n"/>
      <c r="FTQ1" s="2" t="n"/>
      <c r="FTR1" s="2" t="n"/>
      <c r="FTS1" s="2" t="n"/>
      <c r="FTT1" s="2" t="n"/>
      <c r="FTU1" s="2" t="n"/>
      <c r="FTV1" s="2" t="n"/>
      <c r="FTW1" s="2" t="n"/>
      <c r="FTX1" s="2" t="n"/>
      <c r="FTY1" s="2" t="n"/>
      <c r="FTZ1" s="2" t="n"/>
      <c r="FUA1" s="2" t="n"/>
      <c r="FUB1" s="2" t="n"/>
      <c r="FUC1" s="2" t="n"/>
      <c r="FUD1" s="2" t="n"/>
      <c r="FUE1" s="2" t="n"/>
      <c r="FUF1" s="2" t="n"/>
      <c r="FUG1" s="2" t="n"/>
      <c r="FUH1" s="2" t="n"/>
      <c r="FUI1" s="2" t="n"/>
      <c r="FUJ1" s="2" t="n"/>
      <c r="FUK1" s="2" t="n"/>
      <c r="FUL1" s="2" t="n"/>
      <c r="FUM1" s="2" t="n"/>
      <c r="FUN1" s="2" t="n"/>
      <c r="FUO1" s="2" t="n"/>
      <c r="FUP1" s="2" t="n"/>
      <c r="FUQ1" s="2" t="n"/>
      <c r="FUR1" s="2" t="n"/>
      <c r="FUS1" s="2" t="n"/>
      <c r="FUT1" s="2" t="n"/>
      <c r="FUU1" s="2" t="n"/>
      <c r="FUV1" s="2" t="n"/>
      <c r="FUW1" s="2" t="n"/>
      <c r="FUX1" s="2" t="n"/>
      <c r="FUY1" s="2" t="n"/>
      <c r="FUZ1" s="2" t="n"/>
      <c r="FVA1" s="2" t="n"/>
      <c r="FVB1" s="2" t="n"/>
      <c r="FVC1" s="2" t="n"/>
      <c r="FVD1" s="2" t="n"/>
      <c r="FVE1" s="2" t="n"/>
      <c r="FVF1" s="2" t="n"/>
      <c r="FVG1" s="2" t="n"/>
      <c r="FVH1" s="2" t="n"/>
      <c r="FVI1" s="2" t="n"/>
      <c r="FVJ1" s="2" t="n"/>
      <c r="FVK1" s="2" t="n"/>
      <c r="FVL1" s="2" t="n"/>
      <c r="FVM1" s="2" t="n"/>
      <c r="FVN1" s="2" t="n"/>
      <c r="FVO1" s="2" t="n"/>
      <c r="FVP1" s="2" t="n"/>
      <c r="FVQ1" s="2" t="n"/>
      <c r="FVR1" s="2" t="n"/>
      <c r="FVS1" s="2" t="n"/>
      <c r="FVT1" s="2" t="n"/>
      <c r="FVU1" s="2" t="n"/>
      <c r="FVV1" s="2" t="n"/>
      <c r="FVW1" s="2" t="n"/>
      <c r="FVX1" s="2" t="n"/>
      <c r="FVY1" s="2" t="n"/>
      <c r="FVZ1" s="2" t="n"/>
      <c r="FWA1" s="2" t="n"/>
      <c r="FWB1" s="2" t="n"/>
      <c r="FWC1" s="2" t="n"/>
      <c r="FWD1" s="2" t="n"/>
      <c r="FWE1" s="2" t="n"/>
      <c r="FWF1" s="2" t="n"/>
      <c r="FWG1" s="2" t="n"/>
      <c r="FWH1" s="2" t="n"/>
      <c r="FWI1" s="2" t="n"/>
      <c r="FWJ1" s="2" t="n"/>
      <c r="FWK1" s="2" t="n"/>
      <c r="FWL1" s="2" t="n"/>
      <c r="FWM1" s="2" t="n"/>
      <c r="FWN1" s="2" t="n"/>
      <c r="FWO1" s="2" t="n"/>
      <c r="FWP1" s="2" t="n"/>
      <c r="FWQ1" s="2" t="n"/>
      <c r="FWR1" s="2" t="n"/>
      <c r="FWS1" s="2" t="n"/>
      <c r="FWT1" s="2" t="n"/>
      <c r="FWU1" s="2" t="n"/>
      <c r="FWV1" s="2" t="n"/>
      <c r="FWW1" s="2" t="n"/>
      <c r="FWX1" s="2" t="n"/>
      <c r="FWY1" s="2" t="n"/>
      <c r="FWZ1" s="2" t="n"/>
      <c r="FXA1" s="2" t="n"/>
      <c r="FXB1" s="2" t="n"/>
      <c r="FXC1" s="2" t="n"/>
      <c r="FXD1" s="2" t="n"/>
      <c r="FXE1" s="2" t="n"/>
      <c r="FXF1" s="2" t="n"/>
      <c r="FXG1" s="2" t="n"/>
      <c r="FXH1" s="2" t="n"/>
      <c r="FXI1" s="2" t="n"/>
      <c r="FXJ1" s="2" t="n"/>
      <c r="FXK1" s="2" t="n"/>
      <c r="FXL1" s="2" t="n"/>
      <c r="FXM1" s="2" t="n"/>
      <c r="FXN1" s="2" t="n"/>
      <c r="FXO1" s="2" t="n"/>
      <c r="FXP1" s="2" t="n"/>
      <c r="FXQ1" s="2" t="n"/>
      <c r="FXR1" s="2" t="n"/>
      <c r="FXS1" s="2" t="n"/>
      <c r="FXT1" s="2" t="n"/>
      <c r="FXU1" s="2" t="n"/>
      <c r="FXV1" s="2" t="n"/>
      <c r="FXW1" s="2" t="n"/>
      <c r="FXX1" s="2" t="n"/>
      <c r="FXY1" s="2" t="n"/>
      <c r="FXZ1" s="2" t="n"/>
      <c r="FYA1" s="2" t="n"/>
      <c r="FYB1" s="2" t="n"/>
      <c r="FYC1" s="2" t="n"/>
      <c r="FYD1" s="2" t="n"/>
      <c r="FYE1" s="2" t="n"/>
      <c r="FYF1" s="2" t="n"/>
      <c r="FYG1" s="2" t="n"/>
      <c r="FYH1" s="2" t="n"/>
      <c r="FYI1" s="2" t="n"/>
      <c r="FYJ1" s="2" t="n"/>
      <c r="FYK1" s="2" t="n"/>
      <c r="FYL1" s="2" t="n"/>
      <c r="FYM1" s="2" t="n"/>
      <c r="FYN1" s="2" t="n"/>
      <c r="FYO1" s="2" t="n"/>
      <c r="FYP1" s="2" t="n"/>
      <c r="FYQ1" s="2" t="n"/>
      <c r="FYR1" s="2" t="n"/>
      <c r="FYS1" s="2" t="n"/>
      <c r="FYT1" s="2" t="n"/>
      <c r="FYU1" s="2" t="n"/>
      <c r="FYV1" s="2" t="n"/>
      <c r="FYW1" s="2" t="n"/>
      <c r="FYX1" s="2" t="n"/>
      <c r="FYY1" s="2" t="n"/>
      <c r="FYZ1" s="2" t="n"/>
      <c r="FZA1" s="2" t="n"/>
      <c r="FZB1" s="2" t="n"/>
      <c r="FZC1" s="2" t="n"/>
      <c r="FZD1" s="2" t="n"/>
      <c r="FZE1" s="2" t="n"/>
      <c r="FZF1" s="2" t="n"/>
      <c r="FZG1" s="2" t="n"/>
      <c r="FZH1" s="2" t="n"/>
      <c r="FZI1" s="2" t="n"/>
      <c r="FZJ1" s="2" t="n"/>
      <c r="FZK1" s="2" t="n"/>
      <c r="FZL1" s="2" t="n"/>
      <c r="FZM1" s="2" t="n"/>
      <c r="FZN1" s="2" t="n"/>
      <c r="FZO1" s="2" t="n"/>
      <c r="FZP1" s="2" t="n"/>
      <c r="FZQ1" s="2" t="n"/>
      <c r="FZR1" s="2" t="n"/>
      <c r="FZS1" s="2" t="n"/>
      <c r="FZT1" s="2" t="n"/>
      <c r="FZU1" s="2" t="n"/>
      <c r="FZV1" s="2" t="n"/>
      <c r="FZW1" s="2" t="n"/>
      <c r="FZX1" s="2" t="n"/>
      <c r="FZY1" s="2" t="n"/>
      <c r="FZZ1" s="2" t="n"/>
      <c r="GAA1" s="2" t="n"/>
      <c r="GAB1" s="2" t="n"/>
      <c r="GAC1" s="2" t="n"/>
      <c r="GAD1" s="2" t="n"/>
      <c r="GAE1" s="2" t="n"/>
      <c r="GAF1" s="2" t="n"/>
      <c r="GAG1" s="2" t="n"/>
      <c r="GAH1" s="2" t="n"/>
      <c r="GAI1" s="2" t="n"/>
      <c r="GAJ1" s="2" t="n"/>
      <c r="GAK1" s="2" t="n"/>
      <c r="GAL1" s="2" t="n"/>
      <c r="GAM1" s="2" t="n"/>
      <c r="GAN1" s="2" t="n"/>
      <c r="GAO1" s="2" t="n"/>
      <c r="GAP1" s="2" t="n"/>
      <c r="GAQ1" s="2" t="n"/>
      <c r="GAR1" s="2" t="n"/>
      <c r="GAS1" s="2" t="n"/>
      <c r="GAT1" s="2" t="n"/>
      <c r="GAU1" s="2" t="n"/>
      <c r="GAV1" s="2" t="n"/>
      <c r="GAW1" s="2" t="n"/>
      <c r="GAX1" s="2" t="n"/>
      <c r="GAY1" s="2" t="n"/>
      <c r="GAZ1" s="2" t="n"/>
      <c r="GBA1" s="2" t="n"/>
      <c r="GBB1" s="2" t="n"/>
      <c r="GBC1" s="2" t="n"/>
      <c r="GBD1" s="2" t="n"/>
      <c r="GBE1" s="2" t="n"/>
      <c r="GBF1" s="2" t="n"/>
      <c r="GBG1" s="2" t="n"/>
      <c r="GBH1" s="2" t="n"/>
      <c r="GBI1" s="2" t="n"/>
      <c r="GBJ1" s="2" t="n"/>
      <c r="GBK1" s="2" t="n"/>
      <c r="GBL1" s="2" t="n"/>
      <c r="GBM1" s="2" t="n"/>
      <c r="GBN1" s="2" t="n"/>
      <c r="GBO1" s="2" t="n"/>
      <c r="GBP1" s="2" t="n"/>
      <c r="GBQ1" s="2" t="n"/>
      <c r="GBR1" s="2" t="n"/>
      <c r="GBS1" s="2" t="n"/>
      <c r="GBT1" s="2" t="n"/>
      <c r="GBU1" s="2" t="n"/>
      <c r="GBV1" s="2" t="n"/>
      <c r="GBW1" s="2" t="n"/>
      <c r="GBX1" s="2" t="n"/>
      <c r="GBY1" s="2" t="n"/>
      <c r="GBZ1" s="2" t="n"/>
      <c r="GCA1" s="2" t="n"/>
      <c r="GCB1" s="2" t="n"/>
      <c r="GCC1" s="2" t="n"/>
      <c r="GCD1" s="2" t="n"/>
      <c r="GCE1" s="2" t="n"/>
      <c r="GCF1" s="2" t="n"/>
      <c r="GCG1" s="2" t="n"/>
      <c r="GCH1" s="2" t="n"/>
      <c r="GCI1" s="2" t="n"/>
      <c r="GCJ1" s="2" t="n"/>
      <c r="GCK1" s="2" t="n"/>
      <c r="GCL1" s="2" t="n"/>
      <c r="GCM1" s="2" t="n"/>
      <c r="GCN1" s="2" t="n"/>
      <c r="GCO1" s="2" t="n"/>
      <c r="GCP1" s="2" t="n"/>
      <c r="GCQ1" s="2" t="n"/>
      <c r="GCR1" s="2" t="n"/>
      <c r="GCS1" s="2" t="n"/>
      <c r="GCT1" s="2" t="n"/>
      <c r="GCU1" s="2" t="n"/>
      <c r="GCV1" s="2" t="n"/>
      <c r="GCW1" s="2" t="n"/>
      <c r="GCX1" s="2" t="n"/>
      <c r="GCY1" s="2" t="n"/>
      <c r="GCZ1" s="2" t="n"/>
      <c r="GDA1" s="2" t="n"/>
      <c r="GDB1" s="2" t="n"/>
      <c r="GDC1" s="2" t="n"/>
      <c r="GDD1" s="2" t="n"/>
      <c r="GDE1" s="2" t="n"/>
      <c r="GDF1" s="2" t="n"/>
      <c r="GDG1" s="2" t="n"/>
      <c r="GDH1" s="2" t="n"/>
      <c r="GDI1" s="2" t="n"/>
      <c r="GDJ1" s="2" t="n"/>
      <c r="GDK1" s="2" t="n"/>
      <c r="GDL1" s="2" t="n"/>
      <c r="GDM1" s="2" t="n"/>
      <c r="GDN1" s="2" t="n"/>
      <c r="GDO1" s="2" t="n"/>
      <c r="GDP1" s="2" t="n"/>
      <c r="GDQ1" s="2" t="n"/>
      <c r="GDR1" s="2" t="n"/>
      <c r="GDS1" s="2" t="n"/>
      <c r="GDT1" s="2" t="n"/>
      <c r="GDU1" s="2" t="n"/>
      <c r="GDV1" s="2" t="n"/>
      <c r="GDW1" s="2" t="n"/>
      <c r="GDX1" s="2" t="n"/>
      <c r="GDY1" s="2" t="n"/>
      <c r="GDZ1" s="2" t="n"/>
      <c r="GEA1" s="2" t="n"/>
      <c r="GEB1" s="2" t="n"/>
      <c r="GEC1" s="2" t="n"/>
      <c r="GED1" s="2" t="n"/>
      <c r="GEE1" s="2" t="n"/>
      <c r="GEF1" s="2" t="n"/>
      <c r="GEG1" s="2" t="n"/>
      <c r="GEH1" s="2" t="n"/>
      <c r="GEI1" s="2" t="n"/>
      <c r="GEJ1" s="2" t="n"/>
      <c r="GEK1" s="2" t="n"/>
      <c r="GEL1" s="2" t="n"/>
      <c r="GEM1" s="2" t="n"/>
      <c r="GEN1" s="2" t="n"/>
      <c r="GEO1" s="2" t="n"/>
      <c r="GEP1" s="2" t="n"/>
      <c r="GEQ1" s="2" t="n"/>
      <c r="GER1" s="2" t="n"/>
      <c r="GES1" s="2" t="n"/>
      <c r="GET1" s="2" t="n"/>
      <c r="GEU1" s="2" t="n"/>
      <c r="GEV1" s="2" t="n"/>
      <c r="GEW1" s="2" t="n"/>
      <c r="GEX1" s="2" t="n"/>
      <c r="GEY1" s="2" t="n"/>
      <c r="GEZ1" s="2" t="n"/>
      <c r="GFA1" s="2" t="n"/>
      <c r="GFB1" s="2" t="n"/>
      <c r="GFC1" s="2" t="n"/>
      <c r="GFD1" s="2" t="n"/>
      <c r="GFE1" s="2" t="n"/>
      <c r="GFF1" s="2" t="n"/>
      <c r="GFG1" s="2" t="n"/>
      <c r="GFH1" s="2" t="n"/>
      <c r="GFI1" s="2" t="n"/>
      <c r="GFJ1" s="2" t="n"/>
      <c r="GFK1" s="2" t="n"/>
      <c r="GFL1" s="2" t="n"/>
      <c r="GFM1" s="2" t="n"/>
      <c r="GFN1" s="2" t="n"/>
      <c r="GFO1" s="2" t="n"/>
      <c r="GFP1" s="2" t="n"/>
      <c r="GFQ1" s="2" t="n"/>
      <c r="GFR1" s="2" t="n"/>
      <c r="GFS1" s="2" t="n"/>
      <c r="GFT1" s="2" t="n"/>
      <c r="GFU1" s="2" t="n"/>
      <c r="GFV1" s="2" t="n"/>
      <c r="GFW1" s="2" t="n"/>
      <c r="GFX1" s="2" t="n"/>
      <c r="GFY1" s="2" t="n"/>
      <c r="GFZ1" s="2" t="n"/>
      <c r="GGA1" s="2" t="n"/>
      <c r="GGB1" s="2" t="n"/>
      <c r="GGC1" s="2" t="n"/>
      <c r="GGD1" s="2" t="n"/>
      <c r="GGE1" s="2" t="n"/>
      <c r="GGF1" s="2" t="n"/>
      <c r="GGG1" s="2" t="n"/>
      <c r="GGH1" s="2" t="n"/>
      <c r="GGI1" s="2" t="n"/>
      <c r="GGJ1" s="2" t="n"/>
      <c r="GGK1" s="2" t="n"/>
      <c r="GGL1" s="2" t="n"/>
      <c r="GGM1" s="2" t="n"/>
      <c r="GGN1" s="2" t="n"/>
      <c r="GGO1" s="2" t="n"/>
      <c r="GGP1" s="2" t="n"/>
      <c r="GGQ1" s="2" t="n"/>
      <c r="GGR1" s="2" t="n"/>
      <c r="GGS1" s="2" t="n"/>
      <c r="GGT1" s="2" t="n"/>
      <c r="GGU1" s="2" t="n"/>
      <c r="GGV1" s="2" t="n"/>
      <c r="GGW1" s="2" t="n"/>
      <c r="GGX1" s="2" t="n"/>
      <c r="GGY1" s="2" t="n"/>
      <c r="GGZ1" s="2" t="n"/>
      <c r="GHA1" s="2" t="n"/>
      <c r="GHB1" s="2" t="n"/>
      <c r="GHC1" s="2" t="n"/>
      <c r="GHD1" s="2" t="n"/>
      <c r="GHE1" s="2" t="n"/>
      <c r="GHF1" s="2" t="n"/>
      <c r="GHG1" s="2" t="n"/>
      <c r="GHH1" s="2" t="n"/>
      <c r="GHI1" s="2" t="n"/>
      <c r="GHJ1" s="2" t="n"/>
      <c r="GHK1" s="2" t="n"/>
      <c r="GHL1" s="2" t="n"/>
      <c r="GHM1" s="2" t="n"/>
      <c r="GHN1" s="2" t="n"/>
      <c r="GHO1" s="2" t="n"/>
      <c r="GHP1" s="2" t="n"/>
      <c r="GHQ1" s="2" t="n"/>
      <c r="GHR1" s="2" t="n"/>
      <c r="GHS1" s="2" t="n"/>
      <c r="GHT1" s="2" t="n"/>
      <c r="GHU1" s="2" t="n"/>
      <c r="GHV1" s="2" t="n"/>
      <c r="GHW1" s="2" t="n"/>
      <c r="GHX1" s="2" t="n"/>
      <c r="GHY1" s="2" t="n"/>
      <c r="GHZ1" s="2" t="n"/>
      <c r="GIA1" s="2" t="n"/>
      <c r="GIB1" s="2" t="n"/>
      <c r="GIC1" s="2" t="n"/>
      <c r="GID1" s="2" t="n"/>
      <c r="GIE1" s="2" t="n"/>
      <c r="GIF1" s="2" t="n"/>
      <c r="GIG1" s="2" t="n"/>
      <c r="GIH1" s="2" t="n"/>
      <c r="GII1" s="2" t="n"/>
      <c r="GIJ1" s="2" t="n"/>
      <c r="GIK1" s="2" t="n"/>
      <c r="GIL1" s="2" t="n"/>
      <c r="GIM1" s="2" t="n"/>
      <c r="GIN1" s="2" t="n"/>
      <c r="GIO1" s="2" t="n"/>
      <c r="GIP1" s="2" t="n"/>
      <c r="GIQ1" s="2" t="n"/>
      <c r="GIR1" s="2" t="n"/>
      <c r="GIS1" s="2" t="n"/>
      <c r="GIT1" s="2" t="n"/>
      <c r="GIU1" s="2" t="n"/>
      <c r="GIV1" s="2" t="n"/>
      <c r="GIW1" s="2" t="n"/>
      <c r="GIX1" s="2" t="n"/>
      <c r="GIY1" s="2" t="n"/>
      <c r="GIZ1" s="2" t="n"/>
      <c r="GJA1" s="2" t="n"/>
      <c r="GJB1" s="2" t="n"/>
      <c r="GJC1" s="2" t="n"/>
      <c r="GJD1" s="2" t="n"/>
      <c r="GJE1" s="2" t="n"/>
      <c r="GJF1" s="2" t="n"/>
      <c r="GJG1" s="2" t="n"/>
      <c r="GJH1" s="2" t="n"/>
      <c r="GJI1" s="2" t="n"/>
      <c r="GJJ1" s="2" t="n"/>
      <c r="GJK1" s="2" t="n"/>
      <c r="GJL1" s="2" t="n"/>
      <c r="GJM1" s="2" t="n"/>
      <c r="GJN1" s="2" t="n"/>
      <c r="GJO1" s="2" t="n"/>
      <c r="GJP1" s="2" t="n"/>
      <c r="GJQ1" s="2" t="n"/>
      <c r="GJR1" s="2" t="n"/>
      <c r="GJS1" s="2" t="n"/>
      <c r="GJT1" s="2" t="n"/>
      <c r="GJU1" s="2" t="n"/>
      <c r="GJV1" s="2" t="n"/>
      <c r="GJW1" s="2" t="n"/>
      <c r="GJX1" s="2" t="n"/>
      <c r="GJY1" s="2" t="n"/>
      <c r="GJZ1" s="2" t="n"/>
      <c r="GKA1" s="2" t="n"/>
      <c r="GKB1" s="2" t="n"/>
      <c r="GKC1" s="2" t="n"/>
      <c r="GKD1" s="2" t="n"/>
      <c r="GKE1" s="2" t="n"/>
      <c r="GKF1" s="2" t="n"/>
      <c r="GKG1" s="2" t="n"/>
      <c r="GKH1" s="2" t="n"/>
      <c r="GKI1" s="2" t="n"/>
      <c r="GKJ1" s="2" t="n"/>
      <c r="GKK1" s="2" t="n"/>
      <c r="GKL1" s="2" t="n"/>
      <c r="GKM1" s="2" t="n"/>
      <c r="GKN1" s="2" t="n"/>
      <c r="GKO1" s="2" t="n"/>
      <c r="GKP1" s="2" t="n"/>
      <c r="GKQ1" s="2" t="n"/>
      <c r="GKR1" s="2" t="n"/>
      <c r="GKS1" s="2" t="n"/>
      <c r="GKT1" s="2" t="n"/>
      <c r="GKU1" s="2" t="n"/>
      <c r="GKV1" s="2" t="n"/>
      <c r="GKW1" s="2" t="n"/>
      <c r="GKX1" s="2" t="n"/>
      <c r="GKY1" s="2" t="n"/>
      <c r="GKZ1" s="2" t="n"/>
      <c r="GLA1" s="2" t="n"/>
      <c r="GLB1" s="2" t="n"/>
      <c r="GLC1" s="2" t="n"/>
      <c r="GLD1" s="2" t="n"/>
      <c r="GLE1" s="2" t="n"/>
      <c r="GLF1" s="2" t="n"/>
      <c r="GLG1" s="2" t="n"/>
      <c r="GLH1" s="2" t="n"/>
      <c r="GLI1" s="2" t="n"/>
      <c r="GLJ1" s="2" t="n"/>
      <c r="GLK1" s="2" t="n"/>
      <c r="GLL1" s="2" t="n"/>
      <c r="GLM1" s="2" t="n"/>
      <c r="GLN1" s="2" t="n"/>
      <c r="GLO1" s="2" t="n"/>
      <c r="GLP1" s="2" t="n"/>
      <c r="GLQ1" s="2" t="n"/>
      <c r="GLR1" s="2" t="n"/>
      <c r="GLS1" s="2" t="n"/>
      <c r="GLT1" s="2" t="n"/>
      <c r="GLU1" s="2" t="n"/>
      <c r="GLV1" s="2" t="n"/>
      <c r="GLW1" s="2" t="n"/>
      <c r="GLX1" s="2" t="n"/>
      <c r="GLY1" s="2" t="n"/>
      <c r="GLZ1" s="2" t="n"/>
      <c r="GMA1" s="2" t="n"/>
      <c r="GMB1" s="2" t="n"/>
      <c r="GMC1" s="2" t="n"/>
      <c r="GMD1" s="2" t="n"/>
      <c r="GME1" s="2" t="n"/>
      <c r="GMF1" s="2" t="n"/>
      <c r="GMG1" s="2" t="n"/>
      <c r="GMH1" s="2" t="n"/>
      <c r="GMI1" s="2" t="n"/>
      <c r="GMJ1" s="2" t="n"/>
      <c r="GMK1" s="2" t="n"/>
      <c r="GML1" s="2" t="n"/>
      <c r="GMM1" s="2" t="n"/>
      <c r="GMN1" s="2" t="n"/>
      <c r="GMO1" s="2" t="n"/>
      <c r="GMP1" s="2" t="n"/>
      <c r="GMQ1" s="2" t="n"/>
      <c r="GMR1" s="2" t="n"/>
      <c r="GMS1" s="2" t="n"/>
      <c r="GMT1" s="2" t="n"/>
      <c r="GMU1" s="2" t="n"/>
      <c r="GMV1" s="2" t="n"/>
      <c r="GMW1" s="2" t="n"/>
      <c r="GMX1" s="2" t="n"/>
      <c r="GMY1" s="2" t="n"/>
      <c r="GMZ1" s="2" t="n"/>
      <c r="GNA1" s="2" t="n"/>
      <c r="GNB1" s="2" t="n"/>
      <c r="GNC1" s="2" t="n"/>
      <c r="GND1" s="2" t="n"/>
      <c r="GNE1" s="2" t="n"/>
      <c r="GNF1" s="2" t="n"/>
      <c r="GNG1" s="2" t="n"/>
      <c r="GNH1" s="2" t="n"/>
      <c r="GNI1" s="2" t="n"/>
      <c r="GNJ1" s="2" t="n"/>
      <c r="GNK1" s="2" t="n"/>
      <c r="GNL1" s="2" t="n"/>
      <c r="GNM1" s="2" t="n"/>
      <c r="GNN1" s="2" t="n"/>
      <c r="GNO1" s="2" t="n"/>
      <c r="GNP1" s="2" t="n"/>
      <c r="GNQ1" s="2" t="n"/>
      <c r="GNR1" s="2" t="n"/>
      <c r="GNS1" s="2" t="n"/>
      <c r="GNT1" s="2" t="n"/>
      <c r="GNU1" s="2" t="n"/>
      <c r="GNV1" s="2" t="n"/>
      <c r="GNW1" s="2" t="n"/>
      <c r="GNX1" s="2" t="n"/>
      <c r="GNY1" s="2" t="n"/>
      <c r="GNZ1" s="2" t="n"/>
      <c r="GOA1" s="2" t="n"/>
      <c r="GOB1" s="2" t="n"/>
      <c r="GOC1" s="2" t="n"/>
      <c r="GOD1" s="2" t="n"/>
      <c r="GOE1" s="2" t="n"/>
      <c r="GOF1" s="2" t="n"/>
      <c r="GOG1" s="2" t="n"/>
      <c r="GOH1" s="2" t="n"/>
      <c r="GOI1" s="2" t="n"/>
      <c r="GOJ1" s="2" t="n"/>
      <c r="GOK1" s="2" t="n"/>
      <c r="GOL1" s="2" t="n"/>
      <c r="GOM1" s="2" t="n"/>
      <c r="GON1" s="2" t="n"/>
      <c r="GOO1" s="2" t="n"/>
      <c r="GOP1" s="2" t="n"/>
      <c r="GOQ1" s="2" t="n"/>
      <c r="GOR1" s="2" t="n"/>
      <c r="GOS1" s="2" t="n"/>
      <c r="GOT1" s="2" t="n"/>
      <c r="GOU1" s="2" t="n"/>
      <c r="GOV1" s="2" t="n"/>
      <c r="GOW1" s="2" t="n"/>
      <c r="GOX1" s="2" t="n"/>
      <c r="GOY1" s="2" t="n"/>
      <c r="GOZ1" s="2" t="n"/>
      <c r="GPA1" s="2" t="n"/>
      <c r="GPB1" s="2" t="n"/>
      <c r="GPC1" s="2" t="n"/>
      <c r="GPD1" s="2" t="n"/>
      <c r="GPE1" s="2" t="n"/>
      <c r="GPF1" s="2" t="n"/>
      <c r="GPG1" s="2" t="n"/>
      <c r="GPH1" s="2" t="n"/>
      <c r="GPI1" s="2" t="n"/>
      <c r="GPJ1" s="2" t="n"/>
      <c r="GPK1" s="2" t="n"/>
      <c r="GPL1" s="2" t="n"/>
      <c r="GPM1" s="2" t="n"/>
      <c r="GPN1" s="2" t="n"/>
      <c r="GPO1" s="2" t="n"/>
      <c r="GPP1" s="2" t="n"/>
      <c r="GPQ1" s="2" t="n"/>
      <c r="GPR1" s="2" t="n"/>
      <c r="GPS1" s="2" t="n"/>
      <c r="GPT1" s="2" t="n"/>
      <c r="GPU1" s="2" t="n"/>
      <c r="GPV1" s="2" t="n"/>
      <c r="GPW1" s="2" t="n"/>
      <c r="GPX1" s="2" t="n"/>
      <c r="GPY1" s="2" t="n"/>
      <c r="GPZ1" s="2" t="n"/>
      <c r="GQA1" s="2" t="n"/>
      <c r="GQB1" s="2" t="n"/>
      <c r="GQC1" s="2" t="n"/>
      <c r="GQD1" s="2" t="n"/>
      <c r="GQE1" s="2" t="n"/>
      <c r="GQF1" s="2" t="n"/>
      <c r="GQG1" s="2" t="n"/>
      <c r="GQH1" s="2" t="n"/>
      <c r="GQI1" s="2" t="n"/>
      <c r="GQJ1" s="2" t="n"/>
      <c r="GQK1" s="2" t="n"/>
      <c r="GQL1" s="2" t="n"/>
      <c r="GQM1" s="2" t="n"/>
      <c r="GQN1" s="2" t="n"/>
      <c r="GQO1" s="2" t="n"/>
      <c r="GQP1" s="2" t="n"/>
      <c r="GQQ1" s="2" t="n"/>
      <c r="GQR1" s="2" t="n"/>
      <c r="GQS1" s="2" t="n"/>
      <c r="GQT1" s="2" t="n"/>
      <c r="GQU1" s="2" t="n"/>
      <c r="GQV1" s="2" t="n"/>
      <c r="GQW1" s="2" t="n"/>
      <c r="GQX1" s="2" t="n"/>
      <c r="GQY1" s="2" t="n"/>
      <c r="GQZ1" s="2" t="n"/>
      <c r="GRA1" s="2" t="n"/>
      <c r="GRB1" s="2" t="n"/>
      <c r="GRC1" s="2" t="n"/>
      <c r="GRD1" s="2" t="n"/>
      <c r="GRE1" s="2" t="n"/>
      <c r="GRF1" s="2" t="n"/>
      <c r="GRG1" s="2" t="n"/>
      <c r="GRH1" s="2" t="n"/>
      <c r="GRI1" s="2" t="n"/>
      <c r="GRJ1" s="2" t="n"/>
      <c r="GRK1" s="2" t="n"/>
      <c r="GRL1" s="2" t="n"/>
      <c r="GRM1" s="2" t="n"/>
      <c r="GRN1" s="2" t="n"/>
      <c r="GRO1" s="2" t="n"/>
      <c r="GRP1" s="2" t="n"/>
      <c r="GRQ1" s="2" t="n"/>
      <c r="GRR1" s="2" t="n"/>
      <c r="GRS1" s="2" t="n"/>
      <c r="GRT1" s="2" t="n"/>
      <c r="GRU1" s="2" t="n"/>
      <c r="GRV1" s="2" t="n"/>
      <c r="GRW1" s="2" t="n"/>
      <c r="GRX1" s="2" t="n"/>
      <c r="GRY1" s="2" t="n"/>
      <c r="GRZ1" s="2" t="n"/>
      <c r="GSA1" s="2" t="n"/>
      <c r="GSB1" s="2" t="n"/>
      <c r="GSC1" s="2" t="n"/>
      <c r="GSD1" s="2" t="n"/>
      <c r="GSE1" s="2" t="n"/>
      <c r="GSF1" s="2" t="n"/>
      <c r="GSG1" s="2" t="n"/>
      <c r="GSH1" s="2" t="n"/>
      <c r="GSI1" s="2" t="n"/>
      <c r="GSJ1" s="2" t="n"/>
      <c r="GSK1" s="2" t="n"/>
      <c r="GSL1" s="2" t="n"/>
      <c r="GSM1" s="2" t="n"/>
      <c r="GSN1" s="2" t="n"/>
      <c r="GSO1" s="2" t="n"/>
      <c r="GSP1" s="2" t="n"/>
      <c r="GSQ1" s="2" t="n"/>
      <c r="GSR1" s="2" t="n"/>
      <c r="GSS1" s="2" t="n"/>
      <c r="GST1" s="2" t="n"/>
      <c r="GSU1" s="2" t="n"/>
      <c r="GSV1" s="2" t="n"/>
      <c r="GSW1" s="2" t="n"/>
      <c r="GSX1" s="2" t="n"/>
      <c r="GSY1" s="2" t="n"/>
      <c r="GSZ1" s="2" t="n"/>
      <c r="GTA1" s="2" t="n"/>
      <c r="GTB1" s="2" t="n"/>
      <c r="GTC1" s="2" t="n"/>
      <c r="GTD1" s="2" t="n"/>
      <c r="GTE1" s="2" t="n"/>
      <c r="GTF1" s="2" t="n"/>
      <c r="GTG1" s="2" t="n"/>
      <c r="GTH1" s="2" t="n"/>
      <c r="GTI1" s="2" t="n"/>
      <c r="GTJ1" s="2" t="n"/>
      <c r="GTK1" s="2" t="n"/>
      <c r="GTL1" s="2" t="n"/>
      <c r="GTM1" s="2" t="n"/>
      <c r="GTN1" s="2" t="n"/>
      <c r="GTO1" s="2" t="n"/>
      <c r="GTP1" s="2" t="n"/>
      <c r="GTQ1" s="2" t="n"/>
      <c r="GTR1" s="2" t="n"/>
      <c r="GTS1" s="2" t="n"/>
      <c r="GTT1" s="2" t="n"/>
      <c r="GTU1" s="2" t="n"/>
      <c r="GTV1" s="2" t="n"/>
      <c r="GTW1" s="2" t="n"/>
      <c r="GTX1" s="2" t="n"/>
      <c r="GTY1" s="2" t="n"/>
      <c r="GTZ1" s="2" t="n"/>
      <c r="GUA1" s="2" t="n"/>
      <c r="GUB1" s="2" t="n"/>
      <c r="GUC1" s="2" t="n"/>
      <c r="GUD1" s="2" t="n"/>
      <c r="GUE1" s="2" t="n"/>
      <c r="GUF1" s="2" t="n"/>
      <c r="GUG1" s="2" t="n"/>
      <c r="GUH1" s="2" t="n"/>
      <c r="GUI1" s="2" t="n"/>
      <c r="GUJ1" s="2" t="n"/>
      <c r="GUK1" s="2" t="n"/>
      <c r="GUL1" s="2" t="n"/>
      <c r="GUM1" s="2" t="n"/>
      <c r="GUN1" s="2" t="n"/>
      <c r="GUO1" s="2" t="n"/>
      <c r="GUP1" s="2" t="n"/>
      <c r="GUQ1" s="2" t="n"/>
      <c r="GUR1" s="2" t="n"/>
      <c r="GUS1" s="2" t="n"/>
      <c r="GUT1" s="2" t="n"/>
      <c r="GUU1" s="2" t="n"/>
      <c r="GUV1" s="2" t="n"/>
      <c r="GUW1" s="2" t="n"/>
      <c r="GUX1" s="2" t="n"/>
      <c r="GUY1" s="2" t="n"/>
      <c r="GUZ1" s="2" t="n"/>
      <c r="GVA1" s="2" t="n"/>
      <c r="GVB1" s="2" t="n"/>
      <c r="GVC1" s="2" t="n"/>
      <c r="GVD1" s="2" t="n"/>
      <c r="GVE1" s="2" t="n"/>
      <c r="GVF1" s="2" t="n"/>
      <c r="GVG1" s="2" t="n"/>
      <c r="GVH1" s="2" t="n"/>
      <c r="GVI1" s="2" t="n"/>
      <c r="GVJ1" s="2" t="n"/>
      <c r="GVK1" s="2" t="n"/>
      <c r="GVL1" s="2" t="n"/>
      <c r="GVM1" s="2" t="n"/>
      <c r="GVN1" s="2" t="n"/>
      <c r="GVO1" s="2" t="n"/>
      <c r="GVP1" s="2" t="n"/>
      <c r="GVQ1" s="2" t="n"/>
      <c r="GVR1" s="2" t="n"/>
      <c r="GVS1" s="2" t="n"/>
      <c r="GVT1" s="2" t="n"/>
      <c r="GVU1" s="2" t="n"/>
      <c r="GVV1" s="2" t="n"/>
      <c r="GVW1" s="2" t="n"/>
      <c r="GVX1" s="2" t="n"/>
      <c r="GVY1" s="2" t="n"/>
      <c r="GVZ1" s="2" t="n"/>
      <c r="GWA1" s="2" t="n"/>
      <c r="GWB1" s="2" t="n"/>
      <c r="GWC1" s="2" t="n"/>
      <c r="GWD1" s="2" t="n"/>
      <c r="GWE1" s="2" t="n"/>
      <c r="GWF1" s="2" t="n"/>
      <c r="GWG1" s="2" t="n"/>
      <c r="GWH1" s="2" t="n"/>
      <c r="GWI1" s="2" t="n"/>
      <c r="GWJ1" s="2" t="n"/>
      <c r="GWK1" s="2" t="n"/>
      <c r="GWL1" s="2" t="n"/>
      <c r="GWM1" s="2" t="n"/>
      <c r="GWN1" s="2" t="n"/>
      <c r="GWO1" s="2" t="n"/>
      <c r="GWP1" s="2" t="n"/>
      <c r="GWQ1" s="2" t="n"/>
      <c r="GWR1" s="2" t="n"/>
      <c r="GWS1" s="2" t="n"/>
      <c r="GWT1" s="2" t="n"/>
      <c r="GWU1" s="2" t="n"/>
      <c r="GWV1" s="2" t="n"/>
      <c r="GWW1" s="2" t="n"/>
      <c r="GWX1" s="2" t="n"/>
      <c r="GWY1" s="2" t="n"/>
      <c r="GWZ1" s="2" t="n"/>
      <c r="GXA1" s="2" t="n"/>
      <c r="GXB1" s="2" t="n"/>
      <c r="GXC1" s="2" t="n"/>
      <c r="GXD1" s="2" t="n"/>
      <c r="GXE1" s="2" t="n"/>
      <c r="GXF1" s="2" t="n"/>
      <c r="GXG1" s="2" t="n"/>
      <c r="GXH1" s="2" t="n"/>
      <c r="GXI1" s="2" t="n"/>
      <c r="GXJ1" s="2" t="n"/>
      <c r="GXK1" s="2" t="n"/>
      <c r="GXL1" s="2" t="n"/>
      <c r="GXM1" s="2" t="n"/>
      <c r="GXN1" s="2" t="n"/>
      <c r="GXO1" s="2" t="n"/>
      <c r="GXP1" s="2" t="n"/>
      <c r="GXQ1" s="2" t="n"/>
      <c r="GXR1" s="2" t="n"/>
      <c r="GXS1" s="2" t="n"/>
      <c r="GXT1" s="2" t="n"/>
      <c r="GXU1" s="2" t="n"/>
      <c r="GXV1" s="2" t="n"/>
      <c r="GXW1" s="2" t="n"/>
      <c r="GXX1" s="2" t="n"/>
      <c r="GXY1" s="2" t="n"/>
      <c r="GXZ1" s="2" t="n"/>
      <c r="GYA1" s="2" t="n"/>
      <c r="GYB1" s="2" t="n"/>
      <c r="GYC1" s="2" t="n"/>
      <c r="GYD1" s="2" t="n"/>
      <c r="GYE1" s="2" t="n"/>
      <c r="GYF1" s="2" t="n"/>
      <c r="GYG1" s="2" t="n"/>
      <c r="GYH1" s="2" t="n"/>
      <c r="GYI1" s="2" t="n"/>
      <c r="GYJ1" s="2" t="n"/>
      <c r="GYK1" s="2" t="n"/>
      <c r="GYL1" s="2" t="n"/>
      <c r="GYM1" s="2" t="n"/>
      <c r="GYN1" s="2" t="n"/>
      <c r="GYO1" s="2" t="n"/>
      <c r="GYP1" s="2" t="n"/>
      <c r="GYQ1" s="2" t="n"/>
      <c r="GYR1" s="2" t="n"/>
      <c r="GYS1" s="2" t="n"/>
      <c r="GYT1" s="2" t="n"/>
      <c r="GYU1" s="2" t="n"/>
      <c r="GYV1" s="2" t="n"/>
      <c r="GYW1" s="2" t="n"/>
      <c r="GYX1" s="2" t="n"/>
      <c r="GYY1" s="2" t="n"/>
      <c r="GYZ1" s="2" t="n"/>
      <c r="GZA1" s="2" t="n"/>
      <c r="GZB1" s="2" t="n"/>
      <c r="GZC1" s="2" t="n"/>
      <c r="GZD1" s="2" t="n"/>
      <c r="GZE1" s="2" t="n"/>
      <c r="GZF1" s="2" t="n"/>
      <c r="GZG1" s="2" t="n"/>
      <c r="GZH1" s="2" t="n"/>
      <c r="GZI1" s="2" t="n"/>
      <c r="GZJ1" s="2" t="n"/>
      <c r="GZK1" s="2" t="n"/>
      <c r="GZL1" s="2" t="n"/>
      <c r="GZM1" s="2" t="n"/>
      <c r="GZN1" s="2" t="n"/>
      <c r="GZO1" s="2" t="n"/>
      <c r="GZP1" s="2" t="n"/>
      <c r="GZQ1" s="2" t="n"/>
      <c r="GZR1" s="2" t="n"/>
      <c r="GZS1" s="2" t="n"/>
      <c r="GZT1" s="2" t="n"/>
      <c r="GZU1" s="2" t="n"/>
      <c r="GZV1" s="2" t="n"/>
      <c r="GZW1" s="2" t="n"/>
      <c r="GZX1" s="2" t="n"/>
      <c r="GZY1" s="2" t="n"/>
      <c r="GZZ1" s="2" t="n"/>
      <c r="HAA1" s="2" t="n"/>
      <c r="HAB1" s="2" t="n"/>
      <c r="HAC1" s="2" t="n"/>
      <c r="HAD1" s="2" t="n"/>
      <c r="HAE1" s="2" t="n"/>
      <c r="HAF1" s="2" t="n"/>
      <c r="HAG1" s="2" t="n"/>
      <c r="HAH1" s="2" t="n"/>
      <c r="HAI1" s="2" t="n"/>
      <c r="HAJ1" s="2" t="n"/>
      <c r="HAK1" s="2" t="n"/>
      <c r="HAL1" s="2" t="n"/>
      <c r="HAM1" s="2" t="n"/>
      <c r="HAN1" s="2" t="n"/>
      <c r="HAO1" s="2" t="n"/>
      <c r="HAP1" s="2" t="n"/>
      <c r="HAQ1" s="2" t="n"/>
      <c r="HAR1" s="2" t="n"/>
      <c r="HAS1" s="2" t="n"/>
      <c r="HAT1" s="2" t="n"/>
      <c r="HAU1" s="2" t="n"/>
      <c r="HAV1" s="2" t="n"/>
      <c r="HAW1" s="2" t="n"/>
      <c r="HAX1" s="2" t="n"/>
      <c r="HAY1" s="2" t="n"/>
      <c r="HAZ1" s="2" t="n"/>
      <c r="HBA1" s="2" t="n"/>
      <c r="HBB1" s="2" t="n"/>
      <c r="HBC1" s="2" t="n"/>
      <c r="HBD1" s="2" t="n"/>
      <c r="HBE1" s="2" t="n"/>
      <c r="HBF1" s="2" t="n"/>
      <c r="HBG1" s="2" t="n"/>
      <c r="HBH1" s="2" t="n"/>
      <c r="HBI1" s="2" t="n"/>
      <c r="HBJ1" s="2" t="n"/>
      <c r="HBK1" s="2" t="n"/>
      <c r="HBL1" s="2" t="n"/>
      <c r="HBM1" s="2" t="n"/>
      <c r="HBN1" s="2" t="n"/>
      <c r="HBO1" s="2" t="n"/>
      <c r="HBP1" s="2" t="n"/>
      <c r="HBQ1" s="2" t="n"/>
      <c r="HBR1" s="2" t="n"/>
      <c r="HBS1" s="2" t="n"/>
      <c r="HBT1" s="2" t="n"/>
      <c r="HBU1" s="2" t="n"/>
      <c r="HBV1" s="2" t="n"/>
      <c r="HBW1" s="2" t="n"/>
      <c r="HBX1" s="2" t="n"/>
      <c r="HBY1" s="2" t="n"/>
      <c r="HBZ1" s="2" t="n"/>
      <c r="HCA1" s="2" t="n"/>
      <c r="HCB1" s="2" t="n"/>
      <c r="HCC1" s="2" t="n"/>
      <c r="HCD1" s="2" t="n"/>
      <c r="HCE1" s="2" t="n"/>
      <c r="HCF1" s="2" t="n"/>
      <c r="HCG1" s="2" t="n"/>
      <c r="HCH1" s="2" t="n"/>
      <c r="HCI1" s="2" t="n"/>
      <c r="HCJ1" s="2" t="n"/>
      <c r="HCK1" s="2" t="n"/>
      <c r="HCL1" s="2" t="n"/>
      <c r="HCM1" s="2" t="n"/>
      <c r="HCN1" s="2" t="n"/>
      <c r="HCO1" s="2" t="n"/>
      <c r="HCP1" s="2" t="n"/>
      <c r="HCQ1" s="2" t="n"/>
      <c r="HCR1" s="2" t="n"/>
      <c r="HCS1" s="2" t="n"/>
      <c r="HCT1" s="2" t="n"/>
      <c r="HCU1" s="2" t="n"/>
      <c r="HCV1" s="2" t="n"/>
      <c r="HCW1" s="2" t="n"/>
      <c r="HCX1" s="2" t="n"/>
      <c r="HCY1" s="2" t="n"/>
      <c r="HCZ1" s="2" t="n"/>
      <c r="HDA1" s="2" t="n"/>
      <c r="HDB1" s="2" t="n"/>
      <c r="HDC1" s="2" t="n"/>
      <c r="HDD1" s="2" t="n"/>
      <c r="HDE1" s="2" t="n"/>
      <c r="HDF1" s="2" t="n"/>
      <c r="HDG1" s="2" t="n"/>
      <c r="HDH1" s="2" t="n"/>
      <c r="HDI1" s="2" t="n"/>
      <c r="HDJ1" s="2" t="n"/>
      <c r="HDK1" s="2" t="n"/>
      <c r="HDL1" s="2" t="n"/>
      <c r="HDM1" s="2" t="n"/>
      <c r="HDN1" s="2" t="n"/>
      <c r="HDO1" s="2" t="n"/>
      <c r="HDP1" s="2" t="n"/>
      <c r="HDQ1" s="2" t="n"/>
      <c r="HDR1" s="2" t="n"/>
      <c r="HDS1" s="2" t="n"/>
      <c r="HDT1" s="2" t="n"/>
      <c r="HDU1" s="2" t="n"/>
      <c r="HDV1" s="2" t="n"/>
      <c r="HDW1" s="2" t="n"/>
      <c r="HDX1" s="2" t="n"/>
      <c r="HDY1" s="2" t="n"/>
      <c r="HDZ1" s="2" t="n"/>
      <c r="HEA1" s="2" t="n"/>
      <c r="HEB1" s="2" t="n"/>
      <c r="HEC1" s="2" t="n"/>
      <c r="HED1" s="2" t="n"/>
      <c r="HEE1" s="2" t="n"/>
      <c r="HEF1" s="2" t="n"/>
      <c r="HEG1" s="2" t="n"/>
      <c r="HEH1" s="2" t="n"/>
      <c r="HEI1" s="2" t="n"/>
      <c r="HEJ1" s="2" t="n"/>
      <c r="HEK1" s="2" t="n"/>
      <c r="HEL1" s="2" t="n"/>
      <c r="HEM1" s="2" t="n"/>
      <c r="HEN1" s="2" t="n"/>
      <c r="HEO1" s="2" t="n"/>
      <c r="HEP1" s="2" t="n"/>
      <c r="HEQ1" s="2" t="n"/>
      <c r="HER1" s="2" t="n"/>
      <c r="HES1" s="2" t="n"/>
      <c r="HET1" s="2" t="n"/>
      <c r="HEU1" s="2" t="n"/>
      <c r="HEV1" s="2" t="n"/>
      <c r="HEW1" s="2" t="n"/>
      <c r="HEX1" s="2" t="n"/>
      <c r="HEY1" s="2" t="n"/>
      <c r="HEZ1" s="2" t="n"/>
      <c r="HFA1" s="2" t="n"/>
      <c r="HFB1" s="2" t="n"/>
      <c r="HFC1" s="2" t="n"/>
      <c r="HFD1" s="2" t="n"/>
      <c r="HFE1" s="2" t="n"/>
      <c r="HFF1" s="2" t="n"/>
      <c r="HFG1" s="2" t="n"/>
      <c r="HFH1" s="2" t="n"/>
      <c r="HFI1" s="2" t="n"/>
      <c r="HFJ1" s="2" t="n"/>
      <c r="HFK1" s="2" t="n"/>
      <c r="HFL1" s="2" t="n"/>
      <c r="HFM1" s="2" t="n"/>
      <c r="HFN1" s="2" t="n"/>
      <c r="HFO1" s="2" t="n"/>
      <c r="HFP1" s="2" t="n"/>
      <c r="HFQ1" s="2" t="n"/>
      <c r="HFR1" s="2" t="n"/>
      <c r="HFS1" s="2" t="n"/>
      <c r="HFT1" s="2" t="n"/>
      <c r="HFU1" s="2" t="n"/>
      <c r="HFV1" s="2" t="n"/>
      <c r="HFW1" s="2" t="n"/>
      <c r="HFX1" s="2" t="n"/>
      <c r="HFY1" s="2" t="n"/>
      <c r="HFZ1" s="2" t="n"/>
      <c r="HGA1" s="2" t="n"/>
      <c r="HGB1" s="2" t="n"/>
      <c r="HGC1" s="2" t="n"/>
      <c r="HGD1" s="2" t="n"/>
      <c r="HGE1" s="2" t="n"/>
      <c r="HGF1" s="2" t="n"/>
      <c r="HGG1" s="2" t="n"/>
      <c r="HGH1" s="2" t="n"/>
      <c r="HGI1" s="2" t="n"/>
      <c r="HGJ1" s="2" t="n"/>
      <c r="HGK1" s="2" t="n"/>
      <c r="HGL1" s="2" t="n"/>
      <c r="HGM1" s="2" t="n"/>
      <c r="HGN1" s="2" t="n"/>
      <c r="HGO1" s="2" t="n"/>
      <c r="HGP1" s="2" t="n"/>
      <c r="HGQ1" s="2" t="n"/>
      <c r="HGR1" s="2" t="n"/>
      <c r="HGS1" s="2" t="n"/>
      <c r="HGT1" s="2" t="n"/>
      <c r="HGU1" s="2" t="n"/>
      <c r="HGV1" s="2" t="n"/>
      <c r="HGW1" s="2" t="n"/>
      <c r="HGX1" s="2" t="n"/>
      <c r="HGY1" s="2" t="n"/>
      <c r="HGZ1" s="2" t="n"/>
      <c r="HHA1" s="2" t="n"/>
      <c r="HHB1" s="2" t="n"/>
      <c r="HHC1" s="2" t="n"/>
      <c r="HHD1" s="2" t="n"/>
      <c r="HHE1" s="2" t="n"/>
      <c r="HHF1" s="2" t="n"/>
      <c r="HHG1" s="2" t="n"/>
      <c r="HHH1" s="2" t="n"/>
      <c r="HHI1" s="2" t="n"/>
      <c r="HHJ1" s="2" t="n"/>
      <c r="HHK1" s="2" t="n"/>
      <c r="HHL1" s="2" t="n"/>
      <c r="HHM1" s="2" t="n"/>
      <c r="HHN1" s="2" t="n"/>
      <c r="HHO1" s="2" t="n"/>
      <c r="HHP1" s="2" t="n"/>
      <c r="HHQ1" s="2" t="n"/>
      <c r="HHR1" s="2" t="n"/>
      <c r="HHS1" s="2" t="n"/>
      <c r="HHT1" s="2" t="n"/>
      <c r="HHU1" s="2" t="n"/>
      <c r="HHV1" s="2" t="n"/>
      <c r="HHW1" s="2" t="n"/>
      <c r="HHX1" s="2" t="n"/>
      <c r="HHY1" s="2" t="n"/>
      <c r="HHZ1" s="2" t="n"/>
      <c r="HIA1" s="2" t="n"/>
      <c r="HIB1" s="2" t="n"/>
      <c r="HIC1" s="2" t="n"/>
      <c r="HID1" s="2" t="n"/>
      <c r="HIE1" s="2" t="n"/>
      <c r="HIF1" s="2" t="n"/>
      <c r="HIG1" s="2" t="n"/>
      <c r="HIH1" s="2" t="n"/>
      <c r="HII1" s="2" t="n"/>
      <c r="HIJ1" s="2" t="n"/>
      <c r="HIK1" s="2" t="n"/>
      <c r="HIL1" s="2" t="n"/>
      <c r="HIM1" s="2" t="n"/>
      <c r="HIN1" s="2" t="n"/>
      <c r="HIO1" s="2" t="n"/>
      <c r="HIP1" s="2" t="n"/>
      <c r="HIQ1" s="2" t="n"/>
      <c r="HIR1" s="2" t="n"/>
      <c r="HIS1" s="2" t="n"/>
      <c r="HIT1" s="2" t="n"/>
      <c r="HIU1" s="2" t="n"/>
      <c r="HIV1" s="2" t="n"/>
      <c r="HIW1" s="2" t="n"/>
      <c r="HIX1" s="2" t="n"/>
      <c r="HIY1" s="2" t="n"/>
      <c r="HIZ1" s="2" t="n"/>
      <c r="HJA1" s="2" t="n"/>
      <c r="HJB1" s="2" t="n"/>
      <c r="HJC1" s="2" t="n"/>
      <c r="HJD1" s="2" t="n"/>
      <c r="HJE1" s="2" t="n"/>
      <c r="HJF1" s="2" t="n"/>
      <c r="HJG1" s="2" t="n"/>
      <c r="HJH1" s="2" t="n"/>
      <c r="HJI1" s="2" t="n"/>
      <c r="HJJ1" s="2" t="n"/>
      <c r="HJK1" s="2" t="n"/>
      <c r="HJL1" s="2" t="n"/>
      <c r="HJM1" s="2" t="n"/>
      <c r="HJN1" s="2" t="n"/>
      <c r="HJO1" s="2" t="n"/>
      <c r="HJP1" s="2" t="n"/>
      <c r="HJQ1" s="2" t="n"/>
      <c r="HJR1" s="2" t="n"/>
      <c r="HJS1" s="2" t="n"/>
      <c r="HJT1" s="2" t="n"/>
      <c r="HJU1" s="2" t="n"/>
      <c r="HJV1" s="2" t="n"/>
      <c r="HJW1" s="2" t="n"/>
      <c r="HJX1" s="2" t="n"/>
      <c r="HJY1" s="2" t="n"/>
      <c r="HJZ1" s="2" t="n"/>
      <c r="HKA1" s="2" t="n"/>
      <c r="HKB1" s="2" t="n"/>
      <c r="HKC1" s="2" t="n"/>
      <c r="HKD1" s="2" t="n"/>
      <c r="HKE1" s="2" t="n"/>
      <c r="HKF1" s="2" t="n"/>
      <c r="HKG1" s="2" t="n"/>
      <c r="HKH1" s="2" t="n"/>
      <c r="HKI1" s="2" t="n"/>
      <c r="HKJ1" s="2" t="n"/>
      <c r="HKK1" s="2" t="n"/>
      <c r="HKL1" s="2" t="n"/>
      <c r="HKM1" s="2" t="n"/>
      <c r="HKN1" s="2" t="n"/>
      <c r="HKO1" s="2" t="n"/>
      <c r="HKP1" s="2" t="n"/>
      <c r="HKQ1" s="2" t="n"/>
      <c r="HKR1" s="2" t="n"/>
      <c r="HKS1" s="2" t="n"/>
      <c r="HKT1" s="2" t="n"/>
      <c r="HKU1" s="2" t="n"/>
      <c r="HKV1" s="2" t="n"/>
      <c r="HKW1" s="2" t="n"/>
      <c r="HKX1" s="2" t="n"/>
      <c r="HKY1" s="2" t="n"/>
      <c r="HKZ1" s="2" t="n"/>
      <c r="HLA1" s="2" t="n"/>
      <c r="HLB1" s="2" t="n"/>
      <c r="HLC1" s="2" t="n"/>
      <c r="HLD1" s="2" t="n"/>
      <c r="HLE1" s="2" t="n"/>
      <c r="HLF1" s="2" t="n"/>
      <c r="HLG1" s="2" t="n"/>
      <c r="HLH1" s="2" t="n"/>
      <c r="HLI1" s="2" t="n"/>
      <c r="HLJ1" s="2" t="n"/>
      <c r="HLK1" s="2" t="n"/>
      <c r="HLL1" s="2" t="n"/>
      <c r="HLM1" s="2" t="n"/>
      <c r="HLN1" s="2" t="n"/>
      <c r="HLO1" s="2" t="n"/>
      <c r="HLP1" s="2" t="n"/>
      <c r="HLQ1" s="2" t="n"/>
      <c r="HLR1" s="2" t="n"/>
      <c r="HLS1" s="2" t="n"/>
      <c r="HLT1" s="2" t="n"/>
      <c r="HLU1" s="2" t="n"/>
      <c r="HLV1" s="2" t="n"/>
      <c r="HLW1" s="2" t="n"/>
      <c r="HLX1" s="2" t="n"/>
      <c r="HLY1" s="2" t="n"/>
      <c r="HLZ1" s="2" t="n"/>
      <c r="HMA1" s="2" t="n"/>
      <c r="HMB1" s="2" t="n"/>
      <c r="HMC1" s="2" t="n"/>
      <c r="HMD1" s="2" t="n"/>
      <c r="HME1" s="2" t="n"/>
      <c r="HMF1" s="2" t="n"/>
      <c r="HMG1" s="2" t="n"/>
      <c r="HMH1" s="2" t="n"/>
      <c r="HMI1" s="2" t="n"/>
      <c r="HMJ1" s="2" t="n"/>
      <c r="HMK1" s="2" t="n"/>
      <c r="HML1" s="2" t="n"/>
      <c r="HMM1" s="2" t="n"/>
      <c r="HMN1" s="2" t="n"/>
      <c r="HMO1" s="2" t="n"/>
      <c r="HMP1" s="2" t="n"/>
      <c r="HMQ1" s="2" t="n"/>
      <c r="HMR1" s="2" t="n"/>
      <c r="HMS1" s="2" t="n"/>
      <c r="HMT1" s="2" t="n"/>
      <c r="HMU1" s="2" t="n"/>
      <c r="HMV1" s="2" t="n"/>
      <c r="HMW1" s="2" t="n"/>
      <c r="HMX1" s="2" t="n"/>
      <c r="HMY1" s="2" t="n"/>
      <c r="HMZ1" s="2" t="n"/>
      <c r="HNA1" s="2" t="n"/>
      <c r="HNB1" s="2" t="n"/>
      <c r="HNC1" s="2" t="n"/>
      <c r="HND1" s="2" t="n"/>
      <c r="HNE1" s="2" t="n"/>
      <c r="HNF1" s="2" t="n"/>
      <c r="HNG1" s="2" t="n"/>
      <c r="HNH1" s="2" t="n"/>
      <c r="HNI1" s="2" t="n"/>
      <c r="HNJ1" s="2" t="n"/>
      <c r="HNK1" s="2" t="n"/>
      <c r="HNL1" s="2" t="n"/>
      <c r="HNM1" s="2" t="n"/>
      <c r="HNN1" s="2" t="n"/>
      <c r="HNO1" s="2" t="n"/>
      <c r="HNP1" s="2" t="n"/>
      <c r="HNQ1" s="2" t="n"/>
      <c r="HNR1" s="2" t="n"/>
      <c r="HNS1" s="2" t="n"/>
      <c r="HNT1" s="2" t="n"/>
      <c r="HNU1" s="2" t="n"/>
      <c r="HNV1" s="2" t="n"/>
      <c r="HNW1" s="2" t="n"/>
      <c r="HNX1" s="2" t="n"/>
      <c r="HNY1" s="2" t="n"/>
      <c r="HNZ1" s="2" t="n"/>
      <c r="HOA1" s="2" t="n"/>
      <c r="HOB1" s="2" t="n"/>
      <c r="HOC1" s="2" t="n"/>
      <c r="HOD1" s="2" t="n"/>
      <c r="HOE1" s="2" t="n"/>
      <c r="HOF1" s="2" t="n"/>
      <c r="HOG1" s="2" t="n"/>
      <c r="HOH1" s="2" t="n"/>
      <c r="HOI1" s="2" t="n"/>
      <c r="HOJ1" s="2" t="n"/>
      <c r="HOK1" s="2" t="n"/>
      <c r="HOL1" s="2" t="n"/>
      <c r="HOM1" s="2" t="n"/>
      <c r="HON1" s="2" t="n"/>
      <c r="HOO1" s="2" t="n"/>
      <c r="HOP1" s="2" t="n"/>
      <c r="HOQ1" s="2" t="n"/>
      <c r="HOR1" s="2" t="n"/>
      <c r="HOS1" s="2" t="n"/>
      <c r="HOT1" s="2" t="n"/>
      <c r="HOU1" s="2" t="n"/>
      <c r="HOV1" s="2" t="n"/>
      <c r="HOW1" s="2" t="n"/>
      <c r="HOX1" s="2" t="n"/>
      <c r="HOY1" s="2" t="n"/>
      <c r="HOZ1" s="2" t="n"/>
      <c r="HPA1" s="2" t="n"/>
      <c r="HPB1" s="2" t="n"/>
      <c r="HPC1" s="2" t="n"/>
      <c r="HPD1" s="2" t="n"/>
      <c r="HPE1" s="2" t="n"/>
      <c r="HPF1" s="2" t="n"/>
      <c r="HPG1" s="2" t="n"/>
      <c r="HPH1" s="2" t="n"/>
      <c r="HPI1" s="2" t="n"/>
      <c r="HPJ1" s="2" t="n"/>
      <c r="HPK1" s="2" t="n"/>
      <c r="HPL1" s="2" t="n"/>
      <c r="HPM1" s="2" t="n"/>
      <c r="HPN1" s="2" t="n"/>
      <c r="HPO1" s="2" t="n"/>
      <c r="HPP1" s="2" t="n"/>
      <c r="HPQ1" s="2" t="n"/>
      <c r="HPR1" s="2" t="n"/>
      <c r="HPS1" s="2" t="n"/>
      <c r="HPT1" s="2" t="n"/>
      <c r="HPU1" s="2" t="n"/>
      <c r="HPV1" s="2" t="n"/>
      <c r="HPW1" s="2" t="n"/>
      <c r="HPX1" s="2" t="n"/>
      <c r="HPY1" s="2" t="n"/>
      <c r="HPZ1" s="2" t="n"/>
      <c r="HQA1" s="2" t="n"/>
      <c r="HQB1" s="2" t="n"/>
      <c r="HQC1" s="2" t="n"/>
      <c r="HQD1" s="2" t="n"/>
      <c r="HQE1" s="2" t="n"/>
      <c r="HQF1" s="2" t="n"/>
      <c r="HQG1" s="2" t="n"/>
      <c r="HQH1" s="2" t="n"/>
      <c r="HQI1" s="2" t="n"/>
      <c r="HQJ1" s="2" t="n"/>
      <c r="HQK1" s="2" t="n"/>
      <c r="HQL1" s="2" t="n"/>
      <c r="HQM1" s="2" t="n"/>
      <c r="HQN1" s="2" t="n"/>
      <c r="HQO1" s="2" t="n"/>
      <c r="HQP1" s="2" t="n"/>
      <c r="HQQ1" s="2" t="n"/>
      <c r="HQR1" s="2" t="n"/>
      <c r="HQS1" s="2" t="n"/>
      <c r="HQT1" s="2" t="n"/>
      <c r="HQU1" s="2" t="n"/>
      <c r="HQV1" s="2" t="n"/>
      <c r="HQW1" s="2" t="n"/>
      <c r="HQX1" s="2" t="n"/>
      <c r="HQY1" s="2" t="n"/>
      <c r="HQZ1" s="2" t="n"/>
      <c r="HRA1" s="2" t="n"/>
      <c r="HRB1" s="2" t="n"/>
      <c r="HRC1" s="2" t="n"/>
      <c r="HRD1" s="2" t="n"/>
      <c r="HRE1" s="2" t="n"/>
      <c r="HRF1" s="2" t="n"/>
      <c r="HRG1" s="2" t="n"/>
      <c r="HRH1" s="2" t="n"/>
      <c r="HRI1" s="2" t="n"/>
      <c r="HRJ1" s="2" t="n"/>
      <c r="HRK1" s="2" t="n"/>
      <c r="HRL1" s="2" t="n"/>
      <c r="HRM1" s="2" t="n"/>
      <c r="HRN1" s="2" t="n"/>
      <c r="HRO1" s="2" t="n"/>
      <c r="HRP1" s="2" t="n"/>
      <c r="HRQ1" s="2" t="n"/>
      <c r="HRR1" s="2" t="n"/>
      <c r="HRS1" s="2" t="n"/>
      <c r="HRT1" s="2" t="n"/>
      <c r="HRU1" s="2" t="n"/>
      <c r="HRV1" s="2" t="n"/>
      <c r="HRW1" s="2" t="n"/>
      <c r="HRX1" s="2" t="n"/>
      <c r="HRY1" s="2" t="n"/>
      <c r="HRZ1" s="2" t="n"/>
      <c r="HSA1" s="2" t="n"/>
      <c r="HSB1" s="2" t="n"/>
      <c r="HSC1" s="2" t="n"/>
      <c r="HSD1" s="2" t="n"/>
      <c r="HSE1" s="2" t="n"/>
      <c r="HSF1" s="2" t="n"/>
      <c r="HSG1" s="2" t="n"/>
      <c r="HSH1" s="2" t="n"/>
      <c r="HSI1" s="2" t="n"/>
      <c r="HSJ1" s="2" t="n"/>
      <c r="HSK1" s="2" t="n"/>
      <c r="HSL1" s="2" t="n"/>
      <c r="HSM1" s="2" t="n"/>
      <c r="HSN1" s="2" t="n"/>
      <c r="HSO1" s="2" t="n"/>
      <c r="HSP1" s="2" t="n"/>
      <c r="HSQ1" s="2" t="n"/>
      <c r="HSR1" s="2" t="n"/>
      <c r="HSS1" s="2" t="n"/>
      <c r="HST1" s="2" t="n"/>
      <c r="HSU1" s="2" t="n"/>
      <c r="HSV1" s="2" t="n"/>
      <c r="HSW1" s="2" t="n"/>
      <c r="HSX1" s="2" t="n"/>
      <c r="HSY1" s="2" t="n"/>
      <c r="HSZ1" s="2" t="n"/>
      <c r="HTA1" s="2" t="n"/>
      <c r="HTB1" s="2" t="n"/>
      <c r="HTC1" s="2" t="n"/>
      <c r="HTD1" s="2" t="n"/>
      <c r="HTE1" s="2" t="n"/>
      <c r="HTF1" s="2" t="n"/>
      <c r="HTG1" s="2" t="n"/>
      <c r="HTH1" s="2" t="n"/>
      <c r="HTI1" s="2" t="n"/>
      <c r="HTJ1" s="2" t="n"/>
      <c r="HTK1" s="2" t="n"/>
      <c r="HTL1" s="2" t="n"/>
      <c r="HTM1" s="2" t="n"/>
      <c r="HTN1" s="2" t="n"/>
      <c r="HTO1" s="2" t="n"/>
      <c r="HTP1" s="2" t="n"/>
      <c r="HTQ1" s="2" t="n"/>
      <c r="HTR1" s="2" t="n"/>
      <c r="HTS1" s="2" t="n"/>
      <c r="HTT1" s="2" t="n"/>
      <c r="HTU1" s="2" t="n"/>
      <c r="HTV1" s="2" t="n"/>
      <c r="HTW1" s="2" t="n"/>
      <c r="HTX1" s="2" t="n"/>
      <c r="HTY1" s="2" t="n"/>
      <c r="HTZ1" s="2" t="n"/>
      <c r="HUA1" s="2" t="n"/>
      <c r="HUB1" s="2" t="n"/>
      <c r="HUC1" s="2" t="n"/>
      <c r="HUD1" s="2" t="n"/>
      <c r="HUE1" s="2" t="n"/>
      <c r="HUF1" s="2" t="n"/>
      <c r="HUG1" s="2" t="n"/>
      <c r="HUH1" s="2" t="n"/>
      <c r="HUI1" s="2" t="n"/>
      <c r="HUJ1" s="2" t="n"/>
      <c r="HUK1" s="2" t="n"/>
      <c r="HUL1" s="2" t="n"/>
      <c r="HUM1" s="2" t="n"/>
      <c r="HUN1" s="2" t="n"/>
      <c r="HUO1" s="2" t="n"/>
      <c r="HUP1" s="2" t="n"/>
      <c r="HUQ1" s="2" t="n"/>
      <c r="HUR1" s="2" t="n"/>
      <c r="HUS1" s="2" t="n"/>
      <c r="HUT1" s="2" t="n"/>
      <c r="HUU1" s="2" t="n"/>
      <c r="HUV1" s="2" t="n"/>
      <c r="HUW1" s="2" t="n"/>
      <c r="HUX1" s="2" t="n"/>
      <c r="HUY1" s="2" t="n"/>
      <c r="HUZ1" s="2" t="n"/>
      <c r="HVA1" s="2" t="n"/>
      <c r="HVB1" s="2" t="n"/>
      <c r="HVC1" s="2" t="n"/>
      <c r="HVD1" s="2" t="n"/>
      <c r="HVE1" s="2" t="n"/>
      <c r="HVF1" s="2" t="n"/>
      <c r="HVG1" s="2" t="n"/>
      <c r="HVH1" s="2" t="n"/>
      <c r="HVI1" s="2" t="n"/>
      <c r="HVJ1" s="2" t="n"/>
      <c r="HVK1" s="2" t="n"/>
      <c r="HVL1" s="2" t="n"/>
      <c r="HVM1" s="2" t="n"/>
      <c r="HVN1" s="2" t="n"/>
      <c r="HVO1" s="2" t="n"/>
      <c r="HVP1" s="2" t="n"/>
      <c r="HVQ1" s="2" t="n"/>
      <c r="HVR1" s="2" t="n"/>
      <c r="HVS1" s="2" t="n"/>
      <c r="HVT1" s="2" t="n"/>
      <c r="HVU1" s="2" t="n"/>
      <c r="HVV1" s="2" t="n"/>
      <c r="HVW1" s="2" t="n"/>
      <c r="HVX1" s="2" t="n"/>
      <c r="HVY1" s="2" t="n"/>
      <c r="HVZ1" s="2" t="n"/>
      <c r="HWA1" s="2" t="n"/>
      <c r="HWB1" s="2" t="n"/>
      <c r="HWC1" s="2" t="n"/>
      <c r="HWD1" s="2" t="n"/>
      <c r="HWE1" s="2" t="n"/>
      <c r="HWF1" s="2" t="n"/>
      <c r="HWG1" s="2" t="n"/>
      <c r="HWH1" s="2" t="n"/>
      <c r="HWI1" s="2" t="n"/>
      <c r="HWJ1" s="2" t="n"/>
      <c r="HWK1" s="2" t="n"/>
      <c r="HWL1" s="2" t="n"/>
      <c r="HWM1" s="2" t="n"/>
      <c r="HWN1" s="2" t="n"/>
      <c r="HWO1" s="2" t="n"/>
      <c r="HWP1" s="2" t="n"/>
      <c r="HWQ1" s="2" t="n"/>
      <c r="HWR1" s="2" t="n"/>
      <c r="HWS1" s="2" t="n"/>
      <c r="HWT1" s="2" t="n"/>
      <c r="HWU1" s="2" t="n"/>
      <c r="HWV1" s="2" t="n"/>
      <c r="HWW1" s="2" t="n"/>
      <c r="HWX1" s="2" t="n"/>
      <c r="HWY1" s="2" t="n"/>
      <c r="HWZ1" s="2" t="n"/>
      <c r="HXA1" s="2" t="n"/>
      <c r="HXB1" s="2" t="n"/>
      <c r="HXC1" s="2" t="n"/>
      <c r="HXD1" s="2" t="n"/>
      <c r="HXE1" s="2" t="n"/>
      <c r="HXF1" s="2" t="n"/>
      <c r="HXG1" s="2" t="n"/>
      <c r="HXH1" s="2" t="n"/>
      <c r="HXI1" s="2" t="n"/>
      <c r="HXJ1" s="2" t="n"/>
      <c r="HXK1" s="2" t="n"/>
      <c r="HXL1" s="2" t="n"/>
      <c r="HXM1" s="2" t="n"/>
      <c r="HXN1" s="2" t="n"/>
      <c r="HXO1" s="2" t="n"/>
      <c r="HXP1" s="2" t="n"/>
      <c r="HXQ1" s="2" t="n"/>
      <c r="HXR1" s="2" t="n"/>
      <c r="HXS1" s="2" t="n"/>
      <c r="HXT1" s="2" t="n"/>
      <c r="HXU1" s="2" t="n"/>
      <c r="HXV1" s="2" t="n"/>
      <c r="HXW1" s="2" t="n"/>
      <c r="HXX1" s="2" t="n"/>
      <c r="HXY1" s="2" t="n"/>
      <c r="HXZ1" s="2" t="n"/>
      <c r="HYA1" s="2" t="n"/>
      <c r="HYB1" s="2" t="n"/>
      <c r="HYC1" s="2" t="n"/>
      <c r="HYD1" s="2" t="n"/>
      <c r="HYE1" s="2" t="n"/>
      <c r="HYF1" s="2" t="n"/>
      <c r="HYG1" s="2" t="n"/>
      <c r="HYH1" s="2" t="n"/>
      <c r="HYI1" s="2" t="n"/>
      <c r="HYJ1" s="2" t="n"/>
      <c r="HYK1" s="2" t="n"/>
      <c r="HYL1" s="2" t="n"/>
      <c r="HYM1" s="2" t="n"/>
      <c r="HYN1" s="2" t="n"/>
      <c r="HYO1" s="2" t="n"/>
      <c r="HYP1" s="2" t="n"/>
      <c r="HYQ1" s="2" t="n"/>
      <c r="HYR1" s="2" t="n"/>
      <c r="HYS1" s="2" t="n"/>
      <c r="HYT1" s="2" t="n"/>
      <c r="HYU1" s="2" t="n"/>
      <c r="HYV1" s="2" t="n"/>
      <c r="HYW1" s="2" t="n"/>
      <c r="HYX1" s="2" t="n"/>
      <c r="HYY1" s="2" t="n"/>
      <c r="HYZ1" s="2" t="n"/>
      <c r="HZA1" s="2" t="n"/>
      <c r="HZB1" s="2" t="n"/>
      <c r="HZC1" s="2" t="n"/>
      <c r="HZD1" s="2" t="n"/>
      <c r="HZE1" s="2" t="n"/>
      <c r="HZF1" s="2" t="n"/>
      <c r="HZG1" s="2" t="n"/>
      <c r="HZH1" s="2" t="n"/>
      <c r="HZI1" s="2" t="n"/>
      <c r="HZJ1" s="2" t="n"/>
      <c r="HZK1" s="2" t="n"/>
      <c r="HZL1" s="2" t="n"/>
      <c r="HZM1" s="2" t="n"/>
      <c r="HZN1" s="2" t="n"/>
      <c r="HZO1" s="2" t="n"/>
      <c r="HZP1" s="2" t="n"/>
      <c r="HZQ1" s="2" t="n"/>
      <c r="HZR1" s="2" t="n"/>
      <c r="HZS1" s="2" t="n"/>
      <c r="HZT1" s="2" t="n"/>
      <c r="HZU1" s="2" t="n"/>
      <c r="HZV1" s="2" t="n"/>
      <c r="HZW1" s="2" t="n"/>
      <c r="HZX1" s="2" t="n"/>
      <c r="HZY1" s="2" t="n"/>
      <c r="HZZ1" s="2" t="n"/>
      <c r="IAA1" s="2" t="n"/>
      <c r="IAB1" s="2" t="n"/>
      <c r="IAC1" s="2" t="n"/>
      <c r="IAD1" s="2" t="n"/>
      <c r="IAE1" s="2" t="n"/>
      <c r="IAF1" s="2" t="n"/>
      <c r="IAG1" s="2" t="n"/>
      <c r="IAH1" s="2" t="n"/>
      <c r="IAI1" s="2" t="n"/>
      <c r="IAJ1" s="2" t="n"/>
      <c r="IAK1" s="2" t="n"/>
      <c r="IAL1" s="2" t="n"/>
      <c r="IAM1" s="2" t="n"/>
      <c r="IAN1" s="2" t="n"/>
      <c r="IAO1" s="2" t="n"/>
      <c r="IAP1" s="2" t="n"/>
      <c r="IAQ1" s="2" t="n"/>
      <c r="IAR1" s="2" t="n"/>
      <c r="IAS1" s="2" t="n"/>
      <c r="IAT1" s="2" t="n"/>
      <c r="IAU1" s="2" t="n"/>
      <c r="IAV1" s="2" t="n"/>
      <c r="IAW1" s="2" t="n"/>
      <c r="IAX1" s="2" t="n"/>
      <c r="IAY1" s="2" t="n"/>
      <c r="IAZ1" s="2" t="n"/>
      <c r="IBA1" s="2" t="n"/>
      <c r="IBB1" s="2" t="n"/>
      <c r="IBC1" s="2" t="n"/>
      <c r="IBD1" s="2" t="n"/>
      <c r="IBE1" s="2" t="n"/>
      <c r="IBF1" s="2" t="n"/>
      <c r="IBG1" s="2" t="n"/>
      <c r="IBH1" s="2" t="n"/>
      <c r="IBI1" s="2" t="n"/>
      <c r="IBJ1" s="2" t="n"/>
      <c r="IBK1" s="2" t="n"/>
      <c r="IBL1" s="2" t="n"/>
      <c r="IBM1" s="2" t="n"/>
      <c r="IBN1" s="2" t="n"/>
      <c r="IBO1" s="2" t="n"/>
      <c r="IBP1" s="2" t="n"/>
      <c r="IBQ1" s="2" t="n"/>
      <c r="IBR1" s="2" t="n"/>
      <c r="IBS1" s="2" t="n"/>
      <c r="IBT1" s="2" t="n"/>
      <c r="IBU1" s="2" t="n"/>
      <c r="IBV1" s="2" t="n"/>
      <c r="IBW1" s="2" t="n"/>
      <c r="IBX1" s="2" t="n"/>
      <c r="IBY1" s="2" t="n"/>
      <c r="IBZ1" s="2" t="n"/>
      <c r="ICA1" s="2" t="n"/>
      <c r="ICB1" s="2" t="n"/>
      <c r="ICC1" s="2" t="n"/>
      <c r="ICD1" s="2" t="n"/>
      <c r="ICE1" s="2" t="n"/>
      <c r="ICF1" s="2" t="n"/>
      <c r="ICG1" s="2" t="n"/>
      <c r="ICH1" s="2" t="n"/>
      <c r="ICI1" s="2" t="n"/>
      <c r="ICJ1" s="2" t="n"/>
      <c r="ICK1" s="2" t="n"/>
      <c r="ICL1" s="2" t="n"/>
      <c r="ICM1" s="2" t="n"/>
      <c r="ICN1" s="2" t="n"/>
      <c r="ICO1" s="2" t="n"/>
      <c r="ICP1" s="2" t="n"/>
      <c r="ICQ1" s="2" t="n"/>
      <c r="ICR1" s="2" t="n"/>
      <c r="ICS1" s="2" t="n"/>
      <c r="ICT1" s="2" t="n"/>
      <c r="ICU1" s="2" t="n"/>
      <c r="ICV1" s="2" t="n"/>
      <c r="ICW1" s="2" t="n"/>
      <c r="ICX1" s="2" t="n"/>
      <c r="ICY1" s="2" t="n"/>
      <c r="ICZ1" s="2" t="n"/>
      <c r="IDA1" s="2" t="n"/>
      <c r="IDB1" s="2" t="n"/>
      <c r="IDC1" s="2" t="n"/>
      <c r="IDD1" s="2" t="n"/>
      <c r="IDE1" s="2" t="n"/>
      <c r="IDF1" s="2" t="n"/>
      <c r="IDG1" s="2" t="n"/>
      <c r="IDH1" s="2" t="n"/>
      <c r="IDI1" s="2" t="n"/>
      <c r="IDJ1" s="2" t="n"/>
      <c r="IDK1" s="2" t="n"/>
      <c r="IDL1" s="2" t="n"/>
      <c r="IDM1" s="2" t="n"/>
      <c r="IDN1" s="2" t="n"/>
      <c r="IDO1" s="2" t="n"/>
      <c r="IDP1" s="2" t="n"/>
      <c r="IDQ1" s="2" t="n"/>
      <c r="IDR1" s="2" t="n"/>
      <c r="IDS1" s="2" t="n"/>
      <c r="IDT1" s="2" t="n"/>
      <c r="IDU1" s="2" t="n"/>
      <c r="IDV1" s="2" t="n"/>
      <c r="IDW1" s="2" t="n"/>
      <c r="IDX1" s="2" t="n"/>
      <c r="IDY1" s="2" t="n"/>
      <c r="IDZ1" s="2" t="n"/>
      <c r="IEA1" s="2" t="n"/>
      <c r="IEB1" s="2" t="n"/>
      <c r="IEC1" s="2" t="n"/>
      <c r="IED1" s="2" t="n"/>
      <c r="IEE1" s="2" t="n"/>
      <c r="IEF1" s="2" t="n"/>
      <c r="IEG1" s="2" t="n"/>
      <c r="IEH1" s="2" t="n"/>
      <c r="IEI1" s="2" t="n"/>
      <c r="IEJ1" s="2" t="n"/>
      <c r="IEK1" s="2" t="n"/>
      <c r="IEL1" s="2" t="n"/>
      <c r="IEM1" s="2" t="n"/>
      <c r="IEN1" s="2" t="n"/>
      <c r="IEO1" s="2" t="n"/>
      <c r="IEP1" s="2" t="n"/>
      <c r="IEQ1" s="2" t="n"/>
      <c r="IER1" s="2" t="n"/>
      <c r="IES1" s="2" t="n"/>
      <c r="IET1" s="2" t="n"/>
      <c r="IEU1" s="2" t="n"/>
      <c r="IEV1" s="2" t="n"/>
      <c r="IEW1" s="2" t="n"/>
      <c r="IEX1" s="2" t="n"/>
      <c r="IEY1" s="2" t="n"/>
      <c r="IEZ1" s="2" t="n"/>
      <c r="IFA1" s="2" t="n"/>
      <c r="IFB1" s="2" t="n"/>
      <c r="IFC1" s="2" t="n"/>
      <c r="IFD1" s="2" t="n"/>
      <c r="IFE1" s="2" t="n"/>
      <c r="IFF1" s="2" t="n"/>
      <c r="IFG1" s="2" t="n"/>
      <c r="IFH1" s="2" t="n"/>
      <c r="IFI1" s="2" t="n"/>
      <c r="IFJ1" s="2" t="n"/>
      <c r="IFK1" s="2" t="n"/>
      <c r="IFL1" s="2" t="n"/>
      <c r="IFM1" s="2" t="n"/>
      <c r="IFN1" s="2" t="n"/>
      <c r="IFO1" s="2" t="n"/>
      <c r="IFP1" s="2" t="n"/>
      <c r="IFQ1" s="2" t="n"/>
      <c r="IFR1" s="2" t="n"/>
      <c r="IFS1" s="2" t="n"/>
      <c r="IFT1" s="2" t="n"/>
      <c r="IFU1" s="2" t="n"/>
      <c r="IFV1" s="2" t="n"/>
      <c r="IFW1" s="2" t="n"/>
      <c r="IFX1" s="2" t="n"/>
      <c r="IFY1" s="2" t="n"/>
      <c r="IFZ1" s="2" t="n"/>
      <c r="IGA1" s="2" t="n"/>
      <c r="IGB1" s="2" t="n"/>
      <c r="IGC1" s="2" t="n"/>
      <c r="IGD1" s="2" t="n"/>
      <c r="IGE1" s="2" t="n"/>
      <c r="IGF1" s="2" t="n"/>
      <c r="IGG1" s="2" t="n"/>
      <c r="IGH1" s="2" t="n"/>
      <c r="IGI1" s="2" t="n"/>
      <c r="IGJ1" s="2" t="n"/>
      <c r="IGK1" s="2" t="n"/>
      <c r="IGL1" s="2" t="n"/>
      <c r="IGM1" s="2" t="n"/>
      <c r="IGN1" s="2" t="n"/>
      <c r="IGO1" s="2" t="n"/>
      <c r="IGP1" s="2" t="n"/>
      <c r="IGQ1" s="2" t="n"/>
      <c r="IGR1" s="2" t="n"/>
      <c r="IGS1" s="2" t="n"/>
      <c r="IGT1" s="2" t="n"/>
      <c r="IGU1" s="2" t="n"/>
      <c r="IGV1" s="2" t="n"/>
      <c r="IGW1" s="2" t="n"/>
      <c r="IGX1" s="2" t="n"/>
      <c r="IGY1" s="2" t="n"/>
      <c r="IGZ1" s="2" t="n"/>
      <c r="IHA1" s="2" t="n"/>
      <c r="IHB1" s="2" t="n"/>
      <c r="IHC1" s="2" t="n"/>
      <c r="IHD1" s="2" t="n"/>
      <c r="IHE1" s="2" t="n"/>
      <c r="IHF1" s="2" t="n"/>
      <c r="IHG1" s="2" t="n"/>
      <c r="IHH1" s="2" t="n"/>
      <c r="IHI1" s="2" t="n"/>
      <c r="IHJ1" s="2" t="n"/>
      <c r="IHK1" s="2" t="n"/>
      <c r="IHL1" s="2" t="n"/>
      <c r="IHM1" s="2" t="n"/>
      <c r="IHN1" s="2" t="n"/>
      <c r="IHO1" s="2" t="n"/>
      <c r="IHP1" s="2" t="n"/>
      <c r="IHQ1" s="2" t="n"/>
      <c r="IHR1" s="2" t="n"/>
      <c r="IHS1" s="2" t="n"/>
      <c r="IHT1" s="2" t="n"/>
      <c r="IHU1" s="2" t="n"/>
      <c r="IHV1" s="2" t="n"/>
      <c r="IHW1" s="2" t="n"/>
      <c r="IHX1" s="2" t="n"/>
      <c r="IHY1" s="2" t="n"/>
      <c r="IHZ1" s="2" t="n"/>
      <c r="IIA1" s="2" t="n"/>
      <c r="IIB1" s="2" t="n"/>
      <c r="IIC1" s="2" t="n"/>
      <c r="IID1" s="2" t="n"/>
      <c r="IIE1" s="2" t="n"/>
      <c r="IIF1" s="2" t="n"/>
      <c r="IIG1" s="2" t="n"/>
      <c r="IIH1" s="2" t="n"/>
      <c r="III1" s="2" t="n"/>
      <c r="IIJ1" s="2" t="n"/>
      <c r="IIK1" s="2" t="n"/>
      <c r="IIL1" s="2" t="n"/>
      <c r="IIM1" s="2" t="n"/>
      <c r="IIN1" s="2" t="n"/>
      <c r="IIO1" s="2" t="n"/>
      <c r="IIP1" s="2" t="n"/>
      <c r="IIQ1" s="2" t="n"/>
      <c r="IIR1" s="2" t="n"/>
      <c r="IIS1" s="2" t="n"/>
      <c r="IIT1" s="2" t="n"/>
      <c r="IIU1" s="2" t="n"/>
      <c r="IIV1" s="2" t="n"/>
      <c r="IIW1" s="2" t="n"/>
      <c r="IIX1" s="2" t="n"/>
      <c r="IIY1" s="2" t="n"/>
      <c r="IIZ1" s="2" t="n"/>
      <c r="IJA1" s="2" t="n"/>
      <c r="IJB1" s="2" t="n"/>
      <c r="IJC1" s="2" t="n"/>
      <c r="IJD1" s="2" t="n"/>
      <c r="IJE1" s="2" t="n"/>
      <c r="IJF1" s="2" t="n"/>
      <c r="IJG1" s="2" t="n"/>
      <c r="IJH1" s="2" t="n"/>
      <c r="IJI1" s="2" t="n"/>
      <c r="IJJ1" s="2" t="n"/>
      <c r="IJK1" s="2" t="n"/>
      <c r="IJL1" s="2" t="n"/>
      <c r="IJM1" s="2" t="n"/>
      <c r="IJN1" s="2" t="n"/>
      <c r="IJO1" s="2" t="n"/>
      <c r="IJP1" s="2" t="n"/>
      <c r="IJQ1" s="2" t="n"/>
      <c r="IJR1" s="2" t="n"/>
      <c r="IJS1" s="2" t="n"/>
      <c r="IJT1" s="2" t="n"/>
      <c r="IJU1" s="2" t="n"/>
      <c r="IJV1" s="2" t="n"/>
      <c r="IJW1" s="2" t="n"/>
      <c r="IJX1" s="2" t="n"/>
      <c r="IJY1" s="2" t="n"/>
      <c r="IJZ1" s="2" t="n"/>
      <c r="IKA1" s="2" t="n"/>
      <c r="IKB1" s="2" t="n"/>
      <c r="IKC1" s="2" t="n"/>
      <c r="IKD1" s="2" t="n"/>
      <c r="IKE1" s="2" t="n"/>
      <c r="IKF1" s="2" t="n"/>
      <c r="IKG1" s="2" t="n"/>
      <c r="IKH1" s="2" t="n"/>
      <c r="IKI1" s="2" t="n"/>
      <c r="IKJ1" s="2" t="n"/>
      <c r="IKK1" s="2" t="n"/>
      <c r="IKL1" s="2" t="n"/>
      <c r="IKM1" s="2" t="n"/>
      <c r="IKN1" s="2" t="n"/>
      <c r="IKO1" s="2" t="n"/>
      <c r="IKP1" s="2" t="n"/>
      <c r="IKQ1" s="2" t="n"/>
      <c r="IKR1" s="2" t="n"/>
      <c r="IKS1" s="2" t="n"/>
      <c r="IKT1" s="2" t="n"/>
      <c r="IKU1" s="2" t="n"/>
      <c r="IKV1" s="2" t="n"/>
      <c r="IKW1" s="2" t="n"/>
      <c r="IKX1" s="2" t="n"/>
      <c r="IKY1" s="2" t="n"/>
      <c r="IKZ1" s="2" t="n"/>
      <c r="ILA1" s="2" t="n"/>
      <c r="ILB1" s="2" t="n"/>
      <c r="ILC1" s="2" t="n"/>
      <c r="ILD1" s="2" t="n"/>
      <c r="ILE1" s="2" t="n"/>
      <c r="ILF1" s="2" t="n"/>
      <c r="ILG1" s="2" t="n"/>
      <c r="ILH1" s="2" t="n"/>
      <c r="ILI1" s="2" t="n"/>
      <c r="ILJ1" s="2" t="n"/>
      <c r="ILK1" s="2" t="n"/>
      <c r="ILL1" s="2" t="n"/>
      <c r="ILM1" s="2" t="n"/>
      <c r="ILN1" s="2" t="n"/>
      <c r="ILO1" s="2" t="n"/>
      <c r="ILP1" s="2" t="n"/>
      <c r="ILQ1" s="2" t="n"/>
      <c r="ILR1" s="2" t="n"/>
      <c r="ILS1" s="2" t="n"/>
      <c r="ILT1" s="2" t="n"/>
      <c r="ILU1" s="2" t="n"/>
      <c r="ILV1" s="2" t="n"/>
      <c r="ILW1" s="2" t="n"/>
      <c r="ILX1" s="2" t="n"/>
      <c r="ILY1" s="2" t="n"/>
      <c r="ILZ1" s="2" t="n"/>
      <c r="IMA1" s="2" t="n"/>
      <c r="IMB1" s="2" t="n"/>
      <c r="IMC1" s="2" t="n"/>
      <c r="IMD1" s="2" t="n"/>
      <c r="IME1" s="2" t="n"/>
      <c r="IMF1" s="2" t="n"/>
      <c r="IMG1" s="2" t="n"/>
      <c r="IMH1" s="2" t="n"/>
      <c r="IMI1" s="2" t="n"/>
      <c r="IMJ1" s="2" t="n"/>
      <c r="IMK1" s="2" t="n"/>
      <c r="IML1" s="2" t="n"/>
      <c r="IMM1" s="2" t="n"/>
      <c r="IMN1" s="2" t="n"/>
      <c r="IMO1" s="2" t="n"/>
      <c r="IMP1" s="2" t="n"/>
      <c r="IMQ1" s="2" t="n"/>
      <c r="IMR1" s="2" t="n"/>
      <c r="IMS1" s="2" t="n"/>
      <c r="IMT1" s="2" t="n"/>
      <c r="IMU1" s="2" t="n"/>
      <c r="IMV1" s="2" t="n"/>
      <c r="IMW1" s="2" t="n"/>
      <c r="IMX1" s="2" t="n"/>
      <c r="IMY1" s="2" t="n"/>
      <c r="IMZ1" s="2" t="n"/>
      <c r="INA1" s="2" t="n"/>
      <c r="INB1" s="2" t="n"/>
      <c r="INC1" s="2" t="n"/>
      <c r="IND1" s="2" t="n"/>
      <c r="INE1" s="2" t="n"/>
      <c r="INF1" s="2" t="n"/>
      <c r="ING1" s="2" t="n"/>
      <c r="INH1" s="2" t="n"/>
      <c r="INI1" s="2" t="n"/>
      <c r="INJ1" s="2" t="n"/>
      <c r="INK1" s="2" t="n"/>
      <c r="INL1" s="2" t="n"/>
      <c r="INM1" s="2" t="n"/>
      <c r="INN1" s="2" t="n"/>
      <c r="INO1" s="2" t="n"/>
      <c r="INP1" s="2" t="n"/>
      <c r="INQ1" s="2" t="n"/>
      <c r="INR1" s="2" t="n"/>
      <c r="INS1" s="2" t="n"/>
      <c r="INT1" s="2" t="n"/>
      <c r="INU1" s="2" t="n"/>
      <c r="INV1" s="2" t="n"/>
      <c r="INW1" s="2" t="n"/>
      <c r="INX1" s="2" t="n"/>
      <c r="INY1" s="2" t="n"/>
      <c r="INZ1" s="2" t="n"/>
      <c r="IOA1" s="2" t="n"/>
      <c r="IOB1" s="2" t="n"/>
      <c r="IOC1" s="2" t="n"/>
      <c r="IOD1" s="2" t="n"/>
      <c r="IOE1" s="2" t="n"/>
      <c r="IOF1" s="2" t="n"/>
      <c r="IOG1" s="2" t="n"/>
      <c r="IOH1" s="2" t="n"/>
      <c r="IOI1" s="2" t="n"/>
      <c r="IOJ1" s="2" t="n"/>
      <c r="IOK1" s="2" t="n"/>
      <c r="IOL1" s="2" t="n"/>
      <c r="IOM1" s="2" t="n"/>
      <c r="ION1" s="2" t="n"/>
      <c r="IOO1" s="2" t="n"/>
      <c r="IOP1" s="2" t="n"/>
      <c r="IOQ1" s="2" t="n"/>
      <c r="IOR1" s="2" t="n"/>
      <c r="IOS1" s="2" t="n"/>
      <c r="IOT1" s="2" t="n"/>
      <c r="IOU1" s="2" t="n"/>
      <c r="IOV1" s="2" t="n"/>
      <c r="IOW1" s="2" t="n"/>
      <c r="IOX1" s="2" t="n"/>
      <c r="IOY1" s="2" t="n"/>
      <c r="IOZ1" s="2" t="n"/>
      <c r="IPA1" s="2" t="n"/>
      <c r="IPB1" s="2" t="n"/>
      <c r="IPC1" s="2" t="n"/>
      <c r="IPD1" s="2" t="n"/>
      <c r="IPE1" s="2" t="n"/>
      <c r="IPF1" s="2" t="n"/>
      <c r="IPG1" s="2" t="n"/>
      <c r="IPH1" s="2" t="n"/>
      <c r="IPI1" s="2" t="n"/>
      <c r="IPJ1" s="2" t="n"/>
      <c r="IPK1" s="2" t="n"/>
      <c r="IPL1" s="2" t="n"/>
      <c r="IPM1" s="2" t="n"/>
      <c r="IPN1" s="2" t="n"/>
      <c r="IPO1" s="2" t="n"/>
      <c r="IPP1" s="2" t="n"/>
      <c r="IPQ1" s="2" t="n"/>
      <c r="IPR1" s="2" t="n"/>
      <c r="IPS1" s="2" t="n"/>
      <c r="IPT1" s="2" t="n"/>
      <c r="IPU1" s="2" t="n"/>
      <c r="IPV1" s="2" t="n"/>
      <c r="IPW1" s="2" t="n"/>
      <c r="IPX1" s="2" t="n"/>
      <c r="IPY1" s="2" t="n"/>
      <c r="IPZ1" s="2" t="n"/>
      <c r="IQA1" s="2" t="n"/>
      <c r="IQB1" s="2" t="n"/>
      <c r="IQC1" s="2" t="n"/>
      <c r="IQD1" s="2" t="n"/>
      <c r="IQE1" s="2" t="n"/>
      <c r="IQF1" s="2" t="n"/>
      <c r="IQG1" s="2" t="n"/>
      <c r="IQH1" s="2" t="n"/>
      <c r="IQI1" s="2" t="n"/>
      <c r="IQJ1" s="2" t="n"/>
      <c r="IQK1" s="2" t="n"/>
      <c r="IQL1" s="2" t="n"/>
      <c r="IQM1" s="2" t="n"/>
      <c r="IQN1" s="2" t="n"/>
      <c r="IQO1" s="2" t="n"/>
      <c r="IQP1" s="2" t="n"/>
      <c r="IQQ1" s="2" t="n"/>
      <c r="IQR1" s="2" t="n"/>
      <c r="IQS1" s="2" t="n"/>
      <c r="IQT1" s="2" t="n"/>
      <c r="IQU1" s="2" t="n"/>
      <c r="IQV1" s="2" t="n"/>
      <c r="IQW1" s="2" t="n"/>
      <c r="IQX1" s="2" t="n"/>
      <c r="IQY1" s="2" t="n"/>
      <c r="IQZ1" s="2" t="n"/>
      <c r="IRA1" s="2" t="n"/>
      <c r="IRB1" s="2" t="n"/>
      <c r="IRC1" s="2" t="n"/>
      <c r="IRD1" s="2" t="n"/>
      <c r="IRE1" s="2" t="n"/>
      <c r="IRF1" s="2" t="n"/>
      <c r="IRG1" s="2" t="n"/>
      <c r="IRH1" s="2" t="n"/>
      <c r="IRI1" s="2" t="n"/>
      <c r="IRJ1" s="2" t="n"/>
      <c r="IRK1" s="2" t="n"/>
      <c r="IRL1" s="2" t="n"/>
      <c r="IRM1" s="2" t="n"/>
      <c r="IRN1" s="2" t="n"/>
      <c r="IRO1" s="2" t="n"/>
      <c r="IRP1" s="2" t="n"/>
      <c r="IRQ1" s="2" t="n"/>
      <c r="IRR1" s="2" t="n"/>
      <c r="IRS1" s="2" t="n"/>
      <c r="IRT1" s="2" t="n"/>
      <c r="IRU1" s="2" t="n"/>
      <c r="IRV1" s="2" t="n"/>
      <c r="IRW1" s="2" t="n"/>
      <c r="IRX1" s="2" t="n"/>
      <c r="IRY1" s="2" t="n"/>
      <c r="IRZ1" s="2" t="n"/>
      <c r="ISA1" s="2" t="n"/>
      <c r="ISB1" s="2" t="n"/>
      <c r="ISC1" s="2" t="n"/>
      <c r="ISD1" s="2" t="n"/>
      <c r="ISE1" s="2" t="n"/>
      <c r="ISF1" s="2" t="n"/>
      <c r="ISG1" s="2" t="n"/>
      <c r="ISH1" s="2" t="n"/>
      <c r="ISI1" s="2" t="n"/>
      <c r="ISJ1" s="2" t="n"/>
      <c r="ISK1" s="2" t="n"/>
      <c r="ISL1" s="2" t="n"/>
      <c r="ISM1" s="2" t="n"/>
      <c r="ISN1" s="2" t="n"/>
      <c r="ISO1" s="2" t="n"/>
      <c r="ISP1" s="2" t="n"/>
      <c r="ISQ1" s="2" t="n"/>
      <c r="ISR1" s="2" t="n"/>
      <c r="ISS1" s="2" t="n"/>
      <c r="IST1" s="2" t="n"/>
      <c r="ISU1" s="2" t="n"/>
      <c r="ISV1" s="2" t="n"/>
      <c r="ISW1" s="2" t="n"/>
      <c r="ISX1" s="2" t="n"/>
      <c r="ISY1" s="2" t="n"/>
      <c r="ISZ1" s="2" t="n"/>
      <c r="ITA1" s="2" t="n"/>
      <c r="ITB1" s="2" t="n"/>
      <c r="ITC1" s="2" t="n"/>
      <c r="ITD1" s="2" t="n"/>
      <c r="ITE1" s="2" t="n"/>
      <c r="ITF1" s="2" t="n"/>
      <c r="ITG1" s="2" t="n"/>
      <c r="ITH1" s="2" t="n"/>
      <c r="ITI1" s="2" t="n"/>
      <c r="ITJ1" s="2" t="n"/>
      <c r="ITK1" s="2" t="n"/>
      <c r="ITL1" s="2" t="n"/>
      <c r="ITM1" s="2" t="n"/>
      <c r="ITN1" s="2" t="n"/>
      <c r="ITO1" s="2" t="n"/>
      <c r="ITP1" s="2" t="n"/>
      <c r="ITQ1" s="2" t="n"/>
      <c r="ITR1" s="2" t="n"/>
      <c r="ITS1" s="2" t="n"/>
      <c r="ITT1" s="2" t="n"/>
      <c r="ITU1" s="2" t="n"/>
      <c r="ITV1" s="2" t="n"/>
      <c r="ITW1" s="2" t="n"/>
      <c r="ITX1" s="2" t="n"/>
      <c r="ITY1" s="2" t="n"/>
      <c r="ITZ1" s="2" t="n"/>
      <c r="IUA1" s="2" t="n"/>
      <c r="IUB1" s="2" t="n"/>
      <c r="IUC1" s="2" t="n"/>
      <c r="IUD1" s="2" t="n"/>
      <c r="IUE1" s="2" t="n"/>
      <c r="IUF1" s="2" t="n"/>
      <c r="IUG1" s="2" t="n"/>
      <c r="IUH1" s="2" t="n"/>
      <c r="IUI1" s="2" t="n"/>
      <c r="IUJ1" s="2" t="n"/>
      <c r="IUK1" s="2" t="n"/>
      <c r="IUL1" s="2" t="n"/>
      <c r="IUM1" s="2" t="n"/>
      <c r="IUN1" s="2" t="n"/>
      <c r="IUO1" s="2" t="n"/>
      <c r="IUP1" s="2" t="n"/>
      <c r="IUQ1" s="2" t="n"/>
      <c r="IUR1" s="2" t="n"/>
      <c r="IUS1" s="2" t="n"/>
      <c r="IUT1" s="2" t="n"/>
      <c r="IUU1" s="2" t="n"/>
      <c r="IUV1" s="2" t="n"/>
      <c r="IUW1" s="2" t="n"/>
      <c r="IUX1" s="2" t="n"/>
      <c r="IUY1" s="2" t="n"/>
      <c r="IUZ1" s="2" t="n"/>
      <c r="IVA1" s="2" t="n"/>
      <c r="IVB1" s="2" t="n"/>
      <c r="IVC1" s="2" t="n"/>
      <c r="IVD1" s="2" t="n"/>
      <c r="IVE1" s="2" t="n"/>
      <c r="IVF1" s="2" t="n"/>
      <c r="IVG1" s="2" t="n"/>
      <c r="IVH1" s="2" t="n"/>
      <c r="IVI1" s="2" t="n"/>
      <c r="IVJ1" s="2" t="n"/>
      <c r="IVK1" s="2" t="n"/>
      <c r="IVL1" s="2" t="n"/>
      <c r="IVM1" s="2" t="n"/>
      <c r="IVN1" s="2" t="n"/>
      <c r="IVO1" s="2" t="n"/>
      <c r="IVP1" s="2" t="n"/>
      <c r="IVQ1" s="2" t="n"/>
      <c r="IVR1" s="2" t="n"/>
      <c r="IVS1" s="2" t="n"/>
      <c r="IVT1" s="2" t="n"/>
      <c r="IVU1" s="2" t="n"/>
      <c r="IVV1" s="2" t="n"/>
      <c r="IVW1" s="2" t="n"/>
      <c r="IVX1" s="2" t="n"/>
      <c r="IVY1" s="2" t="n"/>
      <c r="IVZ1" s="2" t="n"/>
      <c r="IWA1" s="2" t="n"/>
      <c r="IWB1" s="2" t="n"/>
      <c r="IWC1" s="2" t="n"/>
      <c r="IWD1" s="2" t="n"/>
      <c r="IWE1" s="2" t="n"/>
      <c r="IWF1" s="2" t="n"/>
      <c r="IWG1" s="2" t="n"/>
      <c r="IWH1" s="2" t="n"/>
      <c r="IWI1" s="2" t="n"/>
      <c r="IWJ1" s="2" t="n"/>
      <c r="IWK1" s="2" t="n"/>
      <c r="IWL1" s="2" t="n"/>
      <c r="IWM1" s="2" t="n"/>
      <c r="IWN1" s="2" t="n"/>
      <c r="IWO1" s="2" t="n"/>
      <c r="IWP1" s="2" t="n"/>
      <c r="IWQ1" s="2" t="n"/>
      <c r="IWR1" s="2" t="n"/>
      <c r="IWS1" s="2" t="n"/>
      <c r="IWT1" s="2" t="n"/>
      <c r="IWU1" s="2" t="n"/>
      <c r="IWV1" s="2" t="n"/>
      <c r="IWW1" s="2" t="n"/>
      <c r="IWX1" s="2" t="n"/>
      <c r="IWY1" s="2" t="n"/>
      <c r="IWZ1" s="2" t="n"/>
      <c r="IXA1" s="2" t="n"/>
      <c r="IXB1" s="2" t="n"/>
      <c r="IXC1" s="2" t="n"/>
      <c r="IXD1" s="2" t="n"/>
      <c r="IXE1" s="2" t="n"/>
      <c r="IXF1" s="2" t="n"/>
      <c r="IXG1" s="2" t="n"/>
      <c r="IXH1" s="2" t="n"/>
      <c r="IXI1" s="2" t="n"/>
      <c r="IXJ1" s="2" t="n"/>
      <c r="IXK1" s="2" t="n"/>
      <c r="IXL1" s="2" t="n"/>
      <c r="IXM1" s="2" t="n"/>
      <c r="IXN1" s="2" t="n"/>
      <c r="IXO1" s="2" t="n"/>
      <c r="IXP1" s="2" t="n"/>
      <c r="IXQ1" s="2" t="n"/>
      <c r="IXR1" s="2" t="n"/>
      <c r="IXS1" s="2" t="n"/>
      <c r="IXT1" s="2" t="n"/>
      <c r="IXU1" s="2" t="n"/>
      <c r="IXV1" s="2" t="n"/>
      <c r="IXW1" s="2" t="n"/>
      <c r="IXX1" s="2" t="n"/>
      <c r="IXY1" s="2" t="n"/>
      <c r="IXZ1" s="2" t="n"/>
      <c r="IYA1" s="2" t="n"/>
      <c r="IYB1" s="2" t="n"/>
      <c r="IYC1" s="2" t="n"/>
      <c r="IYD1" s="2" t="n"/>
      <c r="IYE1" s="2" t="n"/>
      <c r="IYF1" s="2" t="n"/>
      <c r="IYG1" s="2" t="n"/>
      <c r="IYH1" s="2" t="n"/>
      <c r="IYI1" s="2" t="n"/>
      <c r="IYJ1" s="2" t="n"/>
      <c r="IYK1" s="2" t="n"/>
      <c r="IYL1" s="2" t="n"/>
      <c r="IYM1" s="2" t="n"/>
      <c r="IYN1" s="2" t="n"/>
      <c r="IYO1" s="2" t="n"/>
      <c r="IYP1" s="2" t="n"/>
      <c r="IYQ1" s="2" t="n"/>
      <c r="IYR1" s="2" t="n"/>
      <c r="IYS1" s="2" t="n"/>
      <c r="IYT1" s="2" t="n"/>
      <c r="IYU1" s="2" t="n"/>
      <c r="IYV1" s="2" t="n"/>
      <c r="IYW1" s="2" t="n"/>
      <c r="IYX1" s="2" t="n"/>
      <c r="IYY1" s="2" t="n"/>
      <c r="IYZ1" s="2" t="n"/>
      <c r="IZA1" s="2" t="n"/>
      <c r="IZB1" s="2" t="n"/>
      <c r="IZC1" s="2" t="n"/>
      <c r="IZD1" s="2" t="n"/>
      <c r="IZE1" s="2" t="n"/>
      <c r="IZF1" s="2" t="n"/>
      <c r="IZG1" s="2" t="n"/>
      <c r="IZH1" s="2" t="n"/>
      <c r="IZI1" s="2" t="n"/>
      <c r="IZJ1" s="2" t="n"/>
      <c r="IZK1" s="2" t="n"/>
      <c r="IZL1" s="2" t="n"/>
      <c r="IZM1" s="2" t="n"/>
      <c r="IZN1" s="2" t="n"/>
      <c r="IZO1" s="2" t="n"/>
      <c r="IZP1" s="2" t="n"/>
      <c r="IZQ1" s="2" t="n"/>
      <c r="IZR1" s="2" t="n"/>
      <c r="IZS1" s="2" t="n"/>
      <c r="IZT1" s="2" t="n"/>
      <c r="IZU1" s="2" t="n"/>
      <c r="IZV1" s="2" t="n"/>
      <c r="IZW1" s="2" t="n"/>
      <c r="IZX1" s="2" t="n"/>
      <c r="IZY1" s="2" t="n"/>
      <c r="IZZ1" s="2" t="n"/>
      <c r="JAA1" s="2" t="n"/>
      <c r="JAB1" s="2" t="n"/>
      <c r="JAC1" s="2" t="n"/>
      <c r="JAD1" s="2" t="n"/>
      <c r="JAE1" s="2" t="n"/>
      <c r="JAF1" s="2" t="n"/>
      <c r="JAG1" s="2" t="n"/>
      <c r="JAH1" s="2" t="n"/>
      <c r="JAI1" s="2" t="n"/>
      <c r="JAJ1" s="2" t="n"/>
      <c r="JAK1" s="2" t="n"/>
      <c r="JAL1" s="2" t="n"/>
      <c r="JAM1" s="2" t="n"/>
      <c r="JAN1" s="2" t="n"/>
      <c r="JAO1" s="2" t="n"/>
      <c r="JAP1" s="2" t="n"/>
      <c r="JAQ1" s="2" t="n"/>
      <c r="JAR1" s="2" t="n"/>
      <c r="JAS1" s="2" t="n"/>
      <c r="JAT1" s="2" t="n"/>
      <c r="JAU1" s="2" t="n"/>
      <c r="JAV1" s="2" t="n"/>
      <c r="JAW1" s="2" t="n"/>
      <c r="JAX1" s="2" t="n"/>
      <c r="JAY1" s="2" t="n"/>
      <c r="JAZ1" s="2" t="n"/>
      <c r="JBA1" s="2" t="n"/>
      <c r="JBB1" s="2" t="n"/>
      <c r="JBC1" s="2" t="n"/>
      <c r="JBD1" s="2" t="n"/>
      <c r="JBE1" s="2" t="n"/>
      <c r="JBF1" s="2" t="n"/>
      <c r="JBG1" s="2" t="n"/>
      <c r="JBH1" s="2" t="n"/>
      <c r="JBI1" s="2" t="n"/>
      <c r="JBJ1" s="2" t="n"/>
      <c r="JBK1" s="2" t="n"/>
      <c r="JBL1" s="2" t="n"/>
      <c r="JBM1" s="2" t="n"/>
      <c r="JBN1" s="2" t="n"/>
      <c r="JBO1" s="2" t="n"/>
      <c r="JBP1" s="2" t="n"/>
      <c r="JBQ1" s="2" t="n"/>
      <c r="JBR1" s="2" t="n"/>
      <c r="JBS1" s="2" t="n"/>
      <c r="JBT1" s="2" t="n"/>
      <c r="JBU1" s="2" t="n"/>
      <c r="JBV1" s="2" t="n"/>
      <c r="JBW1" s="2" t="n"/>
      <c r="JBX1" s="2" t="n"/>
      <c r="JBY1" s="2" t="n"/>
      <c r="JBZ1" s="2" t="n"/>
      <c r="JCA1" s="2" t="n"/>
      <c r="JCB1" s="2" t="n"/>
      <c r="JCC1" s="2" t="n"/>
      <c r="JCD1" s="2" t="n"/>
      <c r="JCE1" s="2" t="n"/>
      <c r="JCF1" s="2" t="n"/>
      <c r="JCG1" s="2" t="n"/>
      <c r="JCH1" s="2" t="n"/>
      <c r="JCI1" s="2" t="n"/>
      <c r="JCJ1" s="2" t="n"/>
      <c r="JCK1" s="2" t="n"/>
      <c r="JCL1" s="2" t="n"/>
      <c r="JCM1" s="2" t="n"/>
      <c r="JCN1" s="2" t="n"/>
      <c r="JCO1" s="2" t="n"/>
      <c r="JCP1" s="2" t="n"/>
      <c r="JCQ1" s="2" t="n"/>
      <c r="JCR1" s="2" t="n"/>
      <c r="JCS1" s="2" t="n"/>
      <c r="JCT1" s="2" t="n"/>
      <c r="JCU1" s="2" t="n"/>
      <c r="JCV1" s="2" t="n"/>
      <c r="JCW1" s="2" t="n"/>
      <c r="JCX1" s="2" t="n"/>
      <c r="JCY1" s="2" t="n"/>
      <c r="JCZ1" s="2" t="n"/>
      <c r="JDA1" s="2" t="n"/>
      <c r="JDB1" s="2" t="n"/>
      <c r="JDC1" s="2" t="n"/>
      <c r="JDD1" s="2" t="n"/>
      <c r="JDE1" s="2" t="n"/>
      <c r="JDF1" s="2" t="n"/>
      <c r="JDG1" s="2" t="n"/>
      <c r="JDH1" s="2" t="n"/>
      <c r="JDI1" s="2" t="n"/>
      <c r="JDJ1" s="2" t="n"/>
      <c r="JDK1" s="2" t="n"/>
      <c r="JDL1" s="2" t="n"/>
      <c r="JDM1" s="2" t="n"/>
      <c r="JDN1" s="2" t="n"/>
      <c r="JDO1" s="2" t="n"/>
      <c r="JDP1" s="2" t="n"/>
      <c r="JDQ1" s="2" t="n"/>
      <c r="JDR1" s="2" t="n"/>
      <c r="JDS1" s="2" t="n"/>
      <c r="JDT1" s="2" t="n"/>
      <c r="JDU1" s="2" t="n"/>
      <c r="JDV1" s="2" t="n"/>
      <c r="JDW1" s="2" t="n"/>
      <c r="JDX1" s="2" t="n"/>
      <c r="JDY1" s="2" t="n"/>
      <c r="JDZ1" s="2" t="n"/>
      <c r="JEA1" s="2" t="n"/>
      <c r="JEB1" s="2" t="n"/>
      <c r="JEC1" s="2" t="n"/>
      <c r="JED1" s="2" t="n"/>
      <c r="JEE1" s="2" t="n"/>
      <c r="JEF1" s="2" t="n"/>
      <c r="JEG1" s="2" t="n"/>
      <c r="JEH1" s="2" t="n"/>
      <c r="JEI1" s="2" t="n"/>
      <c r="JEJ1" s="2" t="n"/>
      <c r="JEK1" s="2" t="n"/>
      <c r="JEL1" s="2" t="n"/>
      <c r="JEM1" s="2" t="n"/>
      <c r="JEN1" s="2" t="n"/>
      <c r="JEO1" s="2" t="n"/>
      <c r="JEP1" s="2" t="n"/>
      <c r="JEQ1" s="2" t="n"/>
      <c r="JER1" s="2" t="n"/>
      <c r="JES1" s="2" t="n"/>
      <c r="JET1" s="2" t="n"/>
      <c r="JEU1" s="2" t="n"/>
      <c r="JEV1" s="2" t="n"/>
      <c r="JEW1" s="2" t="n"/>
      <c r="JEX1" s="2" t="n"/>
      <c r="JEY1" s="2" t="n"/>
      <c r="JEZ1" s="2" t="n"/>
      <c r="JFA1" s="2" t="n"/>
      <c r="JFB1" s="2" t="n"/>
      <c r="JFC1" s="2" t="n"/>
      <c r="JFD1" s="2" t="n"/>
      <c r="JFE1" s="2" t="n"/>
      <c r="JFF1" s="2" t="n"/>
      <c r="JFG1" s="2" t="n"/>
      <c r="JFH1" s="2" t="n"/>
      <c r="JFI1" s="2" t="n"/>
      <c r="JFJ1" s="2" t="n"/>
      <c r="JFK1" s="2" t="n"/>
      <c r="JFL1" s="2" t="n"/>
      <c r="JFM1" s="2" t="n"/>
      <c r="JFN1" s="2" t="n"/>
      <c r="JFO1" s="2" t="n"/>
      <c r="JFP1" s="2" t="n"/>
      <c r="JFQ1" s="2" t="n"/>
      <c r="JFR1" s="2" t="n"/>
      <c r="JFS1" s="2" t="n"/>
      <c r="JFT1" s="2" t="n"/>
      <c r="JFU1" s="2" t="n"/>
      <c r="JFV1" s="2" t="n"/>
      <c r="JFW1" s="2" t="n"/>
      <c r="JFX1" s="2" t="n"/>
      <c r="JFY1" s="2" t="n"/>
      <c r="JFZ1" s="2" t="n"/>
      <c r="JGA1" s="2" t="n"/>
      <c r="JGB1" s="2" t="n"/>
      <c r="JGC1" s="2" t="n"/>
      <c r="JGD1" s="2" t="n"/>
      <c r="JGE1" s="2" t="n"/>
      <c r="JGF1" s="2" t="n"/>
      <c r="JGG1" s="2" t="n"/>
      <c r="JGH1" s="2" t="n"/>
      <c r="JGI1" s="2" t="n"/>
      <c r="JGJ1" s="2" t="n"/>
      <c r="JGK1" s="2" t="n"/>
      <c r="JGL1" s="2" t="n"/>
      <c r="JGM1" s="2" t="n"/>
      <c r="JGN1" s="2" t="n"/>
      <c r="JGO1" s="2" t="n"/>
      <c r="JGP1" s="2" t="n"/>
      <c r="JGQ1" s="2" t="n"/>
      <c r="JGR1" s="2" t="n"/>
      <c r="JGS1" s="2" t="n"/>
      <c r="JGT1" s="2" t="n"/>
      <c r="JGU1" s="2" t="n"/>
      <c r="JGV1" s="2" t="n"/>
      <c r="JGW1" s="2" t="n"/>
      <c r="JGX1" s="2" t="n"/>
      <c r="JGY1" s="2" t="n"/>
      <c r="JGZ1" s="2" t="n"/>
      <c r="JHA1" s="2" t="n"/>
      <c r="JHB1" s="2" t="n"/>
      <c r="JHC1" s="2" t="n"/>
      <c r="JHD1" s="2" t="n"/>
      <c r="JHE1" s="2" t="n"/>
      <c r="JHF1" s="2" t="n"/>
      <c r="JHG1" s="2" t="n"/>
      <c r="JHH1" s="2" t="n"/>
      <c r="JHI1" s="2" t="n"/>
      <c r="JHJ1" s="2" t="n"/>
      <c r="JHK1" s="2" t="n"/>
      <c r="JHL1" s="2" t="n"/>
      <c r="JHM1" s="2" t="n"/>
      <c r="JHN1" s="2" t="n"/>
      <c r="JHO1" s="2" t="n"/>
      <c r="JHP1" s="2" t="n"/>
      <c r="JHQ1" s="2" t="n"/>
      <c r="JHR1" s="2" t="n"/>
      <c r="JHS1" s="2" t="n"/>
      <c r="JHT1" s="2" t="n"/>
      <c r="JHU1" s="2" t="n"/>
      <c r="JHV1" s="2" t="n"/>
      <c r="JHW1" s="2" t="n"/>
      <c r="JHX1" s="2" t="n"/>
      <c r="JHY1" s="2" t="n"/>
      <c r="JHZ1" s="2" t="n"/>
      <c r="JIA1" s="2" t="n"/>
      <c r="JIB1" s="2" t="n"/>
      <c r="JIC1" s="2" t="n"/>
      <c r="JID1" s="2" t="n"/>
      <c r="JIE1" s="2" t="n"/>
      <c r="JIF1" s="2" t="n"/>
      <c r="JIG1" s="2" t="n"/>
      <c r="JIH1" s="2" t="n"/>
      <c r="JII1" s="2" t="n"/>
      <c r="JIJ1" s="2" t="n"/>
      <c r="JIK1" s="2" t="n"/>
      <c r="JIL1" s="2" t="n"/>
      <c r="JIM1" s="2" t="n"/>
      <c r="JIN1" s="2" t="n"/>
      <c r="JIO1" s="2" t="n"/>
      <c r="JIP1" s="2" t="n"/>
      <c r="JIQ1" s="2" t="n"/>
      <c r="JIR1" s="2" t="n"/>
      <c r="JIS1" s="2" t="n"/>
      <c r="JIT1" s="2" t="n"/>
      <c r="JIU1" s="2" t="n"/>
      <c r="JIV1" s="2" t="n"/>
      <c r="JIW1" s="2" t="n"/>
      <c r="JIX1" s="2" t="n"/>
      <c r="JIY1" s="2" t="n"/>
      <c r="JIZ1" s="2" t="n"/>
      <c r="JJA1" s="2" t="n"/>
      <c r="JJB1" s="2" t="n"/>
      <c r="JJC1" s="2" t="n"/>
      <c r="JJD1" s="2" t="n"/>
      <c r="JJE1" s="2" t="n"/>
      <c r="JJF1" s="2" t="n"/>
      <c r="JJG1" s="2" t="n"/>
      <c r="JJH1" s="2" t="n"/>
      <c r="JJI1" s="2" t="n"/>
      <c r="JJJ1" s="2" t="n"/>
      <c r="JJK1" s="2" t="n"/>
      <c r="JJL1" s="2" t="n"/>
      <c r="JJM1" s="2" t="n"/>
      <c r="JJN1" s="2" t="n"/>
      <c r="JJO1" s="2" t="n"/>
      <c r="JJP1" s="2" t="n"/>
      <c r="JJQ1" s="2" t="n"/>
      <c r="JJR1" s="2" t="n"/>
      <c r="JJS1" s="2" t="n"/>
      <c r="JJT1" s="2" t="n"/>
      <c r="JJU1" s="2" t="n"/>
      <c r="JJV1" s="2" t="n"/>
      <c r="JJW1" s="2" t="n"/>
      <c r="JJX1" s="2" t="n"/>
      <c r="JJY1" s="2" t="n"/>
      <c r="JJZ1" s="2" t="n"/>
      <c r="JKA1" s="2" t="n"/>
      <c r="JKB1" s="2" t="n"/>
      <c r="JKC1" s="2" t="n"/>
      <c r="JKD1" s="2" t="n"/>
      <c r="JKE1" s="2" t="n"/>
      <c r="JKF1" s="2" t="n"/>
      <c r="JKG1" s="2" t="n"/>
      <c r="JKH1" s="2" t="n"/>
      <c r="JKI1" s="2" t="n"/>
      <c r="JKJ1" s="2" t="n"/>
      <c r="JKK1" s="2" t="n"/>
      <c r="JKL1" s="2" t="n"/>
      <c r="JKM1" s="2" t="n"/>
      <c r="JKN1" s="2" t="n"/>
      <c r="JKO1" s="2" t="n"/>
      <c r="JKP1" s="2" t="n"/>
      <c r="JKQ1" s="2" t="n"/>
      <c r="JKR1" s="2" t="n"/>
      <c r="JKS1" s="2" t="n"/>
      <c r="JKT1" s="2" t="n"/>
      <c r="JKU1" s="2" t="n"/>
      <c r="JKV1" s="2" t="n"/>
      <c r="JKW1" s="2" t="n"/>
      <c r="JKX1" s="2" t="n"/>
      <c r="JKY1" s="2" t="n"/>
      <c r="JKZ1" s="2" t="n"/>
      <c r="JLA1" s="2" t="n"/>
      <c r="JLB1" s="2" t="n"/>
      <c r="JLC1" s="2" t="n"/>
      <c r="JLD1" s="2" t="n"/>
      <c r="JLE1" s="2" t="n"/>
      <c r="JLF1" s="2" t="n"/>
      <c r="JLG1" s="2" t="n"/>
      <c r="JLH1" s="2" t="n"/>
      <c r="JLI1" s="2" t="n"/>
      <c r="JLJ1" s="2" t="n"/>
      <c r="JLK1" s="2" t="n"/>
      <c r="JLL1" s="2" t="n"/>
      <c r="JLM1" s="2" t="n"/>
      <c r="JLN1" s="2" t="n"/>
      <c r="JLO1" s="2" t="n"/>
      <c r="JLP1" s="2" t="n"/>
      <c r="JLQ1" s="2" t="n"/>
      <c r="JLR1" s="2" t="n"/>
      <c r="JLS1" s="2" t="n"/>
      <c r="JLT1" s="2" t="n"/>
      <c r="JLU1" s="2" t="n"/>
      <c r="JLV1" s="2" t="n"/>
      <c r="JLW1" s="2" t="n"/>
      <c r="JLX1" s="2" t="n"/>
      <c r="JLY1" s="2" t="n"/>
      <c r="JLZ1" s="2" t="n"/>
      <c r="JMA1" s="2" t="n"/>
      <c r="JMB1" s="2" t="n"/>
      <c r="JMC1" s="2" t="n"/>
      <c r="JMD1" s="2" t="n"/>
      <c r="JME1" s="2" t="n"/>
      <c r="JMF1" s="2" t="n"/>
      <c r="JMG1" s="2" t="n"/>
      <c r="JMH1" s="2" t="n"/>
      <c r="JMI1" s="2" t="n"/>
      <c r="JMJ1" s="2" t="n"/>
      <c r="JMK1" s="2" t="n"/>
      <c r="JML1" s="2" t="n"/>
      <c r="JMM1" s="2" t="n"/>
      <c r="JMN1" s="2" t="n"/>
      <c r="JMO1" s="2" t="n"/>
      <c r="JMP1" s="2" t="n"/>
      <c r="JMQ1" s="2" t="n"/>
      <c r="JMR1" s="2" t="n"/>
      <c r="JMS1" s="2" t="n"/>
      <c r="JMT1" s="2" t="n"/>
      <c r="JMU1" s="2" t="n"/>
      <c r="JMV1" s="2" t="n"/>
      <c r="JMW1" s="2" t="n"/>
      <c r="JMX1" s="2" t="n"/>
      <c r="JMY1" s="2" t="n"/>
      <c r="JMZ1" s="2" t="n"/>
      <c r="JNA1" s="2" t="n"/>
      <c r="JNB1" s="2" t="n"/>
      <c r="JNC1" s="2" t="n"/>
      <c r="JND1" s="2" t="n"/>
      <c r="JNE1" s="2" t="n"/>
      <c r="JNF1" s="2" t="n"/>
      <c r="JNG1" s="2" t="n"/>
      <c r="JNH1" s="2" t="n"/>
      <c r="JNI1" s="2" t="n"/>
      <c r="JNJ1" s="2" t="n"/>
      <c r="JNK1" s="2" t="n"/>
      <c r="JNL1" s="2" t="n"/>
      <c r="JNM1" s="2" t="n"/>
      <c r="JNN1" s="2" t="n"/>
      <c r="JNO1" s="2" t="n"/>
      <c r="JNP1" s="2" t="n"/>
      <c r="JNQ1" s="2" t="n"/>
      <c r="JNR1" s="2" t="n"/>
      <c r="JNS1" s="2" t="n"/>
      <c r="JNT1" s="2" t="n"/>
      <c r="JNU1" s="2" t="n"/>
      <c r="JNV1" s="2" t="n"/>
      <c r="JNW1" s="2" t="n"/>
      <c r="JNX1" s="2" t="n"/>
      <c r="JNY1" s="2" t="n"/>
      <c r="JNZ1" s="2" t="n"/>
      <c r="JOA1" s="2" t="n"/>
      <c r="JOB1" s="2" t="n"/>
      <c r="JOC1" s="2" t="n"/>
      <c r="JOD1" s="2" t="n"/>
      <c r="JOE1" s="2" t="n"/>
      <c r="JOF1" s="2" t="n"/>
      <c r="JOG1" s="2" t="n"/>
      <c r="JOH1" s="2" t="n"/>
      <c r="JOI1" s="2" t="n"/>
      <c r="JOJ1" s="2" t="n"/>
      <c r="JOK1" s="2" t="n"/>
      <c r="JOL1" s="2" t="n"/>
      <c r="JOM1" s="2" t="n"/>
      <c r="JON1" s="2" t="n"/>
      <c r="JOO1" s="2" t="n"/>
      <c r="JOP1" s="2" t="n"/>
      <c r="JOQ1" s="2" t="n"/>
      <c r="JOR1" s="2" t="n"/>
      <c r="JOS1" s="2" t="n"/>
      <c r="JOT1" s="2" t="n"/>
      <c r="JOU1" s="2" t="n"/>
      <c r="JOV1" s="2" t="n"/>
      <c r="JOW1" s="2" t="n"/>
      <c r="JOX1" s="2" t="n"/>
      <c r="JOY1" s="2" t="n"/>
      <c r="JOZ1" s="2" t="n"/>
      <c r="JPA1" s="2" t="n"/>
      <c r="JPB1" s="2" t="n"/>
      <c r="JPC1" s="2" t="n"/>
      <c r="JPD1" s="2" t="n"/>
      <c r="JPE1" s="2" t="n"/>
      <c r="JPF1" s="2" t="n"/>
      <c r="JPG1" s="2" t="n"/>
      <c r="JPH1" s="2" t="n"/>
      <c r="JPI1" s="2" t="n"/>
      <c r="JPJ1" s="2" t="n"/>
      <c r="JPK1" s="2" t="n"/>
      <c r="JPL1" s="2" t="n"/>
      <c r="JPM1" s="2" t="n"/>
      <c r="JPN1" s="2" t="n"/>
      <c r="JPO1" s="2" t="n"/>
      <c r="JPP1" s="2" t="n"/>
      <c r="JPQ1" s="2" t="n"/>
      <c r="JPR1" s="2" t="n"/>
      <c r="JPS1" s="2" t="n"/>
      <c r="JPT1" s="2" t="n"/>
      <c r="JPU1" s="2" t="n"/>
      <c r="JPV1" s="2" t="n"/>
      <c r="JPW1" s="2" t="n"/>
      <c r="JPX1" s="2" t="n"/>
      <c r="JPY1" s="2" t="n"/>
      <c r="JPZ1" s="2" t="n"/>
      <c r="JQA1" s="2" t="n"/>
      <c r="JQB1" s="2" t="n"/>
      <c r="JQC1" s="2" t="n"/>
      <c r="JQD1" s="2" t="n"/>
      <c r="JQE1" s="2" t="n"/>
      <c r="JQF1" s="2" t="n"/>
      <c r="JQG1" s="2" t="n"/>
      <c r="JQH1" s="2" t="n"/>
      <c r="JQI1" s="2" t="n"/>
      <c r="JQJ1" s="2" t="n"/>
      <c r="JQK1" s="2" t="n"/>
      <c r="JQL1" s="2" t="n"/>
      <c r="JQM1" s="2" t="n"/>
      <c r="JQN1" s="2" t="n"/>
      <c r="JQO1" s="2" t="n"/>
      <c r="JQP1" s="2" t="n"/>
      <c r="JQQ1" s="2" t="n"/>
      <c r="JQR1" s="2" t="n"/>
      <c r="JQS1" s="2" t="n"/>
      <c r="JQT1" s="2" t="n"/>
      <c r="JQU1" s="2" t="n"/>
      <c r="JQV1" s="2" t="n"/>
      <c r="JQW1" s="2" t="n"/>
      <c r="JQX1" s="2" t="n"/>
      <c r="JQY1" s="2" t="n"/>
      <c r="JQZ1" s="2" t="n"/>
      <c r="JRA1" s="2" t="n"/>
      <c r="JRB1" s="2" t="n"/>
      <c r="JRC1" s="2" t="n"/>
      <c r="JRD1" s="2" t="n"/>
      <c r="JRE1" s="2" t="n"/>
      <c r="JRF1" s="2" t="n"/>
      <c r="JRG1" s="2" t="n"/>
      <c r="JRH1" s="2" t="n"/>
      <c r="JRI1" s="2" t="n"/>
      <c r="JRJ1" s="2" t="n"/>
      <c r="JRK1" s="2" t="n"/>
      <c r="JRL1" s="2" t="n"/>
      <c r="JRM1" s="2" t="n"/>
      <c r="JRN1" s="2" t="n"/>
      <c r="JRO1" s="2" t="n"/>
      <c r="JRP1" s="2" t="n"/>
      <c r="JRQ1" s="2" t="n"/>
      <c r="JRR1" s="2" t="n"/>
      <c r="JRS1" s="2" t="n"/>
      <c r="JRT1" s="2" t="n"/>
      <c r="JRU1" s="2" t="n"/>
      <c r="JRV1" s="2" t="n"/>
      <c r="JRW1" s="2" t="n"/>
      <c r="JRX1" s="2" t="n"/>
      <c r="JRY1" s="2" t="n"/>
      <c r="JRZ1" s="2" t="n"/>
      <c r="JSA1" s="2" t="n"/>
      <c r="JSB1" s="2" t="n"/>
      <c r="JSC1" s="2" t="n"/>
      <c r="JSD1" s="2" t="n"/>
      <c r="JSE1" s="2" t="n"/>
      <c r="JSF1" s="2" t="n"/>
      <c r="JSG1" s="2" t="n"/>
      <c r="JSH1" s="2" t="n"/>
      <c r="JSI1" s="2" t="n"/>
      <c r="JSJ1" s="2" t="n"/>
      <c r="JSK1" s="2" t="n"/>
      <c r="JSL1" s="2" t="n"/>
      <c r="JSM1" s="2" t="n"/>
      <c r="JSN1" s="2" t="n"/>
      <c r="JSO1" s="2" t="n"/>
      <c r="JSP1" s="2" t="n"/>
      <c r="JSQ1" s="2" t="n"/>
      <c r="JSR1" s="2" t="n"/>
      <c r="JSS1" s="2" t="n"/>
      <c r="JST1" s="2" t="n"/>
      <c r="JSU1" s="2" t="n"/>
      <c r="JSV1" s="2" t="n"/>
      <c r="JSW1" s="2" t="n"/>
      <c r="JSX1" s="2" t="n"/>
      <c r="JSY1" s="2" t="n"/>
      <c r="JSZ1" s="2" t="n"/>
      <c r="JTA1" s="2" t="n"/>
      <c r="JTB1" s="2" t="n"/>
      <c r="JTC1" s="2" t="n"/>
      <c r="JTD1" s="2" t="n"/>
      <c r="JTE1" s="2" t="n"/>
      <c r="JTF1" s="2" t="n"/>
      <c r="JTG1" s="2" t="n"/>
      <c r="JTH1" s="2" t="n"/>
      <c r="JTI1" s="2" t="n"/>
      <c r="JTJ1" s="2" t="n"/>
      <c r="JTK1" s="2" t="n"/>
      <c r="JTL1" s="2" t="n"/>
      <c r="JTM1" s="2" t="n"/>
      <c r="JTN1" s="2" t="n"/>
      <c r="JTO1" s="2" t="n"/>
      <c r="JTP1" s="2" t="n"/>
      <c r="JTQ1" s="2" t="n"/>
      <c r="JTR1" s="2" t="n"/>
      <c r="JTS1" s="2" t="n"/>
      <c r="JTT1" s="2" t="n"/>
      <c r="JTU1" s="2" t="n"/>
      <c r="JTV1" s="2" t="n"/>
      <c r="JTW1" s="2" t="n"/>
      <c r="JTX1" s="2" t="n"/>
      <c r="JTY1" s="2" t="n"/>
      <c r="JTZ1" s="2" t="n"/>
      <c r="JUA1" s="2" t="n"/>
      <c r="JUB1" s="2" t="n"/>
      <c r="JUC1" s="2" t="n"/>
      <c r="JUD1" s="2" t="n"/>
      <c r="JUE1" s="2" t="n"/>
      <c r="JUF1" s="2" t="n"/>
      <c r="JUG1" s="2" t="n"/>
      <c r="JUH1" s="2" t="n"/>
      <c r="JUI1" s="2" t="n"/>
      <c r="JUJ1" s="2" t="n"/>
      <c r="JUK1" s="2" t="n"/>
      <c r="JUL1" s="2" t="n"/>
      <c r="JUM1" s="2" t="n"/>
      <c r="JUN1" s="2" t="n"/>
      <c r="JUO1" s="2" t="n"/>
      <c r="JUP1" s="2" t="n"/>
      <c r="JUQ1" s="2" t="n"/>
      <c r="JUR1" s="2" t="n"/>
      <c r="JUS1" s="2" t="n"/>
      <c r="JUT1" s="2" t="n"/>
      <c r="JUU1" s="2" t="n"/>
      <c r="JUV1" s="2" t="n"/>
      <c r="JUW1" s="2" t="n"/>
      <c r="JUX1" s="2" t="n"/>
      <c r="JUY1" s="2" t="n"/>
      <c r="JUZ1" s="2" t="n"/>
      <c r="JVA1" s="2" t="n"/>
      <c r="JVB1" s="2" t="n"/>
      <c r="JVC1" s="2" t="n"/>
      <c r="JVD1" s="2" t="n"/>
      <c r="JVE1" s="2" t="n"/>
      <c r="JVF1" s="2" t="n"/>
      <c r="JVG1" s="2" t="n"/>
      <c r="JVH1" s="2" t="n"/>
      <c r="JVI1" s="2" t="n"/>
      <c r="JVJ1" s="2" t="n"/>
      <c r="JVK1" s="2" t="n"/>
      <c r="JVL1" s="2" t="n"/>
      <c r="JVM1" s="2" t="n"/>
      <c r="JVN1" s="2" t="n"/>
      <c r="JVO1" s="2" t="n"/>
      <c r="JVP1" s="2" t="n"/>
      <c r="JVQ1" s="2" t="n"/>
      <c r="JVR1" s="2" t="n"/>
      <c r="JVS1" s="2" t="n"/>
      <c r="JVT1" s="2" t="n"/>
      <c r="JVU1" s="2" t="n"/>
      <c r="JVV1" s="2" t="n"/>
      <c r="JVW1" s="2" t="n"/>
      <c r="JVX1" s="2" t="n"/>
      <c r="JVY1" s="2" t="n"/>
      <c r="JVZ1" s="2" t="n"/>
      <c r="JWA1" s="2" t="n"/>
      <c r="JWB1" s="2" t="n"/>
      <c r="JWC1" s="2" t="n"/>
      <c r="JWD1" s="2" t="n"/>
      <c r="JWE1" s="2" t="n"/>
      <c r="JWF1" s="2" t="n"/>
      <c r="JWG1" s="2" t="n"/>
      <c r="JWH1" s="2" t="n"/>
      <c r="JWI1" s="2" t="n"/>
      <c r="JWJ1" s="2" t="n"/>
      <c r="JWK1" s="2" t="n"/>
      <c r="JWL1" s="2" t="n"/>
      <c r="JWM1" s="2" t="n"/>
      <c r="JWN1" s="2" t="n"/>
      <c r="JWO1" s="2" t="n"/>
      <c r="JWP1" s="2" t="n"/>
      <c r="JWQ1" s="2" t="n"/>
      <c r="JWR1" s="2" t="n"/>
      <c r="JWS1" s="2" t="n"/>
      <c r="JWT1" s="2" t="n"/>
      <c r="JWU1" s="2" t="n"/>
      <c r="JWV1" s="2" t="n"/>
      <c r="JWW1" s="2" t="n"/>
      <c r="JWX1" s="2" t="n"/>
      <c r="JWY1" s="2" t="n"/>
      <c r="JWZ1" s="2" t="n"/>
      <c r="JXA1" s="2" t="n"/>
      <c r="JXB1" s="2" t="n"/>
      <c r="JXC1" s="2" t="n"/>
      <c r="JXD1" s="2" t="n"/>
      <c r="JXE1" s="2" t="n"/>
      <c r="JXF1" s="2" t="n"/>
      <c r="JXG1" s="2" t="n"/>
      <c r="JXH1" s="2" t="n"/>
      <c r="JXI1" s="2" t="n"/>
      <c r="JXJ1" s="2" t="n"/>
      <c r="JXK1" s="2" t="n"/>
      <c r="JXL1" s="2" t="n"/>
      <c r="JXM1" s="2" t="n"/>
      <c r="JXN1" s="2" t="n"/>
      <c r="JXO1" s="2" t="n"/>
      <c r="JXP1" s="2" t="n"/>
      <c r="JXQ1" s="2" t="n"/>
      <c r="JXR1" s="2" t="n"/>
      <c r="JXS1" s="2" t="n"/>
      <c r="JXT1" s="2" t="n"/>
      <c r="JXU1" s="2" t="n"/>
      <c r="JXV1" s="2" t="n"/>
      <c r="JXW1" s="2" t="n"/>
      <c r="JXX1" s="2" t="n"/>
      <c r="JXY1" s="2" t="n"/>
      <c r="JXZ1" s="2" t="n"/>
      <c r="JYA1" s="2" t="n"/>
      <c r="JYB1" s="2" t="n"/>
      <c r="JYC1" s="2" t="n"/>
      <c r="JYD1" s="2" t="n"/>
      <c r="JYE1" s="2" t="n"/>
      <c r="JYF1" s="2" t="n"/>
      <c r="JYG1" s="2" t="n"/>
      <c r="JYH1" s="2" t="n"/>
      <c r="JYI1" s="2" t="n"/>
      <c r="JYJ1" s="2" t="n"/>
      <c r="JYK1" s="2" t="n"/>
      <c r="JYL1" s="2" t="n"/>
      <c r="JYM1" s="2" t="n"/>
      <c r="JYN1" s="2" t="n"/>
      <c r="JYO1" s="2" t="n"/>
      <c r="JYP1" s="2" t="n"/>
      <c r="JYQ1" s="2" t="n"/>
      <c r="JYR1" s="2" t="n"/>
      <c r="JYS1" s="2" t="n"/>
      <c r="JYT1" s="2" t="n"/>
      <c r="JYU1" s="2" t="n"/>
      <c r="JYV1" s="2" t="n"/>
      <c r="JYW1" s="2" t="n"/>
      <c r="JYX1" s="2" t="n"/>
      <c r="JYY1" s="2" t="n"/>
      <c r="JYZ1" s="2" t="n"/>
      <c r="JZA1" s="2" t="n"/>
      <c r="JZB1" s="2" t="n"/>
      <c r="JZC1" s="2" t="n"/>
      <c r="JZD1" s="2" t="n"/>
      <c r="JZE1" s="2" t="n"/>
      <c r="JZF1" s="2" t="n"/>
      <c r="JZG1" s="2" t="n"/>
      <c r="JZH1" s="2" t="n"/>
      <c r="JZI1" s="2" t="n"/>
      <c r="JZJ1" s="2" t="n"/>
      <c r="JZK1" s="2" t="n"/>
      <c r="JZL1" s="2" t="n"/>
      <c r="JZM1" s="2" t="n"/>
      <c r="JZN1" s="2" t="n"/>
      <c r="JZO1" s="2" t="n"/>
      <c r="JZP1" s="2" t="n"/>
      <c r="JZQ1" s="2" t="n"/>
      <c r="JZR1" s="2" t="n"/>
      <c r="JZS1" s="2" t="n"/>
      <c r="JZT1" s="2" t="n"/>
      <c r="JZU1" s="2" t="n"/>
      <c r="JZV1" s="2" t="n"/>
      <c r="JZW1" s="2" t="n"/>
      <c r="JZX1" s="2" t="n"/>
      <c r="JZY1" s="2" t="n"/>
      <c r="JZZ1" s="2" t="n"/>
      <c r="KAA1" s="2" t="n"/>
      <c r="KAB1" s="2" t="n"/>
      <c r="KAC1" s="2" t="n"/>
      <c r="KAD1" s="2" t="n"/>
      <c r="KAE1" s="2" t="n"/>
      <c r="KAF1" s="2" t="n"/>
      <c r="KAG1" s="2" t="n"/>
      <c r="KAH1" s="2" t="n"/>
      <c r="KAI1" s="2" t="n"/>
      <c r="KAJ1" s="2" t="n"/>
      <c r="KAK1" s="2" t="n"/>
      <c r="KAL1" s="2" t="n"/>
      <c r="KAM1" s="2" t="n"/>
      <c r="KAN1" s="2" t="n"/>
      <c r="KAO1" s="2" t="n"/>
      <c r="KAP1" s="2" t="n"/>
      <c r="KAQ1" s="2" t="n"/>
      <c r="KAR1" s="2" t="n"/>
      <c r="KAS1" s="2" t="n"/>
      <c r="KAT1" s="2" t="n"/>
      <c r="KAU1" s="2" t="n"/>
      <c r="KAV1" s="2" t="n"/>
      <c r="KAW1" s="2" t="n"/>
      <c r="KAX1" s="2" t="n"/>
      <c r="KAY1" s="2" t="n"/>
      <c r="KAZ1" s="2" t="n"/>
      <c r="KBA1" s="2" t="n"/>
      <c r="KBB1" s="2" t="n"/>
      <c r="KBC1" s="2" t="n"/>
      <c r="KBD1" s="2" t="n"/>
      <c r="KBE1" s="2" t="n"/>
      <c r="KBF1" s="2" t="n"/>
      <c r="KBG1" s="2" t="n"/>
      <c r="KBH1" s="2" t="n"/>
      <c r="KBI1" s="2" t="n"/>
      <c r="KBJ1" s="2" t="n"/>
      <c r="KBK1" s="2" t="n"/>
      <c r="KBL1" s="2" t="n"/>
      <c r="KBM1" s="2" t="n"/>
      <c r="KBN1" s="2" t="n"/>
      <c r="KBO1" s="2" t="n"/>
      <c r="KBP1" s="2" t="n"/>
      <c r="KBQ1" s="2" t="n"/>
      <c r="KBR1" s="2" t="n"/>
      <c r="KBS1" s="2" t="n"/>
      <c r="KBT1" s="2" t="n"/>
      <c r="KBU1" s="2" t="n"/>
      <c r="KBV1" s="2" t="n"/>
      <c r="KBW1" s="2" t="n"/>
      <c r="KBX1" s="2" t="n"/>
      <c r="KBY1" s="2" t="n"/>
      <c r="KBZ1" s="2" t="n"/>
      <c r="KCA1" s="2" t="n"/>
      <c r="KCB1" s="2" t="n"/>
      <c r="KCC1" s="2" t="n"/>
      <c r="KCD1" s="2" t="n"/>
      <c r="KCE1" s="2" t="n"/>
      <c r="KCF1" s="2" t="n"/>
      <c r="KCG1" s="2" t="n"/>
      <c r="KCH1" s="2" t="n"/>
      <c r="KCI1" s="2" t="n"/>
      <c r="KCJ1" s="2" t="n"/>
      <c r="KCK1" s="2" t="n"/>
      <c r="KCL1" s="2" t="n"/>
      <c r="KCM1" s="2" t="n"/>
      <c r="KCN1" s="2" t="n"/>
      <c r="KCO1" s="2" t="n"/>
      <c r="KCP1" s="2" t="n"/>
      <c r="KCQ1" s="2" t="n"/>
      <c r="KCR1" s="2" t="n"/>
      <c r="KCS1" s="2" t="n"/>
      <c r="KCT1" s="2" t="n"/>
      <c r="KCU1" s="2" t="n"/>
      <c r="KCV1" s="2" t="n"/>
      <c r="KCW1" s="2" t="n"/>
      <c r="KCX1" s="2" t="n"/>
      <c r="KCY1" s="2" t="n"/>
      <c r="KCZ1" s="2" t="n"/>
      <c r="KDA1" s="2" t="n"/>
      <c r="KDB1" s="2" t="n"/>
      <c r="KDC1" s="2" t="n"/>
      <c r="KDD1" s="2" t="n"/>
      <c r="KDE1" s="2" t="n"/>
      <c r="KDF1" s="2" t="n"/>
      <c r="KDG1" s="2" t="n"/>
      <c r="KDH1" s="2" t="n"/>
      <c r="KDI1" s="2" t="n"/>
      <c r="KDJ1" s="2" t="n"/>
      <c r="KDK1" s="2" t="n"/>
      <c r="KDL1" s="2" t="n"/>
      <c r="KDM1" s="2" t="n"/>
      <c r="KDN1" s="2" t="n"/>
      <c r="KDO1" s="2" t="n"/>
      <c r="KDP1" s="2" t="n"/>
      <c r="KDQ1" s="2" t="n"/>
      <c r="KDR1" s="2" t="n"/>
      <c r="KDS1" s="2" t="n"/>
      <c r="KDT1" s="2" t="n"/>
      <c r="KDU1" s="2" t="n"/>
      <c r="KDV1" s="2" t="n"/>
      <c r="KDW1" s="2" t="n"/>
      <c r="KDX1" s="2" t="n"/>
      <c r="KDY1" s="2" t="n"/>
      <c r="KDZ1" s="2" t="n"/>
      <c r="KEA1" s="2" t="n"/>
      <c r="KEB1" s="2" t="n"/>
      <c r="KEC1" s="2" t="n"/>
      <c r="KED1" s="2" t="n"/>
      <c r="KEE1" s="2" t="n"/>
      <c r="KEF1" s="2" t="n"/>
      <c r="KEG1" s="2" t="n"/>
      <c r="KEH1" s="2" t="n"/>
      <c r="KEI1" s="2" t="n"/>
      <c r="KEJ1" s="2" t="n"/>
      <c r="KEK1" s="2" t="n"/>
      <c r="KEL1" s="2" t="n"/>
      <c r="KEM1" s="2" t="n"/>
      <c r="KEN1" s="2" t="n"/>
      <c r="KEO1" s="2" t="n"/>
      <c r="KEP1" s="2" t="n"/>
      <c r="KEQ1" s="2" t="n"/>
      <c r="KER1" s="2" t="n"/>
      <c r="KES1" s="2" t="n"/>
      <c r="KET1" s="2" t="n"/>
      <c r="KEU1" s="2" t="n"/>
      <c r="KEV1" s="2" t="n"/>
      <c r="KEW1" s="2" t="n"/>
      <c r="KEX1" s="2" t="n"/>
      <c r="KEY1" s="2" t="n"/>
      <c r="KEZ1" s="2" t="n"/>
      <c r="KFA1" s="2" t="n"/>
      <c r="KFB1" s="2" t="n"/>
      <c r="KFC1" s="2" t="n"/>
      <c r="KFD1" s="2" t="n"/>
      <c r="KFE1" s="2" t="n"/>
      <c r="KFF1" s="2" t="n"/>
      <c r="KFG1" s="2" t="n"/>
      <c r="KFH1" s="2" t="n"/>
      <c r="KFI1" s="2" t="n"/>
      <c r="KFJ1" s="2" t="n"/>
      <c r="KFK1" s="2" t="n"/>
      <c r="KFL1" s="2" t="n"/>
      <c r="KFM1" s="2" t="n"/>
      <c r="KFN1" s="2" t="n"/>
      <c r="KFO1" s="2" t="n"/>
      <c r="KFP1" s="2" t="n"/>
      <c r="KFQ1" s="2" t="n"/>
      <c r="KFR1" s="2" t="n"/>
      <c r="KFS1" s="2" t="n"/>
      <c r="KFT1" s="2" t="n"/>
      <c r="KFU1" s="2" t="n"/>
      <c r="KFV1" s="2" t="n"/>
      <c r="KFW1" s="2" t="n"/>
      <c r="KFX1" s="2" t="n"/>
      <c r="KFY1" s="2" t="n"/>
      <c r="KFZ1" s="2" t="n"/>
      <c r="KGA1" s="2" t="n"/>
      <c r="KGB1" s="2" t="n"/>
      <c r="KGC1" s="2" t="n"/>
      <c r="KGD1" s="2" t="n"/>
      <c r="KGE1" s="2" t="n"/>
      <c r="KGF1" s="2" t="n"/>
      <c r="KGG1" s="2" t="n"/>
      <c r="KGH1" s="2" t="n"/>
      <c r="KGI1" s="2" t="n"/>
      <c r="KGJ1" s="2" t="n"/>
      <c r="KGK1" s="2" t="n"/>
      <c r="KGL1" s="2" t="n"/>
      <c r="KGM1" s="2" t="n"/>
      <c r="KGN1" s="2" t="n"/>
      <c r="KGO1" s="2" t="n"/>
      <c r="KGP1" s="2" t="n"/>
      <c r="KGQ1" s="2" t="n"/>
      <c r="KGR1" s="2" t="n"/>
      <c r="KGS1" s="2" t="n"/>
      <c r="KGT1" s="2" t="n"/>
      <c r="KGU1" s="2" t="n"/>
      <c r="KGV1" s="2" t="n"/>
      <c r="KGW1" s="2" t="n"/>
      <c r="KGX1" s="2" t="n"/>
      <c r="KGY1" s="2" t="n"/>
      <c r="KGZ1" s="2" t="n"/>
      <c r="KHA1" s="2" t="n"/>
      <c r="KHB1" s="2" t="n"/>
      <c r="KHC1" s="2" t="n"/>
      <c r="KHD1" s="2" t="n"/>
      <c r="KHE1" s="2" t="n"/>
      <c r="KHF1" s="2" t="n"/>
      <c r="KHG1" s="2" t="n"/>
      <c r="KHH1" s="2" t="n"/>
      <c r="KHI1" s="2" t="n"/>
      <c r="KHJ1" s="2" t="n"/>
      <c r="KHK1" s="2" t="n"/>
      <c r="KHL1" s="2" t="n"/>
      <c r="KHM1" s="2" t="n"/>
      <c r="KHN1" s="2" t="n"/>
      <c r="KHO1" s="2" t="n"/>
      <c r="KHP1" s="2" t="n"/>
      <c r="KHQ1" s="2" t="n"/>
      <c r="KHR1" s="2" t="n"/>
      <c r="KHS1" s="2" t="n"/>
      <c r="KHT1" s="2" t="n"/>
      <c r="KHU1" s="2" t="n"/>
      <c r="KHV1" s="2" t="n"/>
      <c r="KHW1" s="2" t="n"/>
      <c r="KHX1" s="2" t="n"/>
      <c r="KHY1" s="2" t="n"/>
      <c r="KHZ1" s="2" t="n"/>
      <c r="KIA1" s="2" t="n"/>
      <c r="KIB1" s="2" t="n"/>
      <c r="KIC1" s="2" t="n"/>
      <c r="KID1" s="2" t="n"/>
      <c r="KIE1" s="2" t="n"/>
      <c r="KIF1" s="2" t="n"/>
      <c r="KIG1" s="2" t="n"/>
      <c r="KIH1" s="2" t="n"/>
      <c r="KII1" s="2" t="n"/>
      <c r="KIJ1" s="2" t="n"/>
      <c r="KIK1" s="2" t="n"/>
      <c r="KIL1" s="2" t="n"/>
      <c r="KIM1" s="2" t="n"/>
      <c r="KIN1" s="2" t="n"/>
      <c r="KIO1" s="2" t="n"/>
      <c r="KIP1" s="2" t="n"/>
      <c r="KIQ1" s="2" t="n"/>
      <c r="KIR1" s="2" t="n"/>
      <c r="KIS1" s="2" t="n"/>
      <c r="KIT1" s="2" t="n"/>
      <c r="KIU1" s="2" t="n"/>
      <c r="KIV1" s="2" t="n"/>
      <c r="KIW1" s="2" t="n"/>
      <c r="KIX1" s="2" t="n"/>
      <c r="KIY1" s="2" t="n"/>
      <c r="KIZ1" s="2" t="n"/>
      <c r="KJA1" s="2" t="n"/>
      <c r="KJB1" s="2" t="n"/>
      <c r="KJC1" s="2" t="n"/>
      <c r="KJD1" s="2" t="n"/>
      <c r="KJE1" s="2" t="n"/>
      <c r="KJF1" s="2" t="n"/>
      <c r="KJG1" s="2" t="n"/>
      <c r="KJH1" s="2" t="n"/>
      <c r="KJI1" s="2" t="n"/>
      <c r="KJJ1" s="2" t="n"/>
      <c r="KJK1" s="2" t="n"/>
      <c r="KJL1" s="2" t="n"/>
      <c r="KJM1" s="2" t="n"/>
      <c r="KJN1" s="2" t="n"/>
      <c r="KJO1" s="2" t="n"/>
      <c r="KJP1" s="2" t="n"/>
      <c r="KJQ1" s="2" t="n"/>
      <c r="KJR1" s="2" t="n"/>
      <c r="KJS1" s="2" t="n"/>
      <c r="KJT1" s="2" t="n"/>
      <c r="KJU1" s="2" t="n"/>
      <c r="KJV1" s="2" t="n"/>
      <c r="KJW1" s="2" t="n"/>
      <c r="KJX1" s="2" t="n"/>
      <c r="KJY1" s="2" t="n"/>
      <c r="KJZ1" s="2" t="n"/>
      <c r="KKA1" s="2" t="n"/>
      <c r="KKB1" s="2" t="n"/>
      <c r="KKC1" s="2" t="n"/>
      <c r="KKD1" s="2" t="n"/>
      <c r="KKE1" s="2" t="n"/>
      <c r="KKF1" s="2" t="n"/>
      <c r="KKG1" s="2" t="n"/>
      <c r="KKH1" s="2" t="n"/>
      <c r="KKI1" s="2" t="n"/>
      <c r="KKJ1" s="2" t="n"/>
      <c r="KKK1" s="2" t="n"/>
      <c r="KKL1" s="2" t="n"/>
      <c r="KKM1" s="2" t="n"/>
      <c r="KKN1" s="2" t="n"/>
      <c r="KKO1" s="2" t="n"/>
      <c r="KKP1" s="2" t="n"/>
      <c r="KKQ1" s="2" t="n"/>
      <c r="KKR1" s="2" t="n"/>
      <c r="KKS1" s="2" t="n"/>
      <c r="KKT1" s="2" t="n"/>
      <c r="KKU1" s="2" t="n"/>
      <c r="KKV1" s="2" t="n"/>
      <c r="KKW1" s="2" t="n"/>
      <c r="KKX1" s="2" t="n"/>
      <c r="KKY1" s="2" t="n"/>
      <c r="KKZ1" s="2" t="n"/>
      <c r="KLA1" s="2" t="n"/>
      <c r="KLB1" s="2" t="n"/>
      <c r="KLC1" s="2" t="n"/>
      <c r="KLD1" s="2" t="n"/>
      <c r="KLE1" s="2" t="n"/>
      <c r="KLF1" s="2" t="n"/>
      <c r="KLG1" s="2" t="n"/>
      <c r="KLH1" s="2" t="n"/>
      <c r="KLI1" s="2" t="n"/>
      <c r="KLJ1" s="2" t="n"/>
      <c r="KLK1" s="2" t="n"/>
      <c r="KLL1" s="2" t="n"/>
      <c r="KLM1" s="2" t="n"/>
      <c r="KLN1" s="2" t="n"/>
      <c r="KLO1" s="2" t="n"/>
      <c r="KLP1" s="2" t="n"/>
      <c r="KLQ1" s="2" t="n"/>
      <c r="KLR1" s="2" t="n"/>
      <c r="KLS1" s="2" t="n"/>
      <c r="KLT1" s="2" t="n"/>
      <c r="KLU1" s="2" t="n"/>
      <c r="KLV1" s="2" t="n"/>
      <c r="KLW1" s="2" t="n"/>
      <c r="KLX1" s="2" t="n"/>
      <c r="KLY1" s="2" t="n"/>
      <c r="KLZ1" s="2" t="n"/>
      <c r="KMA1" s="2" t="n"/>
      <c r="KMB1" s="2" t="n"/>
      <c r="KMC1" s="2" t="n"/>
      <c r="KMD1" s="2" t="n"/>
      <c r="KME1" s="2" t="n"/>
      <c r="KMF1" s="2" t="n"/>
      <c r="KMG1" s="2" t="n"/>
      <c r="KMH1" s="2" t="n"/>
      <c r="KMI1" s="2" t="n"/>
      <c r="KMJ1" s="2" t="n"/>
      <c r="KMK1" s="2" t="n"/>
      <c r="KML1" s="2" t="n"/>
      <c r="KMM1" s="2" t="n"/>
      <c r="KMN1" s="2" t="n"/>
      <c r="KMO1" s="2" t="n"/>
      <c r="KMP1" s="2" t="n"/>
      <c r="KMQ1" s="2" t="n"/>
      <c r="KMR1" s="2" t="n"/>
      <c r="KMS1" s="2" t="n"/>
      <c r="KMT1" s="2" t="n"/>
      <c r="KMU1" s="2" t="n"/>
      <c r="KMV1" s="2" t="n"/>
      <c r="KMW1" s="2" t="n"/>
      <c r="KMX1" s="2" t="n"/>
      <c r="KMY1" s="2" t="n"/>
      <c r="KMZ1" s="2" t="n"/>
      <c r="KNA1" s="2" t="n"/>
      <c r="KNB1" s="2" t="n"/>
      <c r="KNC1" s="2" t="n"/>
      <c r="KND1" s="2" t="n"/>
      <c r="KNE1" s="2" t="n"/>
      <c r="KNF1" s="2" t="n"/>
      <c r="KNG1" s="2" t="n"/>
      <c r="KNH1" s="2" t="n"/>
      <c r="KNI1" s="2" t="n"/>
      <c r="KNJ1" s="2" t="n"/>
      <c r="KNK1" s="2" t="n"/>
      <c r="KNL1" s="2" t="n"/>
      <c r="KNM1" s="2" t="n"/>
      <c r="KNN1" s="2" t="n"/>
      <c r="KNO1" s="2" t="n"/>
      <c r="KNP1" s="2" t="n"/>
      <c r="KNQ1" s="2" t="n"/>
      <c r="KNR1" s="2" t="n"/>
      <c r="KNS1" s="2" t="n"/>
      <c r="KNT1" s="2" t="n"/>
      <c r="KNU1" s="2" t="n"/>
      <c r="KNV1" s="2" t="n"/>
      <c r="KNW1" s="2" t="n"/>
      <c r="KNX1" s="2" t="n"/>
      <c r="KNY1" s="2" t="n"/>
      <c r="KNZ1" s="2" t="n"/>
      <c r="KOA1" s="2" t="n"/>
      <c r="KOB1" s="2" t="n"/>
      <c r="KOC1" s="2" t="n"/>
      <c r="KOD1" s="2" t="n"/>
      <c r="KOE1" s="2" t="n"/>
      <c r="KOF1" s="2" t="n"/>
      <c r="KOG1" s="2" t="n"/>
      <c r="KOH1" s="2" t="n"/>
      <c r="KOI1" s="2" t="n"/>
      <c r="KOJ1" s="2" t="n"/>
      <c r="KOK1" s="2" t="n"/>
      <c r="KOL1" s="2" t="n"/>
      <c r="KOM1" s="2" t="n"/>
      <c r="KON1" s="2" t="n"/>
      <c r="KOO1" s="2" t="n"/>
      <c r="KOP1" s="2" t="n"/>
      <c r="KOQ1" s="2" t="n"/>
      <c r="KOR1" s="2" t="n"/>
      <c r="KOS1" s="2" t="n"/>
      <c r="KOT1" s="2" t="n"/>
      <c r="KOU1" s="2" t="n"/>
      <c r="KOV1" s="2" t="n"/>
      <c r="KOW1" s="2" t="n"/>
      <c r="KOX1" s="2" t="n"/>
      <c r="KOY1" s="2" t="n"/>
      <c r="KOZ1" s="2" t="n"/>
      <c r="KPA1" s="2" t="n"/>
      <c r="KPB1" s="2" t="n"/>
      <c r="KPC1" s="2" t="n"/>
      <c r="KPD1" s="2" t="n"/>
      <c r="KPE1" s="2" t="n"/>
      <c r="KPF1" s="2" t="n"/>
      <c r="KPG1" s="2" t="n"/>
      <c r="KPH1" s="2" t="n"/>
      <c r="KPI1" s="2" t="n"/>
      <c r="KPJ1" s="2" t="n"/>
      <c r="KPK1" s="2" t="n"/>
      <c r="KPL1" s="2" t="n"/>
      <c r="KPM1" s="2" t="n"/>
      <c r="KPN1" s="2" t="n"/>
      <c r="KPO1" s="2" t="n"/>
      <c r="KPP1" s="2" t="n"/>
      <c r="KPQ1" s="2" t="n"/>
      <c r="KPR1" s="2" t="n"/>
      <c r="KPS1" s="2" t="n"/>
      <c r="KPT1" s="2" t="n"/>
      <c r="KPU1" s="2" t="n"/>
      <c r="KPV1" s="2" t="n"/>
      <c r="KPW1" s="2" t="n"/>
      <c r="KPX1" s="2" t="n"/>
      <c r="KPY1" s="2" t="n"/>
      <c r="KPZ1" s="2" t="n"/>
      <c r="KQA1" s="2" t="n"/>
      <c r="KQB1" s="2" t="n"/>
      <c r="KQC1" s="2" t="n"/>
      <c r="KQD1" s="2" t="n"/>
      <c r="KQE1" s="2" t="n"/>
      <c r="KQF1" s="2" t="n"/>
      <c r="KQG1" s="2" t="n"/>
      <c r="KQH1" s="2" t="n"/>
      <c r="KQI1" s="2" t="n"/>
      <c r="KQJ1" s="2" t="n"/>
      <c r="KQK1" s="2" t="n"/>
      <c r="KQL1" s="2" t="n"/>
      <c r="KQM1" s="2" t="n"/>
      <c r="KQN1" s="2" t="n"/>
      <c r="KQO1" s="2" t="n"/>
      <c r="KQP1" s="2" t="n"/>
      <c r="KQQ1" s="2" t="n"/>
      <c r="KQR1" s="2" t="n"/>
      <c r="KQS1" s="2" t="n"/>
      <c r="KQT1" s="2" t="n"/>
      <c r="KQU1" s="2" t="n"/>
      <c r="KQV1" s="2" t="n"/>
      <c r="KQW1" s="2" t="n"/>
      <c r="KQX1" s="2" t="n"/>
      <c r="KQY1" s="2" t="n"/>
      <c r="KQZ1" s="2" t="n"/>
      <c r="KRA1" s="2" t="n"/>
      <c r="KRB1" s="2" t="n"/>
      <c r="KRC1" s="2" t="n"/>
      <c r="KRD1" s="2" t="n"/>
      <c r="KRE1" s="2" t="n"/>
      <c r="KRF1" s="2" t="n"/>
      <c r="KRG1" s="2" t="n"/>
      <c r="KRH1" s="2" t="n"/>
      <c r="KRI1" s="2" t="n"/>
      <c r="KRJ1" s="2" t="n"/>
      <c r="KRK1" s="2" t="n"/>
      <c r="KRL1" s="2" t="n"/>
      <c r="KRM1" s="2" t="n"/>
      <c r="KRN1" s="2" t="n"/>
      <c r="KRO1" s="2" t="n"/>
      <c r="KRP1" s="2" t="n"/>
      <c r="KRQ1" s="2" t="n"/>
      <c r="KRR1" s="2" t="n"/>
      <c r="KRS1" s="2" t="n"/>
      <c r="KRT1" s="2" t="n"/>
      <c r="KRU1" s="2" t="n"/>
      <c r="KRV1" s="2" t="n"/>
      <c r="KRW1" s="2" t="n"/>
      <c r="KRX1" s="2" t="n"/>
      <c r="KRY1" s="2" t="n"/>
      <c r="KRZ1" s="2" t="n"/>
      <c r="KSA1" s="2" t="n"/>
      <c r="KSB1" s="2" t="n"/>
      <c r="KSC1" s="2" t="n"/>
      <c r="KSD1" s="2" t="n"/>
      <c r="KSE1" s="2" t="n"/>
      <c r="KSF1" s="2" t="n"/>
      <c r="KSG1" s="2" t="n"/>
      <c r="KSH1" s="2" t="n"/>
      <c r="KSI1" s="2" t="n"/>
      <c r="KSJ1" s="2" t="n"/>
      <c r="KSK1" s="2" t="n"/>
      <c r="KSL1" s="2" t="n"/>
      <c r="KSM1" s="2" t="n"/>
      <c r="KSN1" s="2" t="n"/>
      <c r="KSO1" s="2" t="n"/>
      <c r="KSP1" s="2" t="n"/>
      <c r="KSQ1" s="2" t="n"/>
      <c r="KSR1" s="2" t="n"/>
      <c r="KSS1" s="2" t="n"/>
      <c r="KST1" s="2" t="n"/>
      <c r="KSU1" s="2" t="n"/>
      <c r="KSV1" s="2" t="n"/>
      <c r="KSW1" s="2" t="n"/>
      <c r="KSX1" s="2" t="n"/>
      <c r="KSY1" s="2" t="n"/>
      <c r="KSZ1" s="2" t="n"/>
      <c r="KTA1" s="2" t="n"/>
      <c r="KTB1" s="2" t="n"/>
      <c r="KTC1" s="2" t="n"/>
      <c r="KTD1" s="2" t="n"/>
      <c r="KTE1" s="2" t="n"/>
      <c r="KTF1" s="2" t="n"/>
      <c r="KTG1" s="2" t="n"/>
      <c r="KTH1" s="2" t="n"/>
      <c r="KTI1" s="2" t="n"/>
      <c r="KTJ1" s="2" t="n"/>
      <c r="KTK1" s="2" t="n"/>
      <c r="KTL1" s="2" t="n"/>
      <c r="KTM1" s="2" t="n"/>
      <c r="KTN1" s="2" t="n"/>
      <c r="KTO1" s="2" t="n"/>
      <c r="KTP1" s="2" t="n"/>
      <c r="KTQ1" s="2" t="n"/>
      <c r="KTR1" s="2" t="n"/>
      <c r="KTS1" s="2" t="n"/>
      <c r="KTT1" s="2" t="n"/>
      <c r="KTU1" s="2" t="n"/>
      <c r="KTV1" s="2" t="n"/>
      <c r="KTW1" s="2" t="n"/>
      <c r="KTX1" s="2" t="n"/>
      <c r="KTY1" s="2" t="n"/>
      <c r="KTZ1" s="2" t="n"/>
      <c r="KUA1" s="2" t="n"/>
      <c r="KUB1" s="2" t="n"/>
      <c r="KUC1" s="2" t="n"/>
      <c r="KUD1" s="2" t="n"/>
      <c r="KUE1" s="2" t="n"/>
      <c r="KUF1" s="2" t="n"/>
      <c r="KUG1" s="2" t="n"/>
      <c r="KUH1" s="2" t="n"/>
      <c r="KUI1" s="2" t="n"/>
      <c r="KUJ1" s="2" t="n"/>
      <c r="KUK1" s="2" t="n"/>
      <c r="KUL1" s="2" t="n"/>
      <c r="KUM1" s="2" t="n"/>
      <c r="KUN1" s="2" t="n"/>
      <c r="KUO1" s="2" t="n"/>
      <c r="KUP1" s="2" t="n"/>
      <c r="KUQ1" s="2" t="n"/>
      <c r="KUR1" s="2" t="n"/>
      <c r="KUS1" s="2" t="n"/>
      <c r="KUT1" s="2" t="n"/>
      <c r="KUU1" s="2" t="n"/>
      <c r="KUV1" s="2" t="n"/>
      <c r="KUW1" s="2" t="n"/>
      <c r="KUX1" s="2" t="n"/>
      <c r="KUY1" s="2" t="n"/>
      <c r="KUZ1" s="2" t="n"/>
      <c r="KVA1" s="2" t="n"/>
      <c r="KVB1" s="2" t="n"/>
      <c r="KVC1" s="2" t="n"/>
      <c r="KVD1" s="2" t="n"/>
      <c r="KVE1" s="2" t="n"/>
      <c r="KVF1" s="2" t="n"/>
      <c r="KVG1" s="2" t="n"/>
      <c r="KVH1" s="2" t="n"/>
      <c r="KVI1" s="2" t="n"/>
      <c r="KVJ1" s="2" t="n"/>
      <c r="KVK1" s="2" t="n"/>
      <c r="KVL1" s="2" t="n"/>
      <c r="KVM1" s="2" t="n"/>
      <c r="KVN1" s="2" t="n"/>
      <c r="KVO1" s="2" t="n"/>
      <c r="KVP1" s="2" t="n"/>
      <c r="KVQ1" s="2" t="n"/>
      <c r="KVR1" s="2" t="n"/>
      <c r="KVS1" s="2" t="n"/>
      <c r="KVT1" s="2" t="n"/>
      <c r="KVU1" s="2" t="n"/>
      <c r="KVV1" s="2" t="n"/>
      <c r="KVW1" s="2" t="n"/>
      <c r="KVX1" s="2" t="n"/>
      <c r="KVY1" s="2" t="n"/>
      <c r="KVZ1" s="2" t="n"/>
      <c r="KWA1" s="2" t="n"/>
      <c r="KWB1" s="2" t="n"/>
      <c r="KWC1" s="2" t="n"/>
      <c r="KWD1" s="2" t="n"/>
      <c r="KWE1" s="2" t="n"/>
      <c r="KWF1" s="2" t="n"/>
      <c r="KWG1" s="2" t="n"/>
      <c r="KWH1" s="2" t="n"/>
      <c r="KWI1" s="2" t="n"/>
      <c r="KWJ1" s="2" t="n"/>
      <c r="KWK1" s="2" t="n"/>
      <c r="KWL1" s="2" t="n"/>
      <c r="KWM1" s="2" t="n"/>
      <c r="KWN1" s="2" t="n"/>
      <c r="KWO1" s="2" t="n"/>
      <c r="KWP1" s="2" t="n"/>
      <c r="KWQ1" s="2" t="n"/>
      <c r="KWR1" s="2" t="n"/>
      <c r="KWS1" s="2" t="n"/>
      <c r="KWT1" s="2" t="n"/>
      <c r="KWU1" s="2" t="n"/>
      <c r="KWV1" s="2" t="n"/>
      <c r="KWW1" s="2" t="n"/>
      <c r="KWX1" s="2" t="n"/>
      <c r="KWY1" s="2" t="n"/>
      <c r="KWZ1" s="2" t="n"/>
      <c r="KXA1" s="2" t="n"/>
      <c r="KXB1" s="2" t="n"/>
      <c r="KXC1" s="2" t="n"/>
      <c r="KXD1" s="2" t="n"/>
      <c r="KXE1" s="2" t="n"/>
      <c r="KXF1" s="2" t="n"/>
      <c r="KXG1" s="2" t="n"/>
      <c r="KXH1" s="2" t="n"/>
      <c r="KXI1" s="2" t="n"/>
      <c r="KXJ1" s="2" t="n"/>
      <c r="KXK1" s="2" t="n"/>
      <c r="KXL1" s="2" t="n"/>
      <c r="KXM1" s="2" t="n"/>
      <c r="KXN1" s="2" t="n"/>
      <c r="KXO1" s="2" t="n"/>
      <c r="KXP1" s="2" t="n"/>
      <c r="KXQ1" s="2" t="n"/>
      <c r="KXR1" s="2" t="n"/>
      <c r="KXS1" s="2" t="n"/>
      <c r="KXT1" s="2" t="n"/>
      <c r="KXU1" s="2" t="n"/>
      <c r="KXV1" s="2" t="n"/>
      <c r="KXW1" s="2" t="n"/>
      <c r="KXX1" s="2" t="n"/>
      <c r="KXY1" s="2" t="n"/>
      <c r="KXZ1" s="2" t="n"/>
      <c r="KYA1" s="2" t="n"/>
      <c r="KYB1" s="2" t="n"/>
      <c r="KYC1" s="2" t="n"/>
      <c r="KYD1" s="2" t="n"/>
      <c r="KYE1" s="2" t="n"/>
      <c r="KYF1" s="2" t="n"/>
      <c r="KYG1" s="2" t="n"/>
      <c r="KYH1" s="2" t="n"/>
      <c r="KYI1" s="2" t="n"/>
      <c r="KYJ1" s="2" t="n"/>
      <c r="KYK1" s="2" t="n"/>
      <c r="KYL1" s="2" t="n"/>
      <c r="KYM1" s="2" t="n"/>
      <c r="KYN1" s="2" t="n"/>
      <c r="KYO1" s="2" t="n"/>
      <c r="KYP1" s="2" t="n"/>
      <c r="KYQ1" s="2" t="n"/>
      <c r="KYR1" s="2" t="n"/>
      <c r="KYS1" s="2" t="n"/>
      <c r="KYT1" s="2" t="n"/>
      <c r="KYU1" s="2" t="n"/>
      <c r="KYV1" s="2" t="n"/>
      <c r="KYW1" s="2" t="n"/>
      <c r="KYX1" s="2" t="n"/>
      <c r="KYY1" s="2" t="n"/>
      <c r="KYZ1" s="2" t="n"/>
      <c r="KZA1" s="2" t="n"/>
      <c r="KZB1" s="2" t="n"/>
      <c r="KZC1" s="2" t="n"/>
      <c r="KZD1" s="2" t="n"/>
      <c r="KZE1" s="2" t="n"/>
      <c r="KZF1" s="2" t="n"/>
      <c r="KZG1" s="2" t="n"/>
      <c r="KZH1" s="2" t="n"/>
      <c r="KZI1" s="2" t="n"/>
      <c r="KZJ1" s="2" t="n"/>
      <c r="KZK1" s="2" t="n"/>
      <c r="KZL1" s="2" t="n"/>
      <c r="KZM1" s="2" t="n"/>
      <c r="KZN1" s="2" t="n"/>
      <c r="KZO1" s="2" t="n"/>
      <c r="KZP1" s="2" t="n"/>
      <c r="KZQ1" s="2" t="n"/>
      <c r="KZR1" s="2" t="n"/>
      <c r="KZS1" s="2" t="n"/>
      <c r="KZT1" s="2" t="n"/>
      <c r="KZU1" s="2" t="n"/>
      <c r="KZV1" s="2" t="n"/>
      <c r="KZW1" s="2" t="n"/>
      <c r="KZX1" s="2" t="n"/>
      <c r="KZY1" s="2" t="n"/>
      <c r="KZZ1" s="2" t="n"/>
      <c r="LAA1" s="2" t="n"/>
      <c r="LAB1" s="2" t="n"/>
      <c r="LAC1" s="2" t="n"/>
      <c r="LAD1" s="2" t="n"/>
      <c r="LAE1" s="2" t="n"/>
      <c r="LAF1" s="2" t="n"/>
      <c r="LAG1" s="2" t="n"/>
      <c r="LAH1" s="2" t="n"/>
      <c r="LAI1" s="2" t="n"/>
      <c r="LAJ1" s="2" t="n"/>
      <c r="LAK1" s="2" t="n"/>
      <c r="LAL1" s="2" t="n"/>
      <c r="LAM1" s="2" t="n"/>
      <c r="LAN1" s="2" t="n"/>
      <c r="LAO1" s="2" t="n"/>
      <c r="LAP1" s="2" t="n"/>
      <c r="LAQ1" s="2" t="n"/>
      <c r="LAR1" s="2" t="n"/>
      <c r="LAS1" s="2" t="n"/>
      <c r="LAT1" s="2" t="n"/>
      <c r="LAU1" s="2" t="n"/>
      <c r="LAV1" s="2" t="n"/>
      <c r="LAW1" s="2" t="n"/>
      <c r="LAX1" s="2" t="n"/>
      <c r="LAY1" s="2" t="n"/>
      <c r="LAZ1" s="2" t="n"/>
      <c r="LBA1" s="2" t="n"/>
      <c r="LBB1" s="2" t="n"/>
      <c r="LBC1" s="2" t="n"/>
      <c r="LBD1" s="2" t="n"/>
      <c r="LBE1" s="2" t="n"/>
      <c r="LBF1" s="2" t="n"/>
      <c r="LBG1" s="2" t="n"/>
      <c r="LBH1" s="2" t="n"/>
      <c r="LBI1" s="2" t="n"/>
      <c r="LBJ1" s="2" t="n"/>
      <c r="LBK1" s="2" t="n"/>
      <c r="LBL1" s="2" t="n"/>
      <c r="LBM1" s="2" t="n"/>
      <c r="LBN1" s="2" t="n"/>
      <c r="LBO1" s="2" t="n"/>
      <c r="LBP1" s="2" t="n"/>
      <c r="LBQ1" s="2" t="n"/>
      <c r="LBR1" s="2" t="n"/>
      <c r="LBS1" s="2" t="n"/>
      <c r="LBT1" s="2" t="n"/>
      <c r="LBU1" s="2" t="n"/>
      <c r="LBV1" s="2" t="n"/>
      <c r="LBW1" s="2" t="n"/>
      <c r="LBX1" s="2" t="n"/>
      <c r="LBY1" s="2" t="n"/>
      <c r="LBZ1" s="2" t="n"/>
      <c r="LCA1" s="2" t="n"/>
      <c r="LCB1" s="2" t="n"/>
      <c r="LCC1" s="2" t="n"/>
      <c r="LCD1" s="2" t="n"/>
      <c r="LCE1" s="2" t="n"/>
      <c r="LCF1" s="2" t="n"/>
      <c r="LCG1" s="2" t="n"/>
      <c r="LCH1" s="2" t="n"/>
      <c r="LCI1" s="2" t="n"/>
      <c r="LCJ1" s="2" t="n"/>
      <c r="LCK1" s="2" t="n"/>
      <c r="LCL1" s="2" t="n"/>
      <c r="LCM1" s="2" t="n"/>
      <c r="LCN1" s="2" t="n"/>
      <c r="LCO1" s="2" t="n"/>
      <c r="LCP1" s="2" t="n"/>
      <c r="LCQ1" s="2" t="n"/>
      <c r="LCR1" s="2" t="n"/>
      <c r="LCS1" s="2" t="n"/>
      <c r="LCT1" s="2" t="n"/>
      <c r="LCU1" s="2" t="n"/>
      <c r="LCV1" s="2" t="n"/>
      <c r="LCW1" s="2" t="n"/>
      <c r="LCX1" s="2" t="n"/>
      <c r="LCY1" s="2" t="n"/>
      <c r="LCZ1" s="2" t="n"/>
      <c r="LDA1" s="2" t="n"/>
      <c r="LDB1" s="2" t="n"/>
      <c r="LDC1" s="2" t="n"/>
      <c r="LDD1" s="2" t="n"/>
      <c r="LDE1" s="2" t="n"/>
      <c r="LDF1" s="2" t="n"/>
      <c r="LDG1" s="2" t="n"/>
      <c r="LDH1" s="2" t="n"/>
      <c r="LDI1" s="2" t="n"/>
      <c r="LDJ1" s="2" t="n"/>
      <c r="LDK1" s="2" t="n"/>
      <c r="LDL1" s="2" t="n"/>
      <c r="LDM1" s="2" t="n"/>
      <c r="LDN1" s="2" t="n"/>
      <c r="LDO1" s="2" t="n"/>
      <c r="LDP1" s="2" t="n"/>
      <c r="LDQ1" s="2" t="n"/>
      <c r="LDR1" s="2" t="n"/>
      <c r="LDS1" s="2" t="n"/>
      <c r="LDT1" s="2" t="n"/>
      <c r="LDU1" s="2" t="n"/>
      <c r="LDV1" s="2" t="n"/>
      <c r="LDW1" s="2" t="n"/>
      <c r="LDX1" s="2" t="n"/>
      <c r="LDY1" s="2" t="n"/>
      <c r="LDZ1" s="2" t="n"/>
      <c r="LEA1" s="2" t="n"/>
      <c r="LEB1" s="2" t="n"/>
      <c r="LEC1" s="2" t="n"/>
      <c r="LED1" s="2" t="n"/>
      <c r="LEE1" s="2" t="n"/>
      <c r="LEF1" s="2" t="n"/>
      <c r="LEG1" s="2" t="n"/>
      <c r="LEH1" s="2" t="n"/>
      <c r="LEI1" s="2" t="n"/>
      <c r="LEJ1" s="2" t="n"/>
      <c r="LEK1" s="2" t="n"/>
      <c r="LEL1" s="2" t="n"/>
      <c r="LEM1" s="2" t="n"/>
      <c r="LEN1" s="2" t="n"/>
      <c r="LEO1" s="2" t="n"/>
      <c r="LEP1" s="2" t="n"/>
      <c r="LEQ1" s="2" t="n"/>
      <c r="LER1" s="2" t="n"/>
      <c r="LES1" s="2" t="n"/>
      <c r="LET1" s="2" t="n"/>
      <c r="LEU1" s="2" t="n"/>
      <c r="LEV1" s="2" t="n"/>
      <c r="LEW1" s="2" t="n"/>
      <c r="LEX1" s="2" t="n"/>
      <c r="LEY1" s="2" t="n"/>
      <c r="LEZ1" s="2" t="n"/>
      <c r="LFA1" s="2" t="n"/>
      <c r="LFB1" s="2" t="n"/>
      <c r="LFC1" s="2" t="n"/>
      <c r="LFD1" s="2" t="n"/>
      <c r="LFE1" s="2" t="n"/>
      <c r="LFF1" s="2" t="n"/>
      <c r="LFG1" s="2" t="n"/>
      <c r="LFH1" s="2" t="n"/>
      <c r="LFI1" s="2" t="n"/>
      <c r="LFJ1" s="2" t="n"/>
      <c r="LFK1" s="2" t="n"/>
      <c r="LFL1" s="2" t="n"/>
      <c r="LFM1" s="2" t="n"/>
      <c r="LFN1" s="2" t="n"/>
      <c r="LFO1" s="2" t="n"/>
      <c r="LFP1" s="2" t="n"/>
      <c r="LFQ1" s="2" t="n"/>
      <c r="LFR1" s="2" t="n"/>
      <c r="LFS1" s="2" t="n"/>
      <c r="LFT1" s="2" t="n"/>
      <c r="LFU1" s="2" t="n"/>
      <c r="LFV1" s="2" t="n"/>
      <c r="LFW1" s="2" t="n"/>
      <c r="LFX1" s="2" t="n"/>
      <c r="LFY1" s="2" t="n"/>
      <c r="LFZ1" s="2" t="n"/>
      <c r="LGA1" s="2" t="n"/>
      <c r="LGB1" s="2" t="n"/>
      <c r="LGC1" s="2" t="n"/>
      <c r="LGD1" s="2" t="n"/>
      <c r="LGE1" s="2" t="n"/>
      <c r="LGF1" s="2" t="n"/>
      <c r="LGG1" s="2" t="n"/>
      <c r="LGH1" s="2" t="n"/>
      <c r="LGI1" s="2" t="n"/>
      <c r="LGJ1" s="2" t="n"/>
      <c r="LGK1" s="2" t="n"/>
      <c r="LGL1" s="2" t="n"/>
      <c r="LGM1" s="2" t="n"/>
      <c r="LGN1" s="2" t="n"/>
      <c r="LGO1" s="2" t="n"/>
      <c r="LGP1" s="2" t="n"/>
      <c r="LGQ1" s="2" t="n"/>
      <c r="LGR1" s="2" t="n"/>
      <c r="LGS1" s="2" t="n"/>
      <c r="LGT1" s="2" t="n"/>
      <c r="LGU1" s="2" t="n"/>
      <c r="LGV1" s="2" t="n"/>
      <c r="LGW1" s="2" t="n"/>
      <c r="LGX1" s="2" t="n"/>
      <c r="LGY1" s="2" t="n"/>
      <c r="LGZ1" s="2" t="n"/>
      <c r="LHA1" s="2" t="n"/>
      <c r="LHB1" s="2" t="n"/>
      <c r="LHC1" s="2" t="n"/>
      <c r="LHD1" s="2" t="n"/>
      <c r="LHE1" s="2" t="n"/>
      <c r="LHF1" s="2" t="n"/>
      <c r="LHG1" s="2" t="n"/>
      <c r="LHH1" s="2" t="n"/>
      <c r="LHI1" s="2" t="n"/>
      <c r="LHJ1" s="2" t="n"/>
      <c r="LHK1" s="2" t="n"/>
      <c r="LHL1" s="2" t="n"/>
      <c r="LHM1" s="2" t="n"/>
      <c r="LHN1" s="2" t="n"/>
      <c r="LHO1" s="2" t="n"/>
      <c r="LHP1" s="2" t="n"/>
      <c r="LHQ1" s="2" t="n"/>
      <c r="LHR1" s="2" t="n"/>
      <c r="LHS1" s="2" t="n"/>
      <c r="LHT1" s="2" t="n"/>
      <c r="LHU1" s="2" t="n"/>
      <c r="LHV1" s="2" t="n"/>
      <c r="LHW1" s="2" t="n"/>
      <c r="LHX1" s="2" t="n"/>
      <c r="LHY1" s="2" t="n"/>
      <c r="LHZ1" s="2" t="n"/>
      <c r="LIA1" s="2" t="n"/>
      <c r="LIB1" s="2" t="n"/>
      <c r="LIC1" s="2" t="n"/>
      <c r="LID1" s="2" t="n"/>
      <c r="LIE1" s="2" t="n"/>
      <c r="LIF1" s="2" t="n"/>
      <c r="LIG1" s="2" t="n"/>
      <c r="LIH1" s="2" t="n"/>
      <c r="LII1" s="2" t="n"/>
      <c r="LIJ1" s="2" t="n"/>
      <c r="LIK1" s="2" t="n"/>
      <c r="LIL1" s="2" t="n"/>
      <c r="LIM1" s="2" t="n"/>
      <c r="LIN1" s="2" t="n"/>
      <c r="LIO1" s="2" t="n"/>
      <c r="LIP1" s="2" t="n"/>
      <c r="LIQ1" s="2" t="n"/>
      <c r="LIR1" s="2" t="n"/>
      <c r="LIS1" s="2" t="n"/>
      <c r="LIT1" s="2" t="n"/>
      <c r="LIU1" s="2" t="n"/>
      <c r="LIV1" s="2" t="n"/>
      <c r="LIW1" s="2" t="n"/>
      <c r="LIX1" s="2" t="n"/>
      <c r="LIY1" s="2" t="n"/>
      <c r="LIZ1" s="2" t="n"/>
      <c r="LJA1" s="2" t="n"/>
      <c r="LJB1" s="2" t="n"/>
      <c r="LJC1" s="2" t="n"/>
      <c r="LJD1" s="2" t="n"/>
      <c r="LJE1" s="2" t="n"/>
      <c r="LJF1" s="2" t="n"/>
      <c r="LJG1" s="2" t="n"/>
      <c r="LJH1" s="2" t="n"/>
      <c r="LJI1" s="2" t="n"/>
      <c r="LJJ1" s="2" t="n"/>
      <c r="LJK1" s="2" t="n"/>
      <c r="LJL1" s="2" t="n"/>
      <c r="LJM1" s="2" t="n"/>
      <c r="LJN1" s="2" t="n"/>
      <c r="LJO1" s="2" t="n"/>
      <c r="LJP1" s="2" t="n"/>
      <c r="LJQ1" s="2" t="n"/>
      <c r="LJR1" s="2" t="n"/>
      <c r="LJS1" s="2" t="n"/>
      <c r="LJT1" s="2" t="n"/>
      <c r="LJU1" s="2" t="n"/>
      <c r="LJV1" s="2" t="n"/>
      <c r="LJW1" s="2" t="n"/>
      <c r="LJX1" s="2" t="n"/>
      <c r="LJY1" s="2" t="n"/>
      <c r="LJZ1" s="2" t="n"/>
      <c r="LKA1" s="2" t="n"/>
      <c r="LKB1" s="2" t="n"/>
      <c r="LKC1" s="2" t="n"/>
      <c r="LKD1" s="2" t="n"/>
      <c r="LKE1" s="2" t="n"/>
      <c r="LKF1" s="2" t="n"/>
      <c r="LKG1" s="2" t="n"/>
      <c r="LKH1" s="2" t="n"/>
      <c r="LKI1" s="2" t="n"/>
      <c r="LKJ1" s="2" t="n"/>
      <c r="LKK1" s="2" t="n"/>
      <c r="LKL1" s="2" t="n"/>
      <c r="LKM1" s="2" t="n"/>
      <c r="LKN1" s="2" t="n"/>
      <c r="LKO1" s="2" t="n"/>
      <c r="LKP1" s="2" t="n"/>
      <c r="LKQ1" s="2" t="n"/>
      <c r="LKR1" s="2" t="n"/>
      <c r="LKS1" s="2" t="n"/>
      <c r="LKT1" s="2" t="n"/>
      <c r="LKU1" s="2" t="n"/>
      <c r="LKV1" s="2" t="n"/>
      <c r="LKW1" s="2" t="n"/>
      <c r="LKX1" s="2" t="n"/>
      <c r="LKY1" s="2" t="n"/>
      <c r="LKZ1" s="2" t="n"/>
      <c r="LLA1" s="2" t="n"/>
      <c r="LLB1" s="2" t="n"/>
      <c r="LLC1" s="2" t="n"/>
      <c r="LLD1" s="2" t="n"/>
      <c r="LLE1" s="2" t="n"/>
      <c r="LLF1" s="2" t="n"/>
      <c r="LLG1" s="2" t="n"/>
      <c r="LLH1" s="2" t="n"/>
      <c r="LLI1" s="2" t="n"/>
      <c r="LLJ1" s="2" t="n"/>
      <c r="LLK1" s="2" t="n"/>
      <c r="LLL1" s="2" t="n"/>
      <c r="LLM1" s="2" t="n"/>
      <c r="LLN1" s="2" t="n"/>
      <c r="LLO1" s="2" t="n"/>
      <c r="LLP1" s="2" t="n"/>
      <c r="LLQ1" s="2" t="n"/>
      <c r="LLR1" s="2" t="n"/>
      <c r="LLS1" s="2" t="n"/>
      <c r="LLT1" s="2" t="n"/>
      <c r="LLU1" s="2" t="n"/>
      <c r="LLV1" s="2" t="n"/>
      <c r="LLW1" s="2" t="n"/>
      <c r="LLX1" s="2" t="n"/>
      <c r="LLY1" s="2" t="n"/>
      <c r="LLZ1" s="2" t="n"/>
      <c r="LMA1" s="2" t="n"/>
      <c r="LMB1" s="2" t="n"/>
      <c r="LMC1" s="2" t="n"/>
      <c r="LMD1" s="2" t="n"/>
      <c r="LME1" s="2" t="n"/>
      <c r="LMF1" s="2" t="n"/>
      <c r="LMG1" s="2" t="n"/>
      <c r="LMH1" s="2" t="n"/>
      <c r="LMI1" s="2" t="n"/>
      <c r="LMJ1" s="2" t="n"/>
      <c r="LMK1" s="2" t="n"/>
      <c r="LML1" s="2" t="n"/>
      <c r="LMM1" s="2" t="n"/>
      <c r="LMN1" s="2" t="n"/>
      <c r="LMO1" s="2" t="n"/>
      <c r="LMP1" s="2" t="n"/>
      <c r="LMQ1" s="2" t="n"/>
      <c r="LMR1" s="2" t="n"/>
      <c r="LMS1" s="2" t="n"/>
      <c r="LMT1" s="2" t="n"/>
      <c r="LMU1" s="2" t="n"/>
      <c r="LMV1" s="2" t="n"/>
      <c r="LMW1" s="2" t="n"/>
      <c r="LMX1" s="2" t="n"/>
      <c r="LMY1" s="2" t="n"/>
      <c r="LMZ1" s="2" t="n"/>
      <c r="LNA1" s="2" t="n"/>
      <c r="LNB1" s="2" t="n"/>
      <c r="LNC1" s="2" t="n"/>
      <c r="LND1" s="2" t="n"/>
      <c r="LNE1" s="2" t="n"/>
      <c r="LNF1" s="2" t="n"/>
      <c r="LNG1" s="2" t="n"/>
      <c r="LNH1" s="2" t="n"/>
      <c r="LNI1" s="2" t="n"/>
      <c r="LNJ1" s="2" t="n"/>
      <c r="LNK1" s="2" t="n"/>
      <c r="LNL1" s="2" t="n"/>
      <c r="LNM1" s="2" t="n"/>
      <c r="LNN1" s="2" t="n"/>
      <c r="LNO1" s="2" t="n"/>
      <c r="LNP1" s="2" t="n"/>
      <c r="LNQ1" s="2" t="n"/>
      <c r="LNR1" s="2" t="n"/>
      <c r="LNS1" s="2" t="n"/>
      <c r="LNT1" s="2" t="n"/>
      <c r="LNU1" s="2" t="n"/>
      <c r="LNV1" s="2" t="n"/>
      <c r="LNW1" s="2" t="n"/>
      <c r="LNX1" s="2" t="n"/>
      <c r="LNY1" s="2" t="n"/>
      <c r="LNZ1" s="2" t="n"/>
      <c r="LOA1" s="2" t="n"/>
      <c r="LOB1" s="2" t="n"/>
      <c r="LOC1" s="2" t="n"/>
      <c r="LOD1" s="2" t="n"/>
      <c r="LOE1" s="2" t="n"/>
      <c r="LOF1" s="2" t="n"/>
      <c r="LOG1" s="2" t="n"/>
      <c r="LOH1" s="2" t="n"/>
      <c r="LOI1" s="2" t="n"/>
      <c r="LOJ1" s="2" t="n"/>
      <c r="LOK1" s="2" t="n"/>
      <c r="LOL1" s="2" t="n"/>
      <c r="LOM1" s="2" t="n"/>
      <c r="LON1" s="2" t="n"/>
      <c r="LOO1" s="2" t="n"/>
      <c r="LOP1" s="2" t="n"/>
      <c r="LOQ1" s="2" t="n"/>
      <c r="LOR1" s="2" t="n"/>
      <c r="LOS1" s="2" t="n"/>
      <c r="LOT1" s="2" t="n"/>
      <c r="LOU1" s="2" t="n"/>
      <c r="LOV1" s="2" t="n"/>
      <c r="LOW1" s="2" t="n"/>
      <c r="LOX1" s="2" t="n"/>
      <c r="LOY1" s="2" t="n"/>
      <c r="LOZ1" s="2" t="n"/>
      <c r="LPA1" s="2" t="n"/>
      <c r="LPB1" s="2" t="n"/>
      <c r="LPC1" s="2" t="n"/>
      <c r="LPD1" s="2" t="n"/>
      <c r="LPE1" s="2" t="n"/>
      <c r="LPF1" s="2" t="n"/>
      <c r="LPG1" s="2" t="n"/>
      <c r="LPH1" s="2" t="n"/>
      <c r="LPI1" s="2" t="n"/>
      <c r="LPJ1" s="2" t="n"/>
      <c r="LPK1" s="2" t="n"/>
      <c r="LPL1" s="2" t="n"/>
      <c r="LPM1" s="2" t="n"/>
      <c r="LPN1" s="2" t="n"/>
      <c r="LPO1" s="2" t="n"/>
      <c r="LPP1" s="2" t="n"/>
      <c r="LPQ1" s="2" t="n"/>
      <c r="LPR1" s="2" t="n"/>
      <c r="LPS1" s="2" t="n"/>
      <c r="LPT1" s="2" t="n"/>
      <c r="LPU1" s="2" t="n"/>
      <c r="LPV1" s="2" t="n"/>
      <c r="LPW1" s="2" t="n"/>
      <c r="LPX1" s="2" t="n"/>
      <c r="LPY1" s="2" t="n"/>
      <c r="LPZ1" s="2" t="n"/>
      <c r="LQA1" s="2" t="n"/>
      <c r="LQB1" s="2" t="n"/>
      <c r="LQC1" s="2" t="n"/>
      <c r="LQD1" s="2" t="n"/>
      <c r="LQE1" s="2" t="n"/>
      <c r="LQF1" s="2" t="n"/>
      <c r="LQG1" s="2" t="n"/>
      <c r="LQH1" s="2" t="n"/>
      <c r="LQI1" s="2" t="n"/>
      <c r="LQJ1" s="2" t="n"/>
      <c r="LQK1" s="2" t="n"/>
      <c r="LQL1" s="2" t="n"/>
      <c r="LQM1" s="2" t="n"/>
      <c r="LQN1" s="2" t="n"/>
      <c r="LQO1" s="2" t="n"/>
      <c r="LQP1" s="2" t="n"/>
      <c r="LQQ1" s="2" t="n"/>
      <c r="LQR1" s="2" t="n"/>
      <c r="LQS1" s="2" t="n"/>
      <c r="LQT1" s="2" t="n"/>
      <c r="LQU1" s="2" t="n"/>
      <c r="LQV1" s="2" t="n"/>
      <c r="LQW1" s="2" t="n"/>
      <c r="LQX1" s="2" t="n"/>
      <c r="LQY1" s="2" t="n"/>
      <c r="LQZ1" s="2" t="n"/>
      <c r="LRA1" s="2" t="n"/>
      <c r="LRB1" s="2" t="n"/>
      <c r="LRC1" s="2" t="n"/>
      <c r="LRD1" s="2" t="n"/>
      <c r="LRE1" s="2" t="n"/>
      <c r="LRF1" s="2" t="n"/>
      <c r="LRG1" s="2" t="n"/>
      <c r="LRH1" s="2" t="n"/>
      <c r="LRI1" s="2" t="n"/>
      <c r="LRJ1" s="2" t="n"/>
      <c r="LRK1" s="2" t="n"/>
      <c r="LRL1" s="2" t="n"/>
      <c r="LRM1" s="2" t="n"/>
      <c r="LRN1" s="2" t="n"/>
      <c r="LRO1" s="2" t="n"/>
      <c r="LRP1" s="2" t="n"/>
      <c r="LRQ1" s="2" t="n"/>
      <c r="LRR1" s="2" t="n"/>
      <c r="LRS1" s="2" t="n"/>
      <c r="LRT1" s="2" t="n"/>
      <c r="LRU1" s="2" t="n"/>
      <c r="LRV1" s="2" t="n"/>
      <c r="LRW1" s="2" t="n"/>
      <c r="LRX1" s="2" t="n"/>
      <c r="LRY1" s="2" t="n"/>
      <c r="LRZ1" s="2" t="n"/>
      <c r="LSA1" s="2" t="n"/>
      <c r="LSB1" s="2" t="n"/>
      <c r="LSC1" s="2" t="n"/>
      <c r="LSD1" s="2" t="n"/>
      <c r="LSE1" s="2" t="n"/>
      <c r="LSF1" s="2" t="n"/>
      <c r="LSG1" s="2" t="n"/>
      <c r="LSH1" s="2" t="n"/>
      <c r="LSI1" s="2" t="n"/>
      <c r="LSJ1" s="2" t="n"/>
      <c r="LSK1" s="2" t="n"/>
      <c r="LSL1" s="2" t="n"/>
      <c r="LSM1" s="2" t="n"/>
      <c r="LSN1" s="2" t="n"/>
      <c r="LSO1" s="2" t="n"/>
      <c r="LSP1" s="2" t="n"/>
      <c r="LSQ1" s="2" t="n"/>
      <c r="LSR1" s="2" t="n"/>
      <c r="LSS1" s="2" t="n"/>
      <c r="LST1" s="2" t="n"/>
      <c r="LSU1" s="2" t="n"/>
      <c r="LSV1" s="2" t="n"/>
      <c r="LSW1" s="2" t="n"/>
      <c r="LSX1" s="2" t="n"/>
      <c r="LSY1" s="2" t="n"/>
      <c r="LSZ1" s="2" t="n"/>
      <c r="LTA1" s="2" t="n"/>
      <c r="LTB1" s="2" t="n"/>
      <c r="LTC1" s="2" t="n"/>
      <c r="LTD1" s="2" t="n"/>
      <c r="LTE1" s="2" t="n"/>
      <c r="LTF1" s="2" t="n"/>
      <c r="LTG1" s="2" t="n"/>
      <c r="LTH1" s="2" t="n"/>
      <c r="LTI1" s="2" t="n"/>
      <c r="LTJ1" s="2" t="n"/>
      <c r="LTK1" s="2" t="n"/>
      <c r="LTL1" s="2" t="n"/>
      <c r="LTM1" s="2" t="n"/>
      <c r="LTN1" s="2" t="n"/>
      <c r="LTO1" s="2" t="n"/>
      <c r="LTP1" s="2" t="n"/>
      <c r="LTQ1" s="2" t="n"/>
      <c r="LTR1" s="2" t="n"/>
      <c r="LTS1" s="2" t="n"/>
      <c r="LTT1" s="2" t="n"/>
      <c r="LTU1" s="2" t="n"/>
      <c r="LTV1" s="2" t="n"/>
      <c r="LTW1" s="2" t="n"/>
      <c r="LTX1" s="2" t="n"/>
      <c r="LTY1" s="2" t="n"/>
      <c r="LTZ1" s="2" t="n"/>
      <c r="LUA1" s="2" t="n"/>
      <c r="LUB1" s="2" t="n"/>
      <c r="LUC1" s="2" t="n"/>
      <c r="LUD1" s="2" t="n"/>
      <c r="LUE1" s="2" t="n"/>
      <c r="LUF1" s="2" t="n"/>
      <c r="LUG1" s="2" t="n"/>
      <c r="LUH1" s="2" t="n"/>
      <c r="LUI1" s="2" t="n"/>
      <c r="LUJ1" s="2" t="n"/>
      <c r="LUK1" s="2" t="n"/>
      <c r="LUL1" s="2" t="n"/>
      <c r="LUM1" s="2" t="n"/>
      <c r="LUN1" s="2" t="n"/>
      <c r="LUO1" s="2" t="n"/>
      <c r="LUP1" s="2" t="n"/>
      <c r="LUQ1" s="2" t="n"/>
      <c r="LUR1" s="2" t="n"/>
      <c r="LUS1" s="2" t="n"/>
      <c r="LUT1" s="2" t="n"/>
      <c r="LUU1" s="2" t="n"/>
      <c r="LUV1" s="2" t="n"/>
      <c r="LUW1" s="2" t="n"/>
      <c r="LUX1" s="2" t="n"/>
      <c r="LUY1" s="2" t="n"/>
      <c r="LUZ1" s="2" t="n"/>
      <c r="LVA1" s="2" t="n"/>
      <c r="LVB1" s="2" t="n"/>
      <c r="LVC1" s="2" t="n"/>
      <c r="LVD1" s="2" t="n"/>
      <c r="LVE1" s="2" t="n"/>
      <c r="LVF1" s="2" t="n"/>
      <c r="LVG1" s="2" t="n"/>
      <c r="LVH1" s="2" t="n"/>
      <c r="LVI1" s="2" t="n"/>
      <c r="LVJ1" s="2" t="n"/>
      <c r="LVK1" s="2" t="n"/>
      <c r="LVL1" s="2" t="n"/>
      <c r="LVM1" s="2" t="n"/>
      <c r="LVN1" s="2" t="n"/>
      <c r="LVO1" s="2" t="n"/>
      <c r="LVP1" s="2" t="n"/>
      <c r="LVQ1" s="2" t="n"/>
      <c r="LVR1" s="2" t="n"/>
      <c r="LVS1" s="2" t="n"/>
      <c r="LVT1" s="2" t="n"/>
      <c r="LVU1" s="2" t="n"/>
      <c r="LVV1" s="2" t="n"/>
      <c r="LVW1" s="2" t="n"/>
      <c r="LVX1" s="2" t="n"/>
      <c r="LVY1" s="2" t="n"/>
      <c r="LVZ1" s="2" t="n"/>
      <c r="LWA1" s="2" t="n"/>
      <c r="LWB1" s="2" t="n"/>
      <c r="LWC1" s="2" t="n"/>
      <c r="LWD1" s="2" t="n"/>
      <c r="LWE1" s="2" t="n"/>
      <c r="LWF1" s="2" t="n"/>
      <c r="LWG1" s="2" t="n"/>
      <c r="LWH1" s="2" t="n"/>
      <c r="LWI1" s="2" t="n"/>
      <c r="LWJ1" s="2" t="n"/>
      <c r="LWK1" s="2" t="n"/>
      <c r="LWL1" s="2" t="n"/>
      <c r="LWM1" s="2" t="n"/>
      <c r="LWN1" s="2" t="n"/>
      <c r="LWO1" s="2" t="n"/>
      <c r="LWP1" s="2" t="n"/>
      <c r="LWQ1" s="2" t="n"/>
      <c r="LWR1" s="2" t="n"/>
      <c r="LWS1" s="2" t="n"/>
      <c r="LWT1" s="2" t="n"/>
      <c r="LWU1" s="2" t="n"/>
      <c r="LWV1" s="2" t="n"/>
      <c r="LWW1" s="2" t="n"/>
      <c r="LWX1" s="2" t="n"/>
      <c r="LWY1" s="2" t="n"/>
      <c r="LWZ1" s="2" t="n"/>
      <c r="LXA1" s="2" t="n"/>
      <c r="LXB1" s="2" t="n"/>
      <c r="LXC1" s="2" t="n"/>
      <c r="LXD1" s="2" t="n"/>
      <c r="LXE1" s="2" t="n"/>
      <c r="LXF1" s="2" t="n"/>
      <c r="LXG1" s="2" t="n"/>
      <c r="LXH1" s="2" t="n"/>
      <c r="LXI1" s="2" t="n"/>
      <c r="LXJ1" s="2" t="n"/>
      <c r="LXK1" s="2" t="n"/>
      <c r="LXL1" s="2" t="n"/>
      <c r="LXM1" s="2" t="n"/>
      <c r="LXN1" s="2" t="n"/>
      <c r="LXO1" s="2" t="n"/>
      <c r="LXP1" s="2" t="n"/>
      <c r="LXQ1" s="2" t="n"/>
      <c r="LXR1" s="2" t="n"/>
      <c r="LXS1" s="2" t="n"/>
      <c r="LXT1" s="2" t="n"/>
      <c r="LXU1" s="2" t="n"/>
      <c r="LXV1" s="2" t="n"/>
      <c r="LXW1" s="2" t="n"/>
      <c r="LXX1" s="2" t="n"/>
      <c r="LXY1" s="2" t="n"/>
      <c r="LXZ1" s="2" t="n"/>
      <c r="LYA1" s="2" t="n"/>
      <c r="LYB1" s="2" t="n"/>
      <c r="LYC1" s="2" t="n"/>
      <c r="LYD1" s="2" t="n"/>
      <c r="LYE1" s="2" t="n"/>
      <c r="LYF1" s="2" t="n"/>
      <c r="LYG1" s="2" t="n"/>
      <c r="LYH1" s="2" t="n"/>
      <c r="LYI1" s="2" t="n"/>
      <c r="LYJ1" s="2" t="n"/>
      <c r="LYK1" s="2" t="n"/>
      <c r="LYL1" s="2" t="n"/>
      <c r="LYM1" s="2" t="n"/>
      <c r="LYN1" s="2" t="n"/>
      <c r="LYO1" s="2" t="n"/>
      <c r="LYP1" s="2" t="n"/>
      <c r="LYQ1" s="2" t="n"/>
      <c r="LYR1" s="2" t="n"/>
      <c r="LYS1" s="2" t="n"/>
      <c r="LYT1" s="2" t="n"/>
      <c r="LYU1" s="2" t="n"/>
      <c r="LYV1" s="2" t="n"/>
      <c r="LYW1" s="2" t="n"/>
      <c r="LYX1" s="2" t="n"/>
      <c r="LYY1" s="2" t="n"/>
      <c r="LYZ1" s="2" t="n"/>
      <c r="LZA1" s="2" t="n"/>
      <c r="LZB1" s="2" t="n"/>
      <c r="LZC1" s="2" t="n"/>
      <c r="LZD1" s="2" t="n"/>
      <c r="LZE1" s="2" t="n"/>
      <c r="LZF1" s="2" t="n"/>
      <c r="LZG1" s="2" t="n"/>
      <c r="LZH1" s="2" t="n"/>
      <c r="LZI1" s="2" t="n"/>
      <c r="LZJ1" s="2" t="n"/>
      <c r="LZK1" s="2" t="n"/>
      <c r="LZL1" s="2" t="n"/>
      <c r="LZM1" s="2" t="n"/>
      <c r="LZN1" s="2" t="n"/>
      <c r="LZO1" s="2" t="n"/>
      <c r="LZP1" s="2" t="n"/>
      <c r="LZQ1" s="2" t="n"/>
      <c r="LZR1" s="2" t="n"/>
      <c r="LZS1" s="2" t="n"/>
      <c r="LZT1" s="2" t="n"/>
      <c r="LZU1" s="2" t="n"/>
      <c r="LZV1" s="2" t="n"/>
      <c r="LZW1" s="2" t="n"/>
      <c r="LZX1" s="2" t="n"/>
      <c r="LZY1" s="2" t="n"/>
      <c r="LZZ1" s="2" t="n"/>
      <c r="MAA1" s="2" t="n"/>
      <c r="MAB1" s="2" t="n"/>
      <c r="MAC1" s="2" t="n"/>
      <c r="MAD1" s="2" t="n"/>
      <c r="MAE1" s="2" t="n"/>
      <c r="MAF1" s="2" t="n"/>
      <c r="MAG1" s="2" t="n"/>
      <c r="MAH1" s="2" t="n"/>
      <c r="MAI1" s="2" t="n"/>
      <c r="MAJ1" s="2" t="n"/>
      <c r="MAK1" s="2" t="n"/>
      <c r="MAL1" s="2" t="n"/>
      <c r="MAM1" s="2" t="n"/>
      <c r="MAN1" s="2" t="n"/>
      <c r="MAO1" s="2" t="n"/>
      <c r="MAP1" s="2" t="n"/>
      <c r="MAQ1" s="2" t="n"/>
      <c r="MAR1" s="2" t="n"/>
      <c r="MAS1" s="2" t="n"/>
      <c r="MAT1" s="2" t="n"/>
      <c r="MAU1" s="2" t="n"/>
      <c r="MAV1" s="2" t="n"/>
      <c r="MAW1" s="2" t="n"/>
      <c r="MAX1" s="2" t="n"/>
      <c r="MAY1" s="2" t="n"/>
      <c r="MAZ1" s="2" t="n"/>
      <c r="MBA1" s="2" t="n"/>
      <c r="MBB1" s="2" t="n"/>
      <c r="MBC1" s="2" t="n"/>
      <c r="MBD1" s="2" t="n"/>
      <c r="MBE1" s="2" t="n"/>
      <c r="MBF1" s="2" t="n"/>
      <c r="MBG1" s="2" t="n"/>
      <c r="MBH1" s="2" t="n"/>
      <c r="MBI1" s="2" t="n"/>
      <c r="MBJ1" s="2" t="n"/>
      <c r="MBK1" s="2" t="n"/>
      <c r="MBL1" s="2" t="n"/>
      <c r="MBM1" s="2" t="n"/>
      <c r="MBN1" s="2" t="n"/>
      <c r="MBO1" s="2" t="n"/>
      <c r="MBP1" s="2" t="n"/>
      <c r="MBQ1" s="2" t="n"/>
      <c r="MBR1" s="2" t="n"/>
      <c r="MBS1" s="2" t="n"/>
      <c r="MBT1" s="2" t="n"/>
      <c r="MBU1" s="2" t="n"/>
      <c r="MBV1" s="2" t="n"/>
      <c r="MBW1" s="2" t="n"/>
      <c r="MBX1" s="2" t="n"/>
      <c r="MBY1" s="2" t="n"/>
      <c r="MBZ1" s="2" t="n"/>
      <c r="MCA1" s="2" t="n"/>
      <c r="MCB1" s="2" t="n"/>
      <c r="MCC1" s="2" t="n"/>
      <c r="MCD1" s="2" t="n"/>
      <c r="MCE1" s="2" t="n"/>
      <c r="MCF1" s="2" t="n"/>
      <c r="MCG1" s="2" t="n"/>
      <c r="MCH1" s="2" t="n"/>
      <c r="MCI1" s="2" t="n"/>
      <c r="MCJ1" s="2" t="n"/>
      <c r="MCK1" s="2" t="n"/>
      <c r="MCL1" s="2" t="n"/>
      <c r="MCM1" s="2" t="n"/>
      <c r="MCN1" s="2" t="n"/>
      <c r="MCO1" s="2" t="n"/>
      <c r="MCP1" s="2" t="n"/>
      <c r="MCQ1" s="2" t="n"/>
      <c r="MCR1" s="2" t="n"/>
      <c r="MCS1" s="2" t="n"/>
      <c r="MCT1" s="2" t="n"/>
      <c r="MCU1" s="2" t="n"/>
      <c r="MCV1" s="2" t="n"/>
      <c r="MCW1" s="2" t="n"/>
      <c r="MCX1" s="2" t="n"/>
      <c r="MCY1" s="2" t="n"/>
      <c r="MCZ1" s="2" t="n"/>
      <c r="MDA1" s="2" t="n"/>
      <c r="MDB1" s="2" t="n"/>
      <c r="MDC1" s="2" t="n"/>
      <c r="MDD1" s="2" t="n"/>
      <c r="MDE1" s="2" t="n"/>
      <c r="MDF1" s="2" t="n"/>
      <c r="MDG1" s="2" t="n"/>
      <c r="MDH1" s="2" t="n"/>
      <c r="MDI1" s="2" t="n"/>
      <c r="MDJ1" s="2" t="n"/>
      <c r="MDK1" s="2" t="n"/>
      <c r="MDL1" s="2" t="n"/>
      <c r="MDM1" s="2" t="n"/>
      <c r="MDN1" s="2" t="n"/>
      <c r="MDO1" s="2" t="n"/>
      <c r="MDP1" s="2" t="n"/>
      <c r="MDQ1" s="2" t="n"/>
      <c r="MDR1" s="2" t="n"/>
      <c r="MDS1" s="2" t="n"/>
      <c r="MDT1" s="2" t="n"/>
      <c r="MDU1" s="2" t="n"/>
      <c r="MDV1" s="2" t="n"/>
      <c r="MDW1" s="2" t="n"/>
      <c r="MDX1" s="2" t="n"/>
      <c r="MDY1" s="2" t="n"/>
      <c r="MDZ1" s="2" t="n"/>
      <c r="MEA1" s="2" t="n"/>
      <c r="MEB1" s="2" t="n"/>
      <c r="MEC1" s="2" t="n"/>
      <c r="MED1" s="2" t="n"/>
      <c r="MEE1" s="2" t="n"/>
      <c r="MEF1" s="2" t="n"/>
      <c r="MEG1" s="2" t="n"/>
      <c r="MEH1" s="2" t="n"/>
      <c r="MEI1" s="2" t="n"/>
      <c r="MEJ1" s="2" t="n"/>
      <c r="MEK1" s="2" t="n"/>
      <c r="MEL1" s="2" t="n"/>
      <c r="MEM1" s="2" t="n"/>
      <c r="MEN1" s="2" t="n"/>
      <c r="MEO1" s="2" t="n"/>
      <c r="MEP1" s="2" t="n"/>
      <c r="MEQ1" s="2" t="n"/>
      <c r="MER1" s="2" t="n"/>
      <c r="MES1" s="2" t="n"/>
      <c r="MET1" s="2" t="n"/>
      <c r="MEU1" s="2" t="n"/>
      <c r="MEV1" s="2" t="n"/>
      <c r="MEW1" s="2" t="n"/>
      <c r="MEX1" s="2" t="n"/>
      <c r="MEY1" s="2" t="n"/>
      <c r="MEZ1" s="2" t="n"/>
      <c r="MFA1" s="2" t="n"/>
      <c r="MFB1" s="2" t="n"/>
      <c r="MFC1" s="2" t="n"/>
      <c r="MFD1" s="2" t="n"/>
      <c r="MFE1" s="2" t="n"/>
      <c r="MFF1" s="2" t="n"/>
      <c r="MFG1" s="2" t="n"/>
      <c r="MFH1" s="2" t="n"/>
      <c r="MFI1" s="2" t="n"/>
      <c r="MFJ1" s="2" t="n"/>
      <c r="MFK1" s="2" t="n"/>
      <c r="MFL1" s="2" t="n"/>
      <c r="MFM1" s="2" t="n"/>
      <c r="MFN1" s="2" t="n"/>
      <c r="MFO1" s="2" t="n"/>
      <c r="MFP1" s="2" t="n"/>
      <c r="MFQ1" s="2" t="n"/>
      <c r="MFR1" s="2" t="n"/>
      <c r="MFS1" s="2" t="n"/>
      <c r="MFT1" s="2" t="n"/>
      <c r="MFU1" s="2" t="n"/>
      <c r="MFV1" s="2" t="n"/>
      <c r="MFW1" s="2" t="n"/>
      <c r="MFX1" s="2" t="n"/>
      <c r="MFY1" s="2" t="n"/>
      <c r="MFZ1" s="2" t="n"/>
      <c r="MGA1" s="2" t="n"/>
      <c r="MGB1" s="2" t="n"/>
      <c r="MGC1" s="2" t="n"/>
      <c r="MGD1" s="2" t="n"/>
      <c r="MGE1" s="2" t="n"/>
      <c r="MGF1" s="2" t="n"/>
      <c r="MGG1" s="2" t="n"/>
      <c r="MGH1" s="2" t="n"/>
      <c r="MGI1" s="2" t="n"/>
      <c r="MGJ1" s="2" t="n"/>
      <c r="MGK1" s="2" t="n"/>
      <c r="MGL1" s="2" t="n"/>
      <c r="MGM1" s="2" t="n"/>
      <c r="MGN1" s="2" t="n"/>
      <c r="MGO1" s="2" t="n"/>
      <c r="MGP1" s="2" t="n"/>
      <c r="MGQ1" s="2" t="n"/>
      <c r="MGR1" s="2" t="n"/>
      <c r="MGS1" s="2" t="n"/>
      <c r="MGT1" s="2" t="n"/>
      <c r="MGU1" s="2" t="n"/>
      <c r="MGV1" s="2" t="n"/>
      <c r="MGW1" s="2" t="n"/>
      <c r="MGX1" s="2" t="n"/>
      <c r="MGY1" s="2" t="n"/>
      <c r="MGZ1" s="2" t="n"/>
      <c r="MHA1" s="2" t="n"/>
      <c r="MHB1" s="2" t="n"/>
      <c r="MHC1" s="2" t="n"/>
      <c r="MHD1" s="2" t="n"/>
      <c r="MHE1" s="2" t="n"/>
      <c r="MHF1" s="2" t="n"/>
      <c r="MHG1" s="2" t="n"/>
      <c r="MHH1" s="2" t="n"/>
      <c r="MHI1" s="2" t="n"/>
      <c r="MHJ1" s="2" t="n"/>
      <c r="MHK1" s="2" t="n"/>
      <c r="MHL1" s="2" t="n"/>
      <c r="MHM1" s="2" t="n"/>
      <c r="MHN1" s="2" t="n"/>
      <c r="MHO1" s="2" t="n"/>
      <c r="MHP1" s="2" t="n"/>
      <c r="MHQ1" s="2" t="n"/>
      <c r="MHR1" s="2" t="n"/>
      <c r="MHS1" s="2" t="n"/>
      <c r="MHT1" s="2" t="n"/>
      <c r="MHU1" s="2" t="n"/>
      <c r="MHV1" s="2" t="n"/>
      <c r="MHW1" s="2" t="n"/>
      <c r="MHX1" s="2" t="n"/>
      <c r="MHY1" s="2" t="n"/>
      <c r="MHZ1" s="2" t="n"/>
      <c r="MIA1" s="2" t="n"/>
      <c r="MIB1" s="2" t="n"/>
      <c r="MIC1" s="2" t="n"/>
      <c r="MID1" s="2" t="n"/>
      <c r="MIE1" s="2" t="n"/>
      <c r="MIF1" s="2" t="n"/>
      <c r="MIG1" s="2" t="n"/>
      <c r="MIH1" s="2" t="n"/>
      <c r="MII1" s="2" t="n"/>
      <c r="MIJ1" s="2" t="n"/>
      <c r="MIK1" s="2" t="n"/>
      <c r="MIL1" s="2" t="n"/>
      <c r="MIM1" s="2" t="n"/>
      <c r="MIN1" s="2" t="n"/>
      <c r="MIO1" s="2" t="n"/>
      <c r="MIP1" s="2" t="n"/>
      <c r="MIQ1" s="2" t="n"/>
      <c r="MIR1" s="2" t="n"/>
      <c r="MIS1" s="2" t="n"/>
      <c r="MIT1" s="2" t="n"/>
      <c r="MIU1" s="2" t="n"/>
      <c r="MIV1" s="2" t="n"/>
      <c r="MIW1" s="2" t="n"/>
      <c r="MIX1" s="2" t="n"/>
      <c r="MIY1" s="2" t="n"/>
      <c r="MIZ1" s="2" t="n"/>
      <c r="MJA1" s="2" t="n"/>
      <c r="MJB1" s="2" t="n"/>
      <c r="MJC1" s="2" t="n"/>
      <c r="MJD1" s="2" t="n"/>
      <c r="MJE1" s="2" t="n"/>
      <c r="MJF1" s="2" t="n"/>
      <c r="MJG1" s="2" t="n"/>
      <c r="MJH1" s="2" t="n"/>
      <c r="MJI1" s="2" t="n"/>
      <c r="MJJ1" s="2" t="n"/>
      <c r="MJK1" s="2" t="n"/>
      <c r="MJL1" s="2" t="n"/>
      <c r="MJM1" s="2" t="n"/>
      <c r="MJN1" s="2" t="n"/>
      <c r="MJO1" s="2" t="n"/>
      <c r="MJP1" s="2" t="n"/>
      <c r="MJQ1" s="2" t="n"/>
      <c r="MJR1" s="2" t="n"/>
      <c r="MJS1" s="2" t="n"/>
      <c r="MJT1" s="2" t="n"/>
      <c r="MJU1" s="2" t="n"/>
      <c r="MJV1" s="2" t="n"/>
      <c r="MJW1" s="2" t="n"/>
      <c r="MJX1" s="2" t="n"/>
      <c r="MJY1" s="2" t="n"/>
      <c r="MJZ1" s="2" t="n"/>
      <c r="MKA1" s="2" t="n"/>
      <c r="MKB1" s="2" t="n"/>
      <c r="MKC1" s="2" t="n"/>
      <c r="MKD1" s="2" t="n"/>
      <c r="MKE1" s="2" t="n"/>
      <c r="MKF1" s="2" t="n"/>
      <c r="MKG1" s="2" t="n"/>
      <c r="MKH1" s="2" t="n"/>
      <c r="MKI1" s="2" t="n"/>
      <c r="MKJ1" s="2" t="n"/>
      <c r="MKK1" s="2" t="n"/>
      <c r="MKL1" s="2" t="n"/>
      <c r="MKM1" s="2" t="n"/>
      <c r="MKN1" s="2" t="n"/>
      <c r="MKO1" s="2" t="n"/>
      <c r="MKP1" s="2" t="n"/>
      <c r="MKQ1" s="2" t="n"/>
      <c r="MKR1" s="2" t="n"/>
      <c r="MKS1" s="2" t="n"/>
      <c r="MKT1" s="2" t="n"/>
      <c r="MKU1" s="2" t="n"/>
      <c r="MKV1" s="2" t="n"/>
      <c r="MKW1" s="2" t="n"/>
      <c r="MKX1" s="2" t="n"/>
      <c r="MKY1" s="2" t="n"/>
      <c r="MKZ1" s="2" t="n"/>
      <c r="MLA1" s="2" t="n"/>
      <c r="MLB1" s="2" t="n"/>
      <c r="MLC1" s="2" t="n"/>
      <c r="MLD1" s="2" t="n"/>
      <c r="MLE1" s="2" t="n"/>
      <c r="MLF1" s="2" t="n"/>
      <c r="MLG1" s="2" t="n"/>
      <c r="MLH1" s="2" t="n"/>
      <c r="MLI1" s="2" t="n"/>
      <c r="MLJ1" s="2" t="n"/>
      <c r="MLK1" s="2" t="n"/>
      <c r="MLL1" s="2" t="n"/>
      <c r="MLM1" s="2" t="n"/>
      <c r="MLN1" s="2" t="n"/>
      <c r="MLO1" s="2" t="n"/>
      <c r="MLP1" s="2" t="n"/>
      <c r="MLQ1" s="2" t="n"/>
      <c r="MLR1" s="2" t="n"/>
      <c r="MLS1" s="2" t="n"/>
      <c r="MLT1" s="2" t="n"/>
      <c r="MLU1" s="2" t="n"/>
      <c r="MLV1" s="2" t="n"/>
      <c r="MLW1" s="2" t="n"/>
      <c r="MLX1" s="2" t="n"/>
      <c r="MLY1" s="2" t="n"/>
      <c r="MLZ1" s="2" t="n"/>
      <c r="MMA1" s="2" t="n"/>
      <c r="MMB1" s="2" t="n"/>
      <c r="MMC1" s="2" t="n"/>
      <c r="MMD1" s="2" t="n"/>
      <c r="MME1" s="2" t="n"/>
      <c r="MMF1" s="2" t="n"/>
      <c r="MMG1" s="2" t="n"/>
      <c r="MMH1" s="2" t="n"/>
      <c r="MMI1" s="2" t="n"/>
      <c r="MMJ1" s="2" t="n"/>
      <c r="MMK1" s="2" t="n"/>
      <c r="MML1" s="2" t="n"/>
      <c r="MMM1" s="2" t="n"/>
      <c r="MMN1" s="2" t="n"/>
      <c r="MMO1" s="2" t="n"/>
      <c r="MMP1" s="2" t="n"/>
      <c r="MMQ1" s="2" t="n"/>
      <c r="MMR1" s="2" t="n"/>
      <c r="MMS1" s="2" t="n"/>
      <c r="MMT1" s="2" t="n"/>
      <c r="MMU1" s="2" t="n"/>
      <c r="MMV1" s="2" t="n"/>
      <c r="MMW1" s="2" t="n"/>
      <c r="MMX1" s="2" t="n"/>
      <c r="MMY1" s="2" t="n"/>
      <c r="MMZ1" s="2" t="n"/>
      <c r="MNA1" s="2" t="n"/>
      <c r="MNB1" s="2" t="n"/>
      <c r="MNC1" s="2" t="n"/>
      <c r="MND1" s="2" t="n"/>
      <c r="MNE1" s="2" t="n"/>
      <c r="MNF1" s="2" t="n"/>
      <c r="MNG1" s="2" t="n"/>
      <c r="MNH1" s="2" t="n"/>
      <c r="MNI1" s="2" t="n"/>
      <c r="MNJ1" s="2" t="n"/>
      <c r="MNK1" s="2" t="n"/>
      <c r="MNL1" s="2" t="n"/>
      <c r="MNM1" s="2" t="n"/>
      <c r="MNN1" s="2" t="n"/>
      <c r="MNO1" s="2" t="n"/>
      <c r="MNP1" s="2" t="n"/>
      <c r="MNQ1" s="2" t="n"/>
      <c r="MNR1" s="2" t="n"/>
      <c r="MNS1" s="2" t="n"/>
      <c r="MNT1" s="2" t="n"/>
      <c r="MNU1" s="2" t="n"/>
      <c r="MNV1" s="2" t="n"/>
      <c r="MNW1" s="2" t="n"/>
      <c r="MNX1" s="2" t="n"/>
      <c r="MNY1" s="2" t="n"/>
      <c r="MNZ1" s="2" t="n"/>
      <c r="MOA1" s="2" t="n"/>
      <c r="MOB1" s="2" t="n"/>
      <c r="MOC1" s="2" t="n"/>
      <c r="MOD1" s="2" t="n"/>
      <c r="MOE1" s="2" t="n"/>
      <c r="MOF1" s="2" t="n"/>
      <c r="MOG1" s="2" t="n"/>
      <c r="MOH1" s="2" t="n"/>
      <c r="MOI1" s="2" t="n"/>
      <c r="MOJ1" s="2" t="n"/>
      <c r="MOK1" s="2" t="n"/>
      <c r="MOL1" s="2" t="n"/>
      <c r="MOM1" s="2" t="n"/>
      <c r="MON1" s="2" t="n"/>
      <c r="MOO1" s="2" t="n"/>
      <c r="MOP1" s="2" t="n"/>
      <c r="MOQ1" s="2" t="n"/>
      <c r="MOR1" s="2" t="n"/>
      <c r="MOS1" s="2" t="n"/>
      <c r="MOT1" s="2" t="n"/>
      <c r="MOU1" s="2" t="n"/>
      <c r="MOV1" s="2" t="n"/>
      <c r="MOW1" s="2" t="n"/>
      <c r="MOX1" s="2" t="n"/>
      <c r="MOY1" s="2" t="n"/>
      <c r="MOZ1" s="2" t="n"/>
      <c r="MPA1" s="2" t="n"/>
      <c r="MPB1" s="2" t="n"/>
      <c r="MPC1" s="2" t="n"/>
      <c r="MPD1" s="2" t="n"/>
      <c r="MPE1" s="2" t="n"/>
      <c r="MPF1" s="2" t="n"/>
      <c r="MPG1" s="2" t="n"/>
      <c r="MPH1" s="2" t="n"/>
      <c r="MPI1" s="2" t="n"/>
      <c r="MPJ1" s="2" t="n"/>
      <c r="MPK1" s="2" t="n"/>
      <c r="MPL1" s="2" t="n"/>
      <c r="MPM1" s="2" t="n"/>
      <c r="MPN1" s="2" t="n"/>
      <c r="MPO1" s="2" t="n"/>
      <c r="MPP1" s="2" t="n"/>
      <c r="MPQ1" s="2" t="n"/>
      <c r="MPR1" s="2" t="n"/>
      <c r="MPS1" s="2" t="n"/>
      <c r="MPT1" s="2" t="n"/>
      <c r="MPU1" s="2" t="n"/>
      <c r="MPV1" s="2" t="n"/>
      <c r="MPW1" s="2" t="n"/>
      <c r="MPX1" s="2" t="n"/>
      <c r="MPY1" s="2" t="n"/>
      <c r="MPZ1" s="2" t="n"/>
      <c r="MQA1" s="2" t="n"/>
      <c r="MQB1" s="2" t="n"/>
      <c r="MQC1" s="2" t="n"/>
      <c r="MQD1" s="2" t="n"/>
      <c r="MQE1" s="2" t="n"/>
      <c r="MQF1" s="2" t="n"/>
      <c r="MQG1" s="2" t="n"/>
      <c r="MQH1" s="2" t="n"/>
      <c r="MQI1" s="2" t="n"/>
      <c r="MQJ1" s="2" t="n"/>
      <c r="MQK1" s="2" t="n"/>
      <c r="MQL1" s="2" t="n"/>
      <c r="MQM1" s="2" t="n"/>
      <c r="MQN1" s="2" t="n"/>
      <c r="MQO1" s="2" t="n"/>
      <c r="MQP1" s="2" t="n"/>
      <c r="MQQ1" s="2" t="n"/>
      <c r="MQR1" s="2" t="n"/>
      <c r="MQS1" s="2" t="n"/>
      <c r="MQT1" s="2" t="n"/>
      <c r="MQU1" s="2" t="n"/>
      <c r="MQV1" s="2" t="n"/>
      <c r="MQW1" s="2" t="n"/>
      <c r="MQX1" s="2" t="n"/>
      <c r="MQY1" s="2" t="n"/>
      <c r="MQZ1" s="2" t="n"/>
      <c r="MRA1" s="2" t="n"/>
      <c r="MRB1" s="2" t="n"/>
      <c r="MRC1" s="2" t="n"/>
      <c r="MRD1" s="2" t="n"/>
      <c r="MRE1" s="2" t="n"/>
      <c r="MRF1" s="2" t="n"/>
      <c r="MRG1" s="2" t="n"/>
      <c r="MRH1" s="2" t="n"/>
      <c r="MRI1" s="2" t="n"/>
      <c r="MRJ1" s="2" t="n"/>
      <c r="MRK1" s="2" t="n"/>
      <c r="MRL1" s="2" t="n"/>
      <c r="MRM1" s="2" t="n"/>
      <c r="MRN1" s="2" t="n"/>
      <c r="MRO1" s="2" t="n"/>
      <c r="MRP1" s="2" t="n"/>
      <c r="MRQ1" s="2" t="n"/>
      <c r="MRR1" s="2" t="n"/>
      <c r="MRS1" s="2" t="n"/>
      <c r="MRT1" s="2" t="n"/>
      <c r="MRU1" s="2" t="n"/>
      <c r="MRV1" s="2" t="n"/>
      <c r="MRW1" s="2" t="n"/>
      <c r="MRX1" s="2" t="n"/>
      <c r="MRY1" s="2" t="n"/>
      <c r="MRZ1" s="2" t="n"/>
      <c r="MSA1" s="2" t="n"/>
      <c r="MSB1" s="2" t="n"/>
      <c r="MSC1" s="2" t="n"/>
      <c r="MSD1" s="2" t="n"/>
      <c r="MSE1" s="2" t="n"/>
      <c r="MSF1" s="2" t="n"/>
      <c r="MSG1" s="2" t="n"/>
      <c r="MSH1" s="2" t="n"/>
      <c r="MSI1" s="2" t="n"/>
      <c r="MSJ1" s="2" t="n"/>
      <c r="MSK1" s="2" t="n"/>
      <c r="MSL1" s="2" t="n"/>
      <c r="MSM1" s="2" t="n"/>
      <c r="MSN1" s="2" t="n"/>
      <c r="MSO1" s="2" t="n"/>
      <c r="MSP1" s="2" t="n"/>
      <c r="MSQ1" s="2" t="n"/>
      <c r="MSR1" s="2" t="n"/>
      <c r="MSS1" s="2" t="n"/>
      <c r="MST1" s="2" t="n"/>
      <c r="MSU1" s="2" t="n"/>
      <c r="MSV1" s="2" t="n"/>
      <c r="MSW1" s="2" t="n"/>
      <c r="MSX1" s="2" t="n"/>
      <c r="MSY1" s="2" t="n"/>
      <c r="MSZ1" s="2" t="n"/>
      <c r="MTA1" s="2" t="n"/>
      <c r="MTB1" s="2" t="n"/>
      <c r="MTC1" s="2" t="n"/>
      <c r="MTD1" s="2" t="n"/>
      <c r="MTE1" s="2" t="n"/>
      <c r="MTF1" s="2" t="n"/>
      <c r="MTG1" s="2" t="n"/>
      <c r="MTH1" s="2" t="n"/>
      <c r="MTI1" s="2" t="n"/>
      <c r="MTJ1" s="2" t="n"/>
      <c r="MTK1" s="2" t="n"/>
      <c r="MTL1" s="2" t="n"/>
      <c r="MTM1" s="2" t="n"/>
      <c r="MTN1" s="2" t="n"/>
      <c r="MTO1" s="2" t="n"/>
      <c r="MTP1" s="2" t="n"/>
      <c r="MTQ1" s="2" t="n"/>
      <c r="MTR1" s="2" t="n"/>
      <c r="MTS1" s="2" t="n"/>
      <c r="MTT1" s="2" t="n"/>
      <c r="MTU1" s="2" t="n"/>
      <c r="MTV1" s="2" t="n"/>
      <c r="MTW1" s="2" t="n"/>
      <c r="MTX1" s="2" t="n"/>
      <c r="MTY1" s="2" t="n"/>
      <c r="MTZ1" s="2" t="n"/>
      <c r="MUA1" s="2" t="n"/>
      <c r="MUB1" s="2" t="n"/>
      <c r="MUC1" s="2" t="n"/>
      <c r="MUD1" s="2" t="n"/>
      <c r="MUE1" s="2" t="n"/>
      <c r="MUF1" s="2" t="n"/>
      <c r="MUG1" s="2" t="n"/>
      <c r="MUH1" s="2" t="n"/>
      <c r="MUI1" s="2" t="n"/>
      <c r="MUJ1" s="2" t="n"/>
      <c r="MUK1" s="2" t="n"/>
      <c r="MUL1" s="2" t="n"/>
      <c r="MUM1" s="2" t="n"/>
      <c r="MUN1" s="2" t="n"/>
      <c r="MUO1" s="2" t="n"/>
      <c r="MUP1" s="2" t="n"/>
      <c r="MUQ1" s="2" t="n"/>
      <c r="MUR1" s="2" t="n"/>
      <c r="MUS1" s="2" t="n"/>
      <c r="MUT1" s="2" t="n"/>
      <c r="MUU1" s="2" t="n"/>
      <c r="MUV1" s="2" t="n"/>
      <c r="MUW1" s="2" t="n"/>
      <c r="MUX1" s="2" t="n"/>
      <c r="MUY1" s="2" t="n"/>
      <c r="MUZ1" s="2" t="n"/>
      <c r="MVA1" s="2" t="n"/>
      <c r="MVB1" s="2" t="n"/>
      <c r="MVC1" s="2" t="n"/>
      <c r="MVD1" s="2" t="n"/>
      <c r="MVE1" s="2" t="n"/>
      <c r="MVF1" s="2" t="n"/>
      <c r="MVG1" s="2" t="n"/>
      <c r="MVH1" s="2" t="n"/>
      <c r="MVI1" s="2" t="n"/>
      <c r="MVJ1" s="2" t="n"/>
      <c r="MVK1" s="2" t="n"/>
      <c r="MVL1" s="2" t="n"/>
      <c r="MVM1" s="2" t="n"/>
      <c r="MVN1" s="2" t="n"/>
      <c r="MVO1" s="2" t="n"/>
      <c r="MVP1" s="2" t="n"/>
      <c r="MVQ1" s="2" t="n"/>
      <c r="MVR1" s="2" t="n"/>
      <c r="MVS1" s="2" t="n"/>
      <c r="MVT1" s="2" t="n"/>
      <c r="MVU1" s="2" t="n"/>
      <c r="MVV1" s="2" t="n"/>
      <c r="MVW1" s="2" t="n"/>
      <c r="MVX1" s="2" t="n"/>
      <c r="MVY1" s="2" t="n"/>
      <c r="MVZ1" s="2" t="n"/>
      <c r="MWA1" s="2" t="n"/>
      <c r="MWB1" s="2" t="n"/>
      <c r="MWC1" s="2" t="n"/>
      <c r="MWD1" s="2" t="n"/>
      <c r="MWE1" s="2" t="n"/>
      <c r="MWF1" s="2" t="n"/>
      <c r="MWG1" s="2" t="n"/>
      <c r="MWH1" s="2" t="n"/>
      <c r="MWI1" s="2" t="n"/>
      <c r="MWJ1" s="2" t="n"/>
      <c r="MWK1" s="2" t="n"/>
      <c r="MWL1" s="2" t="n"/>
      <c r="MWM1" s="2" t="n"/>
      <c r="MWN1" s="2" t="n"/>
      <c r="MWO1" s="2" t="n"/>
      <c r="MWP1" s="2" t="n"/>
      <c r="MWQ1" s="2" t="n"/>
      <c r="MWR1" s="2" t="n"/>
      <c r="MWS1" s="2" t="n"/>
      <c r="MWT1" s="2" t="n"/>
      <c r="MWU1" s="2" t="n"/>
      <c r="MWV1" s="2" t="n"/>
      <c r="MWW1" s="2" t="n"/>
      <c r="MWX1" s="2" t="n"/>
      <c r="MWY1" s="2" t="n"/>
      <c r="MWZ1" s="2" t="n"/>
      <c r="MXA1" s="2" t="n"/>
      <c r="MXB1" s="2" t="n"/>
      <c r="MXC1" s="2" t="n"/>
      <c r="MXD1" s="2" t="n"/>
      <c r="MXE1" s="2" t="n"/>
      <c r="MXF1" s="2" t="n"/>
      <c r="MXG1" s="2" t="n"/>
      <c r="MXH1" s="2" t="n"/>
      <c r="MXI1" s="2" t="n"/>
      <c r="MXJ1" s="2" t="n"/>
      <c r="MXK1" s="2" t="n"/>
      <c r="MXL1" s="2" t="n"/>
      <c r="MXM1" s="2" t="n"/>
      <c r="MXN1" s="2" t="n"/>
      <c r="MXO1" s="2" t="n"/>
      <c r="MXP1" s="2" t="n"/>
      <c r="MXQ1" s="2" t="n"/>
      <c r="MXR1" s="2" t="n"/>
      <c r="MXS1" s="2" t="n"/>
      <c r="MXT1" s="2" t="n"/>
      <c r="MXU1" s="2" t="n"/>
      <c r="MXV1" s="2" t="n"/>
      <c r="MXW1" s="2" t="n"/>
      <c r="MXX1" s="2" t="n"/>
      <c r="MXY1" s="2" t="n"/>
      <c r="MXZ1" s="2" t="n"/>
      <c r="MYA1" s="2" t="n"/>
      <c r="MYB1" s="2" t="n"/>
      <c r="MYC1" s="2" t="n"/>
      <c r="MYD1" s="2" t="n"/>
      <c r="MYE1" s="2" t="n"/>
      <c r="MYF1" s="2" t="n"/>
      <c r="MYG1" s="2" t="n"/>
      <c r="MYH1" s="2" t="n"/>
      <c r="MYI1" s="2" t="n"/>
      <c r="MYJ1" s="2" t="n"/>
      <c r="MYK1" s="2" t="n"/>
      <c r="MYL1" s="2" t="n"/>
      <c r="MYM1" s="2" t="n"/>
      <c r="MYN1" s="2" t="n"/>
      <c r="MYO1" s="2" t="n"/>
      <c r="MYP1" s="2" t="n"/>
      <c r="MYQ1" s="2" t="n"/>
      <c r="MYR1" s="2" t="n"/>
      <c r="MYS1" s="2" t="n"/>
      <c r="MYT1" s="2" t="n"/>
      <c r="MYU1" s="2" t="n"/>
      <c r="MYV1" s="2" t="n"/>
      <c r="MYW1" s="2" t="n"/>
      <c r="MYX1" s="2" t="n"/>
      <c r="MYY1" s="2" t="n"/>
      <c r="MYZ1" s="2" t="n"/>
      <c r="MZA1" s="2" t="n"/>
      <c r="MZB1" s="2" t="n"/>
      <c r="MZC1" s="2" t="n"/>
      <c r="MZD1" s="2" t="n"/>
      <c r="MZE1" s="2" t="n"/>
      <c r="MZF1" s="2" t="n"/>
      <c r="MZG1" s="2" t="n"/>
      <c r="MZH1" s="2" t="n"/>
      <c r="MZI1" s="2" t="n"/>
      <c r="MZJ1" s="2" t="n"/>
      <c r="MZK1" s="2" t="n"/>
      <c r="MZL1" s="2" t="n"/>
      <c r="MZM1" s="2" t="n"/>
      <c r="MZN1" s="2" t="n"/>
      <c r="MZO1" s="2" t="n"/>
      <c r="MZP1" s="2" t="n"/>
      <c r="MZQ1" s="2" t="n"/>
      <c r="MZR1" s="2" t="n"/>
      <c r="MZS1" s="2" t="n"/>
      <c r="MZT1" s="2" t="n"/>
      <c r="MZU1" s="2" t="n"/>
      <c r="MZV1" s="2" t="n"/>
      <c r="MZW1" s="2" t="n"/>
      <c r="MZX1" s="2" t="n"/>
      <c r="MZY1" s="2" t="n"/>
      <c r="MZZ1" s="2" t="n"/>
      <c r="NAA1" s="2" t="n"/>
      <c r="NAB1" s="2" t="n"/>
      <c r="NAC1" s="2" t="n"/>
      <c r="NAD1" s="2" t="n"/>
      <c r="NAE1" s="2" t="n"/>
      <c r="NAF1" s="2" t="n"/>
      <c r="NAG1" s="2" t="n"/>
      <c r="NAH1" s="2" t="n"/>
      <c r="NAI1" s="2" t="n"/>
      <c r="NAJ1" s="2" t="n"/>
      <c r="NAK1" s="2" t="n"/>
      <c r="NAL1" s="2" t="n"/>
      <c r="NAM1" s="2" t="n"/>
      <c r="NAN1" s="2" t="n"/>
      <c r="NAO1" s="2" t="n"/>
      <c r="NAP1" s="2" t="n"/>
      <c r="NAQ1" s="2" t="n"/>
      <c r="NAR1" s="2" t="n"/>
      <c r="NAS1" s="2" t="n"/>
      <c r="NAT1" s="2" t="n"/>
      <c r="NAU1" s="2" t="n"/>
      <c r="NAV1" s="2" t="n"/>
      <c r="NAW1" s="2" t="n"/>
      <c r="NAX1" s="2" t="n"/>
      <c r="NAY1" s="2" t="n"/>
      <c r="NAZ1" s="2" t="n"/>
      <c r="NBA1" s="2" t="n"/>
      <c r="NBB1" s="2" t="n"/>
      <c r="NBC1" s="2" t="n"/>
      <c r="NBD1" s="2" t="n"/>
      <c r="NBE1" s="2" t="n"/>
      <c r="NBF1" s="2" t="n"/>
      <c r="NBG1" s="2" t="n"/>
      <c r="NBH1" s="2" t="n"/>
      <c r="NBI1" s="2" t="n"/>
      <c r="NBJ1" s="2" t="n"/>
      <c r="NBK1" s="2" t="n"/>
      <c r="NBL1" s="2" t="n"/>
      <c r="NBM1" s="2" t="n"/>
      <c r="NBN1" s="2" t="n"/>
      <c r="NBO1" s="2" t="n"/>
      <c r="NBP1" s="2" t="n"/>
      <c r="NBQ1" s="2" t="n"/>
      <c r="NBR1" s="2" t="n"/>
      <c r="NBS1" s="2" t="n"/>
      <c r="NBT1" s="2" t="n"/>
      <c r="NBU1" s="2" t="n"/>
      <c r="NBV1" s="2" t="n"/>
      <c r="NBW1" s="2" t="n"/>
      <c r="NBX1" s="2" t="n"/>
      <c r="NBY1" s="2" t="n"/>
      <c r="NBZ1" s="2" t="n"/>
      <c r="NCA1" s="2" t="n"/>
      <c r="NCB1" s="2" t="n"/>
      <c r="NCC1" s="2" t="n"/>
      <c r="NCD1" s="2" t="n"/>
      <c r="NCE1" s="2" t="n"/>
      <c r="NCF1" s="2" t="n"/>
      <c r="NCG1" s="2" t="n"/>
      <c r="NCH1" s="2" t="n"/>
      <c r="NCI1" s="2" t="n"/>
      <c r="NCJ1" s="2" t="n"/>
      <c r="NCK1" s="2" t="n"/>
      <c r="NCL1" s="2" t="n"/>
      <c r="NCM1" s="2" t="n"/>
      <c r="NCN1" s="2" t="n"/>
      <c r="NCO1" s="2" t="n"/>
      <c r="NCP1" s="2" t="n"/>
      <c r="NCQ1" s="2" t="n"/>
      <c r="NCR1" s="2" t="n"/>
      <c r="NCS1" s="2" t="n"/>
      <c r="NCT1" s="2" t="n"/>
      <c r="NCU1" s="2" t="n"/>
      <c r="NCV1" s="2" t="n"/>
      <c r="NCW1" s="2" t="n"/>
      <c r="NCX1" s="2" t="n"/>
      <c r="NCY1" s="2" t="n"/>
      <c r="NCZ1" s="2" t="n"/>
      <c r="NDA1" s="2" t="n"/>
      <c r="NDB1" s="2" t="n"/>
      <c r="NDC1" s="2" t="n"/>
      <c r="NDD1" s="2" t="n"/>
      <c r="NDE1" s="2" t="n"/>
      <c r="NDF1" s="2" t="n"/>
      <c r="NDG1" s="2" t="n"/>
      <c r="NDH1" s="2" t="n"/>
      <c r="NDI1" s="2" t="n"/>
      <c r="NDJ1" s="2" t="n"/>
      <c r="NDK1" s="2" t="n"/>
      <c r="NDL1" s="2" t="n"/>
      <c r="NDM1" s="2" t="n"/>
      <c r="NDN1" s="2" t="n"/>
      <c r="NDO1" s="2" t="n"/>
      <c r="NDP1" s="2" t="n"/>
      <c r="NDQ1" s="2" t="n"/>
      <c r="NDR1" s="2" t="n"/>
      <c r="NDS1" s="2" t="n"/>
      <c r="NDT1" s="2" t="n"/>
      <c r="NDU1" s="2" t="n"/>
      <c r="NDV1" s="2" t="n"/>
      <c r="NDW1" s="2" t="n"/>
      <c r="NDX1" s="2" t="n"/>
      <c r="NDY1" s="2" t="n"/>
      <c r="NDZ1" s="2" t="n"/>
      <c r="NEA1" s="2" t="n"/>
      <c r="NEB1" s="2" t="n"/>
      <c r="NEC1" s="2" t="n"/>
      <c r="NED1" s="2" t="n"/>
      <c r="NEE1" s="2" t="n"/>
      <c r="NEF1" s="2" t="n"/>
      <c r="NEG1" s="2" t="n"/>
      <c r="NEH1" s="2" t="n"/>
      <c r="NEI1" s="2" t="n"/>
      <c r="NEJ1" s="2" t="n"/>
      <c r="NEK1" s="2" t="n"/>
      <c r="NEL1" s="2" t="n"/>
      <c r="NEM1" s="2" t="n"/>
      <c r="NEN1" s="2" t="n"/>
      <c r="NEO1" s="2" t="n"/>
      <c r="NEP1" s="2" t="n"/>
      <c r="NEQ1" s="2" t="n"/>
      <c r="NER1" s="2" t="n"/>
      <c r="NES1" s="2" t="n"/>
      <c r="NET1" s="2" t="n"/>
      <c r="NEU1" s="2" t="n"/>
      <c r="NEV1" s="2" t="n"/>
      <c r="NEW1" s="2" t="n"/>
      <c r="NEX1" s="2" t="n"/>
      <c r="NEY1" s="2" t="n"/>
      <c r="NEZ1" s="2" t="n"/>
      <c r="NFA1" s="2" t="n"/>
      <c r="NFB1" s="2" t="n"/>
      <c r="NFC1" s="2" t="n"/>
      <c r="NFD1" s="2" t="n"/>
      <c r="NFE1" s="2" t="n"/>
      <c r="NFF1" s="2" t="n"/>
      <c r="NFG1" s="2" t="n"/>
      <c r="NFH1" s="2" t="n"/>
      <c r="NFI1" s="2" t="n"/>
      <c r="NFJ1" s="2" t="n"/>
      <c r="NFK1" s="2" t="n"/>
      <c r="NFL1" s="2" t="n"/>
      <c r="NFM1" s="2" t="n"/>
      <c r="NFN1" s="2" t="n"/>
      <c r="NFO1" s="2" t="n"/>
      <c r="NFP1" s="2" t="n"/>
      <c r="NFQ1" s="2" t="n"/>
      <c r="NFR1" s="2" t="n"/>
      <c r="NFS1" s="2" t="n"/>
      <c r="NFT1" s="2" t="n"/>
      <c r="NFU1" s="2" t="n"/>
      <c r="NFV1" s="2" t="n"/>
      <c r="NFW1" s="2" t="n"/>
      <c r="NFX1" s="2" t="n"/>
      <c r="NFY1" s="2" t="n"/>
      <c r="NFZ1" s="2" t="n"/>
      <c r="NGA1" s="2" t="n"/>
      <c r="NGB1" s="2" t="n"/>
      <c r="NGC1" s="2" t="n"/>
      <c r="NGD1" s="2" t="n"/>
      <c r="NGE1" s="2" t="n"/>
      <c r="NGF1" s="2" t="n"/>
      <c r="NGG1" s="2" t="n"/>
      <c r="NGH1" s="2" t="n"/>
      <c r="NGI1" s="2" t="n"/>
      <c r="NGJ1" s="2" t="n"/>
      <c r="NGK1" s="2" t="n"/>
      <c r="NGL1" s="2" t="n"/>
      <c r="NGM1" s="2" t="n"/>
      <c r="NGN1" s="2" t="n"/>
      <c r="NGO1" s="2" t="n"/>
      <c r="NGP1" s="2" t="n"/>
      <c r="NGQ1" s="2" t="n"/>
      <c r="NGR1" s="2" t="n"/>
      <c r="NGS1" s="2" t="n"/>
      <c r="NGT1" s="2" t="n"/>
      <c r="NGU1" s="2" t="n"/>
      <c r="NGV1" s="2" t="n"/>
      <c r="NGW1" s="2" t="n"/>
      <c r="NGX1" s="2" t="n"/>
      <c r="NGY1" s="2" t="n"/>
      <c r="NGZ1" s="2" t="n"/>
      <c r="NHA1" s="2" t="n"/>
      <c r="NHB1" s="2" t="n"/>
      <c r="NHC1" s="2" t="n"/>
      <c r="NHD1" s="2" t="n"/>
      <c r="NHE1" s="2" t="n"/>
      <c r="NHF1" s="2" t="n"/>
      <c r="NHG1" s="2" t="n"/>
      <c r="NHH1" s="2" t="n"/>
      <c r="NHI1" s="2" t="n"/>
      <c r="NHJ1" s="2" t="n"/>
      <c r="NHK1" s="2" t="n"/>
      <c r="NHL1" s="2" t="n"/>
      <c r="NHM1" s="2" t="n"/>
      <c r="NHN1" s="2" t="n"/>
      <c r="NHO1" s="2" t="n"/>
      <c r="NHP1" s="2" t="n"/>
      <c r="NHQ1" s="2" t="n"/>
      <c r="NHR1" s="2" t="n"/>
      <c r="NHS1" s="2" t="n"/>
      <c r="NHT1" s="2" t="n"/>
      <c r="NHU1" s="2" t="n"/>
      <c r="NHV1" s="2" t="n"/>
      <c r="NHW1" s="2" t="n"/>
      <c r="NHX1" s="2" t="n"/>
      <c r="NHY1" s="2" t="n"/>
      <c r="NHZ1" s="2" t="n"/>
      <c r="NIA1" s="2" t="n"/>
      <c r="NIB1" s="2" t="n"/>
      <c r="NIC1" s="2" t="n"/>
      <c r="NID1" s="2" t="n"/>
      <c r="NIE1" s="2" t="n"/>
      <c r="NIF1" s="2" t="n"/>
      <c r="NIG1" s="2" t="n"/>
      <c r="NIH1" s="2" t="n"/>
      <c r="NII1" s="2" t="n"/>
      <c r="NIJ1" s="2" t="n"/>
      <c r="NIK1" s="2" t="n"/>
      <c r="NIL1" s="2" t="n"/>
      <c r="NIM1" s="2" t="n"/>
      <c r="NIN1" s="2" t="n"/>
      <c r="NIO1" s="2" t="n"/>
      <c r="NIP1" s="2" t="n"/>
      <c r="NIQ1" s="2" t="n"/>
      <c r="NIR1" s="2" t="n"/>
      <c r="NIS1" s="2" t="n"/>
      <c r="NIT1" s="2" t="n"/>
      <c r="NIU1" s="2" t="n"/>
      <c r="NIV1" s="2" t="n"/>
      <c r="NIW1" s="2" t="n"/>
      <c r="NIX1" s="2" t="n"/>
      <c r="NIY1" s="2" t="n"/>
      <c r="NIZ1" s="2" t="n"/>
      <c r="NJA1" s="2" t="n"/>
      <c r="NJB1" s="2" t="n"/>
      <c r="NJC1" s="2" t="n"/>
      <c r="NJD1" s="2" t="n"/>
      <c r="NJE1" s="2" t="n"/>
      <c r="NJF1" s="2" t="n"/>
      <c r="NJG1" s="2" t="n"/>
      <c r="NJH1" s="2" t="n"/>
      <c r="NJI1" s="2" t="n"/>
      <c r="NJJ1" s="2" t="n"/>
      <c r="NJK1" s="2" t="n"/>
      <c r="NJL1" s="2" t="n"/>
      <c r="NJM1" s="2" t="n"/>
      <c r="NJN1" s="2" t="n"/>
      <c r="NJO1" s="2" t="n"/>
      <c r="NJP1" s="2" t="n"/>
      <c r="NJQ1" s="2" t="n"/>
      <c r="NJR1" s="2" t="n"/>
      <c r="NJS1" s="2" t="n"/>
      <c r="NJT1" s="2" t="n"/>
      <c r="NJU1" s="2" t="n"/>
      <c r="NJV1" s="2" t="n"/>
      <c r="NJW1" s="2" t="n"/>
      <c r="NJX1" s="2" t="n"/>
      <c r="NJY1" s="2" t="n"/>
      <c r="NJZ1" s="2" t="n"/>
      <c r="NKA1" s="2" t="n"/>
      <c r="NKB1" s="2" t="n"/>
      <c r="NKC1" s="2" t="n"/>
      <c r="NKD1" s="2" t="n"/>
      <c r="NKE1" s="2" t="n"/>
      <c r="NKF1" s="2" t="n"/>
      <c r="NKG1" s="2" t="n"/>
      <c r="NKH1" s="2" t="n"/>
      <c r="NKI1" s="2" t="n"/>
      <c r="NKJ1" s="2" t="n"/>
      <c r="NKK1" s="2" t="n"/>
      <c r="NKL1" s="2" t="n"/>
      <c r="NKM1" s="2" t="n"/>
      <c r="NKN1" s="2" t="n"/>
      <c r="NKO1" s="2" t="n"/>
      <c r="NKP1" s="2" t="n"/>
      <c r="NKQ1" s="2" t="n"/>
      <c r="NKR1" s="2" t="n"/>
      <c r="NKS1" s="2" t="n"/>
      <c r="NKT1" s="2" t="n"/>
      <c r="NKU1" s="2" t="n"/>
      <c r="NKV1" s="2" t="n"/>
      <c r="NKW1" s="2" t="n"/>
      <c r="NKX1" s="2" t="n"/>
      <c r="NKY1" s="2" t="n"/>
      <c r="NKZ1" s="2" t="n"/>
      <c r="NLA1" s="2" t="n"/>
      <c r="NLB1" s="2" t="n"/>
      <c r="NLC1" s="2" t="n"/>
      <c r="NLD1" s="2" t="n"/>
      <c r="NLE1" s="2" t="n"/>
      <c r="NLF1" s="2" t="n"/>
      <c r="NLG1" s="2" t="n"/>
      <c r="NLH1" s="2" t="n"/>
      <c r="NLI1" s="2" t="n"/>
      <c r="NLJ1" s="2" t="n"/>
      <c r="NLK1" s="2" t="n"/>
      <c r="NLL1" s="2" t="n"/>
      <c r="NLM1" s="2" t="n"/>
      <c r="NLN1" s="2" t="n"/>
      <c r="NLO1" s="2" t="n"/>
      <c r="NLP1" s="2" t="n"/>
      <c r="NLQ1" s="2" t="n"/>
      <c r="NLR1" s="2" t="n"/>
      <c r="NLS1" s="2" t="n"/>
      <c r="NLT1" s="2" t="n"/>
      <c r="NLU1" s="2" t="n"/>
      <c r="NLV1" s="2" t="n"/>
      <c r="NLW1" s="2" t="n"/>
      <c r="NLX1" s="2" t="n"/>
      <c r="NLY1" s="2" t="n"/>
      <c r="NLZ1" s="2" t="n"/>
      <c r="NMA1" s="2" t="n"/>
      <c r="NMB1" s="2" t="n"/>
      <c r="NMC1" s="2" t="n"/>
      <c r="NMD1" s="2" t="n"/>
      <c r="NME1" s="2" t="n"/>
      <c r="NMF1" s="2" t="n"/>
      <c r="NMG1" s="2" t="n"/>
      <c r="NMH1" s="2" t="n"/>
      <c r="NMI1" s="2" t="n"/>
      <c r="NMJ1" s="2" t="n"/>
      <c r="NMK1" s="2" t="n"/>
      <c r="NML1" s="2" t="n"/>
      <c r="NMM1" s="2" t="n"/>
      <c r="NMN1" s="2" t="n"/>
      <c r="NMO1" s="2" t="n"/>
      <c r="NMP1" s="2" t="n"/>
      <c r="NMQ1" s="2" t="n"/>
      <c r="NMR1" s="2" t="n"/>
      <c r="NMS1" s="2" t="n"/>
      <c r="NMT1" s="2" t="n"/>
      <c r="NMU1" s="2" t="n"/>
      <c r="NMV1" s="2" t="n"/>
      <c r="NMW1" s="2" t="n"/>
      <c r="NMX1" s="2" t="n"/>
      <c r="NMY1" s="2" t="n"/>
      <c r="NMZ1" s="2" t="n"/>
      <c r="NNA1" s="2" t="n"/>
      <c r="NNB1" s="2" t="n"/>
      <c r="NNC1" s="2" t="n"/>
      <c r="NND1" s="2" t="n"/>
      <c r="NNE1" s="2" t="n"/>
      <c r="NNF1" s="2" t="n"/>
      <c r="NNG1" s="2" t="n"/>
      <c r="NNH1" s="2" t="n"/>
      <c r="NNI1" s="2" t="n"/>
      <c r="NNJ1" s="2" t="n"/>
      <c r="NNK1" s="2" t="n"/>
      <c r="NNL1" s="2" t="n"/>
      <c r="NNM1" s="2" t="n"/>
      <c r="NNN1" s="2" t="n"/>
      <c r="NNO1" s="2" t="n"/>
      <c r="NNP1" s="2" t="n"/>
      <c r="NNQ1" s="2" t="n"/>
      <c r="NNR1" s="2" t="n"/>
      <c r="NNS1" s="2" t="n"/>
      <c r="NNT1" s="2" t="n"/>
      <c r="NNU1" s="2" t="n"/>
      <c r="NNV1" s="2" t="n"/>
      <c r="NNW1" s="2" t="n"/>
      <c r="NNX1" s="2" t="n"/>
      <c r="NNY1" s="2" t="n"/>
      <c r="NNZ1" s="2" t="n"/>
      <c r="NOA1" s="2" t="n"/>
      <c r="NOB1" s="2" t="n"/>
      <c r="NOC1" s="2" t="n"/>
      <c r="NOD1" s="2" t="n"/>
      <c r="NOE1" s="2" t="n"/>
      <c r="NOF1" s="2" t="n"/>
      <c r="NOG1" s="2" t="n"/>
      <c r="NOH1" s="2" t="n"/>
      <c r="NOI1" s="2" t="n"/>
      <c r="NOJ1" s="2" t="n"/>
      <c r="NOK1" s="2" t="n"/>
      <c r="NOL1" s="2" t="n"/>
      <c r="NOM1" s="2" t="n"/>
      <c r="NON1" s="2" t="n"/>
      <c r="NOO1" s="2" t="n"/>
      <c r="NOP1" s="2" t="n"/>
      <c r="NOQ1" s="2" t="n"/>
      <c r="NOR1" s="2" t="n"/>
      <c r="NOS1" s="2" t="n"/>
      <c r="NOT1" s="2" t="n"/>
      <c r="NOU1" s="2" t="n"/>
      <c r="NOV1" s="2" t="n"/>
      <c r="NOW1" s="2" t="n"/>
      <c r="NOX1" s="2" t="n"/>
      <c r="NOY1" s="2" t="n"/>
      <c r="NOZ1" s="2" t="n"/>
      <c r="NPA1" s="2" t="n"/>
      <c r="NPB1" s="2" t="n"/>
      <c r="NPC1" s="2" t="n"/>
      <c r="NPD1" s="2" t="n"/>
      <c r="NPE1" s="2" t="n"/>
      <c r="NPF1" s="2" t="n"/>
      <c r="NPG1" s="2" t="n"/>
      <c r="NPH1" s="2" t="n"/>
      <c r="NPI1" s="2" t="n"/>
      <c r="NPJ1" s="2" t="n"/>
      <c r="NPK1" s="2" t="n"/>
      <c r="NPL1" s="2" t="n"/>
      <c r="NPM1" s="2" t="n"/>
      <c r="NPN1" s="2" t="n"/>
      <c r="NPO1" s="2" t="n"/>
      <c r="NPP1" s="2" t="n"/>
      <c r="NPQ1" s="2" t="n"/>
      <c r="NPR1" s="2" t="n"/>
      <c r="NPS1" s="2" t="n"/>
      <c r="NPT1" s="2" t="n"/>
      <c r="NPU1" s="2" t="n"/>
      <c r="NPV1" s="2" t="n"/>
      <c r="NPW1" s="2" t="n"/>
      <c r="NPX1" s="2" t="n"/>
      <c r="NPY1" s="2" t="n"/>
      <c r="NPZ1" s="2" t="n"/>
      <c r="NQA1" s="2" t="n"/>
      <c r="NQB1" s="2" t="n"/>
      <c r="NQC1" s="2" t="n"/>
      <c r="NQD1" s="2" t="n"/>
      <c r="NQE1" s="2" t="n"/>
      <c r="NQF1" s="2" t="n"/>
      <c r="NQG1" s="2" t="n"/>
      <c r="NQH1" s="2" t="n"/>
      <c r="NQI1" s="2" t="n"/>
      <c r="NQJ1" s="2" t="n"/>
      <c r="NQK1" s="2" t="n"/>
      <c r="NQL1" s="2" t="n"/>
      <c r="NQM1" s="2" t="n"/>
      <c r="NQN1" s="2" t="n"/>
      <c r="NQO1" s="2" t="n"/>
      <c r="NQP1" s="2" t="n"/>
      <c r="NQQ1" s="2" t="n"/>
      <c r="NQR1" s="2" t="n"/>
      <c r="NQS1" s="2" t="n"/>
      <c r="NQT1" s="2" t="n"/>
      <c r="NQU1" s="2" t="n"/>
      <c r="NQV1" s="2" t="n"/>
      <c r="NQW1" s="2" t="n"/>
      <c r="NQX1" s="2" t="n"/>
      <c r="NQY1" s="2" t="n"/>
      <c r="NQZ1" s="2" t="n"/>
      <c r="NRA1" s="2" t="n"/>
      <c r="NRB1" s="2" t="n"/>
      <c r="NRC1" s="2" t="n"/>
      <c r="NRD1" s="2" t="n"/>
      <c r="NRE1" s="2" t="n"/>
      <c r="NRF1" s="2" t="n"/>
      <c r="NRG1" s="2" t="n"/>
      <c r="NRH1" s="2" t="n"/>
      <c r="NRI1" s="2" t="n"/>
      <c r="NRJ1" s="2" t="n"/>
      <c r="NRK1" s="2" t="n"/>
      <c r="NRL1" s="2" t="n"/>
      <c r="NRM1" s="2" t="n"/>
      <c r="NRN1" s="2" t="n"/>
      <c r="NRO1" s="2" t="n"/>
      <c r="NRP1" s="2" t="n"/>
      <c r="NRQ1" s="2" t="n"/>
      <c r="NRR1" s="2" t="n"/>
      <c r="NRS1" s="2" t="n"/>
      <c r="NRT1" s="2" t="n"/>
      <c r="NRU1" s="2" t="n"/>
      <c r="NRV1" s="2" t="n"/>
      <c r="NRW1" s="2" t="n"/>
      <c r="NRX1" s="2" t="n"/>
      <c r="NRY1" s="2" t="n"/>
      <c r="NRZ1" s="2" t="n"/>
      <c r="NSA1" s="2" t="n"/>
      <c r="NSB1" s="2" t="n"/>
      <c r="NSC1" s="2" t="n"/>
      <c r="NSD1" s="2" t="n"/>
      <c r="NSE1" s="2" t="n"/>
      <c r="NSF1" s="2" t="n"/>
      <c r="NSG1" s="2" t="n"/>
      <c r="NSH1" s="2" t="n"/>
      <c r="NSI1" s="2" t="n"/>
      <c r="NSJ1" s="2" t="n"/>
      <c r="NSK1" s="2" t="n"/>
      <c r="NSL1" s="2" t="n"/>
      <c r="NSM1" s="2" t="n"/>
      <c r="NSN1" s="2" t="n"/>
      <c r="NSO1" s="2" t="n"/>
      <c r="NSP1" s="2" t="n"/>
      <c r="NSQ1" s="2" t="n"/>
      <c r="NSR1" s="2" t="n"/>
      <c r="NSS1" s="2" t="n"/>
      <c r="NST1" s="2" t="n"/>
      <c r="NSU1" s="2" t="n"/>
      <c r="NSV1" s="2" t="n"/>
      <c r="NSW1" s="2" t="n"/>
      <c r="NSX1" s="2" t="n"/>
      <c r="NSY1" s="2" t="n"/>
      <c r="NSZ1" s="2" t="n"/>
      <c r="NTA1" s="2" t="n"/>
      <c r="NTB1" s="2" t="n"/>
      <c r="NTC1" s="2" t="n"/>
      <c r="NTD1" s="2" t="n"/>
      <c r="NTE1" s="2" t="n"/>
      <c r="NTF1" s="2" t="n"/>
      <c r="NTG1" s="2" t="n"/>
      <c r="NTH1" s="2" t="n"/>
      <c r="NTI1" s="2" t="n"/>
      <c r="NTJ1" s="2" t="n"/>
      <c r="NTK1" s="2" t="n"/>
      <c r="NTL1" s="2" t="n"/>
      <c r="NTM1" s="2" t="n"/>
      <c r="NTN1" s="2" t="n"/>
      <c r="NTO1" s="2" t="n"/>
      <c r="NTP1" s="2" t="n"/>
      <c r="NTQ1" s="2" t="n"/>
      <c r="NTR1" s="2" t="n"/>
      <c r="NTS1" s="2" t="n"/>
      <c r="NTT1" s="2" t="n"/>
      <c r="NTU1" s="2" t="n"/>
      <c r="NTV1" s="2" t="n"/>
      <c r="NTW1" s="2" t="n"/>
      <c r="NTX1" s="2" t="n"/>
      <c r="NTY1" s="2" t="n"/>
      <c r="NTZ1" s="2" t="n"/>
      <c r="NUA1" s="2" t="n"/>
      <c r="NUB1" s="2" t="n"/>
      <c r="NUC1" s="2" t="n"/>
      <c r="NUD1" s="2" t="n"/>
      <c r="NUE1" s="2" t="n"/>
      <c r="NUF1" s="2" t="n"/>
      <c r="NUG1" s="2" t="n"/>
      <c r="NUH1" s="2" t="n"/>
      <c r="NUI1" s="2" t="n"/>
      <c r="NUJ1" s="2" t="n"/>
      <c r="NUK1" s="2" t="n"/>
      <c r="NUL1" s="2" t="n"/>
      <c r="NUM1" s="2" t="n"/>
      <c r="NUN1" s="2" t="n"/>
      <c r="NUO1" s="2" t="n"/>
      <c r="NUP1" s="2" t="n"/>
      <c r="NUQ1" s="2" t="n"/>
      <c r="NUR1" s="2" t="n"/>
      <c r="NUS1" s="2" t="n"/>
      <c r="NUT1" s="2" t="n"/>
      <c r="NUU1" s="2" t="n"/>
      <c r="NUV1" s="2" t="n"/>
      <c r="NUW1" s="2" t="n"/>
      <c r="NUX1" s="2" t="n"/>
      <c r="NUY1" s="2" t="n"/>
      <c r="NUZ1" s="2" t="n"/>
      <c r="NVA1" s="2" t="n"/>
      <c r="NVB1" s="2" t="n"/>
      <c r="NVC1" s="2" t="n"/>
      <c r="NVD1" s="2" t="n"/>
      <c r="NVE1" s="2" t="n"/>
      <c r="NVF1" s="2" t="n"/>
      <c r="NVG1" s="2" t="n"/>
      <c r="NVH1" s="2" t="n"/>
      <c r="NVI1" s="2" t="n"/>
      <c r="NVJ1" s="2" t="n"/>
      <c r="NVK1" s="2" t="n"/>
      <c r="NVL1" s="2" t="n"/>
      <c r="NVM1" s="2" t="n"/>
      <c r="NVN1" s="2" t="n"/>
      <c r="NVO1" s="2" t="n"/>
      <c r="NVP1" s="2" t="n"/>
      <c r="NVQ1" s="2" t="n"/>
      <c r="NVR1" s="2" t="n"/>
      <c r="NVS1" s="2" t="n"/>
      <c r="NVT1" s="2" t="n"/>
      <c r="NVU1" s="2" t="n"/>
      <c r="NVV1" s="2" t="n"/>
      <c r="NVW1" s="2" t="n"/>
      <c r="NVX1" s="2" t="n"/>
      <c r="NVY1" s="2" t="n"/>
      <c r="NVZ1" s="2" t="n"/>
      <c r="NWA1" s="2" t="n"/>
      <c r="NWB1" s="2" t="n"/>
      <c r="NWC1" s="2" t="n"/>
      <c r="NWD1" s="2" t="n"/>
      <c r="NWE1" s="2" t="n"/>
      <c r="NWF1" s="2" t="n"/>
      <c r="NWG1" s="2" t="n"/>
      <c r="NWH1" s="2" t="n"/>
      <c r="NWI1" s="2" t="n"/>
      <c r="NWJ1" s="2" t="n"/>
      <c r="NWK1" s="2" t="n"/>
      <c r="NWL1" s="2" t="n"/>
      <c r="NWM1" s="2" t="n"/>
      <c r="NWN1" s="2" t="n"/>
      <c r="NWO1" s="2" t="n"/>
      <c r="NWP1" s="2" t="n"/>
      <c r="NWQ1" s="2" t="n"/>
      <c r="NWR1" s="2" t="n"/>
      <c r="NWS1" s="2" t="n"/>
      <c r="NWT1" s="2" t="n"/>
      <c r="NWU1" s="2" t="n"/>
      <c r="NWV1" s="2" t="n"/>
      <c r="NWW1" s="2" t="n"/>
      <c r="NWX1" s="2" t="n"/>
      <c r="NWY1" s="2" t="n"/>
      <c r="NWZ1" s="2" t="n"/>
      <c r="NXA1" s="2" t="n"/>
      <c r="NXB1" s="2" t="n"/>
      <c r="NXC1" s="2" t="n"/>
      <c r="NXD1" s="2" t="n"/>
      <c r="NXE1" s="2" t="n"/>
      <c r="NXF1" s="2" t="n"/>
      <c r="NXG1" s="2" t="n"/>
      <c r="NXH1" s="2" t="n"/>
      <c r="NXI1" s="2" t="n"/>
      <c r="NXJ1" s="2" t="n"/>
      <c r="NXK1" s="2" t="n"/>
      <c r="NXL1" s="2" t="n"/>
      <c r="NXM1" s="2" t="n"/>
      <c r="NXN1" s="2" t="n"/>
      <c r="NXO1" s="2" t="n"/>
      <c r="NXP1" s="2" t="n"/>
      <c r="NXQ1" s="2" t="n"/>
      <c r="NXR1" s="2" t="n"/>
      <c r="NXS1" s="2" t="n"/>
      <c r="NXT1" s="2" t="n"/>
      <c r="NXU1" s="2" t="n"/>
      <c r="NXV1" s="2" t="n"/>
      <c r="NXW1" s="2" t="n"/>
      <c r="NXX1" s="2" t="n"/>
      <c r="NXY1" s="2" t="n"/>
      <c r="NXZ1" s="2" t="n"/>
      <c r="NYA1" s="2" t="n"/>
      <c r="NYB1" s="2" t="n"/>
      <c r="NYC1" s="2" t="n"/>
      <c r="NYD1" s="2" t="n"/>
      <c r="NYE1" s="2" t="n"/>
      <c r="NYF1" s="2" t="n"/>
      <c r="NYG1" s="2" t="n"/>
      <c r="NYH1" s="2" t="n"/>
      <c r="NYI1" s="2" t="n"/>
      <c r="NYJ1" s="2" t="n"/>
      <c r="NYK1" s="2" t="n"/>
      <c r="NYL1" s="2" t="n"/>
      <c r="NYM1" s="2" t="n"/>
      <c r="NYN1" s="2" t="n"/>
      <c r="NYO1" s="2" t="n"/>
      <c r="NYP1" s="2" t="n"/>
      <c r="NYQ1" s="2" t="n"/>
      <c r="NYR1" s="2" t="n"/>
      <c r="NYS1" s="2" t="n"/>
      <c r="NYT1" s="2" t="n"/>
      <c r="NYU1" s="2" t="n"/>
      <c r="NYV1" s="2" t="n"/>
      <c r="NYW1" s="2" t="n"/>
      <c r="NYX1" s="2" t="n"/>
      <c r="NYY1" s="2" t="n"/>
      <c r="NYZ1" s="2" t="n"/>
      <c r="NZA1" s="2" t="n"/>
      <c r="NZB1" s="2" t="n"/>
      <c r="NZC1" s="2" t="n"/>
      <c r="NZD1" s="2" t="n"/>
      <c r="NZE1" s="2" t="n"/>
      <c r="NZF1" s="2" t="n"/>
      <c r="NZG1" s="2" t="n"/>
      <c r="NZH1" s="2" t="n"/>
      <c r="NZI1" s="2" t="n"/>
      <c r="NZJ1" s="2" t="n"/>
      <c r="NZK1" s="2" t="n"/>
      <c r="NZL1" s="2" t="n"/>
      <c r="NZM1" s="2" t="n"/>
      <c r="NZN1" s="2" t="n"/>
      <c r="NZO1" s="2" t="n"/>
      <c r="NZP1" s="2" t="n"/>
      <c r="NZQ1" s="2" t="n"/>
      <c r="NZR1" s="2" t="n"/>
      <c r="NZS1" s="2" t="n"/>
      <c r="NZT1" s="2" t="n"/>
      <c r="NZU1" s="2" t="n"/>
      <c r="NZV1" s="2" t="n"/>
      <c r="NZW1" s="2" t="n"/>
      <c r="NZX1" s="2" t="n"/>
      <c r="NZY1" s="2" t="n"/>
      <c r="NZZ1" s="2" t="n"/>
      <c r="OAA1" s="2" t="n"/>
      <c r="OAB1" s="2" t="n"/>
      <c r="OAC1" s="2" t="n"/>
      <c r="OAD1" s="2" t="n"/>
      <c r="OAE1" s="2" t="n"/>
      <c r="OAF1" s="2" t="n"/>
      <c r="OAG1" s="2" t="n"/>
      <c r="OAH1" s="2" t="n"/>
      <c r="OAI1" s="2" t="n"/>
      <c r="OAJ1" s="2" t="n"/>
      <c r="OAK1" s="2" t="n"/>
      <c r="OAL1" s="2" t="n"/>
      <c r="OAM1" s="2" t="n"/>
      <c r="OAN1" s="2" t="n"/>
      <c r="OAO1" s="2" t="n"/>
      <c r="OAP1" s="2" t="n"/>
      <c r="OAQ1" s="2" t="n"/>
      <c r="OAR1" s="2" t="n"/>
      <c r="OAS1" s="2" t="n"/>
      <c r="OAT1" s="2" t="n"/>
      <c r="OAU1" s="2" t="n"/>
      <c r="OAV1" s="2" t="n"/>
      <c r="OAW1" s="2" t="n"/>
      <c r="OAX1" s="2" t="n"/>
      <c r="OAY1" s="2" t="n"/>
      <c r="OAZ1" s="2" t="n"/>
      <c r="OBA1" s="2" t="n"/>
      <c r="OBB1" s="2" t="n"/>
      <c r="OBC1" s="2" t="n"/>
      <c r="OBD1" s="2" t="n"/>
      <c r="OBE1" s="2" t="n"/>
      <c r="OBF1" s="2" t="n"/>
      <c r="OBG1" s="2" t="n"/>
      <c r="OBH1" s="2" t="n"/>
      <c r="OBI1" s="2" t="n"/>
      <c r="OBJ1" s="2" t="n"/>
      <c r="OBK1" s="2" t="n"/>
      <c r="OBL1" s="2" t="n"/>
      <c r="OBM1" s="2" t="n"/>
      <c r="OBN1" s="2" t="n"/>
      <c r="OBO1" s="2" t="n"/>
      <c r="OBP1" s="2" t="n"/>
      <c r="OBQ1" s="2" t="n"/>
      <c r="OBR1" s="2" t="n"/>
      <c r="OBS1" s="2" t="n"/>
      <c r="OBT1" s="2" t="n"/>
      <c r="OBU1" s="2" t="n"/>
      <c r="OBV1" s="2" t="n"/>
      <c r="OBW1" s="2" t="n"/>
      <c r="OBX1" s="2" t="n"/>
      <c r="OBY1" s="2" t="n"/>
      <c r="OBZ1" s="2" t="n"/>
      <c r="OCA1" s="2" t="n"/>
      <c r="OCB1" s="2" t="n"/>
      <c r="OCC1" s="2" t="n"/>
      <c r="OCD1" s="2" t="n"/>
      <c r="OCE1" s="2" t="n"/>
      <c r="OCF1" s="2" t="n"/>
      <c r="OCG1" s="2" t="n"/>
      <c r="OCH1" s="2" t="n"/>
      <c r="OCI1" s="2" t="n"/>
      <c r="OCJ1" s="2" t="n"/>
      <c r="OCK1" s="2" t="n"/>
      <c r="OCL1" s="2" t="n"/>
      <c r="OCM1" s="2" t="n"/>
      <c r="OCN1" s="2" t="n"/>
      <c r="OCO1" s="2" t="n"/>
      <c r="OCP1" s="2" t="n"/>
      <c r="OCQ1" s="2" t="n"/>
      <c r="OCR1" s="2" t="n"/>
      <c r="OCS1" s="2" t="n"/>
      <c r="OCT1" s="2" t="n"/>
      <c r="OCU1" s="2" t="n"/>
      <c r="OCV1" s="2" t="n"/>
      <c r="OCW1" s="2" t="n"/>
      <c r="OCX1" s="2" t="n"/>
      <c r="OCY1" s="2" t="n"/>
      <c r="OCZ1" s="2" t="n"/>
      <c r="ODA1" s="2" t="n"/>
      <c r="ODB1" s="2" t="n"/>
      <c r="ODC1" s="2" t="n"/>
      <c r="ODD1" s="2" t="n"/>
      <c r="ODE1" s="2" t="n"/>
      <c r="ODF1" s="2" t="n"/>
      <c r="ODG1" s="2" t="n"/>
      <c r="ODH1" s="2" t="n"/>
      <c r="ODI1" s="2" t="n"/>
      <c r="ODJ1" s="2" t="n"/>
      <c r="ODK1" s="2" t="n"/>
      <c r="ODL1" s="2" t="n"/>
      <c r="ODM1" s="2" t="n"/>
      <c r="ODN1" s="2" t="n"/>
      <c r="ODO1" s="2" t="n"/>
      <c r="ODP1" s="2" t="n"/>
      <c r="ODQ1" s="2" t="n"/>
      <c r="ODR1" s="2" t="n"/>
      <c r="ODS1" s="2" t="n"/>
      <c r="ODT1" s="2" t="n"/>
      <c r="ODU1" s="2" t="n"/>
      <c r="ODV1" s="2" t="n"/>
      <c r="ODW1" s="2" t="n"/>
      <c r="ODX1" s="2" t="n"/>
      <c r="ODY1" s="2" t="n"/>
      <c r="ODZ1" s="2" t="n"/>
      <c r="OEA1" s="2" t="n"/>
      <c r="OEB1" s="2" t="n"/>
      <c r="OEC1" s="2" t="n"/>
      <c r="OED1" s="2" t="n"/>
      <c r="OEE1" s="2" t="n"/>
      <c r="OEF1" s="2" t="n"/>
      <c r="OEG1" s="2" t="n"/>
      <c r="OEH1" s="2" t="n"/>
      <c r="OEI1" s="2" t="n"/>
      <c r="OEJ1" s="2" t="n"/>
      <c r="OEK1" s="2" t="n"/>
      <c r="OEL1" s="2" t="n"/>
      <c r="OEM1" s="2" t="n"/>
      <c r="OEN1" s="2" t="n"/>
      <c r="OEO1" s="2" t="n"/>
      <c r="OEP1" s="2" t="n"/>
      <c r="OEQ1" s="2" t="n"/>
      <c r="OER1" s="2" t="n"/>
      <c r="OES1" s="2" t="n"/>
      <c r="OET1" s="2" t="n"/>
      <c r="OEU1" s="2" t="n"/>
      <c r="OEV1" s="2" t="n"/>
      <c r="OEW1" s="2" t="n"/>
      <c r="OEX1" s="2" t="n"/>
      <c r="OEY1" s="2" t="n"/>
      <c r="OEZ1" s="2" t="n"/>
      <c r="OFA1" s="2" t="n"/>
      <c r="OFB1" s="2" t="n"/>
      <c r="OFC1" s="2" t="n"/>
      <c r="OFD1" s="2" t="n"/>
      <c r="OFE1" s="2" t="n"/>
      <c r="OFF1" s="2" t="n"/>
      <c r="OFG1" s="2" t="n"/>
      <c r="OFH1" s="2" t="n"/>
      <c r="OFI1" s="2" t="n"/>
      <c r="OFJ1" s="2" t="n"/>
      <c r="OFK1" s="2" t="n"/>
      <c r="OFL1" s="2" t="n"/>
      <c r="OFM1" s="2" t="n"/>
      <c r="OFN1" s="2" t="n"/>
      <c r="OFO1" s="2" t="n"/>
      <c r="OFP1" s="2" t="n"/>
      <c r="OFQ1" s="2" t="n"/>
      <c r="OFR1" s="2" t="n"/>
      <c r="OFS1" s="2" t="n"/>
      <c r="OFT1" s="2" t="n"/>
      <c r="OFU1" s="2" t="n"/>
      <c r="OFV1" s="2" t="n"/>
      <c r="OFW1" s="2" t="n"/>
      <c r="OFX1" s="2" t="n"/>
      <c r="OFY1" s="2" t="n"/>
      <c r="OFZ1" s="2" t="n"/>
      <c r="OGA1" s="2" t="n"/>
      <c r="OGB1" s="2" t="n"/>
      <c r="OGC1" s="2" t="n"/>
      <c r="OGD1" s="2" t="n"/>
      <c r="OGE1" s="2" t="n"/>
      <c r="OGF1" s="2" t="n"/>
      <c r="OGG1" s="2" t="n"/>
      <c r="OGH1" s="2" t="n"/>
      <c r="OGI1" s="2" t="n"/>
      <c r="OGJ1" s="2" t="n"/>
      <c r="OGK1" s="2" t="n"/>
      <c r="OGL1" s="2" t="n"/>
      <c r="OGM1" s="2" t="n"/>
      <c r="OGN1" s="2" t="n"/>
      <c r="OGO1" s="2" t="n"/>
      <c r="OGP1" s="2" t="n"/>
      <c r="OGQ1" s="2" t="n"/>
      <c r="OGR1" s="2" t="n"/>
      <c r="OGS1" s="2" t="n"/>
      <c r="OGT1" s="2" t="n"/>
      <c r="OGU1" s="2" t="n"/>
      <c r="OGV1" s="2" t="n"/>
      <c r="OGW1" s="2" t="n"/>
      <c r="OGX1" s="2" t="n"/>
      <c r="OGY1" s="2" t="n"/>
      <c r="OGZ1" s="2" t="n"/>
      <c r="OHA1" s="2" t="n"/>
      <c r="OHB1" s="2" t="n"/>
      <c r="OHC1" s="2" t="n"/>
      <c r="OHD1" s="2" t="n"/>
      <c r="OHE1" s="2" t="n"/>
      <c r="OHF1" s="2" t="n"/>
      <c r="OHG1" s="2" t="n"/>
      <c r="OHH1" s="2" t="n"/>
      <c r="OHI1" s="2" t="n"/>
      <c r="OHJ1" s="2" t="n"/>
      <c r="OHK1" s="2" t="n"/>
      <c r="OHL1" s="2" t="n"/>
      <c r="OHM1" s="2" t="n"/>
      <c r="OHN1" s="2" t="n"/>
      <c r="OHO1" s="2" t="n"/>
      <c r="OHP1" s="2" t="n"/>
      <c r="OHQ1" s="2" t="n"/>
      <c r="OHR1" s="2" t="n"/>
      <c r="OHS1" s="2" t="n"/>
      <c r="OHT1" s="2" t="n"/>
      <c r="OHU1" s="2" t="n"/>
      <c r="OHV1" s="2" t="n"/>
      <c r="OHW1" s="2" t="n"/>
      <c r="OHX1" s="2" t="n"/>
      <c r="OHY1" s="2" t="n"/>
      <c r="OHZ1" s="2" t="n"/>
      <c r="OIA1" s="2" t="n"/>
      <c r="OIB1" s="2" t="n"/>
      <c r="OIC1" s="2" t="n"/>
      <c r="OID1" s="2" t="n"/>
      <c r="OIE1" s="2" t="n"/>
      <c r="OIF1" s="2" t="n"/>
      <c r="OIG1" s="2" t="n"/>
      <c r="OIH1" s="2" t="n"/>
      <c r="OII1" s="2" t="n"/>
      <c r="OIJ1" s="2" t="n"/>
      <c r="OIK1" s="2" t="n"/>
      <c r="OIL1" s="2" t="n"/>
      <c r="OIM1" s="2" t="n"/>
      <c r="OIN1" s="2" t="n"/>
      <c r="OIO1" s="2" t="n"/>
      <c r="OIP1" s="2" t="n"/>
      <c r="OIQ1" s="2" t="n"/>
      <c r="OIR1" s="2" t="n"/>
      <c r="OIS1" s="2" t="n"/>
      <c r="OIT1" s="2" t="n"/>
      <c r="OIU1" s="2" t="n"/>
      <c r="OIV1" s="2" t="n"/>
      <c r="OIW1" s="2" t="n"/>
      <c r="OIX1" s="2" t="n"/>
      <c r="OIY1" s="2" t="n"/>
      <c r="OIZ1" s="2" t="n"/>
      <c r="OJA1" s="2" t="n"/>
      <c r="OJB1" s="2" t="n"/>
      <c r="OJC1" s="2" t="n"/>
      <c r="OJD1" s="2" t="n"/>
      <c r="OJE1" s="2" t="n"/>
      <c r="OJF1" s="2" t="n"/>
      <c r="OJG1" s="2" t="n"/>
      <c r="OJH1" s="2" t="n"/>
      <c r="OJI1" s="2" t="n"/>
      <c r="OJJ1" s="2" t="n"/>
      <c r="OJK1" s="2" t="n"/>
      <c r="OJL1" s="2" t="n"/>
      <c r="OJM1" s="2" t="n"/>
      <c r="OJN1" s="2" t="n"/>
      <c r="OJO1" s="2" t="n"/>
      <c r="OJP1" s="2" t="n"/>
      <c r="OJQ1" s="2" t="n"/>
      <c r="OJR1" s="2" t="n"/>
      <c r="OJS1" s="2" t="n"/>
      <c r="OJT1" s="2" t="n"/>
      <c r="OJU1" s="2" t="n"/>
      <c r="OJV1" s="2" t="n"/>
      <c r="OJW1" s="2" t="n"/>
      <c r="OJX1" s="2" t="n"/>
      <c r="OJY1" s="2" t="n"/>
      <c r="OJZ1" s="2" t="n"/>
      <c r="OKA1" s="2" t="n"/>
      <c r="OKB1" s="2" t="n"/>
      <c r="OKC1" s="2" t="n"/>
      <c r="OKD1" s="2" t="n"/>
      <c r="OKE1" s="2" t="n"/>
      <c r="OKF1" s="2" t="n"/>
      <c r="OKG1" s="2" t="n"/>
      <c r="OKH1" s="2" t="n"/>
      <c r="OKI1" s="2" t="n"/>
      <c r="OKJ1" s="2" t="n"/>
      <c r="OKK1" s="2" t="n"/>
      <c r="OKL1" s="2" t="n"/>
      <c r="OKM1" s="2" t="n"/>
      <c r="OKN1" s="2" t="n"/>
      <c r="OKO1" s="2" t="n"/>
      <c r="OKP1" s="2" t="n"/>
      <c r="OKQ1" s="2" t="n"/>
      <c r="OKR1" s="2" t="n"/>
      <c r="OKS1" s="2" t="n"/>
      <c r="OKT1" s="2" t="n"/>
      <c r="OKU1" s="2" t="n"/>
      <c r="OKV1" s="2" t="n"/>
      <c r="OKW1" s="2" t="n"/>
      <c r="OKX1" s="2" t="n"/>
      <c r="OKY1" s="2" t="n"/>
      <c r="OKZ1" s="2" t="n"/>
      <c r="OLA1" s="2" t="n"/>
      <c r="OLB1" s="2" t="n"/>
      <c r="OLC1" s="2" t="n"/>
      <c r="OLD1" s="2" t="n"/>
      <c r="OLE1" s="2" t="n"/>
      <c r="OLF1" s="2" t="n"/>
      <c r="OLG1" s="2" t="n"/>
      <c r="OLH1" s="2" t="n"/>
      <c r="OLI1" s="2" t="n"/>
      <c r="OLJ1" s="2" t="n"/>
      <c r="OLK1" s="2" t="n"/>
      <c r="OLL1" s="2" t="n"/>
      <c r="OLM1" s="2" t="n"/>
      <c r="OLN1" s="2" t="n"/>
      <c r="OLO1" s="2" t="n"/>
      <c r="OLP1" s="2" t="n"/>
      <c r="OLQ1" s="2" t="n"/>
      <c r="OLR1" s="2" t="n"/>
      <c r="OLS1" s="2" t="n"/>
      <c r="OLT1" s="2" t="n"/>
      <c r="OLU1" s="2" t="n"/>
      <c r="OLV1" s="2" t="n"/>
      <c r="OLW1" s="2" t="n"/>
      <c r="OLX1" s="2" t="n"/>
      <c r="OLY1" s="2" t="n"/>
      <c r="OLZ1" s="2" t="n"/>
      <c r="OMA1" s="2" t="n"/>
      <c r="OMB1" s="2" t="n"/>
      <c r="OMC1" s="2" t="n"/>
      <c r="OMD1" s="2" t="n"/>
      <c r="OME1" s="2" t="n"/>
      <c r="OMF1" s="2" t="n"/>
      <c r="OMG1" s="2" t="n"/>
      <c r="OMH1" s="2" t="n"/>
      <c r="OMI1" s="2" t="n"/>
      <c r="OMJ1" s="2" t="n"/>
      <c r="OMK1" s="2" t="n"/>
      <c r="OML1" s="2" t="n"/>
      <c r="OMM1" s="2" t="n"/>
      <c r="OMN1" s="2" t="n"/>
      <c r="OMO1" s="2" t="n"/>
      <c r="OMP1" s="2" t="n"/>
      <c r="OMQ1" s="2" t="n"/>
      <c r="OMR1" s="2" t="n"/>
      <c r="OMS1" s="2" t="n"/>
      <c r="OMT1" s="2" t="n"/>
      <c r="OMU1" s="2" t="n"/>
      <c r="OMV1" s="2" t="n"/>
      <c r="OMW1" s="2" t="n"/>
      <c r="OMX1" s="2" t="n"/>
      <c r="OMY1" s="2" t="n"/>
      <c r="OMZ1" s="2" t="n"/>
      <c r="ONA1" s="2" t="n"/>
      <c r="ONB1" s="2" t="n"/>
      <c r="ONC1" s="2" t="n"/>
      <c r="OND1" s="2" t="n"/>
      <c r="ONE1" s="2" t="n"/>
      <c r="ONF1" s="2" t="n"/>
      <c r="ONG1" s="2" t="n"/>
      <c r="ONH1" s="2" t="n"/>
      <c r="ONI1" s="2" t="n"/>
      <c r="ONJ1" s="2" t="n"/>
      <c r="ONK1" s="2" t="n"/>
      <c r="ONL1" s="2" t="n"/>
      <c r="ONM1" s="2" t="n"/>
      <c r="ONN1" s="2" t="n"/>
      <c r="ONO1" s="2" t="n"/>
      <c r="ONP1" s="2" t="n"/>
      <c r="ONQ1" s="2" t="n"/>
      <c r="ONR1" s="2" t="n"/>
      <c r="ONS1" s="2" t="n"/>
      <c r="ONT1" s="2" t="n"/>
      <c r="ONU1" s="2" t="n"/>
      <c r="ONV1" s="2" t="n"/>
      <c r="ONW1" s="2" t="n"/>
      <c r="ONX1" s="2" t="n"/>
      <c r="ONY1" s="2" t="n"/>
      <c r="ONZ1" s="2" t="n"/>
      <c r="OOA1" s="2" t="n"/>
      <c r="OOB1" s="2" t="n"/>
      <c r="OOC1" s="2" t="n"/>
      <c r="OOD1" s="2" t="n"/>
      <c r="OOE1" s="2" t="n"/>
      <c r="OOF1" s="2" t="n"/>
      <c r="OOG1" s="2" t="n"/>
      <c r="OOH1" s="2" t="n"/>
      <c r="OOI1" s="2" t="n"/>
      <c r="OOJ1" s="2" t="n"/>
      <c r="OOK1" s="2" t="n"/>
      <c r="OOL1" s="2" t="n"/>
      <c r="OOM1" s="2" t="n"/>
      <c r="OON1" s="2" t="n"/>
      <c r="OOO1" s="2" t="n"/>
      <c r="OOP1" s="2" t="n"/>
      <c r="OOQ1" s="2" t="n"/>
      <c r="OOR1" s="2" t="n"/>
      <c r="OOS1" s="2" t="n"/>
      <c r="OOT1" s="2" t="n"/>
      <c r="OOU1" s="2" t="n"/>
      <c r="OOV1" s="2" t="n"/>
      <c r="OOW1" s="2" t="n"/>
      <c r="OOX1" s="2" t="n"/>
      <c r="OOY1" s="2" t="n"/>
      <c r="OOZ1" s="2" t="n"/>
      <c r="OPA1" s="2" t="n"/>
      <c r="OPB1" s="2" t="n"/>
      <c r="OPC1" s="2" t="n"/>
      <c r="OPD1" s="2" t="n"/>
      <c r="OPE1" s="2" t="n"/>
      <c r="OPF1" s="2" t="n"/>
      <c r="OPG1" s="2" t="n"/>
      <c r="OPH1" s="2" t="n"/>
      <c r="OPI1" s="2" t="n"/>
      <c r="OPJ1" s="2" t="n"/>
      <c r="OPK1" s="2" t="n"/>
      <c r="OPL1" s="2" t="n"/>
      <c r="OPM1" s="2" t="n"/>
      <c r="OPN1" s="2" t="n"/>
      <c r="OPO1" s="2" t="n"/>
      <c r="OPP1" s="2" t="n"/>
      <c r="OPQ1" s="2" t="n"/>
      <c r="OPR1" s="2" t="n"/>
      <c r="OPS1" s="2" t="n"/>
      <c r="OPT1" s="2" t="n"/>
      <c r="OPU1" s="2" t="n"/>
      <c r="OPV1" s="2" t="n"/>
      <c r="OPW1" s="2" t="n"/>
      <c r="OPX1" s="2" t="n"/>
      <c r="OPY1" s="2" t="n"/>
      <c r="OPZ1" s="2" t="n"/>
      <c r="OQA1" s="2" t="n"/>
      <c r="OQB1" s="2" t="n"/>
      <c r="OQC1" s="2" t="n"/>
      <c r="OQD1" s="2" t="n"/>
      <c r="OQE1" s="2" t="n"/>
      <c r="OQF1" s="2" t="n"/>
      <c r="OQG1" s="2" t="n"/>
      <c r="OQH1" s="2" t="n"/>
      <c r="OQI1" s="2" t="n"/>
      <c r="OQJ1" s="2" t="n"/>
      <c r="OQK1" s="2" t="n"/>
      <c r="OQL1" s="2" t="n"/>
      <c r="OQM1" s="2" t="n"/>
      <c r="OQN1" s="2" t="n"/>
      <c r="OQO1" s="2" t="n"/>
      <c r="OQP1" s="2" t="n"/>
      <c r="OQQ1" s="2" t="n"/>
      <c r="OQR1" s="2" t="n"/>
      <c r="OQS1" s="2" t="n"/>
      <c r="OQT1" s="2" t="n"/>
      <c r="OQU1" s="2" t="n"/>
      <c r="OQV1" s="2" t="n"/>
      <c r="OQW1" s="2" t="n"/>
      <c r="OQX1" s="2" t="n"/>
      <c r="OQY1" s="2" t="n"/>
      <c r="OQZ1" s="2" t="n"/>
      <c r="ORA1" s="2" t="n"/>
      <c r="ORB1" s="2" t="n"/>
      <c r="ORC1" s="2" t="n"/>
      <c r="ORD1" s="2" t="n"/>
      <c r="ORE1" s="2" t="n"/>
      <c r="ORF1" s="2" t="n"/>
      <c r="ORG1" s="2" t="n"/>
      <c r="ORH1" s="2" t="n"/>
      <c r="ORI1" s="2" t="n"/>
      <c r="ORJ1" s="2" t="n"/>
      <c r="ORK1" s="2" t="n"/>
      <c r="ORL1" s="2" t="n"/>
      <c r="ORM1" s="2" t="n"/>
      <c r="ORN1" s="2" t="n"/>
      <c r="ORO1" s="2" t="n"/>
      <c r="ORP1" s="2" t="n"/>
      <c r="ORQ1" s="2" t="n"/>
      <c r="ORR1" s="2" t="n"/>
      <c r="ORS1" s="2" t="n"/>
      <c r="ORT1" s="2" t="n"/>
      <c r="ORU1" s="2" t="n"/>
      <c r="ORV1" s="2" t="n"/>
      <c r="ORW1" s="2" t="n"/>
      <c r="ORX1" s="2" t="n"/>
      <c r="ORY1" s="2" t="n"/>
      <c r="ORZ1" s="2" t="n"/>
      <c r="OSA1" s="2" t="n"/>
      <c r="OSB1" s="2" t="n"/>
      <c r="OSC1" s="2" t="n"/>
      <c r="OSD1" s="2" t="n"/>
      <c r="OSE1" s="2" t="n"/>
      <c r="OSF1" s="2" t="n"/>
      <c r="OSG1" s="2" t="n"/>
      <c r="OSH1" s="2" t="n"/>
      <c r="OSI1" s="2" t="n"/>
      <c r="OSJ1" s="2" t="n"/>
      <c r="OSK1" s="2" t="n"/>
      <c r="OSL1" s="2" t="n"/>
      <c r="OSM1" s="2" t="n"/>
      <c r="OSN1" s="2" t="n"/>
      <c r="OSO1" s="2" t="n"/>
      <c r="OSP1" s="2" t="n"/>
      <c r="OSQ1" s="2" t="n"/>
      <c r="OSR1" s="2" t="n"/>
      <c r="OSS1" s="2" t="n"/>
      <c r="OST1" s="2" t="n"/>
      <c r="OSU1" s="2" t="n"/>
      <c r="OSV1" s="2" t="n"/>
      <c r="OSW1" s="2" t="n"/>
      <c r="OSX1" s="2" t="n"/>
      <c r="OSY1" s="2" t="n"/>
      <c r="OSZ1" s="2" t="n"/>
      <c r="OTA1" s="2" t="n"/>
      <c r="OTB1" s="2" t="n"/>
      <c r="OTC1" s="2" t="n"/>
      <c r="OTD1" s="2" t="n"/>
      <c r="OTE1" s="2" t="n"/>
      <c r="OTF1" s="2" t="n"/>
      <c r="OTG1" s="2" t="n"/>
      <c r="OTH1" s="2" t="n"/>
      <c r="OTI1" s="2" t="n"/>
      <c r="OTJ1" s="2" t="n"/>
      <c r="OTK1" s="2" t="n"/>
      <c r="OTL1" s="2" t="n"/>
      <c r="OTM1" s="2" t="n"/>
      <c r="OTN1" s="2" t="n"/>
      <c r="OTO1" s="2" t="n"/>
      <c r="OTP1" s="2" t="n"/>
      <c r="OTQ1" s="2" t="n"/>
      <c r="OTR1" s="2" t="n"/>
      <c r="OTS1" s="2" t="n"/>
      <c r="OTT1" s="2" t="n"/>
      <c r="OTU1" s="2" t="n"/>
      <c r="OTV1" s="2" t="n"/>
      <c r="OTW1" s="2" t="n"/>
      <c r="OTX1" s="2" t="n"/>
      <c r="OTY1" s="2" t="n"/>
      <c r="OTZ1" s="2" t="n"/>
      <c r="OUA1" s="2" t="n"/>
      <c r="OUB1" s="2" t="n"/>
      <c r="OUC1" s="2" t="n"/>
      <c r="OUD1" s="2" t="n"/>
      <c r="OUE1" s="2" t="n"/>
      <c r="OUF1" s="2" t="n"/>
      <c r="OUG1" s="2" t="n"/>
      <c r="OUH1" s="2" t="n"/>
      <c r="OUI1" s="2" t="n"/>
      <c r="OUJ1" s="2" t="n"/>
      <c r="OUK1" s="2" t="n"/>
      <c r="OUL1" s="2" t="n"/>
      <c r="OUM1" s="2" t="n"/>
      <c r="OUN1" s="2" t="n"/>
      <c r="OUO1" s="2" t="n"/>
      <c r="OUP1" s="2" t="n"/>
      <c r="OUQ1" s="2" t="n"/>
      <c r="OUR1" s="2" t="n"/>
      <c r="OUS1" s="2" t="n"/>
      <c r="OUT1" s="2" t="n"/>
      <c r="OUU1" s="2" t="n"/>
      <c r="OUV1" s="2" t="n"/>
      <c r="OUW1" s="2" t="n"/>
      <c r="OUX1" s="2" t="n"/>
      <c r="OUY1" s="2" t="n"/>
      <c r="OUZ1" s="2" t="n"/>
      <c r="OVA1" s="2" t="n"/>
      <c r="OVB1" s="2" t="n"/>
      <c r="OVC1" s="2" t="n"/>
      <c r="OVD1" s="2" t="n"/>
      <c r="OVE1" s="2" t="n"/>
      <c r="OVF1" s="2" t="n"/>
      <c r="OVG1" s="2" t="n"/>
      <c r="OVH1" s="2" t="n"/>
      <c r="OVI1" s="2" t="n"/>
      <c r="OVJ1" s="2" t="n"/>
      <c r="OVK1" s="2" t="n"/>
      <c r="OVL1" s="2" t="n"/>
      <c r="OVM1" s="2" t="n"/>
      <c r="OVN1" s="2" t="n"/>
      <c r="OVO1" s="2" t="n"/>
      <c r="OVP1" s="2" t="n"/>
      <c r="OVQ1" s="2" t="n"/>
      <c r="OVR1" s="2" t="n"/>
      <c r="OVS1" s="2" t="n"/>
      <c r="OVT1" s="2" t="n"/>
      <c r="OVU1" s="2" t="n"/>
      <c r="OVV1" s="2" t="n"/>
      <c r="OVW1" s="2" t="n"/>
      <c r="OVX1" s="2" t="n"/>
      <c r="OVY1" s="2" t="n"/>
      <c r="OVZ1" s="2" t="n"/>
      <c r="OWA1" s="2" t="n"/>
      <c r="OWB1" s="2" t="n"/>
      <c r="OWC1" s="2" t="n"/>
      <c r="OWD1" s="2" t="n"/>
      <c r="OWE1" s="2" t="n"/>
      <c r="OWF1" s="2" t="n"/>
      <c r="OWG1" s="2" t="n"/>
      <c r="OWH1" s="2" t="n"/>
      <c r="OWI1" s="2" t="n"/>
      <c r="OWJ1" s="2" t="n"/>
      <c r="OWK1" s="2" t="n"/>
      <c r="OWL1" s="2" t="n"/>
      <c r="OWM1" s="2" t="n"/>
      <c r="OWN1" s="2" t="n"/>
      <c r="OWO1" s="2" t="n"/>
      <c r="OWP1" s="2" t="n"/>
      <c r="OWQ1" s="2" t="n"/>
      <c r="OWR1" s="2" t="n"/>
      <c r="OWS1" s="2" t="n"/>
      <c r="OWT1" s="2" t="n"/>
      <c r="OWU1" s="2" t="n"/>
      <c r="OWV1" s="2" t="n"/>
      <c r="OWW1" s="2" t="n"/>
      <c r="OWX1" s="2" t="n"/>
      <c r="OWY1" s="2" t="n"/>
      <c r="OWZ1" s="2" t="n"/>
      <c r="OXA1" s="2" t="n"/>
      <c r="OXB1" s="2" t="n"/>
      <c r="OXC1" s="2" t="n"/>
      <c r="OXD1" s="2" t="n"/>
      <c r="OXE1" s="2" t="n"/>
      <c r="OXF1" s="2" t="n"/>
      <c r="OXG1" s="2" t="n"/>
      <c r="OXH1" s="2" t="n"/>
      <c r="OXI1" s="2" t="n"/>
      <c r="OXJ1" s="2" t="n"/>
      <c r="OXK1" s="2" t="n"/>
      <c r="OXL1" s="2" t="n"/>
      <c r="OXM1" s="2" t="n"/>
      <c r="OXN1" s="2" t="n"/>
      <c r="OXO1" s="2" t="n"/>
      <c r="OXP1" s="2" t="n"/>
      <c r="OXQ1" s="2" t="n"/>
      <c r="OXR1" s="2" t="n"/>
      <c r="OXS1" s="2" t="n"/>
      <c r="OXT1" s="2" t="n"/>
      <c r="OXU1" s="2" t="n"/>
      <c r="OXV1" s="2" t="n"/>
      <c r="OXW1" s="2" t="n"/>
      <c r="OXX1" s="2" t="n"/>
      <c r="OXY1" s="2" t="n"/>
      <c r="OXZ1" s="2" t="n"/>
      <c r="OYA1" s="2" t="n"/>
      <c r="OYB1" s="2" t="n"/>
      <c r="OYC1" s="2" t="n"/>
      <c r="OYD1" s="2" t="n"/>
      <c r="OYE1" s="2" t="n"/>
      <c r="OYF1" s="2" t="n"/>
      <c r="OYG1" s="2" t="n"/>
      <c r="OYH1" s="2" t="n"/>
      <c r="OYI1" s="2" t="n"/>
      <c r="OYJ1" s="2" t="n"/>
      <c r="OYK1" s="2" t="n"/>
      <c r="OYL1" s="2" t="n"/>
      <c r="OYM1" s="2" t="n"/>
      <c r="OYN1" s="2" t="n"/>
      <c r="OYO1" s="2" t="n"/>
      <c r="OYP1" s="2" t="n"/>
      <c r="OYQ1" s="2" t="n"/>
      <c r="OYR1" s="2" t="n"/>
      <c r="OYS1" s="2" t="n"/>
      <c r="OYT1" s="2" t="n"/>
      <c r="OYU1" s="2" t="n"/>
      <c r="OYV1" s="2" t="n"/>
      <c r="OYW1" s="2" t="n"/>
      <c r="OYX1" s="2" t="n"/>
      <c r="OYY1" s="2" t="n"/>
      <c r="OYZ1" s="2" t="n"/>
      <c r="OZA1" s="2" t="n"/>
      <c r="OZB1" s="2" t="n"/>
      <c r="OZC1" s="2" t="n"/>
      <c r="OZD1" s="2" t="n"/>
      <c r="OZE1" s="2" t="n"/>
      <c r="OZF1" s="2" t="n"/>
      <c r="OZG1" s="2" t="n"/>
      <c r="OZH1" s="2" t="n"/>
      <c r="OZI1" s="2" t="n"/>
      <c r="OZJ1" s="2" t="n"/>
      <c r="OZK1" s="2" t="n"/>
      <c r="OZL1" s="2" t="n"/>
      <c r="OZM1" s="2" t="n"/>
      <c r="OZN1" s="2" t="n"/>
      <c r="OZO1" s="2" t="n"/>
      <c r="OZP1" s="2" t="n"/>
      <c r="OZQ1" s="2" t="n"/>
      <c r="OZR1" s="2" t="n"/>
      <c r="OZS1" s="2" t="n"/>
      <c r="OZT1" s="2" t="n"/>
      <c r="OZU1" s="2" t="n"/>
      <c r="OZV1" s="2" t="n"/>
      <c r="OZW1" s="2" t="n"/>
      <c r="OZX1" s="2" t="n"/>
      <c r="OZY1" s="2" t="n"/>
      <c r="OZZ1" s="2" t="n"/>
      <c r="PAA1" s="2" t="n"/>
      <c r="PAB1" s="2" t="n"/>
      <c r="PAC1" s="2" t="n"/>
      <c r="PAD1" s="2" t="n"/>
      <c r="PAE1" s="2" t="n"/>
      <c r="PAF1" s="2" t="n"/>
      <c r="PAG1" s="2" t="n"/>
      <c r="PAH1" s="2" t="n"/>
      <c r="PAI1" s="2" t="n"/>
      <c r="PAJ1" s="2" t="n"/>
      <c r="PAK1" s="2" t="n"/>
      <c r="PAL1" s="2" t="n"/>
      <c r="PAM1" s="2" t="n"/>
      <c r="PAN1" s="2" t="n"/>
      <c r="PAO1" s="2" t="n"/>
      <c r="PAP1" s="2" t="n"/>
      <c r="PAQ1" s="2" t="n"/>
      <c r="PAR1" s="2" t="n"/>
      <c r="PAS1" s="2" t="n"/>
      <c r="PAT1" s="2" t="n"/>
      <c r="PAU1" s="2" t="n"/>
      <c r="PAV1" s="2" t="n"/>
      <c r="PAW1" s="2" t="n"/>
      <c r="PAX1" s="2" t="n"/>
      <c r="PAY1" s="2" t="n"/>
      <c r="PAZ1" s="2" t="n"/>
      <c r="PBA1" s="2" t="n"/>
      <c r="PBB1" s="2" t="n"/>
      <c r="PBC1" s="2" t="n"/>
      <c r="PBD1" s="2" t="n"/>
      <c r="PBE1" s="2" t="n"/>
      <c r="PBF1" s="2" t="n"/>
      <c r="PBG1" s="2" t="n"/>
      <c r="PBH1" s="2" t="n"/>
      <c r="PBI1" s="2" t="n"/>
      <c r="PBJ1" s="2" t="n"/>
      <c r="PBK1" s="2" t="n"/>
      <c r="PBL1" s="2" t="n"/>
      <c r="PBM1" s="2" t="n"/>
      <c r="PBN1" s="2" t="n"/>
      <c r="PBO1" s="2" t="n"/>
      <c r="PBP1" s="2" t="n"/>
      <c r="PBQ1" s="2" t="n"/>
      <c r="PBR1" s="2" t="n"/>
      <c r="PBS1" s="2" t="n"/>
      <c r="PBT1" s="2" t="n"/>
      <c r="PBU1" s="2" t="n"/>
      <c r="PBV1" s="2" t="n"/>
      <c r="PBW1" s="2" t="n"/>
      <c r="PBX1" s="2" t="n"/>
      <c r="PBY1" s="2" t="n"/>
      <c r="PBZ1" s="2" t="n"/>
      <c r="PCA1" s="2" t="n"/>
      <c r="PCB1" s="2" t="n"/>
      <c r="PCC1" s="2" t="n"/>
      <c r="PCD1" s="2" t="n"/>
      <c r="PCE1" s="2" t="n"/>
      <c r="PCF1" s="2" t="n"/>
      <c r="PCG1" s="2" t="n"/>
      <c r="PCH1" s="2" t="n"/>
      <c r="PCI1" s="2" t="n"/>
      <c r="PCJ1" s="2" t="n"/>
      <c r="PCK1" s="2" t="n"/>
      <c r="PCL1" s="2" t="n"/>
      <c r="PCM1" s="2" t="n"/>
      <c r="PCN1" s="2" t="n"/>
      <c r="PCO1" s="2" t="n"/>
      <c r="PCP1" s="2" t="n"/>
      <c r="PCQ1" s="2" t="n"/>
      <c r="PCR1" s="2" t="n"/>
      <c r="PCS1" s="2" t="n"/>
      <c r="PCT1" s="2" t="n"/>
      <c r="PCU1" s="2" t="n"/>
      <c r="PCV1" s="2" t="n"/>
      <c r="PCW1" s="2" t="n"/>
      <c r="PCX1" s="2" t="n"/>
      <c r="PCY1" s="2" t="n"/>
      <c r="PCZ1" s="2" t="n"/>
      <c r="PDA1" s="2" t="n"/>
      <c r="PDB1" s="2" t="n"/>
      <c r="PDC1" s="2" t="n"/>
      <c r="PDD1" s="2" t="n"/>
      <c r="PDE1" s="2" t="n"/>
      <c r="PDF1" s="2" t="n"/>
      <c r="PDG1" s="2" t="n"/>
      <c r="PDH1" s="2" t="n"/>
      <c r="PDI1" s="2" t="n"/>
      <c r="PDJ1" s="2" t="n"/>
      <c r="PDK1" s="2" t="n"/>
      <c r="PDL1" s="2" t="n"/>
      <c r="PDM1" s="2" t="n"/>
      <c r="PDN1" s="2" t="n"/>
      <c r="PDO1" s="2" t="n"/>
      <c r="PDP1" s="2" t="n"/>
      <c r="PDQ1" s="2" t="n"/>
      <c r="PDR1" s="2" t="n"/>
      <c r="PDS1" s="2" t="n"/>
      <c r="PDT1" s="2" t="n"/>
      <c r="PDU1" s="2" t="n"/>
      <c r="PDV1" s="2" t="n"/>
      <c r="PDW1" s="2" t="n"/>
      <c r="PDX1" s="2" t="n"/>
      <c r="PDY1" s="2" t="n"/>
      <c r="PDZ1" s="2" t="n"/>
      <c r="PEA1" s="2" t="n"/>
      <c r="PEB1" s="2" t="n"/>
      <c r="PEC1" s="2" t="n"/>
      <c r="PED1" s="2" t="n"/>
      <c r="PEE1" s="2" t="n"/>
      <c r="PEF1" s="2" t="n"/>
      <c r="PEG1" s="2" t="n"/>
      <c r="PEH1" s="2" t="n"/>
      <c r="PEI1" s="2" t="n"/>
      <c r="PEJ1" s="2" t="n"/>
      <c r="PEK1" s="2" t="n"/>
      <c r="PEL1" s="2" t="n"/>
      <c r="PEM1" s="2" t="n"/>
      <c r="PEN1" s="2" t="n"/>
      <c r="PEO1" s="2" t="n"/>
      <c r="PEP1" s="2" t="n"/>
      <c r="PEQ1" s="2" t="n"/>
      <c r="PER1" s="2" t="n"/>
      <c r="PES1" s="2" t="n"/>
      <c r="PET1" s="2" t="n"/>
      <c r="PEU1" s="2" t="n"/>
      <c r="PEV1" s="2" t="n"/>
      <c r="PEW1" s="2" t="n"/>
      <c r="PEX1" s="2" t="n"/>
      <c r="PEY1" s="2" t="n"/>
      <c r="PEZ1" s="2" t="n"/>
      <c r="PFA1" s="2" t="n"/>
      <c r="PFB1" s="2" t="n"/>
      <c r="PFC1" s="2" t="n"/>
      <c r="PFD1" s="2" t="n"/>
      <c r="PFE1" s="2" t="n"/>
      <c r="PFF1" s="2" t="n"/>
      <c r="PFG1" s="2" t="n"/>
      <c r="PFH1" s="2" t="n"/>
      <c r="PFI1" s="2" t="n"/>
      <c r="PFJ1" s="2" t="n"/>
      <c r="PFK1" s="2" t="n"/>
      <c r="PFL1" s="2" t="n"/>
      <c r="PFM1" s="2" t="n"/>
      <c r="PFN1" s="2" t="n"/>
      <c r="PFO1" s="2" t="n"/>
      <c r="PFP1" s="2" t="n"/>
      <c r="PFQ1" s="2" t="n"/>
      <c r="PFR1" s="2" t="n"/>
      <c r="PFS1" s="2" t="n"/>
      <c r="PFT1" s="2" t="n"/>
      <c r="PFU1" s="2" t="n"/>
      <c r="PFV1" s="2" t="n"/>
      <c r="PFW1" s="2" t="n"/>
      <c r="PFX1" s="2" t="n"/>
      <c r="PFY1" s="2" t="n"/>
      <c r="PFZ1" s="2" t="n"/>
      <c r="PGA1" s="2" t="n"/>
      <c r="PGB1" s="2" t="n"/>
      <c r="PGC1" s="2" t="n"/>
      <c r="PGD1" s="2" t="n"/>
      <c r="PGE1" s="2" t="n"/>
      <c r="PGF1" s="2" t="n"/>
      <c r="PGG1" s="2" t="n"/>
      <c r="PGH1" s="2" t="n"/>
      <c r="PGI1" s="2" t="n"/>
      <c r="PGJ1" s="2" t="n"/>
      <c r="PGK1" s="2" t="n"/>
      <c r="PGL1" s="2" t="n"/>
      <c r="PGM1" s="2" t="n"/>
      <c r="PGN1" s="2" t="n"/>
      <c r="PGO1" s="2" t="n"/>
      <c r="PGP1" s="2" t="n"/>
      <c r="PGQ1" s="2" t="n"/>
      <c r="PGR1" s="2" t="n"/>
      <c r="PGS1" s="2" t="n"/>
      <c r="PGT1" s="2" t="n"/>
      <c r="PGU1" s="2" t="n"/>
      <c r="PGV1" s="2" t="n"/>
      <c r="PGW1" s="2" t="n"/>
      <c r="PGX1" s="2" t="n"/>
      <c r="PGY1" s="2" t="n"/>
      <c r="PGZ1" s="2" t="n"/>
      <c r="PHA1" s="2" t="n"/>
      <c r="PHB1" s="2" t="n"/>
      <c r="PHC1" s="2" t="n"/>
      <c r="PHD1" s="2" t="n"/>
      <c r="PHE1" s="2" t="n"/>
      <c r="PHF1" s="2" t="n"/>
      <c r="PHG1" s="2" t="n"/>
      <c r="PHH1" s="2" t="n"/>
      <c r="PHI1" s="2" t="n"/>
      <c r="PHJ1" s="2" t="n"/>
      <c r="PHK1" s="2" t="n"/>
      <c r="PHL1" s="2" t="n"/>
      <c r="PHM1" s="2" t="n"/>
      <c r="PHN1" s="2" t="n"/>
      <c r="PHO1" s="2" t="n"/>
      <c r="PHP1" s="2" t="n"/>
      <c r="PHQ1" s="2" t="n"/>
      <c r="PHR1" s="2" t="n"/>
      <c r="PHS1" s="2" t="n"/>
      <c r="PHT1" s="2" t="n"/>
      <c r="PHU1" s="2" t="n"/>
      <c r="PHV1" s="2" t="n"/>
      <c r="PHW1" s="2" t="n"/>
      <c r="PHX1" s="2" t="n"/>
      <c r="PHY1" s="2" t="n"/>
      <c r="PHZ1" s="2" t="n"/>
      <c r="PIA1" s="2" t="n"/>
      <c r="PIB1" s="2" t="n"/>
      <c r="PIC1" s="2" t="n"/>
      <c r="PID1" s="2" t="n"/>
      <c r="PIE1" s="2" t="n"/>
      <c r="PIF1" s="2" t="n"/>
      <c r="PIG1" s="2" t="n"/>
      <c r="PIH1" s="2" t="n"/>
      <c r="PII1" s="2" t="n"/>
      <c r="PIJ1" s="2" t="n"/>
      <c r="PIK1" s="2" t="n"/>
      <c r="PIL1" s="2" t="n"/>
      <c r="PIM1" s="2" t="n"/>
      <c r="PIN1" s="2" t="n"/>
      <c r="PIO1" s="2" t="n"/>
      <c r="PIP1" s="2" t="n"/>
      <c r="PIQ1" s="2" t="n"/>
      <c r="PIR1" s="2" t="n"/>
      <c r="PIS1" s="2" t="n"/>
      <c r="PIT1" s="2" t="n"/>
      <c r="PIU1" s="2" t="n"/>
      <c r="PIV1" s="2" t="n"/>
      <c r="PIW1" s="2" t="n"/>
      <c r="PIX1" s="2" t="n"/>
      <c r="PIY1" s="2" t="n"/>
      <c r="PIZ1" s="2" t="n"/>
      <c r="PJA1" s="2" t="n"/>
      <c r="PJB1" s="2" t="n"/>
      <c r="PJC1" s="2" t="n"/>
      <c r="PJD1" s="2" t="n"/>
      <c r="PJE1" s="2" t="n"/>
      <c r="PJF1" s="2" t="n"/>
      <c r="PJG1" s="2" t="n"/>
      <c r="PJH1" s="2" t="n"/>
      <c r="PJI1" s="2" t="n"/>
      <c r="PJJ1" s="2" t="n"/>
      <c r="PJK1" s="2" t="n"/>
      <c r="PJL1" s="2" t="n"/>
      <c r="PJM1" s="2" t="n"/>
      <c r="PJN1" s="2" t="n"/>
      <c r="PJO1" s="2" t="n"/>
      <c r="PJP1" s="2" t="n"/>
      <c r="PJQ1" s="2" t="n"/>
      <c r="PJR1" s="2" t="n"/>
      <c r="PJS1" s="2" t="n"/>
      <c r="PJT1" s="2" t="n"/>
      <c r="PJU1" s="2" t="n"/>
      <c r="PJV1" s="2" t="n"/>
      <c r="PJW1" s="2" t="n"/>
      <c r="PJX1" s="2" t="n"/>
      <c r="PJY1" s="2" t="n"/>
      <c r="PJZ1" s="2" t="n"/>
      <c r="PKA1" s="2" t="n"/>
      <c r="PKB1" s="2" t="n"/>
      <c r="PKC1" s="2" t="n"/>
      <c r="PKD1" s="2" t="n"/>
      <c r="PKE1" s="2" t="n"/>
      <c r="PKF1" s="2" t="n"/>
      <c r="PKG1" s="2" t="n"/>
      <c r="PKH1" s="2" t="n"/>
      <c r="PKI1" s="2" t="n"/>
      <c r="PKJ1" s="2" t="n"/>
      <c r="PKK1" s="2" t="n"/>
      <c r="PKL1" s="2" t="n"/>
      <c r="PKM1" s="2" t="n"/>
      <c r="PKN1" s="2" t="n"/>
      <c r="PKO1" s="2" t="n"/>
      <c r="PKP1" s="2" t="n"/>
      <c r="PKQ1" s="2" t="n"/>
      <c r="PKR1" s="2" t="n"/>
      <c r="PKS1" s="2" t="n"/>
      <c r="PKT1" s="2" t="n"/>
      <c r="PKU1" s="2" t="n"/>
      <c r="PKV1" s="2" t="n"/>
      <c r="PKW1" s="2" t="n"/>
      <c r="PKX1" s="2" t="n"/>
      <c r="PKY1" s="2" t="n"/>
      <c r="PKZ1" s="2" t="n"/>
      <c r="PLA1" s="2" t="n"/>
      <c r="PLB1" s="2" t="n"/>
      <c r="PLC1" s="2" t="n"/>
      <c r="PLD1" s="2" t="n"/>
      <c r="PLE1" s="2" t="n"/>
      <c r="PLF1" s="2" t="n"/>
      <c r="PLG1" s="2" t="n"/>
      <c r="PLH1" s="2" t="n"/>
      <c r="PLI1" s="2" t="n"/>
      <c r="PLJ1" s="2" t="n"/>
      <c r="PLK1" s="2" t="n"/>
      <c r="PLL1" s="2" t="n"/>
      <c r="PLM1" s="2" t="n"/>
      <c r="PLN1" s="2" t="n"/>
      <c r="PLO1" s="2" t="n"/>
      <c r="PLP1" s="2" t="n"/>
      <c r="PLQ1" s="2" t="n"/>
      <c r="PLR1" s="2" t="n"/>
      <c r="PLS1" s="2" t="n"/>
      <c r="PLT1" s="2" t="n"/>
      <c r="PLU1" s="2" t="n"/>
      <c r="PLV1" s="2" t="n"/>
      <c r="PLW1" s="2" t="n"/>
      <c r="PLX1" s="2" t="n"/>
      <c r="PLY1" s="2" t="n"/>
      <c r="PLZ1" s="2" t="n"/>
      <c r="PMA1" s="2" t="n"/>
      <c r="PMB1" s="2" t="n"/>
      <c r="PMC1" s="2" t="n"/>
      <c r="PMD1" s="2" t="n"/>
      <c r="PME1" s="2" t="n"/>
      <c r="PMF1" s="2" t="n"/>
      <c r="PMG1" s="2" t="n"/>
      <c r="PMH1" s="2" t="n"/>
      <c r="PMI1" s="2" t="n"/>
      <c r="PMJ1" s="2" t="n"/>
      <c r="PMK1" s="2" t="n"/>
      <c r="PML1" s="2" t="n"/>
      <c r="PMM1" s="2" t="n"/>
      <c r="PMN1" s="2" t="n"/>
      <c r="PMO1" s="2" t="n"/>
      <c r="PMP1" s="2" t="n"/>
      <c r="PMQ1" s="2" t="n"/>
      <c r="PMR1" s="2" t="n"/>
      <c r="PMS1" s="2" t="n"/>
      <c r="PMT1" s="2" t="n"/>
      <c r="PMU1" s="2" t="n"/>
      <c r="PMV1" s="2" t="n"/>
      <c r="PMW1" s="2" t="n"/>
      <c r="PMX1" s="2" t="n"/>
      <c r="PMY1" s="2" t="n"/>
      <c r="PMZ1" s="2" t="n"/>
      <c r="PNA1" s="2" t="n"/>
      <c r="PNB1" s="2" t="n"/>
      <c r="PNC1" s="2" t="n"/>
      <c r="PND1" s="2" t="n"/>
      <c r="PNE1" s="2" t="n"/>
      <c r="PNF1" s="2" t="n"/>
      <c r="PNG1" s="2" t="n"/>
      <c r="PNH1" s="2" t="n"/>
      <c r="PNI1" s="2" t="n"/>
      <c r="PNJ1" s="2" t="n"/>
      <c r="PNK1" s="2" t="n"/>
      <c r="PNL1" s="2" t="n"/>
      <c r="PNM1" s="2" t="n"/>
      <c r="PNN1" s="2" t="n"/>
      <c r="PNO1" s="2" t="n"/>
      <c r="PNP1" s="2" t="n"/>
      <c r="PNQ1" s="2" t="n"/>
      <c r="PNR1" s="2" t="n"/>
      <c r="PNS1" s="2" t="n"/>
      <c r="PNT1" s="2" t="n"/>
      <c r="PNU1" s="2" t="n"/>
      <c r="PNV1" s="2" t="n"/>
      <c r="PNW1" s="2" t="n"/>
      <c r="PNX1" s="2" t="n"/>
      <c r="PNY1" s="2" t="n"/>
      <c r="PNZ1" s="2" t="n"/>
      <c r="POA1" s="2" t="n"/>
      <c r="POB1" s="2" t="n"/>
      <c r="POC1" s="2" t="n"/>
      <c r="POD1" s="2" t="n"/>
      <c r="POE1" s="2" t="n"/>
      <c r="POF1" s="2" t="n"/>
      <c r="POG1" s="2" t="n"/>
      <c r="POH1" s="2" t="n"/>
      <c r="POI1" s="2" t="n"/>
      <c r="POJ1" s="2" t="n"/>
      <c r="POK1" s="2" t="n"/>
      <c r="POL1" s="2" t="n"/>
      <c r="POM1" s="2" t="n"/>
      <c r="PON1" s="2" t="n"/>
      <c r="POO1" s="2" t="n"/>
      <c r="POP1" s="2" t="n"/>
      <c r="POQ1" s="2" t="n"/>
      <c r="POR1" s="2" t="n"/>
      <c r="POS1" s="2" t="n"/>
      <c r="POT1" s="2" t="n"/>
      <c r="POU1" s="2" t="n"/>
      <c r="POV1" s="2" t="n"/>
      <c r="POW1" s="2" t="n"/>
      <c r="POX1" s="2" t="n"/>
      <c r="POY1" s="2" t="n"/>
      <c r="POZ1" s="2" t="n"/>
      <c r="PPA1" s="2" t="n"/>
      <c r="PPB1" s="2" t="n"/>
      <c r="PPC1" s="2" t="n"/>
      <c r="PPD1" s="2" t="n"/>
      <c r="PPE1" s="2" t="n"/>
      <c r="PPF1" s="2" t="n"/>
      <c r="PPG1" s="2" t="n"/>
      <c r="PPH1" s="2" t="n"/>
      <c r="PPI1" s="2" t="n"/>
      <c r="PPJ1" s="2" t="n"/>
      <c r="PPK1" s="2" t="n"/>
      <c r="PPL1" s="2" t="n"/>
      <c r="PPM1" s="2" t="n"/>
      <c r="PPN1" s="2" t="n"/>
      <c r="PPO1" s="2" t="n"/>
      <c r="PPP1" s="2" t="n"/>
      <c r="PPQ1" s="2" t="n"/>
      <c r="PPR1" s="2" t="n"/>
      <c r="PPS1" s="2" t="n"/>
      <c r="PPT1" s="2" t="n"/>
      <c r="PPU1" s="2" t="n"/>
      <c r="PPV1" s="2" t="n"/>
      <c r="PPW1" s="2" t="n"/>
      <c r="PPX1" s="2" t="n"/>
      <c r="PPY1" s="2" t="n"/>
      <c r="PPZ1" s="2" t="n"/>
      <c r="PQA1" s="2" t="n"/>
      <c r="PQB1" s="2" t="n"/>
      <c r="PQC1" s="2" t="n"/>
      <c r="PQD1" s="2" t="n"/>
      <c r="PQE1" s="2" t="n"/>
      <c r="PQF1" s="2" t="n"/>
      <c r="PQG1" s="2" t="n"/>
      <c r="PQH1" s="2" t="n"/>
      <c r="PQI1" s="2" t="n"/>
      <c r="PQJ1" s="2" t="n"/>
      <c r="PQK1" s="2" t="n"/>
      <c r="PQL1" s="2" t="n"/>
      <c r="PQM1" s="2" t="n"/>
      <c r="PQN1" s="2" t="n"/>
      <c r="PQO1" s="2" t="n"/>
      <c r="PQP1" s="2" t="n"/>
      <c r="PQQ1" s="2" t="n"/>
      <c r="PQR1" s="2" t="n"/>
      <c r="PQS1" s="2" t="n"/>
      <c r="PQT1" s="2" t="n"/>
      <c r="PQU1" s="2" t="n"/>
      <c r="PQV1" s="2" t="n"/>
      <c r="PQW1" s="2" t="n"/>
      <c r="PQX1" s="2" t="n"/>
      <c r="PQY1" s="2" t="n"/>
      <c r="PQZ1" s="2" t="n"/>
      <c r="PRA1" s="2" t="n"/>
      <c r="PRB1" s="2" t="n"/>
      <c r="PRC1" s="2" t="n"/>
      <c r="PRD1" s="2" t="n"/>
      <c r="PRE1" s="2" t="n"/>
      <c r="PRF1" s="2" t="n"/>
      <c r="PRG1" s="2" t="n"/>
      <c r="PRH1" s="2" t="n"/>
      <c r="PRI1" s="2" t="n"/>
      <c r="PRJ1" s="2" t="n"/>
      <c r="PRK1" s="2" t="n"/>
      <c r="PRL1" s="2" t="n"/>
      <c r="PRM1" s="2" t="n"/>
      <c r="PRN1" s="2" t="n"/>
      <c r="PRO1" s="2" t="n"/>
      <c r="PRP1" s="2" t="n"/>
      <c r="PRQ1" s="2" t="n"/>
      <c r="PRR1" s="2" t="n"/>
      <c r="PRS1" s="2" t="n"/>
      <c r="PRT1" s="2" t="n"/>
      <c r="PRU1" s="2" t="n"/>
      <c r="PRV1" s="2" t="n"/>
      <c r="PRW1" s="2" t="n"/>
      <c r="PRX1" s="2" t="n"/>
      <c r="PRY1" s="2" t="n"/>
      <c r="PRZ1" s="2" t="n"/>
      <c r="PSA1" s="2" t="n"/>
      <c r="PSB1" s="2" t="n"/>
      <c r="PSC1" s="2" t="n"/>
      <c r="PSD1" s="2" t="n"/>
      <c r="PSE1" s="2" t="n"/>
      <c r="PSF1" s="2" t="n"/>
      <c r="PSG1" s="2" t="n"/>
      <c r="PSH1" s="2" t="n"/>
      <c r="PSI1" s="2" t="n"/>
      <c r="PSJ1" s="2" t="n"/>
      <c r="PSK1" s="2" t="n"/>
      <c r="PSL1" s="2" t="n"/>
      <c r="PSM1" s="2" t="n"/>
      <c r="PSN1" s="2" t="n"/>
      <c r="PSO1" s="2" t="n"/>
      <c r="PSP1" s="2" t="n"/>
      <c r="PSQ1" s="2" t="n"/>
      <c r="PSR1" s="2" t="n"/>
      <c r="PSS1" s="2" t="n"/>
      <c r="PST1" s="2" t="n"/>
      <c r="PSU1" s="2" t="n"/>
      <c r="PSV1" s="2" t="n"/>
      <c r="PSW1" s="2" t="n"/>
      <c r="PSX1" s="2" t="n"/>
      <c r="PSY1" s="2" t="n"/>
      <c r="PSZ1" s="2" t="n"/>
      <c r="PTA1" s="2" t="n"/>
      <c r="PTB1" s="2" t="n"/>
      <c r="PTC1" s="2" t="n"/>
      <c r="PTD1" s="2" t="n"/>
      <c r="PTE1" s="2" t="n"/>
      <c r="PTF1" s="2" t="n"/>
      <c r="PTG1" s="2" t="n"/>
      <c r="PTH1" s="2" t="n"/>
      <c r="PTI1" s="2" t="n"/>
      <c r="PTJ1" s="2" t="n"/>
      <c r="PTK1" s="2" t="n"/>
      <c r="PTL1" s="2" t="n"/>
      <c r="PTM1" s="2" t="n"/>
      <c r="PTN1" s="2" t="n"/>
      <c r="PTO1" s="2" t="n"/>
      <c r="PTP1" s="2" t="n"/>
      <c r="PTQ1" s="2" t="n"/>
      <c r="PTR1" s="2" t="n"/>
      <c r="PTS1" s="2" t="n"/>
      <c r="PTT1" s="2" t="n"/>
      <c r="PTU1" s="2" t="n"/>
      <c r="PTV1" s="2" t="n"/>
      <c r="PTW1" s="2" t="n"/>
      <c r="PTX1" s="2" t="n"/>
      <c r="PTY1" s="2" t="n"/>
      <c r="PTZ1" s="2" t="n"/>
      <c r="PUA1" s="2" t="n"/>
      <c r="PUB1" s="2" t="n"/>
      <c r="PUC1" s="2" t="n"/>
      <c r="PUD1" s="2" t="n"/>
      <c r="PUE1" s="2" t="n"/>
      <c r="PUF1" s="2" t="n"/>
      <c r="PUG1" s="2" t="n"/>
      <c r="PUH1" s="2" t="n"/>
      <c r="PUI1" s="2" t="n"/>
      <c r="PUJ1" s="2" t="n"/>
      <c r="PUK1" s="2" t="n"/>
      <c r="PUL1" s="2" t="n"/>
      <c r="PUM1" s="2" t="n"/>
      <c r="PUN1" s="2" t="n"/>
      <c r="PUO1" s="2" t="n"/>
      <c r="PUP1" s="2" t="n"/>
      <c r="PUQ1" s="2" t="n"/>
      <c r="PUR1" s="2" t="n"/>
      <c r="PUS1" s="2" t="n"/>
      <c r="PUT1" s="2" t="n"/>
      <c r="PUU1" s="2" t="n"/>
      <c r="PUV1" s="2" t="n"/>
      <c r="PUW1" s="2" t="n"/>
      <c r="PUX1" s="2" t="n"/>
      <c r="PUY1" s="2" t="n"/>
      <c r="PUZ1" s="2" t="n"/>
      <c r="PVA1" s="2" t="n"/>
      <c r="PVB1" s="2" t="n"/>
      <c r="PVC1" s="2" t="n"/>
      <c r="PVD1" s="2" t="n"/>
      <c r="PVE1" s="2" t="n"/>
      <c r="PVF1" s="2" t="n"/>
      <c r="PVG1" s="2" t="n"/>
      <c r="PVH1" s="2" t="n"/>
      <c r="PVI1" s="2" t="n"/>
      <c r="PVJ1" s="2" t="n"/>
      <c r="PVK1" s="2" t="n"/>
      <c r="PVL1" s="2" t="n"/>
      <c r="PVM1" s="2" t="n"/>
      <c r="PVN1" s="2" t="n"/>
      <c r="PVO1" s="2" t="n"/>
      <c r="PVP1" s="2" t="n"/>
      <c r="PVQ1" s="2" t="n"/>
      <c r="PVR1" s="2" t="n"/>
      <c r="PVS1" s="2" t="n"/>
      <c r="PVT1" s="2" t="n"/>
      <c r="PVU1" s="2" t="n"/>
      <c r="PVV1" s="2" t="n"/>
      <c r="PVW1" s="2" t="n"/>
      <c r="PVX1" s="2" t="n"/>
      <c r="PVY1" s="2" t="n"/>
      <c r="PVZ1" s="2" t="n"/>
      <c r="PWA1" s="2" t="n"/>
      <c r="PWB1" s="2" t="n"/>
      <c r="PWC1" s="2" t="n"/>
      <c r="PWD1" s="2" t="n"/>
      <c r="PWE1" s="2" t="n"/>
      <c r="PWF1" s="2" t="n"/>
      <c r="PWG1" s="2" t="n"/>
      <c r="PWH1" s="2" t="n"/>
      <c r="PWI1" s="2" t="n"/>
      <c r="PWJ1" s="2" t="n"/>
      <c r="PWK1" s="2" t="n"/>
      <c r="PWL1" s="2" t="n"/>
      <c r="PWM1" s="2" t="n"/>
      <c r="PWN1" s="2" t="n"/>
      <c r="PWO1" s="2" t="n"/>
      <c r="PWP1" s="2" t="n"/>
      <c r="PWQ1" s="2" t="n"/>
      <c r="PWR1" s="2" t="n"/>
      <c r="PWS1" s="2" t="n"/>
      <c r="PWT1" s="2" t="n"/>
      <c r="PWU1" s="2" t="n"/>
      <c r="PWV1" s="2" t="n"/>
      <c r="PWW1" s="2" t="n"/>
      <c r="PWX1" s="2" t="n"/>
      <c r="PWY1" s="2" t="n"/>
      <c r="PWZ1" s="2" t="n"/>
      <c r="PXA1" s="2" t="n"/>
      <c r="PXB1" s="2" t="n"/>
      <c r="PXC1" s="2" t="n"/>
      <c r="PXD1" s="2" t="n"/>
      <c r="PXE1" s="2" t="n"/>
      <c r="PXF1" s="2" t="n"/>
      <c r="PXG1" s="2" t="n"/>
      <c r="PXH1" s="2" t="n"/>
      <c r="PXI1" s="2" t="n"/>
      <c r="PXJ1" s="2" t="n"/>
      <c r="PXK1" s="2" t="n"/>
      <c r="PXL1" s="2" t="n"/>
      <c r="PXM1" s="2" t="n"/>
      <c r="PXN1" s="2" t="n"/>
      <c r="PXO1" s="2" t="n"/>
      <c r="PXP1" s="2" t="n"/>
      <c r="PXQ1" s="2" t="n"/>
      <c r="PXR1" s="2" t="n"/>
      <c r="PXS1" s="2" t="n"/>
      <c r="PXT1" s="2" t="n"/>
      <c r="PXU1" s="2" t="n"/>
      <c r="PXV1" s="2" t="n"/>
      <c r="PXW1" s="2" t="n"/>
      <c r="PXX1" s="2" t="n"/>
      <c r="PXY1" s="2" t="n"/>
      <c r="PXZ1" s="2" t="n"/>
      <c r="PYA1" s="2" t="n"/>
      <c r="PYB1" s="2" t="n"/>
      <c r="PYC1" s="2" t="n"/>
      <c r="PYD1" s="2" t="n"/>
      <c r="PYE1" s="2" t="n"/>
      <c r="PYF1" s="2" t="n"/>
      <c r="PYG1" s="2" t="n"/>
      <c r="PYH1" s="2" t="n"/>
      <c r="PYI1" s="2" t="n"/>
      <c r="PYJ1" s="2" t="n"/>
      <c r="PYK1" s="2" t="n"/>
      <c r="PYL1" s="2" t="n"/>
      <c r="PYM1" s="2" t="n"/>
      <c r="PYN1" s="2" t="n"/>
      <c r="PYO1" s="2" t="n"/>
      <c r="PYP1" s="2" t="n"/>
      <c r="PYQ1" s="2" t="n"/>
      <c r="PYR1" s="2" t="n"/>
      <c r="PYS1" s="2" t="n"/>
      <c r="PYT1" s="2" t="n"/>
      <c r="PYU1" s="2" t="n"/>
      <c r="PYV1" s="2" t="n"/>
      <c r="PYW1" s="2" t="n"/>
      <c r="PYX1" s="2" t="n"/>
      <c r="PYY1" s="2" t="n"/>
      <c r="PYZ1" s="2" t="n"/>
      <c r="PZA1" s="2" t="n"/>
      <c r="PZB1" s="2" t="n"/>
      <c r="PZC1" s="2" t="n"/>
      <c r="PZD1" s="2" t="n"/>
      <c r="PZE1" s="2" t="n"/>
      <c r="PZF1" s="2" t="n"/>
      <c r="PZG1" s="2" t="n"/>
      <c r="PZH1" s="2" t="n"/>
      <c r="PZI1" s="2" t="n"/>
      <c r="PZJ1" s="2" t="n"/>
      <c r="PZK1" s="2" t="n"/>
      <c r="PZL1" s="2" t="n"/>
      <c r="PZM1" s="2" t="n"/>
      <c r="PZN1" s="2" t="n"/>
      <c r="PZO1" s="2" t="n"/>
      <c r="PZP1" s="2" t="n"/>
      <c r="PZQ1" s="2" t="n"/>
      <c r="PZR1" s="2" t="n"/>
      <c r="PZS1" s="2" t="n"/>
      <c r="PZT1" s="2" t="n"/>
      <c r="PZU1" s="2" t="n"/>
      <c r="PZV1" s="2" t="n"/>
      <c r="PZW1" s="2" t="n"/>
      <c r="PZX1" s="2" t="n"/>
      <c r="PZY1" s="2" t="n"/>
      <c r="PZZ1" s="2" t="n"/>
      <c r="QAA1" s="2" t="n"/>
      <c r="QAB1" s="2" t="n"/>
      <c r="QAC1" s="2" t="n"/>
      <c r="QAD1" s="2" t="n"/>
      <c r="QAE1" s="2" t="n"/>
      <c r="QAF1" s="2" t="n"/>
      <c r="QAG1" s="2" t="n"/>
      <c r="QAH1" s="2" t="n"/>
      <c r="QAI1" s="2" t="n"/>
      <c r="QAJ1" s="2" t="n"/>
      <c r="QAK1" s="2" t="n"/>
      <c r="QAL1" s="2" t="n"/>
      <c r="QAM1" s="2" t="n"/>
      <c r="QAN1" s="2" t="n"/>
      <c r="QAO1" s="2" t="n"/>
      <c r="QAP1" s="2" t="n"/>
      <c r="QAQ1" s="2" t="n"/>
      <c r="QAR1" s="2" t="n"/>
      <c r="QAS1" s="2" t="n"/>
      <c r="QAT1" s="2" t="n"/>
      <c r="QAU1" s="2" t="n"/>
      <c r="QAV1" s="2" t="n"/>
      <c r="QAW1" s="2" t="n"/>
      <c r="QAX1" s="2" t="n"/>
      <c r="QAY1" s="2" t="n"/>
      <c r="QAZ1" s="2" t="n"/>
      <c r="QBA1" s="2" t="n"/>
      <c r="QBB1" s="2" t="n"/>
      <c r="QBC1" s="2" t="n"/>
      <c r="QBD1" s="2" t="n"/>
      <c r="QBE1" s="2" t="n"/>
      <c r="QBF1" s="2" t="n"/>
      <c r="QBG1" s="2" t="n"/>
      <c r="QBH1" s="2" t="n"/>
      <c r="QBI1" s="2" t="n"/>
      <c r="QBJ1" s="2" t="n"/>
      <c r="QBK1" s="2" t="n"/>
      <c r="QBL1" s="2" t="n"/>
      <c r="QBM1" s="2" t="n"/>
      <c r="QBN1" s="2" t="n"/>
      <c r="QBO1" s="2" t="n"/>
      <c r="QBP1" s="2" t="n"/>
      <c r="QBQ1" s="2" t="n"/>
      <c r="QBR1" s="2" t="n"/>
      <c r="QBS1" s="2" t="n"/>
      <c r="QBT1" s="2" t="n"/>
      <c r="QBU1" s="2" t="n"/>
      <c r="QBV1" s="2" t="n"/>
      <c r="QBW1" s="2" t="n"/>
      <c r="QBX1" s="2" t="n"/>
      <c r="QBY1" s="2" t="n"/>
      <c r="QBZ1" s="2" t="n"/>
      <c r="QCA1" s="2" t="n"/>
      <c r="QCB1" s="2" t="n"/>
      <c r="QCC1" s="2" t="n"/>
      <c r="QCD1" s="2" t="n"/>
      <c r="QCE1" s="2" t="n"/>
      <c r="QCF1" s="2" t="n"/>
      <c r="QCG1" s="2" t="n"/>
      <c r="QCH1" s="2" t="n"/>
      <c r="QCI1" s="2" t="n"/>
      <c r="QCJ1" s="2" t="n"/>
      <c r="QCK1" s="2" t="n"/>
      <c r="QCL1" s="2" t="n"/>
      <c r="QCM1" s="2" t="n"/>
      <c r="QCN1" s="2" t="n"/>
      <c r="QCO1" s="2" t="n"/>
      <c r="QCP1" s="2" t="n"/>
      <c r="QCQ1" s="2" t="n"/>
      <c r="QCR1" s="2" t="n"/>
      <c r="QCS1" s="2" t="n"/>
      <c r="QCT1" s="2" t="n"/>
      <c r="QCU1" s="2" t="n"/>
      <c r="QCV1" s="2" t="n"/>
      <c r="QCW1" s="2" t="n"/>
      <c r="QCX1" s="2" t="n"/>
      <c r="QCY1" s="2" t="n"/>
      <c r="QCZ1" s="2" t="n"/>
      <c r="QDA1" s="2" t="n"/>
      <c r="QDB1" s="2" t="n"/>
      <c r="QDC1" s="2" t="n"/>
      <c r="QDD1" s="2" t="n"/>
      <c r="QDE1" s="2" t="n"/>
      <c r="QDF1" s="2" t="n"/>
      <c r="QDG1" s="2" t="n"/>
      <c r="QDH1" s="2" t="n"/>
      <c r="QDI1" s="2" t="n"/>
      <c r="QDJ1" s="2" t="n"/>
      <c r="QDK1" s="2" t="n"/>
      <c r="QDL1" s="2" t="n"/>
      <c r="QDM1" s="2" t="n"/>
      <c r="QDN1" s="2" t="n"/>
      <c r="QDO1" s="2" t="n"/>
      <c r="QDP1" s="2" t="n"/>
      <c r="QDQ1" s="2" t="n"/>
      <c r="QDR1" s="2" t="n"/>
      <c r="QDS1" s="2" t="n"/>
      <c r="QDT1" s="2" t="n"/>
      <c r="QDU1" s="2" t="n"/>
      <c r="QDV1" s="2" t="n"/>
      <c r="QDW1" s="2" t="n"/>
      <c r="QDX1" s="2" t="n"/>
      <c r="QDY1" s="2" t="n"/>
      <c r="QDZ1" s="2" t="n"/>
      <c r="QEA1" s="2" t="n"/>
      <c r="QEB1" s="2" t="n"/>
      <c r="QEC1" s="2" t="n"/>
      <c r="QED1" s="2" t="n"/>
      <c r="QEE1" s="2" t="n"/>
      <c r="QEF1" s="2" t="n"/>
      <c r="QEG1" s="2" t="n"/>
      <c r="QEH1" s="2" t="n"/>
      <c r="QEI1" s="2" t="n"/>
      <c r="QEJ1" s="2" t="n"/>
      <c r="QEK1" s="2" t="n"/>
      <c r="QEL1" s="2" t="n"/>
      <c r="QEM1" s="2" t="n"/>
      <c r="QEN1" s="2" t="n"/>
      <c r="QEO1" s="2" t="n"/>
      <c r="QEP1" s="2" t="n"/>
      <c r="QEQ1" s="2" t="n"/>
      <c r="QER1" s="2" t="n"/>
      <c r="QES1" s="2" t="n"/>
      <c r="QET1" s="2" t="n"/>
      <c r="QEU1" s="2" t="n"/>
      <c r="QEV1" s="2" t="n"/>
      <c r="QEW1" s="2" t="n"/>
      <c r="QEX1" s="2" t="n"/>
      <c r="QEY1" s="2" t="n"/>
      <c r="QEZ1" s="2" t="n"/>
      <c r="QFA1" s="2" t="n"/>
      <c r="QFB1" s="2" t="n"/>
      <c r="QFC1" s="2" t="n"/>
      <c r="QFD1" s="2" t="n"/>
      <c r="QFE1" s="2" t="n"/>
      <c r="QFF1" s="2" t="n"/>
      <c r="QFG1" s="2" t="n"/>
      <c r="QFH1" s="2" t="n"/>
      <c r="QFI1" s="2" t="n"/>
      <c r="QFJ1" s="2" t="n"/>
      <c r="QFK1" s="2" t="n"/>
      <c r="QFL1" s="2" t="n"/>
      <c r="QFM1" s="2" t="n"/>
      <c r="QFN1" s="2" t="n"/>
      <c r="QFO1" s="2" t="n"/>
      <c r="QFP1" s="2" t="n"/>
      <c r="QFQ1" s="2" t="n"/>
      <c r="QFR1" s="2" t="n"/>
      <c r="QFS1" s="2" t="n"/>
      <c r="QFT1" s="2" t="n"/>
      <c r="QFU1" s="2" t="n"/>
      <c r="QFV1" s="2" t="n"/>
      <c r="QFW1" s="2" t="n"/>
      <c r="QFX1" s="2" t="n"/>
      <c r="QFY1" s="2" t="n"/>
      <c r="QFZ1" s="2" t="n"/>
      <c r="QGA1" s="2" t="n"/>
      <c r="QGB1" s="2" t="n"/>
      <c r="QGC1" s="2" t="n"/>
      <c r="QGD1" s="2" t="n"/>
      <c r="QGE1" s="2" t="n"/>
      <c r="QGF1" s="2" t="n"/>
      <c r="QGG1" s="2" t="n"/>
      <c r="QGH1" s="2" t="n"/>
      <c r="QGI1" s="2" t="n"/>
      <c r="QGJ1" s="2" t="n"/>
      <c r="QGK1" s="2" t="n"/>
      <c r="QGL1" s="2" t="n"/>
      <c r="QGM1" s="2" t="n"/>
      <c r="QGN1" s="2" t="n"/>
      <c r="QGO1" s="2" t="n"/>
      <c r="QGP1" s="2" t="n"/>
      <c r="QGQ1" s="2" t="n"/>
      <c r="QGR1" s="2" t="n"/>
      <c r="QGS1" s="2" t="n"/>
      <c r="QGT1" s="2" t="n"/>
      <c r="QGU1" s="2" t="n"/>
      <c r="QGV1" s="2" t="n"/>
      <c r="QGW1" s="2" t="n"/>
      <c r="QGX1" s="2" t="n"/>
      <c r="QGY1" s="2" t="n"/>
      <c r="QGZ1" s="2" t="n"/>
      <c r="QHA1" s="2" t="n"/>
      <c r="QHB1" s="2" t="n"/>
      <c r="QHC1" s="2" t="n"/>
      <c r="QHD1" s="2" t="n"/>
      <c r="QHE1" s="2" t="n"/>
      <c r="QHF1" s="2" t="n"/>
      <c r="QHG1" s="2" t="n"/>
      <c r="QHH1" s="2" t="n"/>
      <c r="QHI1" s="2" t="n"/>
      <c r="QHJ1" s="2" t="n"/>
      <c r="QHK1" s="2" t="n"/>
      <c r="QHL1" s="2" t="n"/>
      <c r="QHM1" s="2" t="n"/>
      <c r="QHN1" s="2" t="n"/>
      <c r="QHO1" s="2" t="n"/>
      <c r="QHP1" s="2" t="n"/>
      <c r="QHQ1" s="2" t="n"/>
      <c r="QHR1" s="2" t="n"/>
      <c r="QHS1" s="2" t="n"/>
      <c r="QHT1" s="2" t="n"/>
      <c r="QHU1" s="2" t="n"/>
      <c r="QHV1" s="2" t="n"/>
      <c r="QHW1" s="2" t="n"/>
      <c r="QHX1" s="2" t="n"/>
      <c r="QHY1" s="2" t="n"/>
      <c r="QHZ1" s="2" t="n"/>
      <c r="QIA1" s="2" t="n"/>
      <c r="QIB1" s="2" t="n"/>
      <c r="QIC1" s="2" t="n"/>
      <c r="QID1" s="2" t="n"/>
      <c r="QIE1" s="2" t="n"/>
      <c r="QIF1" s="2" t="n"/>
      <c r="QIG1" s="2" t="n"/>
      <c r="QIH1" s="2" t="n"/>
      <c r="QII1" s="2" t="n"/>
      <c r="QIJ1" s="2" t="n"/>
      <c r="QIK1" s="2" t="n"/>
      <c r="QIL1" s="2" t="n"/>
      <c r="QIM1" s="2" t="n"/>
      <c r="QIN1" s="2" t="n"/>
      <c r="QIO1" s="2" t="n"/>
      <c r="QIP1" s="2" t="n"/>
      <c r="QIQ1" s="2" t="n"/>
      <c r="QIR1" s="2" t="n"/>
      <c r="QIS1" s="2" t="n"/>
      <c r="QIT1" s="2" t="n"/>
      <c r="QIU1" s="2" t="n"/>
      <c r="QIV1" s="2" t="n"/>
      <c r="QIW1" s="2" t="n"/>
      <c r="QIX1" s="2" t="n"/>
      <c r="QIY1" s="2" t="n"/>
      <c r="QIZ1" s="2" t="n"/>
      <c r="QJA1" s="2" t="n"/>
      <c r="QJB1" s="2" t="n"/>
      <c r="QJC1" s="2" t="n"/>
      <c r="QJD1" s="2" t="n"/>
      <c r="QJE1" s="2" t="n"/>
      <c r="QJF1" s="2" t="n"/>
      <c r="QJG1" s="2" t="n"/>
      <c r="QJH1" s="2" t="n"/>
      <c r="QJI1" s="2" t="n"/>
      <c r="QJJ1" s="2" t="n"/>
      <c r="QJK1" s="2" t="n"/>
      <c r="QJL1" s="2" t="n"/>
      <c r="QJM1" s="2" t="n"/>
      <c r="QJN1" s="2" t="n"/>
      <c r="QJO1" s="2" t="n"/>
      <c r="QJP1" s="2" t="n"/>
      <c r="QJQ1" s="2" t="n"/>
      <c r="QJR1" s="2" t="n"/>
      <c r="QJS1" s="2" t="n"/>
      <c r="QJT1" s="2" t="n"/>
      <c r="QJU1" s="2" t="n"/>
      <c r="QJV1" s="2" t="n"/>
      <c r="QJW1" s="2" t="n"/>
      <c r="QJX1" s="2" t="n"/>
      <c r="QJY1" s="2" t="n"/>
      <c r="QJZ1" s="2" t="n"/>
      <c r="QKA1" s="2" t="n"/>
      <c r="QKB1" s="2" t="n"/>
      <c r="QKC1" s="2" t="n"/>
      <c r="QKD1" s="2" t="n"/>
      <c r="QKE1" s="2" t="n"/>
      <c r="QKF1" s="2" t="n"/>
      <c r="QKG1" s="2" t="n"/>
      <c r="QKH1" s="2" t="n"/>
      <c r="QKI1" s="2" t="n"/>
      <c r="QKJ1" s="2" t="n"/>
      <c r="QKK1" s="2" t="n"/>
      <c r="QKL1" s="2" t="n"/>
      <c r="QKM1" s="2" t="n"/>
      <c r="QKN1" s="2" t="n"/>
      <c r="QKO1" s="2" t="n"/>
      <c r="QKP1" s="2" t="n"/>
      <c r="QKQ1" s="2" t="n"/>
      <c r="QKR1" s="2" t="n"/>
      <c r="QKS1" s="2" t="n"/>
      <c r="QKT1" s="2" t="n"/>
      <c r="QKU1" s="2" t="n"/>
      <c r="QKV1" s="2" t="n"/>
      <c r="QKW1" s="2" t="n"/>
      <c r="QKX1" s="2" t="n"/>
      <c r="QKY1" s="2" t="n"/>
      <c r="QKZ1" s="2" t="n"/>
      <c r="QLA1" s="2" t="n"/>
      <c r="QLB1" s="2" t="n"/>
      <c r="QLC1" s="2" t="n"/>
      <c r="QLD1" s="2" t="n"/>
      <c r="QLE1" s="2" t="n"/>
      <c r="QLF1" s="2" t="n"/>
      <c r="QLG1" s="2" t="n"/>
      <c r="QLH1" s="2" t="n"/>
      <c r="QLI1" s="2" t="n"/>
      <c r="QLJ1" s="2" t="n"/>
      <c r="QLK1" s="2" t="n"/>
      <c r="QLL1" s="2" t="n"/>
      <c r="QLM1" s="2" t="n"/>
      <c r="QLN1" s="2" t="n"/>
      <c r="QLO1" s="2" t="n"/>
      <c r="QLP1" s="2" t="n"/>
      <c r="QLQ1" s="2" t="n"/>
      <c r="QLR1" s="2" t="n"/>
      <c r="QLS1" s="2" t="n"/>
      <c r="QLT1" s="2" t="n"/>
      <c r="QLU1" s="2" t="n"/>
      <c r="QLV1" s="2" t="n"/>
      <c r="QLW1" s="2" t="n"/>
      <c r="QLX1" s="2" t="n"/>
      <c r="QLY1" s="2" t="n"/>
      <c r="QLZ1" s="2" t="n"/>
      <c r="QMA1" s="2" t="n"/>
      <c r="QMB1" s="2" t="n"/>
      <c r="QMC1" s="2" t="n"/>
      <c r="QMD1" s="2" t="n"/>
      <c r="QME1" s="2" t="n"/>
      <c r="QMF1" s="2" t="n"/>
      <c r="QMG1" s="2" t="n"/>
      <c r="QMH1" s="2" t="n"/>
      <c r="QMI1" s="2" t="n"/>
      <c r="QMJ1" s="2" t="n"/>
      <c r="QMK1" s="2" t="n"/>
      <c r="QML1" s="2" t="n"/>
      <c r="QMM1" s="2" t="n"/>
      <c r="QMN1" s="2" t="n"/>
      <c r="QMO1" s="2" t="n"/>
      <c r="QMP1" s="2" t="n"/>
      <c r="QMQ1" s="2" t="n"/>
      <c r="QMR1" s="2" t="n"/>
      <c r="QMS1" s="2" t="n"/>
      <c r="QMT1" s="2" t="n"/>
      <c r="QMU1" s="2" t="n"/>
      <c r="QMV1" s="2" t="n"/>
      <c r="QMW1" s="2" t="n"/>
      <c r="QMX1" s="2" t="n"/>
      <c r="QMY1" s="2" t="n"/>
      <c r="QMZ1" s="2" t="n"/>
      <c r="QNA1" s="2" t="n"/>
      <c r="QNB1" s="2" t="n"/>
      <c r="QNC1" s="2" t="n"/>
      <c r="QND1" s="2" t="n"/>
      <c r="QNE1" s="2" t="n"/>
      <c r="QNF1" s="2" t="n"/>
      <c r="QNG1" s="2" t="n"/>
      <c r="QNH1" s="2" t="n"/>
      <c r="QNI1" s="2" t="n"/>
      <c r="QNJ1" s="2" t="n"/>
      <c r="QNK1" s="2" t="n"/>
      <c r="QNL1" s="2" t="n"/>
      <c r="QNM1" s="2" t="n"/>
      <c r="QNN1" s="2" t="n"/>
      <c r="QNO1" s="2" t="n"/>
      <c r="QNP1" s="2" t="n"/>
      <c r="QNQ1" s="2" t="n"/>
      <c r="QNR1" s="2" t="n"/>
      <c r="QNS1" s="2" t="n"/>
      <c r="QNT1" s="2" t="n"/>
      <c r="QNU1" s="2" t="n"/>
      <c r="QNV1" s="2" t="n"/>
      <c r="QNW1" s="2" t="n"/>
      <c r="QNX1" s="2" t="n"/>
      <c r="QNY1" s="2" t="n"/>
      <c r="QNZ1" s="2" t="n"/>
      <c r="QOA1" s="2" t="n"/>
      <c r="QOB1" s="2" t="n"/>
      <c r="QOC1" s="2" t="n"/>
      <c r="QOD1" s="2" t="n"/>
      <c r="QOE1" s="2" t="n"/>
      <c r="QOF1" s="2" t="n"/>
      <c r="QOG1" s="2" t="n"/>
      <c r="QOH1" s="2" t="n"/>
      <c r="QOI1" s="2" t="n"/>
      <c r="QOJ1" s="2" t="n"/>
      <c r="QOK1" s="2" t="n"/>
      <c r="QOL1" s="2" t="n"/>
      <c r="QOM1" s="2" t="n"/>
      <c r="QON1" s="2" t="n"/>
      <c r="QOO1" s="2" t="n"/>
      <c r="QOP1" s="2" t="n"/>
      <c r="QOQ1" s="2" t="n"/>
      <c r="QOR1" s="2" t="n"/>
      <c r="QOS1" s="2" t="n"/>
      <c r="QOT1" s="2" t="n"/>
      <c r="QOU1" s="2" t="n"/>
      <c r="QOV1" s="2" t="n"/>
      <c r="QOW1" s="2" t="n"/>
      <c r="QOX1" s="2" t="n"/>
      <c r="QOY1" s="2" t="n"/>
      <c r="QOZ1" s="2" t="n"/>
      <c r="QPA1" s="2" t="n"/>
      <c r="QPB1" s="2" t="n"/>
      <c r="QPC1" s="2" t="n"/>
      <c r="QPD1" s="2" t="n"/>
      <c r="QPE1" s="2" t="n"/>
      <c r="QPF1" s="2" t="n"/>
      <c r="QPG1" s="2" t="n"/>
      <c r="QPH1" s="2" t="n"/>
      <c r="QPI1" s="2" t="n"/>
      <c r="QPJ1" s="2" t="n"/>
      <c r="QPK1" s="2" t="n"/>
      <c r="QPL1" s="2" t="n"/>
      <c r="QPM1" s="2" t="n"/>
      <c r="QPN1" s="2" t="n"/>
      <c r="QPO1" s="2" t="n"/>
      <c r="QPP1" s="2" t="n"/>
      <c r="QPQ1" s="2" t="n"/>
      <c r="QPR1" s="2" t="n"/>
      <c r="QPS1" s="2" t="n"/>
      <c r="QPT1" s="2" t="n"/>
      <c r="QPU1" s="2" t="n"/>
      <c r="QPV1" s="2" t="n"/>
      <c r="QPW1" s="2" t="n"/>
      <c r="QPX1" s="2" t="n"/>
      <c r="QPY1" s="2" t="n"/>
      <c r="QPZ1" s="2" t="n"/>
      <c r="QQA1" s="2" t="n"/>
      <c r="QQB1" s="2" t="n"/>
      <c r="QQC1" s="2" t="n"/>
      <c r="QQD1" s="2" t="n"/>
      <c r="QQE1" s="2" t="n"/>
      <c r="QQF1" s="2" t="n"/>
      <c r="QQG1" s="2" t="n"/>
      <c r="QQH1" s="2" t="n"/>
      <c r="QQI1" s="2" t="n"/>
      <c r="QQJ1" s="2" t="n"/>
      <c r="QQK1" s="2" t="n"/>
      <c r="QQL1" s="2" t="n"/>
      <c r="QQM1" s="2" t="n"/>
      <c r="QQN1" s="2" t="n"/>
      <c r="QQO1" s="2" t="n"/>
      <c r="QQP1" s="2" t="n"/>
      <c r="QQQ1" s="2" t="n"/>
      <c r="QQR1" s="2" t="n"/>
      <c r="QQS1" s="2" t="n"/>
      <c r="QQT1" s="2" t="n"/>
      <c r="QQU1" s="2" t="n"/>
      <c r="QQV1" s="2" t="n"/>
      <c r="QQW1" s="2" t="n"/>
      <c r="QQX1" s="2" t="n"/>
      <c r="QQY1" s="2" t="n"/>
      <c r="QQZ1" s="2" t="n"/>
      <c r="QRA1" s="2" t="n"/>
      <c r="QRB1" s="2" t="n"/>
      <c r="QRC1" s="2" t="n"/>
      <c r="QRD1" s="2" t="n"/>
      <c r="QRE1" s="2" t="n"/>
      <c r="QRF1" s="2" t="n"/>
      <c r="QRG1" s="2" t="n"/>
      <c r="QRH1" s="2" t="n"/>
      <c r="QRI1" s="2" t="n"/>
      <c r="QRJ1" s="2" t="n"/>
      <c r="QRK1" s="2" t="n"/>
      <c r="QRL1" s="2" t="n"/>
      <c r="QRM1" s="2" t="n"/>
      <c r="QRN1" s="2" t="n"/>
      <c r="QRO1" s="2" t="n"/>
      <c r="QRP1" s="2" t="n"/>
      <c r="QRQ1" s="2" t="n"/>
      <c r="QRR1" s="2" t="n"/>
      <c r="QRS1" s="2" t="n"/>
      <c r="QRT1" s="2" t="n"/>
      <c r="QRU1" s="2" t="n"/>
      <c r="QRV1" s="2" t="n"/>
      <c r="QRW1" s="2" t="n"/>
      <c r="QRX1" s="2" t="n"/>
      <c r="QRY1" s="2" t="n"/>
      <c r="QRZ1" s="2" t="n"/>
      <c r="QSA1" s="2" t="n"/>
      <c r="QSB1" s="2" t="n"/>
      <c r="QSC1" s="2" t="n"/>
      <c r="QSD1" s="2" t="n"/>
      <c r="QSE1" s="2" t="n"/>
      <c r="QSF1" s="2" t="n"/>
      <c r="QSG1" s="2" t="n"/>
      <c r="QSH1" s="2" t="n"/>
      <c r="QSI1" s="2" t="n"/>
      <c r="QSJ1" s="2" t="n"/>
      <c r="QSK1" s="2" t="n"/>
      <c r="QSL1" s="2" t="n"/>
      <c r="QSM1" s="2" t="n"/>
      <c r="QSN1" s="2" t="n"/>
      <c r="QSO1" s="2" t="n"/>
      <c r="QSP1" s="2" t="n"/>
      <c r="QSQ1" s="2" t="n"/>
      <c r="QSR1" s="2" t="n"/>
      <c r="QSS1" s="2" t="n"/>
      <c r="QST1" s="2" t="n"/>
      <c r="QSU1" s="2" t="n"/>
      <c r="QSV1" s="2" t="n"/>
      <c r="QSW1" s="2" t="n"/>
      <c r="QSX1" s="2" t="n"/>
      <c r="QSY1" s="2" t="n"/>
      <c r="QSZ1" s="2" t="n"/>
      <c r="QTA1" s="2" t="n"/>
      <c r="QTB1" s="2" t="n"/>
      <c r="QTC1" s="2" t="n"/>
      <c r="QTD1" s="2" t="n"/>
      <c r="QTE1" s="2" t="n"/>
      <c r="QTF1" s="2" t="n"/>
      <c r="QTG1" s="2" t="n"/>
      <c r="QTH1" s="2" t="n"/>
      <c r="QTI1" s="2" t="n"/>
      <c r="QTJ1" s="2" t="n"/>
      <c r="QTK1" s="2" t="n"/>
      <c r="QTL1" s="2" t="n"/>
      <c r="QTM1" s="2" t="n"/>
      <c r="QTN1" s="2" t="n"/>
      <c r="QTO1" s="2" t="n"/>
      <c r="QTP1" s="2" t="n"/>
      <c r="QTQ1" s="2" t="n"/>
      <c r="QTR1" s="2" t="n"/>
      <c r="QTS1" s="2" t="n"/>
      <c r="QTT1" s="2" t="n"/>
      <c r="QTU1" s="2" t="n"/>
      <c r="QTV1" s="2" t="n"/>
      <c r="QTW1" s="2" t="n"/>
      <c r="QTX1" s="2" t="n"/>
      <c r="QTY1" s="2" t="n"/>
      <c r="QTZ1" s="2" t="n"/>
      <c r="QUA1" s="2" t="n"/>
      <c r="QUB1" s="2" t="n"/>
      <c r="QUC1" s="2" t="n"/>
      <c r="QUD1" s="2" t="n"/>
      <c r="QUE1" s="2" t="n"/>
      <c r="QUF1" s="2" t="n"/>
      <c r="QUG1" s="2" t="n"/>
      <c r="QUH1" s="2" t="n"/>
      <c r="QUI1" s="2" t="n"/>
      <c r="QUJ1" s="2" t="n"/>
      <c r="QUK1" s="2" t="n"/>
      <c r="QUL1" s="2" t="n"/>
      <c r="QUM1" s="2" t="n"/>
      <c r="QUN1" s="2" t="n"/>
      <c r="QUO1" s="2" t="n"/>
      <c r="QUP1" s="2" t="n"/>
      <c r="QUQ1" s="2" t="n"/>
      <c r="QUR1" s="2" t="n"/>
      <c r="QUS1" s="2" t="n"/>
      <c r="QUT1" s="2" t="n"/>
      <c r="QUU1" s="2" t="n"/>
      <c r="QUV1" s="2" t="n"/>
      <c r="QUW1" s="2" t="n"/>
      <c r="QUX1" s="2" t="n"/>
      <c r="QUY1" s="2" t="n"/>
      <c r="QUZ1" s="2" t="n"/>
      <c r="QVA1" s="2" t="n"/>
      <c r="QVB1" s="2" t="n"/>
      <c r="QVC1" s="2" t="n"/>
      <c r="QVD1" s="2" t="n"/>
      <c r="QVE1" s="2" t="n"/>
      <c r="QVF1" s="2" t="n"/>
      <c r="QVG1" s="2" t="n"/>
      <c r="QVH1" s="2" t="n"/>
      <c r="QVI1" s="2" t="n"/>
      <c r="QVJ1" s="2" t="n"/>
      <c r="QVK1" s="2" t="n"/>
      <c r="QVL1" s="2" t="n"/>
      <c r="QVM1" s="2" t="n"/>
      <c r="QVN1" s="2" t="n"/>
      <c r="QVO1" s="2" t="n"/>
      <c r="QVP1" s="2" t="n"/>
      <c r="QVQ1" s="2" t="n"/>
      <c r="QVR1" s="2" t="n"/>
      <c r="QVS1" s="2" t="n"/>
      <c r="QVT1" s="2" t="n"/>
      <c r="QVU1" s="2" t="n"/>
      <c r="QVV1" s="2" t="n"/>
      <c r="QVW1" s="2" t="n"/>
      <c r="QVX1" s="2" t="n"/>
      <c r="QVY1" s="2" t="n"/>
      <c r="QVZ1" s="2" t="n"/>
      <c r="QWA1" s="2" t="n"/>
      <c r="QWB1" s="2" t="n"/>
      <c r="QWC1" s="2" t="n"/>
      <c r="QWD1" s="2" t="n"/>
      <c r="QWE1" s="2" t="n"/>
      <c r="QWF1" s="2" t="n"/>
      <c r="QWG1" s="2" t="n"/>
      <c r="QWH1" s="2" t="n"/>
      <c r="QWI1" s="2" t="n"/>
      <c r="QWJ1" s="2" t="n"/>
      <c r="QWK1" s="2" t="n"/>
      <c r="QWL1" s="2" t="n"/>
      <c r="QWM1" s="2" t="n"/>
      <c r="QWN1" s="2" t="n"/>
      <c r="QWO1" s="2" t="n"/>
      <c r="QWP1" s="2" t="n"/>
      <c r="QWQ1" s="2" t="n"/>
      <c r="QWR1" s="2" t="n"/>
      <c r="QWS1" s="2" t="n"/>
      <c r="QWT1" s="2" t="n"/>
      <c r="QWU1" s="2" t="n"/>
      <c r="QWV1" s="2" t="n"/>
      <c r="QWW1" s="2" t="n"/>
      <c r="QWX1" s="2" t="n"/>
      <c r="QWY1" s="2" t="n"/>
      <c r="QWZ1" s="2" t="n"/>
      <c r="QXA1" s="2" t="n"/>
      <c r="QXB1" s="2" t="n"/>
      <c r="QXC1" s="2" t="n"/>
      <c r="QXD1" s="2" t="n"/>
      <c r="QXE1" s="2" t="n"/>
      <c r="QXF1" s="2" t="n"/>
      <c r="QXG1" s="2" t="n"/>
      <c r="QXH1" s="2" t="n"/>
      <c r="QXI1" s="2" t="n"/>
      <c r="QXJ1" s="2" t="n"/>
      <c r="QXK1" s="2" t="n"/>
      <c r="QXL1" s="2" t="n"/>
      <c r="QXM1" s="2" t="n"/>
      <c r="QXN1" s="2" t="n"/>
      <c r="QXO1" s="2" t="n"/>
      <c r="QXP1" s="2" t="n"/>
      <c r="QXQ1" s="2" t="n"/>
      <c r="QXR1" s="2" t="n"/>
      <c r="QXS1" s="2" t="n"/>
      <c r="QXT1" s="2" t="n"/>
      <c r="QXU1" s="2" t="n"/>
      <c r="QXV1" s="2" t="n"/>
      <c r="QXW1" s="2" t="n"/>
      <c r="QXX1" s="2" t="n"/>
      <c r="QXY1" s="2" t="n"/>
      <c r="QXZ1" s="2" t="n"/>
      <c r="QYA1" s="2" t="n"/>
      <c r="QYB1" s="2" t="n"/>
      <c r="QYC1" s="2" t="n"/>
      <c r="QYD1" s="2" t="n"/>
      <c r="QYE1" s="2" t="n"/>
      <c r="QYF1" s="2" t="n"/>
      <c r="QYG1" s="2" t="n"/>
      <c r="QYH1" s="2" t="n"/>
      <c r="QYI1" s="2" t="n"/>
      <c r="QYJ1" s="2" t="n"/>
      <c r="QYK1" s="2" t="n"/>
      <c r="QYL1" s="2" t="n"/>
      <c r="QYM1" s="2" t="n"/>
      <c r="QYN1" s="2" t="n"/>
      <c r="QYO1" s="2" t="n"/>
      <c r="QYP1" s="2" t="n"/>
      <c r="QYQ1" s="2" t="n"/>
      <c r="QYR1" s="2" t="n"/>
      <c r="QYS1" s="2" t="n"/>
      <c r="QYT1" s="2" t="n"/>
      <c r="QYU1" s="2" t="n"/>
      <c r="QYV1" s="2" t="n"/>
      <c r="QYW1" s="2" t="n"/>
      <c r="QYX1" s="2" t="n"/>
      <c r="QYY1" s="2" t="n"/>
      <c r="QYZ1" s="2" t="n"/>
      <c r="QZA1" s="2" t="n"/>
      <c r="QZB1" s="2" t="n"/>
      <c r="QZC1" s="2" t="n"/>
      <c r="QZD1" s="2" t="n"/>
      <c r="QZE1" s="2" t="n"/>
      <c r="QZF1" s="2" t="n"/>
      <c r="QZG1" s="2" t="n"/>
      <c r="QZH1" s="2" t="n"/>
      <c r="QZI1" s="2" t="n"/>
      <c r="QZJ1" s="2" t="n"/>
      <c r="QZK1" s="2" t="n"/>
      <c r="QZL1" s="2" t="n"/>
      <c r="QZM1" s="2" t="n"/>
      <c r="QZN1" s="2" t="n"/>
      <c r="QZO1" s="2" t="n"/>
      <c r="QZP1" s="2" t="n"/>
      <c r="QZQ1" s="2" t="n"/>
      <c r="QZR1" s="2" t="n"/>
      <c r="QZS1" s="2" t="n"/>
      <c r="QZT1" s="2" t="n"/>
      <c r="QZU1" s="2" t="n"/>
      <c r="QZV1" s="2" t="n"/>
      <c r="QZW1" s="2" t="n"/>
      <c r="QZX1" s="2" t="n"/>
      <c r="QZY1" s="2" t="n"/>
      <c r="QZZ1" s="2" t="n"/>
      <c r="RAA1" s="2" t="n"/>
      <c r="RAB1" s="2" t="n"/>
      <c r="RAC1" s="2" t="n"/>
      <c r="RAD1" s="2" t="n"/>
      <c r="RAE1" s="2" t="n"/>
      <c r="RAF1" s="2" t="n"/>
      <c r="RAG1" s="2" t="n"/>
      <c r="RAH1" s="2" t="n"/>
      <c r="RAI1" s="2" t="n"/>
      <c r="RAJ1" s="2" t="n"/>
      <c r="RAK1" s="2" t="n"/>
      <c r="RAL1" s="2" t="n"/>
      <c r="RAM1" s="2" t="n"/>
      <c r="RAN1" s="2" t="n"/>
      <c r="RAO1" s="2" t="n"/>
      <c r="RAP1" s="2" t="n"/>
      <c r="RAQ1" s="2" t="n"/>
      <c r="RAR1" s="2" t="n"/>
      <c r="RAS1" s="2" t="n"/>
      <c r="RAT1" s="2" t="n"/>
      <c r="RAU1" s="2" t="n"/>
      <c r="RAV1" s="2" t="n"/>
      <c r="RAW1" s="2" t="n"/>
      <c r="RAX1" s="2" t="n"/>
      <c r="RAY1" s="2" t="n"/>
      <c r="RAZ1" s="2" t="n"/>
      <c r="RBA1" s="2" t="n"/>
      <c r="RBB1" s="2" t="n"/>
      <c r="RBC1" s="2" t="n"/>
      <c r="RBD1" s="2" t="n"/>
      <c r="RBE1" s="2" t="n"/>
      <c r="RBF1" s="2" t="n"/>
      <c r="RBG1" s="2" t="n"/>
      <c r="RBH1" s="2" t="n"/>
      <c r="RBI1" s="2" t="n"/>
      <c r="RBJ1" s="2" t="n"/>
      <c r="RBK1" s="2" t="n"/>
      <c r="RBL1" s="2" t="n"/>
      <c r="RBM1" s="2" t="n"/>
      <c r="RBN1" s="2" t="n"/>
      <c r="RBO1" s="2" t="n"/>
      <c r="RBP1" s="2" t="n"/>
      <c r="RBQ1" s="2" t="n"/>
      <c r="RBR1" s="2" t="n"/>
      <c r="RBS1" s="2" t="n"/>
      <c r="RBT1" s="2" t="n"/>
      <c r="RBU1" s="2" t="n"/>
      <c r="RBV1" s="2" t="n"/>
      <c r="RBW1" s="2" t="n"/>
      <c r="RBX1" s="2" t="n"/>
      <c r="RBY1" s="2" t="n"/>
      <c r="RBZ1" s="2" t="n"/>
      <c r="RCA1" s="2" t="n"/>
      <c r="RCB1" s="2" t="n"/>
      <c r="RCC1" s="2" t="n"/>
      <c r="RCD1" s="2" t="n"/>
      <c r="RCE1" s="2" t="n"/>
      <c r="RCF1" s="2" t="n"/>
      <c r="RCG1" s="2" t="n"/>
      <c r="RCH1" s="2" t="n"/>
      <c r="RCI1" s="2" t="n"/>
      <c r="RCJ1" s="2" t="n"/>
      <c r="RCK1" s="2" t="n"/>
      <c r="RCL1" s="2" t="n"/>
      <c r="RCM1" s="2" t="n"/>
      <c r="RCN1" s="2" t="n"/>
      <c r="RCO1" s="2" t="n"/>
      <c r="RCP1" s="2" t="n"/>
      <c r="RCQ1" s="2" t="n"/>
      <c r="RCR1" s="2" t="n"/>
      <c r="RCS1" s="2" t="n"/>
      <c r="RCT1" s="2" t="n"/>
      <c r="RCU1" s="2" t="n"/>
      <c r="RCV1" s="2" t="n"/>
      <c r="RCW1" s="2" t="n"/>
      <c r="RCX1" s="2" t="n"/>
      <c r="RCY1" s="2" t="n"/>
      <c r="RCZ1" s="2" t="n"/>
      <c r="RDA1" s="2" t="n"/>
      <c r="RDB1" s="2" t="n"/>
      <c r="RDC1" s="2" t="n"/>
      <c r="RDD1" s="2" t="n"/>
      <c r="RDE1" s="2" t="n"/>
      <c r="RDF1" s="2" t="n"/>
      <c r="RDG1" s="2" t="n"/>
      <c r="RDH1" s="2" t="n"/>
      <c r="RDI1" s="2" t="n"/>
      <c r="RDJ1" s="2" t="n"/>
      <c r="RDK1" s="2" t="n"/>
      <c r="RDL1" s="2" t="n"/>
      <c r="RDM1" s="2" t="n"/>
      <c r="RDN1" s="2" t="n"/>
      <c r="RDO1" s="2" t="n"/>
      <c r="RDP1" s="2" t="n"/>
      <c r="RDQ1" s="2" t="n"/>
      <c r="RDR1" s="2" t="n"/>
      <c r="RDS1" s="2" t="n"/>
      <c r="RDT1" s="2" t="n"/>
      <c r="RDU1" s="2" t="n"/>
      <c r="RDV1" s="2" t="n"/>
      <c r="RDW1" s="2" t="n"/>
      <c r="RDX1" s="2" t="n"/>
      <c r="RDY1" s="2" t="n"/>
      <c r="RDZ1" s="2" t="n"/>
      <c r="REA1" s="2" t="n"/>
      <c r="REB1" s="2" t="n"/>
      <c r="REC1" s="2" t="n"/>
      <c r="RED1" s="2" t="n"/>
      <c r="REE1" s="2" t="n"/>
      <c r="REF1" s="2" t="n"/>
      <c r="REG1" s="2" t="n"/>
      <c r="REH1" s="2" t="n"/>
      <c r="REI1" s="2" t="n"/>
      <c r="REJ1" s="2" t="n"/>
      <c r="REK1" s="2" t="n"/>
      <c r="REL1" s="2" t="n"/>
      <c r="REM1" s="2" t="n"/>
      <c r="REN1" s="2" t="n"/>
      <c r="REO1" s="2" t="n"/>
      <c r="REP1" s="2" t="n"/>
      <c r="REQ1" s="2" t="n"/>
      <c r="RER1" s="2" t="n"/>
      <c r="RES1" s="2" t="n"/>
      <c r="RET1" s="2" t="n"/>
      <c r="REU1" s="2" t="n"/>
      <c r="REV1" s="2" t="n"/>
      <c r="REW1" s="2" t="n"/>
      <c r="REX1" s="2" t="n"/>
      <c r="REY1" s="2" t="n"/>
      <c r="REZ1" s="2" t="n"/>
      <c r="RFA1" s="2" t="n"/>
      <c r="RFB1" s="2" t="n"/>
      <c r="RFC1" s="2" t="n"/>
      <c r="RFD1" s="2" t="n"/>
      <c r="RFE1" s="2" t="n"/>
      <c r="RFF1" s="2" t="n"/>
      <c r="RFG1" s="2" t="n"/>
      <c r="RFH1" s="2" t="n"/>
      <c r="RFI1" s="2" t="n"/>
      <c r="RFJ1" s="2" t="n"/>
      <c r="RFK1" s="2" t="n"/>
      <c r="RFL1" s="2" t="n"/>
      <c r="RFM1" s="2" t="n"/>
      <c r="RFN1" s="2" t="n"/>
      <c r="RFO1" s="2" t="n"/>
      <c r="RFP1" s="2" t="n"/>
      <c r="RFQ1" s="2" t="n"/>
      <c r="RFR1" s="2" t="n"/>
      <c r="RFS1" s="2" t="n"/>
      <c r="RFT1" s="2" t="n"/>
      <c r="RFU1" s="2" t="n"/>
      <c r="RFV1" s="2" t="n"/>
      <c r="RFW1" s="2" t="n"/>
      <c r="RFX1" s="2" t="n"/>
      <c r="RFY1" s="2" t="n"/>
      <c r="RFZ1" s="2" t="n"/>
      <c r="RGA1" s="2" t="n"/>
      <c r="RGB1" s="2" t="n"/>
      <c r="RGC1" s="2" t="n"/>
      <c r="RGD1" s="2" t="n"/>
      <c r="RGE1" s="2" t="n"/>
      <c r="RGF1" s="2" t="n"/>
      <c r="RGG1" s="2" t="n"/>
      <c r="RGH1" s="2" t="n"/>
      <c r="RGI1" s="2" t="n"/>
      <c r="RGJ1" s="2" t="n"/>
      <c r="RGK1" s="2" t="n"/>
      <c r="RGL1" s="2" t="n"/>
      <c r="RGM1" s="2" t="n"/>
      <c r="RGN1" s="2" t="n"/>
      <c r="RGO1" s="2" t="n"/>
      <c r="RGP1" s="2" t="n"/>
      <c r="RGQ1" s="2" t="n"/>
      <c r="RGR1" s="2" t="n"/>
      <c r="RGS1" s="2" t="n"/>
      <c r="RGT1" s="2" t="n"/>
      <c r="RGU1" s="2" t="n"/>
      <c r="RGV1" s="2" t="n"/>
      <c r="RGW1" s="2" t="n"/>
      <c r="RGX1" s="2" t="n"/>
      <c r="RGY1" s="2" t="n"/>
      <c r="RGZ1" s="2" t="n"/>
      <c r="RHA1" s="2" t="n"/>
      <c r="RHB1" s="2" t="n"/>
      <c r="RHC1" s="2" t="n"/>
      <c r="RHD1" s="2" t="n"/>
      <c r="RHE1" s="2" t="n"/>
      <c r="RHF1" s="2" t="n"/>
      <c r="RHG1" s="2" t="n"/>
      <c r="RHH1" s="2" t="n"/>
      <c r="RHI1" s="2" t="n"/>
      <c r="RHJ1" s="2" t="n"/>
      <c r="RHK1" s="2" t="n"/>
      <c r="RHL1" s="2" t="n"/>
      <c r="RHM1" s="2" t="n"/>
      <c r="RHN1" s="2" t="n"/>
      <c r="RHO1" s="2" t="n"/>
      <c r="RHP1" s="2" t="n"/>
      <c r="RHQ1" s="2" t="n"/>
      <c r="RHR1" s="2" t="n"/>
      <c r="RHS1" s="2" t="n"/>
      <c r="RHT1" s="2" t="n"/>
      <c r="RHU1" s="2" t="n"/>
      <c r="RHV1" s="2" t="n"/>
      <c r="RHW1" s="2" t="n"/>
      <c r="RHX1" s="2" t="n"/>
      <c r="RHY1" s="2" t="n"/>
      <c r="RHZ1" s="2" t="n"/>
      <c r="RIA1" s="2" t="n"/>
      <c r="RIB1" s="2" t="n"/>
      <c r="RIC1" s="2" t="n"/>
      <c r="RID1" s="2" t="n"/>
      <c r="RIE1" s="2" t="n"/>
      <c r="RIF1" s="2" t="n"/>
      <c r="RIG1" s="2" t="n"/>
      <c r="RIH1" s="2" t="n"/>
      <c r="RII1" s="2" t="n"/>
      <c r="RIJ1" s="2" t="n"/>
      <c r="RIK1" s="2" t="n"/>
      <c r="RIL1" s="2" t="n"/>
      <c r="RIM1" s="2" t="n"/>
      <c r="RIN1" s="2" t="n"/>
      <c r="RIO1" s="2" t="n"/>
      <c r="RIP1" s="2" t="n"/>
      <c r="RIQ1" s="2" t="n"/>
      <c r="RIR1" s="2" t="n"/>
      <c r="RIS1" s="2" t="n"/>
      <c r="RIT1" s="2" t="n"/>
      <c r="RIU1" s="2" t="n"/>
      <c r="RIV1" s="2" t="n"/>
      <c r="RIW1" s="2" t="n"/>
      <c r="RIX1" s="2" t="n"/>
      <c r="RIY1" s="2" t="n"/>
      <c r="RIZ1" s="2" t="n"/>
      <c r="RJA1" s="2" t="n"/>
      <c r="RJB1" s="2" t="n"/>
      <c r="RJC1" s="2" t="n"/>
      <c r="RJD1" s="2" t="n"/>
      <c r="RJE1" s="2" t="n"/>
      <c r="RJF1" s="2" t="n"/>
      <c r="RJG1" s="2" t="n"/>
      <c r="RJH1" s="2" t="n"/>
      <c r="RJI1" s="2" t="n"/>
      <c r="RJJ1" s="2" t="n"/>
      <c r="RJK1" s="2" t="n"/>
      <c r="RJL1" s="2" t="n"/>
      <c r="RJM1" s="2" t="n"/>
      <c r="RJN1" s="2" t="n"/>
      <c r="RJO1" s="2" t="n"/>
      <c r="RJP1" s="2" t="n"/>
      <c r="RJQ1" s="2" t="n"/>
      <c r="RJR1" s="2" t="n"/>
      <c r="RJS1" s="2" t="n"/>
      <c r="RJT1" s="2" t="n"/>
      <c r="RJU1" s="2" t="n"/>
      <c r="RJV1" s="2" t="n"/>
      <c r="RJW1" s="2" t="n"/>
      <c r="RJX1" s="2" t="n"/>
      <c r="RJY1" s="2" t="n"/>
      <c r="RJZ1" s="2" t="n"/>
      <c r="RKA1" s="2" t="n"/>
      <c r="RKB1" s="2" t="n"/>
      <c r="RKC1" s="2" t="n"/>
      <c r="RKD1" s="2" t="n"/>
      <c r="RKE1" s="2" t="n"/>
      <c r="RKF1" s="2" t="n"/>
      <c r="RKG1" s="2" t="n"/>
      <c r="RKH1" s="2" t="n"/>
      <c r="RKI1" s="2" t="n"/>
      <c r="RKJ1" s="2" t="n"/>
      <c r="RKK1" s="2" t="n"/>
      <c r="RKL1" s="2" t="n"/>
      <c r="RKM1" s="2" t="n"/>
      <c r="RKN1" s="2" t="n"/>
      <c r="RKO1" s="2" t="n"/>
      <c r="RKP1" s="2" t="n"/>
      <c r="RKQ1" s="2" t="n"/>
      <c r="RKR1" s="2" t="n"/>
      <c r="RKS1" s="2" t="n"/>
      <c r="RKT1" s="2" t="n"/>
      <c r="RKU1" s="2" t="n"/>
      <c r="RKV1" s="2" t="n"/>
      <c r="RKW1" s="2" t="n"/>
      <c r="RKX1" s="2" t="n"/>
      <c r="RKY1" s="2" t="n"/>
      <c r="RKZ1" s="2" t="n"/>
      <c r="RLA1" s="2" t="n"/>
      <c r="RLB1" s="2" t="n"/>
      <c r="RLC1" s="2" t="n"/>
      <c r="RLD1" s="2" t="n"/>
      <c r="RLE1" s="2" t="n"/>
      <c r="RLF1" s="2" t="n"/>
      <c r="RLG1" s="2" t="n"/>
      <c r="RLH1" s="2" t="n"/>
      <c r="RLI1" s="2" t="n"/>
      <c r="RLJ1" s="2" t="n"/>
      <c r="RLK1" s="2" t="n"/>
      <c r="RLL1" s="2" t="n"/>
      <c r="RLM1" s="2" t="n"/>
      <c r="RLN1" s="2" t="n"/>
      <c r="RLO1" s="2" t="n"/>
      <c r="RLP1" s="2" t="n"/>
      <c r="RLQ1" s="2" t="n"/>
      <c r="RLR1" s="2" t="n"/>
      <c r="RLS1" s="2" t="n"/>
      <c r="RLT1" s="2" t="n"/>
      <c r="RLU1" s="2" t="n"/>
      <c r="RLV1" s="2" t="n"/>
      <c r="RLW1" s="2" t="n"/>
      <c r="RLX1" s="2" t="n"/>
      <c r="RLY1" s="2" t="n"/>
      <c r="RLZ1" s="2" t="n"/>
      <c r="RMA1" s="2" t="n"/>
      <c r="RMB1" s="2" t="n"/>
      <c r="RMC1" s="2" t="n"/>
      <c r="RMD1" s="2" t="n"/>
      <c r="RME1" s="2" t="n"/>
      <c r="RMF1" s="2" t="n"/>
      <c r="RMG1" s="2" t="n"/>
      <c r="RMH1" s="2" t="n"/>
      <c r="RMI1" s="2" t="n"/>
      <c r="RMJ1" s="2" t="n"/>
      <c r="RMK1" s="2" t="n"/>
      <c r="RML1" s="2" t="n"/>
      <c r="RMM1" s="2" t="n"/>
      <c r="RMN1" s="2" t="n"/>
      <c r="RMO1" s="2" t="n"/>
      <c r="RMP1" s="2" t="n"/>
      <c r="RMQ1" s="2" t="n"/>
      <c r="RMR1" s="2" t="n"/>
      <c r="RMS1" s="2" t="n"/>
      <c r="RMT1" s="2" t="n"/>
      <c r="RMU1" s="2" t="n"/>
      <c r="RMV1" s="2" t="n"/>
      <c r="RMW1" s="2" t="n"/>
      <c r="RMX1" s="2" t="n"/>
      <c r="RMY1" s="2" t="n"/>
      <c r="RMZ1" s="2" t="n"/>
      <c r="RNA1" s="2" t="n"/>
      <c r="RNB1" s="2" t="n"/>
      <c r="RNC1" s="2" t="n"/>
      <c r="RND1" s="2" t="n"/>
      <c r="RNE1" s="2" t="n"/>
      <c r="RNF1" s="2" t="n"/>
      <c r="RNG1" s="2" t="n"/>
      <c r="RNH1" s="2" t="n"/>
      <c r="RNI1" s="2" t="n"/>
      <c r="RNJ1" s="2" t="n"/>
      <c r="RNK1" s="2" t="n"/>
      <c r="RNL1" s="2" t="n"/>
      <c r="RNM1" s="2" t="n"/>
      <c r="RNN1" s="2" t="n"/>
      <c r="RNO1" s="2" t="n"/>
      <c r="RNP1" s="2" t="n"/>
      <c r="RNQ1" s="2" t="n"/>
      <c r="RNR1" s="2" t="n"/>
      <c r="RNS1" s="2" t="n"/>
      <c r="RNT1" s="2" t="n"/>
      <c r="RNU1" s="2" t="n"/>
      <c r="RNV1" s="2" t="n"/>
      <c r="RNW1" s="2" t="n"/>
      <c r="RNX1" s="2" t="n"/>
      <c r="RNY1" s="2" t="n"/>
      <c r="RNZ1" s="2" t="n"/>
      <c r="ROA1" s="2" t="n"/>
      <c r="ROB1" s="2" t="n"/>
      <c r="ROC1" s="2" t="n"/>
      <c r="ROD1" s="2" t="n"/>
      <c r="ROE1" s="2" t="n"/>
      <c r="ROF1" s="2" t="n"/>
      <c r="ROG1" s="2" t="n"/>
      <c r="ROH1" s="2" t="n"/>
      <c r="ROI1" s="2" t="n"/>
      <c r="ROJ1" s="2" t="n"/>
      <c r="ROK1" s="2" t="n"/>
      <c r="ROL1" s="2" t="n"/>
      <c r="ROM1" s="2" t="n"/>
      <c r="RON1" s="2" t="n"/>
      <c r="ROO1" s="2" t="n"/>
      <c r="ROP1" s="2" t="n"/>
      <c r="ROQ1" s="2" t="n"/>
      <c r="ROR1" s="2" t="n"/>
      <c r="ROS1" s="2" t="n"/>
      <c r="ROT1" s="2" t="n"/>
      <c r="ROU1" s="2" t="n"/>
      <c r="ROV1" s="2" t="n"/>
      <c r="ROW1" s="2" t="n"/>
      <c r="ROX1" s="2" t="n"/>
      <c r="ROY1" s="2" t="n"/>
      <c r="ROZ1" s="2" t="n"/>
      <c r="RPA1" s="2" t="n"/>
      <c r="RPB1" s="2" t="n"/>
      <c r="RPC1" s="2" t="n"/>
      <c r="RPD1" s="2" t="n"/>
      <c r="RPE1" s="2" t="n"/>
      <c r="RPF1" s="2" t="n"/>
      <c r="RPG1" s="2" t="n"/>
      <c r="RPH1" s="2" t="n"/>
      <c r="RPI1" s="2" t="n"/>
      <c r="RPJ1" s="2" t="n"/>
      <c r="RPK1" s="2" t="n"/>
      <c r="RPL1" s="2" t="n"/>
      <c r="RPM1" s="2" t="n"/>
      <c r="RPN1" s="2" t="n"/>
      <c r="RPO1" s="2" t="n"/>
      <c r="RPP1" s="2" t="n"/>
      <c r="RPQ1" s="2" t="n"/>
      <c r="RPR1" s="2" t="n"/>
      <c r="RPS1" s="2" t="n"/>
      <c r="RPT1" s="2" t="n"/>
      <c r="RPU1" s="2" t="n"/>
      <c r="RPV1" s="2" t="n"/>
      <c r="RPW1" s="2" t="n"/>
      <c r="RPX1" s="2" t="n"/>
      <c r="RPY1" s="2" t="n"/>
      <c r="RPZ1" s="2" t="n"/>
      <c r="RQA1" s="2" t="n"/>
      <c r="RQB1" s="2" t="n"/>
      <c r="RQC1" s="2" t="n"/>
      <c r="RQD1" s="2" t="n"/>
      <c r="RQE1" s="2" t="n"/>
      <c r="RQF1" s="2" t="n"/>
      <c r="RQG1" s="2" t="n"/>
      <c r="RQH1" s="2" t="n"/>
      <c r="RQI1" s="2" t="n"/>
      <c r="RQJ1" s="2" t="n"/>
      <c r="RQK1" s="2" t="n"/>
      <c r="RQL1" s="2" t="n"/>
      <c r="RQM1" s="2" t="n"/>
      <c r="RQN1" s="2" t="n"/>
      <c r="RQO1" s="2" t="n"/>
      <c r="RQP1" s="2" t="n"/>
      <c r="RQQ1" s="2" t="n"/>
      <c r="RQR1" s="2" t="n"/>
      <c r="RQS1" s="2" t="n"/>
      <c r="RQT1" s="2" t="n"/>
      <c r="RQU1" s="2" t="n"/>
      <c r="RQV1" s="2" t="n"/>
      <c r="RQW1" s="2" t="n"/>
      <c r="RQX1" s="2" t="n"/>
      <c r="RQY1" s="2" t="n"/>
      <c r="RQZ1" s="2" t="n"/>
      <c r="RRA1" s="2" t="n"/>
      <c r="RRB1" s="2" t="n"/>
      <c r="RRC1" s="2" t="n"/>
      <c r="RRD1" s="2" t="n"/>
      <c r="RRE1" s="2" t="n"/>
      <c r="RRF1" s="2" t="n"/>
      <c r="RRG1" s="2" t="n"/>
      <c r="RRH1" s="2" t="n"/>
      <c r="RRI1" s="2" t="n"/>
      <c r="RRJ1" s="2" t="n"/>
      <c r="RRK1" s="2" t="n"/>
      <c r="RRL1" s="2" t="n"/>
      <c r="RRM1" s="2" t="n"/>
      <c r="RRN1" s="2" t="n"/>
      <c r="RRO1" s="2" t="n"/>
      <c r="RRP1" s="2" t="n"/>
      <c r="RRQ1" s="2" t="n"/>
      <c r="RRR1" s="2" t="n"/>
      <c r="RRS1" s="2" t="n"/>
      <c r="RRT1" s="2" t="n"/>
      <c r="RRU1" s="2" t="n"/>
      <c r="RRV1" s="2" t="n"/>
      <c r="RRW1" s="2" t="n"/>
      <c r="RRX1" s="2" t="n"/>
      <c r="RRY1" s="2" t="n"/>
      <c r="RRZ1" s="2" t="n"/>
      <c r="RSA1" s="2" t="n"/>
      <c r="RSB1" s="2" t="n"/>
      <c r="RSC1" s="2" t="n"/>
      <c r="RSD1" s="2" t="n"/>
      <c r="RSE1" s="2" t="n"/>
      <c r="RSF1" s="2" t="n"/>
      <c r="RSG1" s="2" t="n"/>
      <c r="RSH1" s="2" t="n"/>
      <c r="RSI1" s="2" t="n"/>
      <c r="RSJ1" s="2" t="n"/>
      <c r="RSK1" s="2" t="n"/>
      <c r="RSL1" s="2" t="n"/>
      <c r="RSM1" s="2" t="n"/>
      <c r="RSN1" s="2" t="n"/>
      <c r="RSO1" s="2" t="n"/>
      <c r="RSP1" s="2" t="n"/>
      <c r="RSQ1" s="2" t="n"/>
      <c r="RSR1" s="2" t="n"/>
      <c r="RSS1" s="2" t="n"/>
      <c r="RST1" s="2" t="n"/>
      <c r="RSU1" s="2" t="n"/>
      <c r="RSV1" s="2" t="n"/>
      <c r="RSW1" s="2" t="n"/>
      <c r="RSX1" s="2" t="n"/>
      <c r="RSY1" s="2" t="n"/>
      <c r="RSZ1" s="2" t="n"/>
      <c r="RTA1" s="2" t="n"/>
      <c r="RTB1" s="2" t="n"/>
      <c r="RTC1" s="2" t="n"/>
      <c r="RTD1" s="2" t="n"/>
      <c r="RTE1" s="2" t="n"/>
      <c r="RTF1" s="2" t="n"/>
      <c r="RTG1" s="2" t="n"/>
      <c r="RTH1" s="2" t="n"/>
      <c r="RTI1" s="2" t="n"/>
      <c r="RTJ1" s="2" t="n"/>
      <c r="RTK1" s="2" t="n"/>
      <c r="RTL1" s="2" t="n"/>
      <c r="RTM1" s="2" t="n"/>
      <c r="RTN1" s="2" t="n"/>
      <c r="RTO1" s="2" t="n"/>
      <c r="RTP1" s="2" t="n"/>
      <c r="RTQ1" s="2" t="n"/>
      <c r="RTR1" s="2" t="n"/>
      <c r="RTS1" s="2" t="n"/>
      <c r="RTT1" s="2" t="n"/>
      <c r="RTU1" s="2" t="n"/>
      <c r="RTV1" s="2" t="n"/>
      <c r="RTW1" s="2" t="n"/>
      <c r="RTX1" s="2" t="n"/>
      <c r="RTY1" s="2" t="n"/>
      <c r="RTZ1" s="2" t="n"/>
      <c r="RUA1" s="2" t="n"/>
      <c r="RUB1" s="2" t="n"/>
      <c r="RUC1" s="2" t="n"/>
      <c r="RUD1" s="2" t="n"/>
      <c r="RUE1" s="2" t="n"/>
      <c r="RUF1" s="2" t="n"/>
      <c r="RUG1" s="2" t="n"/>
      <c r="RUH1" s="2" t="n"/>
      <c r="RUI1" s="2" t="n"/>
      <c r="RUJ1" s="2" t="n"/>
      <c r="RUK1" s="2" t="n"/>
      <c r="RUL1" s="2" t="n"/>
      <c r="RUM1" s="2" t="n"/>
      <c r="RUN1" s="2" t="n"/>
      <c r="RUO1" s="2" t="n"/>
      <c r="RUP1" s="2" t="n"/>
      <c r="RUQ1" s="2" t="n"/>
      <c r="RUR1" s="2" t="n"/>
      <c r="RUS1" s="2" t="n"/>
      <c r="RUT1" s="2" t="n"/>
      <c r="RUU1" s="2" t="n"/>
      <c r="RUV1" s="2" t="n"/>
      <c r="RUW1" s="2" t="n"/>
      <c r="RUX1" s="2" t="n"/>
      <c r="RUY1" s="2" t="n"/>
      <c r="RUZ1" s="2" t="n"/>
      <c r="RVA1" s="2" t="n"/>
      <c r="RVB1" s="2" t="n"/>
      <c r="RVC1" s="2" t="n"/>
      <c r="RVD1" s="2" t="n"/>
      <c r="RVE1" s="2" t="n"/>
      <c r="RVF1" s="2" t="n"/>
      <c r="RVG1" s="2" t="n"/>
      <c r="RVH1" s="2" t="n"/>
      <c r="RVI1" s="2" t="n"/>
      <c r="RVJ1" s="2" t="n"/>
      <c r="RVK1" s="2" t="n"/>
      <c r="RVL1" s="2" t="n"/>
      <c r="RVM1" s="2" t="n"/>
      <c r="RVN1" s="2" t="n"/>
      <c r="RVO1" s="2" t="n"/>
      <c r="RVP1" s="2" t="n"/>
      <c r="RVQ1" s="2" t="n"/>
      <c r="RVR1" s="2" t="n"/>
      <c r="RVS1" s="2" t="n"/>
      <c r="RVT1" s="2" t="n"/>
      <c r="RVU1" s="2" t="n"/>
      <c r="RVV1" s="2" t="n"/>
      <c r="RVW1" s="2" t="n"/>
      <c r="RVX1" s="2" t="n"/>
      <c r="RVY1" s="2" t="n"/>
      <c r="RVZ1" s="2" t="n"/>
      <c r="RWA1" s="2" t="n"/>
      <c r="RWB1" s="2" t="n"/>
      <c r="RWC1" s="2" t="n"/>
      <c r="RWD1" s="2" t="n"/>
      <c r="RWE1" s="2" t="n"/>
      <c r="RWF1" s="2" t="n"/>
      <c r="RWG1" s="2" t="n"/>
      <c r="RWH1" s="2" t="n"/>
      <c r="RWI1" s="2" t="n"/>
      <c r="RWJ1" s="2" t="n"/>
      <c r="RWK1" s="2" t="n"/>
      <c r="RWL1" s="2" t="n"/>
      <c r="RWM1" s="2" t="n"/>
      <c r="RWN1" s="2" t="n"/>
      <c r="RWO1" s="2" t="n"/>
      <c r="RWP1" s="2" t="n"/>
      <c r="RWQ1" s="2" t="n"/>
      <c r="RWR1" s="2" t="n"/>
      <c r="RWS1" s="2" t="n"/>
      <c r="RWT1" s="2" t="n"/>
      <c r="RWU1" s="2" t="n"/>
      <c r="RWV1" s="2" t="n"/>
      <c r="RWW1" s="2" t="n"/>
      <c r="RWX1" s="2" t="n"/>
      <c r="RWY1" s="2" t="n"/>
      <c r="RWZ1" s="2" t="n"/>
      <c r="RXA1" s="2" t="n"/>
      <c r="RXB1" s="2" t="n"/>
      <c r="RXC1" s="2" t="n"/>
      <c r="RXD1" s="2" t="n"/>
      <c r="RXE1" s="2" t="n"/>
      <c r="RXF1" s="2" t="n"/>
      <c r="RXG1" s="2" t="n"/>
      <c r="RXH1" s="2" t="n"/>
      <c r="RXI1" s="2" t="n"/>
      <c r="RXJ1" s="2" t="n"/>
      <c r="RXK1" s="2" t="n"/>
      <c r="RXL1" s="2" t="n"/>
      <c r="RXM1" s="2" t="n"/>
      <c r="RXN1" s="2" t="n"/>
      <c r="RXO1" s="2" t="n"/>
      <c r="RXP1" s="2" t="n"/>
      <c r="RXQ1" s="2" t="n"/>
      <c r="RXR1" s="2" t="n"/>
      <c r="RXS1" s="2" t="n"/>
      <c r="RXT1" s="2" t="n"/>
      <c r="RXU1" s="2" t="n"/>
      <c r="RXV1" s="2" t="n"/>
      <c r="RXW1" s="2" t="n"/>
      <c r="RXX1" s="2" t="n"/>
      <c r="RXY1" s="2" t="n"/>
      <c r="RXZ1" s="2" t="n"/>
      <c r="RYA1" s="2" t="n"/>
      <c r="RYB1" s="2" t="n"/>
      <c r="RYC1" s="2" t="n"/>
      <c r="RYD1" s="2" t="n"/>
      <c r="RYE1" s="2" t="n"/>
      <c r="RYF1" s="2" t="n"/>
      <c r="RYG1" s="2" t="n"/>
      <c r="RYH1" s="2" t="n"/>
      <c r="RYI1" s="2" t="n"/>
      <c r="RYJ1" s="2" t="n"/>
      <c r="RYK1" s="2" t="n"/>
      <c r="RYL1" s="2" t="n"/>
      <c r="RYM1" s="2" t="n"/>
      <c r="RYN1" s="2" t="n"/>
      <c r="RYO1" s="2" t="n"/>
      <c r="RYP1" s="2" t="n"/>
      <c r="RYQ1" s="2" t="n"/>
      <c r="RYR1" s="2" t="n"/>
      <c r="RYS1" s="2" t="n"/>
      <c r="RYT1" s="2" t="n"/>
      <c r="RYU1" s="2" t="n"/>
      <c r="RYV1" s="2" t="n"/>
      <c r="RYW1" s="2" t="n"/>
      <c r="RYX1" s="2" t="n"/>
      <c r="RYY1" s="2" t="n"/>
      <c r="RYZ1" s="2" t="n"/>
      <c r="RZA1" s="2" t="n"/>
      <c r="RZB1" s="2" t="n"/>
      <c r="RZC1" s="2" t="n"/>
      <c r="RZD1" s="2" t="n"/>
      <c r="RZE1" s="2" t="n"/>
      <c r="RZF1" s="2" t="n"/>
      <c r="RZG1" s="2" t="n"/>
      <c r="RZH1" s="2" t="n"/>
      <c r="RZI1" s="2" t="n"/>
      <c r="RZJ1" s="2" t="n"/>
      <c r="RZK1" s="2" t="n"/>
      <c r="RZL1" s="2" t="n"/>
      <c r="RZM1" s="2" t="n"/>
      <c r="RZN1" s="2" t="n"/>
      <c r="RZO1" s="2" t="n"/>
      <c r="RZP1" s="2" t="n"/>
      <c r="RZQ1" s="2" t="n"/>
      <c r="RZR1" s="2" t="n"/>
      <c r="RZS1" s="2" t="n"/>
      <c r="RZT1" s="2" t="n"/>
      <c r="RZU1" s="2" t="n"/>
      <c r="RZV1" s="2" t="n"/>
      <c r="RZW1" s="2" t="n"/>
      <c r="RZX1" s="2" t="n"/>
      <c r="RZY1" s="2" t="n"/>
      <c r="RZZ1" s="2" t="n"/>
      <c r="SAA1" s="2" t="n"/>
      <c r="SAB1" s="2" t="n"/>
      <c r="SAC1" s="2" t="n"/>
      <c r="SAD1" s="2" t="n"/>
      <c r="SAE1" s="2" t="n"/>
      <c r="SAF1" s="2" t="n"/>
      <c r="SAG1" s="2" t="n"/>
      <c r="SAH1" s="2" t="n"/>
      <c r="SAI1" s="2" t="n"/>
      <c r="SAJ1" s="2" t="n"/>
      <c r="SAK1" s="2" t="n"/>
      <c r="SAL1" s="2" t="n"/>
      <c r="SAM1" s="2" t="n"/>
      <c r="SAN1" s="2" t="n"/>
      <c r="SAO1" s="2" t="n"/>
      <c r="SAP1" s="2" t="n"/>
      <c r="SAQ1" s="2" t="n"/>
      <c r="SAR1" s="2" t="n"/>
      <c r="SAS1" s="2" t="n"/>
      <c r="SAT1" s="2" t="n"/>
      <c r="SAU1" s="2" t="n"/>
      <c r="SAV1" s="2" t="n"/>
      <c r="SAW1" s="2" t="n"/>
      <c r="SAX1" s="2" t="n"/>
      <c r="SAY1" s="2" t="n"/>
      <c r="SAZ1" s="2" t="n"/>
      <c r="SBA1" s="2" t="n"/>
      <c r="SBB1" s="2" t="n"/>
      <c r="SBC1" s="2" t="n"/>
      <c r="SBD1" s="2" t="n"/>
      <c r="SBE1" s="2" t="n"/>
      <c r="SBF1" s="2" t="n"/>
      <c r="SBG1" s="2" t="n"/>
      <c r="SBH1" s="2" t="n"/>
      <c r="SBI1" s="2" t="n"/>
      <c r="SBJ1" s="2" t="n"/>
      <c r="SBK1" s="2" t="n"/>
      <c r="SBL1" s="2" t="n"/>
      <c r="SBM1" s="2" t="n"/>
      <c r="SBN1" s="2" t="n"/>
      <c r="SBO1" s="2" t="n"/>
      <c r="SBP1" s="2" t="n"/>
      <c r="SBQ1" s="2" t="n"/>
      <c r="SBR1" s="2" t="n"/>
      <c r="SBS1" s="2" t="n"/>
      <c r="SBT1" s="2" t="n"/>
      <c r="SBU1" s="2" t="n"/>
      <c r="SBV1" s="2" t="n"/>
      <c r="SBW1" s="2" t="n"/>
      <c r="SBX1" s="2" t="n"/>
      <c r="SBY1" s="2" t="n"/>
      <c r="SBZ1" s="2" t="n"/>
      <c r="SCA1" s="2" t="n"/>
      <c r="SCB1" s="2" t="n"/>
      <c r="SCC1" s="2" t="n"/>
      <c r="SCD1" s="2" t="n"/>
      <c r="SCE1" s="2" t="n"/>
      <c r="SCF1" s="2" t="n"/>
      <c r="SCG1" s="2" t="n"/>
      <c r="SCH1" s="2" t="n"/>
      <c r="SCI1" s="2" t="n"/>
      <c r="SCJ1" s="2" t="n"/>
      <c r="SCK1" s="2" t="n"/>
      <c r="SCL1" s="2" t="n"/>
      <c r="SCM1" s="2" t="n"/>
      <c r="SCN1" s="2" t="n"/>
      <c r="SCO1" s="2" t="n"/>
      <c r="SCP1" s="2" t="n"/>
      <c r="SCQ1" s="2" t="n"/>
      <c r="SCR1" s="2" t="n"/>
      <c r="SCS1" s="2" t="n"/>
      <c r="SCT1" s="2" t="n"/>
      <c r="SCU1" s="2" t="n"/>
      <c r="SCV1" s="2" t="n"/>
      <c r="SCW1" s="2" t="n"/>
      <c r="SCX1" s="2" t="n"/>
      <c r="SCY1" s="2" t="n"/>
      <c r="SCZ1" s="2" t="n"/>
      <c r="SDA1" s="2" t="n"/>
      <c r="SDB1" s="2" t="n"/>
      <c r="SDC1" s="2" t="n"/>
      <c r="SDD1" s="2" t="n"/>
      <c r="SDE1" s="2" t="n"/>
      <c r="SDF1" s="2" t="n"/>
      <c r="SDG1" s="2" t="n"/>
      <c r="SDH1" s="2" t="n"/>
      <c r="SDI1" s="2" t="n"/>
      <c r="SDJ1" s="2" t="n"/>
      <c r="SDK1" s="2" t="n"/>
      <c r="SDL1" s="2" t="n"/>
      <c r="SDM1" s="2" t="n"/>
      <c r="SDN1" s="2" t="n"/>
      <c r="SDO1" s="2" t="n"/>
      <c r="SDP1" s="2" t="n"/>
      <c r="SDQ1" s="2" t="n"/>
      <c r="SDR1" s="2" t="n"/>
      <c r="SDS1" s="2" t="n"/>
      <c r="SDT1" s="2" t="n"/>
      <c r="SDU1" s="2" t="n"/>
      <c r="SDV1" s="2" t="n"/>
      <c r="SDW1" s="2" t="n"/>
      <c r="SDX1" s="2" t="n"/>
      <c r="SDY1" s="2" t="n"/>
      <c r="SDZ1" s="2" t="n"/>
      <c r="SEA1" s="2" t="n"/>
      <c r="SEB1" s="2" t="n"/>
      <c r="SEC1" s="2" t="n"/>
      <c r="SED1" s="2" t="n"/>
      <c r="SEE1" s="2" t="n"/>
      <c r="SEF1" s="2" t="n"/>
      <c r="SEG1" s="2" t="n"/>
      <c r="SEH1" s="2" t="n"/>
      <c r="SEI1" s="2" t="n"/>
      <c r="SEJ1" s="2" t="n"/>
      <c r="SEK1" s="2" t="n"/>
      <c r="SEL1" s="2" t="n"/>
      <c r="SEM1" s="2" t="n"/>
      <c r="SEN1" s="2" t="n"/>
      <c r="SEO1" s="2" t="n"/>
      <c r="SEP1" s="2" t="n"/>
      <c r="SEQ1" s="2" t="n"/>
      <c r="SER1" s="2" t="n"/>
      <c r="SES1" s="2" t="n"/>
      <c r="SET1" s="2" t="n"/>
      <c r="SEU1" s="2" t="n"/>
      <c r="SEV1" s="2" t="n"/>
      <c r="SEW1" s="2" t="n"/>
      <c r="SEX1" s="2" t="n"/>
      <c r="SEY1" s="2" t="n"/>
      <c r="SEZ1" s="2" t="n"/>
      <c r="SFA1" s="2" t="n"/>
      <c r="SFB1" s="2" t="n"/>
      <c r="SFC1" s="2" t="n"/>
      <c r="SFD1" s="2" t="n"/>
      <c r="SFE1" s="2" t="n"/>
      <c r="SFF1" s="2" t="n"/>
      <c r="SFG1" s="2" t="n"/>
      <c r="SFH1" s="2" t="n"/>
      <c r="SFI1" s="2" t="n"/>
      <c r="SFJ1" s="2" t="n"/>
      <c r="SFK1" s="2" t="n"/>
      <c r="SFL1" s="2" t="n"/>
      <c r="SFM1" s="2" t="n"/>
      <c r="SFN1" s="2" t="n"/>
      <c r="SFO1" s="2" t="n"/>
      <c r="SFP1" s="2" t="n"/>
      <c r="SFQ1" s="2" t="n"/>
      <c r="SFR1" s="2" t="n"/>
      <c r="SFS1" s="2" t="n"/>
      <c r="SFT1" s="2" t="n"/>
      <c r="SFU1" s="2" t="n"/>
      <c r="SFV1" s="2" t="n"/>
      <c r="SFW1" s="2" t="n"/>
      <c r="SFX1" s="2" t="n"/>
      <c r="SFY1" s="2" t="n"/>
      <c r="SFZ1" s="2" t="n"/>
      <c r="SGA1" s="2" t="n"/>
      <c r="SGB1" s="2" t="n"/>
      <c r="SGC1" s="2" t="n"/>
      <c r="SGD1" s="2" t="n"/>
      <c r="SGE1" s="2" t="n"/>
      <c r="SGF1" s="2" t="n"/>
      <c r="SGG1" s="2" t="n"/>
      <c r="SGH1" s="2" t="n"/>
      <c r="SGI1" s="2" t="n"/>
      <c r="SGJ1" s="2" t="n"/>
      <c r="SGK1" s="2" t="n"/>
      <c r="SGL1" s="2" t="n"/>
      <c r="SGM1" s="2" t="n"/>
      <c r="SGN1" s="2" t="n"/>
      <c r="SGO1" s="2" t="n"/>
      <c r="SGP1" s="2" t="n"/>
      <c r="SGQ1" s="2" t="n"/>
      <c r="SGR1" s="2" t="n"/>
      <c r="SGS1" s="2" t="n"/>
      <c r="SGT1" s="2" t="n"/>
      <c r="SGU1" s="2" t="n"/>
      <c r="SGV1" s="2" t="n"/>
      <c r="SGW1" s="2" t="n"/>
      <c r="SGX1" s="2" t="n"/>
      <c r="SGY1" s="2" t="n"/>
      <c r="SGZ1" s="2" t="n"/>
      <c r="SHA1" s="2" t="n"/>
      <c r="SHB1" s="2" t="n"/>
      <c r="SHC1" s="2" t="n"/>
      <c r="SHD1" s="2" t="n"/>
      <c r="SHE1" s="2" t="n"/>
      <c r="SHF1" s="2" t="n"/>
      <c r="SHG1" s="2" t="n"/>
      <c r="SHH1" s="2" t="n"/>
      <c r="SHI1" s="2" t="n"/>
      <c r="SHJ1" s="2" t="n"/>
      <c r="SHK1" s="2" t="n"/>
      <c r="SHL1" s="2" t="n"/>
      <c r="SHM1" s="2" t="n"/>
      <c r="SHN1" s="2" t="n"/>
      <c r="SHO1" s="2" t="n"/>
      <c r="SHP1" s="2" t="n"/>
      <c r="SHQ1" s="2" t="n"/>
      <c r="SHR1" s="2" t="n"/>
      <c r="SHS1" s="2" t="n"/>
      <c r="SHT1" s="2" t="n"/>
      <c r="SHU1" s="2" t="n"/>
      <c r="SHV1" s="2" t="n"/>
      <c r="SHW1" s="2" t="n"/>
      <c r="SHX1" s="2" t="n"/>
      <c r="SHY1" s="2" t="n"/>
      <c r="SHZ1" s="2" t="n"/>
      <c r="SIA1" s="2" t="n"/>
      <c r="SIB1" s="2" t="n"/>
      <c r="SIC1" s="2" t="n"/>
      <c r="SID1" s="2" t="n"/>
      <c r="SIE1" s="2" t="n"/>
      <c r="SIF1" s="2" t="n"/>
      <c r="SIG1" s="2" t="n"/>
      <c r="SIH1" s="2" t="n"/>
      <c r="SII1" s="2" t="n"/>
      <c r="SIJ1" s="2" t="n"/>
      <c r="SIK1" s="2" t="n"/>
      <c r="SIL1" s="2" t="n"/>
      <c r="SIM1" s="2" t="n"/>
      <c r="SIN1" s="2" t="n"/>
      <c r="SIO1" s="2" t="n"/>
      <c r="SIP1" s="2" t="n"/>
      <c r="SIQ1" s="2" t="n"/>
      <c r="SIR1" s="2" t="n"/>
      <c r="SIS1" s="2" t="n"/>
      <c r="SIT1" s="2" t="n"/>
      <c r="SIU1" s="2" t="n"/>
      <c r="SIV1" s="2" t="n"/>
      <c r="SIW1" s="2" t="n"/>
      <c r="SIX1" s="2" t="n"/>
      <c r="SIY1" s="2" t="n"/>
      <c r="SIZ1" s="2" t="n"/>
      <c r="SJA1" s="2" t="n"/>
      <c r="SJB1" s="2" t="n"/>
      <c r="SJC1" s="2" t="n"/>
      <c r="SJD1" s="2" t="n"/>
      <c r="SJE1" s="2" t="n"/>
      <c r="SJF1" s="2" t="n"/>
      <c r="SJG1" s="2" t="n"/>
      <c r="SJH1" s="2" t="n"/>
      <c r="SJI1" s="2" t="n"/>
      <c r="SJJ1" s="2" t="n"/>
      <c r="SJK1" s="2" t="n"/>
      <c r="SJL1" s="2" t="n"/>
      <c r="SJM1" s="2" t="n"/>
      <c r="SJN1" s="2" t="n"/>
      <c r="SJO1" s="2" t="n"/>
      <c r="SJP1" s="2" t="n"/>
      <c r="SJQ1" s="2" t="n"/>
      <c r="SJR1" s="2" t="n"/>
      <c r="SJS1" s="2" t="n"/>
      <c r="SJT1" s="2" t="n"/>
      <c r="SJU1" s="2" t="n"/>
      <c r="SJV1" s="2" t="n"/>
      <c r="SJW1" s="2" t="n"/>
      <c r="SJX1" s="2" t="n"/>
      <c r="SJY1" s="2" t="n"/>
      <c r="SJZ1" s="2" t="n"/>
      <c r="SKA1" s="2" t="n"/>
      <c r="SKB1" s="2" t="n"/>
      <c r="SKC1" s="2" t="n"/>
      <c r="SKD1" s="2" t="n"/>
      <c r="SKE1" s="2" t="n"/>
      <c r="SKF1" s="2" t="n"/>
      <c r="SKG1" s="2" t="n"/>
      <c r="SKH1" s="2" t="n"/>
      <c r="SKI1" s="2" t="n"/>
      <c r="SKJ1" s="2" t="n"/>
      <c r="SKK1" s="2" t="n"/>
      <c r="SKL1" s="2" t="n"/>
      <c r="SKM1" s="2" t="n"/>
      <c r="SKN1" s="2" t="n"/>
      <c r="SKO1" s="2" t="n"/>
      <c r="SKP1" s="2" t="n"/>
      <c r="SKQ1" s="2" t="n"/>
      <c r="SKR1" s="2" t="n"/>
      <c r="SKS1" s="2" t="n"/>
      <c r="SKT1" s="2" t="n"/>
      <c r="SKU1" s="2" t="n"/>
      <c r="SKV1" s="2" t="n"/>
      <c r="SKW1" s="2" t="n"/>
      <c r="SKX1" s="2" t="n"/>
      <c r="SKY1" s="2" t="n"/>
      <c r="SKZ1" s="2" t="n"/>
      <c r="SLA1" s="2" t="n"/>
      <c r="SLB1" s="2" t="n"/>
      <c r="SLC1" s="2" t="n"/>
      <c r="SLD1" s="2" t="n"/>
      <c r="SLE1" s="2" t="n"/>
      <c r="SLF1" s="2" t="n"/>
      <c r="SLG1" s="2" t="n"/>
      <c r="SLH1" s="2" t="n"/>
      <c r="SLI1" s="2" t="n"/>
      <c r="SLJ1" s="2" t="n"/>
      <c r="SLK1" s="2" t="n"/>
      <c r="SLL1" s="2" t="n"/>
      <c r="SLM1" s="2" t="n"/>
      <c r="SLN1" s="2" t="n"/>
      <c r="SLO1" s="2" t="n"/>
      <c r="SLP1" s="2" t="n"/>
      <c r="SLQ1" s="2" t="n"/>
      <c r="SLR1" s="2" t="n"/>
      <c r="SLS1" s="2" t="n"/>
      <c r="SLT1" s="2" t="n"/>
      <c r="SLU1" s="2" t="n"/>
      <c r="SLV1" s="2" t="n"/>
      <c r="SLW1" s="2" t="n"/>
      <c r="SLX1" s="2" t="n"/>
      <c r="SLY1" s="2" t="n"/>
      <c r="SLZ1" s="2" t="n"/>
      <c r="SMA1" s="2" t="n"/>
      <c r="SMB1" s="2" t="n"/>
      <c r="SMC1" s="2" t="n"/>
      <c r="SMD1" s="2" t="n"/>
      <c r="SME1" s="2" t="n"/>
      <c r="SMF1" s="2" t="n"/>
      <c r="SMG1" s="2" t="n"/>
      <c r="SMH1" s="2" t="n"/>
      <c r="SMI1" s="2" t="n"/>
      <c r="SMJ1" s="2" t="n"/>
      <c r="SMK1" s="2" t="n"/>
      <c r="SML1" s="2" t="n"/>
      <c r="SMM1" s="2" t="n"/>
      <c r="SMN1" s="2" t="n"/>
      <c r="SMO1" s="2" t="n"/>
      <c r="SMP1" s="2" t="n"/>
      <c r="SMQ1" s="2" t="n"/>
      <c r="SMR1" s="2" t="n"/>
      <c r="SMS1" s="2" t="n"/>
      <c r="SMT1" s="2" t="n"/>
      <c r="SMU1" s="2" t="n"/>
      <c r="SMV1" s="2" t="n"/>
      <c r="SMW1" s="2" t="n"/>
      <c r="SMX1" s="2" t="n"/>
      <c r="SMY1" s="2" t="n"/>
      <c r="SMZ1" s="2" t="n"/>
      <c r="SNA1" s="2" t="n"/>
      <c r="SNB1" s="2" t="n"/>
      <c r="SNC1" s="2" t="n"/>
      <c r="SND1" s="2" t="n"/>
      <c r="SNE1" s="2" t="n"/>
      <c r="SNF1" s="2" t="n"/>
      <c r="SNG1" s="2" t="n"/>
      <c r="SNH1" s="2" t="n"/>
      <c r="SNI1" s="2" t="n"/>
      <c r="SNJ1" s="2" t="n"/>
      <c r="SNK1" s="2" t="n"/>
      <c r="SNL1" s="2" t="n"/>
      <c r="SNM1" s="2" t="n"/>
      <c r="SNN1" s="2" t="n"/>
      <c r="SNO1" s="2" t="n"/>
      <c r="SNP1" s="2" t="n"/>
      <c r="SNQ1" s="2" t="n"/>
      <c r="SNR1" s="2" t="n"/>
      <c r="SNS1" s="2" t="n"/>
      <c r="SNT1" s="2" t="n"/>
      <c r="SNU1" s="2" t="n"/>
      <c r="SNV1" s="2" t="n"/>
      <c r="SNW1" s="2" t="n"/>
      <c r="SNX1" s="2" t="n"/>
      <c r="SNY1" s="2" t="n"/>
      <c r="SNZ1" s="2" t="n"/>
      <c r="SOA1" s="2" t="n"/>
      <c r="SOB1" s="2" t="n"/>
      <c r="SOC1" s="2" t="n"/>
      <c r="SOD1" s="2" t="n"/>
      <c r="SOE1" s="2" t="n"/>
      <c r="SOF1" s="2" t="n"/>
      <c r="SOG1" s="2" t="n"/>
      <c r="SOH1" s="2" t="n"/>
      <c r="SOI1" s="2" t="n"/>
      <c r="SOJ1" s="2" t="n"/>
      <c r="SOK1" s="2" t="n"/>
      <c r="SOL1" s="2" t="n"/>
      <c r="SOM1" s="2" t="n"/>
      <c r="SON1" s="2" t="n"/>
      <c r="SOO1" s="2" t="n"/>
      <c r="SOP1" s="2" t="n"/>
      <c r="SOQ1" s="2" t="n"/>
      <c r="SOR1" s="2" t="n"/>
      <c r="SOS1" s="2" t="n"/>
      <c r="SOT1" s="2" t="n"/>
      <c r="SOU1" s="2" t="n"/>
      <c r="SOV1" s="2" t="n"/>
      <c r="SOW1" s="2" t="n"/>
      <c r="SOX1" s="2" t="n"/>
      <c r="SOY1" s="2" t="n"/>
      <c r="SOZ1" s="2" t="n"/>
      <c r="SPA1" s="2" t="n"/>
      <c r="SPB1" s="2" t="n"/>
      <c r="SPC1" s="2" t="n"/>
      <c r="SPD1" s="2" t="n"/>
      <c r="SPE1" s="2" t="n"/>
      <c r="SPF1" s="2" t="n"/>
      <c r="SPG1" s="2" t="n"/>
      <c r="SPH1" s="2" t="n"/>
      <c r="SPI1" s="2" t="n"/>
      <c r="SPJ1" s="2" t="n"/>
      <c r="SPK1" s="2" t="n"/>
      <c r="SPL1" s="2" t="n"/>
      <c r="SPM1" s="2" t="n"/>
      <c r="SPN1" s="2" t="n"/>
      <c r="SPO1" s="2" t="n"/>
      <c r="SPP1" s="2" t="n"/>
      <c r="SPQ1" s="2" t="n"/>
      <c r="SPR1" s="2" t="n"/>
      <c r="SPS1" s="2" t="n"/>
      <c r="SPT1" s="2" t="n"/>
      <c r="SPU1" s="2" t="n"/>
      <c r="SPV1" s="2" t="n"/>
      <c r="SPW1" s="2" t="n"/>
      <c r="SPX1" s="2" t="n"/>
      <c r="SPY1" s="2" t="n"/>
      <c r="SPZ1" s="2" t="n"/>
      <c r="SQA1" s="2" t="n"/>
      <c r="SQB1" s="2" t="n"/>
      <c r="SQC1" s="2" t="n"/>
      <c r="SQD1" s="2" t="n"/>
      <c r="SQE1" s="2" t="n"/>
      <c r="SQF1" s="2" t="n"/>
      <c r="SQG1" s="2" t="n"/>
      <c r="SQH1" s="2" t="n"/>
      <c r="SQI1" s="2" t="n"/>
      <c r="SQJ1" s="2" t="n"/>
      <c r="SQK1" s="2" t="n"/>
      <c r="SQL1" s="2" t="n"/>
      <c r="SQM1" s="2" t="n"/>
      <c r="SQN1" s="2" t="n"/>
      <c r="SQO1" s="2" t="n"/>
      <c r="SQP1" s="2" t="n"/>
      <c r="SQQ1" s="2" t="n"/>
      <c r="SQR1" s="2" t="n"/>
      <c r="SQS1" s="2" t="n"/>
      <c r="SQT1" s="2" t="n"/>
      <c r="SQU1" s="2" t="n"/>
      <c r="SQV1" s="2" t="n"/>
      <c r="SQW1" s="2" t="n"/>
      <c r="SQX1" s="2" t="n"/>
      <c r="SQY1" s="2" t="n"/>
      <c r="SQZ1" s="2" t="n"/>
      <c r="SRA1" s="2" t="n"/>
      <c r="SRB1" s="2" t="n"/>
      <c r="SRC1" s="2" t="n"/>
      <c r="SRD1" s="2" t="n"/>
      <c r="SRE1" s="2" t="n"/>
      <c r="SRF1" s="2" t="n"/>
      <c r="SRG1" s="2" t="n"/>
      <c r="SRH1" s="2" t="n"/>
      <c r="SRI1" s="2" t="n"/>
      <c r="SRJ1" s="2" t="n"/>
      <c r="SRK1" s="2" t="n"/>
      <c r="SRL1" s="2" t="n"/>
      <c r="SRM1" s="2" t="n"/>
      <c r="SRN1" s="2" t="n"/>
      <c r="SRO1" s="2" t="n"/>
      <c r="SRP1" s="2" t="n"/>
      <c r="SRQ1" s="2" t="n"/>
      <c r="SRR1" s="2" t="n"/>
      <c r="SRS1" s="2" t="n"/>
      <c r="SRT1" s="2" t="n"/>
      <c r="SRU1" s="2" t="n"/>
      <c r="SRV1" s="2" t="n"/>
      <c r="SRW1" s="2" t="n"/>
      <c r="SRX1" s="2" t="n"/>
      <c r="SRY1" s="2" t="n"/>
      <c r="SRZ1" s="2" t="n"/>
      <c r="SSA1" s="2" t="n"/>
      <c r="SSB1" s="2" t="n"/>
      <c r="SSC1" s="2" t="n"/>
      <c r="SSD1" s="2" t="n"/>
      <c r="SSE1" s="2" t="n"/>
      <c r="SSF1" s="2" t="n"/>
      <c r="SSG1" s="2" t="n"/>
      <c r="SSH1" s="2" t="n"/>
      <c r="SSI1" s="2" t="n"/>
      <c r="SSJ1" s="2" t="n"/>
      <c r="SSK1" s="2" t="n"/>
      <c r="SSL1" s="2" t="n"/>
      <c r="SSM1" s="2" t="n"/>
      <c r="SSN1" s="2" t="n"/>
      <c r="SSO1" s="2" t="n"/>
      <c r="SSP1" s="2" t="n"/>
      <c r="SSQ1" s="2" t="n"/>
      <c r="SSR1" s="2" t="n"/>
      <c r="SSS1" s="2" t="n"/>
      <c r="SST1" s="2" t="n"/>
      <c r="SSU1" s="2" t="n"/>
      <c r="SSV1" s="2" t="n"/>
      <c r="SSW1" s="2" t="n"/>
      <c r="SSX1" s="2" t="n"/>
      <c r="SSY1" s="2" t="n"/>
      <c r="SSZ1" s="2" t="n"/>
      <c r="STA1" s="2" t="n"/>
      <c r="STB1" s="2" t="n"/>
      <c r="STC1" s="2" t="n"/>
      <c r="STD1" s="2" t="n"/>
      <c r="STE1" s="2" t="n"/>
      <c r="STF1" s="2" t="n"/>
      <c r="STG1" s="2" t="n"/>
      <c r="STH1" s="2" t="n"/>
      <c r="STI1" s="2" t="n"/>
      <c r="STJ1" s="2" t="n"/>
      <c r="STK1" s="2" t="n"/>
      <c r="STL1" s="2" t="n"/>
      <c r="STM1" s="2" t="n"/>
      <c r="STN1" s="2" t="n"/>
      <c r="STO1" s="2" t="n"/>
      <c r="STP1" s="2" t="n"/>
      <c r="STQ1" s="2" t="n"/>
      <c r="STR1" s="2" t="n"/>
      <c r="STS1" s="2" t="n"/>
      <c r="STT1" s="2" t="n"/>
      <c r="STU1" s="2" t="n"/>
      <c r="STV1" s="2" t="n"/>
      <c r="STW1" s="2" t="n"/>
      <c r="STX1" s="2" t="n"/>
      <c r="STY1" s="2" t="n"/>
      <c r="STZ1" s="2" t="n"/>
      <c r="SUA1" s="2" t="n"/>
      <c r="SUB1" s="2" t="n"/>
      <c r="SUC1" s="2" t="n"/>
      <c r="SUD1" s="2" t="n"/>
      <c r="SUE1" s="2" t="n"/>
      <c r="SUF1" s="2" t="n"/>
      <c r="SUG1" s="2" t="n"/>
      <c r="SUH1" s="2" t="n"/>
      <c r="SUI1" s="2" t="n"/>
      <c r="SUJ1" s="2" t="n"/>
      <c r="SUK1" s="2" t="n"/>
      <c r="SUL1" s="2" t="n"/>
      <c r="SUM1" s="2" t="n"/>
      <c r="SUN1" s="2" t="n"/>
      <c r="SUO1" s="2" t="n"/>
      <c r="SUP1" s="2" t="n"/>
      <c r="SUQ1" s="2" t="n"/>
      <c r="SUR1" s="2" t="n"/>
      <c r="SUS1" s="2" t="n"/>
      <c r="SUT1" s="2" t="n"/>
      <c r="SUU1" s="2" t="n"/>
      <c r="SUV1" s="2" t="n"/>
      <c r="SUW1" s="2" t="n"/>
      <c r="SUX1" s="2" t="n"/>
      <c r="SUY1" s="2" t="n"/>
      <c r="SUZ1" s="2" t="n"/>
      <c r="SVA1" s="2" t="n"/>
      <c r="SVB1" s="2" t="n"/>
      <c r="SVC1" s="2" t="n"/>
      <c r="SVD1" s="2" t="n"/>
      <c r="SVE1" s="2" t="n"/>
      <c r="SVF1" s="2" t="n"/>
      <c r="SVG1" s="2" t="n"/>
      <c r="SVH1" s="2" t="n"/>
      <c r="SVI1" s="2" t="n"/>
      <c r="SVJ1" s="2" t="n"/>
      <c r="SVK1" s="2" t="n"/>
      <c r="SVL1" s="2" t="n"/>
      <c r="SVM1" s="2" t="n"/>
      <c r="SVN1" s="2" t="n"/>
      <c r="SVO1" s="2" t="n"/>
      <c r="SVP1" s="2" t="n"/>
      <c r="SVQ1" s="2" t="n"/>
      <c r="SVR1" s="2" t="n"/>
      <c r="SVS1" s="2" t="n"/>
      <c r="SVT1" s="2" t="n"/>
      <c r="SVU1" s="2" t="n"/>
      <c r="SVV1" s="2" t="n"/>
      <c r="SVW1" s="2" t="n"/>
      <c r="SVX1" s="2" t="n"/>
      <c r="SVY1" s="2" t="n"/>
      <c r="SVZ1" s="2" t="n"/>
      <c r="SWA1" s="2" t="n"/>
      <c r="SWB1" s="2" t="n"/>
      <c r="SWC1" s="2" t="n"/>
      <c r="SWD1" s="2" t="n"/>
      <c r="SWE1" s="2" t="n"/>
      <c r="SWF1" s="2" t="n"/>
      <c r="SWG1" s="2" t="n"/>
      <c r="SWH1" s="2" t="n"/>
      <c r="SWI1" s="2" t="n"/>
      <c r="SWJ1" s="2" t="n"/>
      <c r="SWK1" s="2" t="n"/>
      <c r="SWL1" s="2" t="n"/>
      <c r="SWM1" s="2" t="n"/>
      <c r="SWN1" s="2" t="n"/>
      <c r="SWO1" s="2" t="n"/>
      <c r="SWP1" s="2" t="n"/>
      <c r="SWQ1" s="2" t="n"/>
      <c r="SWR1" s="2" t="n"/>
      <c r="SWS1" s="2" t="n"/>
      <c r="SWT1" s="2" t="n"/>
      <c r="SWU1" s="2" t="n"/>
      <c r="SWV1" s="2" t="n"/>
      <c r="SWW1" s="2" t="n"/>
      <c r="SWX1" s="2" t="n"/>
      <c r="SWY1" s="2" t="n"/>
      <c r="SWZ1" s="2" t="n"/>
      <c r="SXA1" s="2" t="n"/>
      <c r="SXB1" s="2" t="n"/>
      <c r="SXC1" s="2" t="n"/>
      <c r="SXD1" s="2" t="n"/>
      <c r="SXE1" s="2" t="n"/>
      <c r="SXF1" s="2" t="n"/>
      <c r="SXG1" s="2" t="n"/>
      <c r="SXH1" s="2" t="n"/>
      <c r="SXI1" s="2" t="n"/>
      <c r="SXJ1" s="2" t="n"/>
      <c r="SXK1" s="2" t="n"/>
      <c r="SXL1" s="2" t="n"/>
      <c r="SXM1" s="2" t="n"/>
      <c r="SXN1" s="2" t="n"/>
      <c r="SXO1" s="2" t="n"/>
      <c r="SXP1" s="2" t="n"/>
      <c r="SXQ1" s="2" t="n"/>
      <c r="SXR1" s="2" t="n"/>
      <c r="SXS1" s="2" t="n"/>
      <c r="SXT1" s="2" t="n"/>
      <c r="SXU1" s="2" t="n"/>
      <c r="SXV1" s="2" t="n"/>
      <c r="SXW1" s="2" t="n"/>
      <c r="SXX1" s="2" t="n"/>
      <c r="SXY1" s="2" t="n"/>
      <c r="SXZ1" s="2" t="n"/>
      <c r="SYA1" s="2" t="n"/>
      <c r="SYB1" s="2" t="n"/>
      <c r="SYC1" s="2" t="n"/>
      <c r="SYD1" s="2" t="n"/>
      <c r="SYE1" s="2" t="n"/>
      <c r="SYF1" s="2" t="n"/>
      <c r="SYG1" s="2" t="n"/>
      <c r="SYH1" s="2" t="n"/>
      <c r="SYI1" s="2" t="n"/>
      <c r="SYJ1" s="2" t="n"/>
      <c r="SYK1" s="2" t="n"/>
      <c r="SYL1" s="2" t="n"/>
      <c r="SYM1" s="2" t="n"/>
      <c r="SYN1" s="2" t="n"/>
      <c r="SYO1" s="2" t="n"/>
      <c r="SYP1" s="2" t="n"/>
      <c r="SYQ1" s="2" t="n"/>
      <c r="SYR1" s="2" t="n"/>
      <c r="SYS1" s="2" t="n"/>
      <c r="SYT1" s="2" t="n"/>
      <c r="SYU1" s="2" t="n"/>
      <c r="SYV1" s="2" t="n"/>
      <c r="SYW1" s="2" t="n"/>
      <c r="SYX1" s="2" t="n"/>
      <c r="SYY1" s="2" t="n"/>
      <c r="SYZ1" s="2" t="n"/>
      <c r="SZA1" s="2" t="n"/>
      <c r="SZB1" s="2" t="n"/>
      <c r="SZC1" s="2" t="n"/>
      <c r="SZD1" s="2" t="n"/>
      <c r="SZE1" s="2" t="n"/>
      <c r="SZF1" s="2" t="n"/>
      <c r="SZG1" s="2" t="n"/>
      <c r="SZH1" s="2" t="n"/>
      <c r="SZI1" s="2" t="n"/>
      <c r="SZJ1" s="2" t="n"/>
      <c r="SZK1" s="2" t="n"/>
      <c r="SZL1" s="2" t="n"/>
      <c r="SZM1" s="2" t="n"/>
      <c r="SZN1" s="2" t="n"/>
      <c r="SZO1" s="2" t="n"/>
      <c r="SZP1" s="2" t="n"/>
      <c r="SZQ1" s="2" t="n"/>
      <c r="SZR1" s="2" t="n"/>
      <c r="SZS1" s="2" t="n"/>
      <c r="SZT1" s="2" t="n"/>
      <c r="SZU1" s="2" t="n"/>
      <c r="SZV1" s="2" t="n"/>
      <c r="SZW1" s="2" t="n"/>
      <c r="SZX1" s="2" t="n"/>
      <c r="SZY1" s="2" t="n"/>
      <c r="SZZ1" s="2" t="n"/>
      <c r="TAA1" s="2" t="n"/>
      <c r="TAB1" s="2" t="n"/>
      <c r="TAC1" s="2" t="n"/>
      <c r="TAD1" s="2" t="n"/>
      <c r="TAE1" s="2" t="n"/>
      <c r="TAF1" s="2" t="n"/>
      <c r="TAG1" s="2" t="n"/>
      <c r="TAH1" s="2" t="n"/>
      <c r="TAI1" s="2" t="n"/>
      <c r="TAJ1" s="2" t="n"/>
      <c r="TAK1" s="2" t="n"/>
      <c r="TAL1" s="2" t="n"/>
      <c r="TAM1" s="2" t="n"/>
      <c r="TAN1" s="2" t="n"/>
      <c r="TAO1" s="2" t="n"/>
      <c r="TAP1" s="2" t="n"/>
      <c r="TAQ1" s="2" t="n"/>
      <c r="TAR1" s="2" t="n"/>
      <c r="TAS1" s="2" t="n"/>
      <c r="TAT1" s="2" t="n"/>
      <c r="TAU1" s="2" t="n"/>
      <c r="TAV1" s="2" t="n"/>
      <c r="TAW1" s="2" t="n"/>
      <c r="TAX1" s="2" t="n"/>
      <c r="TAY1" s="2" t="n"/>
      <c r="TAZ1" s="2" t="n"/>
      <c r="TBA1" s="2" t="n"/>
      <c r="TBB1" s="2" t="n"/>
      <c r="TBC1" s="2" t="n"/>
      <c r="TBD1" s="2" t="n"/>
      <c r="TBE1" s="2" t="n"/>
      <c r="TBF1" s="2" t="n"/>
      <c r="TBG1" s="2" t="n"/>
      <c r="TBH1" s="2" t="n"/>
      <c r="TBI1" s="2" t="n"/>
      <c r="TBJ1" s="2" t="n"/>
      <c r="TBK1" s="2" t="n"/>
      <c r="TBL1" s="2" t="n"/>
      <c r="TBM1" s="2" t="n"/>
      <c r="TBN1" s="2" t="n"/>
      <c r="TBO1" s="2" t="n"/>
      <c r="TBP1" s="2" t="n"/>
      <c r="TBQ1" s="2" t="n"/>
      <c r="TBR1" s="2" t="n"/>
      <c r="TBS1" s="2" t="n"/>
      <c r="TBT1" s="2" t="n"/>
      <c r="TBU1" s="2" t="n"/>
      <c r="TBV1" s="2" t="n"/>
      <c r="TBW1" s="2" t="n"/>
      <c r="TBX1" s="2" t="n"/>
      <c r="TBY1" s="2" t="n"/>
      <c r="TBZ1" s="2" t="n"/>
      <c r="TCA1" s="2" t="n"/>
      <c r="TCB1" s="2" t="n"/>
      <c r="TCC1" s="2" t="n"/>
      <c r="TCD1" s="2" t="n"/>
      <c r="TCE1" s="2" t="n"/>
      <c r="TCF1" s="2" t="n"/>
      <c r="TCG1" s="2" t="n"/>
      <c r="TCH1" s="2" t="n"/>
      <c r="TCI1" s="2" t="n"/>
      <c r="TCJ1" s="2" t="n"/>
      <c r="TCK1" s="2" t="n"/>
      <c r="TCL1" s="2" t="n"/>
      <c r="TCM1" s="2" t="n"/>
      <c r="TCN1" s="2" t="n"/>
      <c r="TCO1" s="2" t="n"/>
      <c r="TCP1" s="2" t="n"/>
      <c r="TCQ1" s="2" t="n"/>
      <c r="TCR1" s="2" t="n"/>
      <c r="TCS1" s="2" t="n"/>
      <c r="TCT1" s="2" t="n"/>
      <c r="TCU1" s="2" t="n"/>
      <c r="TCV1" s="2" t="n"/>
      <c r="TCW1" s="2" t="n"/>
      <c r="TCX1" s="2" t="n"/>
      <c r="TCY1" s="2" t="n"/>
      <c r="TCZ1" s="2" t="n"/>
      <c r="TDA1" s="2" t="n"/>
      <c r="TDB1" s="2" t="n"/>
      <c r="TDC1" s="2" t="n"/>
      <c r="TDD1" s="2" t="n"/>
      <c r="TDE1" s="2" t="n"/>
      <c r="TDF1" s="2" t="n"/>
      <c r="TDG1" s="2" t="n"/>
      <c r="TDH1" s="2" t="n"/>
      <c r="TDI1" s="2" t="n"/>
      <c r="TDJ1" s="2" t="n"/>
      <c r="TDK1" s="2" t="n"/>
      <c r="TDL1" s="2" t="n"/>
      <c r="TDM1" s="2" t="n"/>
      <c r="TDN1" s="2" t="n"/>
      <c r="TDO1" s="2" t="n"/>
      <c r="TDP1" s="2" t="n"/>
      <c r="TDQ1" s="2" t="n"/>
      <c r="TDR1" s="2" t="n"/>
      <c r="TDS1" s="2" t="n"/>
      <c r="TDT1" s="2" t="n"/>
      <c r="TDU1" s="2" t="n"/>
      <c r="TDV1" s="2" t="n"/>
      <c r="TDW1" s="2" t="n"/>
      <c r="TDX1" s="2" t="n"/>
      <c r="TDY1" s="2" t="n"/>
      <c r="TDZ1" s="2" t="n"/>
      <c r="TEA1" s="2" t="n"/>
      <c r="TEB1" s="2" t="n"/>
      <c r="TEC1" s="2" t="n"/>
      <c r="TED1" s="2" t="n"/>
      <c r="TEE1" s="2" t="n"/>
      <c r="TEF1" s="2" t="n"/>
      <c r="TEG1" s="2" t="n"/>
      <c r="TEH1" s="2" t="n"/>
      <c r="TEI1" s="2" t="n"/>
      <c r="TEJ1" s="2" t="n"/>
      <c r="TEK1" s="2" t="n"/>
      <c r="TEL1" s="2" t="n"/>
      <c r="TEM1" s="2" t="n"/>
      <c r="TEN1" s="2" t="n"/>
      <c r="TEO1" s="2" t="n"/>
      <c r="TEP1" s="2" t="n"/>
      <c r="TEQ1" s="2" t="n"/>
      <c r="TER1" s="2" t="n"/>
      <c r="TES1" s="2" t="n"/>
      <c r="TET1" s="2" t="n"/>
      <c r="TEU1" s="2" t="n"/>
      <c r="TEV1" s="2" t="n"/>
      <c r="TEW1" s="2" t="n"/>
      <c r="TEX1" s="2" t="n"/>
      <c r="TEY1" s="2" t="n"/>
      <c r="TEZ1" s="2" t="n"/>
      <c r="TFA1" s="2" t="n"/>
      <c r="TFB1" s="2" t="n"/>
      <c r="TFC1" s="2" t="n"/>
      <c r="TFD1" s="2" t="n"/>
      <c r="TFE1" s="2" t="n"/>
      <c r="TFF1" s="2" t="n"/>
      <c r="TFG1" s="2" t="n"/>
      <c r="TFH1" s="2" t="n"/>
      <c r="TFI1" s="2" t="n"/>
      <c r="TFJ1" s="2" t="n"/>
      <c r="TFK1" s="2" t="n"/>
      <c r="TFL1" s="2" t="n"/>
      <c r="TFM1" s="2" t="n"/>
      <c r="TFN1" s="2" t="n"/>
      <c r="TFO1" s="2" t="n"/>
      <c r="TFP1" s="2" t="n"/>
      <c r="TFQ1" s="2" t="n"/>
      <c r="TFR1" s="2" t="n"/>
      <c r="TFS1" s="2" t="n"/>
      <c r="TFT1" s="2" t="n"/>
      <c r="TFU1" s="2" t="n"/>
      <c r="TFV1" s="2" t="n"/>
      <c r="TFW1" s="2" t="n"/>
      <c r="TFX1" s="2" t="n"/>
      <c r="TFY1" s="2" t="n"/>
      <c r="TFZ1" s="2" t="n"/>
      <c r="TGA1" s="2" t="n"/>
      <c r="TGB1" s="2" t="n"/>
      <c r="TGC1" s="2" t="n"/>
      <c r="TGD1" s="2" t="n"/>
      <c r="TGE1" s="2" t="n"/>
      <c r="TGF1" s="2" t="n"/>
      <c r="TGG1" s="2" t="n"/>
      <c r="TGH1" s="2" t="n"/>
      <c r="TGI1" s="2" t="n"/>
      <c r="TGJ1" s="2" t="n"/>
      <c r="TGK1" s="2" t="n"/>
      <c r="TGL1" s="2" t="n"/>
      <c r="TGM1" s="2" t="n"/>
      <c r="TGN1" s="2" t="n"/>
      <c r="TGO1" s="2" t="n"/>
      <c r="TGP1" s="2" t="n"/>
      <c r="TGQ1" s="2" t="n"/>
      <c r="TGR1" s="2" t="n"/>
      <c r="TGS1" s="2" t="n"/>
      <c r="TGT1" s="2" t="n"/>
      <c r="TGU1" s="2" t="n"/>
      <c r="TGV1" s="2" t="n"/>
      <c r="TGW1" s="2" t="n"/>
      <c r="TGX1" s="2" t="n"/>
      <c r="TGY1" s="2" t="n"/>
      <c r="TGZ1" s="2" t="n"/>
      <c r="THA1" s="2" t="n"/>
      <c r="THB1" s="2" t="n"/>
      <c r="THC1" s="2" t="n"/>
      <c r="THD1" s="2" t="n"/>
      <c r="THE1" s="2" t="n"/>
      <c r="THF1" s="2" t="n"/>
      <c r="THG1" s="2" t="n"/>
      <c r="THH1" s="2" t="n"/>
      <c r="THI1" s="2" t="n"/>
      <c r="THJ1" s="2" t="n"/>
      <c r="THK1" s="2" t="n"/>
      <c r="THL1" s="2" t="n"/>
      <c r="THM1" s="2" t="n"/>
      <c r="THN1" s="2" t="n"/>
      <c r="THO1" s="2" t="n"/>
      <c r="THP1" s="2" t="n"/>
      <c r="THQ1" s="2" t="n"/>
      <c r="THR1" s="2" t="n"/>
      <c r="THS1" s="2" t="n"/>
      <c r="THT1" s="2" t="n"/>
      <c r="THU1" s="2" t="n"/>
      <c r="THV1" s="2" t="n"/>
      <c r="THW1" s="2" t="n"/>
      <c r="THX1" s="2" t="n"/>
      <c r="THY1" s="2" t="n"/>
      <c r="THZ1" s="2" t="n"/>
      <c r="TIA1" s="2" t="n"/>
      <c r="TIB1" s="2" t="n"/>
      <c r="TIC1" s="2" t="n"/>
      <c r="TID1" s="2" t="n"/>
      <c r="TIE1" s="2" t="n"/>
      <c r="TIF1" s="2" t="n"/>
      <c r="TIG1" s="2" t="n"/>
      <c r="TIH1" s="2" t="n"/>
      <c r="TII1" s="2" t="n"/>
      <c r="TIJ1" s="2" t="n"/>
      <c r="TIK1" s="2" t="n"/>
      <c r="TIL1" s="2" t="n"/>
      <c r="TIM1" s="2" t="n"/>
      <c r="TIN1" s="2" t="n"/>
      <c r="TIO1" s="2" t="n"/>
      <c r="TIP1" s="2" t="n"/>
      <c r="TIQ1" s="2" t="n"/>
      <c r="TIR1" s="2" t="n"/>
      <c r="TIS1" s="2" t="n"/>
      <c r="TIT1" s="2" t="n"/>
      <c r="TIU1" s="2" t="n"/>
      <c r="TIV1" s="2" t="n"/>
      <c r="TIW1" s="2" t="n"/>
      <c r="TIX1" s="2" t="n"/>
      <c r="TIY1" s="2" t="n"/>
      <c r="TIZ1" s="2" t="n"/>
      <c r="TJA1" s="2" t="n"/>
      <c r="TJB1" s="2" t="n"/>
      <c r="TJC1" s="2" t="n"/>
      <c r="TJD1" s="2" t="n"/>
      <c r="TJE1" s="2" t="n"/>
      <c r="TJF1" s="2" t="n"/>
      <c r="TJG1" s="2" t="n"/>
      <c r="TJH1" s="2" t="n"/>
      <c r="TJI1" s="2" t="n"/>
      <c r="TJJ1" s="2" t="n"/>
      <c r="TJK1" s="2" t="n"/>
      <c r="TJL1" s="2" t="n"/>
      <c r="TJM1" s="2" t="n"/>
      <c r="TJN1" s="2" t="n"/>
      <c r="TJO1" s="2" t="n"/>
      <c r="TJP1" s="2" t="n"/>
      <c r="TJQ1" s="2" t="n"/>
      <c r="TJR1" s="2" t="n"/>
      <c r="TJS1" s="2" t="n"/>
      <c r="TJT1" s="2" t="n"/>
      <c r="TJU1" s="2" t="n"/>
      <c r="TJV1" s="2" t="n"/>
      <c r="TJW1" s="2" t="n"/>
      <c r="TJX1" s="2" t="n"/>
      <c r="TJY1" s="2" t="n"/>
      <c r="TJZ1" s="2" t="n"/>
      <c r="TKA1" s="2" t="n"/>
      <c r="TKB1" s="2" t="n"/>
      <c r="TKC1" s="2" t="n"/>
      <c r="TKD1" s="2" t="n"/>
      <c r="TKE1" s="2" t="n"/>
      <c r="TKF1" s="2" t="n"/>
      <c r="TKG1" s="2" t="n"/>
      <c r="TKH1" s="2" t="n"/>
      <c r="TKI1" s="2" t="n"/>
      <c r="TKJ1" s="2" t="n"/>
      <c r="TKK1" s="2" t="n"/>
      <c r="TKL1" s="2" t="n"/>
      <c r="TKM1" s="2" t="n"/>
      <c r="TKN1" s="2" t="n"/>
      <c r="TKO1" s="2" t="n"/>
      <c r="TKP1" s="2" t="n"/>
      <c r="TKQ1" s="2" t="n"/>
      <c r="TKR1" s="2" t="n"/>
      <c r="TKS1" s="2" t="n"/>
      <c r="TKT1" s="2" t="n"/>
      <c r="TKU1" s="2" t="n"/>
      <c r="TKV1" s="2" t="n"/>
      <c r="TKW1" s="2" t="n"/>
      <c r="TKX1" s="2" t="n"/>
      <c r="TKY1" s="2" t="n"/>
      <c r="TKZ1" s="2" t="n"/>
      <c r="TLA1" s="2" t="n"/>
      <c r="TLB1" s="2" t="n"/>
      <c r="TLC1" s="2" t="n"/>
      <c r="TLD1" s="2" t="n"/>
      <c r="TLE1" s="2" t="n"/>
      <c r="TLF1" s="2" t="n"/>
      <c r="TLG1" s="2" t="n"/>
      <c r="TLH1" s="2" t="n"/>
      <c r="TLI1" s="2" t="n"/>
      <c r="TLJ1" s="2" t="n"/>
      <c r="TLK1" s="2" t="n"/>
      <c r="TLL1" s="2" t="n"/>
      <c r="TLM1" s="2" t="n"/>
      <c r="TLN1" s="2" t="n"/>
      <c r="TLO1" s="2" t="n"/>
      <c r="TLP1" s="2" t="n"/>
      <c r="TLQ1" s="2" t="n"/>
      <c r="TLR1" s="2" t="n"/>
      <c r="TLS1" s="2" t="n"/>
      <c r="TLT1" s="2" t="n"/>
      <c r="TLU1" s="2" t="n"/>
      <c r="TLV1" s="2" t="n"/>
      <c r="TLW1" s="2" t="n"/>
      <c r="TLX1" s="2" t="n"/>
      <c r="TLY1" s="2" t="n"/>
      <c r="TLZ1" s="2" t="n"/>
      <c r="TMA1" s="2" t="n"/>
      <c r="TMB1" s="2" t="n"/>
      <c r="TMC1" s="2" t="n"/>
      <c r="TMD1" s="2" t="n"/>
      <c r="TME1" s="2" t="n"/>
      <c r="TMF1" s="2" t="n"/>
      <c r="TMG1" s="2" t="n"/>
      <c r="TMH1" s="2" t="n"/>
      <c r="TMI1" s="2" t="n"/>
      <c r="TMJ1" s="2" t="n"/>
      <c r="TMK1" s="2" t="n"/>
      <c r="TML1" s="2" t="n"/>
      <c r="TMM1" s="2" t="n"/>
      <c r="TMN1" s="2" t="n"/>
      <c r="TMO1" s="2" t="n"/>
      <c r="TMP1" s="2" t="n"/>
      <c r="TMQ1" s="2" t="n"/>
      <c r="TMR1" s="2" t="n"/>
      <c r="TMS1" s="2" t="n"/>
      <c r="TMT1" s="2" t="n"/>
      <c r="TMU1" s="2" t="n"/>
      <c r="TMV1" s="2" t="n"/>
      <c r="TMW1" s="2" t="n"/>
      <c r="TMX1" s="2" t="n"/>
      <c r="TMY1" s="2" t="n"/>
      <c r="TMZ1" s="2" t="n"/>
      <c r="TNA1" s="2" t="n"/>
      <c r="TNB1" s="2" t="n"/>
      <c r="TNC1" s="2" t="n"/>
      <c r="TND1" s="2" t="n"/>
      <c r="TNE1" s="2" t="n"/>
      <c r="TNF1" s="2" t="n"/>
      <c r="TNG1" s="2" t="n"/>
      <c r="TNH1" s="2" t="n"/>
      <c r="TNI1" s="2" t="n"/>
      <c r="TNJ1" s="2" t="n"/>
      <c r="TNK1" s="2" t="n"/>
      <c r="TNL1" s="2" t="n"/>
      <c r="TNM1" s="2" t="n"/>
      <c r="TNN1" s="2" t="n"/>
      <c r="TNO1" s="2" t="n"/>
      <c r="TNP1" s="2" t="n"/>
      <c r="TNQ1" s="2" t="n"/>
      <c r="TNR1" s="2" t="n"/>
      <c r="TNS1" s="2" t="n"/>
      <c r="TNT1" s="2" t="n"/>
      <c r="TNU1" s="2" t="n"/>
      <c r="TNV1" s="2" t="n"/>
      <c r="TNW1" s="2" t="n"/>
      <c r="TNX1" s="2" t="n"/>
      <c r="TNY1" s="2" t="n"/>
      <c r="TNZ1" s="2" t="n"/>
      <c r="TOA1" s="2" t="n"/>
      <c r="TOB1" s="2" t="n"/>
      <c r="TOC1" s="2" t="n"/>
      <c r="TOD1" s="2" t="n"/>
      <c r="TOE1" s="2" t="n"/>
      <c r="TOF1" s="2" t="n"/>
      <c r="TOG1" s="2" t="n"/>
      <c r="TOH1" s="2" t="n"/>
      <c r="TOI1" s="2" t="n"/>
      <c r="TOJ1" s="2" t="n"/>
      <c r="TOK1" s="2" t="n"/>
      <c r="TOL1" s="2" t="n"/>
      <c r="TOM1" s="2" t="n"/>
      <c r="TON1" s="2" t="n"/>
      <c r="TOO1" s="2" t="n"/>
      <c r="TOP1" s="2" t="n"/>
      <c r="TOQ1" s="2" t="n"/>
      <c r="TOR1" s="2" t="n"/>
      <c r="TOS1" s="2" t="n"/>
      <c r="TOT1" s="2" t="n"/>
      <c r="TOU1" s="2" t="n"/>
      <c r="TOV1" s="2" t="n"/>
      <c r="TOW1" s="2" t="n"/>
      <c r="TOX1" s="2" t="n"/>
      <c r="TOY1" s="2" t="n"/>
      <c r="TOZ1" s="2" t="n"/>
      <c r="TPA1" s="2" t="n"/>
      <c r="TPB1" s="2" t="n"/>
      <c r="TPC1" s="2" t="n"/>
      <c r="TPD1" s="2" t="n"/>
      <c r="TPE1" s="2" t="n"/>
      <c r="TPF1" s="2" t="n"/>
      <c r="TPG1" s="2" t="n"/>
      <c r="TPH1" s="2" t="n"/>
      <c r="TPI1" s="2" t="n"/>
      <c r="TPJ1" s="2" t="n"/>
      <c r="TPK1" s="2" t="n"/>
      <c r="TPL1" s="2" t="n"/>
      <c r="TPM1" s="2" t="n"/>
      <c r="TPN1" s="2" t="n"/>
      <c r="TPO1" s="2" t="n"/>
      <c r="TPP1" s="2" t="n"/>
      <c r="TPQ1" s="2" t="n"/>
      <c r="TPR1" s="2" t="n"/>
      <c r="TPS1" s="2" t="n"/>
      <c r="TPT1" s="2" t="n"/>
      <c r="TPU1" s="2" t="n"/>
      <c r="TPV1" s="2" t="n"/>
      <c r="TPW1" s="2" t="n"/>
      <c r="TPX1" s="2" t="n"/>
      <c r="TPY1" s="2" t="n"/>
      <c r="TPZ1" s="2" t="n"/>
      <c r="TQA1" s="2" t="n"/>
      <c r="TQB1" s="2" t="n"/>
      <c r="TQC1" s="2" t="n"/>
      <c r="TQD1" s="2" t="n"/>
      <c r="TQE1" s="2" t="n"/>
      <c r="TQF1" s="2" t="n"/>
      <c r="TQG1" s="2" t="n"/>
      <c r="TQH1" s="2" t="n"/>
      <c r="TQI1" s="2" t="n"/>
      <c r="TQJ1" s="2" t="n"/>
      <c r="TQK1" s="2" t="n"/>
      <c r="TQL1" s="2" t="n"/>
      <c r="TQM1" s="2" t="n"/>
      <c r="TQN1" s="2" t="n"/>
      <c r="TQO1" s="2" t="n"/>
      <c r="TQP1" s="2" t="n"/>
      <c r="TQQ1" s="2" t="n"/>
      <c r="TQR1" s="2" t="n"/>
      <c r="TQS1" s="2" t="n"/>
      <c r="TQT1" s="2" t="n"/>
      <c r="TQU1" s="2" t="n"/>
      <c r="TQV1" s="2" t="n"/>
      <c r="TQW1" s="2" t="n"/>
      <c r="TQX1" s="2" t="n"/>
      <c r="TQY1" s="2" t="n"/>
      <c r="TQZ1" s="2" t="n"/>
      <c r="TRA1" s="2" t="n"/>
      <c r="TRB1" s="2" t="n"/>
      <c r="TRC1" s="2" t="n"/>
      <c r="TRD1" s="2" t="n"/>
      <c r="TRE1" s="2" t="n"/>
      <c r="TRF1" s="2" t="n"/>
      <c r="TRG1" s="2" t="n"/>
      <c r="TRH1" s="2" t="n"/>
      <c r="TRI1" s="2" t="n"/>
      <c r="TRJ1" s="2" t="n"/>
      <c r="TRK1" s="2" t="n"/>
      <c r="TRL1" s="2" t="n"/>
      <c r="TRM1" s="2" t="n"/>
      <c r="TRN1" s="2" t="n"/>
      <c r="TRO1" s="2" t="n"/>
      <c r="TRP1" s="2" t="n"/>
      <c r="TRQ1" s="2" t="n"/>
      <c r="TRR1" s="2" t="n"/>
      <c r="TRS1" s="2" t="n"/>
      <c r="TRT1" s="2" t="n"/>
      <c r="TRU1" s="2" t="n"/>
      <c r="TRV1" s="2" t="n"/>
      <c r="TRW1" s="2" t="n"/>
      <c r="TRX1" s="2" t="n"/>
      <c r="TRY1" s="2" t="n"/>
      <c r="TRZ1" s="2" t="n"/>
      <c r="TSA1" s="2" t="n"/>
      <c r="TSB1" s="2" t="n"/>
      <c r="TSC1" s="2" t="n"/>
      <c r="TSD1" s="2" t="n"/>
      <c r="TSE1" s="2" t="n"/>
      <c r="TSF1" s="2" t="n"/>
      <c r="TSG1" s="2" t="n"/>
      <c r="TSH1" s="2" t="n"/>
      <c r="TSI1" s="2" t="n"/>
      <c r="TSJ1" s="2" t="n"/>
      <c r="TSK1" s="2" t="n"/>
      <c r="TSL1" s="2" t="n"/>
      <c r="TSM1" s="2" t="n"/>
      <c r="TSN1" s="2" t="n"/>
      <c r="TSO1" s="2" t="n"/>
      <c r="TSP1" s="2" t="n"/>
      <c r="TSQ1" s="2" t="n"/>
      <c r="TSR1" s="2" t="n"/>
      <c r="TSS1" s="2" t="n"/>
      <c r="TST1" s="2" t="n"/>
      <c r="TSU1" s="2" t="n"/>
      <c r="TSV1" s="2" t="n"/>
      <c r="TSW1" s="2" t="n"/>
      <c r="TSX1" s="2" t="n"/>
      <c r="TSY1" s="2" t="n"/>
      <c r="TSZ1" s="2" t="n"/>
      <c r="TTA1" s="2" t="n"/>
      <c r="TTB1" s="2" t="n"/>
      <c r="TTC1" s="2" t="n"/>
      <c r="TTD1" s="2" t="n"/>
      <c r="TTE1" s="2" t="n"/>
      <c r="TTF1" s="2" t="n"/>
      <c r="TTG1" s="2" t="n"/>
      <c r="TTH1" s="2" t="n"/>
      <c r="TTI1" s="2" t="n"/>
      <c r="TTJ1" s="2" t="n"/>
      <c r="TTK1" s="2" t="n"/>
      <c r="TTL1" s="2" t="n"/>
      <c r="TTM1" s="2" t="n"/>
      <c r="TTN1" s="2" t="n"/>
      <c r="TTO1" s="2" t="n"/>
      <c r="TTP1" s="2" t="n"/>
      <c r="TTQ1" s="2" t="n"/>
      <c r="TTR1" s="2" t="n"/>
      <c r="TTS1" s="2" t="n"/>
      <c r="TTT1" s="2" t="n"/>
      <c r="TTU1" s="2" t="n"/>
      <c r="TTV1" s="2" t="n"/>
      <c r="TTW1" s="2" t="n"/>
      <c r="TTX1" s="2" t="n"/>
      <c r="TTY1" s="2" t="n"/>
      <c r="TTZ1" s="2" t="n"/>
      <c r="TUA1" s="2" t="n"/>
      <c r="TUB1" s="2" t="n"/>
      <c r="TUC1" s="2" t="n"/>
      <c r="TUD1" s="2" t="n"/>
      <c r="TUE1" s="2" t="n"/>
      <c r="TUF1" s="2" t="n"/>
      <c r="TUG1" s="2" t="n"/>
      <c r="TUH1" s="2" t="n"/>
      <c r="TUI1" s="2" t="n"/>
      <c r="TUJ1" s="2" t="n"/>
      <c r="TUK1" s="2" t="n"/>
      <c r="TUL1" s="2" t="n"/>
      <c r="TUM1" s="2" t="n"/>
      <c r="TUN1" s="2" t="n"/>
      <c r="TUO1" s="2" t="n"/>
      <c r="TUP1" s="2" t="n"/>
      <c r="TUQ1" s="2" t="n"/>
      <c r="TUR1" s="2" t="n"/>
      <c r="TUS1" s="2" t="n"/>
      <c r="TUT1" s="2" t="n"/>
      <c r="TUU1" s="2" t="n"/>
      <c r="TUV1" s="2" t="n"/>
      <c r="TUW1" s="2" t="n"/>
      <c r="TUX1" s="2" t="n"/>
      <c r="TUY1" s="2" t="n"/>
      <c r="TUZ1" s="2" t="n"/>
      <c r="TVA1" s="2" t="n"/>
      <c r="TVB1" s="2" t="n"/>
      <c r="TVC1" s="2" t="n"/>
      <c r="TVD1" s="2" t="n"/>
      <c r="TVE1" s="2" t="n"/>
      <c r="TVF1" s="2" t="n"/>
      <c r="TVG1" s="2" t="n"/>
      <c r="TVH1" s="2" t="n"/>
      <c r="TVI1" s="2" t="n"/>
      <c r="TVJ1" s="2" t="n"/>
      <c r="TVK1" s="2" t="n"/>
      <c r="TVL1" s="2" t="n"/>
      <c r="TVM1" s="2" t="n"/>
      <c r="TVN1" s="2" t="n"/>
      <c r="TVO1" s="2" t="n"/>
      <c r="TVP1" s="2" t="n"/>
      <c r="TVQ1" s="2" t="n"/>
      <c r="TVR1" s="2" t="n"/>
      <c r="TVS1" s="2" t="n"/>
      <c r="TVT1" s="2" t="n"/>
      <c r="TVU1" s="2" t="n"/>
      <c r="TVV1" s="2" t="n"/>
      <c r="TVW1" s="2" t="n"/>
      <c r="TVX1" s="2" t="n"/>
      <c r="TVY1" s="2" t="n"/>
      <c r="TVZ1" s="2" t="n"/>
      <c r="TWA1" s="2" t="n"/>
      <c r="TWB1" s="2" t="n"/>
      <c r="TWC1" s="2" t="n"/>
      <c r="TWD1" s="2" t="n"/>
      <c r="TWE1" s="2" t="n"/>
      <c r="TWF1" s="2" t="n"/>
      <c r="TWG1" s="2" t="n"/>
      <c r="TWH1" s="2" t="n"/>
      <c r="TWI1" s="2" t="n"/>
      <c r="TWJ1" s="2" t="n"/>
      <c r="TWK1" s="2" t="n"/>
      <c r="TWL1" s="2" t="n"/>
      <c r="TWM1" s="2" t="n"/>
      <c r="TWN1" s="2" t="n"/>
      <c r="TWO1" s="2" t="n"/>
      <c r="TWP1" s="2" t="n"/>
      <c r="TWQ1" s="2" t="n"/>
      <c r="TWR1" s="2" t="n"/>
      <c r="TWS1" s="2" t="n"/>
      <c r="TWT1" s="2" t="n"/>
      <c r="TWU1" s="2" t="n"/>
      <c r="TWV1" s="2" t="n"/>
      <c r="TWW1" s="2" t="n"/>
      <c r="TWX1" s="2" t="n"/>
      <c r="TWY1" s="2" t="n"/>
      <c r="TWZ1" s="2" t="n"/>
      <c r="TXA1" s="2" t="n"/>
      <c r="TXB1" s="2" t="n"/>
      <c r="TXC1" s="2" t="n"/>
      <c r="TXD1" s="2" t="n"/>
      <c r="TXE1" s="2" t="n"/>
      <c r="TXF1" s="2" t="n"/>
      <c r="TXG1" s="2" t="n"/>
      <c r="TXH1" s="2" t="n"/>
      <c r="TXI1" s="2" t="n"/>
      <c r="TXJ1" s="2" t="n"/>
      <c r="TXK1" s="2" t="n"/>
      <c r="TXL1" s="2" t="n"/>
      <c r="TXM1" s="2" t="n"/>
      <c r="TXN1" s="2" t="n"/>
      <c r="TXO1" s="2" t="n"/>
      <c r="TXP1" s="2" t="n"/>
      <c r="TXQ1" s="2" t="n"/>
      <c r="TXR1" s="2" t="n"/>
      <c r="TXS1" s="2" t="n"/>
      <c r="TXT1" s="2" t="n"/>
      <c r="TXU1" s="2" t="n"/>
      <c r="TXV1" s="2" t="n"/>
      <c r="TXW1" s="2" t="n"/>
      <c r="TXX1" s="2" t="n"/>
      <c r="TXY1" s="2" t="n"/>
      <c r="TXZ1" s="2" t="n"/>
      <c r="TYA1" s="2" t="n"/>
      <c r="TYB1" s="2" t="n"/>
      <c r="TYC1" s="2" t="n"/>
      <c r="TYD1" s="2" t="n"/>
      <c r="TYE1" s="2" t="n"/>
      <c r="TYF1" s="2" t="n"/>
      <c r="TYG1" s="2" t="n"/>
      <c r="TYH1" s="2" t="n"/>
      <c r="TYI1" s="2" t="n"/>
      <c r="TYJ1" s="2" t="n"/>
      <c r="TYK1" s="2" t="n"/>
      <c r="TYL1" s="2" t="n"/>
      <c r="TYM1" s="2" t="n"/>
      <c r="TYN1" s="2" t="n"/>
      <c r="TYO1" s="2" t="n"/>
      <c r="TYP1" s="2" t="n"/>
      <c r="TYQ1" s="2" t="n"/>
      <c r="TYR1" s="2" t="n"/>
      <c r="TYS1" s="2" t="n"/>
      <c r="TYT1" s="2" t="n"/>
      <c r="TYU1" s="2" t="n"/>
      <c r="TYV1" s="2" t="n"/>
      <c r="TYW1" s="2" t="n"/>
      <c r="TYX1" s="2" t="n"/>
      <c r="TYY1" s="2" t="n"/>
      <c r="TYZ1" s="2" t="n"/>
      <c r="TZA1" s="2" t="n"/>
      <c r="TZB1" s="2" t="n"/>
      <c r="TZC1" s="2" t="n"/>
      <c r="TZD1" s="2" t="n"/>
      <c r="TZE1" s="2" t="n"/>
      <c r="TZF1" s="2" t="n"/>
      <c r="TZG1" s="2" t="n"/>
      <c r="TZH1" s="2" t="n"/>
      <c r="TZI1" s="2" t="n"/>
      <c r="TZJ1" s="2" t="n"/>
      <c r="TZK1" s="2" t="n"/>
      <c r="TZL1" s="2" t="n"/>
      <c r="TZM1" s="2" t="n"/>
      <c r="TZN1" s="2" t="n"/>
      <c r="TZO1" s="2" t="n"/>
      <c r="TZP1" s="2" t="n"/>
      <c r="TZQ1" s="2" t="n"/>
      <c r="TZR1" s="2" t="n"/>
      <c r="TZS1" s="2" t="n"/>
      <c r="TZT1" s="2" t="n"/>
      <c r="TZU1" s="2" t="n"/>
      <c r="TZV1" s="2" t="n"/>
      <c r="TZW1" s="2" t="n"/>
      <c r="TZX1" s="2" t="n"/>
      <c r="TZY1" s="2" t="n"/>
      <c r="TZZ1" s="2" t="n"/>
      <c r="UAA1" s="2" t="n"/>
      <c r="UAB1" s="2" t="n"/>
      <c r="UAC1" s="2" t="n"/>
      <c r="UAD1" s="2" t="n"/>
      <c r="UAE1" s="2" t="n"/>
      <c r="UAF1" s="2" t="n"/>
      <c r="UAG1" s="2" t="n"/>
      <c r="UAH1" s="2" t="n"/>
      <c r="UAI1" s="2" t="n"/>
      <c r="UAJ1" s="2" t="n"/>
      <c r="UAK1" s="2" t="n"/>
      <c r="UAL1" s="2" t="n"/>
      <c r="UAM1" s="2" t="n"/>
      <c r="UAN1" s="2" t="n"/>
      <c r="UAO1" s="2" t="n"/>
      <c r="UAP1" s="2" t="n"/>
      <c r="UAQ1" s="2" t="n"/>
      <c r="UAR1" s="2" t="n"/>
      <c r="UAS1" s="2" t="n"/>
      <c r="UAT1" s="2" t="n"/>
      <c r="UAU1" s="2" t="n"/>
      <c r="UAV1" s="2" t="n"/>
      <c r="UAW1" s="2" t="n"/>
      <c r="UAX1" s="2" t="n"/>
      <c r="UAY1" s="2" t="n"/>
      <c r="UAZ1" s="2" t="n"/>
      <c r="UBA1" s="2" t="n"/>
      <c r="UBB1" s="2" t="n"/>
      <c r="UBC1" s="2" t="n"/>
      <c r="UBD1" s="2" t="n"/>
      <c r="UBE1" s="2" t="n"/>
      <c r="UBF1" s="2" t="n"/>
      <c r="UBG1" s="2" t="n"/>
      <c r="UBH1" s="2" t="n"/>
      <c r="UBI1" s="2" t="n"/>
      <c r="UBJ1" s="2" t="n"/>
      <c r="UBK1" s="2" t="n"/>
      <c r="UBL1" s="2" t="n"/>
      <c r="UBM1" s="2" t="n"/>
      <c r="UBN1" s="2" t="n"/>
      <c r="UBO1" s="2" t="n"/>
      <c r="UBP1" s="2" t="n"/>
      <c r="UBQ1" s="2" t="n"/>
      <c r="UBR1" s="2" t="n"/>
      <c r="UBS1" s="2" t="n"/>
      <c r="UBT1" s="2" t="n"/>
      <c r="UBU1" s="2" t="n"/>
      <c r="UBV1" s="2" t="n"/>
      <c r="UBW1" s="2" t="n"/>
      <c r="UBX1" s="2" t="n"/>
      <c r="UBY1" s="2" t="n"/>
      <c r="UBZ1" s="2" t="n"/>
      <c r="UCA1" s="2" t="n"/>
      <c r="UCB1" s="2" t="n"/>
      <c r="UCC1" s="2" t="n"/>
      <c r="UCD1" s="2" t="n"/>
      <c r="UCE1" s="2" t="n"/>
      <c r="UCF1" s="2" t="n"/>
      <c r="UCG1" s="2" t="n"/>
      <c r="UCH1" s="2" t="n"/>
      <c r="UCI1" s="2" t="n"/>
      <c r="UCJ1" s="2" t="n"/>
      <c r="UCK1" s="2" t="n"/>
      <c r="UCL1" s="2" t="n"/>
      <c r="UCM1" s="2" t="n"/>
      <c r="UCN1" s="2" t="n"/>
      <c r="UCO1" s="2" t="n"/>
      <c r="UCP1" s="2" t="n"/>
      <c r="UCQ1" s="2" t="n"/>
      <c r="UCR1" s="2" t="n"/>
      <c r="UCS1" s="2" t="n"/>
      <c r="UCT1" s="2" t="n"/>
      <c r="UCU1" s="2" t="n"/>
      <c r="UCV1" s="2" t="n"/>
      <c r="UCW1" s="2" t="n"/>
      <c r="UCX1" s="2" t="n"/>
      <c r="UCY1" s="2" t="n"/>
      <c r="UCZ1" s="2" t="n"/>
      <c r="UDA1" s="2" t="n"/>
      <c r="UDB1" s="2" t="n"/>
      <c r="UDC1" s="2" t="n"/>
      <c r="UDD1" s="2" t="n"/>
      <c r="UDE1" s="2" t="n"/>
      <c r="UDF1" s="2" t="n"/>
      <c r="UDG1" s="2" t="n"/>
      <c r="UDH1" s="2" t="n"/>
      <c r="UDI1" s="2" t="n"/>
      <c r="UDJ1" s="2" t="n"/>
      <c r="UDK1" s="2" t="n"/>
      <c r="UDL1" s="2" t="n"/>
      <c r="UDM1" s="2" t="n"/>
      <c r="UDN1" s="2" t="n"/>
      <c r="UDO1" s="2" t="n"/>
      <c r="UDP1" s="2" t="n"/>
      <c r="UDQ1" s="2" t="n"/>
      <c r="UDR1" s="2" t="n"/>
      <c r="UDS1" s="2" t="n"/>
      <c r="UDT1" s="2" t="n"/>
      <c r="UDU1" s="2" t="n"/>
      <c r="UDV1" s="2" t="n"/>
      <c r="UDW1" s="2" t="n"/>
      <c r="UDX1" s="2" t="n"/>
      <c r="UDY1" s="2" t="n"/>
      <c r="UDZ1" s="2" t="n"/>
      <c r="UEA1" s="2" t="n"/>
      <c r="UEB1" s="2" t="n"/>
      <c r="UEC1" s="2" t="n"/>
      <c r="UED1" s="2" t="n"/>
      <c r="UEE1" s="2" t="n"/>
      <c r="UEF1" s="2" t="n"/>
      <c r="UEG1" s="2" t="n"/>
      <c r="UEH1" s="2" t="n"/>
      <c r="UEI1" s="2" t="n"/>
      <c r="UEJ1" s="2" t="n"/>
      <c r="UEK1" s="2" t="n"/>
      <c r="UEL1" s="2" t="n"/>
      <c r="UEM1" s="2" t="n"/>
      <c r="UEN1" s="2" t="n"/>
      <c r="UEO1" s="2" t="n"/>
      <c r="UEP1" s="2" t="n"/>
      <c r="UEQ1" s="2" t="n"/>
      <c r="UER1" s="2" t="n"/>
      <c r="UES1" s="2" t="n"/>
      <c r="UET1" s="2" t="n"/>
      <c r="UEU1" s="2" t="n"/>
      <c r="UEV1" s="2" t="n"/>
      <c r="UEW1" s="2" t="n"/>
      <c r="UEX1" s="2" t="n"/>
      <c r="UEY1" s="2" t="n"/>
      <c r="UEZ1" s="2" t="n"/>
      <c r="UFA1" s="2" t="n"/>
      <c r="UFB1" s="2" t="n"/>
      <c r="UFC1" s="2" t="n"/>
      <c r="UFD1" s="2" t="n"/>
      <c r="UFE1" s="2" t="n"/>
      <c r="UFF1" s="2" t="n"/>
      <c r="UFG1" s="2" t="n"/>
      <c r="UFH1" s="2" t="n"/>
      <c r="UFI1" s="2" t="n"/>
      <c r="UFJ1" s="2" t="n"/>
      <c r="UFK1" s="2" t="n"/>
      <c r="UFL1" s="2" t="n"/>
      <c r="UFM1" s="2" t="n"/>
      <c r="UFN1" s="2" t="n"/>
      <c r="UFO1" s="2" t="n"/>
      <c r="UFP1" s="2" t="n"/>
      <c r="UFQ1" s="2" t="n"/>
      <c r="UFR1" s="2" t="n"/>
      <c r="UFS1" s="2" t="n"/>
      <c r="UFT1" s="2" t="n"/>
      <c r="UFU1" s="2" t="n"/>
      <c r="UFV1" s="2" t="n"/>
      <c r="UFW1" s="2" t="n"/>
      <c r="UFX1" s="2" t="n"/>
      <c r="UFY1" s="2" t="n"/>
      <c r="UFZ1" s="2" t="n"/>
      <c r="UGA1" s="2" t="n"/>
      <c r="UGB1" s="2" t="n"/>
      <c r="UGC1" s="2" t="n"/>
      <c r="UGD1" s="2" t="n"/>
      <c r="UGE1" s="2" t="n"/>
      <c r="UGF1" s="2" t="n"/>
      <c r="UGG1" s="2" t="n"/>
      <c r="UGH1" s="2" t="n"/>
      <c r="UGI1" s="2" t="n"/>
      <c r="UGJ1" s="2" t="n"/>
      <c r="UGK1" s="2" t="n"/>
      <c r="UGL1" s="2" t="n"/>
      <c r="UGM1" s="2" t="n"/>
      <c r="UGN1" s="2" t="n"/>
      <c r="UGO1" s="2" t="n"/>
      <c r="UGP1" s="2" t="n"/>
      <c r="UGQ1" s="2" t="n"/>
      <c r="UGR1" s="2" t="n"/>
      <c r="UGS1" s="2" t="n"/>
      <c r="UGT1" s="2" t="n"/>
      <c r="UGU1" s="2" t="n"/>
      <c r="UGV1" s="2" t="n"/>
      <c r="UGW1" s="2" t="n"/>
      <c r="UGX1" s="2" t="n"/>
      <c r="UGY1" s="2" t="n"/>
      <c r="UGZ1" s="2" t="n"/>
      <c r="UHA1" s="2" t="n"/>
      <c r="UHB1" s="2" t="n"/>
      <c r="UHC1" s="2" t="n"/>
      <c r="UHD1" s="2" t="n"/>
      <c r="UHE1" s="2" t="n"/>
      <c r="UHF1" s="2" t="n"/>
      <c r="UHG1" s="2" t="n"/>
      <c r="UHH1" s="2" t="n"/>
      <c r="UHI1" s="2" t="n"/>
      <c r="UHJ1" s="2" t="n"/>
      <c r="UHK1" s="2" t="n"/>
      <c r="UHL1" s="2" t="n"/>
      <c r="UHM1" s="2" t="n"/>
      <c r="UHN1" s="2" t="n"/>
      <c r="UHO1" s="2" t="n"/>
      <c r="UHP1" s="2" t="n"/>
      <c r="UHQ1" s="2" t="n"/>
      <c r="UHR1" s="2" t="n"/>
      <c r="UHS1" s="2" t="n"/>
      <c r="UHT1" s="2" t="n"/>
      <c r="UHU1" s="2" t="n"/>
      <c r="UHV1" s="2" t="n"/>
      <c r="UHW1" s="2" t="n"/>
      <c r="UHX1" s="2" t="n"/>
      <c r="UHY1" s="2" t="n"/>
      <c r="UHZ1" s="2" t="n"/>
      <c r="UIA1" s="2" t="n"/>
      <c r="UIB1" s="2" t="n"/>
      <c r="UIC1" s="2" t="n"/>
      <c r="UID1" s="2" t="n"/>
      <c r="UIE1" s="2" t="n"/>
      <c r="UIF1" s="2" t="n"/>
      <c r="UIG1" s="2" t="n"/>
      <c r="UIH1" s="2" t="n"/>
      <c r="UII1" s="2" t="n"/>
      <c r="UIJ1" s="2" t="n"/>
      <c r="UIK1" s="2" t="n"/>
      <c r="UIL1" s="2" t="n"/>
      <c r="UIM1" s="2" t="n"/>
      <c r="UIN1" s="2" t="n"/>
      <c r="UIO1" s="2" t="n"/>
      <c r="UIP1" s="2" t="n"/>
      <c r="UIQ1" s="2" t="n"/>
      <c r="UIR1" s="2" t="n"/>
      <c r="UIS1" s="2" t="n"/>
      <c r="UIT1" s="2" t="n"/>
      <c r="UIU1" s="2" t="n"/>
      <c r="UIV1" s="2" t="n"/>
      <c r="UIW1" s="2" t="n"/>
      <c r="UIX1" s="2" t="n"/>
      <c r="UIY1" s="2" t="n"/>
      <c r="UIZ1" s="2" t="n"/>
      <c r="UJA1" s="2" t="n"/>
      <c r="UJB1" s="2" t="n"/>
      <c r="UJC1" s="2" t="n"/>
      <c r="UJD1" s="2" t="n"/>
      <c r="UJE1" s="2" t="n"/>
      <c r="UJF1" s="2" t="n"/>
      <c r="UJG1" s="2" t="n"/>
      <c r="UJH1" s="2" t="n"/>
      <c r="UJI1" s="2" t="n"/>
      <c r="UJJ1" s="2" t="n"/>
      <c r="UJK1" s="2" t="n"/>
      <c r="UJL1" s="2" t="n"/>
      <c r="UJM1" s="2" t="n"/>
      <c r="UJN1" s="2" t="n"/>
      <c r="UJO1" s="2" t="n"/>
      <c r="UJP1" s="2" t="n"/>
      <c r="UJQ1" s="2" t="n"/>
      <c r="UJR1" s="2" t="n"/>
      <c r="UJS1" s="2" t="n"/>
      <c r="UJT1" s="2" t="n"/>
      <c r="UJU1" s="2" t="n"/>
      <c r="UJV1" s="2" t="n"/>
      <c r="UJW1" s="2" t="n"/>
      <c r="UJX1" s="2" t="n"/>
      <c r="UJY1" s="2" t="n"/>
      <c r="UJZ1" s="2" t="n"/>
      <c r="UKA1" s="2" t="n"/>
      <c r="UKB1" s="2" t="n"/>
      <c r="UKC1" s="2" t="n"/>
      <c r="UKD1" s="2" t="n"/>
      <c r="UKE1" s="2" t="n"/>
      <c r="UKF1" s="2" t="n"/>
      <c r="UKG1" s="2" t="n"/>
      <c r="UKH1" s="2" t="n"/>
      <c r="UKI1" s="2" t="n"/>
      <c r="UKJ1" s="2" t="n"/>
      <c r="UKK1" s="2" t="n"/>
      <c r="UKL1" s="2" t="n"/>
      <c r="UKM1" s="2" t="n"/>
      <c r="UKN1" s="2" t="n"/>
      <c r="UKO1" s="2" t="n"/>
      <c r="UKP1" s="2" t="n"/>
      <c r="UKQ1" s="2" t="n"/>
      <c r="UKR1" s="2" t="n"/>
      <c r="UKS1" s="2" t="n"/>
      <c r="UKT1" s="2" t="n"/>
      <c r="UKU1" s="2" t="n"/>
      <c r="UKV1" s="2" t="n"/>
      <c r="UKW1" s="2" t="n"/>
      <c r="UKX1" s="2" t="n"/>
      <c r="UKY1" s="2" t="n"/>
      <c r="UKZ1" s="2" t="n"/>
      <c r="ULA1" s="2" t="n"/>
      <c r="ULB1" s="2" t="n"/>
      <c r="ULC1" s="2" t="n"/>
      <c r="ULD1" s="2" t="n"/>
      <c r="ULE1" s="2" t="n"/>
      <c r="ULF1" s="2" t="n"/>
      <c r="ULG1" s="2" t="n"/>
      <c r="ULH1" s="2" t="n"/>
      <c r="ULI1" s="2" t="n"/>
      <c r="ULJ1" s="2" t="n"/>
      <c r="ULK1" s="2" t="n"/>
      <c r="ULL1" s="2" t="n"/>
      <c r="ULM1" s="2" t="n"/>
      <c r="ULN1" s="2" t="n"/>
      <c r="ULO1" s="2" t="n"/>
      <c r="ULP1" s="2" t="n"/>
      <c r="ULQ1" s="2" t="n"/>
      <c r="ULR1" s="2" t="n"/>
      <c r="ULS1" s="2" t="n"/>
      <c r="ULT1" s="2" t="n"/>
      <c r="ULU1" s="2" t="n"/>
      <c r="ULV1" s="2" t="n"/>
      <c r="ULW1" s="2" t="n"/>
      <c r="ULX1" s="2" t="n"/>
      <c r="ULY1" s="2" t="n"/>
      <c r="ULZ1" s="2" t="n"/>
      <c r="UMA1" s="2" t="n"/>
      <c r="UMB1" s="2" t="n"/>
      <c r="UMC1" s="2" t="n"/>
      <c r="UMD1" s="2" t="n"/>
      <c r="UME1" s="2" t="n"/>
      <c r="UMF1" s="2" t="n"/>
      <c r="UMG1" s="2" t="n"/>
      <c r="UMH1" s="2" t="n"/>
      <c r="UMI1" s="2" t="n"/>
      <c r="UMJ1" s="2" t="n"/>
      <c r="UMK1" s="2" t="n"/>
      <c r="UML1" s="2" t="n"/>
      <c r="UMM1" s="2" t="n"/>
      <c r="UMN1" s="2" t="n"/>
      <c r="UMO1" s="2" t="n"/>
      <c r="UMP1" s="2" t="n"/>
      <c r="UMQ1" s="2" t="n"/>
      <c r="UMR1" s="2" t="n"/>
      <c r="UMS1" s="2" t="n"/>
      <c r="UMT1" s="2" t="n"/>
      <c r="UMU1" s="2" t="n"/>
      <c r="UMV1" s="2" t="n"/>
      <c r="UMW1" s="2" t="n"/>
      <c r="UMX1" s="2" t="n"/>
      <c r="UMY1" s="2" t="n"/>
      <c r="UMZ1" s="2" t="n"/>
      <c r="UNA1" s="2" t="n"/>
      <c r="UNB1" s="2" t="n"/>
      <c r="UNC1" s="2" t="n"/>
      <c r="UND1" s="2" t="n"/>
      <c r="UNE1" s="2" t="n"/>
      <c r="UNF1" s="2" t="n"/>
      <c r="UNG1" s="2" t="n"/>
      <c r="UNH1" s="2" t="n"/>
      <c r="UNI1" s="2" t="n"/>
      <c r="UNJ1" s="2" t="n"/>
      <c r="UNK1" s="2" t="n"/>
      <c r="UNL1" s="2" t="n"/>
      <c r="UNM1" s="2" t="n"/>
      <c r="UNN1" s="2" t="n"/>
      <c r="UNO1" s="2" t="n"/>
      <c r="UNP1" s="2" t="n"/>
      <c r="UNQ1" s="2" t="n"/>
      <c r="UNR1" s="2" t="n"/>
      <c r="UNS1" s="2" t="n"/>
      <c r="UNT1" s="2" t="n"/>
      <c r="UNU1" s="2" t="n"/>
      <c r="UNV1" s="2" t="n"/>
      <c r="UNW1" s="2" t="n"/>
      <c r="UNX1" s="2" t="n"/>
      <c r="UNY1" s="2" t="n"/>
      <c r="UNZ1" s="2" t="n"/>
      <c r="UOA1" s="2" t="n"/>
      <c r="UOB1" s="2" t="n"/>
      <c r="UOC1" s="2" t="n"/>
      <c r="UOD1" s="2" t="n"/>
      <c r="UOE1" s="2" t="n"/>
      <c r="UOF1" s="2" t="n"/>
      <c r="UOG1" s="2" t="n"/>
      <c r="UOH1" s="2" t="n"/>
      <c r="UOI1" s="2" t="n"/>
      <c r="UOJ1" s="2" t="n"/>
      <c r="UOK1" s="2" t="n"/>
      <c r="UOL1" s="2" t="n"/>
      <c r="UOM1" s="2" t="n"/>
      <c r="UON1" s="2" t="n"/>
      <c r="UOO1" s="2" t="n"/>
      <c r="UOP1" s="2" t="n"/>
      <c r="UOQ1" s="2" t="n"/>
      <c r="UOR1" s="2" t="n"/>
      <c r="UOS1" s="2" t="n"/>
      <c r="UOT1" s="2" t="n"/>
      <c r="UOU1" s="2" t="n"/>
      <c r="UOV1" s="2" t="n"/>
      <c r="UOW1" s="2" t="n"/>
      <c r="UOX1" s="2" t="n"/>
      <c r="UOY1" s="2" t="n"/>
      <c r="UOZ1" s="2" t="n"/>
      <c r="UPA1" s="2" t="n"/>
      <c r="UPB1" s="2" t="n"/>
      <c r="UPC1" s="2" t="n"/>
      <c r="UPD1" s="2" t="n"/>
      <c r="UPE1" s="2" t="n"/>
      <c r="UPF1" s="2" t="n"/>
      <c r="UPG1" s="2" t="n"/>
      <c r="UPH1" s="2" t="n"/>
      <c r="UPI1" s="2" t="n"/>
      <c r="UPJ1" s="2" t="n"/>
      <c r="UPK1" s="2" t="n"/>
      <c r="UPL1" s="2" t="n"/>
      <c r="UPM1" s="2" t="n"/>
      <c r="UPN1" s="2" t="n"/>
      <c r="UPO1" s="2" t="n"/>
      <c r="UPP1" s="2" t="n"/>
      <c r="UPQ1" s="2" t="n"/>
      <c r="UPR1" s="2" t="n"/>
      <c r="UPS1" s="2" t="n"/>
      <c r="UPT1" s="2" t="n"/>
      <c r="UPU1" s="2" t="n"/>
      <c r="UPV1" s="2" t="n"/>
      <c r="UPW1" s="2" t="n"/>
      <c r="UPX1" s="2" t="n"/>
      <c r="UPY1" s="2" t="n"/>
      <c r="UPZ1" s="2" t="n"/>
      <c r="UQA1" s="2" t="n"/>
      <c r="UQB1" s="2" t="n"/>
      <c r="UQC1" s="2" t="n"/>
      <c r="UQD1" s="2" t="n"/>
      <c r="UQE1" s="2" t="n"/>
      <c r="UQF1" s="2" t="n"/>
      <c r="UQG1" s="2" t="n"/>
      <c r="UQH1" s="2" t="n"/>
      <c r="UQI1" s="2" t="n"/>
      <c r="UQJ1" s="2" t="n"/>
      <c r="UQK1" s="2" t="n"/>
      <c r="UQL1" s="2" t="n"/>
      <c r="UQM1" s="2" t="n"/>
      <c r="UQN1" s="2" t="n"/>
      <c r="UQO1" s="2" t="n"/>
      <c r="UQP1" s="2" t="n"/>
      <c r="UQQ1" s="2" t="n"/>
      <c r="UQR1" s="2" t="n"/>
      <c r="UQS1" s="2" t="n"/>
      <c r="UQT1" s="2" t="n"/>
      <c r="UQU1" s="2" t="n"/>
      <c r="UQV1" s="2" t="n"/>
      <c r="UQW1" s="2" t="n"/>
      <c r="UQX1" s="2" t="n"/>
      <c r="UQY1" s="2" t="n"/>
      <c r="UQZ1" s="2" t="n"/>
      <c r="URA1" s="2" t="n"/>
      <c r="URB1" s="2" t="n"/>
      <c r="URC1" s="2" t="n"/>
      <c r="URD1" s="2" t="n"/>
      <c r="URE1" s="2" t="n"/>
      <c r="URF1" s="2" t="n"/>
      <c r="URG1" s="2" t="n"/>
      <c r="URH1" s="2" t="n"/>
      <c r="URI1" s="2" t="n"/>
      <c r="URJ1" s="2" t="n"/>
      <c r="URK1" s="2" t="n"/>
      <c r="URL1" s="2" t="n"/>
      <c r="URM1" s="2" t="n"/>
      <c r="URN1" s="2" t="n"/>
      <c r="URO1" s="2" t="n"/>
      <c r="URP1" s="2" t="n"/>
      <c r="URQ1" s="2" t="n"/>
      <c r="URR1" s="2" t="n"/>
      <c r="URS1" s="2" t="n"/>
      <c r="URT1" s="2" t="n"/>
      <c r="URU1" s="2" t="n"/>
      <c r="URV1" s="2" t="n"/>
      <c r="URW1" s="2" t="n"/>
      <c r="URX1" s="2" t="n"/>
      <c r="URY1" s="2" t="n"/>
      <c r="URZ1" s="2" t="n"/>
      <c r="USA1" s="2" t="n"/>
      <c r="USB1" s="2" t="n"/>
      <c r="USC1" s="2" t="n"/>
      <c r="USD1" s="2" t="n"/>
      <c r="USE1" s="2" t="n"/>
      <c r="USF1" s="2" t="n"/>
      <c r="USG1" s="2" t="n"/>
      <c r="USH1" s="2" t="n"/>
      <c r="USI1" s="2" t="n"/>
      <c r="USJ1" s="2" t="n"/>
      <c r="USK1" s="2" t="n"/>
      <c r="USL1" s="2" t="n"/>
      <c r="USM1" s="2" t="n"/>
      <c r="USN1" s="2" t="n"/>
      <c r="USO1" s="2" t="n"/>
      <c r="USP1" s="2" t="n"/>
      <c r="USQ1" s="2" t="n"/>
      <c r="USR1" s="2" t="n"/>
      <c r="USS1" s="2" t="n"/>
      <c r="UST1" s="2" t="n"/>
      <c r="USU1" s="2" t="n"/>
      <c r="USV1" s="2" t="n"/>
      <c r="USW1" s="2" t="n"/>
      <c r="USX1" s="2" t="n"/>
      <c r="USY1" s="2" t="n"/>
      <c r="USZ1" s="2" t="n"/>
      <c r="UTA1" s="2" t="n"/>
      <c r="UTB1" s="2" t="n"/>
      <c r="UTC1" s="2" t="n"/>
      <c r="UTD1" s="2" t="n"/>
      <c r="UTE1" s="2" t="n"/>
      <c r="UTF1" s="2" t="n"/>
      <c r="UTG1" s="2" t="n"/>
      <c r="UTH1" s="2" t="n"/>
      <c r="UTI1" s="2" t="n"/>
      <c r="UTJ1" s="2" t="n"/>
      <c r="UTK1" s="2" t="n"/>
      <c r="UTL1" s="2" t="n"/>
      <c r="UTM1" s="2" t="n"/>
      <c r="UTN1" s="2" t="n"/>
      <c r="UTO1" s="2" t="n"/>
      <c r="UTP1" s="2" t="n"/>
      <c r="UTQ1" s="2" t="n"/>
      <c r="UTR1" s="2" t="n"/>
      <c r="UTS1" s="2" t="n"/>
      <c r="UTT1" s="2" t="n"/>
      <c r="UTU1" s="2" t="n"/>
      <c r="UTV1" s="2" t="n"/>
      <c r="UTW1" s="2" t="n"/>
      <c r="UTX1" s="2" t="n"/>
      <c r="UTY1" s="2" t="n"/>
      <c r="UTZ1" s="2" t="n"/>
      <c r="UUA1" s="2" t="n"/>
      <c r="UUB1" s="2" t="n"/>
      <c r="UUC1" s="2" t="n"/>
      <c r="UUD1" s="2" t="n"/>
      <c r="UUE1" s="2" t="n"/>
      <c r="UUF1" s="2" t="n"/>
      <c r="UUG1" s="2" t="n"/>
      <c r="UUH1" s="2" t="n"/>
      <c r="UUI1" s="2" t="n"/>
      <c r="UUJ1" s="2" t="n"/>
      <c r="UUK1" s="2" t="n"/>
      <c r="UUL1" s="2" t="n"/>
      <c r="UUM1" s="2" t="n"/>
      <c r="UUN1" s="2" t="n"/>
      <c r="UUO1" s="2" t="n"/>
      <c r="UUP1" s="2" t="n"/>
      <c r="UUQ1" s="2" t="n"/>
      <c r="UUR1" s="2" t="n"/>
      <c r="UUS1" s="2" t="n"/>
      <c r="UUT1" s="2" t="n"/>
      <c r="UUU1" s="2" t="n"/>
      <c r="UUV1" s="2" t="n"/>
      <c r="UUW1" s="2" t="n"/>
      <c r="UUX1" s="2" t="n"/>
      <c r="UUY1" s="2" t="n"/>
      <c r="UUZ1" s="2" t="n"/>
      <c r="UVA1" s="2" t="n"/>
      <c r="UVB1" s="2" t="n"/>
      <c r="UVC1" s="2" t="n"/>
      <c r="UVD1" s="2" t="n"/>
      <c r="UVE1" s="2" t="n"/>
      <c r="UVF1" s="2" t="n"/>
      <c r="UVG1" s="2" t="n"/>
      <c r="UVH1" s="2" t="n"/>
      <c r="UVI1" s="2" t="n"/>
      <c r="UVJ1" s="2" t="n"/>
      <c r="UVK1" s="2" t="n"/>
      <c r="UVL1" s="2" t="n"/>
      <c r="UVM1" s="2" t="n"/>
      <c r="UVN1" s="2" t="n"/>
      <c r="UVO1" s="2" t="n"/>
      <c r="UVP1" s="2" t="n"/>
      <c r="UVQ1" s="2" t="n"/>
      <c r="UVR1" s="2" t="n"/>
      <c r="UVS1" s="2" t="n"/>
      <c r="UVT1" s="2" t="n"/>
      <c r="UVU1" s="2" t="n"/>
      <c r="UVV1" s="2" t="n"/>
      <c r="UVW1" s="2" t="n"/>
      <c r="UVX1" s="2" t="n"/>
      <c r="UVY1" s="2" t="n"/>
      <c r="UVZ1" s="2" t="n"/>
      <c r="UWA1" s="2" t="n"/>
      <c r="UWB1" s="2" t="n"/>
      <c r="UWC1" s="2" t="n"/>
      <c r="UWD1" s="2" t="n"/>
      <c r="UWE1" s="2" t="n"/>
      <c r="UWF1" s="2" t="n"/>
      <c r="UWG1" s="2" t="n"/>
      <c r="UWH1" s="2" t="n"/>
      <c r="UWI1" s="2" t="n"/>
      <c r="UWJ1" s="2" t="n"/>
      <c r="UWK1" s="2" t="n"/>
      <c r="UWL1" s="2" t="n"/>
      <c r="UWM1" s="2" t="n"/>
      <c r="UWN1" s="2" t="n"/>
      <c r="UWO1" s="2" t="n"/>
      <c r="UWP1" s="2" t="n"/>
      <c r="UWQ1" s="2" t="n"/>
      <c r="UWR1" s="2" t="n"/>
      <c r="UWS1" s="2" t="n"/>
      <c r="UWT1" s="2" t="n"/>
      <c r="UWU1" s="2" t="n"/>
      <c r="UWV1" s="2" t="n"/>
      <c r="UWW1" s="2" t="n"/>
      <c r="UWX1" s="2" t="n"/>
      <c r="UWY1" s="2" t="n"/>
      <c r="UWZ1" s="2" t="n"/>
      <c r="UXA1" s="2" t="n"/>
      <c r="UXB1" s="2" t="n"/>
      <c r="UXC1" s="2" t="n"/>
      <c r="UXD1" s="2" t="n"/>
      <c r="UXE1" s="2" t="n"/>
      <c r="UXF1" s="2" t="n"/>
      <c r="UXG1" s="2" t="n"/>
      <c r="UXH1" s="2" t="n"/>
      <c r="UXI1" s="2" t="n"/>
      <c r="UXJ1" s="2" t="n"/>
      <c r="UXK1" s="2" t="n"/>
      <c r="UXL1" s="2" t="n"/>
      <c r="UXM1" s="2" t="n"/>
      <c r="UXN1" s="2" t="n"/>
      <c r="UXO1" s="2" t="n"/>
      <c r="UXP1" s="2" t="n"/>
      <c r="UXQ1" s="2" t="n"/>
      <c r="UXR1" s="2" t="n"/>
      <c r="UXS1" s="2" t="n"/>
      <c r="UXT1" s="2" t="n"/>
      <c r="UXU1" s="2" t="n"/>
      <c r="UXV1" s="2" t="n"/>
      <c r="UXW1" s="2" t="n"/>
      <c r="UXX1" s="2" t="n"/>
      <c r="UXY1" s="2" t="n"/>
      <c r="UXZ1" s="2" t="n"/>
      <c r="UYA1" s="2" t="n"/>
      <c r="UYB1" s="2" t="n"/>
      <c r="UYC1" s="2" t="n"/>
      <c r="UYD1" s="2" t="n"/>
      <c r="UYE1" s="2" t="n"/>
      <c r="UYF1" s="2" t="n"/>
      <c r="UYG1" s="2" t="n"/>
      <c r="UYH1" s="2" t="n"/>
      <c r="UYI1" s="2" t="n"/>
      <c r="UYJ1" s="2" t="n"/>
      <c r="UYK1" s="2" t="n"/>
      <c r="UYL1" s="2" t="n"/>
      <c r="UYM1" s="2" t="n"/>
      <c r="UYN1" s="2" t="n"/>
      <c r="UYO1" s="2" t="n"/>
      <c r="UYP1" s="2" t="n"/>
      <c r="UYQ1" s="2" t="n"/>
      <c r="UYR1" s="2" t="n"/>
      <c r="UYS1" s="2" t="n"/>
      <c r="UYT1" s="2" t="n"/>
      <c r="UYU1" s="2" t="n"/>
      <c r="UYV1" s="2" t="n"/>
      <c r="UYW1" s="2" t="n"/>
      <c r="UYX1" s="2" t="n"/>
      <c r="UYY1" s="2" t="n"/>
      <c r="UYZ1" s="2" t="n"/>
      <c r="UZA1" s="2" t="n"/>
      <c r="UZB1" s="2" t="n"/>
      <c r="UZC1" s="2" t="n"/>
      <c r="UZD1" s="2" t="n"/>
      <c r="UZE1" s="2" t="n"/>
      <c r="UZF1" s="2" t="n"/>
      <c r="UZG1" s="2" t="n"/>
      <c r="UZH1" s="2" t="n"/>
      <c r="UZI1" s="2" t="n"/>
      <c r="UZJ1" s="2" t="n"/>
      <c r="UZK1" s="2" t="n"/>
      <c r="UZL1" s="2" t="n"/>
      <c r="UZM1" s="2" t="n"/>
      <c r="UZN1" s="2" t="n"/>
      <c r="UZO1" s="2" t="n"/>
      <c r="UZP1" s="2" t="n"/>
      <c r="UZQ1" s="2" t="n"/>
      <c r="UZR1" s="2" t="n"/>
      <c r="UZS1" s="2" t="n"/>
      <c r="UZT1" s="2" t="n"/>
      <c r="UZU1" s="2" t="n"/>
      <c r="UZV1" s="2" t="n"/>
      <c r="UZW1" s="2" t="n"/>
      <c r="UZX1" s="2" t="n"/>
      <c r="UZY1" s="2" t="n"/>
      <c r="UZZ1" s="2" t="n"/>
      <c r="VAA1" s="2" t="n"/>
      <c r="VAB1" s="2" t="n"/>
      <c r="VAC1" s="2" t="n"/>
      <c r="VAD1" s="2" t="n"/>
      <c r="VAE1" s="2" t="n"/>
      <c r="VAF1" s="2" t="n"/>
      <c r="VAG1" s="2" t="n"/>
      <c r="VAH1" s="2" t="n"/>
      <c r="VAI1" s="2" t="n"/>
      <c r="VAJ1" s="2" t="n"/>
      <c r="VAK1" s="2" t="n"/>
      <c r="VAL1" s="2" t="n"/>
      <c r="VAM1" s="2" t="n"/>
      <c r="VAN1" s="2" t="n"/>
      <c r="VAO1" s="2" t="n"/>
      <c r="VAP1" s="2" t="n"/>
      <c r="VAQ1" s="2" t="n"/>
      <c r="VAR1" s="2" t="n"/>
      <c r="VAS1" s="2" t="n"/>
      <c r="VAT1" s="2" t="n"/>
      <c r="VAU1" s="2" t="n"/>
      <c r="VAV1" s="2" t="n"/>
      <c r="VAW1" s="2" t="n"/>
      <c r="VAX1" s="2" t="n"/>
      <c r="VAY1" s="2" t="n"/>
      <c r="VAZ1" s="2" t="n"/>
      <c r="VBA1" s="2" t="n"/>
      <c r="VBB1" s="2" t="n"/>
      <c r="VBC1" s="2" t="n"/>
      <c r="VBD1" s="2" t="n"/>
      <c r="VBE1" s="2" t="n"/>
      <c r="VBF1" s="2" t="n"/>
      <c r="VBG1" s="2" t="n"/>
      <c r="VBH1" s="2" t="n"/>
      <c r="VBI1" s="2" t="n"/>
      <c r="VBJ1" s="2" t="n"/>
      <c r="VBK1" s="2" t="n"/>
      <c r="VBL1" s="2" t="n"/>
      <c r="VBM1" s="2" t="n"/>
      <c r="VBN1" s="2" t="n"/>
      <c r="VBO1" s="2" t="n"/>
      <c r="VBP1" s="2" t="n"/>
      <c r="VBQ1" s="2" t="n"/>
      <c r="VBR1" s="2" t="n"/>
      <c r="VBS1" s="2" t="n"/>
      <c r="VBT1" s="2" t="n"/>
      <c r="VBU1" s="2" t="n"/>
      <c r="VBV1" s="2" t="n"/>
      <c r="VBW1" s="2" t="n"/>
      <c r="VBX1" s="2" t="n"/>
      <c r="VBY1" s="2" t="n"/>
      <c r="VBZ1" s="2" t="n"/>
      <c r="VCA1" s="2" t="n"/>
      <c r="VCB1" s="2" t="n"/>
      <c r="VCC1" s="2" t="n"/>
      <c r="VCD1" s="2" t="n"/>
      <c r="VCE1" s="2" t="n"/>
      <c r="VCF1" s="2" t="n"/>
      <c r="VCG1" s="2" t="n"/>
      <c r="VCH1" s="2" t="n"/>
      <c r="VCI1" s="2" t="n"/>
      <c r="VCJ1" s="2" t="n"/>
      <c r="VCK1" s="2" t="n"/>
      <c r="VCL1" s="2" t="n"/>
      <c r="VCM1" s="2" t="n"/>
      <c r="VCN1" s="2" t="n"/>
      <c r="VCO1" s="2" t="n"/>
      <c r="VCP1" s="2" t="n"/>
      <c r="VCQ1" s="2" t="n"/>
      <c r="VCR1" s="2" t="n"/>
      <c r="VCS1" s="2" t="n"/>
      <c r="VCT1" s="2" t="n"/>
      <c r="VCU1" s="2" t="n"/>
      <c r="VCV1" s="2" t="n"/>
      <c r="VCW1" s="2" t="n"/>
      <c r="VCX1" s="2" t="n"/>
      <c r="VCY1" s="2" t="n"/>
      <c r="VCZ1" s="2" t="n"/>
      <c r="VDA1" s="2" t="n"/>
      <c r="VDB1" s="2" t="n"/>
      <c r="VDC1" s="2" t="n"/>
      <c r="VDD1" s="2" t="n"/>
      <c r="VDE1" s="2" t="n"/>
      <c r="VDF1" s="2" t="n"/>
      <c r="VDG1" s="2" t="n"/>
      <c r="VDH1" s="2" t="n"/>
      <c r="VDI1" s="2" t="n"/>
      <c r="VDJ1" s="2" t="n"/>
      <c r="VDK1" s="2" t="n"/>
      <c r="VDL1" s="2" t="n"/>
      <c r="VDM1" s="2" t="n"/>
      <c r="VDN1" s="2" t="n"/>
      <c r="VDO1" s="2" t="n"/>
      <c r="VDP1" s="2" t="n"/>
      <c r="VDQ1" s="2" t="n"/>
      <c r="VDR1" s="2" t="n"/>
      <c r="VDS1" s="2" t="n"/>
      <c r="VDT1" s="2" t="n"/>
      <c r="VDU1" s="2" t="n"/>
      <c r="VDV1" s="2" t="n"/>
      <c r="VDW1" s="2" t="n"/>
      <c r="VDX1" s="2" t="n"/>
      <c r="VDY1" s="2" t="n"/>
      <c r="VDZ1" s="2" t="n"/>
      <c r="VEA1" s="2" t="n"/>
      <c r="VEB1" s="2" t="n"/>
      <c r="VEC1" s="2" t="n"/>
      <c r="VED1" s="2" t="n"/>
      <c r="VEE1" s="2" t="n"/>
      <c r="VEF1" s="2" t="n"/>
      <c r="VEG1" s="2" t="n"/>
      <c r="VEH1" s="2" t="n"/>
      <c r="VEI1" s="2" t="n"/>
      <c r="VEJ1" s="2" t="n"/>
      <c r="VEK1" s="2" t="n"/>
      <c r="VEL1" s="2" t="n"/>
      <c r="VEM1" s="2" t="n"/>
      <c r="VEN1" s="2" t="n"/>
      <c r="VEO1" s="2" t="n"/>
      <c r="VEP1" s="2" t="n"/>
      <c r="VEQ1" s="2" t="n"/>
      <c r="VER1" s="2" t="n"/>
      <c r="VES1" s="2" t="n"/>
      <c r="VET1" s="2" t="n"/>
      <c r="VEU1" s="2" t="n"/>
      <c r="VEV1" s="2" t="n"/>
      <c r="VEW1" s="2" t="n"/>
      <c r="VEX1" s="2" t="n"/>
      <c r="VEY1" s="2" t="n"/>
      <c r="VEZ1" s="2" t="n"/>
      <c r="VFA1" s="2" t="n"/>
      <c r="VFB1" s="2" t="n"/>
      <c r="VFC1" s="2" t="n"/>
      <c r="VFD1" s="2" t="n"/>
      <c r="VFE1" s="2" t="n"/>
      <c r="VFF1" s="2" t="n"/>
      <c r="VFG1" s="2" t="n"/>
      <c r="VFH1" s="2" t="n"/>
      <c r="VFI1" s="2" t="n"/>
      <c r="VFJ1" s="2" t="n"/>
      <c r="VFK1" s="2" t="n"/>
      <c r="VFL1" s="2" t="n"/>
      <c r="VFM1" s="2" t="n"/>
      <c r="VFN1" s="2" t="n"/>
      <c r="VFO1" s="2" t="n"/>
      <c r="VFP1" s="2" t="n"/>
      <c r="VFQ1" s="2" t="n"/>
      <c r="VFR1" s="2" t="n"/>
      <c r="VFS1" s="2" t="n"/>
      <c r="VFT1" s="2" t="n"/>
      <c r="VFU1" s="2" t="n"/>
      <c r="VFV1" s="2" t="n"/>
      <c r="VFW1" s="2" t="n"/>
      <c r="VFX1" s="2" t="n"/>
      <c r="VFY1" s="2" t="n"/>
      <c r="VFZ1" s="2" t="n"/>
      <c r="VGA1" s="2" t="n"/>
      <c r="VGB1" s="2" t="n"/>
      <c r="VGC1" s="2" t="n"/>
      <c r="VGD1" s="2" t="n"/>
      <c r="VGE1" s="2" t="n"/>
      <c r="VGF1" s="2" t="n"/>
      <c r="VGG1" s="2" t="n"/>
      <c r="VGH1" s="2" t="n"/>
      <c r="VGI1" s="2" t="n"/>
      <c r="VGJ1" s="2" t="n"/>
      <c r="VGK1" s="2" t="n"/>
      <c r="VGL1" s="2" t="n"/>
      <c r="VGM1" s="2" t="n"/>
      <c r="VGN1" s="2" t="n"/>
      <c r="VGO1" s="2" t="n"/>
      <c r="VGP1" s="2" t="n"/>
      <c r="VGQ1" s="2" t="n"/>
      <c r="VGR1" s="2" t="n"/>
      <c r="VGS1" s="2" t="n"/>
      <c r="VGT1" s="2" t="n"/>
      <c r="VGU1" s="2" t="n"/>
      <c r="VGV1" s="2" t="n"/>
      <c r="VGW1" s="2" t="n"/>
      <c r="VGX1" s="2" t="n"/>
      <c r="VGY1" s="2" t="n"/>
      <c r="VGZ1" s="2" t="n"/>
      <c r="VHA1" s="2" t="n"/>
      <c r="VHB1" s="2" t="n"/>
      <c r="VHC1" s="2" t="n"/>
      <c r="VHD1" s="2" t="n"/>
      <c r="VHE1" s="2" t="n"/>
      <c r="VHF1" s="2" t="n"/>
      <c r="VHG1" s="2" t="n"/>
      <c r="VHH1" s="2" t="n"/>
      <c r="VHI1" s="2" t="n"/>
      <c r="VHJ1" s="2" t="n"/>
      <c r="VHK1" s="2" t="n"/>
      <c r="VHL1" s="2" t="n"/>
      <c r="VHM1" s="2" t="n"/>
      <c r="VHN1" s="2" t="n"/>
      <c r="VHO1" s="2" t="n"/>
      <c r="VHP1" s="2" t="n"/>
      <c r="VHQ1" s="2" t="n"/>
      <c r="VHR1" s="2" t="n"/>
      <c r="VHS1" s="2" t="n"/>
      <c r="VHT1" s="2" t="n"/>
      <c r="VHU1" s="2" t="n"/>
      <c r="VHV1" s="2" t="n"/>
      <c r="VHW1" s="2" t="n"/>
      <c r="VHX1" s="2" t="n"/>
      <c r="VHY1" s="2" t="n"/>
      <c r="VHZ1" s="2" t="n"/>
      <c r="VIA1" s="2" t="n"/>
      <c r="VIB1" s="2" t="n"/>
      <c r="VIC1" s="2" t="n"/>
      <c r="VID1" s="2" t="n"/>
      <c r="VIE1" s="2" t="n"/>
      <c r="VIF1" s="2" t="n"/>
      <c r="VIG1" s="2" t="n"/>
      <c r="VIH1" s="2" t="n"/>
      <c r="VII1" s="2" t="n"/>
      <c r="VIJ1" s="2" t="n"/>
      <c r="VIK1" s="2" t="n"/>
      <c r="VIL1" s="2" t="n"/>
      <c r="VIM1" s="2" t="n"/>
      <c r="VIN1" s="2" t="n"/>
      <c r="VIO1" s="2" t="n"/>
      <c r="VIP1" s="2" t="n"/>
      <c r="VIQ1" s="2" t="n"/>
      <c r="VIR1" s="2" t="n"/>
      <c r="VIS1" s="2" t="n"/>
      <c r="VIT1" s="2" t="n"/>
      <c r="VIU1" s="2" t="n"/>
      <c r="VIV1" s="2" t="n"/>
      <c r="VIW1" s="2" t="n"/>
      <c r="VIX1" s="2" t="n"/>
      <c r="VIY1" s="2" t="n"/>
      <c r="VIZ1" s="2" t="n"/>
      <c r="VJA1" s="2" t="n"/>
      <c r="VJB1" s="2" t="n"/>
      <c r="VJC1" s="2" t="n"/>
      <c r="VJD1" s="2" t="n"/>
      <c r="VJE1" s="2" t="n"/>
      <c r="VJF1" s="2" t="n"/>
      <c r="VJG1" s="2" t="n"/>
      <c r="VJH1" s="2" t="n"/>
      <c r="VJI1" s="2" t="n"/>
      <c r="VJJ1" s="2" t="n"/>
      <c r="VJK1" s="2" t="n"/>
      <c r="VJL1" s="2" t="n"/>
      <c r="VJM1" s="2" t="n"/>
      <c r="VJN1" s="2" t="n"/>
      <c r="VJO1" s="2" t="n"/>
      <c r="VJP1" s="2" t="n"/>
      <c r="VJQ1" s="2" t="n"/>
      <c r="VJR1" s="2" t="n"/>
      <c r="VJS1" s="2" t="n"/>
      <c r="VJT1" s="2" t="n"/>
      <c r="VJU1" s="2" t="n"/>
      <c r="VJV1" s="2" t="n"/>
      <c r="VJW1" s="2" t="n"/>
      <c r="VJX1" s="2" t="n"/>
      <c r="VJY1" s="2" t="n"/>
      <c r="VJZ1" s="2" t="n"/>
      <c r="VKA1" s="2" t="n"/>
      <c r="VKB1" s="2" t="n"/>
      <c r="VKC1" s="2" t="n"/>
      <c r="VKD1" s="2" t="n"/>
      <c r="VKE1" s="2" t="n"/>
      <c r="VKF1" s="2" t="n"/>
      <c r="VKG1" s="2" t="n"/>
      <c r="VKH1" s="2" t="n"/>
      <c r="VKI1" s="2" t="n"/>
      <c r="VKJ1" s="2" t="n"/>
      <c r="VKK1" s="2" t="n"/>
      <c r="VKL1" s="2" t="n"/>
      <c r="VKM1" s="2" t="n"/>
      <c r="VKN1" s="2" t="n"/>
      <c r="VKO1" s="2" t="n"/>
      <c r="VKP1" s="2" t="n"/>
      <c r="VKQ1" s="2" t="n"/>
      <c r="VKR1" s="2" t="n"/>
      <c r="VKS1" s="2" t="n"/>
      <c r="VKT1" s="2" t="n"/>
      <c r="VKU1" s="2" t="n"/>
      <c r="VKV1" s="2" t="n"/>
      <c r="VKW1" s="2" t="n"/>
      <c r="VKX1" s="2" t="n"/>
      <c r="VKY1" s="2" t="n"/>
      <c r="VKZ1" s="2" t="n"/>
      <c r="VLA1" s="2" t="n"/>
      <c r="VLB1" s="2" t="n"/>
      <c r="VLC1" s="2" t="n"/>
      <c r="VLD1" s="2" t="n"/>
      <c r="VLE1" s="2" t="n"/>
      <c r="VLF1" s="2" t="n"/>
      <c r="VLG1" s="2" t="n"/>
      <c r="VLH1" s="2" t="n"/>
      <c r="VLI1" s="2" t="n"/>
      <c r="VLJ1" s="2" t="n"/>
      <c r="VLK1" s="2" t="n"/>
      <c r="VLL1" s="2" t="n"/>
      <c r="VLM1" s="2" t="n"/>
      <c r="VLN1" s="2" t="n"/>
      <c r="VLO1" s="2" t="n"/>
      <c r="VLP1" s="2" t="n"/>
      <c r="VLQ1" s="2" t="n"/>
      <c r="VLR1" s="2" t="n"/>
      <c r="VLS1" s="2" t="n"/>
      <c r="VLT1" s="2" t="n"/>
      <c r="VLU1" s="2" t="n"/>
      <c r="VLV1" s="2" t="n"/>
      <c r="VLW1" s="2" t="n"/>
      <c r="VLX1" s="2" t="n"/>
      <c r="VLY1" s="2" t="n"/>
      <c r="VLZ1" s="2" t="n"/>
      <c r="VMA1" s="2" t="n"/>
      <c r="VMB1" s="2" t="n"/>
      <c r="VMC1" s="2" t="n"/>
      <c r="VMD1" s="2" t="n"/>
      <c r="VME1" s="2" t="n"/>
      <c r="VMF1" s="2" t="n"/>
      <c r="VMG1" s="2" t="n"/>
      <c r="VMH1" s="2" t="n"/>
      <c r="VMI1" s="2" t="n"/>
      <c r="VMJ1" s="2" t="n"/>
      <c r="VMK1" s="2" t="n"/>
      <c r="VML1" s="2" t="n"/>
      <c r="VMM1" s="2" t="n"/>
      <c r="VMN1" s="2" t="n"/>
      <c r="VMO1" s="2" t="n"/>
      <c r="VMP1" s="2" t="n"/>
      <c r="VMQ1" s="2" t="n"/>
      <c r="VMR1" s="2" t="n"/>
      <c r="VMS1" s="2" t="n"/>
      <c r="VMT1" s="2" t="n"/>
      <c r="VMU1" s="2" t="n"/>
      <c r="VMV1" s="2" t="n"/>
      <c r="VMW1" s="2" t="n"/>
      <c r="VMX1" s="2" t="n"/>
      <c r="VMY1" s="2" t="n"/>
      <c r="VMZ1" s="2" t="n"/>
      <c r="VNA1" s="2" t="n"/>
      <c r="VNB1" s="2" t="n"/>
      <c r="VNC1" s="2" t="n"/>
      <c r="VND1" s="2" t="n"/>
      <c r="VNE1" s="2" t="n"/>
      <c r="VNF1" s="2" t="n"/>
      <c r="VNG1" s="2" t="n"/>
      <c r="VNH1" s="2" t="n"/>
      <c r="VNI1" s="2" t="n"/>
      <c r="VNJ1" s="2" t="n"/>
      <c r="VNK1" s="2" t="n"/>
      <c r="VNL1" s="2" t="n"/>
      <c r="VNM1" s="2" t="n"/>
      <c r="VNN1" s="2" t="n"/>
      <c r="VNO1" s="2" t="n"/>
      <c r="VNP1" s="2" t="n"/>
      <c r="VNQ1" s="2" t="n"/>
      <c r="VNR1" s="2" t="n"/>
      <c r="VNS1" s="2" t="n"/>
      <c r="VNT1" s="2" t="n"/>
      <c r="VNU1" s="2" t="n"/>
      <c r="VNV1" s="2" t="n"/>
      <c r="VNW1" s="2" t="n"/>
      <c r="VNX1" s="2" t="n"/>
      <c r="VNY1" s="2" t="n"/>
      <c r="VNZ1" s="2" t="n"/>
      <c r="VOA1" s="2" t="n"/>
      <c r="VOB1" s="2" t="n"/>
      <c r="VOC1" s="2" t="n"/>
      <c r="VOD1" s="2" t="n"/>
      <c r="VOE1" s="2" t="n"/>
      <c r="VOF1" s="2" t="n"/>
      <c r="VOG1" s="2" t="n"/>
      <c r="VOH1" s="2" t="n"/>
      <c r="VOI1" s="2" t="n"/>
      <c r="VOJ1" s="2" t="n"/>
      <c r="VOK1" s="2" t="n"/>
      <c r="VOL1" s="2" t="n"/>
      <c r="VOM1" s="2" t="n"/>
      <c r="VON1" s="2" t="n"/>
      <c r="VOO1" s="2" t="n"/>
      <c r="VOP1" s="2" t="n"/>
      <c r="VOQ1" s="2" t="n"/>
      <c r="VOR1" s="2" t="n"/>
      <c r="VOS1" s="2" t="n"/>
      <c r="VOT1" s="2" t="n"/>
      <c r="VOU1" s="2" t="n"/>
      <c r="VOV1" s="2" t="n"/>
      <c r="VOW1" s="2" t="n"/>
      <c r="VOX1" s="2" t="n"/>
      <c r="VOY1" s="2" t="n"/>
      <c r="VOZ1" s="2" t="n"/>
      <c r="VPA1" s="2" t="n"/>
      <c r="VPB1" s="2" t="n"/>
      <c r="VPC1" s="2" t="n"/>
      <c r="VPD1" s="2" t="n"/>
      <c r="VPE1" s="2" t="n"/>
      <c r="VPF1" s="2" t="n"/>
      <c r="VPG1" s="2" t="n"/>
      <c r="VPH1" s="2" t="n"/>
      <c r="VPI1" s="2" t="n"/>
      <c r="VPJ1" s="2" t="n"/>
      <c r="VPK1" s="2" t="n"/>
      <c r="VPL1" s="2" t="n"/>
      <c r="VPM1" s="2" t="n"/>
      <c r="VPN1" s="2" t="n"/>
      <c r="VPO1" s="2" t="n"/>
      <c r="VPP1" s="2" t="n"/>
      <c r="VPQ1" s="2" t="n"/>
      <c r="VPR1" s="2" t="n"/>
      <c r="VPS1" s="2" t="n"/>
      <c r="VPT1" s="2" t="n"/>
      <c r="VPU1" s="2" t="n"/>
      <c r="VPV1" s="2" t="n"/>
      <c r="VPW1" s="2" t="n"/>
      <c r="VPX1" s="2" t="n"/>
      <c r="VPY1" s="2" t="n"/>
      <c r="VPZ1" s="2" t="n"/>
      <c r="VQA1" s="2" t="n"/>
      <c r="VQB1" s="2" t="n"/>
      <c r="VQC1" s="2" t="n"/>
      <c r="VQD1" s="2" t="n"/>
      <c r="VQE1" s="2" t="n"/>
      <c r="VQF1" s="2" t="n"/>
      <c r="VQG1" s="2" t="n"/>
      <c r="VQH1" s="2" t="n"/>
      <c r="VQI1" s="2" t="n"/>
      <c r="VQJ1" s="2" t="n"/>
      <c r="VQK1" s="2" t="n"/>
      <c r="VQL1" s="2" t="n"/>
      <c r="VQM1" s="2" t="n"/>
      <c r="VQN1" s="2" t="n"/>
      <c r="VQO1" s="2" t="n"/>
      <c r="VQP1" s="2" t="n"/>
      <c r="VQQ1" s="2" t="n"/>
      <c r="VQR1" s="2" t="n"/>
      <c r="VQS1" s="2" t="n"/>
      <c r="VQT1" s="2" t="n"/>
      <c r="VQU1" s="2" t="n"/>
      <c r="VQV1" s="2" t="n"/>
      <c r="VQW1" s="2" t="n"/>
      <c r="VQX1" s="2" t="n"/>
      <c r="VQY1" s="2" t="n"/>
      <c r="VQZ1" s="2" t="n"/>
      <c r="VRA1" s="2" t="n"/>
      <c r="VRB1" s="2" t="n"/>
      <c r="VRC1" s="2" t="n"/>
      <c r="VRD1" s="2" t="n"/>
      <c r="VRE1" s="2" t="n"/>
      <c r="VRF1" s="2" t="n"/>
      <c r="VRG1" s="2" t="n"/>
      <c r="VRH1" s="2" t="n"/>
      <c r="VRI1" s="2" t="n"/>
      <c r="VRJ1" s="2" t="n"/>
      <c r="VRK1" s="2" t="n"/>
      <c r="VRL1" s="2" t="n"/>
      <c r="VRM1" s="2" t="n"/>
      <c r="VRN1" s="2" t="n"/>
      <c r="VRO1" s="2" t="n"/>
      <c r="VRP1" s="2" t="n"/>
      <c r="VRQ1" s="2" t="n"/>
      <c r="VRR1" s="2" t="n"/>
      <c r="VRS1" s="2" t="n"/>
      <c r="VRT1" s="2" t="n"/>
      <c r="VRU1" s="2" t="n"/>
      <c r="VRV1" s="2" t="n"/>
      <c r="VRW1" s="2" t="n"/>
      <c r="VRX1" s="2" t="n"/>
      <c r="VRY1" s="2" t="n"/>
      <c r="VRZ1" s="2" t="n"/>
      <c r="VSA1" s="2" t="n"/>
      <c r="VSB1" s="2" t="n"/>
      <c r="VSC1" s="2" t="n"/>
      <c r="VSD1" s="2" t="n"/>
      <c r="VSE1" s="2" t="n"/>
      <c r="VSF1" s="2" t="n"/>
      <c r="VSG1" s="2" t="n"/>
      <c r="VSH1" s="2" t="n"/>
      <c r="VSI1" s="2" t="n"/>
      <c r="VSJ1" s="2" t="n"/>
      <c r="VSK1" s="2" t="n"/>
      <c r="VSL1" s="2" t="n"/>
      <c r="VSM1" s="2" t="n"/>
      <c r="VSN1" s="2" t="n"/>
      <c r="VSO1" s="2" t="n"/>
      <c r="VSP1" s="2" t="n"/>
      <c r="VSQ1" s="2" t="n"/>
      <c r="VSR1" s="2" t="n"/>
      <c r="VSS1" s="2" t="n"/>
      <c r="VST1" s="2" t="n"/>
      <c r="VSU1" s="2" t="n"/>
      <c r="VSV1" s="2" t="n"/>
      <c r="VSW1" s="2" t="n"/>
      <c r="VSX1" s="2" t="n"/>
      <c r="VSY1" s="2" t="n"/>
      <c r="VSZ1" s="2" t="n"/>
      <c r="VTA1" s="2" t="n"/>
      <c r="VTB1" s="2" t="n"/>
      <c r="VTC1" s="2" t="n"/>
      <c r="VTD1" s="2" t="n"/>
      <c r="VTE1" s="2" t="n"/>
      <c r="VTF1" s="2" t="n"/>
      <c r="VTG1" s="2" t="n"/>
      <c r="VTH1" s="2" t="n"/>
      <c r="VTI1" s="2" t="n"/>
      <c r="VTJ1" s="2" t="n"/>
      <c r="VTK1" s="2" t="n"/>
      <c r="VTL1" s="2" t="n"/>
      <c r="VTM1" s="2" t="n"/>
      <c r="VTN1" s="2" t="n"/>
      <c r="VTO1" s="2" t="n"/>
      <c r="VTP1" s="2" t="n"/>
      <c r="VTQ1" s="2" t="n"/>
      <c r="VTR1" s="2" t="n"/>
      <c r="VTS1" s="2" t="n"/>
      <c r="VTT1" s="2" t="n"/>
      <c r="VTU1" s="2" t="n"/>
      <c r="VTV1" s="2" t="n"/>
      <c r="VTW1" s="2" t="n"/>
      <c r="VTX1" s="2" t="n"/>
      <c r="VTY1" s="2" t="n"/>
      <c r="VTZ1" s="2" t="n"/>
      <c r="VUA1" s="2" t="n"/>
      <c r="VUB1" s="2" t="n"/>
      <c r="VUC1" s="2" t="n"/>
      <c r="VUD1" s="2" t="n"/>
      <c r="VUE1" s="2" t="n"/>
      <c r="VUF1" s="2" t="n"/>
      <c r="VUG1" s="2" t="n"/>
      <c r="VUH1" s="2" t="n"/>
      <c r="VUI1" s="2" t="n"/>
      <c r="VUJ1" s="2" t="n"/>
      <c r="VUK1" s="2" t="n"/>
      <c r="VUL1" s="2" t="n"/>
      <c r="VUM1" s="2" t="n"/>
      <c r="VUN1" s="2" t="n"/>
      <c r="VUO1" s="2" t="n"/>
      <c r="VUP1" s="2" t="n"/>
      <c r="VUQ1" s="2" t="n"/>
      <c r="VUR1" s="2" t="n"/>
      <c r="VUS1" s="2" t="n"/>
      <c r="VUT1" s="2" t="n"/>
      <c r="VUU1" s="2" t="n"/>
      <c r="VUV1" s="2" t="n"/>
      <c r="VUW1" s="2" t="n"/>
      <c r="VUX1" s="2" t="n"/>
      <c r="VUY1" s="2" t="n"/>
      <c r="VUZ1" s="2" t="n"/>
      <c r="VVA1" s="2" t="n"/>
      <c r="VVB1" s="2" t="n"/>
      <c r="VVC1" s="2" t="n"/>
      <c r="VVD1" s="2" t="n"/>
      <c r="VVE1" s="2" t="n"/>
      <c r="VVF1" s="2" t="n"/>
      <c r="VVG1" s="2" t="n"/>
      <c r="VVH1" s="2" t="n"/>
      <c r="VVI1" s="2" t="n"/>
      <c r="VVJ1" s="2" t="n"/>
      <c r="VVK1" s="2" t="n"/>
      <c r="VVL1" s="2" t="n"/>
      <c r="VVM1" s="2" t="n"/>
      <c r="VVN1" s="2" t="n"/>
      <c r="VVO1" s="2" t="n"/>
      <c r="VVP1" s="2" t="n"/>
      <c r="VVQ1" s="2" t="n"/>
      <c r="VVR1" s="2" t="n"/>
      <c r="VVS1" s="2" t="n"/>
      <c r="VVT1" s="2" t="n"/>
      <c r="VVU1" s="2" t="n"/>
      <c r="VVV1" s="2" t="n"/>
      <c r="VVW1" s="2" t="n"/>
      <c r="VVX1" s="2" t="n"/>
      <c r="VVY1" s="2" t="n"/>
      <c r="VVZ1" s="2" t="n"/>
      <c r="VWA1" s="2" t="n"/>
      <c r="VWB1" s="2" t="n"/>
      <c r="VWC1" s="2" t="n"/>
      <c r="VWD1" s="2" t="n"/>
      <c r="VWE1" s="2" t="n"/>
      <c r="VWF1" s="2" t="n"/>
      <c r="VWG1" s="2" t="n"/>
      <c r="VWH1" s="2" t="n"/>
      <c r="VWI1" s="2" t="n"/>
      <c r="VWJ1" s="2" t="n"/>
      <c r="VWK1" s="2" t="n"/>
      <c r="VWL1" s="2" t="n"/>
      <c r="VWM1" s="2" t="n"/>
      <c r="VWN1" s="2" t="n"/>
      <c r="VWO1" s="2" t="n"/>
      <c r="VWP1" s="2" t="n"/>
      <c r="VWQ1" s="2" t="n"/>
      <c r="VWR1" s="2" t="n"/>
      <c r="VWS1" s="2" t="n"/>
      <c r="VWT1" s="2" t="n"/>
      <c r="VWU1" s="2" t="n"/>
      <c r="VWV1" s="2" t="n"/>
      <c r="VWW1" s="2" t="n"/>
      <c r="VWX1" s="2" t="n"/>
      <c r="VWY1" s="2" t="n"/>
      <c r="VWZ1" s="2" t="n"/>
      <c r="VXA1" s="2" t="n"/>
      <c r="VXB1" s="2" t="n"/>
      <c r="VXC1" s="2" t="n"/>
      <c r="VXD1" s="2" t="n"/>
      <c r="VXE1" s="2" t="n"/>
      <c r="VXF1" s="2" t="n"/>
      <c r="VXG1" s="2" t="n"/>
      <c r="VXH1" s="2" t="n"/>
      <c r="VXI1" s="2" t="n"/>
      <c r="VXJ1" s="2" t="n"/>
      <c r="VXK1" s="2" t="n"/>
      <c r="VXL1" s="2" t="n"/>
      <c r="VXM1" s="2" t="n"/>
      <c r="VXN1" s="2" t="n"/>
      <c r="VXO1" s="2" t="n"/>
      <c r="VXP1" s="2" t="n"/>
      <c r="VXQ1" s="2" t="n"/>
      <c r="VXR1" s="2" t="n"/>
      <c r="VXS1" s="2" t="n"/>
      <c r="VXT1" s="2" t="n"/>
      <c r="VXU1" s="2" t="n"/>
      <c r="VXV1" s="2" t="n"/>
      <c r="VXW1" s="2" t="n"/>
      <c r="VXX1" s="2" t="n"/>
      <c r="VXY1" s="2" t="n"/>
      <c r="VXZ1" s="2" t="n"/>
      <c r="VYA1" s="2" t="n"/>
      <c r="VYB1" s="2" t="n"/>
      <c r="VYC1" s="2" t="n"/>
      <c r="VYD1" s="2" t="n"/>
      <c r="VYE1" s="2" t="n"/>
      <c r="VYF1" s="2" t="n"/>
      <c r="VYG1" s="2" t="n"/>
      <c r="VYH1" s="2" t="n"/>
      <c r="VYI1" s="2" t="n"/>
      <c r="VYJ1" s="2" t="n"/>
      <c r="VYK1" s="2" t="n"/>
      <c r="VYL1" s="2" t="n"/>
      <c r="VYM1" s="2" t="n"/>
      <c r="VYN1" s="2" t="n"/>
      <c r="VYO1" s="2" t="n"/>
      <c r="VYP1" s="2" t="n"/>
      <c r="VYQ1" s="2" t="n"/>
      <c r="VYR1" s="2" t="n"/>
      <c r="VYS1" s="2" t="n"/>
      <c r="VYT1" s="2" t="n"/>
      <c r="VYU1" s="2" t="n"/>
      <c r="VYV1" s="2" t="n"/>
      <c r="VYW1" s="2" t="n"/>
      <c r="VYX1" s="2" t="n"/>
      <c r="VYY1" s="2" t="n"/>
      <c r="VYZ1" s="2" t="n"/>
      <c r="VZA1" s="2" t="n"/>
      <c r="VZB1" s="2" t="n"/>
      <c r="VZC1" s="2" t="n"/>
      <c r="VZD1" s="2" t="n"/>
      <c r="VZE1" s="2" t="n"/>
      <c r="VZF1" s="2" t="n"/>
      <c r="VZG1" s="2" t="n"/>
      <c r="VZH1" s="2" t="n"/>
      <c r="VZI1" s="2" t="n"/>
      <c r="VZJ1" s="2" t="n"/>
      <c r="VZK1" s="2" t="n"/>
      <c r="VZL1" s="2" t="n"/>
      <c r="VZM1" s="2" t="n"/>
      <c r="VZN1" s="2" t="n"/>
      <c r="VZO1" s="2" t="n"/>
      <c r="VZP1" s="2" t="n"/>
      <c r="VZQ1" s="2" t="n"/>
      <c r="VZR1" s="2" t="n"/>
      <c r="VZS1" s="2" t="n"/>
      <c r="VZT1" s="2" t="n"/>
      <c r="VZU1" s="2" t="n"/>
      <c r="VZV1" s="2" t="n"/>
      <c r="VZW1" s="2" t="n"/>
      <c r="VZX1" s="2" t="n"/>
      <c r="VZY1" s="2" t="n"/>
      <c r="VZZ1" s="2" t="n"/>
      <c r="WAA1" s="2" t="n"/>
      <c r="WAB1" s="2" t="n"/>
      <c r="WAC1" s="2" t="n"/>
      <c r="WAD1" s="2" t="n"/>
      <c r="WAE1" s="2" t="n"/>
      <c r="WAF1" s="2" t="n"/>
      <c r="WAG1" s="2" t="n"/>
      <c r="WAH1" s="2" t="n"/>
      <c r="WAI1" s="2" t="n"/>
      <c r="WAJ1" s="2" t="n"/>
      <c r="WAK1" s="2" t="n"/>
      <c r="WAL1" s="2" t="n"/>
      <c r="WAM1" s="2" t="n"/>
      <c r="WAN1" s="2" t="n"/>
      <c r="WAO1" s="2" t="n"/>
      <c r="WAP1" s="2" t="n"/>
      <c r="WAQ1" s="2" t="n"/>
      <c r="WAR1" s="2" t="n"/>
      <c r="WAS1" s="2" t="n"/>
      <c r="WAT1" s="2" t="n"/>
      <c r="WAU1" s="2" t="n"/>
      <c r="WAV1" s="2" t="n"/>
      <c r="WAW1" s="2" t="n"/>
      <c r="WAX1" s="2" t="n"/>
      <c r="WAY1" s="2" t="n"/>
      <c r="WAZ1" s="2" t="n"/>
      <c r="WBA1" s="2" t="n"/>
      <c r="WBB1" s="2" t="n"/>
      <c r="WBC1" s="2" t="n"/>
      <c r="WBD1" s="2" t="n"/>
      <c r="WBE1" s="2" t="n"/>
      <c r="WBF1" s="2" t="n"/>
      <c r="WBG1" s="2" t="n"/>
      <c r="WBH1" s="2" t="n"/>
      <c r="WBI1" s="2" t="n"/>
      <c r="WBJ1" s="2" t="n"/>
      <c r="WBK1" s="2" t="n"/>
      <c r="WBL1" s="2" t="n"/>
      <c r="WBM1" s="2" t="n"/>
      <c r="WBN1" s="2" t="n"/>
      <c r="WBO1" s="2" t="n"/>
      <c r="WBP1" s="2" t="n"/>
      <c r="WBQ1" s="2" t="n"/>
      <c r="WBR1" s="2" t="n"/>
      <c r="WBS1" s="2" t="n"/>
      <c r="WBT1" s="2" t="n"/>
      <c r="WBU1" s="2" t="n"/>
      <c r="WBV1" s="2" t="n"/>
      <c r="WBW1" s="2" t="n"/>
      <c r="WBX1" s="2" t="n"/>
      <c r="WBY1" s="2" t="n"/>
      <c r="WBZ1" s="2" t="n"/>
      <c r="WCA1" s="2" t="n"/>
      <c r="WCB1" s="2" t="n"/>
      <c r="WCC1" s="2" t="n"/>
      <c r="WCD1" s="2" t="n"/>
      <c r="WCE1" s="2" t="n"/>
      <c r="WCF1" s="2" t="n"/>
      <c r="WCG1" s="2" t="n"/>
      <c r="WCH1" s="2" t="n"/>
      <c r="WCI1" s="2" t="n"/>
      <c r="WCJ1" s="2" t="n"/>
      <c r="WCK1" s="2" t="n"/>
      <c r="WCL1" s="2" t="n"/>
      <c r="WCM1" s="2" t="n"/>
      <c r="WCN1" s="2" t="n"/>
      <c r="WCO1" s="2" t="n"/>
      <c r="WCP1" s="2" t="n"/>
      <c r="WCQ1" s="2" t="n"/>
      <c r="WCR1" s="2" t="n"/>
      <c r="WCS1" s="2" t="n"/>
      <c r="WCT1" s="2" t="n"/>
      <c r="WCU1" s="2" t="n"/>
      <c r="WCV1" s="2" t="n"/>
      <c r="WCW1" s="2" t="n"/>
      <c r="WCX1" s="2" t="n"/>
      <c r="WCY1" s="2" t="n"/>
      <c r="WCZ1" s="2" t="n"/>
      <c r="WDA1" s="2" t="n"/>
      <c r="WDB1" s="2" t="n"/>
      <c r="WDC1" s="2" t="n"/>
      <c r="WDD1" s="2" t="n"/>
      <c r="WDE1" s="2" t="n"/>
      <c r="WDF1" s="2" t="n"/>
      <c r="WDG1" s="2" t="n"/>
      <c r="WDH1" s="2" t="n"/>
      <c r="WDI1" s="2" t="n"/>
      <c r="WDJ1" s="2" t="n"/>
      <c r="WDK1" s="2" t="n"/>
      <c r="WDL1" s="2" t="n"/>
      <c r="WDM1" s="2" t="n"/>
      <c r="WDN1" s="2" t="n"/>
      <c r="WDO1" s="2" t="n"/>
      <c r="WDP1" s="2" t="n"/>
      <c r="WDQ1" s="2" t="n"/>
      <c r="WDR1" s="2" t="n"/>
      <c r="WDS1" s="2" t="n"/>
      <c r="WDT1" s="2" t="n"/>
      <c r="WDU1" s="2" t="n"/>
      <c r="WDV1" s="2" t="n"/>
      <c r="WDW1" s="2" t="n"/>
      <c r="WDX1" s="2" t="n"/>
      <c r="WDY1" s="2" t="n"/>
      <c r="WDZ1" s="2" t="n"/>
      <c r="WEA1" s="2" t="n"/>
      <c r="WEB1" s="2" t="n"/>
      <c r="WEC1" s="2" t="n"/>
      <c r="WED1" s="2" t="n"/>
      <c r="WEE1" s="2" t="n"/>
      <c r="WEF1" s="2" t="n"/>
      <c r="WEG1" s="2" t="n"/>
      <c r="WEH1" s="2" t="n"/>
      <c r="WEI1" s="2" t="n"/>
      <c r="WEJ1" s="2" t="n"/>
      <c r="WEK1" s="2" t="n"/>
      <c r="WEL1" s="2" t="n"/>
      <c r="WEM1" s="2" t="n"/>
      <c r="WEN1" s="2" t="n"/>
      <c r="WEO1" s="2" t="n"/>
      <c r="WEP1" s="2" t="n"/>
      <c r="WEQ1" s="2" t="n"/>
      <c r="WER1" s="2" t="n"/>
      <c r="WES1" s="2" t="n"/>
      <c r="WET1" s="2" t="n"/>
      <c r="WEU1" s="2" t="n"/>
      <c r="WEV1" s="2" t="n"/>
      <c r="WEW1" s="2" t="n"/>
      <c r="WEX1" s="2" t="n"/>
      <c r="WEY1" s="2" t="n"/>
      <c r="WEZ1" s="2" t="n"/>
      <c r="WFA1" s="2" t="n"/>
      <c r="WFB1" s="2" t="n"/>
      <c r="WFC1" s="2" t="n"/>
      <c r="WFD1" s="2" t="n"/>
      <c r="WFE1" s="2" t="n"/>
      <c r="WFF1" s="2" t="n"/>
      <c r="WFG1" s="2" t="n"/>
      <c r="WFH1" s="2" t="n"/>
      <c r="WFI1" s="2" t="n"/>
      <c r="WFJ1" s="2" t="n"/>
      <c r="WFK1" s="2" t="n"/>
      <c r="WFL1" s="2" t="n"/>
      <c r="WFM1" s="2" t="n"/>
      <c r="WFN1" s="2" t="n"/>
      <c r="WFO1" s="2" t="n"/>
      <c r="WFP1" s="2" t="n"/>
      <c r="WFQ1" s="2" t="n"/>
      <c r="WFR1" s="2" t="n"/>
      <c r="WFS1" s="2" t="n"/>
      <c r="WFT1" s="2" t="n"/>
      <c r="WFU1" s="2" t="n"/>
      <c r="WFV1" s="2" t="n"/>
      <c r="WFW1" s="2" t="n"/>
      <c r="WFX1" s="2" t="n"/>
      <c r="WFY1" s="2" t="n"/>
      <c r="WFZ1" s="2" t="n"/>
      <c r="WGA1" s="2" t="n"/>
      <c r="WGB1" s="2" t="n"/>
      <c r="WGC1" s="2" t="n"/>
      <c r="WGD1" s="2" t="n"/>
      <c r="WGE1" s="2" t="n"/>
      <c r="WGF1" s="2" t="n"/>
      <c r="WGG1" s="2" t="n"/>
      <c r="WGH1" s="2" t="n"/>
      <c r="WGI1" s="2" t="n"/>
      <c r="WGJ1" s="2" t="n"/>
      <c r="WGK1" s="2" t="n"/>
      <c r="WGL1" s="2" t="n"/>
      <c r="WGM1" s="2" t="n"/>
      <c r="WGN1" s="2" t="n"/>
      <c r="WGO1" s="2" t="n"/>
      <c r="WGP1" s="2" t="n"/>
      <c r="WGQ1" s="2" t="n"/>
      <c r="WGR1" s="2" t="n"/>
      <c r="WGS1" s="2" t="n"/>
      <c r="WGT1" s="2" t="n"/>
      <c r="WGU1" s="2" t="n"/>
      <c r="WGV1" s="2" t="n"/>
      <c r="WGW1" s="2" t="n"/>
      <c r="WGX1" s="2" t="n"/>
      <c r="WGY1" s="2" t="n"/>
      <c r="WGZ1" s="2" t="n"/>
      <c r="WHA1" s="2" t="n"/>
      <c r="WHB1" s="2" t="n"/>
      <c r="WHC1" s="2" t="n"/>
      <c r="WHD1" s="2" t="n"/>
      <c r="WHE1" s="2" t="n"/>
      <c r="WHF1" s="2" t="n"/>
      <c r="WHG1" s="2" t="n"/>
      <c r="WHH1" s="2" t="n"/>
      <c r="WHI1" s="2" t="n"/>
      <c r="WHJ1" s="2" t="n"/>
      <c r="WHK1" s="2" t="n"/>
      <c r="WHL1" s="2" t="n"/>
      <c r="WHM1" s="2" t="n"/>
      <c r="WHN1" s="2" t="n"/>
      <c r="WHO1" s="2" t="n"/>
      <c r="WHP1" s="2" t="n"/>
      <c r="WHQ1" s="2" t="n"/>
      <c r="WHR1" s="2" t="n"/>
      <c r="WHS1" s="2" t="n"/>
      <c r="WHT1" s="2" t="n"/>
      <c r="WHU1" s="2" t="n"/>
      <c r="WHV1" s="2" t="n"/>
      <c r="WHW1" s="2" t="n"/>
      <c r="WHX1" s="2" t="n"/>
      <c r="WHY1" s="2" t="n"/>
      <c r="WHZ1" s="2" t="n"/>
      <c r="WIA1" s="2" t="n"/>
      <c r="WIB1" s="2" t="n"/>
      <c r="WIC1" s="2" t="n"/>
      <c r="WID1" s="2" t="n"/>
      <c r="WIE1" s="2" t="n"/>
      <c r="WIF1" s="2" t="n"/>
      <c r="WIG1" s="2" t="n"/>
      <c r="WIH1" s="2" t="n"/>
      <c r="WII1" s="2" t="n"/>
      <c r="WIJ1" s="2" t="n"/>
      <c r="WIK1" s="2" t="n"/>
      <c r="WIL1" s="2" t="n"/>
      <c r="WIM1" s="2" t="n"/>
      <c r="WIN1" s="2" t="n"/>
      <c r="WIO1" s="2" t="n"/>
      <c r="WIP1" s="2" t="n"/>
      <c r="WIQ1" s="2" t="n"/>
      <c r="WIR1" s="2" t="n"/>
      <c r="WIS1" s="2" t="n"/>
      <c r="WIT1" s="2" t="n"/>
      <c r="WIU1" s="2" t="n"/>
      <c r="WIV1" s="2" t="n"/>
      <c r="WIW1" s="2" t="n"/>
      <c r="WIX1" s="2" t="n"/>
      <c r="WIY1" s="2" t="n"/>
      <c r="WIZ1" s="2" t="n"/>
      <c r="WJA1" s="2" t="n"/>
      <c r="WJB1" s="2" t="n"/>
      <c r="WJC1" s="2" t="n"/>
      <c r="WJD1" s="2" t="n"/>
      <c r="WJE1" s="2" t="n"/>
      <c r="WJF1" s="2" t="n"/>
      <c r="WJG1" s="2" t="n"/>
      <c r="WJH1" s="2" t="n"/>
      <c r="WJI1" s="2" t="n"/>
      <c r="WJJ1" s="2" t="n"/>
      <c r="WJK1" s="2" t="n"/>
      <c r="WJL1" s="2" t="n"/>
      <c r="WJM1" s="2" t="n"/>
      <c r="WJN1" s="2" t="n"/>
      <c r="WJO1" s="2" t="n"/>
      <c r="WJP1" s="2" t="n"/>
      <c r="WJQ1" s="2" t="n"/>
      <c r="WJR1" s="2" t="n"/>
      <c r="WJS1" s="2" t="n"/>
      <c r="WJT1" s="2" t="n"/>
      <c r="WJU1" s="2" t="n"/>
      <c r="WJV1" s="2" t="n"/>
      <c r="WJW1" s="2" t="n"/>
      <c r="WJX1" s="2" t="n"/>
      <c r="WJY1" s="2" t="n"/>
      <c r="WJZ1" s="2" t="n"/>
      <c r="WKA1" s="2" t="n"/>
      <c r="WKB1" s="2" t="n"/>
      <c r="WKC1" s="2" t="n"/>
      <c r="WKD1" s="2" t="n"/>
      <c r="WKE1" s="2" t="n"/>
      <c r="WKF1" s="2" t="n"/>
      <c r="WKG1" s="2" t="n"/>
      <c r="WKH1" s="2" t="n"/>
      <c r="WKI1" s="2" t="n"/>
      <c r="WKJ1" s="2" t="n"/>
      <c r="WKK1" s="2" t="n"/>
      <c r="WKL1" s="2" t="n"/>
      <c r="WKM1" s="2" t="n"/>
      <c r="WKN1" s="2" t="n"/>
      <c r="WKO1" s="2" t="n"/>
      <c r="WKP1" s="2" t="n"/>
      <c r="WKQ1" s="2" t="n"/>
      <c r="WKR1" s="2" t="n"/>
      <c r="WKS1" s="2" t="n"/>
      <c r="WKT1" s="2" t="n"/>
      <c r="WKU1" s="2" t="n"/>
      <c r="WKV1" s="2" t="n"/>
      <c r="WKW1" s="2" t="n"/>
      <c r="WKX1" s="2" t="n"/>
      <c r="WKY1" s="2" t="n"/>
      <c r="WKZ1" s="2" t="n"/>
      <c r="WLA1" s="2" t="n"/>
      <c r="WLB1" s="2" t="n"/>
      <c r="WLC1" s="2" t="n"/>
      <c r="WLD1" s="2" t="n"/>
      <c r="WLE1" s="2" t="n"/>
      <c r="WLF1" s="2" t="n"/>
      <c r="WLG1" s="2" t="n"/>
      <c r="WLH1" s="2" t="n"/>
      <c r="WLI1" s="2" t="n"/>
      <c r="WLJ1" s="2" t="n"/>
      <c r="WLK1" s="2" t="n"/>
      <c r="WLL1" s="2" t="n"/>
      <c r="WLM1" s="2" t="n"/>
      <c r="WLN1" s="2" t="n"/>
      <c r="WLO1" s="2" t="n"/>
      <c r="WLP1" s="2" t="n"/>
      <c r="WLQ1" s="2" t="n"/>
      <c r="WLR1" s="2" t="n"/>
      <c r="WLS1" s="2" t="n"/>
      <c r="WLT1" s="2" t="n"/>
      <c r="WLU1" s="2" t="n"/>
      <c r="WLV1" s="2" t="n"/>
      <c r="WLW1" s="2" t="n"/>
      <c r="WLX1" s="2" t="n"/>
      <c r="WLY1" s="2" t="n"/>
      <c r="WLZ1" s="2" t="n"/>
      <c r="WMA1" s="2" t="n"/>
      <c r="WMB1" s="2" t="n"/>
      <c r="WMC1" s="2" t="n"/>
      <c r="WMD1" s="2" t="n"/>
      <c r="WME1" s="2" t="n"/>
      <c r="WMF1" s="2" t="n"/>
      <c r="WMG1" s="2" t="n"/>
      <c r="WMH1" s="2" t="n"/>
      <c r="WMI1" s="2" t="n"/>
      <c r="WMJ1" s="2" t="n"/>
      <c r="WMK1" s="2" t="n"/>
      <c r="WML1" s="2" t="n"/>
      <c r="WMM1" s="2" t="n"/>
      <c r="WMN1" s="2" t="n"/>
      <c r="WMO1" s="2" t="n"/>
      <c r="WMP1" s="2" t="n"/>
      <c r="WMQ1" s="2" t="n"/>
      <c r="WMR1" s="2" t="n"/>
      <c r="WMS1" s="2" t="n"/>
      <c r="WMT1" s="2" t="n"/>
      <c r="WMU1" s="2" t="n"/>
      <c r="WMV1" s="2" t="n"/>
      <c r="WMW1" s="2" t="n"/>
      <c r="WMX1" s="2" t="n"/>
      <c r="WMY1" s="2" t="n"/>
      <c r="WMZ1" s="2" t="n"/>
      <c r="WNA1" s="2" t="n"/>
      <c r="WNB1" s="2" t="n"/>
      <c r="WNC1" s="2" t="n"/>
      <c r="WND1" s="2" t="n"/>
      <c r="WNE1" s="2" t="n"/>
      <c r="WNF1" s="2" t="n"/>
      <c r="WNG1" s="2" t="n"/>
      <c r="WNH1" s="2" t="n"/>
      <c r="WNI1" s="2" t="n"/>
      <c r="WNJ1" s="2" t="n"/>
      <c r="WNK1" s="2" t="n"/>
      <c r="WNL1" s="2" t="n"/>
      <c r="WNM1" s="2" t="n"/>
      <c r="WNN1" s="2" t="n"/>
      <c r="WNO1" s="2" t="n"/>
      <c r="WNP1" s="2" t="n"/>
      <c r="WNQ1" s="2" t="n"/>
      <c r="WNR1" s="2" t="n"/>
      <c r="WNS1" s="2" t="n"/>
      <c r="WNT1" s="2" t="n"/>
      <c r="WNU1" s="2" t="n"/>
      <c r="WNV1" s="2" t="n"/>
      <c r="WNW1" s="2" t="n"/>
      <c r="WNX1" s="2" t="n"/>
      <c r="WNY1" s="2" t="n"/>
      <c r="WNZ1" s="2" t="n"/>
      <c r="WOA1" s="2" t="n"/>
      <c r="WOB1" s="2" t="n"/>
      <c r="WOC1" s="2" t="n"/>
      <c r="WOD1" s="2" t="n"/>
      <c r="WOE1" s="2" t="n"/>
      <c r="WOF1" s="2" t="n"/>
      <c r="WOG1" s="2" t="n"/>
      <c r="WOH1" s="2" t="n"/>
      <c r="WOI1" s="2" t="n"/>
      <c r="WOJ1" s="2" t="n"/>
      <c r="WOK1" s="2" t="n"/>
      <c r="WOL1" s="2" t="n"/>
      <c r="WOM1" s="2" t="n"/>
      <c r="WON1" s="2" t="n"/>
      <c r="WOO1" s="2" t="n"/>
      <c r="WOP1" s="2" t="n"/>
      <c r="WOQ1" s="2" t="n"/>
      <c r="WOR1" s="2" t="n"/>
      <c r="WOS1" s="2" t="n"/>
      <c r="WOT1" s="2" t="n"/>
      <c r="WOU1" s="2" t="n"/>
      <c r="WOV1" s="2" t="n"/>
      <c r="WOW1" s="2" t="n"/>
      <c r="WOX1" s="2" t="n"/>
      <c r="WOY1" s="2" t="n"/>
      <c r="WOZ1" s="2" t="n"/>
      <c r="WPA1" s="2" t="n"/>
      <c r="WPB1" s="2" t="n"/>
      <c r="WPC1" s="2" t="n"/>
      <c r="WPD1" s="2" t="n"/>
      <c r="WPE1" s="2" t="n"/>
      <c r="WPF1" s="2" t="n"/>
      <c r="WPG1" s="2" t="n"/>
      <c r="WPH1" s="2" t="n"/>
      <c r="WPI1" s="2" t="n"/>
      <c r="WPJ1" s="2" t="n"/>
      <c r="WPK1" s="2" t="n"/>
      <c r="WPL1" s="2" t="n"/>
      <c r="WPM1" s="2" t="n"/>
      <c r="WPN1" s="2" t="n"/>
      <c r="WPO1" s="2" t="n"/>
      <c r="WPP1" s="2" t="n"/>
      <c r="WPQ1" s="2" t="n"/>
      <c r="WPR1" s="2" t="n"/>
      <c r="WPS1" s="2" t="n"/>
      <c r="WPT1" s="2" t="n"/>
      <c r="WPU1" s="2" t="n"/>
      <c r="WPV1" s="2" t="n"/>
      <c r="WPW1" s="2" t="n"/>
      <c r="WPX1" s="2" t="n"/>
      <c r="WPY1" s="2" t="n"/>
      <c r="WPZ1" s="2" t="n"/>
      <c r="WQA1" s="2" t="n"/>
      <c r="WQB1" s="2" t="n"/>
      <c r="WQC1" s="2" t="n"/>
      <c r="WQD1" s="2" t="n"/>
      <c r="WQE1" s="2" t="n"/>
      <c r="WQF1" s="2" t="n"/>
      <c r="WQG1" s="2" t="n"/>
      <c r="WQH1" s="2" t="n"/>
      <c r="WQI1" s="2" t="n"/>
      <c r="WQJ1" s="2" t="n"/>
      <c r="WQK1" s="2" t="n"/>
      <c r="WQL1" s="2" t="n"/>
      <c r="WQM1" s="2" t="n"/>
      <c r="WQN1" s="2" t="n"/>
      <c r="WQO1" s="2" t="n"/>
      <c r="WQP1" s="2" t="n"/>
      <c r="WQQ1" s="2" t="n"/>
      <c r="WQR1" s="2" t="n"/>
      <c r="WQS1" s="2" t="n"/>
      <c r="WQT1" s="2" t="n"/>
      <c r="WQU1" s="2" t="n"/>
      <c r="WQV1" s="2" t="n"/>
      <c r="WQW1" s="2" t="n"/>
      <c r="WQX1" s="2" t="n"/>
      <c r="WQY1" s="2" t="n"/>
      <c r="WQZ1" s="2" t="n"/>
      <c r="WRA1" s="2" t="n"/>
      <c r="WRB1" s="2" t="n"/>
      <c r="WRC1" s="2" t="n"/>
      <c r="WRD1" s="2" t="n"/>
      <c r="WRE1" s="2" t="n"/>
      <c r="WRF1" s="2" t="n"/>
      <c r="WRG1" s="2" t="n"/>
      <c r="WRH1" s="2" t="n"/>
      <c r="WRI1" s="2" t="n"/>
      <c r="WRJ1" s="2" t="n"/>
      <c r="WRK1" s="2" t="n"/>
      <c r="WRL1" s="2" t="n"/>
      <c r="WRM1" s="2" t="n"/>
      <c r="WRN1" s="2" t="n"/>
      <c r="WRO1" s="2" t="n"/>
      <c r="WRP1" s="2" t="n"/>
      <c r="WRQ1" s="2" t="n"/>
      <c r="WRR1" s="2" t="n"/>
      <c r="WRS1" s="2" t="n"/>
      <c r="WRT1" s="2" t="n"/>
      <c r="WRU1" s="2" t="n"/>
      <c r="WRV1" s="2" t="n"/>
      <c r="WRW1" s="2" t="n"/>
      <c r="WRX1" s="2" t="n"/>
      <c r="WRY1" s="2" t="n"/>
      <c r="WRZ1" s="2" t="n"/>
      <c r="WSA1" s="2" t="n"/>
      <c r="WSB1" s="2" t="n"/>
      <c r="WSC1" s="2" t="n"/>
      <c r="WSD1" s="2" t="n"/>
      <c r="WSE1" s="2" t="n"/>
      <c r="WSF1" s="2" t="n"/>
      <c r="WSG1" s="2" t="n"/>
      <c r="WSH1" s="2" t="n"/>
      <c r="WSI1" s="2" t="n"/>
      <c r="WSJ1" s="2" t="n"/>
      <c r="WSK1" s="2" t="n"/>
      <c r="WSL1" s="2" t="n"/>
      <c r="WSM1" s="2" t="n"/>
      <c r="WSN1" s="2" t="n"/>
      <c r="WSO1" s="2" t="n"/>
      <c r="WSP1" s="2" t="n"/>
      <c r="WSQ1" s="2" t="n"/>
      <c r="WSR1" s="2" t="n"/>
      <c r="WSS1" s="2" t="n"/>
      <c r="WST1" s="2" t="n"/>
      <c r="WSU1" s="2" t="n"/>
      <c r="WSV1" s="2" t="n"/>
      <c r="WSW1" s="2" t="n"/>
      <c r="WSX1" s="2" t="n"/>
      <c r="WSY1" s="2" t="n"/>
      <c r="WSZ1" s="2" t="n"/>
      <c r="WTA1" s="2" t="n"/>
      <c r="WTB1" s="2" t="n"/>
      <c r="WTC1" s="2" t="n"/>
      <c r="WTD1" s="2" t="n"/>
      <c r="WTE1" s="2" t="n"/>
      <c r="WTF1" s="2" t="n"/>
      <c r="WTG1" s="2" t="n"/>
      <c r="WTH1" s="2" t="n"/>
      <c r="WTI1" s="2" t="n"/>
      <c r="WTJ1" s="2" t="n"/>
      <c r="WTK1" s="2" t="n"/>
      <c r="WTL1" s="2" t="n"/>
      <c r="WTM1" s="2" t="n"/>
      <c r="WTN1" s="2" t="n"/>
      <c r="WTO1" s="2" t="n"/>
      <c r="WTP1" s="2" t="n"/>
      <c r="WTQ1" s="2" t="n"/>
      <c r="WTR1" s="2" t="n"/>
      <c r="WTS1" s="2" t="n"/>
      <c r="WTT1" s="2" t="n"/>
      <c r="WTU1" s="2" t="n"/>
      <c r="WTV1" s="2" t="n"/>
      <c r="WTW1" s="2" t="n"/>
      <c r="WTX1" s="2" t="n"/>
      <c r="WTY1" s="2" t="n"/>
      <c r="WTZ1" s="2" t="n"/>
      <c r="WUA1" s="2" t="n"/>
      <c r="WUB1" s="2" t="n"/>
      <c r="WUC1" s="2" t="n"/>
      <c r="WUD1" s="2" t="n"/>
      <c r="WUE1" s="2" t="n"/>
      <c r="WUF1" s="2" t="n"/>
      <c r="WUG1" s="2" t="n"/>
      <c r="WUH1" s="2" t="n"/>
      <c r="WUI1" s="2" t="n"/>
      <c r="WUJ1" s="2" t="n"/>
      <c r="WUK1" s="2" t="n"/>
      <c r="WUL1" s="2" t="n"/>
      <c r="WUM1" s="2" t="n"/>
      <c r="WUN1" s="2" t="n"/>
      <c r="WUO1" s="2" t="n"/>
      <c r="WUP1" s="2" t="n"/>
      <c r="WUQ1" s="2" t="n"/>
      <c r="WUR1" s="2" t="n"/>
      <c r="WUS1" s="2" t="n"/>
      <c r="WUT1" s="2" t="n"/>
      <c r="WUU1" s="2" t="n"/>
      <c r="WUV1" s="2" t="n"/>
      <c r="WUW1" s="2" t="n"/>
      <c r="WUX1" s="2" t="n"/>
      <c r="WUY1" s="2" t="n"/>
      <c r="WUZ1" s="2" t="n"/>
      <c r="WVA1" s="2" t="n"/>
      <c r="WVB1" s="2" t="n"/>
      <c r="WVC1" s="2" t="n"/>
      <c r="WVD1" s="2" t="n"/>
      <c r="WVE1" s="2" t="n"/>
      <c r="WVF1" s="2" t="n"/>
      <c r="WVG1" s="2" t="n"/>
      <c r="WVH1" s="2" t="n"/>
      <c r="WVI1" s="2" t="n"/>
      <c r="WVJ1" s="2" t="n"/>
      <c r="WVK1" s="2" t="n"/>
      <c r="WVL1" s="2" t="n"/>
      <c r="WVM1" s="2" t="n"/>
      <c r="WVN1" s="2" t="n"/>
      <c r="WVO1" s="2" t="n"/>
      <c r="WVP1" s="2" t="n"/>
      <c r="WVQ1" s="2" t="n"/>
      <c r="WVR1" s="2" t="n"/>
      <c r="WVS1" s="2" t="n"/>
      <c r="WVT1" s="2" t="n"/>
      <c r="WVU1" s="2" t="n"/>
      <c r="WVV1" s="2" t="n"/>
      <c r="WVW1" s="2" t="n"/>
      <c r="WVX1" s="2" t="n"/>
      <c r="WVY1" s="2" t="n"/>
      <c r="WVZ1" s="2" t="n"/>
      <c r="WWA1" s="2" t="n"/>
      <c r="WWB1" s="2" t="n"/>
      <c r="WWC1" s="2" t="n"/>
      <c r="WWD1" s="2" t="n"/>
      <c r="WWE1" s="2" t="n"/>
      <c r="WWF1" s="2" t="n"/>
      <c r="WWG1" s="2" t="n"/>
      <c r="WWH1" s="2" t="n"/>
      <c r="WWI1" s="2" t="n"/>
      <c r="WWJ1" s="2" t="n"/>
      <c r="WWK1" s="2" t="n"/>
      <c r="WWL1" s="2" t="n"/>
      <c r="WWM1" s="2" t="n"/>
      <c r="WWN1" s="2" t="n"/>
      <c r="WWO1" s="2" t="n"/>
      <c r="WWP1" s="2" t="n"/>
      <c r="WWQ1" s="2" t="n"/>
      <c r="WWR1" s="2" t="n"/>
      <c r="WWS1" s="2" t="n"/>
      <c r="WWT1" s="2" t="n"/>
      <c r="WWU1" s="2" t="n"/>
      <c r="WWV1" s="2" t="n"/>
      <c r="WWW1" s="2" t="n"/>
      <c r="WWX1" s="2" t="n"/>
      <c r="WWY1" s="2" t="n"/>
      <c r="WWZ1" s="2" t="n"/>
      <c r="WXA1" s="2" t="n"/>
      <c r="WXB1" s="2" t="n"/>
      <c r="WXC1" s="2" t="n"/>
      <c r="WXD1" s="2" t="n"/>
      <c r="WXE1" s="2" t="n"/>
      <c r="WXF1" s="2" t="n"/>
      <c r="WXG1" s="2" t="n"/>
      <c r="WXH1" s="2" t="n"/>
      <c r="WXI1" s="2" t="n"/>
      <c r="WXJ1" s="2" t="n"/>
      <c r="WXK1" s="2" t="n"/>
      <c r="WXL1" s="2" t="n"/>
      <c r="WXM1" s="2" t="n"/>
      <c r="WXN1" s="2" t="n"/>
      <c r="WXO1" s="2" t="n"/>
      <c r="WXP1" s="2" t="n"/>
      <c r="WXQ1" s="2" t="n"/>
      <c r="WXR1" s="2" t="n"/>
      <c r="WXS1" s="2" t="n"/>
      <c r="WXT1" s="2" t="n"/>
      <c r="WXU1" s="2" t="n"/>
      <c r="WXV1" s="2" t="n"/>
      <c r="WXW1" s="2" t="n"/>
      <c r="WXX1" s="2" t="n"/>
      <c r="WXY1" s="2" t="n"/>
      <c r="WXZ1" s="2" t="n"/>
      <c r="WYA1" s="2" t="n"/>
      <c r="WYB1" s="2" t="n"/>
      <c r="WYC1" s="2" t="n"/>
      <c r="WYD1" s="2" t="n"/>
      <c r="WYE1" s="2" t="n"/>
      <c r="WYF1" s="2" t="n"/>
      <c r="WYG1" s="2" t="n"/>
      <c r="WYH1" s="2" t="n"/>
      <c r="WYI1" s="2" t="n"/>
      <c r="WYJ1" s="2" t="n"/>
      <c r="WYK1" s="2" t="n"/>
      <c r="WYL1" s="2" t="n"/>
      <c r="WYM1" s="2" t="n"/>
      <c r="WYN1" s="2" t="n"/>
      <c r="WYO1" s="2" t="n"/>
      <c r="WYP1" s="2" t="n"/>
      <c r="WYQ1" s="2" t="n"/>
      <c r="WYR1" s="2" t="n"/>
      <c r="WYS1" s="2" t="n"/>
      <c r="WYT1" s="2" t="n"/>
      <c r="WYU1" s="2" t="n"/>
      <c r="WYV1" s="2" t="n"/>
      <c r="WYW1" s="2" t="n"/>
      <c r="WYX1" s="2" t="n"/>
      <c r="WYY1" s="2" t="n"/>
      <c r="WYZ1" s="2" t="n"/>
      <c r="WZA1" s="2" t="n"/>
      <c r="WZB1" s="2" t="n"/>
      <c r="WZC1" s="2" t="n"/>
      <c r="WZD1" s="2" t="n"/>
      <c r="WZE1" s="2" t="n"/>
      <c r="WZF1" s="2" t="n"/>
      <c r="WZG1" s="2" t="n"/>
      <c r="WZH1" s="2" t="n"/>
      <c r="WZI1" s="2" t="n"/>
      <c r="WZJ1" s="2" t="n"/>
      <c r="WZK1" s="2" t="n"/>
      <c r="WZL1" s="2" t="n"/>
      <c r="WZM1" s="2" t="n"/>
      <c r="WZN1" s="2" t="n"/>
      <c r="WZO1" s="2" t="n"/>
      <c r="WZP1" s="2" t="n"/>
      <c r="WZQ1" s="2" t="n"/>
      <c r="WZR1" s="2" t="n"/>
      <c r="WZS1" s="2" t="n"/>
      <c r="WZT1" s="2" t="n"/>
      <c r="WZU1" s="2" t="n"/>
      <c r="WZV1" s="2" t="n"/>
      <c r="WZW1" s="2" t="n"/>
      <c r="WZX1" s="2" t="n"/>
      <c r="WZY1" s="2" t="n"/>
      <c r="WZZ1" s="2" t="n"/>
      <c r="XAA1" s="2" t="n"/>
      <c r="XAB1" s="2" t="n"/>
      <c r="XAC1" s="2" t="n"/>
      <c r="XAD1" s="2" t="n"/>
      <c r="XAE1" s="2" t="n"/>
      <c r="XAF1" s="2" t="n"/>
      <c r="XAG1" s="2" t="n"/>
      <c r="XAH1" s="2" t="n"/>
      <c r="XAI1" s="2" t="n"/>
      <c r="XAJ1" s="2" t="n"/>
      <c r="XAK1" s="2" t="n"/>
      <c r="XAL1" s="2" t="n"/>
      <c r="XAM1" s="2" t="n"/>
      <c r="XAN1" s="2" t="n"/>
      <c r="XAO1" s="2" t="n"/>
      <c r="XAP1" s="2" t="n"/>
      <c r="XAQ1" s="2" t="n"/>
      <c r="XAR1" s="2" t="n"/>
      <c r="XAS1" s="2" t="n"/>
      <c r="XAT1" s="2" t="n"/>
      <c r="XAU1" s="2" t="n"/>
      <c r="XAV1" s="2" t="n"/>
      <c r="XAW1" s="2" t="n"/>
      <c r="XAX1" s="2" t="n"/>
      <c r="XAY1" s="2" t="n"/>
      <c r="XAZ1" s="2" t="n"/>
      <c r="XBA1" s="2" t="n"/>
      <c r="XBB1" s="2" t="n"/>
      <c r="XBC1" s="2" t="n"/>
      <c r="XBD1" s="2" t="n"/>
      <c r="XBE1" s="2" t="n"/>
      <c r="XBF1" s="2" t="n"/>
      <c r="XBG1" s="2" t="n"/>
      <c r="XBH1" s="2" t="n"/>
      <c r="XBI1" s="2" t="n"/>
      <c r="XBJ1" s="2" t="n"/>
      <c r="XBK1" s="2" t="n"/>
      <c r="XBL1" s="2" t="n"/>
      <c r="XBM1" s="2" t="n"/>
      <c r="XBN1" s="2" t="n"/>
      <c r="XBO1" s="2" t="n"/>
      <c r="XBP1" s="2" t="n"/>
      <c r="XBQ1" s="2" t="n"/>
      <c r="XBR1" s="2" t="n"/>
      <c r="XBS1" s="2" t="n"/>
      <c r="XBT1" s="2" t="n"/>
      <c r="XBU1" s="2" t="n"/>
      <c r="XBV1" s="2" t="n"/>
      <c r="XBW1" s="2" t="n"/>
      <c r="XBX1" s="2" t="n"/>
      <c r="XBY1" s="2" t="n"/>
      <c r="XBZ1" s="2" t="n"/>
      <c r="XCA1" s="2" t="n"/>
      <c r="XCB1" s="2" t="n"/>
      <c r="XCC1" s="2" t="n"/>
      <c r="XCD1" s="2" t="n"/>
      <c r="XCE1" s="2" t="n"/>
      <c r="XCF1" s="2" t="n"/>
      <c r="XCG1" s="2" t="n"/>
      <c r="XCH1" s="2" t="n"/>
      <c r="XCI1" s="2" t="n"/>
      <c r="XCJ1" s="2" t="n"/>
      <c r="XCK1" s="2" t="n"/>
      <c r="XCL1" s="2" t="n"/>
      <c r="XCM1" s="2" t="n"/>
      <c r="XCN1" s="2" t="n"/>
      <c r="XCO1" s="2" t="n"/>
      <c r="XCP1" s="2" t="n"/>
      <c r="XCQ1" s="2" t="n"/>
      <c r="XCR1" s="2" t="n"/>
      <c r="XCS1" s="2" t="n"/>
      <c r="XCT1" s="2" t="n"/>
      <c r="XCU1" s="2" t="n"/>
      <c r="XCV1" s="2" t="n"/>
      <c r="XCW1" s="2" t="n"/>
      <c r="XCX1" s="2" t="n"/>
      <c r="XCY1" s="2" t="n"/>
      <c r="XCZ1" s="2" t="n"/>
      <c r="XDA1" s="2" t="n"/>
      <c r="XDB1" s="2" t="n"/>
      <c r="XDC1" s="2" t="n"/>
      <c r="XDD1" s="2" t="n"/>
      <c r="XDE1" s="2" t="n"/>
      <c r="XDF1" s="2" t="n"/>
      <c r="XDG1" s="2" t="n"/>
      <c r="XDH1" s="2" t="n"/>
      <c r="XDI1" s="2" t="n"/>
      <c r="XDJ1" s="2" t="n"/>
      <c r="XDK1" s="2" t="n"/>
      <c r="XDL1" s="2" t="n"/>
      <c r="XDM1" s="2" t="n"/>
      <c r="XDN1" s="2" t="n"/>
      <c r="XDO1" s="2" t="n"/>
      <c r="XDP1" s="2" t="n"/>
      <c r="XDQ1" s="2" t="n"/>
      <c r="XDR1" s="2" t="n"/>
      <c r="XDS1" s="2" t="n"/>
      <c r="XDT1" s="2" t="n"/>
      <c r="XDU1" s="2" t="n"/>
      <c r="XDV1" s="2" t="n"/>
      <c r="XDW1" s="2" t="n"/>
      <c r="XDX1" s="2" t="n"/>
      <c r="XDY1" s="2" t="n"/>
      <c r="XDZ1" s="2" t="n"/>
      <c r="XEA1" s="2" t="n"/>
      <c r="XEB1" s="2" t="n"/>
      <c r="XEC1" s="2" t="n"/>
      <c r="XED1" s="2" t="n"/>
      <c r="XEE1" s="2" t="n"/>
      <c r="XEF1" s="2" t="n"/>
      <c r="XEG1" s="2" t="n"/>
      <c r="XEH1" s="2" t="n"/>
      <c r="XEI1" s="2" t="n"/>
      <c r="XEJ1" s="2" t="n"/>
      <c r="XEK1" s="2" t="n"/>
      <c r="XEL1" s="2" t="n"/>
      <c r="XEM1" s="2" t="n"/>
      <c r="XEN1" s="2" t="n"/>
      <c r="XEO1" s="2" t="n"/>
      <c r="XEP1" s="2" t="n"/>
      <c r="XEQ1" s="2" t="n"/>
      <c r="XER1" s="2" t="n"/>
      <c r="XES1" s="2" t="n"/>
      <c r="XET1" s="2" t="n"/>
      <c r="XEU1" s="2" t="n"/>
      <c r="XEV1" s="2" t="n"/>
      <c r="XEW1" s="2" t="n"/>
      <c r="XEX1" s="2" t="n"/>
      <c r="XEY1" s="2" t="n"/>
      <c r="XEZ1" s="2" t="n"/>
      <c r="XFA1" s="2" t="n"/>
      <c r="XFB1" s="2" t="n"/>
      <c r="XFC1" s="2" t="n"/>
    </row>
    <row r="2">
      <c r="A2" t="n">
        <v>279</v>
      </c>
      <c r="B2" s="53" t="n">
        <v>2018</v>
      </c>
      <c r="C2" s="53" t="n">
        <v>1</v>
      </c>
      <c r="D2" s="53">
        <f>B2&amp;"-"&amp;C2</f>
        <v/>
      </c>
      <c r="E2" s="9" t="inlineStr">
        <is>
          <t>2018</t>
        </is>
      </c>
      <c r="F2" s="1" t="n">
        <v>43101</v>
      </c>
      <c r="G2" s="1" t="inlineStr">
        <is>
          <t>jarosoft: AfA 2018</t>
        </is>
      </c>
      <c r="H2" s="16" t="n"/>
      <c r="I2" s="16" t="inlineStr">
        <is>
          <t>Ausgaben</t>
        </is>
      </c>
      <c r="J2" s="16" t="inlineStr">
        <is>
          <t>Abschreibung Anlagevermögen</t>
        </is>
      </c>
      <c r="K2" s="16" t="inlineStr"/>
      <c r="L2" t="b">
        <v>0</v>
      </c>
      <c r="M2" s="36" t="n">
        <v>494.334</v>
      </c>
      <c r="N2" s="51" t="n">
        <v>1</v>
      </c>
      <c r="O2" s="251" t="n">
        <v>593.2008</v>
      </c>
      <c r="P2" s="251">
        <f>Q2&amp;"%"</f>
        <v/>
      </c>
      <c r="Q2" s="27" t="n">
        <v>20</v>
      </c>
      <c r="R2" s="237" t="n">
        <v>98.8668</v>
      </c>
      <c r="S2" s="237" t="n">
        <v>98.8668</v>
      </c>
      <c r="T2" s="208" t="n">
        <v>494.334</v>
      </c>
      <c r="U2" s="251" t="n">
        <v>593.2008</v>
      </c>
      <c r="V2" s="35" t="n">
        <v>43235</v>
      </c>
      <c r="W2" s="35" t="n"/>
      <c r="X2" s="27" t="n"/>
      <c r="Y2" s="210" t="n">
        <v>494.334</v>
      </c>
      <c r="Z2" s="237" t="n">
        <v>0</v>
      </c>
      <c r="AA2" t="b">
        <v>0</v>
      </c>
      <c r="AC2" s="268" t="n"/>
    </row>
    <row r="3">
      <c r="A3" t="n">
        <v>280</v>
      </c>
      <c r="B3" s="53" t="n">
        <v>2018</v>
      </c>
      <c r="C3" s="53" t="n">
        <v>2</v>
      </c>
      <c r="D3" s="53">
        <f>B3&amp;"-"&amp;C3</f>
        <v/>
      </c>
      <c r="E3" s="9" t="inlineStr">
        <is>
          <t>659185</t>
        </is>
      </c>
      <c r="F3" s="1" t="n">
        <v>43102</v>
      </c>
      <c r="G3" t="inlineStr">
        <is>
          <t>Lemon Thinkpad-Adapter, Maus</t>
        </is>
      </c>
      <c r="H3" s="16" t="n"/>
      <c r="I3" s="16" t="inlineStr">
        <is>
          <t>Ausgaben</t>
        </is>
      </c>
      <c r="J3" s="16" t="inlineStr">
        <is>
          <t>Waren, Rohstoffe, Hilfsstoffe</t>
        </is>
      </c>
      <c r="K3" s="16" t="inlineStr">
        <is>
          <t>Weiterverkauf</t>
        </is>
      </c>
      <c r="L3" t="b">
        <v>0</v>
      </c>
      <c r="M3" s="36" t="n">
        <v>79.33</v>
      </c>
      <c r="N3" s="51" t="n">
        <v>1</v>
      </c>
      <c r="O3" s="251" t="n">
        <v>95.196</v>
      </c>
      <c r="P3" s="251">
        <f>Q3&amp;"%"</f>
        <v/>
      </c>
      <c r="Q3" s="27" t="n">
        <v>20</v>
      </c>
      <c r="R3" s="237" t="n">
        <v>15.866</v>
      </c>
      <c r="S3" s="237" t="n">
        <v>15.866</v>
      </c>
      <c r="T3" s="208" t="n">
        <v>79.33</v>
      </c>
      <c r="U3" s="251" t="n">
        <v>95.196</v>
      </c>
      <c r="V3" s="35" t="n">
        <v>43235</v>
      </c>
      <c r="W3" s="35" t="n"/>
      <c r="X3" s="27" t="n"/>
      <c r="Y3" s="210" t="n">
        <v>79.33</v>
      </c>
      <c r="Z3" s="237" t="n">
        <v>0</v>
      </c>
      <c r="AA3" t="b">
        <v>0</v>
      </c>
    </row>
    <row r="4">
      <c r="A4" t="n">
        <v>281</v>
      </c>
      <c r="B4" s="53" t="n">
        <v>2018</v>
      </c>
      <c r="C4" s="53" t="n">
        <v>3</v>
      </c>
      <c r="D4" s="53">
        <f>B4&amp;"-"&amp;C4</f>
        <v/>
      </c>
      <c r="E4" s="9" t="inlineStr">
        <is>
          <t>167278439-00</t>
        </is>
      </c>
      <c r="F4" s="1" t="n">
        <v>43103</v>
      </c>
      <c r="G4" t="inlineStr">
        <is>
          <t>UPC Laudongasse</t>
        </is>
      </c>
      <c r="H4" s="16" t="n"/>
      <c r="I4" s="16" t="inlineStr">
        <is>
          <t>Ausgaben</t>
        </is>
      </c>
      <c r="J4" s="16" t="inlineStr">
        <is>
          <t>Telefon/Internet</t>
        </is>
      </c>
      <c r="K4" s="16" t="inlineStr"/>
      <c r="L4" t="b">
        <v>0</v>
      </c>
      <c r="M4" s="36">
        <f>20.66+1.04</f>
        <v/>
      </c>
      <c r="N4" s="51">
        <f>2/3</f>
        <v/>
      </c>
      <c r="O4" s="251">
        <f>N4*U4</f>
        <v/>
      </c>
      <c r="P4" s="251">
        <f>Q4&amp;"%"</f>
        <v/>
      </c>
      <c r="Q4" s="27" t="n">
        <v>20</v>
      </c>
      <c r="R4" s="237" t="n">
        <v>6.38</v>
      </c>
      <c r="S4" s="237" t="n">
        <v>2.207687718401091</v>
      </c>
      <c r="T4" s="208">
        <f>N4*M4</f>
        <v/>
      </c>
      <c r="U4" s="251">
        <f>M4*(100%+P4)</f>
        <v/>
      </c>
      <c r="V4" s="35" t="n">
        <v>43235</v>
      </c>
      <c r="W4" s="35" t="n"/>
      <c r="X4" s="27" t="n"/>
      <c r="Y4" s="210" t="n">
        <v>14.57489133214012</v>
      </c>
      <c r="Z4" s="237" t="n">
        <v>0</v>
      </c>
      <c r="AA4" t="b">
        <v>0</v>
      </c>
    </row>
    <row r="5">
      <c r="A5" t="n">
        <v>282</v>
      </c>
      <c r="B5" s="53" t="n">
        <v>2018</v>
      </c>
      <c r="C5" s="53" t="n">
        <v>4</v>
      </c>
      <c r="D5" s="53">
        <f>B5&amp;"-"&amp;C5</f>
        <v/>
      </c>
      <c r="E5" s="9" t="inlineStr">
        <is>
          <t>6147758411</t>
        </is>
      </c>
      <c r="F5" s="1" t="n">
        <v>43111</v>
      </c>
      <c r="G5" t="inlineStr">
        <is>
          <t>Hutchison Drei Austria GmbH, Brünner Straße 52, 1210 Wien, Österreich</t>
        </is>
      </c>
      <c r="H5" s="16" t="n"/>
      <c r="I5" s="16" t="inlineStr">
        <is>
          <t>Ausgaben</t>
        </is>
      </c>
      <c r="J5" s="16" t="inlineStr">
        <is>
          <t>Telefon/Internet</t>
        </is>
      </c>
      <c r="K5" s="16" t="inlineStr"/>
      <c r="L5" t="b">
        <v>0</v>
      </c>
      <c r="M5" s="36" t="n">
        <v>16.74</v>
      </c>
      <c r="N5" s="51" t="n">
        <v>1</v>
      </c>
      <c r="O5" s="251" t="n">
        <v>20.088</v>
      </c>
      <c r="P5" s="251">
        <f>Q5&amp;"%"</f>
        <v/>
      </c>
      <c r="Q5" s="27" t="n">
        <v>20</v>
      </c>
      <c r="R5" s="237" t="n">
        <v>3.347999999999999</v>
      </c>
      <c r="S5" s="237" t="n">
        <v>3.347999999999999</v>
      </c>
      <c r="T5" s="208" t="n">
        <v>16.74</v>
      </c>
      <c r="U5" s="251" t="n">
        <v>20.088</v>
      </c>
      <c r="V5" s="35" t="n">
        <v>43235</v>
      </c>
      <c r="W5" s="35" t="n"/>
      <c r="X5" s="27" t="n"/>
      <c r="Y5" s="210" t="n">
        <v>16.74</v>
      </c>
      <c r="Z5" s="237" t="n">
        <v>0</v>
      </c>
      <c r="AA5" t="b">
        <v>0</v>
      </c>
    </row>
    <row r="6">
      <c r="A6" t="n">
        <v>295</v>
      </c>
      <c r="B6" s="53" t="n">
        <v>2018</v>
      </c>
      <c r="C6" s="53" t="n">
        <v>5</v>
      </c>
      <c r="D6" s="53">
        <f>B6&amp;"-"&amp;C6</f>
        <v/>
      </c>
      <c r="E6" s="9" t="n">
        <v>14002676583</v>
      </c>
      <c r="F6" s="1" t="n">
        <v>43115</v>
      </c>
      <c r="G6" s="1" t="inlineStr">
        <is>
          <t>MONTANA Energie-Handel AT GmbH: Teilzahlungsbetrag Gas</t>
        </is>
      </c>
      <c r="H6" s="16" t="n"/>
      <c r="I6" s="16" t="inlineStr">
        <is>
          <t>Ausgaben</t>
        </is>
      </c>
      <c r="J6" s="16" t="inlineStr">
        <is>
          <t>sonstige Betriebsausgaben</t>
        </is>
      </c>
      <c r="K6" s="16" t="inlineStr"/>
      <c r="L6" t="b">
        <v>0</v>
      </c>
      <c r="M6" s="36" t="n">
        <v>82.5</v>
      </c>
      <c r="N6" s="51" t="n">
        <v>0.2732037841984147</v>
      </c>
      <c r="O6" s="251" t="n">
        <v>27.04717463564306</v>
      </c>
      <c r="P6" s="251">
        <f>Q6&amp;"%"</f>
        <v/>
      </c>
      <c r="Q6" s="27" t="n">
        <v>20</v>
      </c>
      <c r="R6" s="237" t="n">
        <v>16.5</v>
      </c>
      <c r="S6" s="237" t="n">
        <v>4.507862439273843</v>
      </c>
      <c r="T6" s="208" t="n">
        <v>22.53931219636922</v>
      </c>
      <c r="U6" s="251" t="n">
        <v>99</v>
      </c>
      <c r="V6" s="35" t="n">
        <v>43235</v>
      </c>
      <c r="W6" s="35" t="n">
        <v>43234</v>
      </c>
      <c r="X6" s="27" t="n"/>
      <c r="Y6" s="210" t="n">
        <v>22.53931219636922</v>
      </c>
      <c r="Z6" s="237" t="n">
        <v>0</v>
      </c>
      <c r="AA6" t="b">
        <v>0</v>
      </c>
    </row>
    <row r="7">
      <c r="A7" t="n">
        <v>296</v>
      </c>
      <c r="B7" s="53" t="n">
        <v>2018</v>
      </c>
      <c r="C7" s="53" t="n">
        <v>6</v>
      </c>
      <c r="D7" s="53">
        <f>B7&amp;"-"&amp;C7</f>
        <v/>
      </c>
      <c r="E7" s="9" t="inlineStr">
        <is>
          <t>34015135358</t>
        </is>
      </c>
      <c r="F7" s="1" t="n">
        <v>43115</v>
      </c>
      <c r="G7" s="1" t="inlineStr">
        <is>
          <t>VERBUND AG, Postfach 8400, 1011 Wien, Österreich: Teilzahlungsvorschreibung</t>
        </is>
      </c>
      <c r="H7" s="16" t="n"/>
      <c r="I7" s="16" t="inlineStr">
        <is>
          <t>Ausgaben</t>
        </is>
      </c>
      <c r="J7" s="16" t="inlineStr">
        <is>
          <t>sonstige Betriebsausgaben</t>
        </is>
      </c>
      <c r="K7" s="16" t="inlineStr"/>
      <c r="L7" t="b">
        <v>0</v>
      </c>
      <c r="M7" s="36" t="n">
        <v>151.67</v>
      </c>
      <c r="N7" s="51" t="n">
        <v>0.2732037841984147</v>
      </c>
      <c r="O7" s="251" t="n">
        <v>49.72418153924828</v>
      </c>
      <c r="P7" s="251">
        <f>Q7&amp;"%"</f>
        <v/>
      </c>
      <c r="Q7" s="27" t="n">
        <v>20</v>
      </c>
      <c r="R7" s="237" t="n">
        <v>30.334</v>
      </c>
      <c r="S7" s="237" t="n">
        <v>8.287363589874712</v>
      </c>
      <c r="T7" s="208" t="n">
        <v>41.43681794937356</v>
      </c>
      <c r="U7" s="251" t="n">
        <v>182.004</v>
      </c>
      <c r="V7" s="35" t="n">
        <v>43235</v>
      </c>
      <c r="W7" s="35" t="n">
        <v>43234</v>
      </c>
      <c r="X7" s="27" t="n"/>
      <c r="Y7" s="210" t="n">
        <v>41.43681794937356</v>
      </c>
      <c r="Z7" s="237" t="n">
        <v>0</v>
      </c>
      <c r="AA7" t="b">
        <v>0</v>
      </c>
    </row>
    <row r="8">
      <c r="A8" t="n">
        <v>297</v>
      </c>
      <c r="B8" s="53" t="n">
        <v>2018</v>
      </c>
      <c r="C8" s="53" t="n">
        <v>7</v>
      </c>
      <c r="D8" s="53">
        <f>B8&amp;"-"&amp;C8</f>
        <v/>
      </c>
      <c r="E8" s="9" t="inlineStr">
        <is>
          <t>2018/8058/18</t>
        </is>
      </c>
      <c r="F8" s="1" t="n">
        <v>43125</v>
      </c>
      <c r="G8" s="1" t="inlineStr">
        <is>
          <t>PREMIUM Laudongasse 58 GmbH &amp; Co KG: Dauerrechnung 2018-D</t>
        </is>
      </c>
      <c r="H8" s="16" t="n"/>
      <c r="I8" s="16" t="inlineStr">
        <is>
          <t>Ausgaben</t>
        </is>
      </c>
      <c r="J8" s="16" t="inlineStr">
        <is>
          <t>Miet- und Pachtaufwand, Leasing</t>
        </is>
      </c>
      <c r="K8" s="16" t="inlineStr"/>
      <c r="L8" t="b">
        <v>0</v>
      </c>
      <c r="M8" s="36" t="n">
        <v>725.0999999999999</v>
      </c>
      <c r="N8" s="51" t="n">
        <v>0.2732037841984147</v>
      </c>
      <c r="O8" s="251" t="n">
        <v>217.9100703144975</v>
      </c>
      <c r="P8" s="251">
        <f>Q8&amp;"%"</f>
        <v/>
      </c>
      <c r="Q8" s="27" t="n">
        <v>10</v>
      </c>
      <c r="R8" s="237" t="n">
        <v>72.50999999999999</v>
      </c>
      <c r="S8" s="237" t="n">
        <v>19.81000639222705</v>
      </c>
      <c r="T8" s="208" t="n">
        <v>198.1000639222705</v>
      </c>
      <c r="U8" s="251" t="n">
        <v>797.6099999999999</v>
      </c>
      <c r="V8" s="35" t="n">
        <v>43235</v>
      </c>
      <c r="W8" s="35" t="n">
        <v>43234</v>
      </c>
      <c r="X8" s="27" t="n"/>
      <c r="Y8" s="210" t="n">
        <v>198.1000639222705</v>
      </c>
      <c r="Z8" s="237" t="n">
        <v>0</v>
      </c>
      <c r="AA8" t="b">
        <v>0</v>
      </c>
    </row>
    <row r="9">
      <c r="A9" t="n">
        <v>298</v>
      </c>
      <c r="B9" s="53" t="n">
        <v>2018</v>
      </c>
      <c r="C9" s="53" t="n">
        <v>8</v>
      </c>
      <c r="D9" s="53">
        <f>B9&amp;"-"&amp;C9</f>
        <v/>
      </c>
      <c r="E9" s="9" t="inlineStr">
        <is>
          <t>E050058GBA</t>
        </is>
      </c>
      <c r="F9" s="1" t="n">
        <v>43121</v>
      </c>
      <c r="G9" t="inlineStr">
        <is>
          <t>Microsoft Ireland Operations Ltd, One Microsoft Place, South County Business Park Leopardstown Dublin 18, D18 P521 Irland: Office 365 Business Essentials (monatlich)</t>
        </is>
      </c>
      <c r="H9" s="16" t="n"/>
      <c r="I9" s="16" t="inlineStr">
        <is>
          <t>Ausgaben</t>
        </is>
      </c>
      <c r="J9" s="16" t="inlineStr">
        <is>
          <t>sonstige Betriebsausgaben</t>
        </is>
      </c>
      <c r="K9" s="16" t="inlineStr"/>
      <c r="L9" t="b">
        <v>0</v>
      </c>
      <c r="M9" s="36" t="n">
        <v>15.3</v>
      </c>
      <c r="N9" s="51" t="n">
        <v>1</v>
      </c>
      <c r="O9" s="251" t="n">
        <v>18.36</v>
      </c>
      <c r="P9" s="251">
        <f>Q9&amp;"%"</f>
        <v/>
      </c>
      <c r="Q9" s="27" t="n">
        <v>20</v>
      </c>
      <c r="R9" s="237" t="n">
        <v>3.06</v>
      </c>
      <c r="S9" s="237" t="n">
        <v>3.06</v>
      </c>
      <c r="T9" s="208" t="n">
        <v>15.3</v>
      </c>
      <c r="U9" s="251" t="n">
        <v>18.36</v>
      </c>
      <c r="V9" s="35" t="n">
        <v>43235</v>
      </c>
      <c r="W9" s="35" t="n">
        <v>43234</v>
      </c>
      <c r="X9" s="27" t="n"/>
      <c r="Y9" s="210" t="n">
        <v>15.3</v>
      </c>
      <c r="Z9" s="237" t="n">
        <v>0</v>
      </c>
      <c r="AA9" t="b">
        <v>0</v>
      </c>
    </row>
    <row r="10">
      <c r="A10" t="n">
        <v>299</v>
      </c>
      <c r="B10" s="53" t="n">
        <v>2018</v>
      </c>
      <c r="C10" s="53" t="n">
        <v>9</v>
      </c>
      <c r="D10" s="53">
        <f>B10&amp;"-"&amp;C10</f>
        <v/>
      </c>
      <c r="E10" s="9" t="inlineStr">
        <is>
          <t>RE0562181</t>
        </is>
      </c>
      <c r="F10" s="1" t="n">
        <v>43121</v>
      </c>
      <c r="G10" s="1" t="inlineStr">
        <is>
          <t>easyname jarosoft.at</t>
        </is>
      </c>
      <c r="H10" s="16" t="n"/>
      <c r="I10" s="16" t="inlineStr">
        <is>
          <t>Ausgaben</t>
        </is>
      </c>
      <c r="J10" s="16" t="inlineStr">
        <is>
          <t>sonstige Betriebsausgaben</t>
        </is>
      </c>
      <c r="K10" s="16" t="inlineStr"/>
      <c r="L10" t="b">
        <v>0</v>
      </c>
      <c r="M10" s="36" t="n">
        <v>12.42</v>
      </c>
      <c r="N10" s="51" t="n">
        <v>1</v>
      </c>
      <c r="O10" s="251" t="n">
        <v>14.904</v>
      </c>
      <c r="P10" s="251">
        <f>Q10&amp;"%"</f>
        <v/>
      </c>
      <c r="Q10" s="27" t="n">
        <v>20</v>
      </c>
      <c r="R10" s="237" t="n">
        <v>2.484</v>
      </c>
      <c r="S10" s="237" t="n">
        <v>2.484</v>
      </c>
      <c r="T10" s="208" t="n">
        <v>12.42</v>
      </c>
      <c r="U10" s="251" t="n">
        <v>14.904</v>
      </c>
      <c r="V10" s="35" t="n">
        <v>43235</v>
      </c>
      <c r="W10" s="35" t="n">
        <v>43234</v>
      </c>
      <c r="X10" s="27" t="n"/>
      <c r="Y10" s="210" t="n">
        <v>12.42</v>
      </c>
      <c r="Z10" s="237" t="n">
        <v>0</v>
      </c>
      <c r="AA10" t="b">
        <v>0</v>
      </c>
    </row>
    <row r="11">
      <c r="A11" t="n">
        <v>312</v>
      </c>
      <c r="B11" s="53" t="n">
        <v>2018</v>
      </c>
      <c r="C11" s="53" t="n">
        <v>10</v>
      </c>
      <c r="D11" s="53">
        <f>B11&amp;"-"&amp;C11</f>
        <v/>
      </c>
      <c r="E11" s="9" t="inlineStr">
        <is>
          <t>6149618312</t>
        </is>
      </c>
      <c r="F11" s="1" t="n">
        <v>43132</v>
      </c>
      <c r="G11" t="inlineStr">
        <is>
          <t>Hutchison Drei Austria GmbH, Brünner Straße 52, 1210 Wien, Österreich</t>
        </is>
      </c>
      <c r="H11" s="16" t="n"/>
      <c r="I11" s="16" t="inlineStr">
        <is>
          <t>Ausgaben</t>
        </is>
      </c>
      <c r="J11" s="16" t="inlineStr">
        <is>
          <t>Telefon/Internet</t>
        </is>
      </c>
      <c r="K11" s="16" t="inlineStr"/>
      <c r="L11" t="b">
        <v>0</v>
      </c>
      <c r="M11" s="36" t="n">
        <v>15.58</v>
      </c>
      <c r="N11" s="51" t="n">
        <v>1</v>
      </c>
      <c r="O11" s="251" t="n">
        <v>18.696</v>
      </c>
      <c r="P11" s="251">
        <f>Q11&amp;"%"</f>
        <v/>
      </c>
      <c r="Q11" s="27" t="n">
        <v>20</v>
      </c>
      <c r="R11" s="237" t="n">
        <v>3.116</v>
      </c>
      <c r="S11" s="237" t="n">
        <v>3.116</v>
      </c>
      <c r="T11" s="208" t="n">
        <v>15.58</v>
      </c>
      <c r="U11" s="251" t="n">
        <v>18.696</v>
      </c>
      <c r="V11" s="35" t="n">
        <v>43235</v>
      </c>
      <c r="W11" s="35" t="n">
        <v>43234</v>
      </c>
      <c r="X11" s="27" t="n"/>
      <c r="Y11" s="210" t="n">
        <v>15.58</v>
      </c>
      <c r="Z11" s="237" t="n">
        <v>0</v>
      </c>
      <c r="AA11" t="b">
        <v>0</v>
      </c>
    </row>
    <row r="12">
      <c r="A12" t="n">
        <v>313</v>
      </c>
      <c r="B12" s="53" t="n">
        <v>2018</v>
      </c>
      <c r="C12" s="53" t="n">
        <v>11</v>
      </c>
      <c r="D12" s="53">
        <f>B12&amp;"-"&amp;C12</f>
        <v/>
      </c>
      <c r="E12" s="9" t="inlineStr">
        <is>
          <t>167750781-00</t>
        </is>
      </c>
      <c r="F12" s="1" t="n">
        <v>43132</v>
      </c>
      <c r="G12" t="inlineStr">
        <is>
          <t>UPC Laudongasse</t>
        </is>
      </c>
      <c r="H12" s="16" t="n"/>
      <c r="I12" s="16" t="inlineStr">
        <is>
          <t>Ausgaben</t>
        </is>
      </c>
      <c r="J12" s="16" t="inlineStr">
        <is>
          <t>Telefon/Internet</t>
        </is>
      </c>
      <c r="K12" s="16" t="inlineStr"/>
      <c r="L12" t="b">
        <v>0</v>
      </c>
      <c r="M12" s="36">
        <f>20.66+1.04</f>
        <v/>
      </c>
      <c r="N12" s="51">
        <f>2/3</f>
        <v/>
      </c>
      <c r="O12" s="251">
        <f>N12*U12</f>
        <v/>
      </c>
      <c r="P12" s="251">
        <f>Q12&amp;"%"</f>
        <v/>
      </c>
      <c r="Q12" s="27" t="n">
        <v>20</v>
      </c>
      <c r="R12" s="237" t="n">
        <v>6.38</v>
      </c>
      <c r="S12" s="237" t="n">
        <v>2.207687718401091</v>
      </c>
      <c r="T12" s="208">
        <f>N12*M12</f>
        <v/>
      </c>
      <c r="U12" s="251">
        <f>M12*(100%+P12)</f>
        <v/>
      </c>
      <c r="V12" s="35" t="n">
        <v>43235</v>
      </c>
      <c r="W12" s="35" t="n">
        <v>43234</v>
      </c>
      <c r="X12" s="27" t="n"/>
      <c r="Y12" s="210" t="n">
        <v>14.57489133214012</v>
      </c>
      <c r="Z12" s="237" t="n">
        <v>0</v>
      </c>
      <c r="AA12" t="b">
        <v>0</v>
      </c>
    </row>
    <row r="13">
      <c r="A13" t="n">
        <v>314</v>
      </c>
      <c r="B13" s="53" t="n">
        <v>2018</v>
      </c>
      <c r="C13" s="53" t="n">
        <v>12</v>
      </c>
      <c r="D13" s="53">
        <f>B13&amp;"-"&amp;C13</f>
        <v/>
      </c>
      <c r="E13" s="9" t="inlineStr">
        <is>
          <t>14002797636/40/2018</t>
        </is>
      </c>
      <c r="F13" s="1" t="n">
        <v>43146</v>
      </c>
      <c r="G13" s="1" t="inlineStr">
        <is>
          <t>MONTANA Energie-Handel AT GmbH: Teilzahlungsbetrag Gas</t>
        </is>
      </c>
      <c r="H13" s="16" t="n"/>
      <c r="I13" s="16" t="inlineStr">
        <is>
          <t>Ausgaben</t>
        </is>
      </c>
      <c r="J13" s="16" t="inlineStr">
        <is>
          <t>sonstige Betriebsausgaben</t>
        </is>
      </c>
      <c r="K13" s="16" t="inlineStr"/>
      <c r="L13" t="b">
        <v>0</v>
      </c>
      <c r="M13" s="36" t="n">
        <v>82.5</v>
      </c>
      <c r="N13" s="51" t="n">
        <v>0.2732037841984147</v>
      </c>
      <c r="O13" s="251" t="n">
        <v>27.04717463564306</v>
      </c>
      <c r="P13" s="251">
        <f>Q13&amp;"%"</f>
        <v/>
      </c>
      <c r="Q13" s="27" t="n">
        <v>20</v>
      </c>
      <c r="R13" s="237" t="n">
        <v>16.5</v>
      </c>
      <c r="S13" s="237" t="n">
        <v>4.507862439273843</v>
      </c>
      <c r="T13" s="208" t="n">
        <v>22.53931219636922</v>
      </c>
      <c r="U13" s="251" t="n">
        <v>99</v>
      </c>
      <c r="V13" s="35" t="n">
        <v>43235</v>
      </c>
      <c r="W13" s="35" t="n">
        <v>43234</v>
      </c>
      <c r="X13" s="27" t="n"/>
      <c r="Y13" s="210" t="n">
        <v>22.53931219636922</v>
      </c>
      <c r="Z13" s="237" t="n">
        <v>0</v>
      </c>
      <c r="AA13" t="b">
        <v>0</v>
      </c>
    </row>
    <row r="14">
      <c r="A14" t="n">
        <v>315</v>
      </c>
      <c r="B14" s="53" t="n">
        <v>2018</v>
      </c>
      <c r="C14" s="53" t="n">
        <v>13</v>
      </c>
      <c r="D14" s="53">
        <f>B14&amp;"-"&amp;C14</f>
        <v/>
      </c>
      <c r="E14" s="9" t="inlineStr">
        <is>
          <t>12018006</t>
        </is>
      </c>
      <c r="F14" s="1" t="n">
        <v>43152</v>
      </c>
      <c r="G14" t="inlineStr">
        <is>
          <t>foxcraft OG, LAudongasse 58/16, 1080 Wien</t>
        </is>
      </c>
      <c r="H14" s="16" t="n"/>
      <c r="I14" s="16" t="inlineStr">
        <is>
          <t>Ausgaben</t>
        </is>
      </c>
      <c r="J14" s="16" t="inlineStr">
        <is>
          <t>sonstige Betriebsausgaben</t>
        </is>
      </c>
      <c r="K14" s="16" t="n"/>
      <c r="L14" t="b">
        <v>0</v>
      </c>
      <c r="M14" s="36" t="n">
        <v>168.75</v>
      </c>
      <c r="N14" s="51" t="n">
        <v>1</v>
      </c>
      <c r="O14" s="251" t="n">
        <v>202.5</v>
      </c>
      <c r="P14" s="251">
        <f>Q14&amp;"%"</f>
        <v/>
      </c>
      <c r="Q14" s="27" t="n">
        <v>20</v>
      </c>
      <c r="R14" s="237" t="n">
        <v>33.75</v>
      </c>
      <c r="S14" s="237" t="n">
        <v>33.75</v>
      </c>
      <c r="T14" s="208" t="n">
        <v>168.75</v>
      </c>
      <c r="U14" s="251" t="n">
        <v>202.5</v>
      </c>
      <c r="V14" s="35" t="n">
        <v>43235</v>
      </c>
      <c r="W14" s="35" t="n">
        <v>43234</v>
      </c>
      <c r="X14" s="27" t="n"/>
      <c r="Y14" s="210" t="n">
        <v>168.75</v>
      </c>
      <c r="Z14" s="237" t="n">
        <v>0</v>
      </c>
      <c r="AA14" t="b">
        <v>0</v>
      </c>
    </row>
    <row r="15">
      <c r="B15" s="53" t="n">
        <v>2018</v>
      </c>
      <c r="C15" s="53" t="n">
        <v>14</v>
      </c>
      <c r="D15" s="53">
        <f>B15&amp;"-"&amp;C15</f>
        <v/>
      </c>
      <c r="E15" s="9" t="inlineStr">
        <is>
          <t>2018/8058/18</t>
        </is>
      </c>
      <c r="F15" s="1" t="n">
        <v>43157</v>
      </c>
      <c r="G15" s="1" t="inlineStr">
        <is>
          <t>PREMIUM Laudongasse 58 GmbH &amp; Co KG: Dauerrechnung 2018-D</t>
        </is>
      </c>
      <c r="H15" s="16" t="n"/>
      <c r="I15" s="16" t="inlineStr">
        <is>
          <t>Ausgaben</t>
        </is>
      </c>
      <c r="J15" s="16" t="inlineStr">
        <is>
          <t>Miet- und Pachtaufwand, Leasing</t>
        </is>
      </c>
      <c r="K15" s="16" t="inlineStr"/>
      <c r="L15" t="b">
        <v>0</v>
      </c>
      <c r="M15" s="36" t="n">
        <v>763.4400000000001</v>
      </c>
      <c r="N15" s="51" t="n">
        <v>0.2732037841984147</v>
      </c>
      <c r="O15" s="251" t="n">
        <v>229.4321667092815</v>
      </c>
      <c r="P15" s="251">
        <f>Q15&amp;"%"</f>
        <v/>
      </c>
      <c r="Q15" s="27" t="n">
        <v>10</v>
      </c>
      <c r="R15" s="237" t="n">
        <v>76.34400000000001</v>
      </c>
      <c r="S15" s="237" t="n">
        <v>20.85746970084378</v>
      </c>
      <c r="T15" s="208" t="n">
        <v>208.5746970084378</v>
      </c>
      <c r="U15" s="251" t="n">
        <v>839.7840000000001</v>
      </c>
      <c r="V15" s="35" t="n">
        <v>43235</v>
      </c>
      <c r="W15" s="35" t="n">
        <v>43234</v>
      </c>
      <c r="X15" s="27" t="n"/>
      <c r="Y15" s="210" t="n">
        <v>208.5746970084378</v>
      </c>
      <c r="Z15" s="237" t="n">
        <v>0</v>
      </c>
      <c r="AA15" t="b">
        <v>0</v>
      </c>
    </row>
    <row r="16">
      <c r="B16" s="53" t="n">
        <v>2018</v>
      </c>
      <c r="C16" s="53" t="n">
        <v>15</v>
      </c>
      <c r="D16" s="53">
        <f>B16&amp;"-"&amp;C16</f>
        <v/>
      </c>
      <c r="E16" s="9" t="inlineStr">
        <is>
          <t>168210423-00</t>
        </is>
      </c>
      <c r="F16" s="1" t="n">
        <v>43160</v>
      </c>
      <c r="G16" t="inlineStr">
        <is>
          <t>UPC Laudongasse</t>
        </is>
      </c>
      <c r="H16" s="16" t="n"/>
      <c r="I16" s="16" t="inlineStr">
        <is>
          <t>Ausgaben</t>
        </is>
      </c>
      <c r="J16" s="16" t="inlineStr">
        <is>
          <t>Telefon/Internet</t>
        </is>
      </c>
      <c r="K16" s="16" t="inlineStr"/>
      <c r="L16" t="b">
        <v>0</v>
      </c>
      <c r="M16" s="36">
        <f>20.66+1.04</f>
        <v/>
      </c>
      <c r="N16" s="51">
        <f>2/3</f>
        <v/>
      </c>
      <c r="O16" s="251">
        <f>N16*U16</f>
        <v/>
      </c>
      <c r="P16" s="251">
        <f>Q16&amp;"%"</f>
        <v/>
      </c>
      <c r="Q16" s="27" t="n">
        <v>20</v>
      </c>
      <c r="R16" s="237" t="n">
        <v>6.38</v>
      </c>
      <c r="S16" s="237" t="n">
        <v>2.207687718401091</v>
      </c>
      <c r="T16" s="208">
        <f>N16*M16</f>
        <v/>
      </c>
      <c r="U16" s="251">
        <f>M16*(100%+P16)</f>
        <v/>
      </c>
      <c r="V16" s="35" t="n">
        <v>43235</v>
      </c>
      <c r="W16" s="35" t="n">
        <v>43234</v>
      </c>
      <c r="X16" s="27" t="n"/>
      <c r="Y16" s="210" t="n">
        <v>14.57489133214012</v>
      </c>
      <c r="Z16" s="237" t="n">
        <v>0</v>
      </c>
      <c r="AA16" t="b">
        <v>0</v>
      </c>
    </row>
    <row r="17">
      <c r="B17" s="53" t="n">
        <v>2018</v>
      </c>
      <c r="C17" s="53" t="n">
        <v>16</v>
      </c>
      <c r="D17" s="53">
        <f>B17&amp;"-"&amp;C17</f>
        <v/>
      </c>
      <c r="E17" s="9" t="inlineStr">
        <is>
          <t>6151479272</t>
        </is>
      </c>
      <c r="F17" s="1" t="n">
        <v>43167</v>
      </c>
      <c r="G17" t="inlineStr">
        <is>
          <t>Hutchison Drei Austria GmbH, Brünner Straße 52, 1210 Wien, Österreich</t>
        </is>
      </c>
      <c r="H17" s="16" t="n"/>
      <c r="I17" s="16" t="inlineStr">
        <is>
          <t>Ausgaben</t>
        </is>
      </c>
      <c r="J17" s="16" t="inlineStr">
        <is>
          <t>Telefon/Internet</t>
        </is>
      </c>
      <c r="K17" s="16" t="inlineStr"/>
      <c r="L17" t="b">
        <v>0</v>
      </c>
      <c r="M17" s="36" t="n">
        <v>15.58</v>
      </c>
      <c r="N17" s="51" t="n">
        <v>1</v>
      </c>
      <c r="O17" s="251" t="n">
        <v>18.696</v>
      </c>
      <c r="P17" s="251">
        <f>Q17&amp;"%"</f>
        <v/>
      </c>
      <c r="Q17" s="27" t="n">
        <v>20</v>
      </c>
      <c r="R17" s="237" t="n">
        <v>3.116</v>
      </c>
      <c r="S17" s="237" t="n">
        <v>3.116</v>
      </c>
      <c r="T17" s="208" t="n">
        <v>15.58</v>
      </c>
      <c r="U17" s="251" t="n">
        <v>18.696</v>
      </c>
      <c r="V17" s="35" t="n">
        <v>43235</v>
      </c>
      <c r="W17" s="35" t="n">
        <v>43234</v>
      </c>
      <c r="X17" s="27" t="n"/>
      <c r="Y17" s="210" t="n">
        <v>15.58</v>
      </c>
      <c r="Z17" s="237" t="n">
        <v>0</v>
      </c>
      <c r="AA17" t="b">
        <v>0</v>
      </c>
    </row>
    <row r="18">
      <c r="B18" s="53" t="n">
        <v>2018</v>
      </c>
      <c r="C18" s="53" t="n">
        <v>17</v>
      </c>
      <c r="D18" s="53">
        <f>B18&amp;"-"&amp;C18</f>
        <v/>
      </c>
      <c r="E18" s="9" t="inlineStr">
        <is>
          <t>14002906745/40/2018</t>
        </is>
      </c>
      <c r="F18" s="1" t="n">
        <v>43174</v>
      </c>
      <c r="G18" s="1" t="inlineStr">
        <is>
          <t>MONTANA Energie-Handel AT GmbH: Teilzahlungsbetrag Gas</t>
        </is>
      </c>
      <c r="H18" s="16" t="n"/>
      <c r="I18" s="16" t="inlineStr">
        <is>
          <t>Ausgaben</t>
        </is>
      </c>
      <c r="J18" s="16" t="inlineStr">
        <is>
          <t>sonstige Betriebsausgaben</t>
        </is>
      </c>
      <c r="K18" s="16" t="inlineStr"/>
      <c r="L18" t="b">
        <v>0</v>
      </c>
      <c r="M18" s="36" t="n">
        <v>82.5</v>
      </c>
      <c r="N18" s="51" t="n">
        <v>0.2732037841984147</v>
      </c>
      <c r="O18" s="251" t="n">
        <v>27.04717463564306</v>
      </c>
      <c r="P18" s="251">
        <f>Q18&amp;"%"</f>
        <v/>
      </c>
      <c r="Q18" s="27" t="n">
        <v>20</v>
      </c>
      <c r="R18" s="237" t="n">
        <v>16.5</v>
      </c>
      <c r="S18" s="237" t="n">
        <v>4.507862439273843</v>
      </c>
      <c r="T18" s="208" t="n">
        <v>22.53931219636922</v>
      </c>
      <c r="U18" s="251" t="n">
        <v>99</v>
      </c>
      <c r="V18" s="35" t="n">
        <v>43235</v>
      </c>
      <c r="W18" s="35" t="n">
        <v>43234</v>
      </c>
      <c r="X18" s="27" t="n"/>
      <c r="Y18" s="210" t="n">
        <v>22.53931219636922</v>
      </c>
      <c r="Z18" s="237" t="n">
        <v>0</v>
      </c>
      <c r="AA18" t="b">
        <v>0</v>
      </c>
    </row>
    <row r="19">
      <c r="B19" s="53" t="n">
        <v>2018</v>
      </c>
      <c r="C19" s="53" t="n">
        <v>18</v>
      </c>
      <c r="D19" s="53">
        <f>B19&amp;"-"&amp;C19</f>
        <v/>
      </c>
      <c r="E19" s="9" t="inlineStr">
        <is>
          <t>E05005ER62</t>
        </is>
      </c>
      <c r="F19" s="1" t="n">
        <v>43152</v>
      </c>
      <c r="G19" t="inlineStr">
        <is>
          <t>Microsoft Ireland Operations Ltd, One Microsoft Place, South County Business Park Leopardstown Dublin 18, D18 P521 Irland: Office 365 Business Essentials (monatlich)</t>
        </is>
      </c>
      <c r="H19" s="16" t="n"/>
      <c r="I19" s="16" t="inlineStr">
        <is>
          <t>Ausgaben</t>
        </is>
      </c>
      <c r="J19" s="16" t="inlineStr">
        <is>
          <t>sonstige Betriebsausgaben</t>
        </is>
      </c>
      <c r="K19" s="16" t="inlineStr"/>
      <c r="L19" t="b">
        <v>0</v>
      </c>
      <c r="M19" s="36" t="n">
        <v>15.3</v>
      </c>
      <c r="N19" s="51" t="n">
        <v>1</v>
      </c>
      <c r="O19" s="251" t="n">
        <v>18.36</v>
      </c>
      <c r="P19" s="251">
        <f>Q19&amp;"%"</f>
        <v/>
      </c>
      <c r="Q19" s="27" t="n">
        <v>20</v>
      </c>
      <c r="R19" s="237" t="n">
        <v>3.06</v>
      </c>
      <c r="S19" s="237" t="n">
        <v>3.06</v>
      </c>
      <c r="T19" s="208" t="n">
        <v>15.3</v>
      </c>
      <c r="U19" s="251" t="n">
        <v>18.36</v>
      </c>
      <c r="V19" s="35" t="n">
        <v>43235</v>
      </c>
      <c r="W19" s="35" t="n">
        <v>43234</v>
      </c>
      <c r="X19" s="27" t="n"/>
      <c r="Y19" s="210" t="n">
        <v>15.3</v>
      </c>
      <c r="Z19" s="237" t="n">
        <v>0</v>
      </c>
      <c r="AA19" t="b">
        <v>0</v>
      </c>
    </row>
    <row r="20">
      <c r="B20" s="53" t="n">
        <v>2018</v>
      </c>
      <c r="C20" s="53" t="n">
        <v>19</v>
      </c>
      <c r="D20" s="53">
        <f>B20&amp;"-"&amp;C20</f>
        <v/>
      </c>
      <c r="E20" s="9" t="inlineStr">
        <is>
          <t>2018/8058/18</t>
        </is>
      </c>
      <c r="F20" s="1" t="n">
        <v>43185</v>
      </c>
      <c r="G20" s="1" t="inlineStr">
        <is>
          <t>PREMIUM Laudongasse 58 GmbH &amp; Co KG: Dauerrechnung 2018-D</t>
        </is>
      </c>
      <c r="H20" s="16" t="n"/>
      <c r="I20" s="16" t="inlineStr">
        <is>
          <t>Ausgaben</t>
        </is>
      </c>
      <c r="J20" s="16" t="inlineStr">
        <is>
          <t>Miet- und Pachtaufwand, Leasing</t>
        </is>
      </c>
      <c r="K20" s="16" t="inlineStr"/>
      <c r="L20" t="b">
        <v>0</v>
      </c>
      <c r="M20" s="36" t="n">
        <v>763.4400000000001</v>
      </c>
      <c r="N20" s="51" t="n">
        <v>0.2732037841984147</v>
      </c>
      <c r="O20" s="251" t="n">
        <v>229.4321667092815</v>
      </c>
      <c r="P20" s="251">
        <f>Q20&amp;"%"</f>
        <v/>
      </c>
      <c r="Q20" s="27" t="n">
        <v>10</v>
      </c>
      <c r="R20" s="237" t="n">
        <v>76.34400000000001</v>
      </c>
      <c r="S20" s="237" t="n">
        <v>20.85746970084378</v>
      </c>
      <c r="T20" s="208" t="n">
        <v>208.5746970084378</v>
      </c>
      <c r="U20" s="251" t="n">
        <v>839.7840000000001</v>
      </c>
      <c r="V20" s="35" t="n">
        <v>43235</v>
      </c>
      <c r="W20" s="35" t="n">
        <v>43234</v>
      </c>
      <c r="X20" s="27" t="n"/>
      <c r="Y20" s="210" t="n">
        <v>208.5746970084378</v>
      </c>
      <c r="Z20" s="237" t="n">
        <v>0</v>
      </c>
      <c r="AA20" t="b">
        <v>0</v>
      </c>
    </row>
    <row r="21">
      <c r="B21" s="53" t="n">
        <v>2018</v>
      </c>
      <c r="C21" s="53" t="n">
        <v>20</v>
      </c>
      <c r="D21" s="53">
        <f>B21&amp;"-"&amp;C21</f>
        <v/>
      </c>
      <c r="E21" s="9" t="inlineStr">
        <is>
          <t>168670526-00</t>
        </is>
      </c>
      <c r="F21" s="1" t="n">
        <v>43194</v>
      </c>
      <c r="G21" t="inlineStr">
        <is>
          <t>UPC Laudongasse</t>
        </is>
      </c>
      <c r="H21" s="16" t="n"/>
      <c r="I21" s="16" t="inlineStr">
        <is>
          <t>Ausgaben</t>
        </is>
      </c>
      <c r="J21" s="16" t="inlineStr">
        <is>
          <t>Telefon/Internet</t>
        </is>
      </c>
      <c r="K21" s="16" t="n"/>
      <c r="L21" t="b">
        <v>0</v>
      </c>
      <c r="M21" s="36">
        <f>8.93+27.82+27.81+1.04-1.86-5.8-4.78-14.86</f>
        <v/>
      </c>
      <c r="N21" s="51">
        <f>2/3</f>
        <v/>
      </c>
      <c r="O21" s="251">
        <f>N21*U21</f>
        <v/>
      </c>
      <c r="P21" s="251">
        <f>Q21&amp;"%"</f>
        <v/>
      </c>
      <c r="Q21" s="27" t="n">
        <v>20</v>
      </c>
      <c r="R21" s="237" t="n">
        <v>6.38</v>
      </c>
      <c r="S21" s="237" t="n">
        <v>2.207687718401091</v>
      </c>
      <c r="T21" s="208">
        <f>N21*M21</f>
        <v/>
      </c>
      <c r="U21" s="251">
        <f>M21*(100%+P21)</f>
        <v/>
      </c>
      <c r="V21" s="35" t="n">
        <v>43235</v>
      </c>
      <c r="W21" s="35" t="n">
        <v>43318</v>
      </c>
      <c r="X21" s="27" t="n"/>
      <c r="Y21" s="210" t="n">
        <v>24.84</v>
      </c>
      <c r="Z21" s="237" t="n">
        <v>0</v>
      </c>
      <c r="AA21" t="b">
        <v>0</v>
      </c>
    </row>
    <row r="22">
      <c r="B22" s="53" t="n">
        <v>2018</v>
      </c>
      <c r="C22" s="53" t="n">
        <v>21</v>
      </c>
      <c r="D22" s="53">
        <f>B22&amp;"-"&amp;C22</f>
        <v/>
      </c>
      <c r="E22" s="9" t="inlineStr">
        <is>
          <t>6153332230</t>
        </is>
      </c>
      <c r="F22" s="1" t="n">
        <v>43196</v>
      </c>
      <c r="G22" t="inlineStr">
        <is>
          <t>Hutchison Drei Austria GmbH, Brünner Straße 52, 1210 Wien, Österreich</t>
        </is>
      </c>
      <c r="H22" s="16" t="n"/>
      <c r="I22" s="16" t="inlineStr">
        <is>
          <t>Ausgaben</t>
        </is>
      </c>
      <c r="J22" s="16" t="inlineStr">
        <is>
          <t>Telefon/Internet</t>
        </is>
      </c>
      <c r="K22" s="16" t="inlineStr"/>
      <c r="L22" t="b">
        <v>0</v>
      </c>
      <c r="M22" s="36" t="n">
        <v>15.58</v>
      </c>
      <c r="N22" s="51" t="n">
        <v>1</v>
      </c>
      <c r="O22" s="251" t="n">
        <v>18.696</v>
      </c>
      <c r="P22" s="251">
        <f>Q22&amp;"%"</f>
        <v/>
      </c>
      <c r="Q22" s="27" t="n">
        <v>20</v>
      </c>
      <c r="R22" s="237" t="n">
        <v>3.116</v>
      </c>
      <c r="S22" s="237" t="n">
        <v>3.116</v>
      </c>
      <c r="T22" s="208" t="n">
        <v>15.58</v>
      </c>
      <c r="U22" s="251" t="n">
        <v>18.696</v>
      </c>
      <c r="V22" s="35" t="n">
        <v>43327</v>
      </c>
      <c r="W22" s="35" t="n">
        <v>43318</v>
      </c>
      <c r="X22" s="27" t="n"/>
      <c r="Y22" s="210" t="n">
        <v>15.58</v>
      </c>
      <c r="Z22" s="237" t="n">
        <v>0</v>
      </c>
      <c r="AA22" t="b">
        <v>0</v>
      </c>
    </row>
    <row r="23">
      <c r="B23" s="53" t="n">
        <v>2018</v>
      </c>
      <c r="C23" s="53" t="n">
        <v>22</v>
      </c>
      <c r="D23" s="53">
        <f>B23&amp;"-"&amp;C23</f>
        <v/>
      </c>
      <c r="E23" s="9" t="inlineStr">
        <is>
          <t>34017285963/40/2018</t>
        </is>
      </c>
      <c r="F23" s="1" t="n">
        <v>43206</v>
      </c>
      <c r="G23" s="1" t="inlineStr">
        <is>
          <t>VERBUND AG, Postfach 8400, 1011 Wien, Österreich: Teilzahlungsvorschreibung</t>
        </is>
      </c>
      <c r="H23" s="16" t="n"/>
      <c r="I23" s="16" t="inlineStr">
        <is>
          <t>Ausgaben</t>
        </is>
      </c>
      <c r="J23" s="16" t="inlineStr">
        <is>
          <t>sonstige Betriebsausgaben</t>
        </is>
      </c>
      <c r="K23" s="16" t="inlineStr"/>
      <c r="L23" t="b">
        <v>0</v>
      </c>
      <c r="M23" s="36" t="n">
        <v>151.67</v>
      </c>
      <c r="N23" s="51" t="n">
        <v>0.2732037841984147</v>
      </c>
      <c r="O23" s="251" t="n">
        <v>49.72418153924828</v>
      </c>
      <c r="P23" s="251">
        <f>Q23&amp;"%"</f>
        <v/>
      </c>
      <c r="Q23" s="27" t="n">
        <v>20</v>
      </c>
      <c r="R23" s="237" t="n">
        <v>30.334</v>
      </c>
      <c r="S23" s="237" t="n">
        <v>8.287363589874712</v>
      </c>
      <c r="T23" s="208" t="n">
        <v>41.43681794937356</v>
      </c>
      <c r="U23" s="251" t="n">
        <v>182.004</v>
      </c>
      <c r="V23" s="35" t="n">
        <v>43327</v>
      </c>
      <c r="W23" s="35" t="n">
        <v>43318</v>
      </c>
      <c r="X23" s="27" t="n"/>
      <c r="Y23" s="210" t="n">
        <v>41.43681794937356</v>
      </c>
      <c r="Z23" s="237" t="n">
        <v>0</v>
      </c>
      <c r="AA23" t="b">
        <v>0</v>
      </c>
    </row>
    <row r="24">
      <c r="B24" s="53" t="n">
        <v>2018</v>
      </c>
      <c r="C24" s="53" t="n">
        <v>23</v>
      </c>
      <c r="D24" s="53">
        <f>B24&amp;"-"&amp;C24</f>
        <v/>
      </c>
      <c r="E24" s="9" t="inlineStr">
        <is>
          <t>14003021448/40/2018</t>
        </is>
      </c>
      <c r="F24" s="1" t="n">
        <v>43206</v>
      </c>
      <c r="G24" s="1" t="inlineStr">
        <is>
          <t>MONTANA Energie-Handel AT GmbH: Teilzahlungsbetrag Gas</t>
        </is>
      </c>
      <c r="H24" s="16" t="n"/>
      <c r="I24" s="16" t="inlineStr">
        <is>
          <t>Ausgaben</t>
        </is>
      </c>
      <c r="J24" s="16" t="inlineStr">
        <is>
          <t>sonstige Betriebsausgaben</t>
        </is>
      </c>
      <c r="K24" s="16" t="inlineStr"/>
      <c r="L24" t="b">
        <v>0</v>
      </c>
      <c r="M24" s="36" t="n">
        <v>82.5</v>
      </c>
      <c r="N24" s="51" t="n">
        <v>0.2732037841984147</v>
      </c>
      <c r="O24" s="251" t="n">
        <v>27.04717463564306</v>
      </c>
      <c r="P24" s="251">
        <f>Q24&amp;"%"</f>
        <v/>
      </c>
      <c r="Q24" s="27" t="n">
        <v>20</v>
      </c>
      <c r="R24" s="237" t="n">
        <v>16.5</v>
      </c>
      <c r="S24" s="237" t="n">
        <v>4.507862439273843</v>
      </c>
      <c r="T24" s="208" t="n">
        <v>22.53931219636922</v>
      </c>
      <c r="U24" s="251" t="n">
        <v>99</v>
      </c>
      <c r="V24" s="35" t="n">
        <v>43327</v>
      </c>
      <c r="W24" s="35" t="n">
        <v>43318</v>
      </c>
      <c r="X24" s="27" t="n"/>
      <c r="Y24" s="210" t="n">
        <v>22.53931219636922</v>
      </c>
      <c r="Z24" s="237" t="n">
        <v>0</v>
      </c>
      <c r="AA24" t="b">
        <v>0</v>
      </c>
    </row>
    <row r="25">
      <c r="B25" s="53" t="n">
        <v>2018</v>
      </c>
      <c r="C25" s="53" t="n">
        <v>24</v>
      </c>
      <c r="D25" s="53">
        <f>B25&amp;"-"&amp;C25</f>
        <v/>
      </c>
      <c r="E25" s="9" t="inlineStr">
        <is>
          <t>AEU-INV-AT-2018-6321625</t>
        </is>
      </c>
      <c r="F25" s="1" t="n">
        <v>43181</v>
      </c>
      <c r="G25" s="1" t="inlineStr">
        <is>
          <t>Amazon EU Sàrl, 5 Rue Plaetis, L-2338, Luxemburg: WLAN-AP</t>
        </is>
      </c>
      <c r="H25" s="16" t="n"/>
      <c r="I25" s="16" t="inlineStr">
        <is>
          <t>Ausgaben</t>
        </is>
      </c>
      <c r="J25" s="16" t="inlineStr">
        <is>
          <t>Waren, Rohstoffe, Hilfsstoffe</t>
        </is>
      </c>
      <c r="K25" s="36" t="inlineStr">
        <is>
          <t>Weiterverkauf</t>
        </is>
      </c>
      <c r="L25" t="b">
        <v>0</v>
      </c>
      <c r="M25" s="36" t="n">
        <v>30.24</v>
      </c>
      <c r="N25" s="51" t="n">
        <v>1</v>
      </c>
      <c r="O25" s="251" t="n">
        <v>36.288</v>
      </c>
      <c r="P25" s="251">
        <f>Q25&amp;"%"</f>
        <v/>
      </c>
      <c r="Q25" s="27" t="n">
        <v>20</v>
      </c>
      <c r="R25" s="237" t="n">
        <v>6.047999999999999</v>
      </c>
      <c r="S25" s="237" t="n">
        <v>6.047999999999999</v>
      </c>
      <c r="T25" s="208" t="n">
        <v>30.24</v>
      </c>
      <c r="U25" s="251" t="n">
        <v>36.288</v>
      </c>
      <c r="V25" s="35" t="n">
        <v>43235</v>
      </c>
      <c r="W25" s="35" t="n">
        <v>43234</v>
      </c>
      <c r="X25" s="27" t="n"/>
      <c r="Y25" s="210" t="n">
        <v>30.24</v>
      </c>
      <c r="Z25" s="237" t="n">
        <v>0</v>
      </c>
      <c r="AA25" t="b">
        <v>0</v>
      </c>
    </row>
    <row r="26">
      <c r="B26" s="53" t="n">
        <v>2018</v>
      </c>
      <c r="C26" s="53" t="n">
        <v>25</v>
      </c>
      <c r="D26" s="53">
        <f>B26&amp;"-"&amp;C26</f>
        <v/>
      </c>
      <c r="E26" s="9" t="inlineStr">
        <is>
          <t>2018/8058/18</t>
        </is>
      </c>
      <c r="F26" s="1" t="n">
        <v>43215</v>
      </c>
      <c r="G26" s="1" t="inlineStr">
        <is>
          <t>PREMIUM Laudongasse 58 GmbH &amp; Co KG: Dauerrechnung 2018-D</t>
        </is>
      </c>
      <c r="H26" s="16" t="n"/>
      <c r="I26" s="16" t="inlineStr">
        <is>
          <t>Ausgaben</t>
        </is>
      </c>
      <c r="J26" s="16" t="inlineStr">
        <is>
          <t>Miet- und Pachtaufwand, Leasing</t>
        </is>
      </c>
      <c r="K26" s="16" t="inlineStr"/>
      <c r="L26" t="b">
        <v>0</v>
      </c>
      <c r="M26" s="36" t="n">
        <v>763.4400000000001</v>
      </c>
      <c r="N26" s="51" t="n">
        <v>0.2732037841984147</v>
      </c>
      <c r="O26" s="251" t="n">
        <v>229.4321667092815</v>
      </c>
      <c r="P26" s="251">
        <f>Q26&amp;"%"</f>
        <v/>
      </c>
      <c r="Q26" s="27" t="n">
        <v>10</v>
      </c>
      <c r="R26" s="237" t="n">
        <v>76.34400000000001</v>
      </c>
      <c r="S26" s="237" t="n">
        <v>20.85746970084378</v>
      </c>
      <c r="T26" s="208" t="n">
        <v>208.5746970084378</v>
      </c>
      <c r="U26" s="251" t="n">
        <v>839.7840000000001</v>
      </c>
      <c r="V26" s="35" t="n">
        <v>43327</v>
      </c>
      <c r="W26" s="35" t="n">
        <v>43318</v>
      </c>
      <c r="X26" s="27" t="n"/>
      <c r="Y26" s="210" t="n">
        <v>208.5746970084378</v>
      </c>
      <c r="Z26" s="237" t="n">
        <v>0</v>
      </c>
      <c r="AA26" t="b">
        <v>0</v>
      </c>
    </row>
    <row r="27">
      <c r="B27" s="53" t="n">
        <v>2018</v>
      </c>
      <c r="C27" s="53" t="n">
        <v>26</v>
      </c>
      <c r="D27" s="53">
        <f>B27&amp;"-"&amp;C27</f>
        <v/>
      </c>
      <c r="E27" s="9" t="inlineStr">
        <is>
          <t>169132529-00</t>
        </is>
      </c>
      <c r="F27" s="1" t="n">
        <v>43224</v>
      </c>
      <c r="G27" t="inlineStr">
        <is>
          <t>UPC Laudongasse</t>
        </is>
      </c>
      <c r="H27" s="16" t="n"/>
      <c r="I27" s="16" t="inlineStr">
        <is>
          <t>Ausgaben</t>
        </is>
      </c>
      <c r="J27" s="16" t="inlineStr">
        <is>
          <t>Telefon/Internet</t>
        </is>
      </c>
      <c r="K27" s="16" t="n"/>
      <c r="L27" t="b">
        <v>0</v>
      </c>
      <c r="M27" s="36">
        <f>27.82+1.04</f>
        <v/>
      </c>
      <c r="N27" s="51">
        <f>2/3</f>
        <v/>
      </c>
      <c r="O27" s="251">
        <f>N27*U27</f>
        <v/>
      </c>
      <c r="P27" s="251">
        <f>Q27&amp;"%"</f>
        <v/>
      </c>
      <c r="Q27" s="27" t="n">
        <v>20</v>
      </c>
      <c r="R27" s="237" t="n">
        <v>6.38</v>
      </c>
      <c r="S27" s="237" t="n">
        <v>2.207687718401091</v>
      </c>
      <c r="T27" s="208">
        <f>N27*M27</f>
        <v/>
      </c>
      <c r="U27" s="251">
        <f>M27*(100%+P27)</f>
        <v/>
      </c>
      <c r="V27" s="35" t="n">
        <v>43235</v>
      </c>
      <c r="W27" s="35" t="n">
        <v>43318</v>
      </c>
      <c r="X27" s="27" t="n"/>
      <c r="Y27" s="210" t="n">
        <v>19.24</v>
      </c>
      <c r="Z27" s="237" t="n">
        <v>0</v>
      </c>
      <c r="AA27" t="b">
        <v>0</v>
      </c>
    </row>
    <row r="28">
      <c r="B28" s="53" t="n">
        <v>2018</v>
      </c>
      <c r="C28" s="53" t="n">
        <v>27</v>
      </c>
      <c r="D28" s="53">
        <f>B28&amp;"-"&amp;C28</f>
        <v/>
      </c>
      <c r="E28" s="9" t="inlineStr">
        <is>
          <t>6155179680</t>
        </is>
      </c>
      <c r="F28" s="1" t="n">
        <v>43227</v>
      </c>
      <c r="G28" t="inlineStr">
        <is>
          <t>Hutchison Drei Austria GmbH, Brünner Straße 52, 1210 Wien, Österreich</t>
        </is>
      </c>
      <c r="H28" s="16" t="n"/>
      <c r="I28" s="16" t="inlineStr">
        <is>
          <t>Ausgaben</t>
        </is>
      </c>
      <c r="J28" s="16" t="inlineStr">
        <is>
          <t>Telefon/Internet</t>
        </is>
      </c>
      <c r="K28" s="16" t="inlineStr"/>
      <c r="L28" t="b">
        <v>0</v>
      </c>
      <c r="M28" s="36" t="n">
        <v>15</v>
      </c>
      <c r="N28" s="51" t="n">
        <v>1</v>
      </c>
      <c r="O28" s="251" t="n">
        <v>18</v>
      </c>
      <c r="P28" s="251">
        <f>Q28&amp;"%"</f>
        <v/>
      </c>
      <c r="Q28" s="27" t="n">
        <v>20</v>
      </c>
      <c r="R28" s="237" t="n">
        <v>3</v>
      </c>
      <c r="S28" s="237" t="n">
        <v>3</v>
      </c>
      <c r="T28" s="208" t="n">
        <v>15</v>
      </c>
      <c r="U28" s="251" t="n">
        <v>18</v>
      </c>
      <c r="V28" s="35" t="n">
        <v>43327</v>
      </c>
      <c r="W28" s="35" t="n">
        <v>43318</v>
      </c>
      <c r="X28" s="27" t="n"/>
      <c r="Y28" s="210" t="n">
        <v>15</v>
      </c>
      <c r="Z28" s="237" t="n">
        <v>0</v>
      </c>
      <c r="AA28" t="b">
        <v>0</v>
      </c>
    </row>
    <row r="29">
      <c r="B29" s="53" t="n">
        <v>2018</v>
      </c>
      <c r="C29" s="53" t="n">
        <v>28</v>
      </c>
      <c r="D29" s="53">
        <f>B29&amp;"-"&amp;C29</f>
        <v/>
      </c>
      <c r="E29" s="9" t="inlineStr">
        <is>
          <t>181001871465</t>
        </is>
      </c>
      <c r="F29" s="1" t="n">
        <v>43234</v>
      </c>
      <c r="G29" s="1" t="inlineStr">
        <is>
          <t>WKO: Grundumlage</t>
        </is>
      </c>
      <c r="H29" s="16" t="n"/>
      <c r="I29" s="16" t="inlineStr">
        <is>
          <t>Ausgaben</t>
        </is>
      </c>
      <c r="J29" s="16" t="inlineStr">
        <is>
          <t>Porto/Gebühren</t>
        </is>
      </c>
      <c r="K29" s="16" t="n"/>
      <c r="L29" t="b">
        <v>0</v>
      </c>
      <c r="M29" s="36" t="n">
        <v>65</v>
      </c>
      <c r="N29" s="51" t="n">
        <v>1</v>
      </c>
      <c r="O29" s="251" t="n">
        <v>65</v>
      </c>
      <c r="P29" s="251">
        <f>Q29&amp;"%"</f>
        <v/>
      </c>
      <c r="Q29" s="27" t="n">
        <v>0</v>
      </c>
      <c r="R29" s="237" t="n">
        <v>0</v>
      </c>
      <c r="S29" s="237" t="n">
        <v>0</v>
      </c>
      <c r="T29" s="208" t="n">
        <v>65</v>
      </c>
      <c r="U29" s="251" t="n">
        <v>65</v>
      </c>
      <c r="V29" s="35" t="n">
        <v>43327</v>
      </c>
      <c r="W29" s="35" t="n">
        <v>43318</v>
      </c>
      <c r="X29" s="27" t="n"/>
      <c r="Y29" s="210" t="n">
        <v>65</v>
      </c>
      <c r="Z29" s="237" t="n">
        <v>0</v>
      </c>
      <c r="AA29" t="b">
        <v>0</v>
      </c>
    </row>
    <row r="30">
      <c r="B30" s="53" t="n">
        <v>2018</v>
      </c>
      <c r="C30" s="53" t="n">
        <v>29</v>
      </c>
      <c r="D30" s="53">
        <f>B30&amp;"-"&amp;C30</f>
        <v/>
      </c>
      <c r="E30" s="9" t="inlineStr">
        <is>
          <t>14003136019/40/2018</t>
        </is>
      </c>
      <c r="F30" s="1" t="n">
        <v>43235</v>
      </c>
      <c r="G30" s="1" t="inlineStr">
        <is>
          <t>MONTANA Energie-Handel AT GmbH: Teilzahlungsbetrag Gas</t>
        </is>
      </c>
      <c r="H30" s="16" t="n"/>
      <c r="I30" s="16" t="inlineStr">
        <is>
          <t>Ausgaben</t>
        </is>
      </c>
      <c r="J30" s="16" t="inlineStr">
        <is>
          <t>sonstige Betriebsausgaben</t>
        </is>
      </c>
      <c r="K30" s="16" t="inlineStr"/>
      <c r="L30" t="b">
        <v>0</v>
      </c>
      <c r="M30" s="36" t="n">
        <v>82.5</v>
      </c>
      <c r="N30" s="51" t="n">
        <v>0.2732037841984147</v>
      </c>
      <c r="O30" s="251" t="n">
        <v>27.04717463564306</v>
      </c>
      <c r="P30" s="251">
        <f>Q30&amp;"%"</f>
        <v/>
      </c>
      <c r="Q30" s="27" t="n">
        <v>20</v>
      </c>
      <c r="R30" s="237" t="n">
        <v>16.5</v>
      </c>
      <c r="S30" s="237" t="n">
        <v>4.507862439273843</v>
      </c>
      <c r="T30" s="208" t="n">
        <v>22.53931219636922</v>
      </c>
      <c r="U30" s="251" t="n">
        <v>99</v>
      </c>
      <c r="V30" s="35" t="n">
        <v>43327</v>
      </c>
      <c r="W30" s="35" t="n">
        <v>43318</v>
      </c>
      <c r="X30" s="27" t="n"/>
      <c r="Y30" s="210" t="n">
        <v>22.53931219636922</v>
      </c>
      <c r="Z30" s="237" t="n">
        <v>0</v>
      </c>
      <c r="AA30" t="b">
        <v>0</v>
      </c>
    </row>
    <row r="31">
      <c r="B31" s="53" t="n">
        <v>2018</v>
      </c>
      <c r="C31" s="53" t="n">
        <v>30</v>
      </c>
      <c r="D31" s="53">
        <f>B31&amp;"-"&amp;C31</f>
        <v/>
      </c>
      <c r="E31" s="9" t="inlineStr">
        <is>
          <t>2018/8058/18</t>
        </is>
      </c>
      <c r="F31" s="1" t="n">
        <v>43245</v>
      </c>
      <c r="G31" s="1" t="inlineStr">
        <is>
          <t>PREMIUM Laudongasse 58 GmbH &amp; Co KG: Dauerrechnung 2018-D</t>
        </is>
      </c>
      <c r="H31" s="16" t="n"/>
      <c r="I31" s="16" t="inlineStr">
        <is>
          <t>Ausgaben</t>
        </is>
      </c>
      <c r="J31" s="16" t="inlineStr">
        <is>
          <t>Miet- und Pachtaufwand, Leasing</t>
        </is>
      </c>
      <c r="K31" s="16" t="inlineStr"/>
      <c r="L31" t="b">
        <v>0</v>
      </c>
      <c r="M31" s="36" t="n">
        <v>763.4400000000001</v>
      </c>
      <c r="N31" s="51" t="n">
        <v>0.2732037841984147</v>
      </c>
      <c r="O31" s="251" t="n">
        <v>229.4321667092815</v>
      </c>
      <c r="P31" s="251">
        <f>Q31&amp;"%"</f>
        <v/>
      </c>
      <c r="Q31" s="27" t="n">
        <v>10</v>
      </c>
      <c r="R31" s="237" t="n">
        <v>76.34400000000001</v>
      </c>
      <c r="S31" s="237" t="n">
        <v>20.85746970084378</v>
      </c>
      <c r="T31" s="208" t="n">
        <v>208.5746970084378</v>
      </c>
      <c r="U31" s="251" t="n">
        <v>839.7840000000001</v>
      </c>
      <c r="V31" s="35" t="n">
        <v>43327</v>
      </c>
      <c r="W31" s="35" t="n">
        <v>43318</v>
      </c>
      <c r="X31" s="27" t="n"/>
      <c r="Y31" s="210" t="n">
        <v>208.5746970084378</v>
      </c>
      <c r="Z31" s="237" t="n">
        <v>0</v>
      </c>
      <c r="AA31" t="b">
        <v>0</v>
      </c>
    </row>
    <row r="32">
      <c r="B32" s="53" t="n">
        <v>2018</v>
      </c>
      <c r="C32" s="53" t="n">
        <v>31</v>
      </c>
      <c r="D32" s="53">
        <f>B32&amp;"-"&amp;C32</f>
        <v/>
      </c>
      <c r="E32" s="9" t="inlineStr">
        <is>
          <t>AEU-INV-AT-2018-7711065</t>
        </is>
      </c>
      <c r="F32" s="1" t="n">
        <v>43200</v>
      </c>
      <c r="G32" s="1" t="inlineStr">
        <is>
          <t>Amazon EU Sàrl, 5 Rue Plaetis, L-2338, Luxemburg: Toner magenta, gelb</t>
        </is>
      </c>
      <c r="H32" s="16" t="n"/>
      <c r="I32" s="16" t="inlineStr">
        <is>
          <t>Ausgaben</t>
        </is>
      </c>
      <c r="J32" s="16" t="inlineStr">
        <is>
          <t>Waren, Rohstoffe, Hilfsstoffe</t>
        </is>
      </c>
      <c r="K32" s="36" t="inlineStr">
        <is>
          <t>Weiterverkauf</t>
        </is>
      </c>
      <c r="L32" t="b">
        <v>0</v>
      </c>
      <c r="M32" s="36" t="n">
        <v>78.13</v>
      </c>
      <c r="N32" s="51" t="n">
        <v>1</v>
      </c>
      <c r="O32" s="251" t="n">
        <v>93.756</v>
      </c>
      <c r="P32" s="251">
        <f>Q32&amp;"%"</f>
        <v/>
      </c>
      <c r="Q32" s="27" t="n">
        <v>20</v>
      </c>
      <c r="R32" s="237" t="n">
        <v>15.626</v>
      </c>
      <c r="S32" s="237" t="n">
        <v>15.626</v>
      </c>
      <c r="T32" s="208" t="n">
        <v>78.13</v>
      </c>
      <c r="U32" s="251" t="n">
        <v>93.756</v>
      </c>
      <c r="V32" s="35" t="n">
        <v>43327</v>
      </c>
      <c r="W32" s="35" t="n">
        <v>43318</v>
      </c>
      <c r="X32" s="27" t="n"/>
      <c r="Y32" s="210" t="n">
        <v>30.24</v>
      </c>
      <c r="Z32" s="237" t="n">
        <v>0</v>
      </c>
      <c r="AA32" t="b">
        <v>0</v>
      </c>
    </row>
    <row r="33">
      <c r="B33" s="53" t="n">
        <v>2018</v>
      </c>
      <c r="C33" s="53" t="n">
        <v>32</v>
      </c>
      <c r="D33" s="53">
        <f>B33&amp;"-"&amp;C33</f>
        <v/>
      </c>
      <c r="E33" s="9" t="inlineStr">
        <is>
          <t>354007</t>
        </is>
      </c>
      <c r="F33" s="1" t="n">
        <v>43196</v>
      </c>
      <c r="G33" t="inlineStr">
        <is>
          <t>Impro Group Sàrl, Rue Saint-Léger 6, 1205 Geneva, Switzerland: Toner Cyan</t>
        </is>
      </c>
      <c r="H33" s="16" t="n"/>
      <c r="I33" s="16" t="inlineStr">
        <is>
          <t>Ausgaben</t>
        </is>
      </c>
      <c r="J33" s="16" t="inlineStr">
        <is>
          <t>Waren, Rohstoffe, Hilfsstoffe</t>
        </is>
      </c>
      <c r="K33" s="16" t="inlineStr">
        <is>
          <t>Weiterverkauf</t>
        </is>
      </c>
      <c r="L33" t="b">
        <v>0</v>
      </c>
      <c r="M33" s="36" t="n">
        <v>32.51</v>
      </c>
      <c r="N33" s="51" t="n">
        <v>1</v>
      </c>
      <c r="O33" s="251" t="n">
        <v>39.3371</v>
      </c>
      <c r="P33" s="251">
        <f>Q33&amp;"%"</f>
        <v/>
      </c>
      <c r="Q33" s="27" t="n">
        <v>21</v>
      </c>
      <c r="R33" s="237" t="n">
        <v>6.827099999999999</v>
      </c>
      <c r="S33" s="237" t="n">
        <v>6.827099999999999</v>
      </c>
      <c r="T33" s="208" t="n">
        <v>32.51</v>
      </c>
      <c r="U33" s="251" t="n">
        <v>39.3371</v>
      </c>
      <c r="V33" s="35" t="n">
        <v>43327</v>
      </c>
      <c r="W33" s="35" t="n">
        <v>43318</v>
      </c>
      <c r="X33" s="27" t="n"/>
      <c r="Y33" s="210" t="n">
        <v>30.24</v>
      </c>
      <c r="Z33" s="237" t="n">
        <v>0</v>
      </c>
      <c r="AA33" t="b">
        <v>0</v>
      </c>
    </row>
    <row r="34">
      <c r="B34" s="53" t="n">
        <v>2018</v>
      </c>
      <c r="C34" s="53" t="n">
        <v>33</v>
      </c>
      <c r="D34" s="53">
        <f>B34&amp;"-"&amp;C34</f>
        <v/>
      </c>
      <c r="E34" s="9" t="inlineStr">
        <is>
          <t>E05005Y89R</t>
        </is>
      </c>
      <c r="F34" s="1" t="n">
        <v>43242</v>
      </c>
      <c r="G34" t="inlineStr">
        <is>
          <t>Microsoft Ireland Operations Ltd, One Microsoft Place, South County Business Park Leopardstown Dublin 18, D18 P521 Irland: Office 365 Business Essentials (monatlich)</t>
        </is>
      </c>
      <c r="H34" s="16" t="n"/>
      <c r="I34" s="16" t="inlineStr">
        <is>
          <t>Ausgaben</t>
        </is>
      </c>
      <c r="J34" s="16" t="inlineStr">
        <is>
          <t>sonstige Betriebsausgaben</t>
        </is>
      </c>
      <c r="K34" s="16" t="inlineStr"/>
      <c r="L34" t="b">
        <v>0</v>
      </c>
      <c r="M34" s="36" t="n">
        <v>15.3</v>
      </c>
      <c r="N34" s="51" t="n">
        <v>1</v>
      </c>
      <c r="O34" s="251" t="n">
        <v>18.36</v>
      </c>
      <c r="P34" s="251">
        <f>Q34&amp;"%"</f>
        <v/>
      </c>
      <c r="Q34" s="27" t="n">
        <v>20</v>
      </c>
      <c r="R34" s="237" t="n">
        <v>3.06</v>
      </c>
      <c r="S34" s="237" t="n">
        <v>3.06</v>
      </c>
      <c r="T34" s="208" t="n">
        <v>15.3</v>
      </c>
      <c r="U34" s="251" t="n">
        <v>18.36</v>
      </c>
      <c r="V34" s="35" t="n">
        <v>43327</v>
      </c>
      <c r="W34" s="35" t="n">
        <v>43318</v>
      </c>
      <c r="X34" s="27" t="n"/>
      <c r="Y34" s="210" t="n">
        <v>15.3</v>
      </c>
      <c r="Z34" s="237" t="n">
        <v>0</v>
      </c>
      <c r="AA34" t="b">
        <v>0</v>
      </c>
    </row>
    <row r="35">
      <c r="B35" s="53" t="n">
        <v>2018</v>
      </c>
      <c r="C35" s="53" t="n">
        <v>34</v>
      </c>
      <c r="D35" s="53">
        <f>B35&amp;"-"&amp;C35</f>
        <v/>
      </c>
      <c r="E35" s="9" t="inlineStr">
        <is>
          <t>O-0000190422</t>
        </is>
      </c>
      <c r="F35" s="1" t="n">
        <v>43102</v>
      </c>
      <c r="G35" s="1" t="inlineStr">
        <is>
          <t>Flextronics Global Services Manchester Ltd, Stretton Green Distribution Cn, Langford Way, Appleton, Cheshire, WA4 4TQ, United Kingdom</t>
        </is>
      </c>
      <c r="H35" s="16" t="n"/>
      <c r="I35" s="16" t="inlineStr">
        <is>
          <t>Ausgaben</t>
        </is>
      </c>
      <c r="J35" s="16" t="n"/>
      <c r="K35" s="16" t="inlineStr">
        <is>
          <t>Weiterverkauf</t>
        </is>
      </c>
      <c r="L35" t="b">
        <v>0</v>
      </c>
      <c r="M35" s="36" t="n">
        <v>91.33</v>
      </c>
      <c r="N35" s="51" t="n">
        <v>1</v>
      </c>
      <c r="O35" s="251" t="n">
        <v>91.33</v>
      </c>
      <c r="P35" s="251">
        <f>Q35&amp;"%"</f>
        <v/>
      </c>
      <c r="Q35" s="27" t="n">
        <v>0</v>
      </c>
      <c r="R35" s="237" t="n">
        <v>0</v>
      </c>
      <c r="S35" s="237" t="n">
        <v>0</v>
      </c>
      <c r="T35" s="208" t="n">
        <v>91.33</v>
      </c>
      <c r="U35" s="251" t="n">
        <v>91.33</v>
      </c>
      <c r="V35" s="35" t="n">
        <v>43235</v>
      </c>
      <c r="W35" s="35" t="n"/>
      <c r="X35" s="27" t="n"/>
      <c r="Y35" s="210" t="n">
        <v>91.33</v>
      </c>
      <c r="Z35" s="237" t="n">
        <v>0</v>
      </c>
      <c r="AA35" t="b">
        <v>0</v>
      </c>
    </row>
    <row r="36">
      <c r="B36" s="53" t="n">
        <v>2018</v>
      </c>
      <c r="C36" s="53" t="n">
        <v>35</v>
      </c>
      <c r="D36" s="53">
        <f>B36&amp;"-"&amp;C36</f>
        <v/>
      </c>
      <c r="E36" s="9" t="inlineStr">
        <is>
          <t>E05005LAV5</t>
        </is>
      </c>
      <c r="F36" s="1" t="n">
        <v>43181</v>
      </c>
      <c r="G36" t="inlineStr">
        <is>
          <t>Microsoft Ireland Operations Ltd, One Microsoft Place, South County Business Park Leopardstown Dublin 18, D18 P521 Irland: Office 365 Business Essentials (monatlich)</t>
        </is>
      </c>
      <c r="H36" s="16" t="n"/>
      <c r="I36" s="16" t="inlineStr">
        <is>
          <t>Ausgaben</t>
        </is>
      </c>
      <c r="J36" s="16" t="inlineStr">
        <is>
          <t>sonstige Betriebsausgaben</t>
        </is>
      </c>
      <c r="K36" s="16" t="inlineStr"/>
      <c r="L36" t="b">
        <v>0</v>
      </c>
      <c r="M36" s="36" t="n">
        <v>15.3</v>
      </c>
      <c r="N36" s="51" t="n">
        <v>1</v>
      </c>
      <c r="O36" s="251" t="n">
        <v>18.36</v>
      </c>
      <c r="P36" s="251">
        <f>Q36&amp;"%"</f>
        <v/>
      </c>
      <c r="Q36" s="27" t="n">
        <v>20</v>
      </c>
      <c r="R36" s="237" t="n">
        <v>3.06</v>
      </c>
      <c r="S36" s="237" t="n">
        <v>3.06</v>
      </c>
      <c r="T36" s="208" t="n">
        <v>15.3</v>
      </c>
      <c r="U36" s="251" t="n">
        <v>18.36</v>
      </c>
      <c r="V36" s="35" t="n">
        <v>43235</v>
      </c>
      <c r="W36" s="35" t="n"/>
      <c r="X36" s="27" t="n"/>
      <c r="Y36" s="210" t="n">
        <v>15.3</v>
      </c>
      <c r="Z36" s="237" t="n">
        <v>0</v>
      </c>
      <c r="AA36" t="b">
        <v>0</v>
      </c>
    </row>
    <row r="37">
      <c r="B37" s="53" t="n">
        <v>2018</v>
      </c>
      <c r="C37" s="53" t="n">
        <v>36</v>
      </c>
      <c r="D37" s="53">
        <f>B37&amp;"-"&amp;C37</f>
        <v/>
      </c>
      <c r="E37" s="9" t="inlineStr">
        <is>
          <t>AEU-INV-AT-2018-6088080</t>
        </is>
      </c>
      <c r="F37" s="1" t="n">
        <v>43178</v>
      </c>
      <c r="G37" s="1" t="inlineStr">
        <is>
          <t>Amazon EU Sàrl, 5 Rue Plaetis, L-2338, Luxemburg: Toner schwarz</t>
        </is>
      </c>
      <c r="H37" s="16" t="n"/>
      <c r="I37" s="16" t="inlineStr">
        <is>
          <t>Ausgaben</t>
        </is>
      </c>
      <c r="J37" s="16" t="inlineStr">
        <is>
          <t>Waren, Rohstoffe, Hilfsstoffe</t>
        </is>
      </c>
      <c r="K37" s="36" t="inlineStr">
        <is>
          <t>Weiterverkauf</t>
        </is>
      </c>
      <c r="L37" t="b">
        <v>0</v>
      </c>
      <c r="M37" s="36" t="n">
        <v>46.02</v>
      </c>
      <c r="N37" s="51" t="n">
        <v>1</v>
      </c>
      <c r="O37" s="251" t="n">
        <v>55.224</v>
      </c>
      <c r="P37" s="251">
        <f>Q37&amp;"%"</f>
        <v/>
      </c>
      <c r="Q37" s="27" t="n">
        <v>20</v>
      </c>
      <c r="R37" s="237" t="n">
        <v>9.204000000000001</v>
      </c>
      <c r="S37" s="237" t="n">
        <v>9.204000000000001</v>
      </c>
      <c r="T37" s="208" t="n">
        <v>46.02</v>
      </c>
      <c r="U37" s="251" t="n">
        <v>55.224</v>
      </c>
      <c r="V37" s="35" t="n">
        <v>43235</v>
      </c>
      <c r="W37" s="35" t="n"/>
      <c r="X37" s="27" t="n"/>
      <c r="Y37" s="210" t="n">
        <v>30.24</v>
      </c>
      <c r="Z37" s="237" t="n">
        <v>0</v>
      </c>
      <c r="AA37" t="b">
        <v>0</v>
      </c>
    </row>
    <row r="38">
      <c r="B38" s="53" t="n">
        <v>2018</v>
      </c>
      <c r="C38" s="53" t="n">
        <v>37</v>
      </c>
      <c r="D38" s="53">
        <f>B38&amp;"-"&amp;C38</f>
        <v/>
      </c>
      <c r="E38" s="9" t="inlineStr">
        <is>
          <t>AEU-INV-AT-2018-10486099</t>
        </is>
      </c>
      <c r="F38" s="1" t="n">
        <v>43238</v>
      </c>
      <c r="G38" s="1" t="inlineStr">
        <is>
          <t>Amazon EU Sàrl, 5 Rue Plaetis, L-2338, Luxemburg: Logo modernism</t>
        </is>
      </c>
      <c r="H38" s="16" t="n"/>
      <c r="I38" s="16" t="inlineStr">
        <is>
          <t>Ausgaben</t>
        </is>
      </c>
      <c r="J38" s="16" t="inlineStr">
        <is>
          <t>Fachliteratur</t>
        </is>
      </c>
      <c r="K38" s="16" t="inlineStr"/>
      <c r="L38" t="b">
        <v>0</v>
      </c>
      <c r="M38" s="36" t="n">
        <v>46.73</v>
      </c>
      <c r="N38" s="51" t="n">
        <v>1</v>
      </c>
      <c r="O38" s="251" t="n">
        <v>51.403</v>
      </c>
      <c r="P38" s="251">
        <f>Q38&amp;"%"</f>
        <v/>
      </c>
      <c r="Q38" s="27" t="n">
        <v>10</v>
      </c>
      <c r="R38" s="237" t="n">
        <v>4.672999999999999</v>
      </c>
      <c r="S38" s="237" t="n">
        <v>4.672999999999999</v>
      </c>
      <c r="T38" s="208" t="n">
        <v>46.73</v>
      </c>
      <c r="U38" s="251" t="n">
        <v>51.403</v>
      </c>
      <c r="V38" s="35" t="n">
        <v>43327</v>
      </c>
      <c r="W38" s="35" t="n">
        <v>43318</v>
      </c>
      <c r="X38" s="27" t="n"/>
      <c r="Y38" s="210" t="n">
        <v>30.24</v>
      </c>
      <c r="Z38" s="237" t="n">
        <v>0</v>
      </c>
      <c r="AA38" t="b">
        <v>0</v>
      </c>
    </row>
    <row r="39">
      <c r="B39" s="53" t="n">
        <v>2018</v>
      </c>
      <c r="C39" s="53" t="n">
        <v>38</v>
      </c>
      <c r="D39" s="53">
        <f>B39&amp;"-"&amp;C39</f>
        <v/>
      </c>
      <c r="E39" s="9" t="inlineStr">
        <is>
          <t>2131969</t>
        </is>
      </c>
      <c r="F39" s="1" t="n">
        <v>43210</v>
      </c>
      <c r="G39" t="inlineStr">
        <is>
          <t>freiwerk GmbH, Drahthammerstr. 20, 92224 Amberg: Netzwerkkabel+Versand</t>
        </is>
      </c>
      <c r="H39" s="16" t="n"/>
      <c r="I39" s="16" t="inlineStr">
        <is>
          <t>Ausgaben</t>
        </is>
      </c>
      <c r="J39" s="16" t="n"/>
      <c r="K39" s="36" t="inlineStr">
        <is>
          <t>Weiterverkauf</t>
        </is>
      </c>
      <c r="L39" t="b">
        <v>0</v>
      </c>
      <c r="M39" s="36" t="n">
        <v>20.9</v>
      </c>
      <c r="N39" s="51" t="n">
        <v>1</v>
      </c>
      <c r="O39" s="251" t="n">
        <v>25.08</v>
      </c>
      <c r="P39" s="251">
        <f>Q39&amp;"%"</f>
        <v/>
      </c>
      <c r="Q39" s="27" t="n">
        <v>20</v>
      </c>
      <c r="R39" s="237" t="n">
        <v>4.18</v>
      </c>
      <c r="S39" s="237" t="n">
        <v>4.18</v>
      </c>
      <c r="T39" s="208" t="n">
        <v>20.9</v>
      </c>
      <c r="U39" s="251" t="n">
        <v>25.08</v>
      </c>
      <c r="V39" s="35" t="n">
        <v>43327</v>
      </c>
      <c r="W39" s="35" t="n">
        <v>43318</v>
      </c>
      <c r="X39" s="27" t="n"/>
      <c r="Y39" s="210" t="n">
        <v>30.24</v>
      </c>
      <c r="Z39" s="237" t="n">
        <v>0</v>
      </c>
      <c r="AA39" t="b">
        <v>0</v>
      </c>
    </row>
    <row r="40">
      <c r="B40" s="53" t="n">
        <v>2018</v>
      </c>
      <c r="C40" s="53" t="n">
        <v>39</v>
      </c>
      <c r="D40" s="53">
        <f>B40&amp;"-"&amp;C40</f>
        <v/>
      </c>
      <c r="E40" s="9" t="inlineStr">
        <is>
          <t>E05005ROXE</t>
        </is>
      </c>
      <c r="F40" s="1" t="n">
        <v>43213</v>
      </c>
      <c r="G40" t="inlineStr">
        <is>
          <t>Microsoft Ireland Operations Ltd, One Microsoft Place, South County Business Park Leopardstown Dublin 18, D18 P521 Irland: Office 365 Business Essentials (monatlich)</t>
        </is>
      </c>
      <c r="H40" s="16" t="n"/>
      <c r="I40" s="16" t="inlineStr">
        <is>
          <t>Ausgaben</t>
        </is>
      </c>
      <c r="J40" s="16" t="inlineStr">
        <is>
          <t>sonstige Betriebsausgaben</t>
        </is>
      </c>
      <c r="K40" s="16" t="inlineStr"/>
      <c r="L40" t="b">
        <v>0</v>
      </c>
      <c r="M40" s="36" t="n">
        <v>15.3</v>
      </c>
      <c r="N40" s="51" t="n">
        <v>1</v>
      </c>
      <c r="O40" s="251" t="n">
        <v>18.36</v>
      </c>
      <c r="P40" s="251">
        <f>Q40&amp;"%"</f>
        <v/>
      </c>
      <c r="Q40" s="27" t="n">
        <v>20</v>
      </c>
      <c r="R40" s="237" t="n">
        <v>3.06</v>
      </c>
      <c r="S40" s="237" t="n">
        <v>3.06</v>
      </c>
      <c r="T40" s="208" t="n">
        <v>15.3</v>
      </c>
      <c r="U40" s="251" t="n">
        <v>18.36</v>
      </c>
      <c r="V40" s="35" t="n">
        <v>43327</v>
      </c>
      <c r="W40" s="35" t="n">
        <v>43318</v>
      </c>
      <c r="X40" s="27" t="n"/>
      <c r="Y40" s="210" t="n">
        <v>15.3</v>
      </c>
      <c r="Z40" s="237" t="n">
        <v>0</v>
      </c>
      <c r="AA40" t="b">
        <v>0</v>
      </c>
    </row>
    <row r="41">
      <c r="B41" s="53" t="n">
        <v>2018</v>
      </c>
      <c r="C41" s="53" t="n">
        <v>40</v>
      </c>
      <c r="D41" s="53">
        <f>B41&amp;"-"&amp;C41</f>
        <v/>
      </c>
      <c r="E41" s="9" t="inlineStr">
        <is>
          <t>RE0600113</t>
        </is>
      </c>
      <c r="F41" s="1" t="n">
        <v>43245</v>
      </c>
      <c r="G41" s="1" t="inlineStr">
        <is>
          <t>easyname mj1.at</t>
        </is>
      </c>
      <c r="H41" s="16" t="n"/>
      <c r="I41" s="16" t="inlineStr">
        <is>
          <t>Ausgaben</t>
        </is>
      </c>
      <c r="J41" s="16" t="inlineStr">
        <is>
          <t>sonstige Betriebsausgaben</t>
        </is>
      </c>
      <c r="K41" s="16" t="inlineStr"/>
      <c r="L41" t="b">
        <v>0</v>
      </c>
      <c r="M41" s="36" t="n">
        <v>12.42</v>
      </c>
      <c r="N41" s="51" t="n">
        <v>1</v>
      </c>
      <c r="O41" s="251" t="n">
        <v>14.904</v>
      </c>
      <c r="P41" s="251">
        <f>Q41&amp;"%"</f>
        <v/>
      </c>
      <c r="Q41" s="27" t="n">
        <v>20</v>
      </c>
      <c r="R41" s="237" t="n">
        <v>2.484</v>
      </c>
      <c r="S41" s="237" t="n">
        <v>2.484</v>
      </c>
      <c r="T41" s="208" t="n">
        <v>12.42</v>
      </c>
      <c r="U41" s="251" t="n">
        <v>14.904</v>
      </c>
      <c r="V41" s="35" t="n">
        <v>43327</v>
      </c>
      <c r="W41" s="35" t="n">
        <v>43318</v>
      </c>
      <c r="X41" s="27" t="n"/>
      <c r="Y41" s="210" t="n">
        <v>12.42</v>
      </c>
      <c r="Z41" s="237" t="n">
        <v>0</v>
      </c>
      <c r="AA41" t="b">
        <v>0</v>
      </c>
    </row>
    <row r="42">
      <c r="B42" s="53" t="n">
        <v>2018</v>
      </c>
      <c r="C42" s="53" t="n">
        <v>41</v>
      </c>
      <c r="D42" s="53">
        <f>B42&amp;"-"&amp;C42</f>
        <v/>
      </c>
      <c r="E42" s="9" t="inlineStr">
        <is>
          <t>3293000005973773</t>
        </is>
      </c>
      <c r="F42" s="1" t="n">
        <v>43229</v>
      </c>
      <c r="G42" t="inlineStr">
        <is>
          <t>Daimler Mobility Services GmbH, Fasanenweg 15-17, 70771 Leinfelden-Echterdingen, Germany</t>
        </is>
      </c>
      <c r="H42" s="16" t="n"/>
      <c r="I42" s="16" t="inlineStr">
        <is>
          <t>Ausgaben</t>
        </is>
      </c>
      <c r="J42" s="16" t="inlineStr">
        <is>
          <t>Reise- und Fahrtspesen inkl. Kilometergeld und Diäten</t>
        </is>
      </c>
      <c r="K42" s="16" t="n"/>
      <c r="L42" t="b">
        <v>0</v>
      </c>
      <c r="M42" s="36" t="n">
        <v>8.52</v>
      </c>
      <c r="N42" s="51" t="n">
        <v>1</v>
      </c>
      <c r="O42" s="251" t="n">
        <v>10.224</v>
      </c>
      <c r="P42" s="251">
        <f>Q42&amp;"%"</f>
        <v/>
      </c>
      <c r="Q42" s="27" t="n">
        <v>20</v>
      </c>
      <c r="R42" s="237" t="n">
        <v>1.704</v>
      </c>
      <c r="S42" s="237" t="n">
        <v>1.704</v>
      </c>
      <c r="T42" s="208" t="n">
        <v>8.52</v>
      </c>
      <c r="U42" s="251" t="n">
        <v>10.224</v>
      </c>
      <c r="V42" s="35" t="n">
        <v>43327</v>
      </c>
      <c r="W42" s="35" t="n">
        <v>43318</v>
      </c>
      <c r="X42" s="27" t="n"/>
      <c r="Y42" s="210" t="n">
        <v>8.52</v>
      </c>
      <c r="Z42" s="237" t="n">
        <v>0</v>
      </c>
      <c r="AA42" t="b">
        <v>0</v>
      </c>
    </row>
    <row r="43">
      <c r="B43" s="53" t="n">
        <v>2018</v>
      </c>
      <c r="C43" s="53" t="n">
        <v>42</v>
      </c>
      <c r="D43" s="53">
        <f>B43&amp;"-"&amp;C43</f>
        <v/>
      </c>
      <c r="E43" s="9" t="inlineStr">
        <is>
          <t>E05005Y89R</t>
        </is>
      </c>
      <c r="F43" s="1" t="n">
        <v>43241</v>
      </c>
      <c r="G43" t="inlineStr">
        <is>
          <t>Microsoft Ireland Operations Ltd, One Microsoft Place, South County Business Park Leopardstown Dublin 18, D18 P521 Irland: Office 365 Business Essentials (monatlich)</t>
        </is>
      </c>
      <c r="H43" s="16" t="n"/>
      <c r="I43" s="16" t="inlineStr">
        <is>
          <t>Ausgaben</t>
        </is>
      </c>
      <c r="J43" s="16" t="inlineStr">
        <is>
          <t>sonstige Betriebsausgaben</t>
        </is>
      </c>
      <c r="K43" s="16" t="n"/>
      <c r="L43" t="b">
        <v>0</v>
      </c>
      <c r="M43" s="36" t="n">
        <v>15.3</v>
      </c>
      <c r="N43" s="51" t="n">
        <v>1</v>
      </c>
      <c r="O43" s="251" t="n">
        <v>18.36</v>
      </c>
      <c r="P43" s="251">
        <f>Q43&amp;"%"</f>
        <v/>
      </c>
      <c r="Q43" s="27" t="n">
        <v>20</v>
      </c>
      <c r="R43" s="237" t="n">
        <v>3.06</v>
      </c>
      <c r="S43" s="237" t="n">
        <v>3.06</v>
      </c>
      <c r="T43" s="208" t="n">
        <v>15.3</v>
      </c>
      <c r="U43" s="251" t="n">
        <v>18.36</v>
      </c>
      <c r="V43" s="35" t="n">
        <v>43327</v>
      </c>
      <c r="W43" s="35" t="n">
        <v>43318</v>
      </c>
      <c r="X43" s="27" t="n"/>
      <c r="Y43" s="210" t="n">
        <v>15.3</v>
      </c>
      <c r="Z43" s="237" t="n">
        <v>0</v>
      </c>
      <c r="AA43" t="b">
        <v>0</v>
      </c>
    </row>
    <row r="44">
      <c r="B44" s="53" t="n">
        <v>2018</v>
      </c>
      <c r="C44" s="53" t="n">
        <v>43</v>
      </c>
      <c r="D44" s="53">
        <f>B44&amp;"-"&amp;C44</f>
        <v/>
      </c>
      <c r="E44" s="9" t="inlineStr">
        <is>
          <t>3467622978</t>
        </is>
      </c>
      <c r="F44" s="1" t="n">
        <v>43253</v>
      </c>
      <c r="G44" t="inlineStr">
        <is>
          <t>Google Ireland Limited, Gordon House, Barrow Street, Dublin 4, Ireland, UID: IE6388047V</t>
        </is>
      </c>
      <c r="H44" s="16" t="n"/>
      <c r="I44" s="16" t="inlineStr">
        <is>
          <t>Ausgaben</t>
        </is>
      </c>
      <c r="J44" s="16" t="inlineStr">
        <is>
          <t>sonstige Betriebsausgaben</t>
        </is>
      </c>
      <c r="K44" s="16" t="n"/>
      <c r="L44" t="b">
        <v>0</v>
      </c>
      <c r="M44" s="36" t="n">
        <v>2.32</v>
      </c>
      <c r="N44" s="51" t="n">
        <v>1</v>
      </c>
      <c r="O44" s="251" t="n">
        <v>2.32</v>
      </c>
      <c r="P44" s="251">
        <f>Q44&amp;"%"</f>
        <v/>
      </c>
      <c r="Q44" s="27" t="n">
        <v>0</v>
      </c>
      <c r="R44" s="237" t="n">
        <v>0</v>
      </c>
      <c r="S44" s="237" t="n">
        <v>0</v>
      </c>
      <c r="T44" s="208" t="n">
        <v>2.32</v>
      </c>
      <c r="U44" s="251" t="n">
        <v>2.32</v>
      </c>
      <c r="V44" s="35" t="n">
        <v>43327</v>
      </c>
      <c r="W44" s="35" t="n">
        <v>43318</v>
      </c>
      <c r="X44" s="27" t="n">
        <v>20</v>
      </c>
      <c r="Y44" s="210" t="n">
        <v>2.32</v>
      </c>
      <c r="Z44" s="237" t="n">
        <v>0.464</v>
      </c>
      <c r="AA44" t="b">
        <v>0</v>
      </c>
    </row>
    <row r="45">
      <c r="B45" s="53" t="n">
        <v>2018</v>
      </c>
      <c r="C45" s="53" t="n">
        <v>44</v>
      </c>
      <c r="D45" s="53">
        <f>B45&amp;"-"&amp;C45</f>
        <v/>
      </c>
      <c r="E45" s="9" t="inlineStr">
        <is>
          <t>6157023742</t>
        </is>
      </c>
      <c r="F45" s="1" t="n">
        <v>43265</v>
      </c>
      <c r="G45" t="inlineStr">
        <is>
          <t>Hutchison Drei Austria GmbH, Brünner Straße 52, 1210 Wien, Österreich</t>
        </is>
      </c>
      <c r="H45" s="16" t="n"/>
      <c r="I45" s="16" t="inlineStr">
        <is>
          <t>Ausgaben</t>
        </is>
      </c>
      <c r="J45" s="16" t="inlineStr">
        <is>
          <t>Telefon/Internet</t>
        </is>
      </c>
      <c r="K45" s="16" t="n"/>
      <c r="L45" t="b">
        <v>0</v>
      </c>
      <c r="M45" s="36" t="n">
        <v>15.58</v>
      </c>
      <c r="N45" s="51" t="n">
        <v>1</v>
      </c>
      <c r="O45" s="251" t="n">
        <v>18.696</v>
      </c>
      <c r="P45" s="251">
        <f>Q45&amp;"%"</f>
        <v/>
      </c>
      <c r="Q45" s="27" t="n">
        <v>20</v>
      </c>
      <c r="R45" s="237" t="n">
        <v>3.116</v>
      </c>
      <c r="S45" s="237" t="n">
        <v>3.116</v>
      </c>
      <c r="T45" s="208" t="n">
        <v>15.58</v>
      </c>
      <c r="U45" s="251" t="n">
        <v>18.696</v>
      </c>
      <c r="V45" s="35" t="n">
        <v>43327</v>
      </c>
      <c r="W45" s="35" t="n">
        <v>43318</v>
      </c>
      <c r="X45" s="27" t="n"/>
      <c r="Y45" s="210" t="n">
        <v>15.58</v>
      </c>
      <c r="Z45" s="237" t="n">
        <v>0</v>
      </c>
      <c r="AA45" t="b">
        <v>0</v>
      </c>
    </row>
    <row r="46">
      <c r="B46" s="53" t="n">
        <v>2018</v>
      </c>
      <c r="C46" s="53" t="n">
        <v>45</v>
      </c>
      <c r="D46" s="53">
        <f>B46&amp;"-"&amp;C46</f>
        <v/>
      </c>
      <c r="E46" s="9" t="inlineStr">
        <is>
          <t>169593506-00</t>
        </is>
      </c>
      <c r="F46" s="1" t="n">
        <v>43256</v>
      </c>
      <c r="G46" t="inlineStr">
        <is>
          <t>UPC Laudongasse</t>
        </is>
      </c>
      <c r="H46" s="16" t="n"/>
      <c r="I46" s="16" t="inlineStr">
        <is>
          <t>Ausgaben</t>
        </is>
      </c>
      <c r="J46" s="16" t="inlineStr">
        <is>
          <t>Telefon/Internet</t>
        </is>
      </c>
      <c r="K46" s="16" t="n"/>
      <c r="L46" t="b">
        <v>0</v>
      </c>
      <c r="M46" s="36">
        <f>27.82+1.04</f>
        <v/>
      </c>
      <c r="N46" s="51">
        <f>2/3</f>
        <v/>
      </c>
      <c r="O46" s="251">
        <f>N46*U46</f>
        <v/>
      </c>
      <c r="P46" s="251">
        <f>Q46&amp;"%"</f>
        <v/>
      </c>
      <c r="Q46" s="27" t="n">
        <v>20</v>
      </c>
      <c r="R46" s="237" t="n">
        <v>6.38</v>
      </c>
      <c r="S46" s="237" t="n">
        <v>2.207687718401091</v>
      </c>
      <c r="T46" s="208">
        <f>N46*M46</f>
        <v/>
      </c>
      <c r="U46" s="251">
        <f>M46*(100%+P46)</f>
        <v/>
      </c>
      <c r="V46" s="35" t="n">
        <v>43235</v>
      </c>
      <c r="W46" s="35" t="n">
        <v>43318</v>
      </c>
      <c r="X46" s="27" t="n"/>
      <c r="Y46" s="210" t="n">
        <v>19.24</v>
      </c>
      <c r="Z46" s="237" t="n">
        <v>0</v>
      </c>
      <c r="AA46" t="b">
        <v>0</v>
      </c>
    </row>
    <row r="47">
      <c r="B47" s="53" t="n">
        <v>2018</v>
      </c>
      <c r="C47" s="53" t="n">
        <v>46</v>
      </c>
      <c r="D47" s="53">
        <f>B47&amp;"-"&amp;C47</f>
        <v/>
      </c>
      <c r="E47" s="9" t="inlineStr">
        <is>
          <t>14003245753/40/2018</t>
        </is>
      </c>
      <c r="F47" s="1" t="n">
        <v>43266</v>
      </c>
      <c r="G47" s="1" t="inlineStr">
        <is>
          <t>MONTANA Energie-Handel AT GmbH: Teilzahlungsbetrag Gas</t>
        </is>
      </c>
      <c r="H47" s="16" t="n"/>
      <c r="I47" s="16" t="inlineStr">
        <is>
          <t>Ausgaben</t>
        </is>
      </c>
      <c r="J47" s="16" t="inlineStr">
        <is>
          <t>sonstige Betriebsausgaben</t>
        </is>
      </c>
      <c r="K47" s="16" t="inlineStr"/>
      <c r="L47" t="b">
        <v>0</v>
      </c>
      <c r="M47" s="36" t="n">
        <v>82.5</v>
      </c>
      <c r="N47" s="51" t="n">
        <v>0.2732037841984147</v>
      </c>
      <c r="O47" s="251" t="n">
        <v>27.04717463564306</v>
      </c>
      <c r="P47" s="251">
        <f>Q47&amp;"%"</f>
        <v/>
      </c>
      <c r="Q47" s="27" t="n">
        <v>20</v>
      </c>
      <c r="R47" s="237" t="n">
        <v>16.5</v>
      </c>
      <c r="S47" s="237" t="n">
        <v>4.507862439273843</v>
      </c>
      <c r="T47" s="208" t="n">
        <v>22.53931219636922</v>
      </c>
      <c r="U47" s="251" t="n">
        <v>99</v>
      </c>
      <c r="V47" s="35" t="n">
        <v>43327</v>
      </c>
      <c r="W47" s="35" t="n">
        <v>43318</v>
      </c>
      <c r="X47" s="27" t="n"/>
      <c r="Y47" s="210" t="n">
        <v>22.53931219636922</v>
      </c>
      <c r="Z47" s="237" t="n">
        <v>0</v>
      </c>
      <c r="AA47" t="b">
        <v>0</v>
      </c>
    </row>
    <row r="48">
      <c r="B48" s="53" t="n">
        <v>2018</v>
      </c>
      <c r="C48" s="53" t="n">
        <v>47</v>
      </c>
      <c r="D48" s="53">
        <f>B48&amp;"-"&amp;C48</f>
        <v/>
      </c>
      <c r="E48" s="9" t="inlineStr">
        <is>
          <t>11793156960</t>
        </is>
      </c>
      <c r="F48" s="1" t="n">
        <v>43272</v>
      </c>
      <c r="G48" t="inlineStr">
        <is>
          <t>Microsoft Ireland Operations Ltd, One Microsoft Place, South County Business Park Leopardstown Dublin 18, D18 P521 Irland: Office 365 Business Essentials (monatlich)</t>
        </is>
      </c>
      <c r="H48" s="16" t="n"/>
      <c r="I48" s="16" t="inlineStr">
        <is>
          <t>Ausgaben</t>
        </is>
      </c>
      <c r="J48" s="16" t="inlineStr">
        <is>
          <t>sonstige Betriebsausgaben</t>
        </is>
      </c>
      <c r="K48" s="16" t="n"/>
      <c r="L48" t="b">
        <v>0</v>
      </c>
      <c r="M48" s="36" t="n">
        <v>57.5</v>
      </c>
      <c r="N48" s="51" t="n">
        <v>1</v>
      </c>
      <c r="O48" s="251" t="n">
        <v>69</v>
      </c>
      <c r="P48" s="251">
        <f>Q48&amp;"%"</f>
        <v/>
      </c>
      <c r="Q48" s="27" t="n">
        <v>20</v>
      </c>
      <c r="R48" s="237" t="n">
        <v>11.5</v>
      </c>
      <c r="S48" s="237" t="n">
        <v>11.5</v>
      </c>
      <c r="T48" s="208" t="n">
        <v>57.5</v>
      </c>
      <c r="U48" s="251" t="n">
        <v>69</v>
      </c>
      <c r="V48" s="35" t="n">
        <v>43327</v>
      </c>
      <c r="W48" s="35" t="n">
        <v>43318</v>
      </c>
      <c r="X48" s="27" t="n"/>
      <c r="Y48" s="210" t="n">
        <v>57.5</v>
      </c>
      <c r="Z48" s="237" t="n">
        <v>0</v>
      </c>
      <c r="AA48" t="b">
        <v>0</v>
      </c>
    </row>
    <row r="49">
      <c r="B49" s="53" t="n">
        <v>2018</v>
      </c>
      <c r="C49" s="53" t="n">
        <v>48</v>
      </c>
      <c r="D49" s="53">
        <f>B49&amp;"-"&amp;C49</f>
        <v/>
      </c>
      <c r="E49" s="9" t="inlineStr">
        <is>
          <t>E050064VW3</t>
        </is>
      </c>
      <c r="F49" s="1" t="n">
        <v>43273</v>
      </c>
      <c r="G49" t="inlineStr">
        <is>
          <t>Microsoft Ireland Operations Ltd, One Microsoft Place, South County Business Park Leopardstown Dublin 18, D18 P521 Irland: Office 365 Business Essentials (monatlich)</t>
        </is>
      </c>
      <c r="H49" s="16" t="n"/>
      <c r="I49" s="16" t="inlineStr">
        <is>
          <t>Ausgaben</t>
        </is>
      </c>
      <c r="J49" s="16" t="inlineStr">
        <is>
          <t>sonstige Betriebsausgaben</t>
        </is>
      </c>
      <c r="K49" s="16" t="n"/>
      <c r="L49" t="b">
        <v>0</v>
      </c>
      <c r="M49" s="36" t="n">
        <v>15.3</v>
      </c>
      <c r="N49" s="51" t="n">
        <v>1</v>
      </c>
      <c r="O49" s="251" t="n">
        <v>18.36</v>
      </c>
      <c r="P49" s="251">
        <f>Q49&amp;"%"</f>
        <v/>
      </c>
      <c r="Q49" s="27" t="n">
        <v>20</v>
      </c>
      <c r="R49" s="237" t="n">
        <v>3.06</v>
      </c>
      <c r="S49" s="237" t="n">
        <v>3.06</v>
      </c>
      <c r="T49" s="208" t="n">
        <v>15.3</v>
      </c>
      <c r="U49" s="251" t="n">
        <v>18.36</v>
      </c>
      <c r="V49" s="35" t="n">
        <v>43327</v>
      </c>
      <c r="W49" s="35" t="n">
        <v>43318</v>
      </c>
      <c r="X49" s="27" t="n"/>
      <c r="Y49" s="210" t="n">
        <v>15.3</v>
      </c>
      <c r="Z49" s="237" t="n">
        <v>0</v>
      </c>
      <c r="AA49" t="b">
        <v>0</v>
      </c>
    </row>
    <row r="50">
      <c r="B50" s="53" t="n">
        <v>2018</v>
      </c>
      <c r="C50" s="53" t="n">
        <v>49</v>
      </c>
      <c r="D50" s="53">
        <f>B50&amp;"-"&amp;C50</f>
        <v/>
      </c>
      <c r="E50" s="9" t="inlineStr">
        <is>
          <t>2018/8058/18</t>
        </is>
      </c>
      <c r="F50" s="1" t="n">
        <v>43276</v>
      </c>
      <c r="G50" s="1" t="inlineStr">
        <is>
          <t>PREMIUM Laudongasse 58 GmbH &amp; Co KG: Dauerrechnung 2018-D</t>
        </is>
      </c>
      <c r="H50" s="16" t="n"/>
      <c r="I50" s="16" t="inlineStr">
        <is>
          <t>Ausgaben</t>
        </is>
      </c>
      <c r="J50" s="16" t="inlineStr">
        <is>
          <t>Miet- und Pachtaufwand, Leasing</t>
        </is>
      </c>
      <c r="K50" s="16" t="inlineStr"/>
      <c r="L50" t="b">
        <v>0</v>
      </c>
      <c r="M50" s="36" t="n">
        <v>763.4400000000001</v>
      </c>
      <c r="N50" s="51" t="n">
        <v>0.2732037841984147</v>
      </c>
      <c r="O50" s="251" t="n">
        <v>229.4321667092815</v>
      </c>
      <c r="P50" s="251">
        <f>Q50&amp;"%"</f>
        <v/>
      </c>
      <c r="Q50" s="27" t="n">
        <v>10</v>
      </c>
      <c r="R50" s="237" t="n">
        <v>76.34400000000001</v>
      </c>
      <c r="S50" s="237" t="n">
        <v>20.85746970084378</v>
      </c>
      <c r="T50" s="208" t="n">
        <v>208.5746970084378</v>
      </c>
      <c r="U50" s="251" t="n">
        <v>839.7840000000001</v>
      </c>
      <c r="V50" s="35" t="n">
        <v>43327</v>
      </c>
      <c r="W50" s="35" t="n">
        <v>43318</v>
      </c>
      <c r="X50" s="27" t="n"/>
      <c r="Y50" s="210" t="n">
        <v>208.5746970084378</v>
      </c>
      <c r="Z50" s="237" t="n">
        <v>0</v>
      </c>
      <c r="AA50" t="b">
        <v>0</v>
      </c>
    </row>
    <row r="51">
      <c r="B51" s="53" t="n">
        <v>2018</v>
      </c>
      <c r="C51" s="53" t="n">
        <v>50</v>
      </c>
      <c r="D51" s="53">
        <f>B51&amp;"-"&amp;C51</f>
        <v/>
      </c>
      <c r="E51" s="9" t="inlineStr">
        <is>
          <t>AEU-INV-AT-2018-13729083</t>
        </is>
      </c>
      <c r="F51" s="1" t="n">
        <v>43278</v>
      </c>
      <c r="G51" t="inlineStr">
        <is>
          <t>Clean Coder Amazon EU S.à.r.l. - 5 Rue Plaetis, L-2338 Luxembourg, ATU62353134</t>
        </is>
      </c>
      <c r="H51" s="16" t="n"/>
      <c r="I51" s="16" t="inlineStr">
        <is>
          <t>Ausgaben</t>
        </is>
      </c>
      <c r="J51" s="16" t="inlineStr">
        <is>
          <t>sonstige Betriebsausgaben</t>
        </is>
      </c>
      <c r="K51" s="16" t="n"/>
      <c r="L51" t="b">
        <v>0</v>
      </c>
      <c r="M51" s="36" t="n">
        <v>27.09</v>
      </c>
      <c r="N51" s="51" t="n">
        <v>1</v>
      </c>
      <c r="O51" s="251" t="n">
        <v>29.799</v>
      </c>
      <c r="P51" s="251">
        <f>Q51&amp;"%"</f>
        <v/>
      </c>
      <c r="Q51" s="27" t="n">
        <v>10</v>
      </c>
      <c r="R51" s="237" t="n">
        <v>2.709</v>
      </c>
      <c r="S51" s="237" t="n">
        <v>2.709</v>
      </c>
      <c r="T51" s="208" t="n">
        <v>27.09</v>
      </c>
      <c r="U51" s="251" t="n">
        <v>29.799</v>
      </c>
      <c r="V51" s="35" t="n">
        <v>43327</v>
      </c>
      <c r="W51" s="35" t="n">
        <v>43318</v>
      </c>
      <c r="X51" s="27" t="n"/>
      <c r="Y51" s="210" t="n">
        <v>27.09</v>
      </c>
      <c r="Z51" s="237" t="n">
        <v>0</v>
      </c>
      <c r="AA51" t="b">
        <v>0</v>
      </c>
    </row>
    <row r="52">
      <c r="B52" s="53" t="n">
        <v>2018</v>
      </c>
      <c r="C52" s="53" t="n">
        <v>51</v>
      </c>
      <c r="D52" s="53">
        <f>B52&amp;"-"&amp;C52</f>
        <v/>
      </c>
      <c r="E52" s="9" t="inlineStr">
        <is>
          <t>684128</t>
        </is>
      </c>
      <c r="F52" s="1" t="n">
        <v>43278</v>
      </c>
      <c r="G52" t="inlineStr">
        <is>
          <t xml:space="preserve">Drucker+PCs+LCDs: Lemon Technologies GmbH,Unterweißenbach 181, 8330 Feldbach, Österreich </t>
        </is>
      </c>
      <c r="H52" s="16" t="n"/>
      <c r="I52" s="16" t="inlineStr">
        <is>
          <t>Ausgaben</t>
        </is>
      </c>
      <c r="J52" s="16" t="inlineStr">
        <is>
          <t>sonstige Betriebsausgaben</t>
        </is>
      </c>
      <c r="K52" s="16" t="inlineStr">
        <is>
          <t>Weiterverkauf</t>
        </is>
      </c>
      <c r="L52" t="b">
        <v>0</v>
      </c>
      <c r="M52" s="36" t="n">
        <v>3132.56</v>
      </c>
      <c r="N52" s="51" t="n">
        <v>1</v>
      </c>
      <c r="O52" s="251" t="n">
        <v>3759.072</v>
      </c>
      <c r="P52" s="251">
        <f>Q52&amp;"%"</f>
        <v/>
      </c>
      <c r="Q52" s="27" t="n">
        <v>20</v>
      </c>
      <c r="R52" s="237" t="n">
        <v>626.5119999999999</v>
      </c>
      <c r="S52" s="237" t="n">
        <v>626.5119999999999</v>
      </c>
      <c r="T52" s="208" t="n">
        <v>3132.56</v>
      </c>
      <c r="U52" s="251" t="n">
        <v>3759.072</v>
      </c>
      <c r="V52" s="35" t="n">
        <v>43327</v>
      </c>
      <c r="W52" s="35" t="n">
        <v>43318</v>
      </c>
      <c r="X52" s="27" t="n"/>
      <c r="Y52" s="210" t="n">
        <v>3132.56</v>
      </c>
      <c r="Z52" s="237" t="n">
        <v>0</v>
      </c>
      <c r="AA52" t="b">
        <v>0</v>
      </c>
    </row>
    <row r="53">
      <c r="B53" s="53" t="n">
        <v>2018</v>
      </c>
      <c r="C53" s="53" t="n">
        <v>52</v>
      </c>
      <c r="D53" s="53">
        <f>B53&amp;"-"&amp;C53</f>
        <v/>
      </c>
      <c r="E53" s="9" t="inlineStr">
        <is>
          <t>684492</t>
        </is>
      </c>
      <c r="F53" s="1" t="n">
        <v>43280</v>
      </c>
      <c r="G53" t="inlineStr">
        <is>
          <t xml:space="preserve">UEPC: Lemon Technologies GmbH,Unterweißenbach 181, 8330 Feldbach, Österreich </t>
        </is>
      </c>
      <c r="H53" s="16" t="n"/>
      <c r="I53" s="16" t="inlineStr">
        <is>
          <t>Ausgaben</t>
        </is>
      </c>
      <c r="J53" s="16" t="inlineStr">
        <is>
          <t>sonstige Betriebsausgaben</t>
        </is>
      </c>
      <c r="K53" s="16" t="inlineStr">
        <is>
          <t>Weiterverkauf</t>
        </is>
      </c>
      <c r="L53" t="b">
        <v>0</v>
      </c>
      <c r="M53" s="36" t="n">
        <v>529.01</v>
      </c>
      <c r="N53" s="51" t="n">
        <v>1</v>
      </c>
      <c r="O53" s="251" t="n">
        <v>634.812</v>
      </c>
      <c r="P53" s="251">
        <f>Q53&amp;"%"</f>
        <v/>
      </c>
      <c r="Q53" s="27" t="n">
        <v>20</v>
      </c>
      <c r="R53" s="237" t="n">
        <v>105.802</v>
      </c>
      <c r="S53" s="237" t="n">
        <v>105.802</v>
      </c>
      <c r="T53" s="208" t="n">
        <v>529.01</v>
      </c>
      <c r="U53" s="251" t="n">
        <v>634.812</v>
      </c>
      <c r="V53" s="35" t="n">
        <v>43327</v>
      </c>
      <c r="W53" s="35" t="n">
        <v>43318</v>
      </c>
      <c r="X53" s="27" t="n"/>
      <c r="Y53" s="210" t="n">
        <v>529.01</v>
      </c>
      <c r="Z53" s="237" t="n">
        <v>0</v>
      </c>
      <c r="AA53" t="b">
        <v>0</v>
      </c>
    </row>
    <row r="54">
      <c r="B54" s="53" t="n">
        <v>2018</v>
      </c>
      <c r="C54" s="53" t="n">
        <v>53</v>
      </c>
      <c r="D54" s="53">
        <f>B54&amp;"-"&amp;C54</f>
        <v/>
      </c>
      <c r="E54" s="9" t="inlineStr">
        <is>
          <t>Amazon: AEU-INV-AT-2018-13708794; 1attack: 2191562</t>
        </is>
      </c>
      <c r="F54" s="1" t="n">
        <v>43278</v>
      </c>
      <c r="G54" s="1" t="inlineStr">
        <is>
          <t>1attack Patchkabel und Zyxel Switch, Steckdosenleisten: Amazon EU Sàrl, 5 Rue Plaetis, L-2338, Luxemburg</t>
        </is>
      </c>
      <c r="H54" s="16" t="n"/>
      <c r="I54" s="16" t="inlineStr">
        <is>
          <t>Ausgaben</t>
        </is>
      </c>
      <c r="J54" s="16" t="inlineStr">
        <is>
          <t>sonstige Betriebsausgaben</t>
        </is>
      </c>
      <c r="K54" s="16" t="inlineStr">
        <is>
          <t>Weiterverkauf</t>
        </is>
      </c>
      <c r="L54" t="b">
        <v>0</v>
      </c>
      <c r="M54" s="36" t="n">
        <v>51.54000000000001</v>
      </c>
      <c r="N54" s="51" t="n">
        <v>1</v>
      </c>
      <c r="O54" s="251" t="n">
        <v>61.84800000000001</v>
      </c>
      <c r="P54" s="251">
        <f>Q54&amp;"%"</f>
        <v/>
      </c>
      <c r="Q54" s="27" t="n">
        <v>20</v>
      </c>
      <c r="R54" s="237" t="n">
        <v>10.308</v>
      </c>
      <c r="S54" s="237" t="n">
        <v>10.308</v>
      </c>
      <c r="T54" s="208" t="n">
        <v>51.54000000000001</v>
      </c>
      <c r="U54" s="251" t="n">
        <v>61.84800000000001</v>
      </c>
      <c r="V54" s="35" t="n">
        <v>43327</v>
      </c>
      <c r="W54" s="35" t="n">
        <v>43318</v>
      </c>
      <c r="X54" s="27" t="n"/>
      <c r="Y54" s="210" t="n">
        <v>51.54000000000001</v>
      </c>
      <c r="Z54" s="237" t="n">
        <v>0</v>
      </c>
      <c r="AA54" t="b">
        <v>0</v>
      </c>
    </row>
    <row r="55">
      <c r="B55" s="53" t="n">
        <v>2018</v>
      </c>
      <c r="C55" s="53" t="n">
        <v>54</v>
      </c>
      <c r="D55" s="53">
        <f>B55&amp;"-"&amp;C55</f>
        <v/>
      </c>
      <c r="E55" s="9" t="inlineStr">
        <is>
          <t>AEU-INV-AT-2018-13708984</t>
        </is>
      </c>
      <c r="F55" s="1" t="n">
        <v>43278</v>
      </c>
      <c r="G55" t="inlineStr">
        <is>
          <t>Steckdosenleisten Amazon Marketplace 5040</t>
        </is>
      </c>
      <c r="H55" s="16" t="n"/>
      <c r="I55" s="16" t="inlineStr">
        <is>
          <t>Ausgaben</t>
        </is>
      </c>
      <c r="J55" s="16" t="inlineStr">
        <is>
          <t>sonstige Betriebsausgaben</t>
        </is>
      </c>
      <c r="K55" s="16" t="inlineStr">
        <is>
          <t>Weiterverkauf</t>
        </is>
      </c>
      <c r="L55" t="b">
        <v>0</v>
      </c>
      <c r="M55" s="36" t="n">
        <v>29.32</v>
      </c>
      <c r="N55" s="51" t="n">
        <v>1</v>
      </c>
      <c r="O55" s="251" t="n">
        <v>35.184</v>
      </c>
      <c r="P55" s="251">
        <f>Q55&amp;"%"</f>
        <v/>
      </c>
      <c r="Q55" s="27" t="n">
        <v>20</v>
      </c>
      <c r="R55" s="237" t="n">
        <v>5.864</v>
      </c>
      <c r="S55" s="237" t="n">
        <v>5.864</v>
      </c>
      <c r="T55" s="208" t="n">
        <v>29.32</v>
      </c>
      <c r="U55" s="251" t="n">
        <v>35.184</v>
      </c>
      <c r="V55" s="35" t="n">
        <v>43327</v>
      </c>
      <c r="W55" s="35" t="n">
        <v>43318</v>
      </c>
      <c r="X55" s="27" t="n"/>
      <c r="Y55" s="210" t="n">
        <v>29.32</v>
      </c>
      <c r="Z55" s="237" t="n">
        <v>0</v>
      </c>
      <c r="AA55" t="b">
        <v>0</v>
      </c>
    </row>
    <row r="56">
      <c r="B56" s="53" t="n">
        <v>2018</v>
      </c>
      <c r="C56" s="53" t="n">
        <v>55</v>
      </c>
      <c r="D56" s="53">
        <f>B56&amp;"-"&amp;C56</f>
        <v/>
      </c>
      <c r="E56" s="9" t="inlineStr">
        <is>
          <t>AEU-INV-AT-2018-13708785</t>
        </is>
      </c>
      <c r="F56" s="1" t="n">
        <v>43278</v>
      </c>
      <c r="G56" t="inlineStr">
        <is>
          <t>Tastatur+Maus Logitech: Amazon Marketplace 3518</t>
        </is>
      </c>
      <c r="H56" s="16" t="n"/>
      <c r="I56" s="16" t="inlineStr">
        <is>
          <t>Ausgaben</t>
        </is>
      </c>
      <c r="J56" s="16" t="inlineStr">
        <is>
          <t>sonstige Betriebsausgaben</t>
        </is>
      </c>
      <c r="K56" s="16" t="inlineStr">
        <is>
          <t>Weiterverkauf</t>
        </is>
      </c>
      <c r="L56" t="b">
        <v>0</v>
      </c>
      <c r="M56" s="36" t="n">
        <v>42</v>
      </c>
      <c r="N56" s="51" t="n">
        <v>1</v>
      </c>
      <c r="O56" s="251" t="n">
        <v>50.4</v>
      </c>
      <c r="P56" s="251">
        <f>Q56&amp;"%"</f>
        <v/>
      </c>
      <c r="Q56" s="27" t="n">
        <v>20</v>
      </c>
      <c r="R56" s="237" t="n">
        <v>8.4</v>
      </c>
      <c r="S56" s="237" t="n">
        <v>8.4</v>
      </c>
      <c r="T56" s="208" t="n">
        <v>42</v>
      </c>
      <c r="U56" s="251" t="n">
        <v>50.4</v>
      </c>
      <c r="V56" s="35" t="n">
        <v>43327</v>
      </c>
      <c r="W56" s="35" t="n">
        <v>43318</v>
      </c>
      <c r="X56" s="27" t="n"/>
      <c r="Y56" s="210" t="n">
        <v>42</v>
      </c>
      <c r="Z56" s="237" t="n">
        <v>0</v>
      </c>
      <c r="AA56" t="b">
        <v>0</v>
      </c>
    </row>
    <row r="57">
      <c r="B57" s="53" t="n">
        <v>2018</v>
      </c>
      <c r="C57" s="53" t="n">
        <v>56</v>
      </c>
      <c r="D57" s="53">
        <f>B57&amp;"-"&amp;C57</f>
        <v/>
      </c>
      <c r="E57" s="9" t="inlineStr">
        <is>
          <t>170054282-00</t>
        </is>
      </c>
      <c r="F57" s="1" t="n">
        <v>43284</v>
      </c>
      <c r="G57" t="inlineStr">
        <is>
          <t>UPC Laudongasse</t>
        </is>
      </c>
      <c r="H57" s="16" t="n"/>
      <c r="I57" s="16" t="inlineStr">
        <is>
          <t>Ausgaben</t>
        </is>
      </c>
      <c r="J57" s="16" t="inlineStr">
        <is>
          <t>Telefon/Internet</t>
        </is>
      </c>
      <c r="K57" s="16" t="n"/>
      <c r="L57" t="b">
        <v>0</v>
      </c>
      <c r="M57" s="36">
        <f>27.82+1.04</f>
        <v/>
      </c>
      <c r="N57" s="51">
        <f>2/3</f>
        <v/>
      </c>
      <c r="O57" s="251">
        <f>N57*U57</f>
        <v/>
      </c>
      <c r="P57" s="251">
        <f>Q57&amp;"%"</f>
        <v/>
      </c>
      <c r="Q57" s="27" t="n">
        <v>20</v>
      </c>
      <c r="R57" s="237" t="n">
        <v>6.38</v>
      </c>
      <c r="S57" s="237" t="n">
        <v>2.207687718401091</v>
      </c>
      <c r="T57" s="208">
        <f>N57*M57</f>
        <v/>
      </c>
      <c r="U57" s="251">
        <f>M57*(100%+P57)</f>
        <v/>
      </c>
      <c r="V57" s="35" t="n">
        <v>43235</v>
      </c>
      <c r="W57" s="35" t="n">
        <v>43418</v>
      </c>
      <c r="X57" s="27" t="n"/>
      <c r="Y57" s="210" t="n">
        <v>19.24</v>
      </c>
      <c r="Z57" s="237" t="n">
        <v>0</v>
      </c>
      <c r="AA57" t="b">
        <v>0</v>
      </c>
    </row>
    <row r="58">
      <c r="B58" s="53" t="n">
        <v>2018</v>
      </c>
      <c r="C58" s="53" t="n">
        <v>57</v>
      </c>
      <c r="D58" s="53">
        <f>B58&amp;"-"&amp;C58</f>
        <v/>
      </c>
      <c r="E58" s="9" t="inlineStr">
        <is>
          <t>6055</t>
        </is>
      </c>
      <c r="F58" s="1" t="n">
        <v>43287</v>
      </c>
      <c r="G58" t="inlineStr">
        <is>
          <t>ProcessWire, Ryan Cramer Design, LLC, 204 Clarion Ave, Decatur, GA 30030, USA ==&gt; 129,00 USD</t>
        </is>
      </c>
      <c r="H58" s="16" t="n"/>
      <c r="I58" s="16" t="inlineStr">
        <is>
          <t>Ausgaben</t>
        </is>
      </c>
      <c r="J58" s="16" t="inlineStr">
        <is>
          <t>sonstige Betriebsausgaben</t>
        </is>
      </c>
      <c r="K58" s="16" t="n"/>
      <c r="L58" t="b">
        <v>0</v>
      </c>
      <c r="M58" s="36" t="n">
        <v>112.6</v>
      </c>
      <c r="N58" s="51" t="n">
        <v>1</v>
      </c>
      <c r="O58" s="251" t="n">
        <v>112.6</v>
      </c>
      <c r="P58" s="251">
        <f>Q58&amp;"%"</f>
        <v/>
      </c>
      <c r="Q58" s="27" t="n">
        <v>0</v>
      </c>
      <c r="R58" s="237" t="n">
        <v>0</v>
      </c>
      <c r="S58" s="237" t="n">
        <v>0</v>
      </c>
      <c r="T58" s="208" t="n">
        <v>112.6</v>
      </c>
      <c r="U58" s="251" t="n">
        <v>112.6</v>
      </c>
      <c r="V58" s="35" t="n">
        <v>43419</v>
      </c>
      <c r="W58" s="35" t="n">
        <v>43418</v>
      </c>
      <c r="X58" s="27" t="n"/>
      <c r="Y58" s="210" t="n">
        <v>112.6</v>
      </c>
      <c r="Z58" s="237" t="n">
        <v>0</v>
      </c>
      <c r="AA58" t="b">
        <v>0</v>
      </c>
    </row>
    <row r="59">
      <c r="B59" s="53" t="n">
        <v>2018</v>
      </c>
      <c r="C59" s="53" t="n">
        <v>58</v>
      </c>
      <c r="D59" s="53">
        <f>B59&amp;"-"&amp;C59</f>
        <v/>
      </c>
      <c r="E59" s="9" t="inlineStr">
        <is>
          <t>AI2208418</t>
        </is>
      </c>
      <c r="F59" s="1" t="n">
        <v>43290</v>
      </c>
      <c r="G59" t="inlineStr">
        <is>
          <t>Nemt GmbH</t>
        </is>
      </c>
      <c r="H59" s="16" t="n"/>
      <c r="I59" s="16" t="inlineStr">
        <is>
          <t>Ausgaben</t>
        </is>
      </c>
      <c r="J59" s="16" t="inlineStr">
        <is>
          <t>sonstige Betriebsausgaben</t>
        </is>
      </c>
      <c r="K59" s="16" t="inlineStr">
        <is>
          <t>Weiterverkauf</t>
        </is>
      </c>
      <c r="L59" t="b">
        <v>0</v>
      </c>
      <c r="M59" s="36" t="n">
        <v>12.9</v>
      </c>
      <c r="N59" s="51" t="n">
        <v>1</v>
      </c>
      <c r="O59" s="251" t="n">
        <v>15.48</v>
      </c>
      <c r="P59" s="251">
        <f>Q59&amp;"%"</f>
        <v/>
      </c>
      <c r="Q59" s="27" t="n">
        <v>20</v>
      </c>
      <c r="R59" s="237" t="n">
        <v>2.58</v>
      </c>
      <c r="S59" s="237" t="n">
        <v>2.58</v>
      </c>
      <c r="T59" s="208" t="n">
        <v>12.9</v>
      </c>
      <c r="U59" s="251" t="n">
        <v>15.48</v>
      </c>
      <c r="V59" s="35" t="n">
        <v>43419</v>
      </c>
      <c r="W59" s="35" t="n">
        <v>43418</v>
      </c>
      <c r="X59" s="27" t="n"/>
      <c r="Y59" s="210" t="n">
        <v>12.9</v>
      </c>
      <c r="Z59" s="237" t="n">
        <v>0</v>
      </c>
      <c r="AA59" t="b">
        <v>0</v>
      </c>
    </row>
    <row r="60">
      <c r="B60" s="53" t="n">
        <v>2018</v>
      </c>
      <c r="C60" s="53" t="n">
        <v>59</v>
      </c>
      <c r="D60" s="53">
        <f>B60&amp;"-"&amp;C60</f>
        <v/>
      </c>
      <c r="E60" s="9" t="inlineStr">
        <is>
          <t>6158865234</t>
        </is>
      </c>
      <c r="F60" s="1" t="n">
        <v>43290</v>
      </c>
      <c r="G60" t="inlineStr">
        <is>
          <t>Hutchison Drei Austria GmbH, Brünner Straße 52, 1210 Wien, Österreich</t>
        </is>
      </c>
      <c r="H60" s="16" t="n"/>
      <c r="I60" s="16" t="inlineStr">
        <is>
          <t>Ausgaben</t>
        </is>
      </c>
      <c r="J60" s="16" t="inlineStr">
        <is>
          <t>Telefon/Internet</t>
        </is>
      </c>
      <c r="K60" s="16" t="n"/>
      <c r="L60" t="b">
        <v>0</v>
      </c>
      <c r="M60" s="36" t="n">
        <v>15</v>
      </c>
      <c r="N60" s="51" t="n">
        <v>1</v>
      </c>
      <c r="O60" s="251" t="n">
        <v>18</v>
      </c>
      <c r="P60" s="251">
        <f>Q60&amp;"%"</f>
        <v/>
      </c>
      <c r="Q60" s="27" t="n">
        <v>20</v>
      </c>
      <c r="R60" s="237" t="n">
        <v>3</v>
      </c>
      <c r="S60" s="237" t="n">
        <v>3</v>
      </c>
      <c r="T60" s="208" t="n">
        <v>15</v>
      </c>
      <c r="U60" s="251" t="n">
        <v>18</v>
      </c>
      <c r="V60" s="35" t="n">
        <v>43419</v>
      </c>
      <c r="W60" s="35" t="n">
        <v>43418</v>
      </c>
      <c r="X60" s="27" t="n"/>
      <c r="Y60" s="210" t="n">
        <v>15</v>
      </c>
      <c r="Z60" s="237" t="n">
        <v>0</v>
      </c>
      <c r="AA60" t="b">
        <v>0</v>
      </c>
    </row>
    <row r="61">
      <c r="B61" s="53" t="n">
        <v>2018</v>
      </c>
      <c r="C61" s="53" t="n">
        <v>60</v>
      </c>
      <c r="D61" s="53">
        <f>B61&amp;"-"&amp;C61</f>
        <v/>
      </c>
      <c r="E61" s="9" t="inlineStr">
        <is>
          <t>20180901202</t>
        </is>
      </c>
      <c r="F61" s="1" t="n">
        <v>43293</v>
      </c>
      <c r="G61" t="inlineStr">
        <is>
          <t xml:space="preserve">Shenzhenshi Yunguihui Keji Youxian Gongsi: Türstopper Gummi 4 Stk. </t>
        </is>
      </c>
      <c r="H61" s="16" t="n"/>
      <c r="I61" s="16" t="inlineStr">
        <is>
          <t>Ausgaben</t>
        </is>
      </c>
      <c r="J61" s="16" t="inlineStr">
        <is>
          <t>sonstige Betriebsausgaben</t>
        </is>
      </c>
      <c r="K61" s="16" t="inlineStr">
        <is>
          <t>Weiterverkauf</t>
        </is>
      </c>
      <c r="L61" t="b">
        <v>0</v>
      </c>
      <c r="M61" s="36" t="n">
        <v>8.99</v>
      </c>
      <c r="N61" s="51" t="n">
        <v>1</v>
      </c>
      <c r="O61" s="251" t="n">
        <v>8.99</v>
      </c>
      <c r="P61" s="251">
        <f>Q61&amp;"%"</f>
        <v/>
      </c>
      <c r="Q61" s="27" t="n">
        <v>0</v>
      </c>
      <c r="R61" s="237" t="n">
        <v>0</v>
      </c>
      <c r="S61" s="237" t="n">
        <v>0</v>
      </c>
      <c r="T61" s="208" t="n">
        <v>8.99</v>
      </c>
      <c r="U61" s="251" t="n">
        <v>8.99</v>
      </c>
      <c r="V61" s="35" t="n">
        <v>43419</v>
      </c>
      <c r="W61" s="35" t="n">
        <v>43418</v>
      </c>
      <c r="X61" s="27" t="n"/>
      <c r="Y61" s="210" t="n">
        <v>8.99</v>
      </c>
      <c r="Z61" s="237" t="n">
        <v>0</v>
      </c>
      <c r="AA61" t="b">
        <v>0</v>
      </c>
    </row>
    <row r="62">
      <c r="B62" s="53" t="n">
        <v>2018</v>
      </c>
      <c r="C62" s="53" t="n">
        <v>61</v>
      </c>
      <c r="D62" s="53">
        <f>B62&amp;"-"&amp;C62</f>
        <v/>
      </c>
      <c r="E62" s="9" t="inlineStr">
        <is>
          <t>34019581014/40/2018</t>
        </is>
      </c>
      <c r="F62" s="1" t="n">
        <v>43297</v>
      </c>
      <c r="G62" s="1" t="inlineStr">
        <is>
          <t>VERBUND AG, Postfach 8400, 1011 Wien, Österreich: Teilzahlungsvorschreibung</t>
        </is>
      </c>
      <c r="H62" s="16" t="n"/>
      <c r="I62" s="16" t="inlineStr">
        <is>
          <t>Ausgaben</t>
        </is>
      </c>
      <c r="J62" s="16" t="inlineStr">
        <is>
          <t>sonstige Betriebsausgaben</t>
        </is>
      </c>
      <c r="K62" s="16" t="inlineStr"/>
      <c r="L62" t="b">
        <v>0</v>
      </c>
      <c r="M62" s="36" t="n">
        <v>151.67</v>
      </c>
      <c r="N62" s="51" t="n">
        <v>0.2732037841984147</v>
      </c>
      <c r="O62" s="251" t="n">
        <v>49.72418153924828</v>
      </c>
      <c r="P62" s="251">
        <f>Q62&amp;"%"</f>
        <v/>
      </c>
      <c r="Q62" s="27" t="n">
        <v>20</v>
      </c>
      <c r="R62" s="237" t="n">
        <v>30.334</v>
      </c>
      <c r="S62" s="237" t="n">
        <v>8.287363589874712</v>
      </c>
      <c r="T62" s="208" t="n">
        <v>41.43681794937356</v>
      </c>
      <c r="U62" s="251" t="n">
        <v>182.004</v>
      </c>
      <c r="V62" s="35" t="n">
        <v>43419</v>
      </c>
      <c r="W62" s="35" t="n">
        <v>43418</v>
      </c>
      <c r="X62" s="27" t="n"/>
      <c r="Y62" s="210" t="n">
        <v>41.43681794937356</v>
      </c>
      <c r="Z62" s="237" t="n">
        <v>0</v>
      </c>
      <c r="AA62" t="b">
        <v>0</v>
      </c>
    </row>
    <row r="63">
      <c r="B63" s="53" t="n">
        <v>2018</v>
      </c>
      <c r="C63" s="53" t="n">
        <v>62</v>
      </c>
      <c r="D63" s="53">
        <f>B63&amp;"-"&amp;C63</f>
        <v/>
      </c>
      <c r="E63" s="9" t="inlineStr">
        <is>
          <t>14003364782/40/2018</t>
        </is>
      </c>
      <c r="F63" s="1" t="n">
        <v>43297</v>
      </c>
      <c r="G63" s="1" t="inlineStr">
        <is>
          <t>MONTANA Energie-Handel AT GmbH: Teilzahlungsbetrag Gas</t>
        </is>
      </c>
      <c r="H63" s="16" t="n"/>
      <c r="I63" s="16" t="inlineStr">
        <is>
          <t>Ausgaben</t>
        </is>
      </c>
      <c r="J63" s="16" t="inlineStr">
        <is>
          <t>sonstige Betriebsausgaben</t>
        </is>
      </c>
      <c r="K63" s="16" t="inlineStr"/>
      <c r="L63" t="b">
        <v>0</v>
      </c>
      <c r="M63" s="36" t="n">
        <v>82.5</v>
      </c>
      <c r="N63" s="51" t="n">
        <v>0.2732037841984147</v>
      </c>
      <c r="O63" s="251" t="n">
        <v>27.04717463564306</v>
      </c>
      <c r="P63" s="251">
        <f>Q63&amp;"%"</f>
        <v/>
      </c>
      <c r="Q63" s="27" t="n">
        <v>20</v>
      </c>
      <c r="R63" s="237" t="n">
        <v>16.5</v>
      </c>
      <c r="S63" s="237" t="n">
        <v>4.507862439273843</v>
      </c>
      <c r="T63" s="208" t="n">
        <v>22.53931219636922</v>
      </c>
      <c r="U63" s="251" t="n">
        <v>99</v>
      </c>
      <c r="V63" s="35" t="n">
        <v>43419</v>
      </c>
      <c r="W63" s="35" t="n">
        <v>43418</v>
      </c>
      <c r="X63" s="27" t="n"/>
      <c r="Y63" s="210" t="n">
        <v>22.53931219636922</v>
      </c>
      <c r="Z63" s="237" t="n">
        <v>0</v>
      </c>
      <c r="AA63" t="b">
        <v>0</v>
      </c>
    </row>
    <row r="64">
      <c r="B64" s="53" t="n">
        <v>2018</v>
      </c>
      <c r="C64" s="53" t="n">
        <v>63</v>
      </c>
      <c r="D64" s="53">
        <f>B64&amp;"-"&amp;C64</f>
        <v/>
      </c>
      <c r="E64" s="9" t="inlineStr">
        <is>
          <t>E05006BO0M</t>
        </is>
      </c>
      <c r="F64" s="1" t="n">
        <v>43304</v>
      </c>
      <c r="G64" t="inlineStr">
        <is>
          <t>Microsoft Ireland Operations Ltd, One Microsoft Place, South County Business Park Leopardstown Dublin 18, D18 P521 Irland: Office 365 Business Essentials (monatlich)</t>
        </is>
      </c>
      <c r="H64" s="16" t="n"/>
      <c r="I64" s="16" t="inlineStr">
        <is>
          <t>Ausgaben</t>
        </is>
      </c>
      <c r="J64" s="16" t="inlineStr">
        <is>
          <t>sonstige Betriebsausgaben</t>
        </is>
      </c>
      <c r="K64" s="16" t="inlineStr"/>
      <c r="L64" t="b">
        <v>0</v>
      </c>
      <c r="M64" s="36" t="n">
        <v>15.3</v>
      </c>
      <c r="N64" s="51" t="n">
        <v>1</v>
      </c>
      <c r="O64" s="251" t="n">
        <v>18.36</v>
      </c>
      <c r="P64" s="251">
        <f>Q64&amp;"%"</f>
        <v/>
      </c>
      <c r="Q64" s="27" t="n">
        <v>20</v>
      </c>
      <c r="R64" s="237" t="n">
        <v>3.06</v>
      </c>
      <c r="S64" s="237" t="n">
        <v>3.06</v>
      </c>
      <c r="T64" s="208" t="n">
        <v>15.3</v>
      </c>
      <c r="U64" s="251" t="n">
        <v>18.36</v>
      </c>
      <c r="V64" s="35" t="n">
        <v>43419</v>
      </c>
      <c r="W64" s="35" t="n">
        <v>43418</v>
      </c>
      <c r="X64" s="27" t="n"/>
      <c r="Y64" s="210" t="n">
        <v>15.3</v>
      </c>
      <c r="Z64" s="237" t="n">
        <v>0</v>
      </c>
      <c r="AA64" t="b">
        <v>0</v>
      </c>
    </row>
    <row r="65">
      <c r="B65" s="53" t="n">
        <v>2018</v>
      </c>
      <c r="C65" s="53" t="n">
        <v>64</v>
      </c>
      <c r="D65" s="53">
        <f>B65&amp;"-"&amp;C65</f>
        <v/>
      </c>
      <c r="E65" s="9" t="inlineStr">
        <is>
          <t>2018/8058/18</t>
        </is>
      </c>
      <c r="F65" s="1" t="n">
        <v>43306</v>
      </c>
      <c r="G65" s="1" t="inlineStr">
        <is>
          <t>PREMIUM Laudongasse 58 GmbH &amp; Co KG: Dauerrechnung 2018-D</t>
        </is>
      </c>
      <c r="H65" s="16" t="n"/>
      <c r="I65" s="16" t="inlineStr">
        <is>
          <t>Ausgaben</t>
        </is>
      </c>
      <c r="J65" s="16" t="inlineStr">
        <is>
          <t>Miet- und Pachtaufwand, Leasing</t>
        </is>
      </c>
      <c r="K65" s="16" t="inlineStr"/>
      <c r="L65" t="b">
        <v>0</v>
      </c>
      <c r="M65" s="36" t="n">
        <v>763.4400000000001</v>
      </c>
      <c r="N65" s="51" t="n">
        <v>0.2732037841984147</v>
      </c>
      <c r="O65" s="251" t="n">
        <v>229.4321667092815</v>
      </c>
      <c r="P65" s="251">
        <f>Q65&amp;"%"</f>
        <v/>
      </c>
      <c r="Q65" s="27" t="n">
        <v>10</v>
      </c>
      <c r="R65" s="237" t="n">
        <v>76.34400000000001</v>
      </c>
      <c r="S65" s="237" t="n">
        <v>20.85746970084378</v>
      </c>
      <c r="T65" s="208" t="n">
        <v>208.5746970084378</v>
      </c>
      <c r="U65" s="251" t="n">
        <v>839.7840000000001</v>
      </c>
      <c r="V65" s="35" t="n">
        <v>43419</v>
      </c>
      <c r="W65" s="35" t="n">
        <v>43418</v>
      </c>
      <c r="X65" s="27" t="n"/>
      <c r="Y65" s="210" t="n">
        <v>208.5746970084378</v>
      </c>
      <c r="Z65" s="237" t="n">
        <v>0</v>
      </c>
      <c r="AA65" t="b">
        <v>0</v>
      </c>
    </row>
    <row r="66">
      <c r="B66" s="53" t="n">
        <v>2018</v>
      </c>
      <c r="C66" s="53" t="n">
        <v>65</v>
      </c>
      <c r="D66" s="53">
        <f>B66&amp;"-"&amp;C66</f>
        <v/>
      </c>
      <c r="E66" s="9" t="inlineStr">
        <is>
          <t>170518765-00</t>
        </is>
      </c>
      <c r="F66" s="1" t="n">
        <v>43314</v>
      </c>
      <c r="G66" t="inlineStr">
        <is>
          <t>UPC Laudongasse</t>
        </is>
      </c>
      <c r="H66" s="16" t="n"/>
      <c r="I66" s="16" t="inlineStr">
        <is>
          <t>Ausgaben</t>
        </is>
      </c>
      <c r="J66" s="16" t="inlineStr">
        <is>
          <t>Telefon/Internet</t>
        </is>
      </c>
      <c r="K66" s="16" t="n"/>
      <c r="L66" t="b">
        <v>0</v>
      </c>
      <c r="M66" s="36">
        <f>27.82+1.04</f>
        <v/>
      </c>
      <c r="N66" s="51">
        <f>2/3</f>
        <v/>
      </c>
      <c r="O66" s="251">
        <f>N66*U66</f>
        <v/>
      </c>
      <c r="P66" s="251">
        <f>Q66&amp;"%"</f>
        <v/>
      </c>
      <c r="Q66" s="27" t="n">
        <v>20</v>
      </c>
      <c r="R66" s="237" t="n">
        <v>6.38</v>
      </c>
      <c r="S66" s="237" t="n">
        <v>2.207687718401091</v>
      </c>
      <c r="T66" s="208">
        <f>N66*M66</f>
        <v/>
      </c>
      <c r="U66" s="251">
        <f>M66*(100%+P66)</f>
        <v/>
      </c>
      <c r="V66" s="35" t="n">
        <v>43235</v>
      </c>
      <c r="W66" s="35" t="n">
        <v>43418</v>
      </c>
      <c r="X66" s="27" t="n"/>
      <c r="Y66" s="210" t="n">
        <v>19.24</v>
      </c>
      <c r="Z66" s="237" t="n">
        <v>0</v>
      </c>
      <c r="AA66" t="b">
        <v>0</v>
      </c>
    </row>
    <row r="67">
      <c r="B67" s="53" t="n">
        <v>2018</v>
      </c>
      <c r="C67" s="53" t="n">
        <v>66</v>
      </c>
      <c r="D67" s="53">
        <f>B67&amp;"-"&amp;C67</f>
        <v/>
      </c>
      <c r="E67" s="9" t="inlineStr">
        <is>
          <t>6160696858</t>
        </is>
      </c>
      <c r="F67" s="1" t="n">
        <v>43315</v>
      </c>
      <c r="G67" t="inlineStr">
        <is>
          <t>Hutchison Drei Austria GmbH, Brünner Straße 52, 1210 Wien, Österreich</t>
        </is>
      </c>
      <c r="H67" s="16" t="n"/>
      <c r="I67" s="16" t="inlineStr">
        <is>
          <t>Ausgaben</t>
        </is>
      </c>
      <c r="J67" s="16" t="inlineStr">
        <is>
          <t>Telefon/Internet</t>
        </is>
      </c>
      <c r="K67" s="16" t="n"/>
      <c r="L67" t="b">
        <v>0</v>
      </c>
      <c r="M67" s="36" t="n">
        <v>15</v>
      </c>
      <c r="N67" s="51" t="n">
        <v>1</v>
      </c>
      <c r="O67" s="251" t="n">
        <v>18</v>
      </c>
      <c r="P67" s="251">
        <f>Q67&amp;"%"</f>
        <v/>
      </c>
      <c r="Q67" s="27" t="n">
        <v>20</v>
      </c>
      <c r="R67" s="237" t="n">
        <v>3</v>
      </c>
      <c r="S67" s="237" t="n">
        <v>3</v>
      </c>
      <c r="T67" s="208" t="n">
        <v>15</v>
      </c>
      <c r="U67" s="251" t="n">
        <v>18</v>
      </c>
      <c r="V67" s="35" t="n">
        <v>43419</v>
      </c>
      <c r="W67" s="35" t="n">
        <v>43418</v>
      </c>
      <c r="X67" s="27" t="n"/>
      <c r="Y67" s="210" t="n">
        <v>15</v>
      </c>
      <c r="Z67" s="237" t="n">
        <v>0</v>
      </c>
      <c r="AA67" t="b">
        <v>0</v>
      </c>
    </row>
    <row r="68">
      <c r="B68" s="53" t="n">
        <v>2018</v>
      </c>
      <c r="C68" s="53" t="n">
        <v>67</v>
      </c>
      <c r="D68" s="53">
        <f>B68&amp;"-"&amp;C68</f>
        <v/>
      </c>
      <c r="E68" s="9" t="inlineStr">
        <is>
          <t>14003481874/40/2018</t>
        </is>
      </c>
      <c r="F68" s="1" t="n">
        <v>43328</v>
      </c>
      <c r="G68" s="1" t="inlineStr">
        <is>
          <t>MONTANA Energie-Handel AT GmbH: Teilzahlungsbetrag Gas</t>
        </is>
      </c>
      <c r="H68" s="16" t="n"/>
      <c r="I68" s="16" t="inlineStr">
        <is>
          <t>Ausgaben</t>
        </is>
      </c>
      <c r="J68" s="16" t="inlineStr">
        <is>
          <t>sonstige Betriebsausgaben</t>
        </is>
      </c>
      <c r="K68" s="16" t="inlineStr"/>
      <c r="L68" t="b">
        <v>0</v>
      </c>
      <c r="M68" s="36" t="n">
        <v>82.5</v>
      </c>
      <c r="N68" s="51" t="n">
        <v>0.2732037841984147</v>
      </c>
      <c r="O68" s="251" t="n">
        <v>27.04717463564306</v>
      </c>
      <c r="P68" s="251">
        <f>Q68&amp;"%"</f>
        <v/>
      </c>
      <c r="Q68" s="27" t="n">
        <v>20</v>
      </c>
      <c r="R68" s="237" t="n">
        <v>16.5</v>
      </c>
      <c r="S68" s="237" t="n">
        <v>4.507862439273843</v>
      </c>
      <c r="T68" s="208" t="n">
        <v>22.53931219636922</v>
      </c>
      <c r="U68" s="251" t="n">
        <v>99</v>
      </c>
      <c r="V68" s="35" t="n">
        <v>43419</v>
      </c>
      <c r="W68" s="35" t="n">
        <v>43418</v>
      </c>
      <c r="X68" s="27" t="n"/>
      <c r="Y68" s="210" t="n">
        <v>22.53931219636922</v>
      </c>
      <c r="Z68" s="237" t="n">
        <v>0</v>
      </c>
      <c r="AA68" t="b">
        <v>0</v>
      </c>
    </row>
    <row r="69">
      <c r="B69" s="53" t="n">
        <v>2018</v>
      </c>
      <c r="C69" s="53" t="n">
        <v>68</v>
      </c>
      <c r="D69" s="53">
        <f>B69&amp;"-"&amp;C69</f>
        <v/>
      </c>
      <c r="E69" s="9" t="inlineStr">
        <is>
          <t>2018/8058/18</t>
        </is>
      </c>
      <c r="F69" s="1" t="n">
        <v>43339</v>
      </c>
      <c r="G69" s="1" t="inlineStr">
        <is>
          <t>PREMIUM Laudongasse 58 GmbH &amp; Co KG: Dauerrechnung 2018-D</t>
        </is>
      </c>
      <c r="H69" s="16" t="n"/>
      <c r="I69" s="16" t="inlineStr">
        <is>
          <t>Ausgaben</t>
        </is>
      </c>
      <c r="J69" s="16" t="inlineStr">
        <is>
          <t>Miet- und Pachtaufwand, Leasing</t>
        </is>
      </c>
      <c r="K69" s="16" t="inlineStr"/>
      <c r="L69" t="b">
        <v>0</v>
      </c>
      <c r="M69" s="36" t="n">
        <v>763.4400000000001</v>
      </c>
      <c r="N69" s="51" t="n">
        <v>0.2732037841984147</v>
      </c>
      <c r="O69" s="251" t="n">
        <v>229.4321667092815</v>
      </c>
      <c r="P69" s="251">
        <f>Q69&amp;"%"</f>
        <v/>
      </c>
      <c r="Q69" s="27" t="n">
        <v>10</v>
      </c>
      <c r="R69" s="237" t="n">
        <v>76.34400000000001</v>
      </c>
      <c r="S69" s="237" t="n">
        <v>20.85746970084378</v>
      </c>
      <c r="T69" s="208" t="n">
        <v>208.5746970084378</v>
      </c>
      <c r="U69" s="251" t="n">
        <v>839.7840000000001</v>
      </c>
      <c r="V69" s="35" t="n">
        <v>43419</v>
      </c>
      <c r="W69" s="35" t="n">
        <v>43418</v>
      </c>
      <c r="X69" s="27" t="n"/>
      <c r="Y69" s="210" t="n">
        <v>208.5746970084378</v>
      </c>
      <c r="Z69" s="237" t="n">
        <v>0</v>
      </c>
      <c r="AA69" t="b">
        <v>0</v>
      </c>
    </row>
    <row r="70">
      <c r="B70" s="53" t="n">
        <v>2018</v>
      </c>
      <c r="C70" s="53" t="n">
        <v>69</v>
      </c>
      <c r="D70" s="53">
        <f>B70&amp;"-"&amp;C70</f>
        <v/>
      </c>
      <c r="E70" s="9" t="inlineStr">
        <is>
          <t>6162525369</t>
        </is>
      </c>
      <c r="F70" s="1" t="n">
        <v>43343</v>
      </c>
      <c r="G70" t="inlineStr">
        <is>
          <t>Hutchison Drei Austria GmbH, Brünner Straße 52, 1210 Wien, Österreich</t>
        </is>
      </c>
      <c r="H70" s="16" t="n"/>
      <c r="I70" s="16" t="inlineStr">
        <is>
          <t>Ausgaben</t>
        </is>
      </c>
      <c r="J70" s="16" t="inlineStr">
        <is>
          <t>Telefon/Internet</t>
        </is>
      </c>
      <c r="K70" s="16" t="n"/>
      <c r="L70" t="b">
        <v>0</v>
      </c>
      <c r="M70" s="36" t="n">
        <v>19.23</v>
      </c>
      <c r="N70" s="51" t="n">
        <v>1</v>
      </c>
      <c r="O70" s="251" t="n">
        <v>23.076</v>
      </c>
      <c r="P70" s="251">
        <f>Q70&amp;"%"</f>
        <v/>
      </c>
      <c r="Q70" s="27" t="n">
        <v>20</v>
      </c>
      <c r="R70" s="237" t="n">
        <v>3.846</v>
      </c>
      <c r="S70" s="237" t="n">
        <v>3.846</v>
      </c>
      <c r="T70" s="208" t="n">
        <v>19.23</v>
      </c>
      <c r="U70" s="251" t="n">
        <v>23.076</v>
      </c>
      <c r="V70" s="35" t="n">
        <v>43419</v>
      </c>
      <c r="W70" s="35" t="n">
        <v>43418</v>
      </c>
      <c r="X70" s="27" t="n"/>
      <c r="Y70" s="210" t="n">
        <v>19.23</v>
      </c>
      <c r="Z70" s="237" t="n">
        <v>0</v>
      </c>
      <c r="AA70" t="b">
        <v>0</v>
      </c>
    </row>
    <row r="71">
      <c r="B71" s="53" t="n">
        <v>2018</v>
      </c>
      <c r="C71" s="53" t="n">
        <v>70</v>
      </c>
      <c r="D71" s="53">
        <f>B71&amp;"-"&amp;C71</f>
        <v/>
      </c>
      <c r="E71" s="9" t="inlineStr">
        <is>
          <t>RE0629060</t>
        </is>
      </c>
      <c r="F71" s="1" t="n">
        <v>43346</v>
      </c>
      <c r="G71" s="1" t="inlineStr">
        <is>
          <t>easyname raunz.info</t>
        </is>
      </c>
      <c r="H71" s="16" t="n"/>
      <c r="I71" s="16" t="inlineStr">
        <is>
          <t>Ausgaben</t>
        </is>
      </c>
      <c r="J71" s="16" t="inlineStr">
        <is>
          <t>sonstige Betriebsausgaben</t>
        </is>
      </c>
      <c r="K71" s="16" t="inlineStr"/>
      <c r="L71" t="b">
        <v>0</v>
      </c>
      <c r="M71" s="36" t="n">
        <v>13.25</v>
      </c>
      <c r="N71" s="51" t="n">
        <v>1</v>
      </c>
      <c r="O71" s="251" t="n">
        <v>15.9</v>
      </c>
      <c r="P71" s="251">
        <f>Q71&amp;"%"</f>
        <v/>
      </c>
      <c r="Q71" s="27" t="n">
        <v>20</v>
      </c>
      <c r="R71" s="237" t="n">
        <v>2.65</v>
      </c>
      <c r="S71" s="237" t="n">
        <v>2.65</v>
      </c>
      <c r="T71" s="208" t="n">
        <v>13.25</v>
      </c>
      <c r="U71" s="251" t="n">
        <v>15.9</v>
      </c>
      <c r="V71" s="35" t="n">
        <v>43419</v>
      </c>
      <c r="W71" s="35" t="n">
        <v>43418</v>
      </c>
      <c r="X71" s="27" t="n"/>
      <c r="Y71" s="210" t="n">
        <v>13.25</v>
      </c>
      <c r="Z71" s="237" t="n">
        <v>0</v>
      </c>
      <c r="AA71" t="b">
        <v>0</v>
      </c>
    </row>
    <row r="72">
      <c r="B72" s="53" t="n">
        <v>2018</v>
      </c>
      <c r="C72" s="53" t="n">
        <v>71</v>
      </c>
      <c r="D72" s="53">
        <f>B72&amp;"-"&amp;C72</f>
        <v/>
      </c>
      <c r="E72" s="9" t="inlineStr">
        <is>
          <t>170981024-00</t>
        </is>
      </c>
      <c r="F72" s="1" t="n">
        <v>43347</v>
      </c>
      <c r="G72" t="inlineStr">
        <is>
          <t>UPC Laudongasse</t>
        </is>
      </c>
      <c r="H72" s="16" t="n"/>
      <c r="I72" s="16" t="inlineStr">
        <is>
          <t>Ausgaben</t>
        </is>
      </c>
      <c r="J72" s="16" t="inlineStr">
        <is>
          <t>Telefon/Internet</t>
        </is>
      </c>
      <c r="K72" s="16" t="n"/>
      <c r="L72" t="b">
        <v>0</v>
      </c>
      <c r="M72" s="36">
        <f>27.82+1.04</f>
        <v/>
      </c>
      <c r="N72" s="51">
        <f>2/3</f>
        <v/>
      </c>
      <c r="O72" s="251">
        <f>N72*U72</f>
        <v/>
      </c>
      <c r="P72" s="251">
        <f>Q72&amp;"%"</f>
        <v/>
      </c>
      <c r="Q72" s="27" t="n">
        <v>20</v>
      </c>
      <c r="R72" s="237" t="n">
        <v>6.38</v>
      </c>
      <c r="S72" s="237" t="n">
        <v>2.207687718401091</v>
      </c>
      <c r="T72" s="208">
        <f>N72*M72</f>
        <v/>
      </c>
      <c r="U72" s="251">
        <f>M72*(100%+P72)</f>
        <v/>
      </c>
      <c r="V72" s="35" t="n">
        <v>43235</v>
      </c>
      <c r="W72" s="35" t="n">
        <v>43418</v>
      </c>
      <c r="X72" s="27" t="n"/>
      <c r="Y72" s="210" t="n">
        <v>19.24</v>
      </c>
      <c r="Z72" s="237" t="n">
        <v>0</v>
      </c>
      <c r="AA72" t="b">
        <v>0</v>
      </c>
    </row>
    <row r="73">
      <c r="B73" s="53" t="n">
        <v>2018</v>
      </c>
      <c r="C73" s="53" t="n">
        <v>72</v>
      </c>
      <c r="D73" s="53">
        <f>B73&amp;"-"&amp;C73</f>
        <v/>
      </c>
      <c r="E73" s="61" t="n"/>
      <c r="F73" s="1" t="n">
        <v>43346</v>
      </c>
      <c r="G73" s="59" t="inlineStr">
        <is>
          <t>??VERKÄUFER??: Avantree USB Bluetooth 4.0 Dongle</t>
        </is>
      </c>
      <c r="H73" s="60" t="n"/>
      <c r="I73" s="16" t="inlineStr">
        <is>
          <t>Ausgaben</t>
        </is>
      </c>
      <c r="J73" s="16" t="inlineStr">
        <is>
          <t>sonstige Betriebsausgaben</t>
        </is>
      </c>
      <c r="K73" s="16" t="n"/>
      <c r="L73" t="b">
        <v>0</v>
      </c>
      <c r="M73" s="36" t="n">
        <v>14.06</v>
      </c>
      <c r="N73" s="51" t="n">
        <v>1</v>
      </c>
      <c r="O73" s="251" t="n">
        <v>16.872</v>
      </c>
      <c r="P73" s="251">
        <f>Q73&amp;"%"</f>
        <v/>
      </c>
      <c r="Q73" s="27" t="n">
        <v>20</v>
      </c>
      <c r="R73" s="237" t="n">
        <v>2.812</v>
      </c>
      <c r="S73" s="237" t="n">
        <v>2.812</v>
      </c>
      <c r="T73" s="208" t="n">
        <v>14.06</v>
      </c>
      <c r="U73" s="251" t="n">
        <v>16.872</v>
      </c>
      <c r="V73" s="35" t="n">
        <v>43419</v>
      </c>
      <c r="W73" s="35" t="n">
        <v>43418</v>
      </c>
      <c r="X73" s="27" t="n"/>
      <c r="Y73" s="210" t="n">
        <v>14.06</v>
      </c>
      <c r="Z73" s="237" t="n">
        <v>0</v>
      </c>
      <c r="AA73" t="b">
        <v>0</v>
      </c>
    </row>
    <row r="74">
      <c r="B74" s="53" t="n">
        <v>2018</v>
      </c>
      <c r="C74" s="53" t="n">
        <v>73</v>
      </c>
      <c r="D74" s="53">
        <f>B74&amp;"-"&amp;C74</f>
        <v/>
      </c>
      <c r="E74" s="9" t="inlineStr">
        <is>
          <t>14003587017/40/2018</t>
        </is>
      </c>
      <c r="F74" s="1" t="n">
        <v>43360</v>
      </c>
      <c r="G74" s="1" t="inlineStr">
        <is>
          <t>MONTANA Energie-Handel AT GmbH: Teilzahlungsbetrag Gas</t>
        </is>
      </c>
      <c r="H74" s="16" t="n"/>
      <c r="I74" s="16" t="inlineStr">
        <is>
          <t>Ausgaben</t>
        </is>
      </c>
      <c r="J74" s="16" t="inlineStr">
        <is>
          <t>sonstige Betriebsausgaben</t>
        </is>
      </c>
      <c r="K74" s="16" t="inlineStr"/>
      <c r="L74" t="b">
        <v>0</v>
      </c>
      <c r="M74" s="36" t="n">
        <v>82.5</v>
      </c>
      <c r="N74" s="51" t="n">
        <v>0.2732037841984147</v>
      </c>
      <c r="O74" s="251" t="n">
        <v>27.04717463564306</v>
      </c>
      <c r="P74" s="251">
        <f>Q74&amp;"%"</f>
        <v/>
      </c>
      <c r="Q74" s="27" t="n">
        <v>20</v>
      </c>
      <c r="R74" s="237" t="n">
        <v>16.5</v>
      </c>
      <c r="S74" s="237" t="n">
        <v>4.507862439273843</v>
      </c>
      <c r="T74" s="208" t="n">
        <v>22.53931219636922</v>
      </c>
      <c r="U74" s="251" t="n">
        <v>99</v>
      </c>
      <c r="V74" s="35" t="n">
        <v>43419</v>
      </c>
      <c r="W74" s="35" t="n">
        <v>43418</v>
      </c>
      <c r="X74" s="27" t="n"/>
      <c r="Y74" s="210" t="n">
        <v>22.53931219636922</v>
      </c>
      <c r="Z74" s="237" t="n">
        <v>0</v>
      </c>
      <c r="AA74" t="b">
        <v>0</v>
      </c>
    </row>
    <row r="75">
      <c r="B75" s="53" t="n">
        <v>2018</v>
      </c>
      <c r="C75" s="53" t="n">
        <v>74</v>
      </c>
      <c r="D75" s="53">
        <f>B75&amp;"-"&amp;C75</f>
        <v/>
      </c>
      <c r="E75" s="9" t="inlineStr">
        <is>
          <t>E2EC180919000006</t>
        </is>
      </c>
      <c r="F75" s="1" t="n">
        <v>43363</v>
      </c>
      <c r="G75" s="1" t="inlineStr">
        <is>
          <t>PREMIUM Laudongasse 58 GmbH &amp; Co KG: Dauerrechnung 2018-D: Rückerstattung BK</t>
        </is>
      </c>
      <c r="H75" s="16" t="n"/>
      <c r="I75" s="16" t="inlineStr">
        <is>
          <t>Ausgaben</t>
        </is>
      </c>
      <c r="J75" s="16" t="inlineStr">
        <is>
          <t>Miet- und Pachtaufwand, Leasing</t>
        </is>
      </c>
      <c r="K75" s="16" t="inlineStr"/>
      <c r="L75" t="b">
        <v>0</v>
      </c>
      <c r="M75" s="36" t="n">
        <v>-551.95</v>
      </c>
      <c r="N75" s="51" t="n">
        <v>0.2732037841984147</v>
      </c>
      <c r="O75" s="251" t="n">
        <v>-165.8743115571465</v>
      </c>
      <c r="P75" s="251">
        <f>Q75&amp;"%"</f>
        <v/>
      </c>
      <c r="Q75" s="27" t="n">
        <v>10</v>
      </c>
      <c r="R75" s="237" t="n">
        <v>-55.195</v>
      </c>
      <c r="S75" s="237" t="n">
        <v>-15.0794828688315</v>
      </c>
      <c r="T75" s="208" t="n">
        <v>-150.794828688315</v>
      </c>
      <c r="U75" s="251" t="n">
        <v>-607.1450000000001</v>
      </c>
      <c r="V75" s="35" t="n">
        <v>43419</v>
      </c>
      <c r="W75" s="35" t="n">
        <v>43418</v>
      </c>
      <c r="X75" s="27" t="n"/>
      <c r="Y75" s="210" t="n">
        <v>-150.794828688315</v>
      </c>
      <c r="Z75" s="237" t="n">
        <v>0</v>
      </c>
      <c r="AA75" t="b">
        <v>0</v>
      </c>
    </row>
    <row r="76">
      <c r="B76" s="53" t="n">
        <v>2018</v>
      </c>
      <c r="C76" s="53" t="n">
        <v>75</v>
      </c>
      <c r="D76" s="53">
        <f>B76&amp;"-"&amp;C76</f>
        <v/>
      </c>
      <c r="E76" s="9" t="inlineStr">
        <is>
          <t>536000000024904222</t>
        </is>
      </c>
      <c r="F76" s="1" t="n">
        <v>43364</v>
      </c>
      <c r="G76" s="1" t="inlineStr">
        <is>
          <t>ÖBB Personenverkehr AG Wien St. Pölten &amp; retour</t>
        </is>
      </c>
      <c r="H76" s="16" t="n"/>
      <c r="I76" s="16" t="inlineStr">
        <is>
          <t>Ausgaben</t>
        </is>
      </c>
      <c r="J76" s="16" t="inlineStr">
        <is>
          <t>Reise- und Fahrtspesen inkl. Kilometergeld und Diäten</t>
        </is>
      </c>
      <c r="K76" s="16" t="n"/>
      <c r="L76" t="b">
        <v>0</v>
      </c>
      <c r="M76" s="36" t="n">
        <v>10</v>
      </c>
      <c r="N76" s="51" t="n">
        <v>1</v>
      </c>
      <c r="O76" s="251" t="n">
        <v>11</v>
      </c>
      <c r="P76" s="251">
        <f>Q76&amp;"%"</f>
        <v/>
      </c>
      <c r="Q76" s="27" t="n">
        <v>10</v>
      </c>
      <c r="R76" s="237" t="n">
        <v>1</v>
      </c>
      <c r="S76" s="237" t="n">
        <v>1</v>
      </c>
      <c r="T76" s="208" t="n">
        <v>10</v>
      </c>
      <c r="U76" s="251" t="n">
        <v>11</v>
      </c>
      <c r="V76" s="35" t="n">
        <v>43419</v>
      </c>
      <c r="W76" s="35" t="n">
        <v>43418</v>
      </c>
      <c r="X76" s="27" t="n"/>
      <c r="Y76" s="210" t="n">
        <v>10</v>
      </c>
      <c r="Z76" s="237" t="n">
        <v>0</v>
      </c>
      <c r="AA76" t="b">
        <v>0</v>
      </c>
    </row>
    <row r="77">
      <c r="B77" s="53" t="n">
        <v>2018</v>
      </c>
      <c r="C77" s="53" t="n">
        <v>76</v>
      </c>
      <c r="D77" s="53">
        <f>B77&amp;"-"&amp;C77</f>
        <v/>
      </c>
      <c r="E77" s="9" t="inlineStr">
        <is>
          <t>2018/8058/18</t>
        </is>
      </c>
      <c r="F77" s="1" t="n">
        <v>43368</v>
      </c>
      <c r="G77" s="1" t="inlineStr">
        <is>
          <t>PREMIUM Laudongasse 58 GmbH &amp; Co KG: Dauerrechnung 2018-D</t>
        </is>
      </c>
      <c r="H77" s="16" t="n"/>
      <c r="I77" s="16" t="inlineStr">
        <is>
          <t>Ausgaben</t>
        </is>
      </c>
      <c r="J77" s="16" t="inlineStr">
        <is>
          <t>Miet- und Pachtaufwand, Leasing</t>
        </is>
      </c>
      <c r="K77" s="16" t="inlineStr"/>
      <c r="L77" t="b">
        <v>0</v>
      </c>
      <c r="M77" s="36" t="n">
        <v>763.4400000000001</v>
      </c>
      <c r="N77" s="51" t="n">
        <v>0.2732037841984147</v>
      </c>
      <c r="O77" s="251" t="n">
        <v>229.4321667092815</v>
      </c>
      <c r="P77" s="251">
        <f>Q77&amp;"%"</f>
        <v/>
      </c>
      <c r="Q77" s="27" t="n">
        <v>10</v>
      </c>
      <c r="R77" s="237" t="n">
        <v>76.34400000000001</v>
      </c>
      <c r="S77" s="237" t="n">
        <v>20.85746970084378</v>
      </c>
      <c r="T77" s="208" t="n">
        <v>208.5746970084378</v>
      </c>
      <c r="U77" s="251" t="n">
        <v>839.7840000000001</v>
      </c>
      <c r="V77" s="35" t="n">
        <v>43419</v>
      </c>
      <c r="W77" s="35" t="n">
        <v>43418</v>
      </c>
      <c r="X77" s="27" t="n"/>
      <c r="Y77" s="210" t="n">
        <v>208.5746970084378</v>
      </c>
      <c r="Z77" s="237" t="n">
        <v>0</v>
      </c>
      <c r="AA77" t="b">
        <v>0</v>
      </c>
    </row>
    <row r="78">
      <c r="B78" s="53" t="n">
        <v>2018</v>
      </c>
      <c r="C78" s="53" t="n">
        <v>77</v>
      </c>
      <c r="D78" s="53">
        <f>B78&amp;"-"&amp;C78</f>
        <v/>
      </c>
      <c r="E78" s="9" t="inlineStr">
        <is>
          <t>10800180903823</t>
        </is>
      </c>
      <c r="F78" s="1" t="n">
        <v>43369</v>
      </c>
      <c r="G78" s="1" t="inlineStr">
        <is>
          <t>Österreichische Post AG Brief + Marken</t>
        </is>
      </c>
      <c r="H78" s="16" t="n"/>
      <c r="I78" s="16" t="inlineStr">
        <is>
          <t>Ausgaben</t>
        </is>
      </c>
      <c r="J78" s="16" t="inlineStr">
        <is>
          <t>Porto/Gebühren</t>
        </is>
      </c>
      <c r="K78" s="16" t="n"/>
      <c r="L78" t="b">
        <v>0</v>
      </c>
      <c r="M78" s="36" t="n">
        <v>20.8</v>
      </c>
      <c r="N78" s="51" t="n">
        <v>1</v>
      </c>
      <c r="O78" s="251" t="n">
        <v>20.8</v>
      </c>
      <c r="P78" s="251">
        <f>Q78&amp;"%"</f>
        <v/>
      </c>
      <c r="Q78" s="27" t="n">
        <v>0</v>
      </c>
      <c r="R78" s="237" t="n">
        <v>0</v>
      </c>
      <c r="S78" s="237" t="n">
        <v>0</v>
      </c>
      <c r="T78" s="208" t="n">
        <v>20.8</v>
      </c>
      <c r="U78" s="251" t="n">
        <v>20.8</v>
      </c>
      <c r="V78" s="35" t="n">
        <v>43419</v>
      </c>
      <c r="W78" s="35" t="n">
        <v>43418</v>
      </c>
      <c r="X78" s="27" t="n"/>
      <c r="Y78" s="210" t="n">
        <v>20.8</v>
      </c>
      <c r="Z78" s="237" t="n">
        <v>0</v>
      </c>
      <c r="AA78" t="b">
        <v>0</v>
      </c>
    </row>
    <row r="79">
      <c r="B79" s="53" t="n">
        <v>2018</v>
      </c>
      <c r="C79" s="53" t="n">
        <v>78</v>
      </c>
      <c r="D79" s="53">
        <f>B79&amp;"-"&amp;C79</f>
        <v/>
      </c>
      <c r="E79" s="9" t="inlineStr">
        <is>
          <t>51643619</t>
        </is>
      </c>
      <c r="F79" s="1" t="n">
        <v>43370</v>
      </c>
      <c r="G79" s="1" t="inlineStr">
        <is>
          <t>Office Partner GmbH: Samsung CLX 6260ND/SEE</t>
        </is>
      </c>
      <c r="H79" s="16" t="n"/>
      <c r="I79" s="16" t="inlineStr">
        <is>
          <t>Ausgaben</t>
        </is>
      </c>
      <c r="J79" s="16" t="inlineStr">
        <is>
          <t>Waren, Rohstoffe, Hilfsstoffe</t>
        </is>
      </c>
      <c r="K79" s="16" t="inlineStr">
        <is>
          <t>Weiterverkauf</t>
        </is>
      </c>
      <c r="L79" t="b">
        <v>0</v>
      </c>
      <c r="M79" s="36" t="n">
        <v>299.16</v>
      </c>
      <c r="N79" s="51" t="n">
        <v>1</v>
      </c>
      <c r="O79" s="251" t="n">
        <v>358.992</v>
      </c>
      <c r="P79" s="251">
        <f>Q79&amp;"%"</f>
        <v/>
      </c>
      <c r="Q79" s="27" t="n">
        <v>20</v>
      </c>
      <c r="R79" s="237" t="n">
        <v>59.83200000000001</v>
      </c>
      <c r="S79" s="237" t="n">
        <v>59.83200000000001</v>
      </c>
      <c r="T79" s="208" t="n">
        <v>299.16</v>
      </c>
      <c r="U79" s="251" t="n">
        <v>358.992</v>
      </c>
      <c r="V79" s="35" t="n">
        <v>43419</v>
      </c>
      <c r="W79" s="35" t="n">
        <v>43418</v>
      </c>
      <c r="X79" s="27" t="n"/>
      <c r="Y79" s="210" t="n">
        <v>299.16</v>
      </c>
      <c r="Z79" s="237" t="n">
        <v>0</v>
      </c>
      <c r="AA79" t="b">
        <v>0</v>
      </c>
    </row>
    <row r="80">
      <c r="B80" s="53" t="n">
        <v>2018</v>
      </c>
      <c r="C80" s="53" t="n">
        <v>79</v>
      </c>
      <c r="D80" s="53">
        <f>B80&amp;"-"&amp;C80</f>
        <v/>
      </c>
      <c r="E80" s="9" t="inlineStr">
        <is>
          <t>171443843-00</t>
        </is>
      </c>
      <c r="F80" s="1" t="n">
        <v>43377</v>
      </c>
      <c r="G80" t="inlineStr">
        <is>
          <t>UPC Laudongasse</t>
        </is>
      </c>
      <c r="H80" s="16" t="n"/>
      <c r="I80" s="16" t="inlineStr">
        <is>
          <t>Ausgaben</t>
        </is>
      </c>
      <c r="J80" s="16" t="inlineStr">
        <is>
          <t>Telefon/Internet</t>
        </is>
      </c>
      <c r="K80" s="16" t="n"/>
      <c r="L80" t="b">
        <v>0</v>
      </c>
      <c r="M80" s="36">
        <f>27.82+1.04</f>
        <v/>
      </c>
      <c r="N80" s="51">
        <f>2/3</f>
        <v/>
      </c>
      <c r="O80" s="251">
        <f>N80*U80</f>
        <v/>
      </c>
      <c r="P80" s="251">
        <f>Q80&amp;"%"</f>
        <v/>
      </c>
      <c r="Q80" s="27" t="n">
        <v>20</v>
      </c>
      <c r="R80" s="237" t="n">
        <v>6.38</v>
      </c>
      <c r="S80" s="237" t="n">
        <v>2.207687718401091</v>
      </c>
      <c r="T80" s="208">
        <f>N80*M80</f>
        <v/>
      </c>
      <c r="U80" s="251">
        <f>M80*(100%+P80)</f>
        <v/>
      </c>
      <c r="V80" s="35" t="n">
        <v>43235</v>
      </c>
      <c r="W80" s="35" t="n"/>
      <c r="X80" s="27" t="n"/>
      <c r="Y80" s="210" t="n">
        <v>19.24</v>
      </c>
      <c r="Z80" s="237" t="n">
        <v>0</v>
      </c>
      <c r="AA80" t="b">
        <v>0</v>
      </c>
    </row>
    <row r="81">
      <c r="B81" s="53" t="n">
        <v>2018</v>
      </c>
      <c r="C81" s="53" t="n">
        <v>80</v>
      </c>
      <c r="D81" s="53">
        <f>B81&amp;"-"&amp;C81</f>
        <v/>
      </c>
      <c r="E81" s="9" t="inlineStr">
        <is>
          <t>6164351414</t>
        </is>
      </c>
      <c r="F81" s="1" t="n">
        <v>43378</v>
      </c>
      <c r="G81" t="inlineStr">
        <is>
          <t>Hutchison Drei Austria GmbH, Brünner Straße 52, 1210 Wien, Österreich</t>
        </is>
      </c>
      <c r="H81" s="16" t="n"/>
      <c r="I81" s="16" t="inlineStr">
        <is>
          <t>Ausgaben</t>
        </is>
      </c>
      <c r="J81" s="16" t="inlineStr">
        <is>
          <t>Telefon/Internet</t>
        </is>
      </c>
      <c r="K81" s="16" t="n"/>
      <c r="L81" t="b">
        <v>0</v>
      </c>
      <c r="M81" s="36" t="n">
        <v>15</v>
      </c>
      <c r="N81" s="51" t="n">
        <v>1</v>
      </c>
      <c r="O81" s="251" t="n">
        <v>18</v>
      </c>
      <c r="P81" s="251">
        <f>Q81&amp;"%"</f>
        <v/>
      </c>
      <c r="Q81" s="27" t="n">
        <v>20</v>
      </c>
      <c r="R81" s="237" t="n">
        <v>3</v>
      </c>
      <c r="S81" s="237" t="n">
        <v>3</v>
      </c>
      <c r="T81" s="208" t="n">
        <v>15</v>
      </c>
      <c r="U81" s="251" t="n">
        <v>18</v>
      </c>
      <c r="V81" s="35" t="n">
        <v>43511</v>
      </c>
      <c r="W81" s="35" t="n"/>
      <c r="X81" s="27" t="n"/>
      <c r="Y81" s="210" t="n">
        <v>15</v>
      </c>
      <c r="Z81" s="237" t="n">
        <v>0</v>
      </c>
      <c r="AA81" t="b">
        <v>0</v>
      </c>
    </row>
    <row r="82">
      <c r="B82" s="53" t="n">
        <v>2018</v>
      </c>
      <c r="C82" s="53" t="n">
        <v>81</v>
      </c>
      <c r="D82" s="53">
        <f>B82&amp;"-"&amp;C82</f>
        <v/>
      </c>
      <c r="E82" s="9" t="inlineStr">
        <is>
          <t>71 Fr 18314/18 i</t>
        </is>
      </c>
      <c r="F82" s="1" t="n">
        <v>43382</v>
      </c>
      <c r="G82" s="1" t="inlineStr">
        <is>
          <t>Bezirksgericht Beglaubigung</t>
        </is>
      </c>
      <c r="H82" s="16" t="n"/>
      <c r="I82" s="16" t="inlineStr">
        <is>
          <t>Ausgaben</t>
        </is>
      </c>
      <c r="J82" s="16" t="inlineStr">
        <is>
          <t>Porto/Gebühren</t>
        </is>
      </c>
      <c r="K82" s="16" t="n"/>
      <c r="L82" t="b">
        <v>0</v>
      </c>
      <c r="M82" s="36" t="n">
        <v>64.8</v>
      </c>
      <c r="N82" s="51" t="n">
        <v>1</v>
      </c>
      <c r="O82" s="251" t="n">
        <v>64.8</v>
      </c>
      <c r="P82" s="251">
        <f>Q82&amp;"%"</f>
        <v/>
      </c>
      <c r="Q82" s="27" t="n">
        <v>0</v>
      </c>
      <c r="R82" s="237" t="n">
        <v>0</v>
      </c>
      <c r="S82" s="237" t="n">
        <v>0</v>
      </c>
      <c r="T82" s="208" t="n">
        <v>64.8</v>
      </c>
      <c r="U82" s="251" t="n">
        <v>64.8</v>
      </c>
      <c r="V82" s="35" t="n">
        <v>43511</v>
      </c>
      <c r="W82" s="27" t="n"/>
      <c r="X82" s="27" t="n"/>
      <c r="Y82" s="210" t="n">
        <v>64.8</v>
      </c>
      <c r="Z82" s="237" t="n">
        <v>0</v>
      </c>
      <c r="AA82" t="b">
        <v>0</v>
      </c>
    </row>
    <row r="83">
      <c r="B83" s="53" t="n">
        <v>2018</v>
      </c>
      <c r="C83" s="53" t="n">
        <v>82</v>
      </c>
      <c r="D83" s="53">
        <f>B83&amp;"-"&amp;C83</f>
        <v/>
      </c>
      <c r="E83" s="9" t="inlineStr">
        <is>
          <t>34021907236/40/2018</t>
        </is>
      </c>
      <c r="F83" s="1" t="n">
        <v>43388</v>
      </c>
      <c r="G83" s="1" t="inlineStr">
        <is>
          <t>VERBUND AG, Postfach 8400, 1011 Wien, Österreich: Teilzahlungsvorschreibung</t>
        </is>
      </c>
      <c r="H83" s="16" t="n"/>
      <c r="I83" s="16" t="inlineStr">
        <is>
          <t>Ausgaben</t>
        </is>
      </c>
      <c r="J83" s="16" t="inlineStr">
        <is>
          <t>sonstige Betriebsausgaben</t>
        </is>
      </c>
      <c r="K83" s="16" t="inlineStr"/>
      <c r="L83" t="b">
        <v>0</v>
      </c>
      <c r="M83" s="36" t="n">
        <v>151.67</v>
      </c>
      <c r="N83" s="51" t="n">
        <v>0.2732037841984147</v>
      </c>
      <c r="O83" s="251" t="n">
        <v>49.72418153924828</v>
      </c>
      <c r="P83" s="251">
        <f>Q83&amp;"%"</f>
        <v/>
      </c>
      <c r="Q83" s="27" t="n">
        <v>20</v>
      </c>
      <c r="R83" s="237" t="n">
        <v>30.334</v>
      </c>
      <c r="S83" s="237" t="n">
        <v>8.287363589874712</v>
      </c>
      <c r="T83" s="208" t="n">
        <v>41.43681794937356</v>
      </c>
      <c r="U83" s="251" t="n">
        <v>182.004</v>
      </c>
      <c r="V83" s="35" t="n">
        <v>43511</v>
      </c>
      <c r="W83" s="35" t="n"/>
      <c r="X83" s="27" t="n"/>
      <c r="Y83" s="210" t="n">
        <v>41.43681794937356</v>
      </c>
      <c r="Z83" s="237" t="n">
        <v>0</v>
      </c>
      <c r="AA83" t="b">
        <v>0</v>
      </c>
    </row>
    <row r="84">
      <c r="B84" s="53" t="n">
        <v>2018</v>
      </c>
      <c r="C84" s="53" t="n">
        <v>83</v>
      </c>
      <c r="D84" s="53">
        <f>B84&amp;"-"&amp;C84</f>
        <v/>
      </c>
      <c r="E84" s="9" t="inlineStr">
        <is>
          <t>14003700445/40/2018</t>
        </is>
      </c>
      <c r="F84" s="1" t="n">
        <v>43388</v>
      </c>
      <c r="G84" s="1" t="inlineStr">
        <is>
          <t>MONTANA Energie-Handel AT GmbH: Teilzahlungsbetrag Gas</t>
        </is>
      </c>
      <c r="H84" s="16" t="n"/>
      <c r="I84" s="16" t="inlineStr">
        <is>
          <t>Ausgaben</t>
        </is>
      </c>
      <c r="J84" s="16" t="inlineStr">
        <is>
          <t>sonstige Betriebsausgaben</t>
        </is>
      </c>
      <c r="K84" s="16" t="inlineStr"/>
      <c r="L84" t="b">
        <v>0</v>
      </c>
      <c r="M84" s="36" t="n">
        <v>82.5</v>
      </c>
      <c r="N84" s="51" t="n">
        <v>0.2732037841984147</v>
      </c>
      <c r="O84" s="251" t="n">
        <v>27.04717463564306</v>
      </c>
      <c r="P84" s="251">
        <f>Q84&amp;"%"</f>
        <v/>
      </c>
      <c r="Q84" s="27" t="n">
        <v>20</v>
      </c>
      <c r="R84" s="237" t="n">
        <v>16.5</v>
      </c>
      <c r="S84" s="237" t="n">
        <v>4.507862439273843</v>
      </c>
      <c r="T84" s="208" t="n">
        <v>22.53931219636922</v>
      </c>
      <c r="U84" s="251" t="n">
        <v>99</v>
      </c>
      <c r="V84" s="35" t="n">
        <v>43511</v>
      </c>
      <c r="W84" s="35" t="n"/>
      <c r="X84" s="27" t="n"/>
      <c r="Y84" s="210" t="n">
        <v>22.53931219636922</v>
      </c>
      <c r="Z84" s="237" t="n">
        <v>0</v>
      </c>
      <c r="AA84" t="b">
        <v>0</v>
      </c>
    </row>
    <row r="85">
      <c r="B85" s="53" t="n">
        <v>2018</v>
      </c>
      <c r="C85" s="53" t="n">
        <v>84</v>
      </c>
      <c r="D85" s="53">
        <f>B85&amp;"-"&amp;C85</f>
        <v/>
      </c>
      <c r="E85" s="9" t="inlineStr">
        <is>
          <t>RE0641423</t>
        </is>
      </c>
      <c r="F85" s="1" t="n">
        <v>43382</v>
      </c>
      <c r="G85" s="1" t="inlineStr">
        <is>
          <t>easyname stokol.at</t>
        </is>
      </c>
      <c r="H85" s="16" t="n"/>
      <c r="I85" s="16" t="inlineStr">
        <is>
          <t>Ausgaben</t>
        </is>
      </c>
      <c r="J85" s="16" t="inlineStr">
        <is>
          <t>sonstige Betriebsausgaben</t>
        </is>
      </c>
      <c r="K85" s="16" t="inlineStr"/>
      <c r="L85" t="b">
        <v>0</v>
      </c>
      <c r="M85" s="36" t="n">
        <v>12.42</v>
      </c>
      <c r="N85" s="51" t="n">
        <v>1</v>
      </c>
      <c r="O85" s="251" t="n">
        <v>14.904</v>
      </c>
      <c r="P85" s="251">
        <f>Q85&amp;"%"</f>
        <v/>
      </c>
      <c r="Q85" s="27" t="n">
        <v>20</v>
      </c>
      <c r="R85" s="237" t="n">
        <v>2.484</v>
      </c>
      <c r="S85" s="237" t="n">
        <v>2.484</v>
      </c>
      <c r="T85" s="208" t="n">
        <v>12.42</v>
      </c>
      <c r="U85" s="251" t="n">
        <v>14.904</v>
      </c>
      <c r="V85" s="35" t="n">
        <v>43511</v>
      </c>
      <c r="W85" s="35" t="n"/>
      <c r="X85" s="27" t="n"/>
      <c r="Y85" s="210" t="n">
        <v>12.42</v>
      </c>
      <c r="Z85" s="237" t="n">
        <v>0</v>
      </c>
      <c r="AA85" t="b">
        <v>0</v>
      </c>
    </row>
    <row r="86">
      <c r="B86" s="53" t="n">
        <v>2018</v>
      </c>
      <c r="C86" s="53" t="n">
        <v>85</v>
      </c>
      <c r="D86" s="53">
        <f>B86&amp;"-"&amp;C86</f>
        <v/>
      </c>
      <c r="E86" s="9" t="inlineStr">
        <is>
          <t>E05006T0YG</t>
        </is>
      </c>
      <c r="F86" s="1" t="n">
        <v>43381</v>
      </c>
      <c r="G86" t="inlineStr">
        <is>
          <t>Microsoft Ireland Operations Ltd, One Microsoft Place, South County Business Park Leopardstown Dublin 18, D18 P521 Irland: Office 365 Business Essentials (jährlich)</t>
        </is>
      </c>
      <c r="H86" s="16" t="n"/>
      <c r="I86" s="16" t="inlineStr">
        <is>
          <t>Ausgaben</t>
        </is>
      </c>
      <c r="J86" s="16" t="inlineStr">
        <is>
          <t>sonstige Betriebsausgaben</t>
        </is>
      </c>
      <c r="K86" s="16" t="inlineStr"/>
      <c r="L86" t="b">
        <v>0</v>
      </c>
      <c r="M86" s="36" t="n">
        <v>100.8</v>
      </c>
      <c r="N86" s="51" t="n">
        <v>1</v>
      </c>
      <c r="O86" s="251" t="n">
        <v>120.96</v>
      </c>
      <c r="P86" s="251">
        <f>Q86&amp;"%"</f>
        <v/>
      </c>
      <c r="Q86" s="27" t="n">
        <v>20</v>
      </c>
      <c r="R86" s="237" t="n">
        <v>20.16</v>
      </c>
      <c r="S86" s="237" t="n">
        <v>20.16</v>
      </c>
      <c r="T86" s="208" t="n">
        <v>100.8</v>
      </c>
      <c r="U86" s="251" t="n">
        <v>120.96</v>
      </c>
      <c r="V86" s="35" t="n">
        <v>43511</v>
      </c>
      <c r="W86" s="35" t="n"/>
      <c r="X86" s="27" t="n"/>
      <c r="Y86" s="210" t="n">
        <v>100.8</v>
      </c>
      <c r="Z86" s="237" t="n">
        <v>0</v>
      </c>
      <c r="AA86" t="b">
        <v>0</v>
      </c>
    </row>
    <row r="87">
      <c r="B87" s="53" t="n">
        <v>2018</v>
      </c>
      <c r="C87" s="53" t="n">
        <v>86</v>
      </c>
      <c r="D87" s="53">
        <f>B87&amp;"-"&amp;C87</f>
        <v/>
      </c>
      <c r="E87" s="9" t="inlineStr">
        <is>
          <t>A18-7592</t>
        </is>
      </c>
      <c r="F87" s="1" t="n">
        <v>43385</v>
      </c>
      <c r="G87" s="1" t="inlineStr">
        <is>
          <t>Faxonline GmbH</t>
        </is>
      </c>
      <c r="H87" s="16" t="n"/>
      <c r="I87" s="16" t="inlineStr">
        <is>
          <t>Ausgaben</t>
        </is>
      </c>
      <c r="J87" s="16" t="inlineStr">
        <is>
          <t>sonstige Betriebsausgaben</t>
        </is>
      </c>
      <c r="K87" s="16" t="inlineStr"/>
      <c r="L87" t="b">
        <v>0</v>
      </c>
      <c r="M87" s="36" t="n">
        <v>6.67</v>
      </c>
      <c r="N87" s="51" t="n">
        <v>1</v>
      </c>
      <c r="O87" s="251" t="n">
        <v>8.004</v>
      </c>
      <c r="P87" s="251">
        <f>Q87&amp;"%"</f>
        <v/>
      </c>
      <c r="Q87" s="27" t="n">
        <v>20</v>
      </c>
      <c r="R87" s="237" t="n">
        <v>1.334</v>
      </c>
      <c r="S87" s="237" t="n">
        <v>1.334</v>
      </c>
      <c r="T87" s="208" t="n">
        <v>6.67</v>
      </c>
      <c r="U87" s="251" t="n">
        <v>8.004</v>
      </c>
      <c r="V87" s="35" t="n">
        <v>43511</v>
      </c>
      <c r="W87" s="35" t="n"/>
      <c r="X87" s="27" t="n"/>
      <c r="Y87" s="210" t="n">
        <v>6.67</v>
      </c>
      <c r="Z87" s="237" t="n">
        <v>0</v>
      </c>
      <c r="AA87" t="b">
        <v>0</v>
      </c>
    </row>
    <row r="88">
      <c r="B88" s="53" t="n">
        <v>2018</v>
      </c>
      <c r="C88" s="53" t="n">
        <v>87</v>
      </c>
      <c r="D88" s="53">
        <f>B88&amp;"-"&amp;C88</f>
        <v/>
      </c>
      <c r="E88" s="9" t="inlineStr">
        <is>
          <t>71 Fr 18314/18 i</t>
        </is>
      </c>
      <c r="F88" s="1" t="n">
        <v>43397</v>
      </c>
      <c r="G88" s="1" t="inlineStr">
        <is>
          <t>Bezirksgericht FB-Eintragung</t>
        </is>
      </c>
      <c r="H88" s="16" t="n"/>
      <c r="I88" s="16" t="inlineStr">
        <is>
          <t>Ausgaben</t>
        </is>
      </c>
      <c r="J88" s="16" t="inlineStr">
        <is>
          <t>Porto/Gebühren</t>
        </is>
      </c>
      <c r="K88" s="16" t="n"/>
      <c r="L88" t="b">
        <v>0</v>
      </c>
      <c r="M88" s="36" t="n">
        <v>91.40000000000001</v>
      </c>
      <c r="N88" s="51" t="n">
        <v>1</v>
      </c>
      <c r="O88" s="251" t="n">
        <v>109.68</v>
      </c>
      <c r="P88" s="251">
        <f>Q88&amp;"%"</f>
        <v/>
      </c>
      <c r="Q88" s="27" t="n">
        <v>20</v>
      </c>
      <c r="R88" s="237" t="n">
        <v>18.28</v>
      </c>
      <c r="S88" s="237" t="n">
        <v>18.28</v>
      </c>
      <c r="T88" s="208" t="n">
        <v>91.40000000000001</v>
      </c>
      <c r="U88" s="251" t="n">
        <v>109.68</v>
      </c>
      <c r="V88" s="35" t="n">
        <v>43511</v>
      </c>
      <c r="W88" s="35" t="n"/>
      <c r="X88" s="27" t="n"/>
      <c r="Y88" s="210" t="n">
        <v>91.40000000000001</v>
      </c>
      <c r="Z88" s="237" t="n">
        <v>0</v>
      </c>
      <c r="AA88" t="b">
        <v>0</v>
      </c>
    </row>
    <row r="89">
      <c r="B89" s="53" t="n">
        <v>2018</v>
      </c>
      <c r="C89" s="53" t="n">
        <v>88</v>
      </c>
      <c r="D89" s="53">
        <f>B89&amp;"-"&amp;C89</f>
        <v/>
      </c>
      <c r="E89" s="9" t="inlineStr">
        <is>
          <t>E2EC180919000006</t>
        </is>
      </c>
      <c r="F89" s="1" t="n">
        <v>43398</v>
      </c>
      <c r="G89" s="1" t="inlineStr">
        <is>
          <t>PREMIUM Laudongasse 58 GmbH &amp; Co KG: Dauerrechnung 2018-D</t>
        </is>
      </c>
      <c r="H89" s="16" t="n"/>
      <c r="I89" s="16" t="inlineStr">
        <is>
          <t>Ausgaben</t>
        </is>
      </c>
      <c r="J89" s="16" t="inlineStr">
        <is>
          <t>Miet- und Pachtaufwand, Leasing</t>
        </is>
      </c>
      <c r="K89" s="16" t="inlineStr"/>
      <c r="L89" t="b">
        <v>0</v>
      </c>
      <c r="M89" s="36" t="n">
        <v>763.4400000000001</v>
      </c>
      <c r="N89" s="51" t="n">
        <v>0.2732037841984147</v>
      </c>
      <c r="O89" s="251" t="n">
        <v>229.4321667092815</v>
      </c>
      <c r="P89" s="251">
        <f>Q89&amp;"%"</f>
        <v/>
      </c>
      <c r="Q89" s="27" t="n">
        <v>10</v>
      </c>
      <c r="R89" s="237" t="n">
        <v>76.34400000000001</v>
      </c>
      <c r="S89" s="237" t="n">
        <v>20.85746970084378</v>
      </c>
      <c r="T89" s="208" t="n">
        <v>208.5746970084378</v>
      </c>
      <c r="U89" s="251" t="n">
        <v>839.7840000000001</v>
      </c>
      <c r="V89" s="35" t="n">
        <v>43511</v>
      </c>
      <c r="W89" s="35" t="n"/>
      <c r="X89" s="27" t="n"/>
      <c r="Y89" s="210" t="n">
        <v>208.5746970084378</v>
      </c>
      <c r="Z89" s="237" t="n">
        <v>0</v>
      </c>
      <c r="AA89" t="b">
        <v>0</v>
      </c>
    </row>
    <row r="90">
      <c r="B90" s="53" t="n">
        <v>2018</v>
      </c>
      <c r="C90" s="53" t="n">
        <v>89</v>
      </c>
      <c r="D90" s="53">
        <f>B90&amp;"-"&amp;C90</f>
        <v/>
      </c>
      <c r="E90" s="9" t="inlineStr">
        <is>
          <t>IVIP28712590</t>
        </is>
      </c>
      <c r="F90" s="1" t="n">
        <v>43403</v>
      </c>
      <c r="G90" s="1" t="inlineStr">
        <is>
          <t>Envato Pty LTd, PO Box 16122, Collins St. West, Victoria   8007, Australia, EU VAT ID EU826409867</t>
        </is>
      </c>
      <c r="H90" s="16" t="n"/>
      <c r="I90" s="16" t="inlineStr">
        <is>
          <t>Ausgaben</t>
        </is>
      </c>
      <c r="J90" s="16" t="inlineStr">
        <is>
          <t>Werbe- und Repräsentationsaufwand</t>
        </is>
      </c>
      <c r="K90" s="16" t="n"/>
      <c r="L90" t="b">
        <v>0</v>
      </c>
      <c r="M90" s="36" t="n">
        <v>12.56</v>
      </c>
      <c r="N90" s="51" t="n">
        <v>1</v>
      </c>
      <c r="O90" s="251" t="n">
        <v>12.56</v>
      </c>
      <c r="P90" s="251">
        <f>Q90&amp;"%"</f>
        <v/>
      </c>
      <c r="Q90" s="27" t="n">
        <v>0</v>
      </c>
      <c r="R90" s="237" t="n">
        <v>0</v>
      </c>
      <c r="S90" s="237" t="n">
        <v>0</v>
      </c>
      <c r="T90" s="208" t="n">
        <v>12.56</v>
      </c>
      <c r="U90" s="251" t="n">
        <v>12.56</v>
      </c>
      <c r="V90" s="35" t="n">
        <v>43511</v>
      </c>
      <c r="W90" s="35" t="n"/>
      <c r="X90" s="27" t="n">
        <v>20</v>
      </c>
      <c r="Y90" s="210" t="n">
        <v>12.56</v>
      </c>
      <c r="Z90" s="237" t="n">
        <v>2.512</v>
      </c>
      <c r="AA90" t="b">
        <v>0</v>
      </c>
    </row>
    <row r="91">
      <c r="B91" s="53" t="n">
        <v>2018</v>
      </c>
      <c r="C91" s="53" t="n">
        <v>90</v>
      </c>
      <c r="D91" s="53">
        <f>B91&amp;"-"&amp;C91</f>
        <v/>
      </c>
      <c r="E91" s="9" t="inlineStr">
        <is>
          <t>6166179078</t>
        </is>
      </c>
      <c r="F91" s="1" t="n">
        <v>43406</v>
      </c>
      <c r="G91" t="inlineStr">
        <is>
          <t>Hutchison Drei Austria GmbH, Brünner Straße 52, 1210 Wien, Österreich</t>
        </is>
      </c>
      <c r="H91" s="16" t="n"/>
      <c r="I91" s="16" t="inlineStr">
        <is>
          <t>Ausgaben</t>
        </is>
      </c>
      <c r="J91" s="16" t="inlineStr">
        <is>
          <t>Telefon/Internet</t>
        </is>
      </c>
      <c r="K91" s="16" t="n"/>
      <c r="L91" t="b">
        <v>0</v>
      </c>
      <c r="M91" s="36" t="n">
        <v>17.32</v>
      </c>
      <c r="N91" s="51" t="n">
        <v>1</v>
      </c>
      <c r="O91" s="251" t="n">
        <v>20.784</v>
      </c>
      <c r="P91" s="251">
        <f>Q91&amp;"%"</f>
        <v/>
      </c>
      <c r="Q91" s="27" t="n">
        <v>20</v>
      </c>
      <c r="R91" s="237" t="n">
        <v>3.464</v>
      </c>
      <c r="S91" s="237" t="n">
        <v>3.464</v>
      </c>
      <c r="T91" s="208" t="n">
        <v>17.32</v>
      </c>
      <c r="U91" s="251" t="n">
        <v>20.784</v>
      </c>
      <c r="V91" s="35" t="n">
        <v>43511</v>
      </c>
      <c r="W91" s="35" t="n"/>
      <c r="X91" s="27" t="n"/>
      <c r="Y91" s="210" t="n">
        <v>17.32</v>
      </c>
      <c r="Z91" s="237" t="n">
        <v>0</v>
      </c>
      <c r="AA91" t="b">
        <v>0</v>
      </c>
    </row>
    <row r="92">
      <c r="B92" s="53" t="n">
        <v>2018</v>
      </c>
      <c r="C92" s="53" t="n">
        <v>91</v>
      </c>
      <c r="D92" s="53">
        <f>B92&amp;"-"&amp;C92</f>
        <v/>
      </c>
      <c r="E92" s="9" t="inlineStr">
        <is>
          <t>IEE2018004924624</t>
        </is>
      </c>
      <c r="F92" s="1" t="n">
        <v>43406</v>
      </c>
      <c r="G92" s="1" t="inlineStr">
        <is>
          <t>Adobe Systems Software Ireland Ltd., 2-6 Riverwalk, Citywest Business Park, Dublin 24, Ireland</t>
        </is>
      </c>
      <c r="H92" s="16" t="n"/>
      <c r="I92" s="16" t="inlineStr">
        <is>
          <t>Ausgaben</t>
        </is>
      </c>
      <c r="J92" s="16" t="inlineStr">
        <is>
          <t>Werbe- und Repräsentationsaufwand</t>
        </is>
      </c>
      <c r="K92" s="16" t="n"/>
      <c r="L92" t="b">
        <v>0</v>
      </c>
      <c r="M92" s="36" t="n">
        <v>29.99</v>
      </c>
      <c r="N92" s="51" t="n">
        <v>1</v>
      </c>
      <c r="O92" s="251" t="n">
        <v>29.99</v>
      </c>
      <c r="P92" s="251">
        <f>Q92&amp;"%"</f>
        <v/>
      </c>
      <c r="Q92" s="27" t="n">
        <v>0</v>
      </c>
      <c r="R92" s="237" t="n">
        <v>0</v>
      </c>
      <c r="S92" s="237" t="n">
        <v>0</v>
      </c>
      <c r="T92" s="208" t="n">
        <v>29.99</v>
      </c>
      <c r="U92" s="251" t="n">
        <v>29.99</v>
      </c>
      <c r="V92" s="35" t="n">
        <v>43511</v>
      </c>
      <c r="W92" s="27" t="n"/>
      <c r="X92" s="27" t="n">
        <v>20</v>
      </c>
      <c r="Y92" s="210" t="n">
        <v>29.99</v>
      </c>
      <c r="Z92" s="237" t="n">
        <v>5.998</v>
      </c>
      <c r="AA92" t="b">
        <v>0</v>
      </c>
    </row>
    <row r="93">
      <c r="B93" s="53" t="n">
        <v>2018</v>
      </c>
      <c r="C93" s="53" t="n">
        <v>92</v>
      </c>
      <c r="D93" s="53">
        <f>B93&amp;"-"&amp;C93</f>
        <v/>
      </c>
      <c r="E93" s="9" t="inlineStr">
        <is>
          <t>171913896-00</t>
        </is>
      </c>
      <c r="F93" s="1" t="n">
        <v>43409</v>
      </c>
      <c r="G93" t="inlineStr">
        <is>
          <t>UPC Laudongasse</t>
        </is>
      </c>
      <c r="H93" s="16" t="n"/>
      <c r="I93" s="16" t="inlineStr">
        <is>
          <t>Ausgaben</t>
        </is>
      </c>
      <c r="J93" s="16" t="inlineStr">
        <is>
          <t>Telefon/Internet</t>
        </is>
      </c>
      <c r="K93" s="16" t="n"/>
      <c r="L93" t="b">
        <v>0</v>
      </c>
      <c r="M93" s="36">
        <f>27.82+1.04</f>
        <v/>
      </c>
      <c r="N93" s="51">
        <f>2/3</f>
        <v/>
      </c>
      <c r="O93" s="251">
        <f>N93*U93</f>
        <v/>
      </c>
      <c r="P93" s="251">
        <f>Q93&amp;"%"</f>
        <v/>
      </c>
      <c r="Q93" s="27" t="n">
        <v>20</v>
      </c>
      <c r="R93" s="237" t="n">
        <v>6.38</v>
      </c>
      <c r="S93" s="237" t="n">
        <v>2.207687718401091</v>
      </c>
      <c r="T93" s="208">
        <f>N93*M93</f>
        <v/>
      </c>
      <c r="U93" s="251">
        <f>M93*(100%+P93)</f>
        <v/>
      </c>
      <c r="V93" s="35" t="n">
        <v>43235</v>
      </c>
      <c r="W93" s="35" t="n"/>
      <c r="X93" s="27" t="n"/>
      <c r="Y93" s="210" t="n">
        <v>19.24</v>
      </c>
      <c r="Z93" s="237" t="n">
        <v>0</v>
      </c>
      <c r="AA93" t="b">
        <v>0</v>
      </c>
    </row>
    <row r="94">
      <c r="B94" s="53" t="n">
        <v>2018</v>
      </c>
      <c r="C94" s="53" t="n">
        <v>93</v>
      </c>
      <c r="D94" s="53">
        <f>B94&amp;"-"&amp;C94</f>
        <v/>
      </c>
      <c r="E94" s="9" t="inlineStr">
        <is>
          <t>701930</t>
        </is>
      </c>
      <c r="F94" s="1" t="n">
        <v>43411</v>
      </c>
      <c r="G94" s="1" t="inlineStr">
        <is>
          <t>Lemon Technologies GmbH, Unterweißenbach 181, 8330 Feldbach: Seagate Skyhawk 8TB ST8000VX0022</t>
        </is>
      </c>
      <c r="H94" s="16" t="n"/>
      <c r="I94" s="16" t="inlineStr">
        <is>
          <t>Ausgaben</t>
        </is>
      </c>
      <c r="J94" s="16" t="inlineStr">
        <is>
          <t>Waren, Rohstoffe, Hilfsstoffe</t>
        </is>
      </c>
      <c r="K94" s="16" t="inlineStr">
        <is>
          <t>Weiterverkauf</t>
        </is>
      </c>
      <c r="L94" t="b">
        <v>0</v>
      </c>
      <c r="M94" s="36" t="n">
        <v>202.17</v>
      </c>
      <c r="N94" s="51" t="n">
        <v>1</v>
      </c>
      <c r="O94" s="251" t="n">
        <v>242.604</v>
      </c>
      <c r="P94" s="251">
        <f>Q94&amp;"%"</f>
        <v/>
      </c>
      <c r="Q94" s="27" t="n">
        <v>20</v>
      </c>
      <c r="R94" s="237" t="n">
        <v>40.434</v>
      </c>
      <c r="S94" s="237" t="n">
        <v>40.434</v>
      </c>
      <c r="T94" s="208" t="n">
        <v>202.17</v>
      </c>
      <c r="U94" s="251" t="n">
        <v>242.604</v>
      </c>
      <c r="V94" s="35" t="n">
        <v>43511</v>
      </c>
      <c r="W94" s="35" t="n"/>
      <c r="X94" s="27" t="n"/>
      <c r="Y94" s="210" t="n">
        <v>202.17</v>
      </c>
      <c r="Z94" s="237" t="n">
        <v>0</v>
      </c>
      <c r="AA94" t="b">
        <v>0</v>
      </c>
    </row>
    <row r="95">
      <c r="B95" s="53" t="n">
        <v>2018</v>
      </c>
      <c r="C95" s="53" t="n">
        <v>94</v>
      </c>
      <c r="D95" s="53">
        <f>B95&amp;"-"&amp;C95</f>
        <v/>
      </c>
      <c r="E95" s="9" t="inlineStr">
        <is>
          <t>13337582</t>
        </is>
      </c>
      <c r="F95" s="1" t="n">
        <v>43411</v>
      </c>
      <c r="G95" t="inlineStr">
        <is>
          <t>Primus office products HandelsgmbH &amp; Co KG, Margaretengürtel 44,1050 Wien: Tonershop, TOSM-CLP360MULTI.O</t>
        </is>
      </c>
      <c r="H95" s="16" t="n"/>
      <c r="I95" s="16" t="inlineStr">
        <is>
          <t>Ausgaben</t>
        </is>
      </c>
      <c r="J95" s="16" t="inlineStr">
        <is>
          <t>Waren, Rohstoffe, Hilfsstoffe</t>
        </is>
      </c>
      <c r="K95" s="16" t="inlineStr">
        <is>
          <t>Weiterverkauf</t>
        </is>
      </c>
      <c r="L95" t="b">
        <v>0</v>
      </c>
      <c r="M95" s="36" t="n">
        <v>126.08</v>
      </c>
      <c r="N95" s="51" t="n">
        <v>1</v>
      </c>
      <c r="O95" s="251" t="n">
        <v>151.296</v>
      </c>
      <c r="P95" s="251">
        <f>Q95&amp;"%"</f>
        <v/>
      </c>
      <c r="Q95" s="27" t="n">
        <v>20</v>
      </c>
      <c r="R95" s="237" t="n">
        <v>25.216</v>
      </c>
      <c r="S95" s="237" t="n">
        <v>25.216</v>
      </c>
      <c r="T95" s="208" t="n">
        <v>126.08</v>
      </c>
      <c r="U95" s="251" t="n">
        <v>151.296</v>
      </c>
      <c r="V95" s="35" t="n">
        <v>43511</v>
      </c>
      <c r="W95" s="35" t="n"/>
      <c r="X95" s="27" t="n"/>
      <c r="Y95" s="210" t="n">
        <v>126.08</v>
      </c>
      <c r="Z95" s="237" t="n">
        <v>0</v>
      </c>
      <c r="AA95" t="b">
        <v>0</v>
      </c>
    </row>
    <row r="96">
      <c r="B96" s="53" t="n">
        <v>2018</v>
      </c>
      <c r="C96" s="53" t="n">
        <v>95</v>
      </c>
      <c r="D96" s="53">
        <f>B96&amp;"-"&amp;C96</f>
        <v/>
      </c>
      <c r="E96" s="9" t="inlineStr">
        <is>
          <t>AT1756279</t>
        </is>
      </c>
      <c r="F96" s="1" t="n">
        <v>43413</v>
      </c>
      <c r="G96" s="1" t="inlineStr">
        <is>
          <t>Flyeralarm  online Druck GmbH, Brown-Boveri-Str. 8, 2351 Wr. Neudorf</t>
        </is>
      </c>
      <c r="H96" s="16" t="n"/>
      <c r="I96" s="16" t="inlineStr">
        <is>
          <t>Ausgaben</t>
        </is>
      </c>
      <c r="J96" s="16" t="inlineStr">
        <is>
          <t>Werbe- und Repräsentationsaufwand</t>
        </is>
      </c>
      <c r="K96" s="16" t="n"/>
      <c r="L96" t="b">
        <v>0</v>
      </c>
      <c r="M96" s="36" t="n">
        <v>31.01</v>
      </c>
      <c r="N96" s="51" t="n">
        <v>1</v>
      </c>
      <c r="O96" s="251" t="n">
        <v>37.212</v>
      </c>
      <c r="P96" s="251">
        <f>Q96&amp;"%"</f>
        <v/>
      </c>
      <c r="Q96" s="27" t="n">
        <v>20</v>
      </c>
      <c r="R96" s="237" t="n">
        <v>6.202000000000001</v>
      </c>
      <c r="S96" s="237" t="n">
        <v>6.202000000000001</v>
      </c>
      <c r="T96" s="208" t="n">
        <v>31.01</v>
      </c>
      <c r="U96" s="251" t="n">
        <v>37.212</v>
      </c>
      <c r="V96" s="35" t="n">
        <v>43511</v>
      </c>
      <c r="W96" s="35" t="n"/>
      <c r="X96" s="27" t="n"/>
      <c r="Y96" s="210" t="n">
        <v>31.01</v>
      </c>
      <c r="Z96" s="237" t="n">
        <v>0</v>
      </c>
      <c r="AA96" t="b">
        <v>0</v>
      </c>
    </row>
    <row r="97">
      <c r="B97" s="53" t="n">
        <v>2018</v>
      </c>
      <c r="C97" s="53" t="n">
        <v>96</v>
      </c>
      <c r="D97" s="53">
        <f>B97&amp;"-"&amp;C97</f>
        <v/>
      </c>
      <c r="E97" s="9" t="inlineStr">
        <is>
          <t>FDC6360477</t>
        </is>
      </c>
      <c r="F97" s="1" t="n">
        <v>43416</v>
      </c>
      <c r="G97" t="inlineStr">
        <is>
          <t>fonts.com Monotype, 600 Unicorn Park Drive, Woburn, MA 01801 USA, VAT ID EU826009166</t>
        </is>
      </c>
      <c r="H97" s="16" t="n"/>
      <c r="I97" s="16" t="inlineStr">
        <is>
          <t>Ausgaben</t>
        </is>
      </c>
      <c r="J97" s="16" t="inlineStr">
        <is>
          <t>Werbe- und Repräsentationsaufwand</t>
        </is>
      </c>
      <c r="K97" s="16" t="n"/>
      <c r="L97" t="b">
        <v>0</v>
      </c>
      <c r="M97" s="36" t="n">
        <v>35</v>
      </c>
      <c r="N97" s="51" t="n">
        <v>1</v>
      </c>
      <c r="O97" s="251" t="n">
        <v>35</v>
      </c>
      <c r="P97" s="251">
        <f>Q97&amp;"%"</f>
        <v/>
      </c>
      <c r="Q97" s="27" t="n">
        <v>0</v>
      </c>
      <c r="R97" s="237" t="n">
        <v>0</v>
      </c>
      <c r="S97" s="237" t="n">
        <v>0</v>
      </c>
      <c r="T97" s="208" t="n">
        <v>35</v>
      </c>
      <c r="U97" s="251" t="n">
        <v>35</v>
      </c>
      <c r="V97" s="35" t="n">
        <v>43511</v>
      </c>
      <c r="W97" s="27" t="n"/>
      <c r="X97" s="27" t="n">
        <v>20</v>
      </c>
      <c r="Y97" s="210" t="n">
        <v>35</v>
      </c>
      <c r="Z97" s="237" t="n">
        <v>7</v>
      </c>
      <c r="AA97" t="b">
        <v>0</v>
      </c>
    </row>
    <row r="98">
      <c r="B98" s="53" t="n">
        <v>2018</v>
      </c>
      <c r="C98" s="53" t="n">
        <v>97</v>
      </c>
      <c r="D98" s="53">
        <f>B98&amp;"-"&amp;C98</f>
        <v/>
      </c>
      <c r="E98" s="9" t="inlineStr">
        <is>
          <t>FDC6360492</t>
        </is>
      </c>
      <c r="F98" s="1" t="n">
        <v>43416</v>
      </c>
      <c r="G98" t="inlineStr">
        <is>
          <t>fonts.com Monotype, 600 Unicorn Park Drive, Woburn, MA 01801 USA, VAT ID EU826009166</t>
        </is>
      </c>
      <c r="H98" s="16" t="n"/>
      <c r="I98" s="16" t="inlineStr">
        <is>
          <t>Ausgaben</t>
        </is>
      </c>
      <c r="J98" s="16" t="inlineStr">
        <is>
          <t>Werbe- und Repräsentationsaufwand</t>
        </is>
      </c>
      <c r="K98" s="16" t="n"/>
      <c r="L98" t="b">
        <v>0</v>
      </c>
      <c r="M98" s="36" t="n">
        <v>35</v>
      </c>
      <c r="N98" s="51" t="n">
        <v>1</v>
      </c>
      <c r="O98" s="251" t="n">
        <v>35</v>
      </c>
      <c r="P98" s="251">
        <f>Q98&amp;"%"</f>
        <v/>
      </c>
      <c r="Q98" s="27" t="n">
        <v>0</v>
      </c>
      <c r="R98" s="237" t="n">
        <v>0</v>
      </c>
      <c r="S98" s="237" t="n">
        <v>0</v>
      </c>
      <c r="T98" s="208" t="n">
        <v>35</v>
      </c>
      <c r="U98" s="251" t="n">
        <v>35</v>
      </c>
      <c r="V98" s="35" t="n">
        <v>43511</v>
      </c>
      <c r="W98" s="27" t="n"/>
      <c r="X98" s="27" t="n">
        <v>20</v>
      </c>
      <c r="Y98" s="210" t="n">
        <v>35</v>
      </c>
      <c r="Z98" s="237" t="n">
        <v>7</v>
      </c>
      <c r="AA98" t="b">
        <v>0</v>
      </c>
    </row>
    <row r="99">
      <c r="B99" s="53" t="n">
        <v>2018</v>
      </c>
      <c r="C99" s="53" t="n">
        <v>98</v>
      </c>
      <c r="D99" s="53">
        <f>B99&amp;"-"&amp;C99</f>
        <v/>
      </c>
      <c r="E99" s="9" t="inlineStr">
        <is>
          <t>14003807434/40/2018</t>
        </is>
      </c>
      <c r="F99" s="1" t="n">
        <v>43419</v>
      </c>
      <c r="G99" s="1" t="inlineStr">
        <is>
          <t>MONTANA Energie-Handel AT GmbH: Teilzahlungsbetrag Gas + Jahresabrechnung (94-66,83=27,17 inkl. 20% USt.)</t>
        </is>
      </c>
      <c r="H99" s="16" t="n"/>
      <c r="I99" s="16" t="inlineStr">
        <is>
          <t>Ausgaben</t>
        </is>
      </c>
      <c r="J99" s="16" t="inlineStr">
        <is>
          <t>sonstige Betriebsausgaben</t>
        </is>
      </c>
      <c r="K99" s="16" t="n"/>
      <c r="L99" t="b">
        <v>0</v>
      </c>
      <c r="M99" s="36" t="n">
        <v>22.64</v>
      </c>
      <c r="N99" s="51" t="n">
        <v>0.2732037841984147</v>
      </c>
      <c r="O99" s="251" t="n">
        <v>7.422400409102532</v>
      </c>
      <c r="P99" s="251">
        <f>Q99&amp;"%"</f>
        <v/>
      </c>
      <c r="Q99" s="27" t="n">
        <v>20</v>
      </c>
      <c r="R99" s="237" t="n">
        <v>4.528</v>
      </c>
      <c r="S99" s="237" t="n">
        <v>1.237066734850422</v>
      </c>
      <c r="T99" s="208" t="n">
        <v>6.18533367425211</v>
      </c>
      <c r="U99" s="251" t="n">
        <v>27.168</v>
      </c>
      <c r="V99" s="35" t="n">
        <v>43511</v>
      </c>
      <c r="W99" s="27" t="n"/>
      <c r="X99" s="27" t="n"/>
      <c r="Y99" s="210" t="n">
        <v>6.18533367425211</v>
      </c>
      <c r="Z99" s="237" t="n">
        <v>0</v>
      </c>
      <c r="AA99" t="b">
        <v>0</v>
      </c>
    </row>
    <row r="100">
      <c r="B100" s="53" t="n">
        <v>2018</v>
      </c>
      <c r="C100" s="53" t="n">
        <v>99</v>
      </c>
      <c r="D100" s="53">
        <f>B100&amp;"-"&amp;C100</f>
        <v/>
      </c>
      <c r="E100" s="9" t="inlineStr">
        <is>
          <t>2/81/82354875~13113 0</t>
        </is>
      </c>
      <c r="F100" s="1" t="n">
        <v>43420</v>
      </c>
      <c r="G100" s="1" t="inlineStr">
        <is>
          <t>AON Austria GmbH: UBIT Berufshaftpflicht-/Rechtschutzversicherung</t>
        </is>
      </c>
      <c r="H100" s="16" t="n"/>
      <c r="I100" s="16" t="inlineStr">
        <is>
          <t>Ausgaben</t>
        </is>
      </c>
      <c r="J100" s="16" t="inlineStr">
        <is>
          <t>sonstige Betriebsausgaben</t>
        </is>
      </c>
      <c r="K100" s="16" t="n"/>
      <c r="L100" t="b">
        <v>0</v>
      </c>
      <c r="M100" s="36" t="n">
        <v>117.8</v>
      </c>
      <c r="N100" s="51" t="n">
        <v>1</v>
      </c>
      <c r="O100" s="251" t="n">
        <v>117.8</v>
      </c>
      <c r="P100" s="251">
        <f>Q100&amp;"%"</f>
        <v/>
      </c>
      <c r="Q100" s="27" t="n">
        <v>0</v>
      </c>
      <c r="R100" s="237" t="n">
        <v>0</v>
      </c>
      <c r="S100" s="237" t="n">
        <v>0</v>
      </c>
      <c r="T100" s="208" t="n">
        <v>117.8</v>
      </c>
      <c r="U100" s="251" t="n">
        <v>117.8</v>
      </c>
      <c r="V100" s="35" t="n">
        <v>43511</v>
      </c>
      <c r="W100" s="27" t="n"/>
      <c r="X100" s="27" t="n"/>
      <c r="Y100" s="210" t="n">
        <v>117.8</v>
      </c>
      <c r="Z100" s="237" t="n">
        <v>0</v>
      </c>
      <c r="AA100" t="b">
        <v>0</v>
      </c>
    </row>
    <row r="101">
      <c r="B101" s="53" t="n">
        <v>2018</v>
      </c>
      <c r="C101" s="53" t="n">
        <v>100</v>
      </c>
      <c r="D101" s="53">
        <f>B101&amp;"-"&amp;C101</f>
        <v/>
      </c>
      <c r="E101" s="9" t="inlineStr">
        <is>
          <t>3647872/0</t>
        </is>
      </c>
      <c r="F101" s="1" t="n">
        <v>43425</v>
      </c>
      <c r="G101" s="1" t="inlineStr">
        <is>
          <t>Niederösterreichische Versicherung AG, Neue Herrengasse 10, 3100 St. Pölten; Polizze 3647872/0</t>
        </is>
      </c>
      <c r="H101" s="16" t="n"/>
      <c r="I101" s="16" t="inlineStr">
        <is>
          <t>Ausgaben</t>
        </is>
      </c>
      <c r="J101" s="16" t="inlineStr">
        <is>
          <t>sonstige Betriebsausgaben</t>
        </is>
      </c>
      <c r="K101" s="16" t="n"/>
      <c r="L101" t="b">
        <v>0</v>
      </c>
      <c r="M101" s="36" t="n">
        <v>81.75</v>
      </c>
      <c r="N101" s="51" t="n">
        <v>0.2732037841984147</v>
      </c>
      <c r="O101" s="251" t="n">
        <v>22.33440935822041</v>
      </c>
      <c r="P101" s="251">
        <f>Q101&amp;"%"</f>
        <v/>
      </c>
      <c r="Q101" s="27" t="n">
        <v>0</v>
      </c>
      <c r="R101" s="237" t="n">
        <v>0</v>
      </c>
      <c r="S101" s="237" t="n">
        <v>0</v>
      </c>
      <c r="T101" s="208" t="n">
        <v>22.33440935822041</v>
      </c>
      <c r="U101" s="251" t="n">
        <v>81.75</v>
      </c>
      <c r="V101" s="35" t="n">
        <v>43511</v>
      </c>
      <c r="W101" s="27" t="n"/>
      <c r="X101" s="27" t="n"/>
      <c r="Y101" s="210" t="n">
        <v>22.33440935822041</v>
      </c>
      <c r="Z101" s="237" t="n">
        <v>0</v>
      </c>
      <c r="AA101" t="b">
        <v>0</v>
      </c>
    </row>
    <row r="102">
      <c r="B102" s="53" t="n">
        <v>2018</v>
      </c>
      <c r="C102" s="53" t="n">
        <v>101</v>
      </c>
      <c r="D102" s="53">
        <f>B102&amp;"-"&amp;C102</f>
        <v/>
      </c>
      <c r="E102" s="9" t="inlineStr">
        <is>
          <t>704781</t>
        </is>
      </c>
      <c r="F102" s="1" t="n">
        <v>43426</v>
      </c>
      <c r="G102" s="1" t="inlineStr">
        <is>
          <t>Lemon Technologies GmbH, Unterweißenbach 181, 8330 Feldbach: HP Toner Samsung 4 Artikel</t>
        </is>
      </c>
      <c r="H102" s="16" t="n"/>
      <c r="I102" s="16" t="inlineStr">
        <is>
          <t>Ausgaben</t>
        </is>
      </c>
      <c r="J102" s="16" t="inlineStr">
        <is>
          <t>Waren, Rohstoffe, Hilfsstoffe</t>
        </is>
      </c>
      <c r="K102" s="16" t="inlineStr">
        <is>
          <t>Weiterverkauf</t>
        </is>
      </c>
      <c r="L102" t="b">
        <v>0</v>
      </c>
      <c r="M102" s="36" t="n">
        <v>243.78</v>
      </c>
      <c r="N102" s="51" t="n">
        <v>1</v>
      </c>
      <c r="O102" s="251" t="n">
        <v>292.536</v>
      </c>
      <c r="P102" s="251">
        <f>Q102&amp;"%"</f>
        <v/>
      </c>
      <c r="Q102" s="27" t="n">
        <v>20</v>
      </c>
      <c r="R102" s="237" t="n">
        <v>48.756</v>
      </c>
      <c r="S102" s="237" t="n">
        <v>48.756</v>
      </c>
      <c r="T102" s="208" t="n">
        <v>243.78</v>
      </c>
      <c r="U102" s="251" t="n">
        <v>292.536</v>
      </c>
      <c r="V102" s="35" t="n">
        <v>43511</v>
      </c>
      <c r="W102" s="27" t="n"/>
      <c r="X102" s="27" t="n"/>
      <c r="Y102" s="210" t="n">
        <v>243.78</v>
      </c>
      <c r="Z102" s="237" t="n">
        <v>0</v>
      </c>
      <c r="AA102" t="b">
        <v>0</v>
      </c>
    </row>
    <row r="103">
      <c r="B103" s="53" t="n">
        <v>2018</v>
      </c>
      <c r="C103" s="53" t="n">
        <v>102</v>
      </c>
      <c r="D103" s="53">
        <f>B103&amp;"-"&amp;C103</f>
        <v/>
      </c>
      <c r="E103" s="9" t="inlineStr">
        <is>
          <t>AEU-INV-AT-2018-27151801</t>
        </is>
      </c>
      <c r="F103" s="1" t="n">
        <v>43426</v>
      </c>
      <c r="G103" s="1" t="inlineStr">
        <is>
          <t>(Gutschrift) Amazon EU Sàrl, 5 Rue Plaetis, L-2338, Luxemburg: Gutschrift für Strong TV (Kauf Vorjahr, Reklamation)</t>
        </is>
      </c>
      <c r="H103" s="16" t="n"/>
      <c r="I103" s="16" t="inlineStr">
        <is>
          <t>Einnahmen</t>
        </is>
      </c>
      <c r="J103" s="16" t="inlineStr">
        <is>
          <t>Übrige Erträge</t>
        </is>
      </c>
      <c r="K103" s="16" t="n"/>
      <c r="L103" t="b">
        <v>0</v>
      </c>
      <c r="M103" s="36" t="n">
        <v>-238.45</v>
      </c>
      <c r="N103" s="51" t="n">
        <v>1</v>
      </c>
      <c r="O103" s="251" t="n">
        <v>286.14</v>
      </c>
      <c r="P103" s="251">
        <f>Q103&amp;"%"</f>
        <v/>
      </c>
      <c r="Q103" s="27" t="n">
        <v>20</v>
      </c>
      <c r="R103" s="237" t="n">
        <v>-47.69</v>
      </c>
      <c r="S103" s="237" t="n">
        <v>47.69</v>
      </c>
      <c r="T103" s="208" t="n">
        <v>238.45</v>
      </c>
      <c r="U103" s="251" t="n">
        <v>-286.14</v>
      </c>
      <c r="V103" s="35" t="n">
        <v>43511</v>
      </c>
      <c r="W103" s="27" t="n"/>
      <c r="X103" s="27" t="n"/>
      <c r="Y103" s="210" t="n">
        <v>-238.45</v>
      </c>
      <c r="Z103" s="237" t="n">
        <v>0</v>
      </c>
      <c r="AA103" t="b">
        <v>0</v>
      </c>
    </row>
    <row r="104">
      <c r="B104" s="53" t="n">
        <v>2018</v>
      </c>
      <c r="C104" s="53" t="n">
        <v>103</v>
      </c>
      <c r="D104" s="53">
        <f>B104&amp;"-"&amp;C104</f>
        <v/>
      </c>
      <c r="E104" s="9" t="inlineStr">
        <is>
          <t>AEU-INV-AT-2018-27151801</t>
        </is>
      </c>
      <c r="F104" s="1" t="n">
        <v>43427</v>
      </c>
      <c r="G104" s="1" t="inlineStr">
        <is>
          <t>Amazon EU Sàrl, 5 Rue Plaetis, L-2338, Luxemburg: Strong SRT 40FZ4003N</t>
        </is>
      </c>
      <c r="H104" s="16" t="n"/>
      <c r="I104" s="16" t="inlineStr">
        <is>
          <t>Ausgaben</t>
        </is>
      </c>
      <c r="J104" s="16" t="inlineStr">
        <is>
          <t>Waren, Rohstoffe, Hilfsstoffe</t>
        </is>
      </c>
      <c r="K104" s="16" t="inlineStr">
        <is>
          <t>Weiterverkauf</t>
        </is>
      </c>
      <c r="L104" t="b">
        <v>0</v>
      </c>
      <c r="M104" s="36" t="n">
        <v>188.19</v>
      </c>
      <c r="N104" s="51" t="n">
        <v>1</v>
      </c>
      <c r="O104" s="251" t="n">
        <v>225.828</v>
      </c>
      <c r="P104" s="251">
        <f>Q104&amp;"%"</f>
        <v/>
      </c>
      <c r="Q104" s="27" t="n">
        <v>20</v>
      </c>
      <c r="R104" s="237" t="n">
        <v>37.63800000000001</v>
      </c>
      <c r="S104" s="237" t="n">
        <v>37.63800000000001</v>
      </c>
      <c r="T104" s="208" t="n">
        <v>188.19</v>
      </c>
      <c r="U104" s="251" t="n">
        <v>225.828</v>
      </c>
      <c r="V104" s="35" t="n">
        <v>43511</v>
      </c>
      <c r="W104" s="27" t="n"/>
      <c r="X104" s="27" t="n"/>
      <c r="Y104" s="210" t="n">
        <v>188.19</v>
      </c>
      <c r="Z104" s="237" t="n">
        <v>0</v>
      </c>
      <c r="AA104" t="b">
        <v>0</v>
      </c>
    </row>
    <row r="105">
      <c r="B105" s="53" t="n">
        <v>2018</v>
      </c>
      <c r="C105" s="53" t="n">
        <v>104</v>
      </c>
      <c r="D105" s="53">
        <f>B105&amp;"-"&amp;C105</f>
        <v/>
      </c>
      <c r="E105" s="9" t="inlineStr">
        <is>
          <t>2018/8058/18</t>
        </is>
      </c>
      <c r="F105" s="1" t="n">
        <v>43430</v>
      </c>
      <c r="G105" s="1" t="inlineStr">
        <is>
          <t>PREMIUM Laudongasse 58 GmbH &amp; Co KG: Dauerrechnung 2018-D</t>
        </is>
      </c>
      <c r="H105" s="16" t="n"/>
      <c r="I105" s="16" t="inlineStr">
        <is>
          <t>Ausgaben</t>
        </is>
      </c>
      <c r="J105" s="16" t="inlineStr">
        <is>
          <t>Miet- und Pachtaufwand, Leasing</t>
        </is>
      </c>
      <c r="K105" s="16" t="n"/>
      <c r="L105" t="b">
        <v>0</v>
      </c>
      <c r="M105" s="36" t="n">
        <v>763.4400000000001</v>
      </c>
      <c r="N105" s="51" t="n">
        <v>0.2732037841984147</v>
      </c>
      <c r="O105" s="251" t="n">
        <v>229.4321667092815</v>
      </c>
      <c r="P105" s="251">
        <f>Q105&amp;"%"</f>
        <v/>
      </c>
      <c r="Q105" s="27" t="n">
        <v>10</v>
      </c>
      <c r="R105" s="237" t="n">
        <v>76.34400000000001</v>
      </c>
      <c r="S105" s="237" t="n">
        <v>20.85746970084378</v>
      </c>
      <c r="T105" s="208" t="n">
        <v>208.5746970084378</v>
      </c>
      <c r="U105" s="251" t="n">
        <v>839.7840000000001</v>
      </c>
      <c r="V105" s="35" t="n">
        <v>43511</v>
      </c>
      <c r="W105" s="27" t="n"/>
      <c r="X105" s="27" t="n"/>
      <c r="Y105" s="210" t="n">
        <v>208.5746970084378</v>
      </c>
      <c r="Z105" s="237" t="n">
        <v>0</v>
      </c>
      <c r="AA105" t="b">
        <v>0</v>
      </c>
    </row>
    <row r="106">
      <c r="B106" s="53" t="n">
        <v>2018</v>
      </c>
      <c r="C106" s="53" t="n">
        <v>105</v>
      </c>
      <c r="D106" s="53">
        <f>B106&amp;"-"&amp;C106</f>
        <v/>
      </c>
      <c r="E106" s="9" t="inlineStr">
        <is>
          <t>2017/75</t>
        </is>
      </c>
      <c r="F106" s="1" t="n">
        <v>43430</v>
      </c>
      <c r="G106" s="1" t="inlineStr">
        <is>
          <t>Blaha Wilhelm Steuerberater, 1080 Wien, Roter Hof 1a</t>
        </is>
      </c>
      <c r="H106" s="16" t="n"/>
      <c r="I106" s="16" t="inlineStr">
        <is>
          <t>Ausgaben</t>
        </is>
      </c>
      <c r="J106" s="16" t="inlineStr">
        <is>
          <t>sonstige Betriebsausgaben</t>
        </is>
      </c>
      <c r="K106" s="16" t="n"/>
      <c r="L106" t="b">
        <v>0</v>
      </c>
      <c r="M106" s="36" t="n">
        <v>855</v>
      </c>
      <c r="N106" s="51" t="n">
        <v>1</v>
      </c>
      <c r="O106" s="251" t="n">
        <v>1026</v>
      </c>
      <c r="P106" s="251">
        <f>Q106&amp;"%"</f>
        <v/>
      </c>
      <c r="Q106" s="27" t="n">
        <v>20</v>
      </c>
      <c r="R106" s="237" t="n">
        <v>171</v>
      </c>
      <c r="S106" s="237" t="n">
        <v>171</v>
      </c>
      <c r="T106" s="208" t="n">
        <v>855</v>
      </c>
      <c r="U106" s="251" t="n">
        <v>1026</v>
      </c>
      <c r="V106" s="35" t="n">
        <v>43511</v>
      </c>
      <c r="W106" s="27" t="n"/>
      <c r="X106" s="27" t="n"/>
      <c r="Y106" s="210" t="n">
        <v>855</v>
      </c>
      <c r="Z106" s="237" t="n">
        <v>0</v>
      </c>
      <c r="AA106" t="b">
        <v>0</v>
      </c>
    </row>
    <row r="107">
      <c r="B107" s="53" t="n">
        <v>2018</v>
      </c>
      <c r="C107" s="53" t="n">
        <v>106</v>
      </c>
      <c r="D107" s="53">
        <f>B107&amp;"-"&amp;C107</f>
        <v/>
      </c>
      <c r="E107" s="9" t="inlineStr">
        <is>
          <t>10800281166026</t>
        </is>
      </c>
      <c r="F107" s="1" t="n">
        <v>43431</v>
      </c>
      <c r="G107" s="1" t="inlineStr">
        <is>
          <t>Österreichische Post AG Paket (Küche &amp; Co.)</t>
        </is>
      </c>
      <c r="H107" s="16" t="n"/>
      <c r="I107" s="16" t="inlineStr">
        <is>
          <t>Ausgaben</t>
        </is>
      </c>
      <c r="J107" s="16" t="inlineStr">
        <is>
          <t>Porto/Gebühren</t>
        </is>
      </c>
      <c r="K107" s="16" t="n"/>
      <c r="L107" t="b">
        <v>0</v>
      </c>
      <c r="M107" s="36" t="n">
        <v>11.5</v>
      </c>
      <c r="N107" s="51" t="n">
        <v>1</v>
      </c>
      <c r="O107" s="251" t="n">
        <v>11.5</v>
      </c>
      <c r="P107" s="251">
        <f>Q107&amp;"%"</f>
        <v/>
      </c>
      <c r="Q107" s="27" t="n">
        <v>0</v>
      </c>
      <c r="R107" s="237" t="n">
        <v>0</v>
      </c>
      <c r="S107" s="237" t="n">
        <v>0</v>
      </c>
      <c r="T107" s="208" t="n">
        <v>11.5</v>
      </c>
      <c r="U107" s="251" t="n">
        <v>11.5</v>
      </c>
      <c r="V107" s="35" t="n">
        <v>43511</v>
      </c>
      <c r="W107" s="27" t="n"/>
      <c r="X107" s="27" t="n"/>
      <c r="Y107" s="210" t="n">
        <v>11.5</v>
      </c>
      <c r="Z107" s="237" t="n">
        <v>0</v>
      </c>
      <c r="AA107" t="b">
        <v>0</v>
      </c>
    </row>
    <row r="108">
      <c r="B108" s="53" t="n">
        <v>2018</v>
      </c>
      <c r="C108" s="53" t="n">
        <v>107</v>
      </c>
      <c r="D108" s="53">
        <f>B108&amp;"-"&amp;C108</f>
        <v/>
      </c>
      <c r="E108" s="9" t="inlineStr">
        <is>
          <t>PRM318110005752</t>
        </is>
      </c>
      <c r="F108" s="1" t="n">
        <v>43433</v>
      </c>
      <c r="G108" s="1" t="inlineStr">
        <is>
          <t>XING AG, D-20354 Hamburg, Dammtorstrasse 30: Xing Premium 3 Monate</t>
        </is>
      </c>
      <c r="H108" s="16" t="n"/>
      <c r="I108" s="16" t="inlineStr">
        <is>
          <t>Ausgaben</t>
        </is>
      </c>
      <c r="J108" s="16" t="inlineStr">
        <is>
          <t>Werbe- und Repräsentationsaufwand</t>
        </is>
      </c>
      <c r="K108" s="16" t="n"/>
      <c r="L108" t="b">
        <v>0</v>
      </c>
      <c r="M108" s="36" t="n">
        <v>24.88</v>
      </c>
      <c r="N108" s="51" t="n">
        <v>1</v>
      </c>
      <c r="O108" s="251" t="n">
        <v>24.88</v>
      </c>
      <c r="P108" s="251">
        <f>Q108&amp;"%"</f>
        <v/>
      </c>
      <c r="Q108" s="27" t="n">
        <v>0</v>
      </c>
      <c r="R108" s="237" t="n">
        <v>0</v>
      </c>
      <c r="S108" s="237" t="n">
        <v>0</v>
      </c>
      <c r="T108" s="208" t="n">
        <v>24.88</v>
      </c>
      <c r="U108" s="251" t="n">
        <v>24.88</v>
      </c>
      <c r="V108" s="35" t="n">
        <v>43511</v>
      </c>
      <c r="W108" s="27" t="n"/>
      <c r="X108" s="27" t="n">
        <v>20</v>
      </c>
      <c r="Y108" s="210" t="n">
        <v>24.88</v>
      </c>
      <c r="Z108" s="237" t="n">
        <v>4.976</v>
      </c>
      <c r="AA108" t="b">
        <v>0</v>
      </c>
    </row>
    <row r="109">
      <c r="B109" s="53" t="n">
        <v>2018</v>
      </c>
      <c r="C109" s="53" t="n">
        <v>108</v>
      </c>
      <c r="D109" s="53">
        <f>B109&amp;"-"&amp;C109</f>
        <v/>
      </c>
      <c r="E109" s="9" t="inlineStr">
        <is>
          <t>172374600-00</t>
        </is>
      </c>
      <c r="F109" s="1" t="n">
        <v>43437</v>
      </c>
      <c r="G109" t="inlineStr">
        <is>
          <t>UPC Laudongasse</t>
        </is>
      </c>
      <c r="H109" s="16" t="n"/>
      <c r="I109" s="16" t="inlineStr">
        <is>
          <t>Ausgaben</t>
        </is>
      </c>
      <c r="J109" s="16" t="inlineStr">
        <is>
          <t>Telefon/Internet</t>
        </is>
      </c>
      <c r="K109" s="16" t="n"/>
      <c r="L109" t="b">
        <v>0</v>
      </c>
      <c r="M109" s="36">
        <f>27.82+1.04</f>
        <v/>
      </c>
      <c r="N109" s="51">
        <f>2/3</f>
        <v/>
      </c>
      <c r="O109" s="251">
        <f>N109*U109</f>
        <v/>
      </c>
      <c r="P109" s="251">
        <f>Q109&amp;"%"</f>
        <v/>
      </c>
      <c r="Q109" s="27" t="n">
        <v>20</v>
      </c>
      <c r="R109" s="237" t="n">
        <v>6.38</v>
      </c>
      <c r="S109" s="237" t="n">
        <v>2.207687718401091</v>
      </c>
      <c r="T109" s="208">
        <f>N109*M109</f>
        <v/>
      </c>
      <c r="U109" s="251">
        <f>M109*(100%+P109)</f>
        <v/>
      </c>
      <c r="V109" s="35" t="n">
        <v>43235</v>
      </c>
      <c r="W109" s="35" t="n"/>
      <c r="X109" s="27" t="n"/>
      <c r="Y109" s="210" t="n">
        <v>19.24</v>
      </c>
      <c r="Z109" s="237" t="n">
        <v>0</v>
      </c>
      <c r="AA109" t="b">
        <v>0</v>
      </c>
    </row>
    <row r="110">
      <c r="B110" s="53" t="n">
        <v>2018</v>
      </c>
      <c r="C110" s="53" t="n">
        <v>109</v>
      </c>
      <c r="D110" s="53">
        <f>B110&amp;"-"&amp;C110</f>
        <v/>
      </c>
      <c r="E110" s="9" t="inlineStr">
        <is>
          <t>6168007977</t>
        </is>
      </c>
      <c r="F110" s="1" t="n">
        <v>43437</v>
      </c>
      <c r="G110" t="inlineStr">
        <is>
          <t>Hutchison Drei Austria GmbH, Brünner Straße 52, 1210 Wien, Österreich</t>
        </is>
      </c>
      <c r="H110" s="16" t="n"/>
      <c r="I110" s="16" t="inlineStr">
        <is>
          <t>Ausgaben</t>
        </is>
      </c>
      <c r="J110" s="16" t="inlineStr">
        <is>
          <t>Telefon/Internet</t>
        </is>
      </c>
      <c r="K110" s="16" t="n"/>
      <c r="L110" t="b">
        <v>0</v>
      </c>
      <c r="M110" s="36" t="n">
        <v>15</v>
      </c>
      <c r="N110" s="51" t="n">
        <v>1</v>
      </c>
      <c r="O110" s="251" t="n">
        <v>18</v>
      </c>
      <c r="P110" s="251">
        <f>Q110&amp;"%"</f>
        <v/>
      </c>
      <c r="Q110" s="27" t="n">
        <v>20</v>
      </c>
      <c r="R110" s="237" t="n">
        <v>3</v>
      </c>
      <c r="S110" s="237" t="n">
        <v>3</v>
      </c>
      <c r="T110" s="208" t="n">
        <v>15</v>
      </c>
      <c r="U110" s="251" t="n">
        <v>18</v>
      </c>
      <c r="V110" s="35" t="n">
        <v>43511</v>
      </c>
      <c r="W110" s="27" t="n"/>
      <c r="X110" s="27" t="n"/>
      <c r="Y110" s="210" t="n">
        <v>15</v>
      </c>
      <c r="Z110" s="237" t="n">
        <v>0</v>
      </c>
      <c r="AA110" t="b">
        <v>0</v>
      </c>
    </row>
    <row r="111">
      <c r="B111" s="53" t="n">
        <v>2018</v>
      </c>
      <c r="C111" s="53" t="n">
        <v>110</v>
      </c>
      <c r="D111" s="53">
        <f>B111&amp;"-"&amp;C111</f>
        <v/>
      </c>
      <c r="E111" s="9" t="inlineStr">
        <is>
          <t>34022881671/40/2018</t>
        </is>
      </c>
      <c r="F111" s="1" t="n">
        <v>43437</v>
      </c>
      <c r="G111" s="1" t="inlineStr">
        <is>
          <t>VERBUND AG, Postfach 8400, 1011 Wien, Österreich: Teilzahlungsvorschreibung</t>
        </is>
      </c>
      <c r="H111" s="16" t="n"/>
      <c r="I111" s="16" t="inlineStr">
        <is>
          <t>Ausgaben</t>
        </is>
      </c>
      <c r="J111" s="16" t="inlineStr">
        <is>
          <t>sonstige Betriebsausgaben</t>
        </is>
      </c>
      <c r="K111" s="16" t="inlineStr"/>
      <c r="L111" t="b">
        <v>0</v>
      </c>
      <c r="M111" s="36" t="n">
        <v>149.17</v>
      </c>
      <c r="N111" s="51" t="n">
        <v>0.2732037841984147</v>
      </c>
      <c r="O111" s="251" t="n">
        <v>48.90457018665303</v>
      </c>
      <c r="P111" s="251">
        <f>Q111&amp;"%"</f>
        <v/>
      </c>
      <c r="Q111" s="27" t="n">
        <v>20</v>
      </c>
      <c r="R111" s="237" t="n">
        <v>29.834</v>
      </c>
      <c r="S111" s="237" t="n">
        <v>8.150761697775504</v>
      </c>
      <c r="T111" s="208" t="n">
        <v>40.75380848887752</v>
      </c>
      <c r="U111" s="251" t="n">
        <v>179.004</v>
      </c>
      <c r="V111" s="35" t="n">
        <v>43511</v>
      </c>
      <c r="W111" s="27" t="n"/>
      <c r="X111" s="27" t="n"/>
      <c r="Y111" s="210" t="n">
        <v>40.75380848887752</v>
      </c>
      <c r="Z111" s="237" t="n">
        <v>0</v>
      </c>
      <c r="AA111" t="b">
        <v>0</v>
      </c>
    </row>
    <row r="112">
      <c r="B112" s="53" t="n">
        <v>2018</v>
      </c>
      <c r="C112" s="53" t="n">
        <v>111</v>
      </c>
      <c r="D112" s="53">
        <f>B112&amp;"-"&amp;C112</f>
        <v/>
      </c>
      <c r="E112" s="9" t="inlineStr">
        <is>
          <t>AEU-INV-AT-2018-30447820</t>
        </is>
      </c>
      <c r="F112" s="1" t="n">
        <v>43451</v>
      </c>
      <c r="G112" s="1" t="inlineStr">
        <is>
          <t>Amazon EU Sàrl, 5 Rue Plaetis, L-2338, Luxemburg: Buch "der agile Festpreis" (Achtung: Weder Rechnung noch Zahlung geben exten Preis dieser Betriebsausgabe wieder)</t>
        </is>
      </c>
      <c r="H112" s="16" t="n"/>
      <c r="I112" s="16" t="inlineStr">
        <is>
          <t>Ausgaben</t>
        </is>
      </c>
      <c r="J112" s="16" t="inlineStr">
        <is>
          <t>Fachliteratur</t>
        </is>
      </c>
      <c r="K112" s="16" t="n"/>
      <c r="L112" t="b">
        <v>0</v>
      </c>
      <c r="M112" s="36" t="n">
        <v>31.93</v>
      </c>
      <c r="N112" s="51" t="n">
        <v>1</v>
      </c>
      <c r="O112" s="251" t="n">
        <v>38.316</v>
      </c>
      <c r="P112" s="251">
        <f>Q112&amp;"%"</f>
        <v/>
      </c>
      <c r="Q112" s="27" t="n">
        <v>20</v>
      </c>
      <c r="R112" s="237" t="n">
        <v>6.386</v>
      </c>
      <c r="S112" s="237" t="n">
        <v>6.386</v>
      </c>
      <c r="T112" s="208" t="n">
        <v>31.93</v>
      </c>
      <c r="U112" s="251" t="n">
        <v>38.316</v>
      </c>
      <c r="V112" s="35" t="n">
        <v>43511</v>
      </c>
      <c r="W112" s="27" t="n"/>
      <c r="X112" s="27" t="n"/>
      <c r="Y112" s="210" t="n">
        <v>31.93</v>
      </c>
      <c r="Z112" s="237" t="n">
        <v>0</v>
      </c>
      <c r="AA112" t="b">
        <v>0</v>
      </c>
    </row>
    <row r="113">
      <c r="B113" s="53" t="n">
        <v>2018</v>
      </c>
      <c r="C113" s="53" t="n">
        <v>112</v>
      </c>
      <c r="D113" s="53">
        <f>B113&amp;"-"&amp;C113</f>
        <v/>
      </c>
      <c r="E113" s="9" t="inlineStr">
        <is>
          <t>0893-20181203-01-3380</t>
        </is>
      </c>
      <c r="F113" s="1" t="n">
        <v>43451</v>
      </c>
      <c r="G113" s="1" t="inlineStr">
        <is>
          <t>Libro (Überwiesen an Eva Kolbitsch)</t>
        </is>
      </c>
      <c r="H113" s="16" t="n"/>
      <c r="I113" s="16" t="inlineStr">
        <is>
          <t>Ausgaben</t>
        </is>
      </c>
      <c r="J113" s="16" t="inlineStr">
        <is>
          <t>Büromaterial</t>
        </is>
      </c>
      <c r="K113" s="16" t="n"/>
      <c r="L113" t="b">
        <v>0</v>
      </c>
      <c r="M113" s="36" t="n">
        <v>23.25</v>
      </c>
      <c r="N113" s="51" t="n">
        <v>1</v>
      </c>
      <c r="O113" s="251" t="n">
        <v>27.9</v>
      </c>
      <c r="P113" s="251">
        <f>Q113&amp;"%"</f>
        <v/>
      </c>
      <c r="Q113" s="27" t="n">
        <v>20</v>
      </c>
      <c r="R113" s="237" t="n">
        <v>4.65</v>
      </c>
      <c r="S113" s="237" t="n">
        <v>4.65</v>
      </c>
      <c r="T113" s="208" t="n">
        <v>23.25</v>
      </c>
      <c r="U113" s="251" t="n">
        <v>27.9</v>
      </c>
      <c r="V113" s="35" t="n">
        <v>43511</v>
      </c>
      <c r="W113" s="27" t="n"/>
      <c r="X113" s="27" t="n"/>
      <c r="Y113" s="210" t="n">
        <v>23.25</v>
      </c>
      <c r="Z113" s="237" t="n">
        <v>0</v>
      </c>
      <c r="AA113" t="b">
        <v>0</v>
      </c>
    </row>
    <row r="114">
      <c r="B114" s="53" t="n">
        <v>2018</v>
      </c>
      <c r="C114" s="53" t="n">
        <v>113</v>
      </c>
      <c r="D114" s="53">
        <f>B114&amp;"-"&amp;C114</f>
        <v/>
      </c>
      <c r="E114" s="9" t="inlineStr">
        <is>
          <t>14003915689/40/2018</t>
        </is>
      </c>
      <c r="F114" s="1" t="n">
        <v>43451</v>
      </c>
      <c r="G114" s="1" t="inlineStr">
        <is>
          <t>MONTANA Energie-Handel AT GmbH: Teilzahlungsbetrag Gas + Jahresabrechnung (94-66,83=27,17 inkl. 20% USt.)</t>
        </is>
      </c>
      <c r="H114" s="16" t="n"/>
      <c r="I114" s="16" t="inlineStr">
        <is>
          <t>Ausgaben</t>
        </is>
      </c>
      <c r="J114" s="16" t="inlineStr">
        <is>
          <t>sonstige Betriebsausgaben</t>
        </is>
      </c>
      <c r="K114" s="16" t="n"/>
      <c r="L114" t="b">
        <v>0</v>
      </c>
      <c r="M114" s="36" t="n">
        <v>78.33</v>
      </c>
      <c r="N114" s="51" t="n">
        <v>0.2732037841984147</v>
      </c>
      <c r="O114" s="251" t="n">
        <v>25.68006289951419</v>
      </c>
      <c r="P114" s="251">
        <f>Q114&amp;"%"</f>
        <v/>
      </c>
      <c r="Q114" s="27" t="n">
        <v>20</v>
      </c>
      <c r="R114" s="237" t="n">
        <v>15.666</v>
      </c>
      <c r="S114" s="237" t="n">
        <v>4.280010483252365</v>
      </c>
      <c r="T114" s="208" t="n">
        <v>21.40005241626183</v>
      </c>
      <c r="U114" s="251" t="n">
        <v>93.996</v>
      </c>
      <c r="V114" s="35" t="n">
        <v>43511</v>
      </c>
      <c r="W114" s="27" t="n"/>
      <c r="X114" s="27" t="n"/>
      <c r="Y114" s="210" t="n">
        <v>21.40005241626183</v>
      </c>
      <c r="Z114" s="237" t="n">
        <v>0</v>
      </c>
      <c r="AA114" t="b">
        <v>0</v>
      </c>
    </row>
    <row r="115">
      <c r="B115" s="53" t="n">
        <v>2018</v>
      </c>
      <c r="C115" s="53" t="n">
        <v>114</v>
      </c>
      <c r="D115" s="53">
        <f>B115&amp;"-"&amp;C115</f>
        <v/>
      </c>
      <c r="E115" s="9" t="inlineStr">
        <is>
          <t>2018/8058/18</t>
        </is>
      </c>
      <c r="F115" s="1" t="n">
        <v>43461</v>
      </c>
      <c r="G115" s="1" t="inlineStr">
        <is>
          <t>PREMIUM Laudongasse 58 GmbH &amp; Co KG: Dauerrechnung 2018-D</t>
        </is>
      </c>
      <c r="H115" s="16" t="n"/>
      <c r="I115" s="16" t="inlineStr">
        <is>
          <t>Ausgaben</t>
        </is>
      </c>
      <c r="J115" s="16" t="inlineStr">
        <is>
          <t>Miet- und Pachtaufwand, Leasing</t>
        </is>
      </c>
      <c r="K115" s="16" t="n"/>
      <c r="L115" t="b">
        <v>0</v>
      </c>
      <c r="M115" s="36" t="n">
        <v>763.4400000000001</v>
      </c>
      <c r="N115" s="51" t="n">
        <v>0.2732037841984147</v>
      </c>
      <c r="O115" s="251" t="n">
        <v>229.4321667092815</v>
      </c>
      <c r="P115" s="251">
        <f>Q115&amp;"%"</f>
        <v/>
      </c>
      <c r="Q115" s="27" t="n">
        <v>10</v>
      </c>
      <c r="R115" s="237" t="n">
        <v>76.34400000000001</v>
      </c>
      <c r="S115" s="237" t="n">
        <v>20.85746970084378</v>
      </c>
      <c r="T115" s="208" t="n">
        <v>208.5746970084378</v>
      </c>
      <c r="U115" s="251" t="n">
        <v>839.7840000000001</v>
      </c>
      <c r="V115" s="35" t="n">
        <v>43511</v>
      </c>
      <c r="W115" s="27" t="n"/>
      <c r="X115" s="27" t="n"/>
      <c r="Y115" s="210" t="n">
        <v>208.5746970084378</v>
      </c>
      <c r="Z115" s="237" t="n">
        <v>0</v>
      </c>
      <c r="AA115" t="b">
        <v>0</v>
      </c>
    </row>
    <row r="116">
      <c r="D116" t="n">
        <v>12018001</v>
      </c>
      <c r="F116" s="44" t="n">
        <v>43215</v>
      </c>
      <c r="G116" s="43" t="inlineStr">
        <is>
          <t>Dr. Arno Kolbitsch, Zivilingenieur, Gütleweg 1, 6822 Satteins</t>
        </is>
      </c>
      <c r="H116" s="43" t="n"/>
      <c r="I116" s="43" t="inlineStr">
        <is>
          <t>Einnahmen</t>
        </is>
      </c>
      <c r="J116" s="43" t="inlineStr">
        <is>
          <t>Waren-/Leistungserlöse</t>
        </is>
      </c>
      <c r="O116" s="251" t="n">
        <v>417.1799999999999</v>
      </c>
      <c r="P116" s="251">
        <f>Q116&amp;"%"</f>
        <v/>
      </c>
      <c r="Q116" s="27" t="n">
        <v>20</v>
      </c>
      <c r="R116" s="237" t="n"/>
      <c r="S116" s="237" t="n">
        <v>69.53</v>
      </c>
      <c r="T116" s="208" t="n">
        <v>347.65</v>
      </c>
      <c r="V116" s="44" t="n">
        <v>43327</v>
      </c>
      <c r="W116" s="1" t="n">
        <v>43318</v>
      </c>
    </row>
    <row r="117">
      <c r="D117" t="n">
        <v>12018002</v>
      </c>
      <c r="F117" s="44" t="n">
        <v>43223</v>
      </c>
      <c r="G117" t="inlineStr">
        <is>
          <t>Stokol GmbH, Weiglg. 10/10d/11, 1150 Wien</t>
        </is>
      </c>
      <c r="H117" s="43" t="n"/>
      <c r="I117" s="43" t="inlineStr">
        <is>
          <t>Einnahmen</t>
        </is>
      </c>
      <c r="J117" s="43" t="inlineStr">
        <is>
          <t>Waren-/Leistungserlöse</t>
        </is>
      </c>
      <c r="O117" s="251" t="n">
        <v>1006.836</v>
      </c>
      <c r="P117" s="251">
        <f>Q117&amp;"%"</f>
        <v/>
      </c>
      <c r="Q117" s="27" t="n">
        <v>20</v>
      </c>
      <c r="R117" s="237" t="n"/>
      <c r="S117" s="237" t="n">
        <v>167.806</v>
      </c>
      <c r="T117" s="208" t="n">
        <v>839.03</v>
      </c>
      <c r="V117" s="44" t="n">
        <v>43327</v>
      </c>
      <c r="W117" s="1" t="n">
        <v>43318</v>
      </c>
    </row>
    <row r="118">
      <c r="D118" t="n">
        <v>12018003</v>
      </c>
      <c r="F118" s="44" t="n">
        <v>43290</v>
      </c>
      <c r="G118" s="43" t="inlineStr">
        <is>
          <t>H. Jaros e.U., Fischhof 3/23, 1010 Wien, ATU 67698048</t>
        </is>
      </c>
      <c r="H118" s="43" t="n"/>
      <c r="I118" s="43" t="inlineStr">
        <is>
          <t>Einnahmen</t>
        </is>
      </c>
      <c r="J118" s="43" t="inlineStr">
        <is>
          <t>Waren-/Leistungserlöse</t>
        </is>
      </c>
      <c r="O118" s="251" t="n">
        <v>2800.428</v>
      </c>
      <c r="P118" s="251">
        <f>Q118&amp;"%"</f>
        <v/>
      </c>
      <c r="Q118" s="27" t="n">
        <v>20</v>
      </c>
      <c r="R118" s="237" t="n"/>
      <c r="S118" s="237" t="n">
        <v>466.7380000000001</v>
      </c>
      <c r="T118" s="208" t="n">
        <v>2333.69</v>
      </c>
      <c r="V118" s="44" t="n">
        <v>43419</v>
      </c>
      <c r="W118" s="44" t="n">
        <v>43418</v>
      </c>
    </row>
    <row r="119">
      <c r="D119" t="n">
        <v>12018004</v>
      </c>
      <c r="F119" s="44" t="n">
        <v>43292</v>
      </c>
      <c r="G119" t="inlineStr">
        <is>
          <t>Stokol GmbH, Weiglg. 10/10d/11, 1150 Wien</t>
        </is>
      </c>
      <c r="H119" s="43" t="n"/>
      <c r="I119" s="43" t="inlineStr">
        <is>
          <t>Einnahmen</t>
        </is>
      </c>
      <c r="J119" s="43" t="inlineStr">
        <is>
          <t>Waren-/Leistungserlöse</t>
        </is>
      </c>
      <c r="O119" s="251" t="n">
        <v>837.1799999999999</v>
      </c>
      <c r="P119" s="251">
        <f>Q119&amp;"%"</f>
        <v/>
      </c>
      <c r="Q119" s="27" t="n">
        <v>20</v>
      </c>
      <c r="R119" s="237" t="n"/>
      <c r="S119" s="237" t="n">
        <v>139.53</v>
      </c>
      <c r="T119" s="208" t="n">
        <v>697.65</v>
      </c>
      <c r="V119" s="44" t="n">
        <v>43419</v>
      </c>
      <c r="W119" s="44" t="n">
        <v>43418</v>
      </c>
    </row>
    <row r="120">
      <c r="D120" t="n">
        <v>12018005</v>
      </c>
      <c r="F120" s="44" t="n">
        <v>43291</v>
      </c>
      <c r="G120" s="43" t="inlineStr">
        <is>
          <t>Dr. Arno Kolbitsch, Zivilingenieur, Gütleweg 1, 6822 Satteins</t>
        </is>
      </c>
      <c r="H120" s="43" t="n"/>
      <c r="I120" s="43" t="inlineStr">
        <is>
          <t>Einnahmen</t>
        </is>
      </c>
      <c r="J120" s="43" t="inlineStr">
        <is>
          <t>Waren-/Leistungserlöse</t>
        </is>
      </c>
      <c r="O120" s="251" t="n">
        <v>12.384</v>
      </c>
      <c r="P120" s="251">
        <f>Q120&amp;"%"</f>
        <v/>
      </c>
      <c r="Q120" s="27" t="n">
        <v>20</v>
      </c>
      <c r="R120" s="237" t="n"/>
      <c r="S120" s="237" t="n">
        <v>2.064</v>
      </c>
      <c r="T120" s="208" t="n">
        <v>10.32</v>
      </c>
      <c r="V120" s="44" t="n">
        <v>43419</v>
      </c>
      <c r="W120" s="44" t="n">
        <v>43418</v>
      </c>
    </row>
    <row r="121">
      <c r="D121" t="n">
        <v>12018006</v>
      </c>
      <c r="F121" s="44" t="n">
        <v>43315</v>
      </c>
      <c r="G121" s="43" t="inlineStr">
        <is>
          <t>H. Jaros e.U., Fischhof 3/23, 1010 Wien, ATU 67698048</t>
        </is>
      </c>
      <c r="H121" s="43" t="n"/>
      <c r="I121" s="43" t="inlineStr">
        <is>
          <t>Einnahmen</t>
        </is>
      </c>
      <c r="J121" s="43" t="inlineStr">
        <is>
          <t>Waren-/Leistungserlöse</t>
        </is>
      </c>
      <c r="O121" s="251" t="n">
        <v>14576.19</v>
      </c>
      <c r="P121" s="251">
        <f>Q121&amp;"%"</f>
        <v/>
      </c>
      <c r="Q121" s="27" t="n">
        <v>20</v>
      </c>
      <c r="R121" s="237" t="n"/>
      <c r="S121" s="237" t="n">
        <v>2429.364</v>
      </c>
      <c r="T121" s="208" t="n">
        <v>12146.82</v>
      </c>
      <c r="V121" s="44" t="n">
        <v>43419</v>
      </c>
      <c r="W121" s="44" t="n">
        <v>43418</v>
      </c>
    </row>
    <row r="122">
      <c r="D122" t="n">
        <v>12018007</v>
      </c>
      <c r="F122" s="44" t="n">
        <v>43358</v>
      </c>
      <c r="G122" s="43" t="inlineStr">
        <is>
          <t>Dr. Arno Kolbitsch, Zivilingenieur, Gütleweg 1, 6822 Satteins</t>
        </is>
      </c>
      <c r="H122" s="43" t="n"/>
      <c r="I122" s="43" t="inlineStr">
        <is>
          <t>Einnahmen</t>
        </is>
      </c>
      <c r="J122" s="43" t="inlineStr">
        <is>
          <t>Waren-/Leistungserlöse</t>
        </is>
      </c>
      <c r="O122" s="251" t="n">
        <v>359.988</v>
      </c>
      <c r="P122" s="251">
        <f>Q122&amp;"%"</f>
        <v/>
      </c>
      <c r="Q122" s="27" t="n">
        <v>20</v>
      </c>
      <c r="R122" s="237" t="n"/>
      <c r="S122" s="237" t="n">
        <v>59.998</v>
      </c>
      <c r="T122" s="208" t="n">
        <v>299.99</v>
      </c>
      <c r="V122" s="44" t="n">
        <v>43419</v>
      </c>
      <c r="W122" s="44" t="n">
        <v>43418</v>
      </c>
    </row>
    <row r="123">
      <c r="D123" t="n">
        <v>12018008</v>
      </c>
      <c r="F123" s="44" t="n">
        <v>43409</v>
      </c>
      <c r="G123" t="inlineStr">
        <is>
          <t>Stokol GmbH, Weiglg. 10/10d/11, 1150 Wien</t>
        </is>
      </c>
      <c r="H123" s="43" t="n"/>
      <c r="I123" s="43" t="inlineStr">
        <is>
          <t>Einnahmen</t>
        </is>
      </c>
      <c r="J123" s="43" t="inlineStr">
        <is>
          <t>Waren-/Leistungserlöse</t>
        </is>
      </c>
      <c r="O123" s="251" t="n">
        <v>369.72</v>
      </c>
      <c r="P123" s="251">
        <f>Q123&amp;"%"</f>
        <v/>
      </c>
      <c r="Q123" s="27" t="n">
        <v>20</v>
      </c>
      <c r="R123" s="237" t="n"/>
      <c r="S123" s="237" t="n">
        <v>61.62</v>
      </c>
      <c r="T123" s="208" t="n">
        <v>308.1</v>
      </c>
      <c r="V123" s="44" t="n">
        <v>43511</v>
      </c>
      <c r="W123" s="43" t="n"/>
    </row>
    <row r="124">
      <c r="D124" t="n">
        <v>12018009</v>
      </c>
      <c r="F124" s="44" t="n">
        <v>43388</v>
      </c>
      <c r="G124" s="43" t="inlineStr">
        <is>
          <t>Dr. Arno Kolbitsch, Zivilingenieur, Gütleweg 1, 6822 Satteins</t>
        </is>
      </c>
      <c r="H124" s="43" t="n"/>
      <c r="I124" s="43" t="inlineStr">
        <is>
          <t>Einnahmen</t>
        </is>
      </c>
      <c r="J124" s="43" t="inlineStr">
        <is>
          <t>Waren-/Leistungserlöse</t>
        </is>
      </c>
      <c r="O124" s="251" t="n">
        <v>586.296</v>
      </c>
      <c r="P124" s="251">
        <f>Q124&amp;"%"</f>
        <v/>
      </c>
      <c r="Q124" s="27" t="n">
        <v>20</v>
      </c>
      <c r="R124" s="237" t="n"/>
      <c r="S124" s="237" t="n">
        <v>97.71600000000001</v>
      </c>
      <c r="T124" s="208" t="n">
        <v>488.58</v>
      </c>
      <c r="V124" s="44" t="n">
        <v>43511</v>
      </c>
      <c r="W124" s="44" t="n"/>
    </row>
    <row r="125">
      <c r="D125" t="n">
        <v>12018010</v>
      </c>
      <c r="F125" s="44" t="n">
        <v>43462</v>
      </c>
      <c r="G125" t="inlineStr">
        <is>
          <t>foxcraft OG, Laudongasse 58/16, 1080 Wien</t>
        </is>
      </c>
      <c r="H125" s="43" t="n"/>
      <c r="I125" s="43" t="inlineStr">
        <is>
          <t>Einnahmen</t>
        </is>
      </c>
      <c r="J125" s="43" t="inlineStr">
        <is>
          <t>Waren-/Leistungserlöse</t>
        </is>
      </c>
      <c r="O125" s="251" t="n">
        <v>952.5359999999999</v>
      </c>
      <c r="P125" s="251">
        <f>Q125&amp;"%"</f>
        <v/>
      </c>
      <c r="Q125" s="27" t="n">
        <v>20</v>
      </c>
      <c r="R125" s="237" t="n"/>
      <c r="S125" s="237" t="n">
        <v>158.756</v>
      </c>
      <c r="T125" s="208" t="n">
        <v>793.78</v>
      </c>
      <c r="V125" s="44" t="n">
        <v>43511</v>
      </c>
      <c r="W125" s="43" t="n"/>
    </row>
    <row r="126">
      <c r="D126" t="n">
        <v>12018014</v>
      </c>
      <c r="F126" s="44" t="n">
        <v>43461</v>
      </c>
      <c r="G126" s="43" t="inlineStr">
        <is>
          <t>Dr. Arno Kolbitsch, Zivilingenieur, Gütleweg 1, 6822 Satteins</t>
        </is>
      </c>
      <c r="H126" s="43" t="n"/>
      <c r="I126" s="43" t="inlineStr">
        <is>
          <t>Einnahmen</t>
        </is>
      </c>
      <c r="J126" s="43" t="inlineStr">
        <is>
          <t>Waren-/Leistungserlöse</t>
        </is>
      </c>
      <c r="O126" s="251" t="n">
        <v>10125.756</v>
      </c>
      <c r="P126" s="251">
        <f>Q126&amp;"%"</f>
        <v/>
      </c>
      <c r="Q126" s="27" t="n">
        <v>20</v>
      </c>
      <c r="R126" s="237" t="n"/>
      <c r="S126" s="237" t="n">
        <v>1687.626</v>
      </c>
      <c r="T126" s="208" t="n">
        <v>8438.129999999999</v>
      </c>
      <c r="V126" s="44" t="n">
        <v>43511</v>
      </c>
      <c r="W126" s="43" t="n"/>
    </row>
    <row r="127">
      <c r="F127" s="44" t="n"/>
      <c r="I127" s="43" t="n"/>
      <c r="J127" s="43" t="n"/>
      <c r="O127" s="206" t="n"/>
      <c r="Q127" s="44" t="n"/>
      <c r="S127" s="206" t="n"/>
      <c r="T127" s="206" t="n"/>
    </row>
    <row r="128">
      <c r="F128" s="44" t="n"/>
      <c r="G128" s="43" t="n"/>
      <c r="I128" s="43" t="n"/>
      <c r="J128" s="43" t="n"/>
      <c r="O128" s="206" t="n"/>
      <c r="Q128" s="44" t="n"/>
      <c r="S128" s="206" t="n"/>
      <c r="T128" s="206" t="n"/>
    </row>
    <row r="129">
      <c r="F129" s="44" t="n"/>
      <c r="G129" s="43" t="n"/>
      <c r="I129" s="43" t="n"/>
      <c r="J129" s="43" t="n"/>
      <c r="O129" s="206" t="n"/>
      <c r="Q129" s="44" t="n"/>
      <c r="S129" s="206" t="n"/>
      <c r="T129" s="206" t="n"/>
    </row>
    <row r="130">
      <c r="F130" s="44" t="n"/>
      <c r="I130" s="43" t="n"/>
      <c r="J130" s="43" t="n"/>
      <c r="O130" s="206" t="n"/>
      <c r="Q130" s="44" t="n"/>
      <c r="S130" s="206" t="n"/>
      <c r="T130" s="206" t="n"/>
    </row>
    <row r="131">
      <c r="F131" s="44" t="n"/>
      <c r="I131" s="43" t="n"/>
      <c r="J131" s="43" t="n"/>
      <c r="O131" s="206" t="n"/>
      <c r="Q131" s="44" t="n"/>
      <c r="S131" s="206" t="n"/>
      <c r="T131" s="206" t="n"/>
    </row>
  </sheetData>
  <autoFilter ref="A1:AA126"/>
  <conditionalFormatting sqref="F3:F7 F9:F12 F14:F15 F19:F33 F35 F37 F39:F41 F43:F76 F78:F85 F89:F92 F94:F97 F101:F102 F104:F115">
    <cfRule type="expression" priority="333" dxfId="2">
      <formula>ISBLANK($G3)</formula>
    </cfRule>
  </conditionalFormatting>
  <conditionalFormatting sqref="F2">
    <cfRule type="expression" priority="332" dxfId="2">
      <formula>ISBLANK($G2)</formula>
    </cfRule>
  </conditionalFormatting>
  <conditionalFormatting sqref="M3:M5 M14 M35 M42:M45 M48:M49 M51:M54 M58:M59 M61 M73 M78:M79 M82 M90 M92 M113">
    <cfRule type="expression" priority="331" dxfId="420">
      <formula>"$G$G&gt;400"</formula>
    </cfRule>
  </conditionalFormatting>
  <conditionalFormatting sqref="V2 V48:V49 V51:V53 V110:V113">
    <cfRule type="expression" priority="330" dxfId="2">
      <formula>AND(AND($Z2&lt;TODAY(),$Z2&lt;&gt;""),$AA2="")</formula>
    </cfRule>
  </conditionalFormatting>
  <conditionalFormatting sqref="M2">
    <cfRule type="expression" priority="329" dxfId="420">
      <formula>"$G$G&gt;400"</formula>
    </cfRule>
  </conditionalFormatting>
  <conditionalFormatting sqref="V3">
    <cfRule type="expression" priority="328" dxfId="2">
      <formula>AND(AND($Z3&lt;TODAY(),$Z3&lt;&gt;""),$AA3="")</formula>
    </cfRule>
  </conditionalFormatting>
  <conditionalFormatting sqref="V4">
    <cfRule type="expression" priority="327" dxfId="2">
      <formula>AND(AND($Z4&lt;TODAY(),$Z4&lt;&gt;""),$AA4="")</formula>
    </cfRule>
  </conditionalFormatting>
  <conditionalFormatting sqref="V5">
    <cfRule type="expression" priority="326" dxfId="2">
      <formula>AND(AND($Z5&lt;TODAY(),$Z5&lt;&gt;""),$AA5="")</formula>
    </cfRule>
  </conditionalFormatting>
  <conditionalFormatting sqref="F8">
    <cfRule type="expression" priority="325" dxfId="2">
      <formula>ISBLANK($G8)</formula>
    </cfRule>
  </conditionalFormatting>
  <conditionalFormatting sqref="V6">
    <cfRule type="expression" priority="324" dxfId="2">
      <formula>AND(AND($Z6&lt;TODAY(),$Z6&lt;&gt;""),$AA6="")</formula>
    </cfRule>
  </conditionalFormatting>
  <conditionalFormatting sqref="M6">
    <cfRule type="expression" priority="323" dxfId="420">
      <formula>"$G$G&gt;400"</formula>
    </cfRule>
  </conditionalFormatting>
  <conditionalFormatting sqref="M7">
    <cfRule type="expression" priority="322" dxfId="420">
      <formula>"$G$G&gt;400"</formula>
    </cfRule>
  </conditionalFormatting>
  <conditionalFormatting sqref="V7">
    <cfRule type="expression" priority="321" dxfId="2">
      <formula>AND(AND($Z7&lt;TODAY(),$Z7&lt;&gt;""),$AA7="")</formula>
    </cfRule>
  </conditionalFormatting>
  <conditionalFormatting sqref="V8">
    <cfRule type="expression" priority="320" dxfId="2">
      <formula>AND(AND($Z8&lt;TODAY(),$Z8&lt;&gt;""),$AA8="")</formula>
    </cfRule>
  </conditionalFormatting>
  <conditionalFormatting sqref="V9">
    <cfRule type="expression" priority="319" dxfId="2">
      <formula>AND(AND($Z9&lt;TODAY(),$Z9&lt;&gt;""),$AA9="")</formula>
    </cfRule>
  </conditionalFormatting>
  <conditionalFormatting sqref="V10">
    <cfRule type="expression" priority="318" dxfId="2">
      <formula>AND(AND($Z10&lt;TODAY(),$Z10&lt;&gt;""),$AA10="")</formula>
    </cfRule>
  </conditionalFormatting>
  <conditionalFormatting sqref="M10">
    <cfRule type="expression" priority="317" dxfId="420">
      <formula>"$G$G&gt;400"</formula>
    </cfRule>
  </conditionalFormatting>
  <conditionalFormatting sqref="M8">
    <cfRule type="expression" priority="316" dxfId="420">
      <formula>"$G$G&gt;400"</formula>
    </cfRule>
    <cfRule type="expression" priority="315" dxfId="420">
      <formula>"$G$G&gt;400"</formula>
    </cfRule>
  </conditionalFormatting>
  <conditionalFormatting sqref="M9">
    <cfRule type="expression" priority="314" dxfId="420">
      <formula>"$G$G&gt;400"</formula>
    </cfRule>
  </conditionalFormatting>
  <conditionalFormatting sqref="F16">
    <cfRule type="expression" priority="313" dxfId="2">
      <formula>ISBLANK($G16)</formula>
    </cfRule>
  </conditionalFormatting>
  <conditionalFormatting sqref="F17">
    <cfRule type="expression" priority="312" dxfId="2">
      <formula>ISBLANK($G17)</formula>
    </cfRule>
  </conditionalFormatting>
  <conditionalFormatting sqref="F34">
    <cfRule type="expression" priority="311" dxfId="2">
      <formula>ISBLANK($G34)</formula>
    </cfRule>
  </conditionalFormatting>
  <conditionalFormatting sqref="F36">
    <cfRule type="expression" priority="310" dxfId="2">
      <formula>ISBLANK($G36)</formula>
    </cfRule>
  </conditionalFormatting>
  <conditionalFormatting sqref="F38">
    <cfRule type="expression" priority="309" dxfId="2">
      <formula>ISBLANK($G38)</formula>
    </cfRule>
  </conditionalFormatting>
  <conditionalFormatting sqref="F42">
    <cfRule type="expression" priority="308" dxfId="2">
      <formula>ISBLANK($G42)</formula>
    </cfRule>
  </conditionalFormatting>
  <conditionalFormatting sqref="F77">
    <cfRule type="expression" priority="307" dxfId="2">
      <formula>ISBLANK($G77)</formula>
    </cfRule>
  </conditionalFormatting>
  <conditionalFormatting sqref="F88">
    <cfRule type="expression" priority="306" dxfId="2">
      <formula>ISBLANK($G88)</formula>
    </cfRule>
  </conditionalFormatting>
  <conditionalFormatting sqref="F86">
    <cfRule type="expression" priority="305" dxfId="2">
      <formula>ISBLANK($G86)</formula>
    </cfRule>
  </conditionalFormatting>
  <conditionalFormatting sqref="F87">
    <cfRule type="expression" priority="304" dxfId="2">
      <formula>ISBLANK($G87)</formula>
    </cfRule>
  </conditionalFormatting>
  <conditionalFormatting sqref="F93">
    <cfRule type="expression" priority="303" dxfId="2">
      <formula>ISBLANK($G93)</formula>
    </cfRule>
  </conditionalFormatting>
  <conditionalFormatting sqref="F98">
    <cfRule type="expression" priority="302" dxfId="2">
      <formula>ISBLANK($G98)</formula>
    </cfRule>
  </conditionalFormatting>
  <conditionalFormatting sqref="F100">
    <cfRule type="expression" priority="301" dxfId="2">
      <formula>ISBLANK($G100)</formula>
    </cfRule>
    <cfRule type="expression" priority="298" dxfId="2">
      <formula>ISBLANK($G100)</formula>
    </cfRule>
    <cfRule type="expression" priority="296" dxfId="2">
      <formula>ISBLANK($G100)</formula>
    </cfRule>
  </conditionalFormatting>
  <conditionalFormatting sqref="F99">
    <cfRule type="expression" priority="300" dxfId="2">
      <formula>ISBLANK($G99)</formula>
    </cfRule>
  </conditionalFormatting>
  <conditionalFormatting sqref="F101">
    <cfRule type="expression" priority="299" dxfId="2">
      <formula>ISBLANK($G101)</formula>
    </cfRule>
    <cfRule type="expression" priority="297" dxfId="2">
      <formula>ISBLANK($G101)</formula>
    </cfRule>
    <cfRule type="expression" priority="294" dxfId="2">
      <formula>ISBLANK($G101)</formula>
    </cfRule>
  </conditionalFormatting>
  <conditionalFormatting sqref="F102">
    <cfRule type="expression" priority="295" dxfId="2">
      <formula>ISBLANK($G102)</formula>
    </cfRule>
  </conditionalFormatting>
  <conditionalFormatting sqref="V11">
    <cfRule type="expression" priority="293" dxfId="2">
      <formula>AND(AND($Z11&lt;TODAY(),$Z11&lt;&gt;""),$AA11="")</formula>
    </cfRule>
  </conditionalFormatting>
  <conditionalFormatting sqref="M11">
    <cfRule type="expression" priority="292" dxfId="420">
      <formula>"$G$G&gt;400"</formula>
    </cfRule>
  </conditionalFormatting>
  <conditionalFormatting sqref="V13">
    <cfRule type="expression" priority="289" dxfId="2">
      <formula>AND(AND($Z13&lt;TODAY(),$Z13&lt;&gt;""),$AA13="")</formula>
    </cfRule>
  </conditionalFormatting>
  <conditionalFormatting sqref="M13">
    <cfRule type="expression" priority="288" dxfId="420">
      <formula>"$G$G&gt;400"</formula>
    </cfRule>
  </conditionalFormatting>
  <conditionalFormatting sqref="V15">
    <cfRule type="expression" priority="287" dxfId="2">
      <formula>AND(AND($Z15&lt;TODAY(),$Z15&lt;&gt;""),$AA15="")</formula>
    </cfRule>
  </conditionalFormatting>
  <conditionalFormatting sqref="M15">
    <cfRule type="expression" priority="286" dxfId="420">
      <formula>"$G$G&gt;400"</formula>
    </cfRule>
    <cfRule type="expression" priority="285" dxfId="420">
      <formula>"$G$G&gt;400"</formula>
    </cfRule>
  </conditionalFormatting>
  <conditionalFormatting sqref="V17">
    <cfRule type="expression" priority="282" dxfId="2">
      <formula>AND(AND($Z17&lt;TODAY(),$Z17&lt;&gt;""),$AA17="")</formula>
    </cfRule>
  </conditionalFormatting>
  <conditionalFormatting sqref="M17">
    <cfRule type="expression" priority="281" dxfId="420">
      <formula>"$G$G&gt;400"</formula>
    </cfRule>
  </conditionalFormatting>
  <conditionalFormatting sqref="V18">
    <cfRule type="expression" priority="280" dxfId="2">
      <formula>AND(AND($Z18&lt;TODAY(),$Z18&lt;&gt;""),$AA18="")</formula>
    </cfRule>
  </conditionalFormatting>
  <conditionalFormatting sqref="M18">
    <cfRule type="expression" priority="279" dxfId="420">
      <formula>"$G$G&gt;400"</formula>
    </cfRule>
  </conditionalFormatting>
  <conditionalFormatting sqref="V19">
    <cfRule type="expression" priority="278" dxfId="2">
      <formula>AND(AND($Z19&lt;TODAY(),$Z19&lt;&gt;""),$AA19="")</formula>
    </cfRule>
  </conditionalFormatting>
  <conditionalFormatting sqref="V20">
    <cfRule type="expression" priority="277" dxfId="2">
      <formula>AND(AND($Z20&lt;TODAY(),$Z20&lt;&gt;""),$AA20="")</formula>
    </cfRule>
  </conditionalFormatting>
  <conditionalFormatting sqref="M20">
    <cfRule type="expression" priority="276" dxfId="420">
      <formula>"$G$G&gt;400"</formula>
    </cfRule>
    <cfRule type="expression" priority="275" dxfId="420">
      <formula>"$G$G&gt;400"</formula>
    </cfRule>
  </conditionalFormatting>
  <conditionalFormatting sqref="V22">
    <cfRule type="expression" priority="273" dxfId="2">
      <formula>AND(AND($Z22&lt;TODAY(),$Z22&lt;&gt;""),$AA22="")</formula>
    </cfRule>
  </conditionalFormatting>
  <conditionalFormatting sqref="M22">
    <cfRule type="expression" priority="272" dxfId="420">
      <formula>"$G$G&gt;400"</formula>
    </cfRule>
  </conditionalFormatting>
  <conditionalFormatting sqref="M23">
    <cfRule type="expression" priority="271" dxfId="420">
      <formula>"$G$G&gt;400"</formula>
    </cfRule>
  </conditionalFormatting>
  <conditionalFormatting sqref="V23">
    <cfRule type="expression" priority="270" dxfId="2">
      <formula>AND(AND($Z23&lt;TODAY(),$Z23&lt;&gt;""),$AA23="")</formula>
    </cfRule>
  </conditionalFormatting>
  <conditionalFormatting sqref="V24">
    <cfRule type="expression" priority="269" dxfId="2">
      <formula>AND(AND($Z24&lt;TODAY(),$Z24&lt;&gt;""),$AA24="")</formula>
    </cfRule>
  </conditionalFormatting>
  <conditionalFormatting sqref="M24">
    <cfRule type="expression" priority="268" dxfId="420">
      <formula>"$G$G&gt;400"</formula>
    </cfRule>
  </conditionalFormatting>
  <conditionalFormatting sqref="K25 M25">
    <cfRule type="expression" priority="267" dxfId="420">
      <formula>"$G$G&gt;400"</formula>
    </cfRule>
  </conditionalFormatting>
  <conditionalFormatting sqref="V14">
    <cfRule type="expression" priority="266" dxfId="2">
      <formula>AND(AND($Z14&lt;TODAY(),$Z14&lt;&gt;""),$AA14="")</formula>
    </cfRule>
  </conditionalFormatting>
  <conditionalFormatting sqref="V26">
    <cfRule type="expression" priority="265" dxfId="2">
      <formula>AND(AND($Z26&lt;TODAY(),$Z26&lt;&gt;""),$AA26="")</formula>
    </cfRule>
  </conditionalFormatting>
  <conditionalFormatting sqref="M26">
    <cfRule type="expression" priority="264" dxfId="420">
      <formula>"$G$G&gt;400"</formula>
    </cfRule>
    <cfRule type="expression" priority="263" dxfId="420">
      <formula>"$G$G&gt;400"</formula>
    </cfRule>
  </conditionalFormatting>
  <conditionalFormatting sqref="V28">
    <cfRule type="expression" priority="260" dxfId="2">
      <formula>AND(AND($Z28&lt;TODAY(),$Z28&lt;&gt;""),$AA28="")</formula>
    </cfRule>
  </conditionalFormatting>
  <conditionalFormatting sqref="M28">
    <cfRule type="expression" priority="259" dxfId="420">
      <formula>"$G$G&gt;400"</formula>
    </cfRule>
  </conditionalFormatting>
  <conditionalFormatting sqref="V29">
    <cfRule type="expression" priority="258" dxfId="2">
      <formula>AND(AND($Z29&lt;TODAY(),$Z29&lt;&gt;""),$AA29="")</formula>
    </cfRule>
  </conditionalFormatting>
  <conditionalFormatting sqref="M29">
    <cfRule type="expression" priority="257" dxfId="420">
      <formula>"$G$G&gt;400"</formula>
    </cfRule>
  </conditionalFormatting>
  <conditionalFormatting sqref="V30">
    <cfRule type="expression" priority="256" dxfId="2">
      <formula>AND(AND($Z30&lt;TODAY(),$Z30&lt;&gt;""),$AA30="")</formula>
    </cfRule>
  </conditionalFormatting>
  <conditionalFormatting sqref="M30">
    <cfRule type="expression" priority="255" dxfId="420">
      <formula>"$G$G&gt;400"</formula>
    </cfRule>
  </conditionalFormatting>
  <conditionalFormatting sqref="V31">
    <cfRule type="expression" priority="254" dxfId="2">
      <formula>AND(AND($Z31&lt;TODAY(),$Z31&lt;&gt;""),$AA31="")</formula>
    </cfRule>
  </conditionalFormatting>
  <conditionalFormatting sqref="M31">
    <cfRule type="expression" priority="253" dxfId="420">
      <formula>"$G$G&gt;400"</formula>
    </cfRule>
    <cfRule type="expression" priority="252" dxfId="420">
      <formula>"$G$G&gt;400"</formula>
    </cfRule>
  </conditionalFormatting>
  <conditionalFormatting sqref="K32 M32">
    <cfRule type="expression" priority="251" dxfId="420">
      <formula>"$G$G&gt;400"</formula>
    </cfRule>
  </conditionalFormatting>
  <conditionalFormatting sqref="V32">
    <cfRule type="expression" priority="250" dxfId="2">
      <formula>AND(AND($Z32&lt;TODAY(),$Z32&lt;&gt;""),$AA32="")</formula>
    </cfRule>
  </conditionalFormatting>
  <conditionalFormatting sqref="V25">
    <cfRule type="expression" priority="249" dxfId="2">
      <formula>AND(AND($Z25&lt;TODAY(),$Z25&lt;&gt;""),$AA25="")</formula>
    </cfRule>
  </conditionalFormatting>
  <conditionalFormatting sqref="M33">
    <cfRule type="expression" priority="248" dxfId="420">
      <formula>"$G$G&gt;400"</formula>
    </cfRule>
  </conditionalFormatting>
  <conditionalFormatting sqref="V33">
    <cfRule type="expression" priority="247" dxfId="2">
      <formula>AND(AND($Z33&lt;TODAY(),$Z33&lt;&gt;""),$AA33="")</formula>
    </cfRule>
  </conditionalFormatting>
  <conditionalFormatting sqref="V34">
    <cfRule type="expression" priority="246" dxfId="2">
      <formula>AND(AND($Z34&lt;TODAY(),$Z34&lt;&gt;""),$AA34="")</formula>
    </cfRule>
  </conditionalFormatting>
  <conditionalFormatting sqref="V35">
    <cfRule type="expression" priority="245" dxfId="2">
      <formula>AND(AND($Z35&lt;TODAY(),$Z35&lt;&gt;""),$AA35="")</formula>
    </cfRule>
  </conditionalFormatting>
  <conditionalFormatting sqref="V36">
    <cfRule type="expression" priority="244" dxfId="2">
      <formula>AND(AND($Z36&lt;TODAY(),$Z36&lt;&gt;""),$AA36="")</formula>
    </cfRule>
  </conditionalFormatting>
  <conditionalFormatting sqref="K37 M37">
    <cfRule type="expression" priority="243" dxfId="420">
      <formula>"$G$G&gt;400"</formula>
    </cfRule>
  </conditionalFormatting>
  <conditionalFormatting sqref="V37">
    <cfRule type="expression" priority="242" dxfId="2">
      <formula>AND(AND($Z37&lt;TODAY(),$Z37&lt;&gt;""),$AA37="")</formula>
    </cfRule>
  </conditionalFormatting>
  <conditionalFormatting sqref="M38">
    <cfRule type="expression" priority="241" dxfId="420">
      <formula>"$G$G&gt;400"</formula>
    </cfRule>
  </conditionalFormatting>
  <conditionalFormatting sqref="V38">
    <cfRule type="expression" priority="240" dxfId="2">
      <formula>AND(AND($Z38&lt;TODAY(),$Z38&lt;&gt;""),$AA38="")</formula>
    </cfRule>
  </conditionalFormatting>
  <conditionalFormatting sqref="K39">
    <cfRule type="expression" priority="239" dxfId="420">
      <formula>"$G$G&gt;400"</formula>
    </cfRule>
  </conditionalFormatting>
  <conditionalFormatting sqref="M39">
    <cfRule type="expression" priority="238" dxfId="420">
      <formula>"$G$G&gt;400"</formula>
    </cfRule>
  </conditionalFormatting>
  <conditionalFormatting sqref="V39">
    <cfRule type="expression" priority="237" dxfId="2">
      <formula>AND(AND($Z39&lt;TODAY(),$Z39&lt;&gt;""),$AA39="")</formula>
    </cfRule>
  </conditionalFormatting>
  <conditionalFormatting sqref="M40">
    <cfRule type="expression" priority="236" dxfId="420">
      <formula>"$G$G&gt;400"</formula>
    </cfRule>
  </conditionalFormatting>
  <conditionalFormatting sqref="V40">
    <cfRule type="expression" priority="235" dxfId="2">
      <formula>AND(AND($Z40&lt;TODAY(),$Z40&lt;&gt;""),$AA40="")</formula>
    </cfRule>
  </conditionalFormatting>
  <conditionalFormatting sqref="M34">
    <cfRule type="expression" priority="234" dxfId="420">
      <formula>"$G$G&gt;400"</formula>
    </cfRule>
  </conditionalFormatting>
  <conditionalFormatting sqref="M19">
    <cfRule type="expression" priority="233" dxfId="420">
      <formula>"$G$G&gt;400"</formula>
    </cfRule>
  </conditionalFormatting>
  <conditionalFormatting sqref="V41">
    <cfRule type="expression" priority="232" dxfId="2">
      <formula>AND(AND($Z41&lt;TODAY(),$Z41&lt;&gt;""),$AA41="")</formula>
    </cfRule>
  </conditionalFormatting>
  <conditionalFormatting sqref="M41">
    <cfRule type="expression" priority="231" dxfId="420">
      <formula>"$G$G&gt;400"</formula>
    </cfRule>
  </conditionalFormatting>
  <conditionalFormatting sqref="M36">
    <cfRule type="expression" priority="230" dxfId="420">
      <formula>"$G$G&gt;400"</formula>
    </cfRule>
  </conditionalFormatting>
  <conditionalFormatting sqref="V52">
    <cfRule type="expression" priority="229" dxfId="2">
      <formula>AND(AND($Z52&lt;TODAY(),$Z52&lt;&gt;""),$AA52="")</formula>
    </cfRule>
    <cfRule type="expression" priority="225" dxfId="2">
      <formula>AND(AND($Z52&lt;TODAY(),$Z52&lt;&gt;""),$AA52="")</formula>
    </cfRule>
    <cfRule type="expression" priority="219" dxfId="2">
      <formula>AND(AND($Z52&lt;TODAY(),$Z52&lt;&gt;""),$AA52="")</formula>
    </cfRule>
    <cfRule type="expression" priority="213" dxfId="2">
      <formula>AND(AND($Z52&lt;TODAY(),$Z52&lt;&gt;""),$AA52="")</formula>
    </cfRule>
  </conditionalFormatting>
  <conditionalFormatting sqref="V42:V45">
    <cfRule type="expression" priority="228" dxfId="2">
      <formula>AND(AND($Z42&lt;TODAY(),$Z42&lt;&gt;""),$AA42="")</formula>
    </cfRule>
  </conditionalFormatting>
  <conditionalFormatting sqref="V51">
    <cfRule type="expression" priority="227" dxfId="2">
      <formula>AND(AND($Z51&lt;TODAY(),$Z51&lt;&gt;""),$AA51="")</formula>
    </cfRule>
  </conditionalFormatting>
  <conditionalFormatting sqref="V53">
    <cfRule type="expression" priority="226" dxfId="2">
      <formula>AND(AND($Z53&lt;TODAY(),$Z53&lt;&gt;""),$AA53="")</formula>
    </cfRule>
    <cfRule type="expression" priority="220" dxfId="2">
      <formula>AND(AND($Z53&lt;TODAY(),$Z53&lt;&gt;""),$AA53="")</formula>
    </cfRule>
    <cfRule type="expression" priority="218" dxfId="2">
      <formula>AND(AND($Z53&lt;TODAY(),$Z53&lt;&gt;""),$AA53="")</formula>
    </cfRule>
    <cfRule type="expression" priority="214" dxfId="2">
      <formula>AND(AND($Z53&lt;TODAY(),$Z53&lt;&gt;""),$AA53="")</formula>
    </cfRule>
    <cfRule type="expression" priority="212" dxfId="2">
      <formula>AND(AND($Z53&lt;TODAY(),$Z53&lt;&gt;""),$AA53="")</formula>
    </cfRule>
    <cfRule type="expression" priority="211" dxfId="2">
      <formula>AND(AND($Z53&lt;TODAY(),$Z53&lt;&gt;""),$AA53="")</formula>
    </cfRule>
    <cfRule type="expression" priority="210" dxfId="2">
      <formula>AND(AND($Z53&lt;TODAY(),$Z53&lt;&gt;""),$AA53="")</formula>
    </cfRule>
    <cfRule type="expression" priority="209" dxfId="2">
      <formula>AND(AND($Z53&lt;TODAY(),$Z53&lt;&gt;""),$AA53="")</formula>
    </cfRule>
    <cfRule type="expression" priority="208" dxfId="2">
      <formula>AND(AND($Z53&lt;TODAY(),$Z53&lt;&gt;""),$AA53="")</formula>
    </cfRule>
    <cfRule type="expression" priority="207" dxfId="2">
      <formula>AND(AND($Z53&lt;TODAY(),$Z53&lt;&gt;""),$AA53="")</formula>
    </cfRule>
  </conditionalFormatting>
  <conditionalFormatting sqref="V47">
    <cfRule type="expression" priority="222" dxfId="2">
      <formula>AND(AND($Z47&lt;TODAY(),$Z47&lt;&gt;""),$AA47="")</formula>
    </cfRule>
  </conditionalFormatting>
  <conditionalFormatting sqref="M47">
    <cfRule type="expression" priority="221" dxfId="420">
      <formula>"$G$G&gt;400"</formula>
    </cfRule>
  </conditionalFormatting>
  <conditionalFormatting sqref="V50">
    <cfRule type="expression" priority="217" dxfId="2">
      <formula>AND(AND($Z50&lt;TODAY(),$Z50&lt;&gt;""),$AA50="")</formula>
    </cfRule>
  </conditionalFormatting>
  <conditionalFormatting sqref="M50">
    <cfRule type="expression" priority="216" dxfId="420">
      <formula>"$G$G&gt;400"</formula>
    </cfRule>
    <cfRule type="expression" priority="215" dxfId="420">
      <formula>"$G$G&gt;400"</formula>
    </cfRule>
  </conditionalFormatting>
  <conditionalFormatting sqref="V55:V56">
    <cfRule type="expression" priority="206" dxfId="2">
      <formula>AND(AND($Z55&lt;TODAY(),$Z55&lt;&gt;""),$AA55="")</formula>
    </cfRule>
    <cfRule type="expression" priority="204" dxfId="2">
      <formula>AND(AND($Z55&lt;TODAY(),$Z55&lt;&gt;""),$AA55="")</formula>
    </cfRule>
  </conditionalFormatting>
  <conditionalFormatting sqref="M55:M56">
    <cfRule type="expression" priority="205" dxfId="420">
      <formula>"$G$G&gt;400"</formula>
    </cfRule>
  </conditionalFormatting>
  <conditionalFormatting sqref="V55">
    <cfRule type="expression" priority="203" dxfId="2">
      <formula>AND(AND($Z55&lt;TODAY(),$Z55&lt;&gt;""),$AA55="")</formula>
    </cfRule>
    <cfRule type="expression" priority="202" dxfId="2">
      <formula>AND(AND($Z55&lt;TODAY(),$Z55&lt;&gt;""),$AA55="")</formula>
    </cfRule>
    <cfRule type="expression" priority="200" dxfId="2">
      <formula>AND(AND($Z55&lt;TODAY(),$Z55&lt;&gt;""),$AA55="")</formula>
    </cfRule>
    <cfRule type="expression" priority="199" dxfId="2">
      <formula>AND(AND($Z55&lt;TODAY(),$Z55&lt;&gt;""),$AA55="")</formula>
    </cfRule>
    <cfRule type="expression" priority="197" dxfId="2">
      <formula>AND(AND($Z55&lt;TODAY(),$Z55&lt;&gt;""),$AA55="")</formula>
    </cfRule>
    <cfRule type="expression" priority="195" dxfId="2">
      <formula>AND(AND($Z55&lt;TODAY(),$Z55&lt;&gt;""),$AA55="")</formula>
    </cfRule>
    <cfRule type="expression" priority="193" dxfId="2">
      <formula>AND(AND($Z55&lt;TODAY(),$Z55&lt;&gt;""),$AA55="")</formula>
    </cfRule>
    <cfRule type="expression" priority="191" dxfId="2">
      <formula>AND(AND($Z55&lt;TODAY(),$Z55&lt;&gt;""),$AA55="")</formula>
    </cfRule>
    <cfRule type="expression" priority="189" dxfId="2">
      <formula>AND(AND($Z55&lt;TODAY(),$Z55&lt;&gt;""),$AA55="")</formula>
    </cfRule>
    <cfRule type="expression" priority="186" dxfId="2">
      <formula>AND(AND($Z55&lt;TODAY(),$Z55&lt;&gt;""),$AA55="")</formula>
    </cfRule>
  </conditionalFormatting>
  <conditionalFormatting sqref="V56">
    <cfRule type="expression" priority="201" dxfId="2">
      <formula>AND(AND($Z56&lt;TODAY(),$Z56&lt;&gt;""),$AA56="")</formula>
    </cfRule>
    <cfRule type="expression" priority="198" dxfId="2">
      <formula>AND(AND($Z56&lt;TODAY(),$Z56&lt;&gt;""),$AA56="")</formula>
    </cfRule>
    <cfRule type="expression" priority="196" dxfId="2">
      <formula>AND(AND($Z56&lt;TODAY(),$Z56&lt;&gt;""),$AA56="")</formula>
    </cfRule>
    <cfRule type="expression" priority="194" dxfId="2">
      <formula>AND(AND($Z56&lt;TODAY(),$Z56&lt;&gt;""),$AA56="")</formula>
    </cfRule>
    <cfRule type="expression" priority="192" dxfId="2">
      <formula>AND(AND($Z56&lt;TODAY(),$Z56&lt;&gt;""),$AA56="")</formula>
    </cfRule>
    <cfRule type="expression" priority="190" dxfId="2">
      <formula>AND(AND($Z56&lt;TODAY(),$Z56&lt;&gt;""),$AA56="")</formula>
    </cfRule>
    <cfRule type="expression" priority="188" dxfId="2">
      <formula>AND(AND($Z56&lt;TODAY(),$Z56&lt;&gt;""),$AA56="")</formula>
    </cfRule>
    <cfRule type="expression" priority="187" dxfId="2">
      <formula>AND(AND($Z56&lt;TODAY(),$Z56&lt;&gt;""),$AA56="")</formula>
    </cfRule>
    <cfRule type="expression" priority="185" dxfId="2">
      <formula>AND(AND($Z56&lt;TODAY(),$Z56&lt;&gt;""),$AA56="")</formula>
    </cfRule>
    <cfRule type="expression" priority="184" dxfId="2">
      <formula>AND(AND($Z56&lt;TODAY(),$Z56&lt;&gt;""),$AA56="")</formula>
    </cfRule>
  </conditionalFormatting>
  <conditionalFormatting sqref="V54">
    <cfRule type="expression" priority="183" dxfId="2">
      <formula>AND(AND($Z54&lt;TODAY(),$Z54&lt;&gt;""),$AA54="")</formula>
    </cfRule>
    <cfRule type="expression" priority="182" dxfId="2">
      <formula>AND(AND($Z54&lt;TODAY(),$Z54&lt;&gt;""),$AA54="")</formula>
    </cfRule>
    <cfRule type="expression" priority="181" dxfId="2">
      <formula>AND(AND($Z54&lt;TODAY(),$Z54&lt;&gt;""),$AA54="")</formula>
    </cfRule>
    <cfRule type="expression" priority="180" dxfId="2">
      <formula>AND(AND($Z54&lt;TODAY(),$Z54&lt;&gt;""),$AA54="")</formula>
    </cfRule>
    <cfRule type="expression" priority="179" dxfId="2">
      <formula>AND(AND($Z54&lt;TODAY(),$Z54&lt;&gt;""),$AA54="")</formula>
    </cfRule>
    <cfRule type="expression" priority="178" dxfId="2">
      <formula>AND(AND($Z54&lt;TODAY(),$Z54&lt;&gt;""),$AA54="")</formula>
    </cfRule>
    <cfRule type="expression" priority="177" dxfId="2">
      <formula>AND(AND($Z54&lt;TODAY(),$Z54&lt;&gt;""),$AA54="")</formula>
    </cfRule>
    <cfRule type="expression" priority="176" dxfId="2">
      <formula>AND(AND($Z54&lt;TODAY(),$Z54&lt;&gt;""),$AA54="")</formula>
    </cfRule>
    <cfRule type="expression" priority="175" dxfId="2">
      <formula>AND(AND($Z54&lt;TODAY(),$Z54&lt;&gt;""),$AA54="")</formula>
    </cfRule>
    <cfRule type="expression" priority="174" dxfId="2">
      <formula>AND(AND($Z54&lt;TODAY(),$Z54&lt;&gt;""),$AA54="")</formula>
    </cfRule>
    <cfRule type="expression" priority="173" dxfId="2">
      <formula>AND(AND($Z54&lt;TODAY(),$Z54&lt;&gt;""),$AA54="")</formula>
    </cfRule>
    <cfRule type="expression" priority="172" dxfId="2">
      <formula>AND(AND($Z54&lt;TODAY(),$Z54&lt;&gt;""),$AA54="")</formula>
    </cfRule>
  </conditionalFormatting>
  <conditionalFormatting sqref="V58:V59">
    <cfRule type="expression" priority="169" dxfId="2">
      <formula>AND(AND($Z58&lt;TODAY(),$Z58&lt;&gt;""),$AA58="")</formula>
    </cfRule>
    <cfRule type="expression" priority="168" dxfId="2">
      <formula>AND(AND($Z58&lt;TODAY(),$Z58&lt;&gt;""),$AA58="")</formula>
    </cfRule>
    <cfRule type="expression" priority="167" dxfId="2">
      <formula>AND(AND($Z58&lt;TODAY(),$Z58&lt;&gt;""),$AA58="")</formula>
    </cfRule>
    <cfRule type="expression" priority="166" dxfId="2">
      <formula>AND(AND($Z58&lt;TODAY(),$Z58&lt;&gt;""),$AA58="")</formula>
    </cfRule>
    <cfRule type="expression" priority="165" dxfId="2">
      <formula>AND(AND($Z58&lt;TODAY(),$Z58&lt;&gt;""),$AA58="")</formula>
    </cfRule>
    <cfRule type="expression" priority="164" dxfId="2">
      <formula>AND(AND($Z58&lt;TODAY(),$Z58&lt;&gt;""),$AA58="")</formula>
    </cfRule>
    <cfRule type="expression" priority="163" dxfId="2">
      <formula>AND(AND($Z58&lt;TODAY(),$Z58&lt;&gt;""),$AA58="")</formula>
    </cfRule>
    <cfRule type="expression" priority="162" dxfId="2">
      <formula>AND(AND($Z58&lt;TODAY(),$Z58&lt;&gt;""),$AA58="")</formula>
    </cfRule>
    <cfRule type="expression" priority="161" dxfId="2">
      <formula>AND(AND($Z58&lt;TODAY(),$Z58&lt;&gt;""),$AA58="")</formula>
    </cfRule>
    <cfRule type="expression" priority="160" dxfId="2">
      <formula>AND(AND($Z58&lt;TODAY(),$Z58&lt;&gt;""),$AA58="")</formula>
    </cfRule>
    <cfRule type="expression" priority="159" dxfId="2">
      <formula>AND(AND($Z58&lt;TODAY(),$Z58&lt;&gt;""),$AA58="")</formula>
    </cfRule>
    <cfRule type="expression" priority="158" dxfId="2">
      <formula>AND(AND($Z58&lt;TODAY(),$Z58&lt;&gt;""),$AA58="")</formula>
    </cfRule>
  </conditionalFormatting>
  <conditionalFormatting sqref="M60">
    <cfRule type="expression" priority="157" dxfId="420">
      <formula>"$G$G&gt;400"</formula>
    </cfRule>
  </conditionalFormatting>
  <conditionalFormatting sqref="V60">
    <cfRule type="expression" priority="156" dxfId="2">
      <formula>AND(AND($Z60&lt;TODAY(),$Z60&lt;&gt;""),$AA60="")</formula>
    </cfRule>
  </conditionalFormatting>
  <conditionalFormatting sqref="V61">
    <cfRule type="expression" priority="155" dxfId="2">
      <formula>AND(AND($Z61&lt;TODAY(),$Z61&lt;&gt;""),$AA61="")</formula>
    </cfRule>
  </conditionalFormatting>
  <conditionalFormatting sqref="M62">
    <cfRule type="expression" priority="154" dxfId="420">
      <formula>"$G$G&gt;400"</formula>
    </cfRule>
  </conditionalFormatting>
  <conditionalFormatting sqref="V62">
    <cfRule type="expression" priority="153" dxfId="2">
      <formula>AND(AND($Z62&lt;TODAY(),$Z62&lt;&gt;""),$AA62="")</formula>
    </cfRule>
  </conditionalFormatting>
  <conditionalFormatting sqref="V63">
    <cfRule type="expression" priority="152" dxfId="2">
      <formula>AND(AND($Z63&lt;TODAY(),$Z63&lt;&gt;""),$AA63="")</formula>
    </cfRule>
  </conditionalFormatting>
  <conditionalFormatting sqref="M63">
    <cfRule type="expression" priority="151" dxfId="420">
      <formula>"$G$G&gt;400"</formula>
    </cfRule>
  </conditionalFormatting>
  <conditionalFormatting sqref="V64">
    <cfRule type="expression" priority="150" dxfId="2">
      <formula>AND(AND($Z64&lt;TODAY(),$Z64&lt;&gt;""),$AA64="")</formula>
    </cfRule>
  </conditionalFormatting>
  <conditionalFormatting sqref="M64">
    <cfRule type="expression" priority="149" dxfId="420">
      <formula>"$G$G&gt;400"</formula>
    </cfRule>
  </conditionalFormatting>
  <conditionalFormatting sqref="V65">
    <cfRule type="expression" priority="148" dxfId="2">
      <formula>AND(AND($Z65&lt;TODAY(),$Z65&lt;&gt;""),$AA65="")</formula>
    </cfRule>
  </conditionalFormatting>
  <conditionalFormatting sqref="M65">
    <cfRule type="expression" priority="147" dxfId="420">
      <formula>"$G$G&gt;400"</formula>
    </cfRule>
    <cfRule type="expression" priority="146" dxfId="420">
      <formula>"$G$G&gt;400"</formula>
    </cfRule>
  </conditionalFormatting>
  <conditionalFormatting sqref="M67">
    <cfRule type="expression" priority="143" dxfId="420">
      <formula>"$G$G&gt;400"</formula>
    </cfRule>
  </conditionalFormatting>
  <conditionalFormatting sqref="V67">
    <cfRule type="expression" priority="142" dxfId="2">
      <formula>AND(AND($Z67&lt;TODAY(),$Z67&lt;&gt;""),$AA67="")</formula>
    </cfRule>
  </conditionalFormatting>
  <conditionalFormatting sqref="V68">
    <cfRule type="expression" priority="141" dxfId="2">
      <formula>AND(AND($Z68&lt;TODAY(),$Z68&lt;&gt;""),$AA68="")</formula>
    </cfRule>
  </conditionalFormatting>
  <conditionalFormatting sqref="M68">
    <cfRule type="expression" priority="140" dxfId="420">
      <formula>"$G$G&gt;400"</formula>
    </cfRule>
  </conditionalFormatting>
  <conditionalFormatting sqref="V69">
    <cfRule type="expression" priority="139" dxfId="2">
      <formula>AND(AND($Z69&lt;TODAY(),$Z69&lt;&gt;""),$AA69="")</formula>
    </cfRule>
  </conditionalFormatting>
  <conditionalFormatting sqref="M69">
    <cfRule type="expression" priority="138" dxfId="420">
      <formula>"$G$G&gt;400"</formula>
    </cfRule>
    <cfRule type="expression" priority="137" dxfId="420">
      <formula>"$G$G&gt;400"</formula>
    </cfRule>
  </conditionalFormatting>
  <conditionalFormatting sqref="M70">
    <cfRule type="expression" priority="136" dxfId="420">
      <formula>"$G$G&gt;400"</formula>
    </cfRule>
  </conditionalFormatting>
  <conditionalFormatting sqref="V70">
    <cfRule type="expression" priority="135" dxfId="2">
      <formula>AND(AND($Z70&lt;TODAY(),$Z70&lt;&gt;""),$AA70="")</formula>
    </cfRule>
  </conditionalFormatting>
  <conditionalFormatting sqref="V71">
    <cfRule type="expression" priority="134" dxfId="2">
      <formula>AND(AND($Z71&lt;TODAY(),$Z71&lt;&gt;""),$AA71="")</formula>
    </cfRule>
  </conditionalFormatting>
  <conditionalFormatting sqref="M71">
    <cfRule type="expression" priority="133" dxfId="420">
      <formula>"$G$G&gt;400"</formula>
    </cfRule>
  </conditionalFormatting>
  <conditionalFormatting sqref="V73">
    <cfRule type="expression" priority="130" dxfId="2">
      <formula>AND(AND($Z73&lt;TODAY(),$Z73&lt;&gt;""),$AA73="")</formula>
    </cfRule>
  </conditionalFormatting>
  <conditionalFormatting sqref="V74">
    <cfRule type="expression" priority="129" dxfId="2">
      <formula>AND(AND($Z74&lt;TODAY(),$Z74&lt;&gt;""),$AA74="")</formula>
    </cfRule>
  </conditionalFormatting>
  <conditionalFormatting sqref="M74">
    <cfRule type="expression" priority="128" dxfId="420">
      <formula>"$G$G&gt;400"</formula>
    </cfRule>
  </conditionalFormatting>
  <conditionalFormatting sqref="V75">
    <cfRule type="expression" priority="127" dxfId="2">
      <formula>AND(AND($Z75&lt;TODAY(),$Z75&lt;&gt;""),$AA75="")</formula>
    </cfRule>
  </conditionalFormatting>
  <conditionalFormatting sqref="M75">
    <cfRule type="expression" priority="126" dxfId="420">
      <formula>"$G$G&gt;400"</formula>
    </cfRule>
    <cfRule type="expression" priority="125" dxfId="420">
      <formula>"$G$G&gt;400"</formula>
    </cfRule>
  </conditionalFormatting>
  <conditionalFormatting sqref="M76">
    <cfRule type="expression" priority="124" dxfId="420">
      <formula>"$G$G&gt;400"</formula>
    </cfRule>
  </conditionalFormatting>
  <conditionalFormatting sqref="V76">
    <cfRule type="expression" priority="123" dxfId="2">
      <formula>AND(AND($Z76&lt;TODAY(),$Z76&lt;&gt;""),$AA76="")</formula>
    </cfRule>
  </conditionalFormatting>
  <conditionalFormatting sqref="V77">
    <cfRule type="expression" priority="122" dxfId="2">
      <formula>AND(AND($Z77&lt;TODAY(),$Z77&lt;&gt;""),$AA77="")</formula>
    </cfRule>
  </conditionalFormatting>
  <conditionalFormatting sqref="M77">
    <cfRule type="expression" priority="121" dxfId="420">
      <formula>"$G$G&gt;400"</formula>
    </cfRule>
    <cfRule type="expression" priority="120" dxfId="420">
      <formula>"$G$G&gt;400"</formula>
    </cfRule>
  </conditionalFormatting>
  <conditionalFormatting sqref="V78">
    <cfRule type="expression" priority="119" dxfId="2">
      <formula>AND(AND($Z78&lt;TODAY(),$Z78&lt;&gt;""),$AA78="")</formula>
    </cfRule>
  </conditionalFormatting>
  <conditionalFormatting sqref="V79">
    <cfRule type="expression" priority="118" dxfId="2">
      <formula>AND(AND($Z79&lt;TODAY(),$Z79&lt;&gt;""),$AA79="")</formula>
    </cfRule>
  </conditionalFormatting>
  <conditionalFormatting sqref="M81">
    <cfRule type="expression" priority="116" dxfId="420">
      <formula>"$G$G&gt;400"</formula>
    </cfRule>
  </conditionalFormatting>
  <conditionalFormatting sqref="M83">
    <cfRule type="expression" priority="115" dxfId="420">
      <formula>"$G$G&gt;400"</formula>
    </cfRule>
  </conditionalFormatting>
  <conditionalFormatting sqref="M84">
    <cfRule type="expression" priority="114" dxfId="420">
      <formula>"$G$G&gt;400"</formula>
    </cfRule>
  </conditionalFormatting>
  <conditionalFormatting sqref="V83">
    <cfRule type="expression" priority="113" dxfId="2">
      <formula>AND(AND($Z83&lt;TODAY(),$Z83&lt;&gt;""),$AA83="")</formula>
    </cfRule>
  </conditionalFormatting>
  <conditionalFormatting sqref="V84">
    <cfRule type="expression" priority="112" dxfId="2">
      <formula>AND(AND($Z84&lt;TODAY(),$Z84&lt;&gt;""),$AA84="")</formula>
    </cfRule>
  </conditionalFormatting>
  <conditionalFormatting sqref="V81">
    <cfRule type="expression" priority="111" dxfId="2">
      <formula>AND(AND($Z81&lt;TODAY(),$Z81&lt;&gt;""),$AA81="")</formula>
    </cfRule>
  </conditionalFormatting>
  <conditionalFormatting sqref="V85">
    <cfRule type="expression" priority="109" dxfId="2">
      <formula>AND(AND($Z85&lt;TODAY(),$Z85&lt;&gt;""),$AA85="")</formula>
    </cfRule>
  </conditionalFormatting>
  <conditionalFormatting sqref="M85">
    <cfRule type="expression" priority="108" dxfId="420">
      <formula>"$G$G&gt;400"</formula>
    </cfRule>
  </conditionalFormatting>
  <conditionalFormatting sqref="V86">
    <cfRule type="expression" priority="107" dxfId="2">
      <formula>AND(AND($Z86&lt;TODAY(),$Z86&lt;&gt;""),$AA86="")</formula>
    </cfRule>
  </conditionalFormatting>
  <conditionalFormatting sqref="M86">
    <cfRule type="expression" priority="106" dxfId="420">
      <formula>"$G$G&gt;400"</formula>
    </cfRule>
  </conditionalFormatting>
  <conditionalFormatting sqref="V87">
    <cfRule type="expression" priority="105" dxfId="2">
      <formula>AND(AND($Z87&lt;TODAY(),$Z87&lt;&gt;""),$AA87="")</formula>
    </cfRule>
  </conditionalFormatting>
  <conditionalFormatting sqref="M87">
    <cfRule type="expression" priority="104" dxfId="420">
      <formula>"$G$G&gt;400"</formula>
    </cfRule>
  </conditionalFormatting>
  <conditionalFormatting sqref="V88">
    <cfRule type="expression" priority="103" dxfId="2">
      <formula>AND(AND($Z88&lt;TODAY(),$Z88&lt;&gt;""),$AA88="")</formula>
    </cfRule>
  </conditionalFormatting>
  <conditionalFormatting sqref="M88">
    <cfRule type="expression" priority="102" dxfId="420">
      <formula>"$G$G&gt;400"</formula>
    </cfRule>
  </conditionalFormatting>
  <conditionalFormatting sqref="V89">
    <cfRule type="expression" priority="101" dxfId="2">
      <formula>AND(AND($Z89&lt;TODAY(),$Z89&lt;&gt;""),$AA89="")</formula>
    </cfRule>
  </conditionalFormatting>
  <conditionalFormatting sqref="M89">
    <cfRule type="expression" priority="100" dxfId="420">
      <formula>"$G$G&gt;400"</formula>
    </cfRule>
    <cfRule type="expression" priority="99" dxfId="420">
      <formula>"$G$G&gt;400"</formula>
    </cfRule>
  </conditionalFormatting>
  <conditionalFormatting sqref="V90">
    <cfRule type="expression" priority="98" dxfId="2">
      <formula>AND(AND($Z90&lt;TODAY(),$Z90&lt;&gt;""),$AA90="")</formula>
    </cfRule>
  </conditionalFormatting>
  <conditionalFormatting sqref="M91">
    <cfRule type="expression" priority="97" dxfId="420">
      <formula>"$G$G&gt;400"</formula>
    </cfRule>
  </conditionalFormatting>
  <conditionalFormatting sqref="V91">
    <cfRule type="expression" priority="96" dxfId="2">
      <formula>AND(AND($Z91&lt;TODAY(),$Z91&lt;&gt;""),$AA91="")</formula>
    </cfRule>
  </conditionalFormatting>
  <conditionalFormatting sqref="M94:M96">
    <cfRule type="expression" priority="93" dxfId="420">
      <formula>"$G$G&gt;400"</formula>
    </cfRule>
  </conditionalFormatting>
  <conditionalFormatting sqref="V94:V96">
    <cfRule type="expression" priority="92" dxfId="2">
      <formula>AND(AND($Z94&lt;TODAY(),$Z94&lt;&gt;""),$AA94="")</formula>
    </cfRule>
  </conditionalFormatting>
  <conditionalFormatting sqref="M97">
    <cfRule type="expression" priority="91" dxfId="420">
      <formula>"$G$G&gt;400"</formula>
    </cfRule>
  </conditionalFormatting>
  <conditionalFormatting sqref="V97">
    <cfRule type="expression" priority="90" dxfId="2">
      <formula>AND(AND($Z97&lt;TODAY(),$Z97&lt;&gt;""),$AA97="")</formula>
    </cfRule>
  </conditionalFormatting>
  <conditionalFormatting sqref="M98">
    <cfRule type="expression" priority="89" dxfId="420">
      <formula>"$G$G&gt;400"</formula>
    </cfRule>
  </conditionalFormatting>
  <conditionalFormatting sqref="V98">
    <cfRule type="expression" priority="88" dxfId="2">
      <formula>AND(AND($Z98&lt;TODAY(),$Z98&lt;&gt;""),$AA98="")</formula>
    </cfRule>
  </conditionalFormatting>
  <conditionalFormatting sqref="V82">
    <cfRule type="expression" priority="87" dxfId="2">
      <formula>AND(AND($Z82&lt;TODAY(),$Z82&lt;&gt;""),$AA82="")</formula>
    </cfRule>
  </conditionalFormatting>
  <conditionalFormatting sqref="V92">
    <cfRule type="expression" priority="86" dxfId="2">
      <formula>AND(AND($Z92&lt;TODAY(),$Z92&lt;&gt;""),$AA92="")</formula>
    </cfRule>
  </conditionalFormatting>
  <conditionalFormatting sqref="M101 M104">
    <cfRule type="expression" priority="85" dxfId="420">
      <formula>"$G$G&gt;400"</formula>
    </cfRule>
  </conditionalFormatting>
  <conditionalFormatting sqref="V99:V102">
    <cfRule type="expression" priority="84" dxfId="2">
      <formula>AND(AND($Z99&lt;TODAY(),$Z99&lt;&gt;""),$AA99="")</formula>
    </cfRule>
  </conditionalFormatting>
  <conditionalFormatting sqref="M100">
    <cfRule type="expression" priority="83" dxfId="420">
      <formula>"$G$G&gt;400"</formula>
    </cfRule>
    <cfRule type="expression" priority="80" dxfId="420">
      <formula>"$G$G&gt;400"</formula>
    </cfRule>
    <cfRule type="expression" priority="76" dxfId="420">
      <formula>"$G$G&gt;400"</formula>
    </cfRule>
  </conditionalFormatting>
  <conditionalFormatting sqref="M102">
    <cfRule type="expression" priority="82" dxfId="420">
      <formula>"$G$G&gt;400"</formula>
    </cfRule>
    <cfRule type="expression" priority="79" dxfId="420">
      <formula>"$G$G&gt;400"</formula>
    </cfRule>
    <cfRule type="expression" priority="75" dxfId="420">
      <formula>"$G$G&gt;400"</formula>
    </cfRule>
  </conditionalFormatting>
  <conditionalFormatting sqref="M101">
    <cfRule type="expression" priority="81" dxfId="420">
      <formula>"$G$G&gt;400"</formula>
    </cfRule>
    <cfRule type="expression" priority="78" dxfId="420">
      <formula>"$G$G&gt;400"</formula>
    </cfRule>
    <cfRule type="expression" priority="74" dxfId="420">
      <formula>"$G$G&gt;400"</formula>
    </cfRule>
  </conditionalFormatting>
  <conditionalFormatting sqref="M104">
    <cfRule type="expression" priority="77" dxfId="420">
      <formula>"$G$G&gt;400"</formula>
    </cfRule>
  </conditionalFormatting>
  <conditionalFormatting sqref="M107">
    <cfRule type="expression" priority="73" dxfId="420">
      <formula>"$G$G&gt;400"</formula>
    </cfRule>
    <cfRule type="expression" priority="72" dxfId="420">
      <formula>"$G$G&gt;400"</formula>
    </cfRule>
  </conditionalFormatting>
  <conditionalFormatting sqref="M108">
    <cfRule type="expression" priority="71" dxfId="420">
      <formula>"$G$G&gt;400"</formula>
    </cfRule>
    <cfRule type="expression" priority="70" dxfId="420">
      <formula>"$G$G&gt;400"</formula>
    </cfRule>
  </conditionalFormatting>
  <conditionalFormatting sqref="M106">
    <cfRule type="expression" priority="69" dxfId="420">
      <formula>"$G$G&gt;400"</formula>
    </cfRule>
    <cfRule type="expression" priority="68" dxfId="420">
      <formula>"$G$G&gt;400"</formula>
    </cfRule>
  </conditionalFormatting>
  <conditionalFormatting sqref="M105">
    <cfRule type="expression" priority="67" dxfId="420">
      <formula>"$G$G&gt;400"</formula>
    </cfRule>
    <cfRule type="expression" priority="66" dxfId="420">
      <formula>"$G$G&gt;400"</formula>
    </cfRule>
  </conditionalFormatting>
  <conditionalFormatting sqref="M110">
    <cfRule type="expression" priority="64" dxfId="420">
      <formula>"$G$G&gt;400"</formula>
    </cfRule>
  </conditionalFormatting>
  <conditionalFormatting sqref="M112">
    <cfRule type="expression" priority="63" dxfId="420">
      <formula>"$G$G&gt;400"</formula>
    </cfRule>
  </conditionalFormatting>
  <conditionalFormatting sqref="M99">
    <cfRule type="expression" priority="62" dxfId="420">
      <formula>"$G$G&gt;400"</formula>
    </cfRule>
  </conditionalFormatting>
  <conditionalFormatting sqref="V103:V108">
    <cfRule type="expression" priority="61" dxfId="2">
      <formula>AND(AND($Z103&lt;TODAY(),$Z103&lt;&gt;""),$AA103="")</formula>
    </cfRule>
  </conditionalFormatting>
  <conditionalFormatting sqref="M111">
    <cfRule type="expression" priority="59" dxfId="420">
      <formula>"$G$G&gt;400"</formula>
    </cfRule>
  </conditionalFormatting>
  <conditionalFormatting sqref="V115">
    <cfRule type="expression" priority="54" dxfId="2">
      <formula>AND(AND($Z115&lt;TODAY(),$Z115&lt;&gt;""),$AA115="")</formula>
    </cfRule>
  </conditionalFormatting>
  <conditionalFormatting sqref="V114">
    <cfRule type="expression" priority="58" dxfId="2">
      <formula>AND(AND($Z114&lt;TODAY(),$Z114&lt;&gt;""),$AA114="")</formula>
    </cfRule>
  </conditionalFormatting>
  <conditionalFormatting sqref="M114">
    <cfRule type="expression" priority="57" dxfId="420">
      <formula>"$G$G&gt;400"</formula>
    </cfRule>
  </conditionalFormatting>
  <conditionalFormatting sqref="M115">
    <cfRule type="expression" priority="56" dxfId="420">
      <formula>"$G$G&gt;400"</formula>
    </cfRule>
    <cfRule type="expression" priority="55" dxfId="420">
      <formula>"$G$G&gt;400"</formula>
    </cfRule>
  </conditionalFormatting>
  <conditionalFormatting sqref="M1">
    <cfRule type="expression" priority="52" dxfId="420">
      <formula>"$G$G&gt;400"</formula>
    </cfRule>
  </conditionalFormatting>
  <conditionalFormatting sqref="AB1">
    <cfRule type="iconSet" priority="51">
      <iconSet iconSet="3Symbols2">
        <cfvo type="percent" val="0"/>
        <cfvo type="percent" val="33"/>
        <cfvo type="percent" val="67"/>
      </iconSet>
    </cfRule>
  </conditionalFormatting>
  <conditionalFormatting sqref="Q127:Q131">
    <cfRule type="expression" priority="1150" dxfId="2">
      <formula>AND(AND(#REF!&lt;TODAY(),#REF!&lt;&gt;""),#REF!="")</formula>
    </cfRule>
  </conditionalFormatting>
  <conditionalFormatting sqref="V116:V126">
    <cfRule type="expression" priority="1158" dxfId="2">
      <formula>AND(AND($T116&lt;TODAY(),$T116&lt;&gt;""),#REF!="")</formula>
    </cfRule>
  </conditionalFormatting>
  <conditionalFormatting sqref="F1">
    <cfRule type="expression" priority="24" dxfId="2">
      <formula>ISBLANK($D1)</formula>
    </cfRule>
  </conditionalFormatting>
  <conditionalFormatting sqref="M21">
    <cfRule type="expression" priority="23" dxfId="420">
      <formula>"$G$G&gt;400"</formula>
    </cfRule>
  </conditionalFormatting>
  <conditionalFormatting sqref="V21">
    <cfRule type="expression" priority="22" dxfId="2">
      <formula>AND(AND($Z21&lt;TODAY(),$Z21&lt;&gt;""),$AA21="")</formula>
    </cfRule>
  </conditionalFormatting>
  <conditionalFormatting sqref="M16">
    <cfRule type="expression" priority="21" dxfId="420">
      <formula>"$G$G&gt;400"</formula>
    </cfRule>
  </conditionalFormatting>
  <conditionalFormatting sqref="V16">
    <cfRule type="expression" priority="20" dxfId="2">
      <formula>AND(AND($Z16&lt;TODAY(),$Z16&lt;&gt;""),$AA16="")</formula>
    </cfRule>
  </conditionalFormatting>
  <conditionalFormatting sqref="M12">
    <cfRule type="expression" priority="19" dxfId="420">
      <formula>"$G$G&gt;400"</formula>
    </cfRule>
  </conditionalFormatting>
  <conditionalFormatting sqref="V12">
    <cfRule type="expression" priority="18" dxfId="2">
      <formula>AND(AND($Z12&lt;TODAY(),$Z12&lt;&gt;""),$AA12="")</formula>
    </cfRule>
  </conditionalFormatting>
  <conditionalFormatting sqref="M27">
    <cfRule type="expression" priority="17" dxfId="420">
      <formula>"$G$G&gt;400"</formula>
    </cfRule>
  </conditionalFormatting>
  <conditionalFormatting sqref="V27">
    <cfRule type="expression" priority="16" dxfId="2">
      <formula>AND(AND($Z27&lt;TODAY(),$Z27&lt;&gt;""),$AA27="")</formula>
    </cfRule>
  </conditionalFormatting>
  <conditionalFormatting sqref="V46">
    <cfRule type="expression" priority="14" dxfId="2">
      <formula>AND(AND($Z46&lt;TODAY(),$Z46&lt;&gt;""),$AA46="")</formula>
    </cfRule>
  </conditionalFormatting>
  <conditionalFormatting sqref="V57">
    <cfRule type="expression" priority="12" dxfId="2">
      <formula>AND(AND($Z57&lt;TODAY(),$Z57&lt;&gt;""),$AA57="")</formula>
    </cfRule>
  </conditionalFormatting>
  <conditionalFormatting sqref="V66">
    <cfRule type="expression" priority="10" dxfId="2">
      <formula>AND(AND($Z66&lt;TODAY(),$Z66&lt;&gt;""),$AA66="")</formula>
    </cfRule>
  </conditionalFormatting>
  <conditionalFormatting sqref="V72">
    <cfRule type="expression" priority="8" dxfId="2">
      <formula>AND(AND($Z72&lt;TODAY(),$Z72&lt;&gt;""),$AA72="")</formula>
    </cfRule>
  </conditionalFormatting>
  <conditionalFormatting sqref="V80">
    <cfRule type="expression" priority="6" dxfId="2">
      <formula>AND(AND($Z80&lt;TODAY(),$Z80&lt;&gt;""),$AA80="")</formula>
    </cfRule>
  </conditionalFormatting>
  <conditionalFormatting sqref="V93">
    <cfRule type="expression" priority="4" dxfId="2">
      <formula>AND(AND($Z93&lt;TODAY(),$Z93&lt;&gt;""),$AA93="")</formula>
    </cfRule>
  </conditionalFormatting>
  <conditionalFormatting sqref="V109">
    <cfRule type="expression" priority="2" dxfId="2">
      <formula>AND(AND($Z109&lt;TODAY(),$Z109&lt;&gt;""),$AA109="")</formula>
    </cfRule>
  </conditionalFormatting>
  <conditionalFormatting sqref="M46 M57 M66 M72 M80 M93 M109">
    <cfRule type="expression" priority="1" dxfId="420">
      <formula>"$G$G&gt;400"</formula>
    </cfRule>
  </conditionalFormatting>
  <dataValidations count="1">
    <dataValidation sqref="J2:J115" showDropDown="0" showInputMessage="1" showErrorMessage="1" allowBlank="1" type="list">
      <formula1>Spesenart</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28.xml><?xml version="1.0" encoding="utf-8"?>
<worksheet xmlns="http://schemas.openxmlformats.org/spreadsheetml/2006/main">
  <sheetPr codeName="Tabelle12">
    <outlinePr summaryBelow="1" summaryRight="1"/>
    <pageSetUpPr/>
  </sheetPr>
  <dimension ref="A1:O122"/>
  <sheetViews>
    <sheetView workbookViewId="0">
      <pane xSplit="1" ySplit="1" topLeftCell="B11" activePane="bottomRight" state="frozen"/>
      <selection pane="topRight" activeCell="B1" sqref="B1"/>
      <selection pane="bottomLeft" activeCell="A2" sqref="A2"/>
      <selection pane="bottomRight" activeCell="A1" sqref="A1:XFD1048576"/>
    </sheetView>
  </sheetViews>
  <sheetFormatPr baseColWidth="10" defaultRowHeight="15"/>
  <cols>
    <col hidden="1" min="3" max="3"/>
    <col hidden="1" min="7" max="8"/>
    <col hidden="1" width="11.42578125" customWidth="1" min="10" max="11"/>
    <col width="11.42578125" customWidth="1" min="13" max="13"/>
    <col hidden="1" min="15" max="15"/>
  </cols>
  <sheetData>
    <row r="1">
      <c r="A1" s="2" t="inlineStr">
        <is>
          <t>Lfd. Nr.</t>
        </is>
      </c>
      <c r="B1" s="2" t="inlineStr">
        <is>
          <t>Zahlungsdatum</t>
        </is>
      </c>
      <c r="C1" s="8" t="inlineStr">
        <is>
          <t>Rechnungsnummer</t>
        </is>
      </c>
      <c r="D1" s="2" t="inlineStr">
        <is>
          <t>Buchungstext</t>
        </is>
      </c>
      <c r="E1" s="2" t="inlineStr">
        <is>
          <t>Kategorie</t>
        </is>
      </c>
      <c r="F1" s="15" t="inlineStr">
        <is>
          <t>Spesenart</t>
        </is>
      </c>
      <c r="G1" s="11" t="inlineStr">
        <is>
          <t>Netto Einzelpreis</t>
        </is>
      </c>
      <c r="H1" s="52" t="inlineStr">
        <is>
          <t>Anteil (v1)</t>
        </is>
      </c>
      <c r="I1" s="263" t="inlineStr">
        <is>
          <t>Bruttobetrag (antlg.)</t>
        </is>
      </c>
      <c r="J1" s="26" t="inlineStr">
        <is>
          <t>USt.(%)</t>
        </is>
      </c>
      <c r="K1" s="261" t="inlineStr">
        <is>
          <t>Vorsteuer gesamt</t>
        </is>
      </c>
      <c r="L1" t="inlineStr">
        <is>
          <t>Ust%</t>
        </is>
      </c>
      <c r="M1" s="261" t="inlineStr">
        <is>
          <t>Vorsteuer (antlg.)</t>
        </is>
      </c>
      <c r="N1" s="262" t="inlineStr">
        <is>
          <t>Nettobetrag (antlg.)</t>
        </is>
      </c>
      <c r="O1" s="263" t="inlineStr">
        <is>
          <t>Brutto (100%)</t>
        </is>
      </c>
    </row>
    <row r="2">
      <c r="A2" t="n">
        <v>183</v>
      </c>
      <c r="B2" s="1" t="n">
        <v>42744</v>
      </c>
      <c r="C2" s="9" t="inlineStr">
        <is>
          <t>6124616522</t>
        </is>
      </c>
      <c r="D2" s="1" t="inlineStr">
        <is>
          <t xml:space="preserve">Hutchison Drei Austria GmbH, Brünner Straße 52, 1210 Wien, Österreich: </t>
        </is>
      </c>
      <c r="E2" s="1" t="inlineStr">
        <is>
          <t>Ausgaben</t>
        </is>
      </c>
      <c r="F2" s="16" t="n"/>
      <c r="G2" s="36" t="n">
        <v>15</v>
      </c>
      <c r="H2" s="51" t="n">
        <v>1</v>
      </c>
      <c r="I2" s="251" t="n">
        <v>18</v>
      </c>
      <c r="J2" s="27" t="n">
        <v>20</v>
      </c>
      <c r="K2" s="237" t="n">
        <v>3</v>
      </c>
      <c r="L2">
        <f>J2&amp;"%"</f>
        <v/>
      </c>
      <c r="M2" s="237" t="n">
        <v>3</v>
      </c>
      <c r="N2" s="208" t="n">
        <v>15</v>
      </c>
      <c r="O2" s="251" t="n">
        <v>18</v>
      </c>
    </row>
    <row r="3">
      <c r="A3" t="n">
        <v>184</v>
      </c>
      <c r="B3" s="1" t="n">
        <v>42738</v>
      </c>
      <c r="C3" s="9" t="inlineStr">
        <is>
          <t>RE0439013</t>
        </is>
      </c>
      <c r="D3" s="1" t="inlineStr">
        <is>
          <t>easyname GmbH, Fernkorngasse 10/3/501, 1110 Wien: Domain: dr-schiller.at</t>
        </is>
      </c>
      <c r="E3" s="1" t="inlineStr">
        <is>
          <t>Ausgaben</t>
        </is>
      </c>
      <c r="F3" s="16" t="n"/>
      <c r="G3" s="36" t="n">
        <v>12.42</v>
      </c>
      <c r="H3" s="51" t="n">
        <v>1</v>
      </c>
      <c r="I3" s="251" t="n">
        <v>14.904</v>
      </c>
      <c r="J3" s="27" t="n">
        <v>20</v>
      </c>
      <c r="K3" s="237" t="n">
        <v>2.484</v>
      </c>
      <c r="L3">
        <f>J3&amp;"%"</f>
        <v/>
      </c>
      <c r="M3" s="237" t="n">
        <v>2.484</v>
      </c>
      <c r="N3" s="208" t="n">
        <v>12.42</v>
      </c>
      <c r="O3" s="251" t="n">
        <v>14.904</v>
      </c>
    </row>
    <row r="4">
      <c r="A4" t="n">
        <v>188</v>
      </c>
      <c r="B4" s="1" t="n">
        <v>42744</v>
      </c>
      <c r="C4" s="9" t="inlineStr">
        <is>
          <t>2017/8058/14</t>
        </is>
      </c>
      <c r="D4" s="1" t="inlineStr">
        <is>
          <t>27,32 % von € 881,95: PREMIUM Laudongasse 58 GmbH &amp; Co KG: Dauerrechnung 2017-01</t>
        </is>
      </c>
      <c r="E4" s="1" t="inlineStr">
        <is>
          <t>Ausgaben</t>
        </is>
      </c>
      <c r="F4" s="16" t="n"/>
      <c r="G4" s="36" t="n">
        <v>801.77</v>
      </c>
      <c r="H4" s="51" t="n">
        <v>0.2732037841984147</v>
      </c>
      <c r="I4" s="251" t="n">
        <v>240.9512578624393</v>
      </c>
      <c r="J4" s="27" t="n">
        <v>10</v>
      </c>
      <c r="K4" s="237" t="n">
        <v>80.17699999999999</v>
      </c>
      <c r="L4">
        <f>J4&amp;"%"</f>
        <v/>
      </c>
      <c r="M4" s="237" t="n">
        <v>21.9046598056763</v>
      </c>
      <c r="N4" s="208" t="n">
        <v>219.046598056763</v>
      </c>
      <c r="O4" s="251" t="n">
        <v>881.947</v>
      </c>
    </row>
    <row r="5">
      <c r="A5" t="n">
        <v>189</v>
      </c>
      <c r="B5" s="1" t="n">
        <v>42760</v>
      </c>
      <c r="C5" s="9" t="inlineStr">
        <is>
          <t>2017/8058/14</t>
        </is>
      </c>
      <c r="D5" s="1" t="inlineStr">
        <is>
          <t>27,32 % von € 881,95: PREMIUM Laudongasse 58 GmbH &amp; Co KG: Dauerrechnung 2017-D-2</t>
        </is>
      </c>
      <c r="E5" s="1" t="inlineStr">
        <is>
          <t>Ausgaben</t>
        </is>
      </c>
      <c r="F5" s="16" t="n"/>
      <c r="G5" s="36" t="n">
        <v>801.77</v>
      </c>
      <c r="H5" s="51" t="n">
        <v>0.2732037841984147</v>
      </c>
      <c r="I5" s="251" t="n">
        <v>240.9512578624393</v>
      </c>
      <c r="J5" s="27" t="n">
        <v>10</v>
      </c>
      <c r="K5" s="237" t="n">
        <v>80.17699999999999</v>
      </c>
      <c r="L5">
        <f>J5&amp;"%"</f>
        <v/>
      </c>
      <c r="M5" s="237" t="n">
        <v>21.9046598056763</v>
      </c>
      <c r="N5" s="208" t="n">
        <v>219.046598056763</v>
      </c>
      <c r="O5" s="251" t="n">
        <v>881.947</v>
      </c>
    </row>
    <row r="6">
      <c r="A6" t="n">
        <v>190</v>
      </c>
      <c r="B6" s="1" t="n">
        <v>42768</v>
      </c>
      <c r="C6" s="9" t="inlineStr">
        <is>
          <t>6126460995</t>
        </is>
      </c>
      <c r="D6" s="1" t="inlineStr">
        <is>
          <t xml:space="preserve">Hutchison Drei Austria GmbH, Brünner Straße 52, 1210 Wien, Österreich: </t>
        </is>
      </c>
      <c r="E6" s="1" t="inlineStr">
        <is>
          <t>Ausgaben</t>
        </is>
      </c>
      <c r="F6" s="16" t="n"/>
      <c r="G6" s="36" t="n">
        <v>15</v>
      </c>
      <c r="H6" s="51" t="n">
        <v>1</v>
      </c>
      <c r="I6" s="251" t="n">
        <v>18</v>
      </c>
      <c r="J6" s="27" t="n">
        <v>20</v>
      </c>
      <c r="K6" s="237" t="n">
        <v>3</v>
      </c>
      <c r="L6">
        <f>J6&amp;"%"</f>
        <v/>
      </c>
      <c r="M6" s="237" t="n">
        <v>3</v>
      </c>
      <c r="N6" s="208" t="n">
        <v>15</v>
      </c>
      <c r="O6" s="251" t="n">
        <v>18</v>
      </c>
    </row>
    <row r="7">
      <c r="A7" t="n">
        <v>191</v>
      </c>
      <c r="B7" s="1" t="n">
        <v>42768</v>
      </c>
      <c r="C7" s="9" t="inlineStr">
        <is>
          <t>RE0447849</t>
        </is>
      </c>
      <c r="D7" s="1" t="inlineStr">
        <is>
          <t>easyname GmbH, Fernkorngasse 10/3/501, 1110 Wien: Domain: amweg.at</t>
        </is>
      </c>
      <c r="E7" s="1" t="inlineStr">
        <is>
          <t>Ausgaben</t>
        </is>
      </c>
      <c r="F7" s="16" t="n"/>
      <c r="G7" s="36" t="n">
        <v>12.42</v>
      </c>
      <c r="H7" s="51" t="n">
        <v>1</v>
      </c>
      <c r="I7" s="251" t="n">
        <v>14.904</v>
      </c>
      <c r="J7" s="27" t="n">
        <v>20</v>
      </c>
      <c r="K7" s="237" t="n">
        <v>2.484</v>
      </c>
      <c r="L7">
        <f>J7&amp;"%"</f>
        <v/>
      </c>
      <c r="M7" s="237" t="n">
        <v>2.484</v>
      </c>
      <c r="N7" s="208" t="n">
        <v>12.42</v>
      </c>
      <c r="O7" s="251" t="n">
        <v>14.904</v>
      </c>
    </row>
    <row r="8">
      <c r="A8" t="n">
        <v>192</v>
      </c>
      <c r="B8" s="1" t="n">
        <v>42761</v>
      </c>
      <c r="C8" s="9" t="inlineStr">
        <is>
          <t>RE0445823</t>
        </is>
      </c>
      <c r="D8" s="1" t="inlineStr">
        <is>
          <t>easyname GmbH, Fernkorngasse 10/3/501, 1110 Wien: Domain: jarosoft.at</t>
        </is>
      </c>
      <c r="E8" s="1" t="inlineStr">
        <is>
          <t>Ausgaben</t>
        </is>
      </c>
      <c r="F8" s="16" t="n"/>
      <c r="G8" s="36" t="n">
        <v>12.42</v>
      </c>
      <c r="H8" s="51" t="n">
        <v>1</v>
      </c>
      <c r="I8" s="251" t="n">
        <v>14.904</v>
      </c>
      <c r="J8" s="27" t="n">
        <v>20</v>
      </c>
      <c r="K8" s="237" t="n">
        <v>2.484</v>
      </c>
      <c r="L8">
        <f>J8&amp;"%"</f>
        <v/>
      </c>
      <c r="M8" s="237" t="n">
        <v>2.484</v>
      </c>
      <c r="N8" s="208" t="n">
        <v>12.42</v>
      </c>
      <c r="O8" s="251" t="n">
        <v>14.904</v>
      </c>
    </row>
    <row r="9">
      <c r="A9" t="n">
        <v>193</v>
      </c>
      <c r="B9" s="1" t="n">
        <v>42745</v>
      </c>
      <c r="C9" s="9" t="inlineStr">
        <is>
          <t>R0006532557</t>
        </is>
      </c>
      <c r="D9" s="1" t="inlineStr">
        <is>
          <t>Hetzner Online AG, Industriestr. 25, 91710 Gunzenhausen: EQ4 Server #50605 30TB 188.40.75.200, 188.40.75.242</t>
        </is>
      </c>
      <c r="E9" s="1" t="inlineStr">
        <is>
          <t>Ausgaben</t>
        </is>
      </c>
      <c r="F9" s="16" t="n"/>
      <c r="G9" s="36" t="n">
        <v>42.02</v>
      </c>
      <c r="H9" s="51" t="n">
        <v>1</v>
      </c>
      <c r="I9" s="251" t="n">
        <v>42.02</v>
      </c>
      <c r="J9" s="27" t="n">
        <v>0</v>
      </c>
      <c r="K9" s="237" t="n">
        <v>0</v>
      </c>
      <c r="L9" t="inlineStr">
        <is>
          <t>reverse charge</t>
        </is>
      </c>
      <c r="M9" s="237" t="n">
        <v>0</v>
      </c>
      <c r="N9" s="208" t="n">
        <v>42.02</v>
      </c>
      <c r="O9" s="251" t="n">
        <v>42.02</v>
      </c>
    </row>
    <row r="10">
      <c r="A10" t="n">
        <v>194</v>
      </c>
      <c r="B10" s="1" t="n">
        <v>42765</v>
      </c>
      <c r="C10" s="9" t="n"/>
      <c r="D10" s="1" t="inlineStr">
        <is>
          <t>Wiener Linien GmbH &amp; Co KG, Erdbergstraße 202, 1031 Wien: Jahreskarte</t>
        </is>
      </c>
      <c r="E10" s="1" t="inlineStr">
        <is>
          <t>Ausgaben</t>
        </is>
      </c>
      <c r="F10" s="16" t="n"/>
      <c r="G10" s="36" t="n">
        <v>331.82</v>
      </c>
      <c r="H10" s="51" t="n">
        <v>1</v>
      </c>
      <c r="I10" s="251" t="n">
        <v>365.002</v>
      </c>
      <c r="J10" s="27" t="n">
        <v>10</v>
      </c>
      <c r="K10" s="237" t="n">
        <v>33.182</v>
      </c>
      <c r="L10">
        <f>J10&amp;"%"</f>
        <v/>
      </c>
      <c r="M10" s="237" t="n">
        <v>33.182</v>
      </c>
      <c r="N10" s="208" t="n">
        <v>331.82</v>
      </c>
      <c r="O10" s="251" t="n">
        <v>365.002</v>
      </c>
    </row>
    <row r="11">
      <c r="A11" t="n">
        <v>195</v>
      </c>
      <c r="B11" s="1" t="n">
        <v>42776</v>
      </c>
      <c r="C11" s="9" t="inlineStr">
        <is>
          <t>R0006624857</t>
        </is>
      </c>
      <c r="D11" s="1" t="inlineStr">
        <is>
          <t>Hetzner Online AG, Industriestr. 25, 91710 Gunzenhausen: EQ4 Server #50605 30TB 188.40.75.200, 188.40.75.242</t>
        </is>
      </c>
      <c r="E11" s="1" t="inlineStr">
        <is>
          <t>Ausgaben</t>
        </is>
      </c>
      <c r="F11" s="16" t="n"/>
      <c r="G11" s="36" t="n">
        <v>42.02</v>
      </c>
      <c r="H11" s="51" t="n">
        <v>1</v>
      </c>
      <c r="I11" s="251" t="n">
        <v>42.02</v>
      </c>
      <c r="J11" s="27" t="n">
        <v>0</v>
      </c>
      <c r="K11" s="237" t="n">
        <v>0</v>
      </c>
      <c r="L11">
        <f>J11&amp;"%"</f>
        <v/>
      </c>
      <c r="M11" s="237" t="n">
        <v>0</v>
      </c>
      <c r="N11" s="208" t="n">
        <v>42.02</v>
      </c>
      <c r="O11" s="251" t="n">
        <v>42.02</v>
      </c>
    </row>
    <row r="12">
      <c r="A12" t="n">
        <v>197</v>
      </c>
      <c r="B12" s="1" t="n">
        <v>42800</v>
      </c>
      <c r="C12" s="9" t="inlineStr">
        <is>
          <t>6128353497</t>
        </is>
      </c>
      <c r="D12" s="1" t="inlineStr">
        <is>
          <t xml:space="preserve">Hutchison Drei Austria GmbH, Brünner Straße 52, 1210 Wien, Österreich: </t>
        </is>
      </c>
      <c r="E12" s="1" t="inlineStr">
        <is>
          <t>Ausgaben</t>
        </is>
      </c>
      <c r="F12" s="16" t="n"/>
      <c r="G12" s="36" t="n">
        <v>15</v>
      </c>
      <c r="H12" s="51" t="n">
        <v>1</v>
      </c>
      <c r="I12" s="251" t="n">
        <v>18</v>
      </c>
      <c r="J12" s="27" t="n">
        <v>20</v>
      </c>
      <c r="K12" s="237" t="n">
        <v>3</v>
      </c>
      <c r="L12">
        <f>J12&amp;"%"</f>
        <v/>
      </c>
      <c r="M12" s="237" t="n">
        <v>3</v>
      </c>
      <c r="N12" s="208" t="n">
        <v>15</v>
      </c>
      <c r="O12" s="251" t="n">
        <v>18</v>
      </c>
    </row>
    <row r="13">
      <c r="A13" t="n">
        <v>198</v>
      </c>
      <c r="B13" s="1" t="n">
        <v>42794</v>
      </c>
      <c r="C13" s="9" t="inlineStr">
        <is>
          <t>PRM317020006273</t>
        </is>
      </c>
      <c r="D13" s="1" t="inlineStr">
        <is>
          <t>XING AG, D-20354 Hamburg, Dammtorstrasse 30: Three-month Premium membership</t>
        </is>
      </c>
      <c r="E13" s="1" t="inlineStr">
        <is>
          <t>Ausgaben</t>
        </is>
      </c>
      <c r="F13" s="16" t="n"/>
      <c r="G13" s="36" t="n">
        <v>24.87</v>
      </c>
      <c r="H13" s="51" t="n">
        <v>1</v>
      </c>
      <c r="I13" s="251" t="n">
        <v>29.85</v>
      </c>
      <c r="J13" s="27" t="n">
        <v>20</v>
      </c>
      <c r="K13" s="237" t="n">
        <v>4.98</v>
      </c>
      <c r="L13">
        <f>J13&amp;"%"</f>
        <v/>
      </c>
      <c r="M13" s="237" t="n">
        <v>4.98</v>
      </c>
      <c r="N13" s="208" t="n">
        <v>24.87</v>
      </c>
      <c r="O13" s="251" t="n">
        <v>29.85</v>
      </c>
    </row>
    <row r="14">
      <c r="A14" t="n">
        <v>199</v>
      </c>
      <c r="B14" s="1" t="n">
        <v>42795</v>
      </c>
      <c r="C14" s="9" t="inlineStr">
        <is>
          <t>EUVINS1-OFS-PL-277465836</t>
        </is>
      </c>
      <c r="D14" s="1" t="inlineStr">
        <is>
          <t>Amazon EU Sàrl, 5 Rue Plaetis, L-2338, Luxemburg: Sennheiser PC 7 USB Headset | B005HWEZ98</t>
        </is>
      </c>
      <c r="E14" s="1" t="inlineStr">
        <is>
          <t>Ausgaben</t>
        </is>
      </c>
      <c r="F14" s="16" t="n"/>
      <c r="G14" s="36" t="n">
        <v>19.32</v>
      </c>
      <c r="H14" s="51" t="n">
        <v>1</v>
      </c>
      <c r="I14" s="251" t="n">
        <v>23.184</v>
      </c>
      <c r="J14" s="27" t="n">
        <v>20</v>
      </c>
      <c r="K14" s="237" t="n">
        <v>3.864</v>
      </c>
      <c r="L14">
        <f>J14&amp;"%"</f>
        <v/>
      </c>
      <c r="M14" s="237" t="n">
        <v>3.864</v>
      </c>
      <c r="N14" s="208" t="n">
        <v>19.32</v>
      </c>
      <c r="O14" s="251" t="n">
        <v>23.184</v>
      </c>
    </row>
    <row r="15">
      <c r="A15" t="n">
        <v>200</v>
      </c>
      <c r="B15" s="1" t="n">
        <v>42803</v>
      </c>
      <c r="C15" s="9" t="inlineStr">
        <is>
          <t>13263277</t>
        </is>
      </c>
      <c r="D15" s="1" t="inlineStr">
        <is>
          <t>Primus Office products Handelsges.mb.H &amp; Co KG FN210677w - ATU52268004, Margaretengürtel 44, 1050 Wien: Samsung Toner black CLT-K506L 6000 S.</t>
        </is>
      </c>
      <c r="E15" s="1" t="inlineStr">
        <is>
          <t>Ausgaben</t>
        </is>
      </c>
      <c r="F15" s="16" t="n"/>
      <c r="G15" s="36" t="n">
        <v>67.95999999999999</v>
      </c>
      <c r="H15" s="51" t="n">
        <v>1</v>
      </c>
      <c r="I15" s="251" t="n">
        <v>81.55199999999999</v>
      </c>
      <c r="J15" s="27" t="n">
        <v>20</v>
      </c>
      <c r="K15" s="237" t="n">
        <v>13.592</v>
      </c>
      <c r="L15">
        <f>J15&amp;"%"</f>
        <v/>
      </c>
      <c r="M15" s="237" t="n">
        <v>13.592</v>
      </c>
      <c r="N15" s="208" t="n">
        <v>67.95999999999999</v>
      </c>
      <c r="O15" s="251" t="n">
        <v>81.55199999999999</v>
      </c>
    </row>
    <row r="16">
      <c r="A16" t="n">
        <v>201</v>
      </c>
      <c r="B16" s="1" t="n">
        <v>42803</v>
      </c>
      <c r="C16" s="9" t="inlineStr">
        <is>
          <t>GCINIE6426071CAT2017000000045250</t>
        </is>
      </c>
      <c r="D16" s="1" t="inlineStr">
        <is>
          <t>Digital River Ireland Ltd, Unit 153, Shannon Free Zone West, Shannon, Co. Clare, Ireland: Dragon Professional Individual v15 elektron. Download</t>
        </is>
      </c>
      <c r="E16" s="1" t="inlineStr">
        <is>
          <t>Ausgaben</t>
        </is>
      </c>
      <c r="F16" s="16" t="n"/>
      <c r="G16" s="36" t="n">
        <v>332.5</v>
      </c>
      <c r="H16" s="51" t="n">
        <v>1</v>
      </c>
      <c r="I16" s="251" t="n">
        <v>332.5</v>
      </c>
      <c r="J16" s="27" t="n">
        <v>0</v>
      </c>
      <c r="K16" s="237" t="n">
        <v>0</v>
      </c>
      <c r="L16">
        <f>J16&amp;"%"</f>
        <v/>
      </c>
      <c r="M16" s="237" t="n">
        <v>0</v>
      </c>
      <c r="N16" s="208" t="n">
        <v>332.5</v>
      </c>
      <c r="O16" s="251" t="n">
        <v>332.5</v>
      </c>
    </row>
    <row r="17">
      <c r="A17" t="n">
        <v>202</v>
      </c>
      <c r="B17" s="1" t="n">
        <v>42825</v>
      </c>
      <c r="C17" s="9" t="inlineStr">
        <is>
          <t>6130716022</t>
        </is>
      </c>
      <c r="D17" s="1" t="inlineStr">
        <is>
          <t xml:space="preserve">Hutchison Drei Austria GmbH, Brünner Straße 52, 1210 Wien, Österreich: </t>
        </is>
      </c>
      <c r="E17" s="1" t="inlineStr">
        <is>
          <t>Ausgaben</t>
        </is>
      </c>
      <c r="F17" s="16" t="n"/>
      <c r="G17" s="36" t="n">
        <v>15</v>
      </c>
      <c r="H17" s="51" t="n">
        <v>1</v>
      </c>
      <c r="I17" s="251" t="n">
        <v>18</v>
      </c>
      <c r="J17" s="27" t="n">
        <v>20</v>
      </c>
      <c r="K17" s="237" t="n">
        <v>3</v>
      </c>
      <c r="L17">
        <f>J17&amp;"%"</f>
        <v/>
      </c>
      <c r="M17" s="237" t="n">
        <v>3</v>
      </c>
      <c r="N17" s="208" t="n">
        <v>15</v>
      </c>
      <c r="O17" s="251" t="n">
        <v>18</v>
      </c>
    </row>
    <row r="18">
      <c r="A18" t="n">
        <v>203</v>
      </c>
      <c r="B18" s="1" t="n">
        <v>42860</v>
      </c>
      <c r="C18" s="9" t="inlineStr">
        <is>
          <t>6132930597</t>
        </is>
      </c>
      <c r="D18" s="1" t="inlineStr">
        <is>
          <t xml:space="preserve">Hutchison Drei Austria GmbH, Brünner Straße 52, 1210 Wien, Österreich: </t>
        </is>
      </c>
      <c r="E18" s="1" t="inlineStr">
        <is>
          <t>Ausgaben</t>
        </is>
      </c>
      <c r="F18" s="16" t="n"/>
      <c r="G18" s="36" t="n">
        <v>16.03</v>
      </c>
      <c r="H18" s="51" t="n">
        <v>1</v>
      </c>
      <c r="I18" s="251" t="n">
        <v>19.236</v>
      </c>
      <c r="J18" s="27" t="n">
        <v>20</v>
      </c>
      <c r="K18" s="237" t="n">
        <v>3.206</v>
      </c>
      <c r="L18">
        <f>J18&amp;"%"</f>
        <v/>
      </c>
      <c r="M18" s="237" t="n">
        <v>3.206</v>
      </c>
      <c r="N18" s="208" t="n">
        <v>16.03</v>
      </c>
      <c r="O18" s="251" t="n">
        <v>19.236</v>
      </c>
    </row>
    <row r="19">
      <c r="A19" t="n">
        <v>204</v>
      </c>
      <c r="B19" s="1" t="n">
        <v>42892</v>
      </c>
      <c r="C19" s="9" t="inlineStr">
        <is>
          <t>171001871465</t>
        </is>
      </c>
      <c r="D19" s="1" t="inlineStr">
        <is>
          <t>WKO: Grundumlage UBIT</t>
        </is>
      </c>
      <c r="E19" s="1" t="inlineStr">
        <is>
          <t>Ausgaben</t>
        </is>
      </c>
      <c r="F19" s="16" t="n"/>
      <c r="G19" s="36" t="n">
        <v>65</v>
      </c>
      <c r="H19" s="51" t="n">
        <v>1</v>
      </c>
      <c r="I19" s="251" t="n">
        <v>65</v>
      </c>
      <c r="J19" s="27" t="n">
        <v>0</v>
      </c>
      <c r="K19" s="237" t="n">
        <v>0</v>
      </c>
      <c r="L19">
        <f>J19&amp;"%"</f>
        <v/>
      </c>
      <c r="M19" s="237" t="n">
        <v>0</v>
      </c>
      <c r="N19" s="208" t="n">
        <v>65</v>
      </c>
      <c r="O19" s="251" t="n">
        <v>65</v>
      </c>
    </row>
    <row r="20">
      <c r="A20" t="n">
        <v>205</v>
      </c>
      <c r="B20" s="1" t="n">
        <v>42906</v>
      </c>
      <c r="C20" s="9" t="inlineStr">
        <is>
          <t>AEU-INV-AT-2017-3205734</t>
        </is>
      </c>
      <c r="D20" s="1" t="inlineStr">
        <is>
          <t>Amazon EU Sàrl, 5 Rue Plaetis, L-2338, Luxemburg: Scythe USB_2FS-2 USB Fußschalter | B004FS0120</t>
        </is>
      </c>
      <c r="E20" s="1" t="inlineStr">
        <is>
          <t>Ausgaben</t>
        </is>
      </c>
      <c r="F20" s="16" t="n"/>
      <c r="G20" s="36" t="n">
        <v>33.54</v>
      </c>
      <c r="H20" s="51" t="n">
        <v>1</v>
      </c>
      <c r="I20" s="251" t="n">
        <v>40.248</v>
      </c>
      <c r="J20" s="27" t="n">
        <v>20</v>
      </c>
      <c r="K20" s="237" t="n">
        <v>6.707999999999999</v>
      </c>
      <c r="L20">
        <f>J20&amp;"%"</f>
        <v/>
      </c>
      <c r="M20" s="237" t="n">
        <v>6.707999999999999</v>
      </c>
      <c r="N20" s="208" t="n">
        <v>33.54</v>
      </c>
      <c r="O20" s="251" t="n">
        <v>40.248</v>
      </c>
    </row>
    <row r="21">
      <c r="A21" t="n">
        <v>206</v>
      </c>
      <c r="B21" s="1" t="n">
        <v>42907</v>
      </c>
      <c r="C21" s="9" t="inlineStr">
        <is>
          <t>6994178796</t>
        </is>
      </c>
      <c r="D21" s="1" t="inlineStr">
        <is>
          <t>Microsoft Ireland Operations Ltd., Atrium Building Block B, Carmenhall Rd., Sandyford Industrial Estate, Dublin 18, Ireland: Office 365</t>
        </is>
      </c>
      <c r="E21" s="1" t="inlineStr">
        <is>
          <t>Ausgaben</t>
        </is>
      </c>
      <c r="F21" s="16" t="n"/>
      <c r="G21" s="36" t="n">
        <v>57.5</v>
      </c>
      <c r="H21" s="51" t="n">
        <v>1</v>
      </c>
      <c r="I21" s="251" t="n">
        <v>69</v>
      </c>
      <c r="J21" s="27" t="n">
        <v>20</v>
      </c>
      <c r="K21" s="237" t="n">
        <v>11.5</v>
      </c>
      <c r="L21">
        <f>J21&amp;"%"</f>
        <v/>
      </c>
      <c r="M21" s="237" t="n">
        <v>11.5</v>
      </c>
      <c r="N21" s="208" t="n">
        <v>57.5</v>
      </c>
      <c r="O21" s="251" t="n">
        <v>69</v>
      </c>
    </row>
    <row r="22">
      <c r="A22" t="n">
        <v>207</v>
      </c>
      <c r="B22" s="1" t="n">
        <v>42888</v>
      </c>
      <c r="C22" s="9" t="inlineStr">
        <is>
          <t>6134782309</t>
        </is>
      </c>
      <c r="D22" s="1" t="inlineStr">
        <is>
          <t xml:space="preserve">Hutchison Drei Austria GmbH, Brünner Straße 52, 1210 Wien, Österreich: </t>
        </is>
      </c>
      <c r="E22" s="1" t="inlineStr">
        <is>
          <t>Ausgaben</t>
        </is>
      </c>
      <c r="F22" s="16" t="n"/>
      <c r="G22" s="36" t="n">
        <v>15</v>
      </c>
      <c r="H22" s="51" t="n">
        <v>1</v>
      </c>
      <c r="I22" s="251" t="n">
        <v>18</v>
      </c>
      <c r="J22" s="27" t="n">
        <v>20</v>
      </c>
      <c r="K22" s="237" t="n">
        <v>3</v>
      </c>
      <c r="L22">
        <f>J22&amp;"%"</f>
        <v/>
      </c>
      <c r="M22" s="237" t="n">
        <v>3</v>
      </c>
      <c r="N22" s="208" t="n">
        <v>15</v>
      </c>
      <c r="O22" s="251" t="n">
        <v>18</v>
      </c>
    </row>
    <row r="23">
      <c r="A23" t="n">
        <v>208</v>
      </c>
      <c r="B23" s="1" t="n">
        <v>42793</v>
      </c>
      <c r="C23" s="9" t="inlineStr">
        <is>
          <t>2017/8058/14</t>
        </is>
      </c>
      <c r="D23" s="1" t="inlineStr">
        <is>
          <t>27,32 % von € 881,95: PREMIUM Laudongasse 58 GmbH &amp; Co KG: Dauerrechnung 2017-D-3</t>
        </is>
      </c>
      <c r="E23" s="1" t="inlineStr">
        <is>
          <t>Ausgaben</t>
        </is>
      </c>
      <c r="F23" s="16" t="n"/>
      <c r="G23" s="36" t="n">
        <v>801.77</v>
      </c>
      <c r="H23" s="51" t="n">
        <v>0.2732037841984147</v>
      </c>
      <c r="I23" s="251" t="n">
        <v>240.9512578624393</v>
      </c>
      <c r="J23" s="27" t="n">
        <v>10</v>
      </c>
      <c r="K23" s="237" t="n">
        <v>80.17699999999999</v>
      </c>
      <c r="L23">
        <f>J23&amp;"%"</f>
        <v/>
      </c>
      <c r="M23" s="237" t="n">
        <v>21.9046598056763</v>
      </c>
      <c r="N23" s="208" t="n">
        <v>219.046598056763</v>
      </c>
      <c r="O23" s="251" t="n">
        <v>881.947</v>
      </c>
    </row>
    <row r="24">
      <c r="A24" t="n">
        <v>209</v>
      </c>
      <c r="B24" s="1" t="n">
        <v>42821</v>
      </c>
      <c r="C24" s="9" t="inlineStr">
        <is>
          <t>2017/8058/14</t>
        </is>
      </c>
      <c r="D24" s="1" t="inlineStr">
        <is>
          <t>27,32 % von € 881,95: PREMIUM Laudongasse 58 GmbH &amp; Co KG: Dauerrechnung 2017-D-4</t>
        </is>
      </c>
      <c r="E24" s="1" t="inlineStr">
        <is>
          <t>Ausgaben</t>
        </is>
      </c>
      <c r="F24" s="16" t="n"/>
      <c r="G24" s="36" t="n">
        <v>801.77</v>
      </c>
      <c r="H24" s="51" t="n">
        <v>0.2732037841984147</v>
      </c>
      <c r="I24" s="251" t="n">
        <v>240.9512578624393</v>
      </c>
      <c r="J24" s="27" t="n">
        <v>10</v>
      </c>
      <c r="K24" s="237" t="n">
        <v>80.17699999999999</v>
      </c>
      <c r="L24">
        <f>J24&amp;"%"</f>
        <v/>
      </c>
      <c r="M24" s="237" t="n">
        <v>21.9046598056763</v>
      </c>
      <c r="N24" s="208" t="n">
        <v>219.046598056763</v>
      </c>
      <c r="O24" s="251" t="n">
        <v>881.947</v>
      </c>
    </row>
    <row r="25">
      <c r="A25" t="n">
        <v>210</v>
      </c>
      <c r="B25" s="1" t="n">
        <v>42850</v>
      </c>
      <c r="C25" s="9" t="inlineStr">
        <is>
          <t>2017/8058/14</t>
        </is>
      </c>
      <c r="D25" s="1" t="inlineStr">
        <is>
          <t>27,32 % von € 881,95: PREMIUM Laudongasse 58 GmbH &amp; Co KG: Dauerrechnung 2017-D-5</t>
        </is>
      </c>
      <c r="E25" s="1" t="inlineStr">
        <is>
          <t>Ausgaben</t>
        </is>
      </c>
      <c r="F25" s="16" t="n"/>
      <c r="G25" s="36" t="n">
        <v>801.77</v>
      </c>
      <c r="H25" s="51" t="n">
        <v>0.2732037841984147</v>
      </c>
      <c r="I25" s="251" t="n">
        <v>240.9512578624393</v>
      </c>
      <c r="J25" s="27" t="n">
        <v>10</v>
      </c>
      <c r="K25" s="237" t="n">
        <v>80.17699999999999</v>
      </c>
      <c r="L25">
        <f>J25&amp;"%"</f>
        <v/>
      </c>
      <c r="M25" s="237" t="n">
        <v>21.9046598056763</v>
      </c>
      <c r="N25" s="208" t="n">
        <v>219.046598056763</v>
      </c>
      <c r="O25" s="251" t="n">
        <v>881.947</v>
      </c>
    </row>
    <row r="26">
      <c r="A26" t="n">
        <v>211</v>
      </c>
      <c r="B26" s="1" t="n">
        <v>42881</v>
      </c>
      <c r="C26" s="9" t="inlineStr">
        <is>
          <t>2017/8058/14</t>
        </is>
      </c>
      <c r="D26" s="1" t="inlineStr">
        <is>
          <t>27,32 % von € 881,95: PREMIUM Laudongasse 58 GmbH &amp; Co KG: Dauerrechnung 2017-D-6</t>
        </is>
      </c>
      <c r="E26" s="1" t="inlineStr">
        <is>
          <t>Ausgaben</t>
        </is>
      </c>
      <c r="F26" s="16" t="n"/>
      <c r="G26" s="36" t="n">
        <v>801.77</v>
      </c>
      <c r="H26" s="51" t="n">
        <v>0.2732037841984147</v>
      </c>
      <c r="I26" s="251" t="n">
        <v>240.9512578624393</v>
      </c>
      <c r="J26" s="27" t="n">
        <v>10</v>
      </c>
      <c r="K26" s="237" t="n">
        <v>80.17699999999999</v>
      </c>
      <c r="L26">
        <f>J26&amp;"%"</f>
        <v/>
      </c>
      <c r="M26" s="237" t="n">
        <v>21.9046598056763</v>
      </c>
      <c r="N26" s="208" t="n">
        <v>219.046598056763</v>
      </c>
      <c r="O26" s="251" t="n">
        <v>881.947</v>
      </c>
    </row>
    <row r="27">
      <c r="A27" t="n">
        <v>214</v>
      </c>
      <c r="B27" s="1" t="n">
        <v>42751</v>
      </c>
      <c r="C27" s="9" t="inlineStr">
        <is>
          <t>34007307375/40/2017</t>
        </is>
      </c>
      <c r="D27" s="1" t="inlineStr">
        <is>
          <t>27,32 % von € 171,00: VERBUND AG, Postfach 8400, 1011 Wien, Österreich: Teilzahlungsvorschreibung</t>
        </is>
      </c>
      <c r="E27" s="1" t="inlineStr">
        <is>
          <t>Ausgaben</t>
        </is>
      </c>
      <c r="F27" s="16" t="n"/>
      <c r="G27" s="36" t="n">
        <v>142.5</v>
      </c>
      <c r="H27" s="51" t="n">
        <v>0.2732037841984147</v>
      </c>
      <c r="I27" s="251" t="n">
        <v>46.71784709792892</v>
      </c>
      <c r="J27" s="27" t="n">
        <v>20</v>
      </c>
      <c r="K27" s="237" t="n">
        <v>28.5</v>
      </c>
      <c r="L27">
        <f>J27&amp;"%"</f>
        <v/>
      </c>
      <c r="M27" s="237" t="n">
        <v>7.78630784965482</v>
      </c>
      <c r="N27" s="208" t="n">
        <v>38.9315392482741</v>
      </c>
      <c r="O27" s="251" t="n">
        <v>171</v>
      </c>
    </row>
    <row r="28">
      <c r="A28" t="n">
        <v>215</v>
      </c>
      <c r="B28" s="1" t="n">
        <v>42843</v>
      </c>
      <c r="C28" s="9" t="inlineStr">
        <is>
          <t>34009136817/40/2017</t>
        </is>
      </c>
      <c r="D28" s="1" t="inlineStr">
        <is>
          <t>27,32 % von € 171,00: VERBUND AG, Postfach 8400, 1011 Wien, Österreich: Teilzahlungsvorschreibung</t>
        </is>
      </c>
      <c r="E28" s="1" t="inlineStr">
        <is>
          <t>Ausgaben</t>
        </is>
      </c>
      <c r="F28" s="16" t="n"/>
      <c r="G28" s="36" t="n">
        <v>142.5</v>
      </c>
      <c r="H28" s="51" t="n">
        <v>0.2732037841984147</v>
      </c>
      <c r="I28" s="251" t="n">
        <v>46.71784709792892</v>
      </c>
      <c r="J28" s="27" t="n">
        <v>20</v>
      </c>
      <c r="K28" s="237" t="n">
        <v>28.5</v>
      </c>
      <c r="L28">
        <f>J28&amp;"%"</f>
        <v/>
      </c>
      <c r="M28" s="237" t="n">
        <v>7.78630784965482</v>
      </c>
      <c r="N28" s="208" t="n">
        <v>38.9315392482741</v>
      </c>
      <c r="O28" s="251" t="n">
        <v>171</v>
      </c>
    </row>
    <row r="29">
      <c r="A29" t="n">
        <v>219</v>
      </c>
      <c r="B29" s="1" t="n">
        <v>42751</v>
      </c>
      <c r="C29" s="9" t="inlineStr">
        <is>
          <t>14001173053/40/2017</t>
        </is>
      </c>
      <c r="D29" s="1" t="inlineStr">
        <is>
          <t>27,32 % von € 96: MONTANA Energie-Handel AT GmbH: Teilzahlungsbetrag Gas</t>
        </is>
      </c>
      <c r="E29" s="1" t="inlineStr">
        <is>
          <t>Ausgaben</t>
        </is>
      </c>
      <c r="F29" s="16" t="n"/>
      <c r="G29" s="36" t="n">
        <v>80</v>
      </c>
      <c r="H29" s="51" t="n">
        <v>0.2732037841984147</v>
      </c>
      <c r="I29" s="251" t="n">
        <v>26.22756328304781</v>
      </c>
      <c r="J29" s="27" t="n">
        <v>20</v>
      </c>
      <c r="K29" s="237" t="n">
        <v>16</v>
      </c>
      <c r="L29">
        <f>J29&amp;"%"</f>
        <v/>
      </c>
      <c r="M29" s="237" t="n">
        <v>4.371260547174636</v>
      </c>
      <c r="N29" s="208" t="n">
        <v>21.85630273587318</v>
      </c>
      <c r="O29" s="251" t="n">
        <v>96</v>
      </c>
    </row>
    <row r="30">
      <c r="A30" t="n">
        <v>220</v>
      </c>
      <c r="B30" s="1" t="n">
        <v>42781</v>
      </c>
      <c r="C30" s="9" t="inlineStr">
        <is>
          <t>14001281770/40/2017</t>
        </is>
      </c>
      <c r="D30" s="1" t="inlineStr">
        <is>
          <t>27,32 % von € 96: MONTANA Energie-Handel AT GmbH: Teilzahlungsbetrag Gas</t>
        </is>
      </c>
      <c r="E30" s="1" t="inlineStr">
        <is>
          <t>Ausgaben</t>
        </is>
      </c>
      <c r="F30" s="16" t="n"/>
      <c r="G30" s="36" t="n">
        <v>80</v>
      </c>
      <c r="H30" s="51" t="n">
        <v>0.2732037841984147</v>
      </c>
      <c r="I30" s="251" t="n">
        <v>26.22756328304781</v>
      </c>
      <c r="J30" s="27" t="n">
        <v>20</v>
      </c>
      <c r="K30" s="237" t="n">
        <v>16</v>
      </c>
      <c r="L30">
        <f>J30&amp;"%"</f>
        <v/>
      </c>
      <c r="M30" s="237" t="n">
        <v>4.371260547174636</v>
      </c>
      <c r="N30" s="208" t="n">
        <v>21.85630273587318</v>
      </c>
      <c r="O30" s="251" t="n">
        <v>96</v>
      </c>
    </row>
    <row r="31">
      <c r="A31" t="n">
        <v>221</v>
      </c>
      <c r="B31" s="1" t="n">
        <v>42809</v>
      </c>
      <c r="C31" s="9" t="inlineStr">
        <is>
          <t>14001392296/40/2017</t>
        </is>
      </c>
      <c r="D31" s="1" t="inlineStr">
        <is>
          <t>27,32 % von € 96: MONTANA Energie-Handel AT GmbH: Teilzahlungsbetrag Gas</t>
        </is>
      </c>
      <c r="E31" s="1" t="inlineStr">
        <is>
          <t>Ausgaben</t>
        </is>
      </c>
      <c r="F31" s="16" t="n"/>
      <c r="G31" s="36" t="n">
        <v>80</v>
      </c>
      <c r="H31" s="51" t="n">
        <v>0.2732037841984147</v>
      </c>
      <c r="I31" s="251" t="n">
        <v>26.22756328304781</v>
      </c>
      <c r="J31" s="27" t="n">
        <v>20</v>
      </c>
      <c r="K31" s="237" t="n">
        <v>16</v>
      </c>
      <c r="L31">
        <f>J31&amp;"%"</f>
        <v/>
      </c>
      <c r="M31" s="237" t="n">
        <v>4.371260547174636</v>
      </c>
      <c r="N31" s="208" t="n">
        <v>21.85630273587318</v>
      </c>
      <c r="O31" s="251" t="n">
        <v>96</v>
      </c>
    </row>
    <row r="32">
      <c r="A32" t="n">
        <v>222</v>
      </c>
      <c r="B32" s="1" t="n">
        <v>42843</v>
      </c>
      <c r="C32" s="9" t="inlineStr">
        <is>
          <t>14001507897/40/2017</t>
        </is>
      </c>
      <c r="D32" s="1" t="inlineStr">
        <is>
          <t>27,32 % von € 96: MONTANA Energie-Handel AT GmbH: Teilzahlungsbetrag Gas</t>
        </is>
      </c>
      <c r="E32" s="1" t="inlineStr">
        <is>
          <t>Ausgaben</t>
        </is>
      </c>
      <c r="F32" s="16" t="n"/>
      <c r="G32" s="36" t="n">
        <v>80</v>
      </c>
      <c r="H32" s="51" t="n">
        <v>0.2732037841984147</v>
      </c>
      <c r="I32" s="251" t="n">
        <v>26.22756328304781</v>
      </c>
      <c r="J32" s="27" t="n">
        <v>20</v>
      </c>
      <c r="K32" s="237" t="n">
        <v>16</v>
      </c>
      <c r="L32">
        <f>J32&amp;"%"</f>
        <v/>
      </c>
      <c r="M32" s="237" t="n">
        <v>4.371260547174636</v>
      </c>
      <c r="N32" s="208" t="n">
        <v>21.85630273587318</v>
      </c>
      <c r="O32" s="251" t="n">
        <v>96</v>
      </c>
    </row>
    <row r="33">
      <c r="A33" t="n">
        <v>223</v>
      </c>
      <c r="B33" s="1" t="n">
        <v>42870</v>
      </c>
      <c r="C33" s="9" t="inlineStr">
        <is>
          <t>14001620291/40/2017</t>
        </is>
      </c>
      <c r="D33" s="1" t="inlineStr">
        <is>
          <t>27,32 % von € 96: MONTANA Energie-Handel AT GmbH: Teilzahlungsbetrag Gas</t>
        </is>
      </c>
      <c r="E33" s="1" t="inlineStr">
        <is>
          <t>Ausgaben</t>
        </is>
      </c>
      <c r="F33" s="16" t="n"/>
      <c r="G33" s="36" t="n">
        <v>80</v>
      </c>
      <c r="H33" s="51" t="n">
        <v>0.2732037841984147</v>
      </c>
      <c r="I33" s="251" t="n">
        <v>26.22756328304781</v>
      </c>
      <c r="J33" s="27" t="n">
        <v>20</v>
      </c>
      <c r="K33" s="237" t="n">
        <v>16</v>
      </c>
      <c r="L33">
        <f>J33&amp;"%"</f>
        <v/>
      </c>
      <c r="M33" s="237" t="n">
        <v>4.371260547174636</v>
      </c>
      <c r="N33" s="208" t="n">
        <v>21.85630273587318</v>
      </c>
      <c r="O33" s="251" t="n">
        <v>96</v>
      </c>
    </row>
    <row r="34">
      <c r="A34" t="n">
        <v>224</v>
      </c>
      <c r="B34" s="1" t="n">
        <v>42902</v>
      </c>
      <c r="C34" s="9" t="inlineStr">
        <is>
          <t>14001738828/40/2017</t>
        </is>
      </c>
      <c r="D34" s="1" t="inlineStr">
        <is>
          <t>27,32 % von € 96: MONTANA Energie-Handel AT GmbH: Teilzahlungsbetrag Gas</t>
        </is>
      </c>
      <c r="E34" s="1" t="inlineStr">
        <is>
          <t>Ausgaben</t>
        </is>
      </c>
      <c r="F34" s="16" t="n"/>
      <c r="G34" s="36" t="n">
        <v>80</v>
      </c>
      <c r="H34" s="51" t="n">
        <v>0.2732037841984147</v>
      </c>
      <c r="I34" s="251" t="n">
        <v>26.22756328304781</v>
      </c>
      <c r="J34" s="27" t="n">
        <v>20</v>
      </c>
      <c r="K34" s="237" t="n">
        <v>16</v>
      </c>
      <c r="L34">
        <f>J34&amp;"%"</f>
        <v/>
      </c>
      <c r="M34" s="237" t="n">
        <v>4.371260547174636</v>
      </c>
      <c r="N34" s="208" t="n">
        <v>21.85630273587318</v>
      </c>
      <c r="O34" s="251" t="n">
        <v>96</v>
      </c>
    </row>
    <row r="35">
      <c r="A35" t="n">
        <v>225</v>
      </c>
      <c r="B35" s="1" t="n">
        <v>42919</v>
      </c>
      <c r="C35" s="9" t="inlineStr">
        <is>
          <t>6136633132</t>
        </is>
      </c>
      <c r="D35" s="1" t="inlineStr">
        <is>
          <t xml:space="preserve">Hutchison Drei Austria GmbH, Brünner Straße 52, 1210 Wien, Österreich: </t>
        </is>
      </c>
      <c r="E35" s="1" t="inlineStr">
        <is>
          <t>Ausgaben</t>
        </is>
      </c>
      <c r="F35" s="16" t="n"/>
      <c r="G35" s="36" t="n">
        <v>15</v>
      </c>
      <c r="H35" s="51" t="n">
        <v>1</v>
      </c>
      <c r="I35" s="251" t="n">
        <v>18</v>
      </c>
      <c r="J35" s="27" t="n">
        <v>20</v>
      </c>
      <c r="K35" s="237" t="n">
        <v>3</v>
      </c>
      <c r="L35">
        <f>J35&amp;"%"</f>
        <v/>
      </c>
      <c r="M35" s="237" t="n">
        <v>3</v>
      </c>
      <c r="N35" s="208" t="n">
        <v>15</v>
      </c>
      <c r="O35" s="251" t="n">
        <v>18</v>
      </c>
    </row>
    <row r="36">
      <c r="A36" t="n">
        <v>226</v>
      </c>
      <c r="B36" s="1" t="n">
        <v>42912</v>
      </c>
      <c r="C36" s="9" t="inlineStr">
        <is>
          <t>2017/8058/14</t>
        </is>
      </c>
      <c r="D36" s="1" t="inlineStr">
        <is>
          <t>27,32 % von € 881,95: PREMIUM Laudongasse 58 GmbH &amp; Co KG: Dauerrechnung 2017-D-7</t>
        </is>
      </c>
      <c r="E36" s="1" t="inlineStr">
        <is>
          <t>Ausgaben</t>
        </is>
      </c>
      <c r="F36" s="16" t="n"/>
      <c r="G36" s="36" t="n">
        <v>801.77</v>
      </c>
      <c r="H36" s="51" t="n">
        <v>0.2732037841984147</v>
      </c>
      <c r="I36" s="251" t="n">
        <v>240.9512578624393</v>
      </c>
      <c r="J36" s="27" t="n">
        <v>10</v>
      </c>
      <c r="K36" s="237" t="n">
        <v>80.17699999999999</v>
      </c>
      <c r="L36">
        <f>J36&amp;"%"</f>
        <v/>
      </c>
      <c r="M36" s="237" t="n">
        <v>21.9046598056763</v>
      </c>
      <c r="N36" s="208" t="n">
        <v>219.046598056763</v>
      </c>
      <c r="O36" s="251" t="n">
        <v>881.947</v>
      </c>
    </row>
    <row r="37">
      <c r="A37" t="n">
        <v>227</v>
      </c>
      <c r="B37" s="1" t="n">
        <v>42933</v>
      </c>
      <c r="C37" s="39" t="inlineStr">
        <is>
          <t>34011068828</t>
        </is>
      </c>
      <c r="D37" s="1" t="inlineStr">
        <is>
          <t>27,32 % von € 171,00: VERBUND AG, Postfach 8400, 1011 Wien, Österreich: Teilzahlungsvorschreibung</t>
        </is>
      </c>
      <c r="E37" s="1" t="inlineStr">
        <is>
          <t>Ausgaben</t>
        </is>
      </c>
      <c r="F37" s="16" t="n"/>
      <c r="G37" s="36" t="n">
        <v>142.5</v>
      </c>
      <c r="H37" s="51" t="n">
        <v>0.2732037841984147</v>
      </c>
      <c r="I37" s="251" t="n">
        <v>46.71784709792892</v>
      </c>
      <c r="J37" s="27" t="n">
        <v>20</v>
      </c>
      <c r="K37" s="237" t="n">
        <v>28.5</v>
      </c>
      <c r="L37">
        <f>J37&amp;"%"</f>
        <v/>
      </c>
      <c r="M37" s="237" t="n">
        <v>7.78630784965482</v>
      </c>
      <c r="N37" s="208" t="n">
        <v>38.9315392482741</v>
      </c>
      <c r="O37" s="251" t="n">
        <v>171</v>
      </c>
    </row>
    <row r="38">
      <c r="A38" t="n">
        <v>228</v>
      </c>
      <c r="B38" s="1" t="n">
        <v>42933</v>
      </c>
      <c r="C38" s="39" t="inlineStr">
        <is>
          <t>14001855137</t>
        </is>
      </c>
      <c r="D38" s="1" t="inlineStr">
        <is>
          <t>27,32 % von € 96: MONTANA Energie-Handel AT GmbH: Teilzahlungsbetrag Gas</t>
        </is>
      </c>
      <c r="E38" s="1" t="inlineStr">
        <is>
          <t>Ausgaben</t>
        </is>
      </c>
      <c r="F38" s="16" t="n"/>
      <c r="G38" s="36" t="n">
        <v>80</v>
      </c>
      <c r="H38" s="51" t="n">
        <v>0.2732037841984147</v>
      </c>
      <c r="I38" s="251" t="n">
        <v>26.22756328304781</v>
      </c>
      <c r="J38" s="27" t="n">
        <v>20</v>
      </c>
      <c r="K38" s="237" t="n">
        <v>16</v>
      </c>
      <c r="L38">
        <f>J38&amp;"%"</f>
        <v/>
      </c>
      <c r="M38" s="237" t="n">
        <v>4.371260547174636</v>
      </c>
      <c r="N38" s="208" t="n">
        <v>21.85630273587318</v>
      </c>
      <c r="O38" s="251" t="n">
        <v>96</v>
      </c>
    </row>
    <row r="39">
      <c r="A39" t="n">
        <v>229</v>
      </c>
      <c r="B39" s="1" t="n">
        <v>42937</v>
      </c>
      <c r="C39" s="9" t="inlineStr">
        <is>
          <t>2017/8058/14</t>
        </is>
      </c>
      <c r="D39" s="1" t="inlineStr">
        <is>
          <t>27,32 % von -€ 366,91: PREMIUM Laudongasse 58 GmbH &amp; Co KG: Rückerstattung BK 2016</t>
        </is>
      </c>
      <c r="E39" s="1" t="inlineStr">
        <is>
          <t>Ausgaben</t>
        </is>
      </c>
      <c r="F39" s="16" t="n"/>
      <c r="G39" s="36" t="n">
        <v>-333.55</v>
      </c>
      <c r="H39" s="51" t="n">
        <v>0.2732037841984147</v>
      </c>
      <c r="I39" s="251" t="n">
        <v>-100.2398344413194</v>
      </c>
      <c r="J39" s="27" t="n">
        <v>10</v>
      </c>
      <c r="K39" s="237" t="n">
        <v>-33.355</v>
      </c>
      <c r="L39">
        <f>J39&amp;"%"</f>
        <v/>
      </c>
      <c r="M39" s="237" t="n">
        <v>-9.112712221938123</v>
      </c>
      <c r="N39" s="208" t="n">
        <v>-91.12712221938123</v>
      </c>
      <c r="O39" s="251" t="n">
        <v>-366.905</v>
      </c>
    </row>
    <row r="40">
      <c r="A40" t="n">
        <v>230</v>
      </c>
      <c r="B40" s="1" t="n">
        <v>42941</v>
      </c>
      <c r="C40" s="9" t="inlineStr">
        <is>
          <t>2017/8058/14</t>
        </is>
      </c>
      <c r="D40" s="1" t="inlineStr">
        <is>
          <t>27,32 % von € 881,95: PREMIUM Laudongasse 58 GmbH &amp; Co KG: Dauerrechnung 2017-D-8</t>
        </is>
      </c>
      <c r="E40" s="1" t="inlineStr">
        <is>
          <t>Ausgaben</t>
        </is>
      </c>
      <c r="F40" s="16" t="n"/>
      <c r="G40" s="36" t="n">
        <v>801.77</v>
      </c>
      <c r="H40" s="51" t="n">
        <v>0.2732037841984147</v>
      </c>
      <c r="I40" s="251" t="n">
        <v>240.9512578624393</v>
      </c>
      <c r="J40" s="27" t="n">
        <v>10</v>
      </c>
      <c r="K40" s="237" t="n">
        <v>80.17699999999999</v>
      </c>
      <c r="L40">
        <f>J40&amp;"%"</f>
        <v/>
      </c>
      <c r="M40" s="237" t="n">
        <v>21.9046598056763</v>
      </c>
      <c r="N40" s="208" t="n">
        <v>219.046598056763</v>
      </c>
      <c r="O40" s="251" t="n">
        <v>881.947</v>
      </c>
    </row>
    <row r="41">
      <c r="A41" t="n">
        <v>231</v>
      </c>
      <c r="B41" s="1" t="n">
        <v>42949</v>
      </c>
      <c r="C41" s="9" t="inlineStr">
        <is>
          <t>6138487568</t>
        </is>
      </c>
      <c r="D41" s="1" t="inlineStr">
        <is>
          <t xml:space="preserve">Hutchison Drei Austria GmbH, Brünner Straße 52, 1210 Wien, Österreich: </t>
        </is>
      </c>
      <c r="E41" s="1" t="inlineStr">
        <is>
          <t>Ausgaben</t>
        </is>
      </c>
      <c r="F41" s="16" t="n"/>
      <c r="G41" s="36" t="n">
        <v>15</v>
      </c>
      <c r="H41" s="51" t="n">
        <v>1</v>
      </c>
      <c r="I41" s="251" t="n">
        <v>18</v>
      </c>
      <c r="J41" s="27" t="n">
        <v>20</v>
      </c>
      <c r="K41" s="237" t="n">
        <v>3</v>
      </c>
      <c r="L41">
        <f>J41&amp;"%"</f>
        <v/>
      </c>
      <c r="M41" s="237" t="n">
        <v>3</v>
      </c>
      <c r="N41" s="208" t="n">
        <v>15</v>
      </c>
      <c r="O41" s="251" t="n">
        <v>18</v>
      </c>
    </row>
    <row r="42">
      <c r="A42" t="n">
        <v>232</v>
      </c>
      <c r="B42" s="1" t="n">
        <v>42963</v>
      </c>
      <c r="C42" s="39" t="inlineStr">
        <is>
          <t>14001975411</t>
        </is>
      </c>
      <c r="D42" s="1" t="inlineStr">
        <is>
          <t>MONTANA Energie-Handel AT GmbH: Teilzahlungsbetrag Gas</t>
        </is>
      </c>
      <c r="E42" s="1" t="inlineStr">
        <is>
          <t>Ausgaben</t>
        </is>
      </c>
      <c r="F42" s="16" t="n"/>
      <c r="G42" s="36" t="n">
        <v>80</v>
      </c>
      <c r="H42" s="51" t="n">
        <v>0.2732037841984147</v>
      </c>
      <c r="I42" s="251" t="n">
        <v>26.22756328304781</v>
      </c>
      <c r="J42" s="27" t="n">
        <v>20</v>
      </c>
      <c r="K42" s="237" t="n">
        <v>16</v>
      </c>
      <c r="L42">
        <f>J42&amp;"%"</f>
        <v/>
      </c>
      <c r="M42" s="237" t="n">
        <v>4.371260547174636</v>
      </c>
      <c r="N42" s="208" t="n">
        <v>21.85630273587318</v>
      </c>
      <c r="O42" s="251" t="n">
        <v>96</v>
      </c>
    </row>
    <row r="43">
      <c r="A43" t="n">
        <v>233</v>
      </c>
      <c r="B43" s="1" t="n">
        <v>42972</v>
      </c>
      <c r="C43" s="9" t="inlineStr">
        <is>
          <t>2017/8058/14</t>
        </is>
      </c>
      <c r="D43" s="1" t="inlineStr">
        <is>
          <t>27,32 % von € 881,95: PREMIUM Laudongasse 58 GmbH &amp; Co KG: Dauerrechnung 2017-D-9</t>
        </is>
      </c>
      <c r="E43" s="1" t="inlineStr">
        <is>
          <t>Ausgaben</t>
        </is>
      </c>
      <c r="F43" s="16" t="n"/>
      <c r="G43" s="36" t="n">
        <v>801.77</v>
      </c>
      <c r="H43" s="51" t="n">
        <v>0.2732037841984147</v>
      </c>
      <c r="I43" s="251" t="n">
        <v>240.9512578624393</v>
      </c>
      <c r="J43" s="27" t="n">
        <v>10</v>
      </c>
      <c r="K43" s="237" t="n">
        <v>80.17699999999999</v>
      </c>
      <c r="L43">
        <f>J43&amp;"%"</f>
        <v/>
      </c>
      <c r="M43" s="237" t="n">
        <v>21.9046598056763</v>
      </c>
      <c r="N43" s="208" t="n">
        <v>219.046598056763</v>
      </c>
      <c r="O43" s="251" t="n">
        <v>881.947</v>
      </c>
    </row>
    <row r="44">
      <c r="A44" t="n">
        <v>234</v>
      </c>
      <c r="B44" s="1" t="n">
        <v>42978</v>
      </c>
      <c r="C44" s="9" t="inlineStr">
        <is>
          <t>6140343821</t>
        </is>
      </c>
      <c r="D44" s="1" t="inlineStr">
        <is>
          <t xml:space="preserve">Hutchison Drei Austria GmbH, Brünner Straße 52, 1210 Wien, Österreich: </t>
        </is>
      </c>
      <c r="E44" s="1" t="inlineStr">
        <is>
          <t>Ausgaben</t>
        </is>
      </c>
      <c r="F44" s="16" t="n"/>
      <c r="G44" s="36" t="n">
        <v>15</v>
      </c>
      <c r="H44" s="51" t="n">
        <v>1</v>
      </c>
      <c r="I44" s="251" t="n">
        <v>18</v>
      </c>
      <c r="J44" s="27" t="n">
        <v>20</v>
      </c>
      <c r="K44" s="237" t="n">
        <v>3</v>
      </c>
      <c r="L44">
        <f>J44&amp;"%"</f>
        <v/>
      </c>
      <c r="M44" s="237" t="n">
        <v>3</v>
      </c>
      <c r="N44" s="208" t="n">
        <v>15</v>
      </c>
      <c r="O44" s="251" t="n">
        <v>18</v>
      </c>
    </row>
    <row r="45">
      <c r="A45" t="n">
        <v>235</v>
      </c>
      <c r="B45" s="1" t="n">
        <v>42993</v>
      </c>
      <c r="C45" s="9" t="inlineStr">
        <is>
          <t>14002088308/40/2017</t>
        </is>
      </c>
      <c r="D45" s="1" t="inlineStr">
        <is>
          <t>27,32 % von € 96: MONTANA Energie-Handel AT GmbH: Teilzahlungsbetrag Gas</t>
        </is>
      </c>
      <c r="E45" s="1" t="inlineStr">
        <is>
          <t>Ausgaben</t>
        </is>
      </c>
      <c r="F45" s="16" t="n"/>
      <c r="G45" s="36" t="n">
        <v>80</v>
      </c>
      <c r="H45" s="51" t="n">
        <v>0.2732037841984147</v>
      </c>
      <c r="I45" s="251" t="n">
        <v>26.22756328304781</v>
      </c>
      <c r="J45" s="27" t="n">
        <v>20</v>
      </c>
      <c r="K45" s="237" t="n">
        <v>16</v>
      </c>
      <c r="L45">
        <f>J45&amp;"%"</f>
        <v/>
      </c>
      <c r="M45" s="237" t="n">
        <v>4.371260547174636</v>
      </c>
      <c r="N45" s="208" t="n">
        <v>21.85630273587318</v>
      </c>
      <c r="O45" s="251" t="n">
        <v>96</v>
      </c>
    </row>
    <row r="46">
      <c r="A46" t="n">
        <v>236</v>
      </c>
      <c r="B46" s="1" t="n">
        <v>42993</v>
      </c>
      <c r="C46" s="9" t="inlineStr">
        <is>
          <t>34011068828/40/2017</t>
        </is>
      </c>
      <c r="D46" s="1" t="inlineStr">
        <is>
          <t>27,32 % von € 26,18: VERBUND AG, Postfach 8400, 1011 Wien, Österreich: Teilzahlungsvorschreibung</t>
        </is>
      </c>
      <c r="E46" s="1" t="inlineStr">
        <is>
          <t>Ausgaben</t>
        </is>
      </c>
      <c r="F46" s="16" t="n"/>
      <c r="G46" s="36" t="n">
        <v>21.82</v>
      </c>
      <c r="H46" s="51" t="n">
        <v>0.2732037841984147</v>
      </c>
      <c r="I46" s="251" t="n">
        <v>7.153567885451292</v>
      </c>
      <c r="J46" s="27" t="n">
        <v>20</v>
      </c>
      <c r="K46" s="237" t="n">
        <v>4.364</v>
      </c>
      <c r="L46">
        <f>J46&amp;"%"</f>
        <v/>
      </c>
      <c r="M46" s="237" t="n">
        <v>1.192261314241882</v>
      </c>
      <c r="N46" s="208" t="n">
        <v>5.96130657120941</v>
      </c>
      <c r="O46" s="251" t="n">
        <v>26.184</v>
      </c>
    </row>
    <row r="47">
      <c r="A47" t="n">
        <v>237</v>
      </c>
      <c r="B47" s="1" t="n">
        <v>43031</v>
      </c>
      <c r="C47" s="9" t="inlineStr">
        <is>
          <t>170025346</t>
        </is>
      </c>
      <c r="D47" s="1" t="inlineStr">
        <is>
          <t>nic.at GmbH, Jakob-Haringer-Strasse 8, 5020 Salzburg, Austria: Domain: energiebalance-lichtherz.at</t>
        </is>
      </c>
      <c r="E47" s="1" t="inlineStr">
        <is>
          <t>Ausgaben</t>
        </is>
      </c>
      <c r="F47" s="16" t="n"/>
      <c r="G47" s="36" t="n">
        <v>29.1</v>
      </c>
      <c r="H47" s="51" t="n">
        <v>1</v>
      </c>
      <c r="I47" s="251" t="n">
        <v>34.92</v>
      </c>
      <c r="J47" s="27" t="n">
        <v>20</v>
      </c>
      <c r="K47" s="237" t="n">
        <v>5.82</v>
      </c>
      <c r="L47">
        <f>J47&amp;"%"</f>
        <v/>
      </c>
      <c r="M47" s="237" t="n">
        <v>5.82</v>
      </c>
      <c r="N47" s="208" t="n">
        <v>29.1</v>
      </c>
      <c r="O47" s="251" t="n">
        <v>34.92</v>
      </c>
    </row>
    <row r="48">
      <c r="A48" t="n">
        <v>238</v>
      </c>
      <c r="B48" s="1" t="n">
        <v>43003</v>
      </c>
      <c r="C48" s="9" t="inlineStr">
        <is>
          <t>2017/8058/14</t>
        </is>
      </c>
      <c r="D48" s="1" t="inlineStr">
        <is>
          <t>27,32 % von € 881,95: PREMIUM Laudongasse 58 GmbH &amp; Co KG: Dauerrechnung 2017-D-9</t>
        </is>
      </c>
      <c r="E48" s="1" t="inlineStr">
        <is>
          <t>Ausgaben</t>
        </is>
      </c>
      <c r="F48" s="16" t="n"/>
      <c r="G48" s="36" t="n">
        <v>801.77</v>
      </c>
      <c r="H48" s="51" t="n">
        <v>0.2732037841984147</v>
      </c>
      <c r="I48" s="251" t="n">
        <v>240.9512578624393</v>
      </c>
      <c r="J48" s="27" t="n">
        <v>10</v>
      </c>
      <c r="K48" s="237" t="n">
        <v>80.17699999999999</v>
      </c>
      <c r="L48">
        <f>J48&amp;"%"</f>
        <v/>
      </c>
      <c r="M48" s="237" t="n">
        <v>21.9046598056763</v>
      </c>
      <c r="N48" s="208" t="n">
        <v>219.046598056763</v>
      </c>
      <c r="O48" s="251" t="n">
        <v>881.947</v>
      </c>
    </row>
    <row r="49">
      <c r="A49" t="n">
        <v>239</v>
      </c>
      <c r="B49" s="1" t="n">
        <v>43013</v>
      </c>
      <c r="C49" s="9" t="inlineStr">
        <is>
          <t>6142197321</t>
        </is>
      </c>
      <c r="D49" s="1" t="inlineStr">
        <is>
          <t xml:space="preserve">Hutchison Drei Austria GmbH, Brünner Straße 52, 1210 Wien, Österreich: </t>
        </is>
      </c>
      <c r="E49" s="1" t="inlineStr">
        <is>
          <t>Ausgaben</t>
        </is>
      </c>
      <c r="F49" s="16" t="n"/>
      <c r="G49" s="36" t="n">
        <v>15</v>
      </c>
      <c r="H49" s="51" t="n">
        <v>1</v>
      </c>
      <c r="I49" s="251" t="n">
        <v>18</v>
      </c>
      <c r="J49" s="27" t="n">
        <v>20</v>
      </c>
      <c r="K49" s="237" t="n">
        <v>3</v>
      </c>
      <c r="L49">
        <f>J49&amp;"%"</f>
        <v/>
      </c>
      <c r="M49" s="237" t="n">
        <v>3</v>
      </c>
      <c r="N49" s="208" t="n">
        <v>15</v>
      </c>
      <c r="O49" s="251" t="n">
        <v>18</v>
      </c>
    </row>
    <row r="50">
      <c r="A50" t="n">
        <v>240</v>
      </c>
      <c r="B50" s="1" t="n">
        <v>43024</v>
      </c>
      <c r="C50" s="9" t="inlineStr">
        <is>
          <t>14002205999/40/2017</t>
        </is>
      </c>
      <c r="D50" s="1" t="inlineStr">
        <is>
          <t>27,32 % von € 96: MONTANA Energie-Handel AT GmbH: Teilzahlungsbetrag Gas</t>
        </is>
      </c>
      <c r="E50" s="1" t="inlineStr">
        <is>
          <t>Ausgaben</t>
        </is>
      </c>
      <c r="F50" s="16" t="n"/>
      <c r="G50" s="36" t="n">
        <v>80</v>
      </c>
      <c r="H50" s="51" t="n">
        <v>0.2732037841984147</v>
      </c>
      <c r="I50" s="251" t="n">
        <v>26.22756328304781</v>
      </c>
      <c r="J50" s="27" t="n">
        <v>20</v>
      </c>
      <c r="K50" s="237" t="n">
        <v>16</v>
      </c>
      <c r="L50">
        <f>J50&amp;"%"</f>
        <v/>
      </c>
      <c r="M50" s="237" t="n">
        <v>4.371260547174636</v>
      </c>
      <c r="N50" s="208" t="n">
        <v>21.85630273587318</v>
      </c>
      <c r="O50" s="251" t="n">
        <v>96</v>
      </c>
    </row>
    <row r="51">
      <c r="A51" t="n">
        <v>241</v>
      </c>
      <c r="B51" s="1" t="n">
        <v>43024</v>
      </c>
      <c r="C51" s="9" t="inlineStr">
        <is>
          <t>34013061966/40/2017</t>
        </is>
      </c>
      <c r="D51" s="1" t="inlineStr">
        <is>
          <t>27,32 % von € 182,00: VERBUND AG, Postfach 8400, 1011 Wien, Österreich: Teilzahlungsvorschreibung</t>
        </is>
      </c>
      <c r="E51" s="1" t="inlineStr">
        <is>
          <t>Ausgaben</t>
        </is>
      </c>
      <c r="F51" s="16" t="n"/>
      <c r="G51" s="36" t="n">
        <v>151.67</v>
      </c>
      <c r="H51" s="51" t="n">
        <v>0.2732037841984147</v>
      </c>
      <c r="I51" s="251" t="n">
        <v>49.72418153924828</v>
      </c>
      <c r="J51" s="27" t="n">
        <v>20</v>
      </c>
      <c r="K51" s="237" t="n">
        <v>30.334</v>
      </c>
      <c r="L51">
        <f>J51&amp;"%"</f>
        <v/>
      </c>
      <c r="M51" s="237" t="n">
        <v>8.287363589874712</v>
      </c>
      <c r="N51" s="208" t="n">
        <v>41.43681794937356</v>
      </c>
      <c r="O51" s="251" t="n">
        <v>182.004</v>
      </c>
    </row>
    <row r="52">
      <c r="A52" t="n">
        <v>242</v>
      </c>
      <c r="B52" s="1" t="n">
        <v>43033</v>
      </c>
      <c r="C52" s="9" t="inlineStr">
        <is>
          <t>2017/8058/14</t>
        </is>
      </c>
      <c r="D52" s="1" t="inlineStr">
        <is>
          <t>27,32 % von € 881,95: PREMIUM Laudongasse 58 GmbH &amp; Co KG: Dauerrechnung 2017-D-9</t>
        </is>
      </c>
      <c r="E52" s="1" t="inlineStr">
        <is>
          <t>Ausgaben</t>
        </is>
      </c>
      <c r="F52" s="16" t="n"/>
      <c r="G52" s="36" t="n">
        <v>801.77</v>
      </c>
      <c r="H52" s="51" t="n">
        <v>0.2732037841984147</v>
      </c>
      <c r="I52" s="251" t="n">
        <v>240.9512578624393</v>
      </c>
      <c r="J52" s="27" t="n">
        <v>10</v>
      </c>
      <c r="K52" s="237" t="n">
        <v>80.17699999999999</v>
      </c>
      <c r="L52">
        <f>J52&amp;"%"</f>
        <v/>
      </c>
      <c r="M52" s="237" t="n">
        <v>21.9046598056763</v>
      </c>
      <c r="N52" s="208" t="n">
        <v>219.046598056763</v>
      </c>
      <c r="O52" s="251" t="n">
        <v>881.947</v>
      </c>
    </row>
    <row r="53">
      <c r="A53" t="n">
        <v>243</v>
      </c>
      <c r="B53" s="1" t="n">
        <v>43026</v>
      </c>
      <c r="C53" s="9" t="inlineStr">
        <is>
          <t>RE0518946</t>
        </is>
      </c>
      <c r="D53" s="1" t="inlineStr">
        <is>
          <t>easyname GmbH, Fernkorngasse 10/3/501, 1110 Wien: via VISA MJ: Domain: stokol.at</t>
        </is>
      </c>
      <c r="E53" s="1" t="inlineStr">
        <is>
          <t>Ausgaben</t>
        </is>
      </c>
      <c r="F53" s="16" t="n"/>
      <c r="G53" s="36" t="n">
        <v>12.42</v>
      </c>
      <c r="H53" s="51" t="n">
        <v>1</v>
      </c>
      <c r="I53" s="251" t="n">
        <v>14.904</v>
      </c>
      <c r="J53" s="27" t="n">
        <v>20</v>
      </c>
      <c r="K53" s="237" t="n">
        <v>2.484</v>
      </c>
      <c r="L53">
        <f>J53&amp;"%"</f>
        <v/>
      </c>
      <c r="M53" s="237" t="n">
        <v>2.484</v>
      </c>
      <c r="N53" s="208" t="n">
        <v>12.42</v>
      </c>
      <c r="O53" s="251" t="n">
        <v>14.904</v>
      </c>
    </row>
    <row r="54">
      <c r="A54" t="n">
        <v>244</v>
      </c>
      <c r="B54" s="1" t="n">
        <v>43045</v>
      </c>
      <c r="C54" s="6" t="n">
        <v>6144051313</v>
      </c>
      <c r="D54" s="1" t="inlineStr">
        <is>
          <t xml:space="preserve">Hutchison Drei Austria GmbH, Brünner Straße 52, 1210 Wien, Österreich: </t>
        </is>
      </c>
      <c r="E54" s="1" t="inlineStr">
        <is>
          <t>Ausgaben</t>
        </is>
      </c>
      <c r="F54" s="16" t="n"/>
      <c r="G54" s="36" t="n">
        <v>15</v>
      </c>
      <c r="H54" s="51" t="n">
        <v>1</v>
      </c>
      <c r="I54" s="251" t="n">
        <v>18</v>
      </c>
      <c r="J54" s="27" t="n">
        <v>20</v>
      </c>
      <c r="K54" s="237" t="n">
        <v>3</v>
      </c>
      <c r="L54">
        <f>J54&amp;"%"</f>
        <v/>
      </c>
      <c r="M54" s="237" t="n">
        <v>3</v>
      </c>
      <c r="N54" s="208" t="n">
        <v>15</v>
      </c>
      <c r="O54" s="251" t="n">
        <v>18</v>
      </c>
    </row>
    <row r="55">
      <c r="A55" t="n">
        <v>245</v>
      </c>
      <c r="B55" s="1" t="n">
        <v>43054</v>
      </c>
      <c r="C55" s="9" t="inlineStr">
        <is>
          <t>2017-101</t>
        </is>
      </c>
      <c r="D55" s="1" t="inlineStr">
        <is>
          <t>ACHTUNG: Spezialfall; Mag. Barbara Hube, Huber Unternehmensberatung, 1210, Mühlschüttelgasse 59/2/9: UB gefördert Art.Nr. 23</t>
        </is>
      </c>
      <c r="E55" s="1" t="inlineStr">
        <is>
          <t>Ausgaben</t>
        </is>
      </c>
      <c r="F55" s="16" t="n"/>
      <c r="G55" s="36" t="n">
        <v>780</v>
      </c>
      <c r="H55" s="51" t="n">
        <v>1</v>
      </c>
      <c r="I55" s="251" t="n">
        <v>351</v>
      </c>
      <c r="J55" s="27" t="n">
        <v>20</v>
      </c>
      <c r="K55" s="237" t="n">
        <v>156</v>
      </c>
      <c r="L55">
        <f>J55&amp;"%"</f>
        <v/>
      </c>
      <c r="M55" s="237" t="n">
        <v>156</v>
      </c>
      <c r="N55" s="208" t="n">
        <v>195</v>
      </c>
      <c r="O55" s="251">
        <f>G55*(100%+J55%)</f>
        <v/>
      </c>
    </row>
    <row r="56">
      <c r="A56" t="n">
        <v>245</v>
      </c>
      <c r="B56" s="1" t="n">
        <v>43054</v>
      </c>
      <c r="C56" s="9" t="inlineStr">
        <is>
          <t>2017-101</t>
        </is>
      </c>
      <c r="D56" s="1" t="inlineStr">
        <is>
          <t>ACHTUNG: Spezialfall; Mag. Barbara Hube, Huber Unternehmensberatung, 1210, Mühlschüttelgasse 59/2/9: UB gefördert Art.Nr. 23 (man erhält das Geld nicht ausbezahlt, sondern man bezahlt den nicht geförderten Teil des Honorars + die USt des Gesamtbetrags)</t>
        </is>
      </c>
      <c r="E56" s="1" t="inlineStr">
        <is>
          <t>Ausgaben</t>
        </is>
      </c>
      <c r="F56" s="16" t="n"/>
      <c r="G56" s="36" t="n">
        <v>-585</v>
      </c>
      <c r="H56" s="51" t="n">
        <v>1</v>
      </c>
      <c r="I56" s="251" t="n">
        <v>-585</v>
      </c>
      <c r="J56" s="27" t="n">
        <v>0</v>
      </c>
      <c r="K56" s="237" t="n">
        <v>0</v>
      </c>
      <c r="L56">
        <f>J56&amp;"%"</f>
        <v/>
      </c>
      <c r="M56" s="237" t="n">
        <v>0</v>
      </c>
      <c r="N56" s="208" t="n">
        <v>-585</v>
      </c>
      <c r="O56" s="251" t="n">
        <v>-585</v>
      </c>
    </row>
    <row r="57">
      <c r="A57" t="n">
        <v>246</v>
      </c>
      <c r="B57" s="1" t="n">
        <v>43054</v>
      </c>
      <c r="C57" s="9" t="inlineStr">
        <is>
          <t>14002325371/40/2017</t>
        </is>
      </c>
      <c r="D57" s="1" t="inlineStr">
        <is>
          <t>27,32 % von € 138,12: MONTANA Energie-Handel AT GmbH: Teilzahlungsbetrag Gas</t>
        </is>
      </c>
      <c r="E57" s="1" t="inlineStr">
        <is>
          <t>Ausgaben</t>
        </is>
      </c>
      <c r="F57" s="16" t="n"/>
      <c r="G57" s="36" t="n">
        <v>115.1</v>
      </c>
      <c r="H57" s="51" t="n">
        <v>0.2732037841984147</v>
      </c>
      <c r="I57" s="251" t="n">
        <v>37.73490667348504</v>
      </c>
      <c r="J57" s="27" t="n">
        <v>20</v>
      </c>
      <c r="K57" s="237" t="n">
        <v>23.02</v>
      </c>
      <c r="L57">
        <f>J57&amp;"%"</f>
        <v/>
      </c>
      <c r="M57" s="237" t="n">
        <v>6.289151112247507</v>
      </c>
      <c r="N57" s="208" t="n">
        <v>31.44575556123753</v>
      </c>
      <c r="O57" s="251" t="n">
        <v>138.12</v>
      </c>
    </row>
    <row r="58">
      <c r="A58" t="n">
        <v>247</v>
      </c>
      <c r="B58" s="1" t="n">
        <v>43055</v>
      </c>
      <c r="C58" s="9" t="inlineStr">
        <is>
          <t>650398</t>
        </is>
      </c>
      <c r="D58" s="1" t="inlineStr">
        <is>
          <t>Lemon Technologies GmbH: Dock, 8GB RAM, ThinkServer TS-150</t>
        </is>
      </c>
      <c r="E58" s="1" t="inlineStr">
        <is>
          <t>Ausgaben</t>
        </is>
      </c>
      <c r="F58" s="16" t="n"/>
      <c r="G58" s="36" t="n">
        <v>828.4400000000001</v>
      </c>
      <c r="H58" s="51" t="n">
        <v>1</v>
      </c>
      <c r="I58" s="251" t="n">
        <v>994.128</v>
      </c>
      <c r="J58" s="27" t="n">
        <v>20</v>
      </c>
      <c r="K58" s="237" t="n">
        <v>165.688</v>
      </c>
      <c r="L58">
        <f>J58&amp;"%"</f>
        <v/>
      </c>
      <c r="M58" s="237" t="n">
        <v>165.688</v>
      </c>
      <c r="N58" s="208" t="n">
        <v>828.4400000000001</v>
      </c>
      <c r="O58" s="251" t="n">
        <v>994.128</v>
      </c>
    </row>
    <row r="59">
      <c r="A59" t="n">
        <v>248</v>
      </c>
      <c r="B59" s="1" t="n">
        <v>43056</v>
      </c>
      <c r="C59" s="9" t="inlineStr">
        <is>
          <t>AEU-INV-AT-2017-16243160</t>
        </is>
      </c>
      <c r="D59" s="1" t="inlineStr">
        <is>
          <t>Amazon EU Sàrl, 5 Rue Plaetis, L-2338, Luxemburg: LG 27BK550Y-B</t>
        </is>
      </c>
      <c r="E59" s="1" t="inlineStr">
        <is>
          <t>Ausgaben</t>
        </is>
      </c>
      <c r="F59" s="16" t="n"/>
      <c r="G59" s="36" t="n">
        <v>208.25</v>
      </c>
      <c r="H59" s="51" t="n">
        <v>1</v>
      </c>
      <c r="I59" s="251" t="n">
        <v>249.9</v>
      </c>
      <c r="J59" s="27" t="n">
        <v>20</v>
      </c>
      <c r="K59" s="237" t="n">
        <v>41.65</v>
      </c>
      <c r="L59">
        <f>J59&amp;"%"</f>
        <v/>
      </c>
      <c r="M59" s="237" t="n">
        <v>41.65</v>
      </c>
      <c r="N59" s="208" t="n">
        <v>208.25</v>
      </c>
      <c r="O59" s="251" t="n">
        <v>249.9</v>
      </c>
    </row>
    <row r="60">
      <c r="A60" t="n">
        <v>249</v>
      </c>
      <c r="B60" s="1" t="n">
        <v>43056</v>
      </c>
      <c r="C60" s="9" t="inlineStr">
        <is>
          <t>AEU-INV-AT-2017-16231379</t>
        </is>
      </c>
      <c r="D60" s="1" t="inlineStr">
        <is>
          <t>Amazon EU Sàrl, 5 Rue Plaetis, L-2338, Luxemburg: LG 27BK550Y-B</t>
        </is>
      </c>
      <c r="E60" s="1" t="inlineStr">
        <is>
          <t>Ausgaben</t>
        </is>
      </c>
      <c r="F60" s="16" t="n"/>
      <c r="G60" s="36" t="n">
        <v>208.25</v>
      </c>
      <c r="H60" s="51" t="n">
        <v>1</v>
      </c>
      <c r="I60" s="251" t="n">
        <v>249.9</v>
      </c>
      <c r="J60" s="27" t="n">
        <v>20</v>
      </c>
      <c r="K60" s="237" t="n">
        <v>41.65</v>
      </c>
      <c r="L60">
        <f>J60&amp;"%"</f>
        <v/>
      </c>
      <c r="M60" s="237" t="n">
        <v>41.65</v>
      </c>
      <c r="N60" s="208" t="n">
        <v>208.25</v>
      </c>
      <c r="O60" s="251" t="n">
        <v>249.9</v>
      </c>
    </row>
    <row r="61">
      <c r="A61" t="n">
        <v>250</v>
      </c>
      <c r="B61" s="1" t="n">
        <v>43056</v>
      </c>
      <c r="C61" s="9" t="inlineStr">
        <is>
          <t>AEU-INV-AT-2017-16363411</t>
        </is>
      </c>
      <c r="D61" s="1" t="inlineStr">
        <is>
          <t>Amazon EU Sàrl, 5 Rue Plaetis, L-2338, Luxemburg: Switch, AP</t>
        </is>
      </c>
      <c r="E61" s="1" t="inlineStr">
        <is>
          <t>Ausgaben</t>
        </is>
      </c>
      <c r="F61" s="16" t="n"/>
      <c r="G61" s="36" t="n">
        <v>229.06</v>
      </c>
      <c r="H61" s="51" t="n">
        <v>1</v>
      </c>
      <c r="I61" s="251" t="n">
        <v>274.872</v>
      </c>
      <c r="J61" s="27" t="n">
        <v>20</v>
      </c>
      <c r="K61" s="237" t="n">
        <v>45.812</v>
      </c>
      <c r="L61">
        <f>J61&amp;"%"</f>
        <v/>
      </c>
      <c r="M61" s="237" t="n">
        <v>45.812</v>
      </c>
      <c r="N61" s="208" t="n">
        <v>229.06</v>
      </c>
      <c r="O61" s="251" t="n">
        <v>274.872</v>
      </c>
    </row>
    <row r="62">
      <c r="A62" t="n">
        <v>251</v>
      </c>
      <c r="B62" s="1" t="n">
        <v>43059</v>
      </c>
      <c r="C62" s="9" t="inlineStr">
        <is>
          <t>AEU-INV-AT-2017-16236859</t>
        </is>
      </c>
      <c r="D62" s="1" t="inlineStr">
        <is>
          <t>Amazon EU Sàrl, 5 Rue Plaetis, L-2338, Luxemburg: LG 27BK550Y-B</t>
        </is>
      </c>
      <c r="E62" s="1" t="inlineStr">
        <is>
          <t>Ausgaben</t>
        </is>
      </c>
      <c r="F62" s="16" t="n"/>
      <c r="G62" s="36" t="n">
        <v>208.25</v>
      </c>
      <c r="H62" s="51" t="n">
        <v>1</v>
      </c>
      <c r="I62" s="251" t="n">
        <v>249.9</v>
      </c>
      <c r="J62" s="27" t="n">
        <v>20</v>
      </c>
      <c r="K62" s="237" t="n">
        <v>41.65</v>
      </c>
      <c r="L62">
        <f>J62&amp;"%"</f>
        <v/>
      </c>
      <c r="M62" s="237" t="n">
        <v>41.65</v>
      </c>
      <c r="N62" s="208" t="n">
        <v>208.25</v>
      </c>
      <c r="O62" s="251" t="n">
        <v>249.9</v>
      </c>
    </row>
    <row r="63">
      <c r="A63" t="n">
        <v>252</v>
      </c>
      <c r="B63" s="1" t="n">
        <v>43059</v>
      </c>
      <c r="C63" s="9" t="inlineStr">
        <is>
          <t>AEU-INV-AT-2017-16329348</t>
        </is>
      </c>
      <c r="D63" s="1" t="inlineStr">
        <is>
          <t>Amazon EU Sàrl, 5 Rue Plaetis, L-2338, Luxemburg: Lenovo ideacentre Y700</t>
        </is>
      </c>
      <c r="E63" s="1" t="inlineStr">
        <is>
          <t>Ausgaben</t>
        </is>
      </c>
      <c r="F63" s="16" t="n"/>
      <c r="G63" s="36" t="n">
        <v>1511.77</v>
      </c>
      <c r="H63" s="51" t="n">
        <v>1</v>
      </c>
      <c r="I63" s="251" t="n">
        <v>1814.124</v>
      </c>
      <c r="J63" s="27" t="n">
        <v>20</v>
      </c>
      <c r="K63" s="237" t="n">
        <v>302.354</v>
      </c>
      <c r="L63">
        <f>J63&amp;"%"</f>
        <v/>
      </c>
      <c r="M63" s="237" t="n">
        <v>302.354</v>
      </c>
      <c r="N63" s="208" t="n">
        <v>1511.77</v>
      </c>
      <c r="O63" s="251" t="n">
        <v>1814.124</v>
      </c>
    </row>
    <row r="64">
      <c r="A64" t="n">
        <v>253</v>
      </c>
      <c r="B64" s="1" t="n">
        <v>43055</v>
      </c>
      <c r="C64" s="9" t="inlineStr">
        <is>
          <t>650802</t>
        </is>
      </c>
      <c r="D64" s="1" t="inlineStr">
        <is>
          <t>Lemon Technologies GmbH: Office, Win16Svr</t>
        </is>
      </c>
      <c r="E64" s="1" t="inlineStr">
        <is>
          <t>Ausgaben</t>
        </is>
      </c>
      <c r="F64" s="16" t="n"/>
      <c r="G64" s="36" t="n">
        <v>464.31</v>
      </c>
      <c r="H64" s="51" t="n">
        <v>1</v>
      </c>
      <c r="I64" s="251" t="n">
        <v>557.172</v>
      </c>
      <c r="J64" s="27" t="n">
        <v>20</v>
      </c>
      <c r="K64" s="237" t="n">
        <v>92.86200000000001</v>
      </c>
      <c r="L64">
        <f>J64&amp;"%"</f>
        <v/>
      </c>
      <c r="M64" s="237" t="n">
        <v>92.86200000000001</v>
      </c>
      <c r="N64" s="208" t="n">
        <v>464.31</v>
      </c>
      <c r="O64" s="251" t="n">
        <v>557.172</v>
      </c>
    </row>
    <row r="65">
      <c r="A65" t="n">
        <v>254</v>
      </c>
      <c r="B65" s="1" t="n">
        <v>43059</v>
      </c>
      <c r="C65" s="9" t="inlineStr">
        <is>
          <t>AEU-INV-AT-2017-16575031</t>
        </is>
      </c>
      <c r="D65" s="1" t="inlineStr">
        <is>
          <t>Amazon EU Sàrl, 5 Rue Plaetis, L-2338, Luxemburg: APC Back UPS Pro USV 900VA</t>
        </is>
      </c>
      <c r="E65" s="1" t="inlineStr">
        <is>
          <t>Ausgaben</t>
        </is>
      </c>
      <c r="F65" s="16" t="n"/>
      <c r="G65" s="36" t="n">
        <v>150.42</v>
      </c>
      <c r="H65" s="51" t="n">
        <v>1</v>
      </c>
      <c r="I65" s="251" t="n">
        <v>180.504</v>
      </c>
      <c r="J65" s="27" t="n">
        <v>20</v>
      </c>
      <c r="K65" s="237" t="n">
        <v>30.084</v>
      </c>
      <c r="L65">
        <f>J65&amp;"%"</f>
        <v/>
      </c>
      <c r="M65" s="237" t="n">
        <v>30.084</v>
      </c>
      <c r="N65" s="208" t="n">
        <v>150.42</v>
      </c>
      <c r="O65" s="251" t="n">
        <v>180.504</v>
      </c>
    </row>
    <row r="66">
      <c r="A66" t="n">
        <v>255</v>
      </c>
      <c r="B66" s="1" t="n">
        <v>43059</v>
      </c>
      <c r="C66" s="9" t="inlineStr">
        <is>
          <t>AEU-INV-AT-2017-16221562</t>
        </is>
      </c>
      <c r="D66" s="1" t="inlineStr">
        <is>
          <t>Amazon EU Sàrl, 5 Rue Plaetis, L-2338, Luxemburg: Acer G246HYLbid 23,8 Zoll</t>
        </is>
      </c>
      <c r="E66" s="1" t="inlineStr">
        <is>
          <t>Ausgaben</t>
        </is>
      </c>
      <c r="F66" s="16" t="n"/>
      <c r="G66" s="36" t="n">
        <v>108.19</v>
      </c>
      <c r="H66" s="51" t="n">
        <v>1</v>
      </c>
      <c r="I66" s="251" t="n">
        <v>129.828</v>
      </c>
      <c r="J66" s="27" t="n">
        <v>20</v>
      </c>
      <c r="K66" s="237" t="n">
        <v>21.638</v>
      </c>
      <c r="L66">
        <f>J66&amp;"%"</f>
        <v/>
      </c>
      <c r="M66" s="237" t="n">
        <v>21.638</v>
      </c>
      <c r="N66" s="208" t="n">
        <v>108.19</v>
      </c>
      <c r="O66" s="251" t="n">
        <v>129.828</v>
      </c>
    </row>
    <row r="67">
      <c r="A67" t="n">
        <v>256</v>
      </c>
      <c r="B67" s="1" t="n">
        <v>43059</v>
      </c>
      <c r="C67" s="9" t="inlineStr">
        <is>
          <t>INV-AT-105173521-2017-37295</t>
        </is>
      </c>
      <c r="D67" s="1" t="inlineStr">
        <is>
          <t>Ganz Einfach GmbH, Wohlenbergstr 16, Hannover, 30179 DE: 3 7,5m HDMI 3f. geschirmt</t>
        </is>
      </c>
      <c r="E67" s="1" t="inlineStr">
        <is>
          <t>Ausgaben</t>
        </is>
      </c>
      <c r="F67" s="16" t="n"/>
      <c r="G67" s="36" t="n">
        <v>30.24</v>
      </c>
      <c r="H67" s="51" t="n">
        <v>1</v>
      </c>
      <c r="I67" s="251" t="n">
        <v>36.288</v>
      </c>
      <c r="J67" s="27" t="n">
        <v>20</v>
      </c>
      <c r="K67" s="237" t="n">
        <v>6.047999999999999</v>
      </c>
      <c r="L67">
        <f>J67&amp;"%"</f>
        <v/>
      </c>
      <c r="M67" s="237" t="n">
        <v>6.047999999999999</v>
      </c>
      <c r="N67" s="208" t="n">
        <v>30.24</v>
      </c>
      <c r="O67" s="251" t="n">
        <v>36.288</v>
      </c>
    </row>
    <row r="68">
      <c r="A68" t="n">
        <v>257</v>
      </c>
      <c r="B68" s="1" t="n">
        <v>43059</v>
      </c>
      <c r="C68" s="9" t="inlineStr">
        <is>
          <t>40048218</t>
        </is>
      </c>
      <c r="D68" s="1" t="inlineStr">
        <is>
          <t>E.Alt KG, MTS-Shop.eu, 1140 Wien, Mühlbergstrasse 18: IPCam, TV-Wandhalterung</t>
        </is>
      </c>
      <c r="E68" s="1" t="inlineStr">
        <is>
          <t>Ausgaben</t>
        </is>
      </c>
      <c r="F68" s="16" t="n"/>
      <c r="G68" s="36" t="n">
        <v>197.97</v>
      </c>
      <c r="H68" s="51" t="n">
        <v>1</v>
      </c>
      <c r="I68" s="251" t="n">
        <v>237.564</v>
      </c>
      <c r="J68" s="27" t="n">
        <v>20</v>
      </c>
      <c r="K68" s="237" t="n">
        <v>39.594</v>
      </c>
      <c r="L68">
        <f>J68&amp;"%"</f>
        <v/>
      </c>
      <c r="M68" s="237" t="n">
        <v>39.594</v>
      </c>
      <c r="N68" s="208" t="n">
        <v>197.97</v>
      </c>
      <c r="O68" s="251" t="n">
        <v>237.564</v>
      </c>
    </row>
    <row r="69">
      <c r="A69" t="n">
        <v>258</v>
      </c>
      <c r="B69" s="1" t="n">
        <v>43060</v>
      </c>
      <c r="C69" s="9" t="inlineStr">
        <is>
          <t>AEU-INV-AT-2017-16695382</t>
        </is>
      </c>
      <c r="D69" s="1" t="inlineStr">
        <is>
          <t>Amazon EU Sàrl, 5 Rue Plaetis, L-2338, Luxemburg: Sony DVP-SR760HB</t>
        </is>
      </c>
      <c r="E69" s="1" t="inlineStr">
        <is>
          <t>Ausgaben</t>
        </is>
      </c>
      <c r="F69" s="16" t="n"/>
      <c r="G69" s="36" t="n">
        <v>40.32</v>
      </c>
      <c r="H69" s="51" t="n">
        <v>1</v>
      </c>
      <c r="I69" s="251" t="n">
        <v>48.384</v>
      </c>
      <c r="J69" s="27" t="n">
        <v>20</v>
      </c>
      <c r="K69" s="237" t="n">
        <v>8.064</v>
      </c>
      <c r="L69">
        <f>J69&amp;"%"</f>
        <v/>
      </c>
      <c r="M69" s="237" t="n">
        <v>8.064</v>
      </c>
      <c r="N69" s="208" t="n">
        <v>40.32</v>
      </c>
      <c r="O69" s="251" t="n">
        <v>48.384</v>
      </c>
    </row>
    <row r="70">
      <c r="A70" t="n">
        <v>259</v>
      </c>
      <c r="B70" s="1" t="n">
        <v>43060</v>
      </c>
      <c r="C70" s="9" t="inlineStr">
        <is>
          <t>AEU-INV-AT-2017-16695368</t>
        </is>
      </c>
      <c r="D70" s="1" t="inlineStr">
        <is>
          <t>Amazon EU Sàrl, 5 Rue Plaetis, L-2338, Luxemburg: Seagate STEL800200 8TB</t>
        </is>
      </c>
      <c r="E70" s="1" t="inlineStr">
        <is>
          <t>Ausgaben</t>
        </is>
      </c>
      <c r="F70" s="16" t="n"/>
      <c r="G70" s="36" t="n">
        <v>171.14</v>
      </c>
      <c r="H70" s="51" t="n">
        <v>1</v>
      </c>
      <c r="I70" s="251" t="n">
        <v>205.368</v>
      </c>
      <c r="J70" s="27" t="n">
        <v>20</v>
      </c>
      <c r="K70" s="237" t="n">
        <v>34.22799999999999</v>
      </c>
      <c r="L70">
        <f>J70&amp;"%"</f>
        <v/>
      </c>
      <c r="M70" s="237" t="n">
        <v>34.22799999999999</v>
      </c>
      <c r="N70" s="208" t="n">
        <v>171.14</v>
      </c>
      <c r="O70" s="251" t="n">
        <v>205.368</v>
      </c>
    </row>
    <row r="71">
      <c r="A71" t="n">
        <v>260</v>
      </c>
      <c r="B71" s="1" t="n">
        <v>43060</v>
      </c>
      <c r="C71" s="9" t="inlineStr">
        <is>
          <t>AEU-INV-AT-2017-16695375</t>
        </is>
      </c>
      <c r="D71" s="1" t="inlineStr">
        <is>
          <t>Amazon EU Sàrl, 5 Rue Plaetis, L-2338, Luxemburg: SP-Link TL-PoE150S</t>
        </is>
      </c>
      <c r="E71" s="1" t="inlineStr">
        <is>
          <t>Ausgaben</t>
        </is>
      </c>
      <c r="F71" s="16" t="n"/>
      <c r="G71" s="36" t="n">
        <v>17.56</v>
      </c>
      <c r="H71" s="51" t="n">
        <v>1</v>
      </c>
      <c r="I71" s="251" t="n">
        <v>21.072</v>
      </c>
      <c r="J71" s="27" t="n">
        <v>20</v>
      </c>
      <c r="K71" s="237" t="n">
        <v>3.512</v>
      </c>
      <c r="L71">
        <f>J71&amp;"%"</f>
        <v/>
      </c>
      <c r="M71" s="237" t="n">
        <v>3.512</v>
      </c>
      <c r="N71" s="208" t="n">
        <v>17.56</v>
      </c>
      <c r="O71" s="251" t="n">
        <v>21.072</v>
      </c>
    </row>
    <row r="72">
      <c r="A72" t="n">
        <v>261</v>
      </c>
      <c r="B72" s="1" t="n">
        <v>43062</v>
      </c>
      <c r="C72" s="9" t="inlineStr">
        <is>
          <t>AEU-INV-AT-2017-16673435</t>
        </is>
      </c>
      <c r="D72" s="1" t="inlineStr">
        <is>
          <t>Amazon EU Sàrl, 5 Rue Plaetis, L-2338, Luxemburg: LogiLink BP0004 TV-Halterung</t>
        </is>
      </c>
      <c r="E72" s="1" t="inlineStr">
        <is>
          <t>Ausgaben</t>
        </is>
      </c>
      <c r="F72" s="16" t="n"/>
      <c r="G72" s="36" t="n">
        <v>8.93</v>
      </c>
      <c r="H72" s="51" t="n">
        <v>1</v>
      </c>
      <c r="I72" s="251" t="n">
        <v>10.716</v>
      </c>
      <c r="J72" s="27" t="n">
        <v>20</v>
      </c>
      <c r="K72" s="237" t="n">
        <v>1.786</v>
      </c>
      <c r="L72">
        <f>J72&amp;"%"</f>
        <v/>
      </c>
      <c r="M72" s="237" t="n">
        <v>1.786</v>
      </c>
      <c r="N72" s="208" t="n">
        <v>8.93</v>
      </c>
      <c r="O72" s="251" t="n">
        <v>10.716</v>
      </c>
    </row>
    <row r="73">
      <c r="A73" t="n">
        <v>262</v>
      </c>
      <c r="B73" s="1" t="n">
        <v>43062</v>
      </c>
      <c r="C73" s="9" t="inlineStr">
        <is>
          <t>AEU-INV-AT-2017-16663299</t>
        </is>
      </c>
      <c r="D73" s="1" t="inlineStr">
        <is>
          <t>Amazon EU Sàrl, 5 Rue Plaetis, L-2338, Luxemburg: STRONG SRT 40FX4003</t>
        </is>
      </c>
      <c r="E73" s="1" t="inlineStr">
        <is>
          <t>Ausgaben</t>
        </is>
      </c>
      <c r="F73" s="16" t="n"/>
      <c r="G73" s="36" t="n">
        <v>238.45</v>
      </c>
      <c r="H73" s="51" t="n">
        <v>1</v>
      </c>
      <c r="I73" s="251" t="n">
        <v>286.14</v>
      </c>
      <c r="J73" s="27" t="n">
        <v>20</v>
      </c>
      <c r="K73" s="237" t="n">
        <v>47.69</v>
      </c>
      <c r="L73">
        <f>J73&amp;"%"</f>
        <v/>
      </c>
      <c r="M73" s="237" t="n">
        <v>47.69</v>
      </c>
      <c r="N73" s="208" t="n">
        <v>238.45</v>
      </c>
      <c r="O73" s="251" t="n">
        <v>286.14</v>
      </c>
    </row>
    <row r="74">
      <c r="A74" t="n">
        <v>263</v>
      </c>
      <c r="B74" s="1" t="n">
        <v>43066</v>
      </c>
      <c r="C74" s="9" t="inlineStr">
        <is>
          <t>AEU-INV-AT-2017-16842561</t>
        </is>
      </c>
      <c r="D74" s="1" t="inlineStr">
        <is>
          <t>Amazon EU Sàrl, 5 Rue Plaetis, L-2338, Luxemburg: STRONG SRT 40FX4003</t>
        </is>
      </c>
      <c r="E74" s="1" t="inlineStr">
        <is>
          <t>Ausgaben</t>
        </is>
      </c>
      <c r="F74" s="16" t="n"/>
      <c r="G74" s="36" t="n">
        <v>238.45</v>
      </c>
      <c r="H74" s="51" t="n">
        <v>1</v>
      </c>
      <c r="I74" s="251" t="n">
        <v>286.14</v>
      </c>
      <c r="J74" s="27" t="n">
        <v>20</v>
      </c>
      <c r="K74" s="237" t="n">
        <v>47.69</v>
      </c>
      <c r="L74">
        <f>J74&amp;"%"</f>
        <v/>
      </c>
      <c r="M74" s="237" t="n">
        <v>47.69</v>
      </c>
      <c r="N74" s="208" t="n">
        <v>238.45</v>
      </c>
      <c r="O74" s="251" t="n">
        <v>286.14</v>
      </c>
    </row>
    <row r="75">
      <c r="A75" t="n">
        <v>264</v>
      </c>
      <c r="B75" s="1" t="n">
        <v>43067</v>
      </c>
      <c r="C75" s="9" t="inlineStr">
        <is>
          <t>2017101287</t>
        </is>
      </c>
      <c r="D75" s="1" t="inlineStr">
        <is>
          <t>myKey GmbH, Embelgasse 2-8/4/441, 1050 Wien: Windows 10 Pro Key</t>
        </is>
      </c>
      <c r="E75" s="1" t="inlineStr">
        <is>
          <t>Ausgaben</t>
        </is>
      </c>
      <c r="F75" s="16" t="n"/>
      <c r="G75" s="36" t="n">
        <v>58.25</v>
      </c>
      <c r="H75" s="51" t="n">
        <v>1</v>
      </c>
      <c r="I75" s="251" t="n">
        <v>69.90000000000001</v>
      </c>
      <c r="J75" s="27" t="n">
        <v>20</v>
      </c>
      <c r="K75" s="237" t="n">
        <v>11.65</v>
      </c>
      <c r="L75">
        <f>J75&amp;"%"</f>
        <v/>
      </c>
      <c r="M75" s="237" t="n">
        <v>11.65</v>
      </c>
      <c r="N75" s="208" t="n">
        <v>58.25</v>
      </c>
      <c r="O75" s="251" t="n">
        <v>69.90000000000001</v>
      </c>
    </row>
    <row r="76">
      <c r="A76" t="n">
        <v>265</v>
      </c>
      <c r="B76" s="1" t="n">
        <v>43075</v>
      </c>
      <c r="C76" s="9" t="inlineStr">
        <is>
          <t>6145902558</t>
        </is>
      </c>
      <c r="D76" s="1" t="inlineStr">
        <is>
          <t xml:space="preserve">Hutchison Drei Austria GmbH, Brünner Straße 52, 1210 Wien, Österreich: </t>
        </is>
      </c>
      <c r="E76" s="1" t="inlineStr">
        <is>
          <t>Ausgaben</t>
        </is>
      </c>
      <c r="F76" s="16" t="n"/>
      <c r="G76" s="36" t="n">
        <v>15</v>
      </c>
      <c r="H76" s="51" t="n">
        <v>1</v>
      </c>
      <c r="I76" s="251" t="n">
        <v>18</v>
      </c>
      <c r="J76" s="27" t="n">
        <v>20</v>
      </c>
      <c r="K76" s="237" t="n">
        <v>3</v>
      </c>
      <c r="L76">
        <f>J76&amp;"%"</f>
        <v/>
      </c>
      <c r="M76" s="237" t="n">
        <v>3</v>
      </c>
      <c r="N76" s="208" t="n">
        <v>15</v>
      </c>
      <c r="O76" s="251" t="n">
        <v>18</v>
      </c>
    </row>
    <row r="77">
      <c r="A77" t="n">
        <v>266</v>
      </c>
      <c r="B77" s="1" t="n">
        <v>43069</v>
      </c>
      <c r="C77" s="9" t="inlineStr">
        <is>
          <t>896454</t>
        </is>
      </c>
      <c r="D77" s="1" t="inlineStr">
        <is>
          <t>officeb2b GmbH - Stettenstr. 15 - 86482 Aystetten - (DE): LogiLink TV-Wandhalterung BP0004</t>
        </is>
      </c>
      <c r="E77" s="1" t="inlineStr">
        <is>
          <t>Ausgaben</t>
        </is>
      </c>
      <c r="F77" s="16" t="n"/>
      <c r="G77" s="36" t="n">
        <v>9.15</v>
      </c>
      <c r="H77" s="51" t="n">
        <v>1</v>
      </c>
      <c r="I77" s="251" t="n">
        <v>9.15</v>
      </c>
      <c r="J77" s="27" t="n">
        <v>0</v>
      </c>
      <c r="K77" s="237" t="n">
        <v>0</v>
      </c>
      <c r="L77" t="inlineStr">
        <is>
          <t>reverse charge</t>
        </is>
      </c>
      <c r="M77" s="237" t="n">
        <v>0</v>
      </c>
      <c r="N77" s="208" t="n">
        <v>9.15</v>
      </c>
      <c r="O77" s="251" t="n">
        <v>9.15</v>
      </c>
    </row>
    <row r="78">
      <c r="A78" t="n">
        <v>267</v>
      </c>
      <c r="B78" s="1" t="n">
        <v>43070</v>
      </c>
      <c r="C78" s="9" t="inlineStr">
        <is>
          <t>1985221</t>
        </is>
      </c>
      <c r="D78" s="1" t="inlineStr">
        <is>
          <t>1attack.de Mundo del Arte GmbH: Patchkabel</t>
        </is>
      </c>
      <c r="E78" s="1" t="inlineStr">
        <is>
          <t>Ausgaben</t>
        </is>
      </c>
      <c r="F78" s="16" t="n"/>
      <c r="G78" s="36" t="n">
        <v>21.97</v>
      </c>
      <c r="H78" s="51" t="n">
        <v>1</v>
      </c>
      <c r="I78" s="251" t="n">
        <v>26.364</v>
      </c>
      <c r="J78" s="27" t="n">
        <v>20</v>
      </c>
      <c r="K78" s="237" t="n">
        <v>4.394</v>
      </c>
      <c r="L78">
        <f>J78&amp;"%"</f>
        <v/>
      </c>
      <c r="M78" s="237" t="n">
        <v>4.394</v>
      </c>
      <c r="N78" s="208" t="n">
        <v>21.97</v>
      </c>
      <c r="O78" s="251" t="n">
        <v>26.364</v>
      </c>
    </row>
    <row r="79">
      <c r="A79" t="n">
        <v>268</v>
      </c>
      <c r="B79" s="1" t="n">
        <v>43074</v>
      </c>
      <c r="C79" s="9" t="inlineStr">
        <is>
          <t>2017101374</t>
        </is>
      </c>
      <c r="D79" s="1" t="inlineStr">
        <is>
          <t>myKey GmbH, Embelgasse 2-8/4/441, 1050 Wien: Windows 10 Pro Key</t>
        </is>
      </c>
      <c r="E79" s="1" t="inlineStr">
        <is>
          <t>Ausgaben</t>
        </is>
      </c>
      <c r="F79" s="16" t="n"/>
      <c r="G79" s="36" t="n">
        <v>58.25</v>
      </c>
      <c r="H79" s="51" t="n">
        <v>1</v>
      </c>
      <c r="I79" s="251" t="n">
        <v>69.90000000000001</v>
      </c>
      <c r="J79" s="27" t="n">
        <v>20</v>
      </c>
      <c r="K79" s="237" t="n">
        <v>11.65</v>
      </c>
      <c r="L79">
        <f>J79&amp;"%"</f>
        <v/>
      </c>
      <c r="M79" s="237" t="n">
        <v>11.65</v>
      </c>
      <c r="N79" s="208" t="n">
        <v>58.25</v>
      </c>
      <c r="O79" s="251" t="n">
        <v>69.90000000000001</v>
      </c>
    </row>
    <row r="80">
      <c r="A80" t="n">
        <v>269</v>
      </c>
      <c r="B80" s="1" t="n">
        <v>43080</v>
      </c>
      <c r="C80" s="9" t="inlineStr">
        <is>
          <t>INV-AT-105173521-2017-56322</t>
        </is>
      </c>
      <c r="D80" s="1" t="inlineStr">
        <is>
          <t>Ganz Einfach GmbH, Wohlenbergstr 16, Hannover, 30179 DE: CSL -4k UHD HDMI Splitter B01615JA3A</t>
        </is>
      </c>
      <c r="E80" s="1" t="inlineStr">
        <is>
          <t>Ausgaben</t>
        </is>
      </c>
      <c r="F80" s="16" t="n"/>
      <c r="G80" s="36" t="n">
        <v>16.68</v>
      </c>
      <c r="H80" s="51" t="n">
        <v>1</v>
      </c>
      <c r="I80" s="251" t="n">
        <v>20.016</v>
      </c>
      <c r="J80" s="27" t="n">
        <v>20</v>
      </c>
      <c r="K80" s="237" t="n">
        <v>3.336</v>
      </c>
      <c r="L80">
        <f>J80&amp;"%"</f>
        <v/>
      </c>
      <c r="M80" s="237" t="n">
        <v>3.336</v>
      </c>
      <c r="N80" s="208" t="n">
        <v>16.68</v>
      </c>
      <c r="O80" s="251" t="n">
        <v>20.016</v>
      </c>
    </row>
    <row r="81">
      <c r="A81" t="n">
        <v>270</v>
      </c>
      <c r="B81" s="1" t="n">
        <v>43060</v>
      </c>
      <c r="C81" s="9" t="inlineStr">
        <is>
          <t>6985995</t>
        </is>
      </c>
      <c r="D81" s="1" t="inlineStr">
        <is>
          <t>Veloce Botendienste GmbH: Laudong. - Linzerstraße</t>
        </is>
      </c>
      <c r="E81" s="1" t="inlineStr">
        <is>
          <t>Ausgaben</t>
        </is>
      </c>
      <c r="F81" s="16" t="n"/>
      <c r="G81" s="36" t="n">
        <v>11</v>
      </c>
      <c r="H81" s="51" t="n">
        <v>1</v>
      </c>
      <c r="I81" s="251" t="n">
        <v>13.2</v>
      </c>
      <c r="J81" s="27" t="n">
        <v>20</v>
      </c>
      <c r="K81" s="237" t="n">
        <v>2.2</v>
      </c>
      <c r="L81">
        <f>J81&amp;"%"</f>
        <v/>
      </c>
      <c r="M81" s="237" t="n">
        <v>2.2</v>
      </c>
      <c r="N81" s="208" t="n">
        <v>11</v>
      </c>
      <c r="O81" s="251" t="n">
        <v>13.2</v>
      </c>
    </row>
    <row r="82">
      <c r="A82" t="n">
        <v>271</v>
      </c>
      <c r="B82" s="1" t="n">
        <v>43084</v>
      </c>
      <c r="C82" s="9" t="inlineStr">
        <is>
          <t>14002443106/40/2017</t>
        </is>
      </c>
      <c r="D82" s="1" t="inlineStr">
        <is>
          <t>27,32 % von € 99: MONTANA Energie-Handel AT GmbH: Teilzahlungsbetrag Gas</t>
        </is>
      </c>
      <c r="E82" s="1" t="inlineStr">
        <is>
          <t>Ausgaben</t>
        </is>
      </c>
      <c r="F82" s="16" t="n"/>
      <c r="G82" s="36" t="n">
        <v>82.5</v>
      </c>
      <c r="H82" s="51" t="n">
        <v>0.2732037841984147</v>
      </c>
      <c r="I82" s="251" t="n">
        <v>27.04717463564306</v>
      </c>
      <c r="J82" s="27" t="n">
        <v>20</v>
      </c>
      <c r="K82" s="237" t="n">
        <v>16.5</v>
      </c>
      <c r="L82">
        <f>J82&amp;"%"</f>
        <v/>
      </c>
      <c r="M82" s="237" t="n">
        <v>4.507862439273843</v>
      </c>
      <c r="N82" s="208" t="n">
        <v>22.53931219636922</v>
      </c>
      <c r="O82" s="251" t="n">
        <v>99</v>
      </c>
    </row>
    <row r="83">
      <c r="A83" t="n">
        <v>272</v>
      </c>
      <c r="B83" s="1" t="n">
        <v>43096</v>
      </c>
      <c r="C83" s="9" t="inlineStr">
        <is>
          <t>2017/8058/14</t>
        </is>
      </c>
      <c r="D83" s="1" t="inlineStr">
        <is>
          <t>27,32 % von € 881,95: PREMIUM Laudongasse 58 GmbH &amp; Co KG: Dauerrechnung 2017-D-9</t>
        </is>
      </c>
      <c r="E83" s="1" t="inlineStr">
        <is>
          <t>Ausgaben</t>
        </is>
      </c>
      <c r="F83" s="16" t="n"/>
      <c r="G83" s="36" t="n">
        <v>801.77</v>
      </c>
      <c r="H83" s="51" t="n">
        <v>0.2732037841984147</v>
      </c>
      <c r="I83" s="251" t="n">
        <v>240.9512578624393</v>
      </c>
      <c r="J83" s="27" t="n">
        <v>10</v>
      </c>
      <c r="K83" s="237" t="n">
        <v>80.17699999999999</v>
      </c>
      <c r="L83">
        <f>J83&amp;"%"</f>
        <v/>
      </c>
      <c r="M83" s="237" t="n">
        <v>21.9046598056763</v>
      </c>
      <c r="N83" s="208" t="n">
        <v>219.046598056763</v>
      </c>
      <c r="O83" s="251" t="n">
        <v>881.947</v>
      </c>
    </row>
    <row r="84">
      <c r="A84" t="n">
        <v>273</v>
      </c>
      <c r="B84" s="1" t="n">
        <v>43082</v>
      </c>
      <c r="C84" s="9" t="inlineStr">
        <is>
          <t>1101540</t>
        </is>
      </c>
      <c r="D84" s="1" t="inlineStr">
        <is>
          <t xml:space="preserve">Wall-Art-Design, Patrick Dießl, Streudorfer Str. 124, D-98663 Westhausen: </t>
        </is>
      </c>
      <c r="E84" s="1" t="inlineStr">
        <is>
          <t>Ausgaben</t>
        </is>
      </c>
      <c r="F84" s="16" t="n"/>
      <c r="G84" s="36" t="n">
        <v>7.91</v>
      </c>
      <c r="H84" s="51" t="n">
        <v>1</v>
      </c>
      <c r="I84" s="251" t="n">
        <v>9.492000000000001</v>
      </c>
      <c r="J84" s="27" t="n">
        <v>20</v>
      </c>
      <c r="K84" s="237" t="n">
        <v>1.582</v>
      </c>
      <c r="L84">
        <f>J84&amp;"%"</f>
        <v/>
      </c>
      <c r="M84" s="237" t="n">
        <v>1.582</v>
      </c>
      <c r="N84" s="208" t="n">
        <v>7.91</v>
      </c>
      <c r="O84" s="251" t="n">
        <v>9.492000000000001</v>
      </c>
    </row>
    <row r="85">
      <c r="A85" t="n">
        <v>274</v>
      </c>
      <c r="B85" s="1" t="n">
        <v>43090</v>
      </c>
      <c r="C85" s="9" t="inlineStr">
        <is>
          <t>E050052CKO</t>
        </is>
      </c>
      <c r="D85" s="1" t="inlineStr">
        <is>
          <t>Microsoft Ireland Operations Ltd, One Microsoft Place, South County Business Park Leopardstown Dublin 18, D18 P521 Irland: Office 365 Business Essentials (monatlich)</t>
        </is>
      </c>
      <c r="E85" s="1" t="inlineStr">
        <is>
          <t>Ausgaben</t>
        </is>
      </c>
      <c r="F85" s="16" t="n"/>
      <c r="G85" s="36" t="n">
        <v>18.7</v>
      </c>
      <c r="H85" s="51" t="n">
        <v>1</v>
      </c>
      <c r="I85" s="251" t="n">
        <v>22.44</v>
      </c>
      <c r="J85" s="27" t="n">
        <v>20</v>
      </c>
      <c r="K85" s="237" t="n">
        <v>3.74</v>
      </c>
      <c r="L85">
        <f>J85&amp;"%"</f>
        <v/>
      </c>
      <c r="M85" s="237" t="n">
        <v>3.74</v>
      </c>
      <c r="N85" s="208" t="n">
        <v>18.7</v>
      </c>
      <c r="O85" s="251" t="n">
        <v>22.44</v>
      </c>
    </row>
    <row r="86">
      <c r="A86" t="n">
        <v>275</v>
      </c>
      <c r="B86" s="1" t="n">
        <v>43090</v>
      </c>
      <c r="C86" s="9" t="n"/>
      <c r="D86" s="1" t="inlineStr">
        <is>
          <t xml:space="preserve">Vistaprint B.V., Hudsonweg 8, 5928 LW Venlo, Niederlande: </t>
        </is>
      </c>
      <c r="E86" s="1" t="inlineStr">
        <is>
          <t>Ausgaben</t>
        </is>
      </c>
      <c r="F86" s="16" t="n"/>
      <c r="G86" s="36" t="n">
        <v>75.3</v>
      </c>
      <c r="H86" s="51" t="n">
        <v>1</v>
      </c>
      <c r="I86" s="251" t="n">
        <v>90.36</v>
      </c>
      <c r="J86" s="27" t="n">
        <v>20</v>
      </c>
      <c r="K86" s="237" t="n">
        <v>15.06</v>
      </c>
      <c r="L86">
        <f>J86&amp;"%"</f>
        <v/>
      </c>
      <c r="M86" s="237" t="n">
        <v>15.06</v>
      </c>
      <c r="N86" s="208" t="n">
        <v>75.3</v>
      </c>
      <c r="O86" s="251" t="n">
        <v>90.36</v>
      </c>
    </row>
    <row r="87">
      <c r="A87" t="n">
        <v>276</v>
      </c>
      <c r="B87" s="1" t="n">
        <v>43098</v>
      </c>
      <c r="C87" s="9" t="inlineStr">
        <is>
          <t>2016/52</t>
        </is>
      </c>
      <c r="D87" s="1" t="inlineStr">
        <is>
          <t>Wilhelm Blaha, Steuerberater, 1080 Wien, Roter Hof 1a: Jahresabschluss 2015</t>
        </is>
      </c>
      <c r="E87" s="1" t="inlineStr">
        <is>
          <t>Ausgaben</t>
        </is>
      </c>
      <c r="F87" s="16" t="n"/>
      <c r="G87" s="36" t="n">
        <v>825</v>
      </c>
      <c r="H87" s="51" t="n">
        <v>1</v>
      </c>
      <c r="I87" s="251" t="n">
        <v>990</v>
      </c>
      <c r="J87" s="27" t="n">
        <v>20</v>
      </c>
      <c r="K87" s="237" t="n">
        <v>165</v>
      </c>
      <c r="L87">
        <f>J87&amp;"%"</f>
        <v/>
      </c>
      <c r="M87" s="237" t="n">
        <v>165</v>
      </c>
      <c r="N87" s="208" t="n">
        <v>825</v>
      </c>
      <c r="O87" s="251" t="n">
        <v>990</v>
      </c>
    </row>
    <row r="88">
      <c r="A88" t="n">
        <v>277</v>
      </c>
      <c r="B88" s="1" t="n">
        <v>43100</v>
      </c>
      <c r="C88" s="9" t="n"/>
      <c r="D88" s="1" t="inlineStr">
        <is>
          <t>(nicht relevant) jarosoft: AfA 2016</t>
        </is>
      </c>
      <c r="E88" s="1" t="inlineStr">
        <is>
          <t>Ausgaben</t>
        </is>
      </c>
      <c r="F88" s="16" t="n"/>
      <c r="G88" s="36" t="n"/>
      <c r="H88" s="51" t="n"/>
      <c r="I88" s="251" t="n"/>
      <c r="J88" s="27" t="n"/>
      <c r="K88" s="237" t="n"/>
      <c r="M88" s="237" t="n"/>
      <c r="N88" s="208" t="n"/>
      <c r="O88" s="251" t="n"/>
    </row>
    <row r="89">
      <c r="A89" t="n">
        <v>278</v>
      </c>
      <c r="B89" s="1" t="n">
        <v>43100</v>
      </c>
      <c r="C89" s="9" t="inlineStr">
        <is>
          <t>2017</t>
        </is>
      </c>
      <c r="D89" s="1" t="inlineStr">
        <is>
          <t>jarosoft: AfA 2017</t>
        </is>
      </c>
      <c r="E89" s="1" t="inlineStr">
        <is>
          <t>Ausgaben</t>
        </is>
      </c>
      <c r="F89" s="16" t="n"/>
      <c r="G89" s="36" t="n">
        <v>494.334</v>
      </c>
      <c r="H89" s="51" t="n">
        <v>1</v>
      </c>
      <c r="I89" s="251" t="n">
        <v>494.334</v>
      </c>
      <c r="J89" s="27" t="n">
        <v>0</v>
      </c>
      <c r="K89" s="237" t="n">
        <v>0</v>
      </c>
      <c r="L89">
        <f>J89&amp;"%"</f>
        <v/>
      </c>
      <c r="M89" s="237" t="n">
        <v>0</v>
      </c>
      <c r="N89" s="208" t="n">
        <v>494.334</v>
      </c>
      <c r="O89" s="251" t="n">
        <v>593.2008</v>
      </c>
    </row>
    <row r="90">
      <c r="A90" t="n">
        <v>279</v>
      </c>
      <c r="B90" s="1" t="n">
        <v>43100</v>
      </c>
      <c r="C90" s="9" t="n"/>
      <c r="D90" s="1" t="inlineStr">
        <is>
          <t>(nicht relevant)</t>
        </is>
      </c>
      <c r="E90" s="1" t="inlineStr">
        <is>
          <t>Ausgaben</t>
        </is>
      </c>
      <c r="F90" s="16" t="n"/>
      <c r="G90" s="36" t="n"/>
      <c r="H90" s="51" t="n"/>
      <c r="I90" s="251" t="n"/>
      <c r="J90" s="27" t="n"/>
      <c r="K90" s="237" t="n"/>
      <c r="M90" s="237" t="n"/>
      <c r="N90" s="208" t="n"/>
      <c r="O90" s="251" t="n"/>
    </row>
    <row r="91">
      <c r="A91" t="n">
        <v>280</v>
      </c>
      <c r="B91" s="1" t="n">
        <v>43100</v>
      </c>
      <c r="C91" s="9" t="n"/>
      <c r="D91" s="1" t="inlineStr">
        <is>
          <t>(nicht relevant)</t>
        </is>
      </c>
      <c r="E91" s="1" t="inlineStr">
        <is>
          <t>Ausgaben</t>
        </is>
      </c>
      <c r="F91" s="16" t="n"/>
      <c r="G91" s="36" t="n"/>
      <c r="H91" s="51" t="n"/>
      <c r="I91" s="251" t="n"/>
      <c r="J91" s="27" t="n"/>
      <c r="K91" s="237" t="n"/>
      <c r="M91" s="237" t="n"/>
      <c r="N91" s="208" t="n"/>
      <c r="O91" s="251" t="n"/>
    </row>
    <row r="92">
      <c r="A92" t="n">
        <v>281</v>
      </c>
      <c r="B92" s="1" t="n">
        <v>43100</v>
      </c>
      <c r="C92" s="9" t="n"/>
      <c r="D92" s="1" t="inlineStr">
        <is>
          <t>(nicht relevant)</t>
        </is>
      </c>
      <c r="E92" s="1" t="inlineStr">
        <is>
          <t>Ausgaben</t>
        </is>
      </c>
      <c r="F92" s="16" t="n"/>
      <c r="G92" s="36" t="n"/>
      <c r="H92" s="51" t="n"/>
      <c r="I92" s="251" t="n"/>
      <c r="J92" s="27" t="n"/>
      <c r="K92" s="237" t="n"/>
      <c r="M92" s="237" t="n"/>
      <c r="N92" s="208" t="n"/>
      <c r="O92" s="251" t="n"/>
    </row>
    <row r="93">
      <c r="A93" t="n">
        <v>282</v>
      </c>
      <c r="B93" s="1" t="n">
        <v>43100</v>
      </c>
      <c r="C93" s="9" t="n"/>
      <c r="D93" s="1" t="inlineStr">
        <is>
          <t>(nicht relevant)</t>
        </is>
      </c>
      <c r="E93" s="1" t="inlineStr">
        <is>
          <t>Ausgaben</t>
        </is>
      </c>
      <c r="F93" s="16" t="n"/>
      <c r="G93" s="36" t="n"/>
      <c r="H93" s="51" t="n"/>
      <c r="I93" s="251" t="n"/>
      <c r="J93" s="27" t="n"/>
      <c r="K93" s="237" t="n"/>
      <c r="M93" s="237" t="n"/>
      <c r="N93" s="208" t="n"/>
      <c r="O93" s="251" t="n"/>
    </row>
    <row r="94">
      <c r="A94" t="n">
        <v>283</v>
      </c>
      <c r="B94" s="1" t="n">
        <v>43100</v>
      </c>
      <c r="C94" s="9" t="n"/>
      <c r="D94" s="1" t="inlineStr">
        <is>
          <t>(nicht relevant)</t>
        </is>
      </c>
      <c r="E94" s="1" t="inlineStr">
        <is>
          <t>Ausgaben</t>
        </is>
      </c>
      <c r="F94" s="16" t="n"/>
      <c r="G94" s="36" t="n"/>
      <c r="H94" s="51" t="n"/>
      <c r="I94" s="251" t="n"/>
      <c r="J94" s="27" t="n"/>
      <c r="K94" s="237" t="n"/>
      <c r="M94" s="237" t="n"/>
      <c r="N94" s="208" t="n"/>
      <c r="O94" s="251" t="n"/>
    </row>
    <row r="95">
      <c r="A95" t="n">
        <v>284</v>
      </c>
      <c r="B95" s="1" t="n">
        <v>43100</v>
      </c>
      <c r="C95" s="9" t="n"/>
      <c r="D95" s="1" t="inlineStr">
        <is>
          <t>(nicht relevant)</t>
        </is>
      </c>
      <c r="E95" s="1" t="inlineStr">
        <is>
          <t>Ausgaben</t>
        </is>
      </c>
      <c r="F95" s="16" t="n"/>
      <c r="G95" s="36" t="n"/>
      <c r="H95" s="51" t="n"/>
      <c r="I95" s="251" t="n"/>
      <c r="J95" s="27" t="n"/>
      <c r="K95" s="237" t="n"/>
      <c r="M95" s="237" t="n"/>
      <c r="N95" s="208" t="n"/>
      <c r="O95" s="251" t="n"/>
    </row>
    <row r="96">
      <c r="A96" t="n">
        <v>285</v>
      </c>
      <c r="B96" s="1" t="n">
        <v>43100</v>
      </c>
      <c r="C96" s="9" t="n"/>
      <c r="D96" s="1" t="inlineStr">
        <is>
          <t>(nicht relevant)</t>
        </is>
      </c>
      <c r="E96" s="1" t="inlineStr">
        <is>
          <t>Ausgaben</t>
        </is>
      </c>
      <c r="F96" s="16" t="n"/>
      <c r="G96" s="36" t="n"/>
      <c r="H96" s="51" t="n"/>
      <c r="I96" s="251" t="n"/>
      <c r="J96" s="27" t="n"/>
      <c r="K96" s="237" t="n"/>
      <c r="M96" s="237" t="n"/>
      <c r="N96" s="208" t="n"/>
      <c r="O96" s="251" t="n"/>
    </row>
    <row r="97">
      <c r="A97" t="n">
        <v>286</v>
      </c>
      <c r="B97" s="1" t="n">
        <v>43100</v>
      </c>
      <c r="C97" s="9" t="n"/>
      <c r="D97" s="1" t="inlineStr">
        <is>
          <t>(nicht relevant)</t>
        </is>
      </c>
      <c r="E97" s="1" t="inlineStr">
        <is>
          <t>Ausgaben</t>
        </is>
      </c>
      <c r="F97" s="16" t="n"/>
      <c r="G97" s="36" t="n"/>
      <c r="H97" s="51" t="n"/>
      <c r="I97" s="251" t="n"/>
      <c r="J97" s="27" t="n"/>
      <c r="K97" s="237" t="n"/>
      <c r="M97" s="237" t="n"/>
      <c r="N97" s="208" t="n"/>
      <c r="O97" s="251" t="n"/>
    </row>
    <row r="98">
      <c r="A98" t="n">
        <v>287</v>
      </c>
      <c r="B98" s="1" t="n">
        <v>43100</v>
      </c>
      <c r="C98" s="9" t="n"/>
      <c r="D98" s="1" t="inlineStr">
        <is>
          <t>(nicht relevant)</t>
        </is>
      </c>
      <c r="E98" s="1" t="inlineStr">
        <is>
          <t>Ausgaben</t>
        </is>
      </c>
      <c r="F98" s="16" t="n"/>
      <c r="G98" s="36" t="n"/>
      <c r="H98" s="51" t="n"/>
      <c r="I98" s="251" t="n"/>
      <c r="J98" s="27" t="n"/>
      <c r="K98" s="237" t="n"/>
      <c r="M98" s="237" t="n"/>
      <c r="N98" s="208" t="n"/>
      <c r="O98" s="251" t="n"/>
    </row>
    <row r="99">
      <c r="A99" t="n">
        <v>288</v>
      </c>
      <c r="B99" s="1" t="n">
        <v>43100</v>
      </c>
      <c r="C99" s="9" t="n"/>
      <c r="D99" s="1" t="inlineStr">
        <is>
          <t>(nicht relevant)</t>
        </is>
      </c>
      <c r="E99" s="1" t="inlineStr">
        <is>
          <t>Ausgaben</t>
        </is>
      </c>
      <c r="F99" s="16" t="n"/>
      <c r="G99" s="36" t="n"/>
      <c r="H99" s="51" t="n"/>
      <c r="I99" s="251" t="n"/>
      <c r="J99" s="27" t="n"/>
      <c r="K99" s="237" t="n"/>
      <c r="M99" s="237" t="n"/>
      <c r="N99" s="208" t="n"/>
      <c r="O99" s="251" t="n"/>
    </row>
    <row r="100">
      <c r="A100" t="n">
        <v>289</v>
      </c>
      <c r="B100" s="1" t="n">
        <v>43100</v>
      </c>
      <c r="C100" s="9" t="n"/>
      <c r="D100" s="1" t="inlineStr">
        <is>
          <t>(nicht relevant)</t>
        </is>
      </c>
      <c r="E100" s="1" t="inlineStr">
        <is>
          <t>Ausgaben</t>
        </is>
      </c>
      <c r="F100" s="16" t="n"/>
      <c r="G100" s="36" t="n"/>
      <c r="H100" s="51" t="n"/>
      <c r="I100" s="251" t="n"/>
      <c r="J100" s="27" t="n"/>
      <c r="K100" s="237" t="n"/>
      <c r="M100" s="237" t="n"/>
      <c r="N100" s="208" t="n"/>
      <c r="O100" s="251" t="n"/>
    </row>
    <row r="101">
      <c r="A101" t="n">
        <v>290</v>
      </c>
      <c r="B101" s="1" t="n">
        <v>43100</v>
      </c>
      <c r="C101" s="9" t="n"/>
      <c r="D101" s="1" t="inlineStr">
        <is>
          <t>(nicht relevant)</t>
        </is>
      </c>
      <c r="E101" s="1" t="inlineStr">
        <is>
          <t>Ausgaben</t>
        </is>
      </c>
      <c r="F101" s="16" t="n"/>
      <c r="G101" s="36" t="n"/>
      <c r="H101" s="51" t="n"/>
      <c r="I101" s="251" t="n"/>
      <c r="J101" s="27" t="n"/>
      <c r="K101" s="237" t="n"/>
      <c r="M101" s="237" t="n"/>
      <c r="N101" s="208" t="n"/>
      <c r="O101" s="251" t="n"/>
    </row>
    <row r="102">
      <c r="A102" t="n">
        <v>291</v>
      </c>
      <c r="B102" s="1" t="n">
        <v>43100</v>
      </c>
      <c r="C102" s="9" t="n"/>
      <c r="D102" s="1" t="inlineStr">
        <is>
          <t>(nicht relevant)</t>
        </is>
      </c>
      <c r="E102" s="1" t="inlineStr">
        <is>
          <t>Ausgaben</t>
        </is>
      </c>
      <c r="F102" s="16" t="n"/>
      <c r="G102" s="36" t="n"/>
      <c r="H102" s="51" t="n"/>
      <c r="I102" s="251" t="n"/>
      <c r="J102" s="27" t="n"/>
      <c r="K102" s="237" t="n"/>
      <c r="M102" s="237" t="n"/>
      <c r="N102" s="208" t="n"/>
      <c r="O102" s="251" t="n"/>
    </row>
    <row r="103">
      <c r="A103" t="n">
        <v>292</v>
      </c>
      <c r="B103" s="1" t="n">
        <v>43100</v>
      </c>
      <c r="C103" s="9" t="n"/>
      <c r="D103" s="1" t="inlineStr">
        <is>
          <t>(nicht relevant)</t>
        </is>
      </c>
      <c r="E103" s="1" t="inlineStr">
        <is>
          <t>Ausgaben</t>
        </is>
      </c>
      <c r="F103" s="16" t="n"/>
      <c r="G103" s="36" t="n"/>
      <c r="H103" s="51" t="n"/>
      <c r="I103" s="251" t="n"/>
      <c r="J103" s="27" t="n"/>
      <c r="K103" s="237" t="n"/>
      <c r="M103" s="237" t="n"/>
      <c r="N103" s="208" t="n"/>
      <c r="O103" s="251" t="n"/>
    </row>
    <row r="104">
      <c r="A104" t="n">
        <v>293</v>
      </c>
      <c r="B104" s="1" t="n">
        <v>43100</v>
      </c>
      <c r="C104" s="9" t="n"/>
      <c r="D104" s="1" t="inlineStr">
        <is>
          <t>(nicht relevant)</t>
        </is>
      </c>
      <c r="E104" s="1" t="inlineStr">
        <is>
          <t>Ausgaben</t>
        </is>
      </c>
      <c r="F104" s="16" t="n"/>
      <c r="G104" s="36" t="n"/>
      <c r="H104" s="51" t="n"/>
      <c r="I104" s="251" t="n"/>
      <c r="J104" s="27" t="n"/>
      <c r="K104" s="237" t="n"/>
      <c r="M104" s="237" t="n"/>
      <c r="N104" s="208" t="n"/>
      <c r="O104" s="251" t="n"/>
    </row>
    <row r="105">
      <c r="A105" t="n">
        <v>294</v>
      </c>
      <c r="B105" s="1" t="n">
        <v>43100</v>
      </c>
      <c r="C105" s="9" t="n"/>
      <c r="D105" s="1" t="inlineStr">
        <is>
          <t>(nicht relevant)</t>
        </is>
      </c>
      <c r="E105" s="1" t="inlineStr">
        <is>
          <t>Ausgaben</t>
        </is>
      </c>
      <c r="F105" s="16" t="n"/>
      <c r="G105" s="36" t="n"/>
      <c r="H105" s="51" t="n"/>
      <c r="I105" s="251" t="n"/>
      <c r="J105" s="27" t="n"/>
      <c r="K105" s="237" t="n"/>
      <c r="M105" s="237" t="n"/>
      <c r="N105" s="208" t="n"/>
      <c r="O105" s="251" t="n"/>
    </row>
    <row r="106">
      <c r="A106" t="n">
        <v>295</v>
      </c>
      <c r="B106" s="1" t="n">
        <v>43100</v>
      </c>
      <c r="C106" s="9" t="n"/>
      <c r="D106" s="1" t="inlineStr">
        <is>
          <t>(nicht relevant)</t>
        </is>
      </c>
      <c r="E106" s="1" t="inlineStr">
        <is>
          <t>Ausgaben</t>
        </is>
      </c>
      <c r="F106" s="16" t="n"/>
      <c r="G106" s="36" t="n"/>
      <c r="H106" s="51" t="n"/>
      <c r="I106" s="251" t="n"/>
      <c r="J106" s="27" t="n"/>
      <c r="K106" s="237" t="n"/>
      <c r="M106" s="237" t="n"/>
      <c r="N106" s="208" t="n"/>
      <c r="O106" s="251" t="n"/>
    </row>
    <row r="107">
      <c r="A107" t="n">
        <v>296</v>
      </c>
      <c r="B107" s="1" t="n">
        <v>43100</v>
      </c>
      <c r="C107" s="9" t="n"/>
      <c r="D107" s="1" t="inlineStr">
        <is>
          <t>(nicht relevant)</t>
        </is>
      </c>
      <c r="E107" s="1" t="inlineStr">
        <is>
          <t>Ausgaben</t>
        </is>
      </c>
      <c r="F107" s="16" t="n"/>
      <c r="G107" s="36" t="n"/>
      <c r="H107" s="51" t="n"/>
      <c r="I107" s="251" t="n"/>
      <c r="J107" s="27" t="n"/>
      <c r="K107" s="237" t="n"/>
      <c r="M107" s="237" t="n"/>
      <c r="N107" s="208" t="n"/>
      <c r="O107" s="251" t="n"/>
    </row>
    <row r="108">
      <c r="A108" t="n">
        <v>297</v>
      </c>
      <c r="B108" s="1" t="n">
        <v>43100</v>
      </c>
      <c r="C108" s="9" t="n"/>
      <c r="D108" s="1" t="inlineStr">
        <is>
          <t>(nicht relevant)</t>
        </is>
      </c>
      <c r="E108" s="1" t="inlineStr">
        <is>
          <t>Ausgaben</t>
        </is>
      </c>
      <c r="F108" s="16" t="n"/>
      <c r="G108" s="36" t="n"/>
      <c r="H108" s="51" t="n"/>
      <c r="I108" s="251" t="n"/>
      <c r="J108" s="27" t="n"/>
      <c r="K108" s="237" t="n"/>
      <c r="M108" s="237" t="n"/>
      <c r="N108" s="208" t="n"/>
      <c r="O108" s="251" t="n"/>
    </row>
    <row r="109">
      <c r="A109" t="n">
        <v>298</v>
      </c>
      <c r="B109" s="1" t="n">
        <v>43100</v>
      </c>
      <c r="C109" s="9" t="n"/>
      <c r="D109" s="1" t="inlineStr">
        <is>
          <t>(nicht relevant)</t>
        </is>
      </c>
      <c r="E109" s="1" t="inlineStr">
        <is>
          <t>Ausgaben</t>
        </is>
      </c>
      <c r="F109" s="16" t="n"/>
      <c r="G109" s="36" t="n"/>
      <c r="H109" s="51" t="n"/>
      <c r="I109" s="251" t="n"/>
      <c r="J109" s="27" t="n"/>
      <c r="K109" s="237" t="n"/>
      <c r="M109" s="237" t="n"/>
      <c r="N109" s="208" t="n"/>
      <c r="O109" s="251" t="n"/>
    </row>
    <row r="110">
      <c r="A110" t="n">
        <v>299</v>
      </c>
      <c r="B110" s="1" t="n">
        <v>43100</v>
      </c>
      <c r="C110" s="9" t="n"/>
      <c r="D110" s="1" t="inlineStr">
        <is>
          <t>(nicht relevant)</t>
        </is>
      </c>
      <c r="E110" s="1" t="inlineStr">
        <is>
          <t>Ausgaben</t>
        </is>
      </c>
      <c r="F110" s="16" t="n"/>
      <c r="G110" s="36" t="n"/>
      <c r="H110" s="51" t="n"/>
      <c r="I110" s="251" t="n"/>
      <c r="J110" s="27" t="n"/>
      <c r="K110" s="237" t="n"/>
      <c r="M110" s="237" t="n"/>
      <c r="N110" s="208" t="n"/>
      <c r="O110" s="251" t="n"/>
    </row>
    <row r="111">
      <c r="A111" t="n">
        <v>300</v>
      </c>
      <c r="B111" s="1" t="n">
        <v>42752</v>
      </c>
      <c r="C111" s="9" t="inlineStr">
        <is>
          <t>161912688-00</t>
        </is>
      </c>
      <c r="D111" t="inlineStr">
        <is>
          <t>2/3 der mit 20% besteuerten Posten -  Nachtrag UPC 2017-12</t>
        </is>
      </c>
      <c r="E111" s="1" t="inlineStr">
        <is>
          <t>Ausgaben</t>
        </is>
      </c>
      <c r="F111" s="16" t="inlineStr">
        <is>
          <t>Telefon/Internet</t>
        </is>
      </c>
      <c r="G111" s="36">
        <f>20.61+1.04+2.5-2.5</f>
        <v/>
      </c>
      <c r="H111" s="51">
        <f>2/3</f>
        <v/>
      </c>
      <c r="I111" s="251">
        <f>H111*O111</f>
        <v/>
      </c>
      <c r="J111" s="27" t="n">
        <v>20</v>
      </c>
      <c r="K111" s="237" t="n">
        <v>6.24</v>
      </c>
      <c r="L111">
        <f>J111&amp;"%"</f>
        <v/>
      </c>
      <c r="M111" s="237" t="n">
        <v>2.103473994111875</v>
      </c>
      <c r="N111" s="208">
        <f>G111*H111</f>
        <v/>
      </c>
      <c r="O111" s="251">
        <f>G111*(1+J111%)</f>
        <v/>
      </c>
    </row>
    <row r="112">
      <c r="A112" t="n">
        <v>301</v>
      </c>
      <c r="B112" s="1" t="n">
        <v>42782</v>
      </c>
      <c r="C112" s="9" t="inlineStr">
        <is>
          <t>162355217-00</t>
        </is>
      </c>
      <c r="D112" t="inlineStr">
        <is>
          <t>2/3 der mit 20% besteuerten Posten -  Nachtrag UPC 2017-12</t>
        </is>
      </c>
      <c r="E112" s="1" t="inlineStr">
        <is>
          <t>Ausgaben</t>
        </is>
      </c>
      <c r="F112" s="16" t="inlineStr">
        <is>
          <t>Telefon/Internet</t>
        </is>
      </c>
      <c r="G112" s="36">
        <f>20.61+1.04+2.5-2.5</f>
        <v/>
      </c>
      <c r="H112" s="51">
        <f>2/3</f>
        <v/>
      </c>
      <c r="I112" s="251">
        <f>H112*O112</f>
        <v/>
      </c>
      <c r="J112" s="27" t="n">
        <v>20</v>
      </c>
      <c r="K112" s="237" t="n">
        <v>6.24</v>
      </c>
      <c r="L112">
        <f>J112&amp;"%"</f>
        <v/>
      </c>
      <c r="M112" s="237" t="n">
        <v>2.103473994111875</v>
      </c>
      <c r="N112" s="208">
        <f>G112*H112</f>
        <v/>
      </c>
      <c r="O112" s="251">
        <f>G112*(1+J112%)</f>
        <v/>
      </c>
    </row>
    <row r="113">
      <c r="A113" t="n">
        <v>302</v>
      </c>
      <c r="B113" s="1" t="n">
        <v>42810</v>
      </c>
      <c r="C113" s="9" t="inlineStr">
        <is>
          <t>162806671-00</t>
        </is>
      </c>
      <c r="D113" t="inlineStr">
        <is>
          <t>2/3 der mit 20% besteuerten Posten -  Nachtrag UPC 2017-12</t>
        </is>
      </c>
      <c r="E113" s="1" t="inlineStr">
        <is>
          <t>Ausgaben</t>
        </is>
      </c>
      <c r="F113" s="16" t="inlineStr">
        <is>
          <t>Telefon/Internet</t>
        </is>
      </c>
      <c r="G113" s="36">
        <f>20.61+1.04+2.5-2.5</f>
        <v/>
      </c>
      <c r="H113" s="51">
        <f>2/3</f>
        <v/>
      </c>
      <c r="I113" s="251">
        <f>H113*O113</f>
        <v/>
      </c>
      <c r="J113" s="27" t="n">
        <v>20</v>
      </c>
      <c r="K113" s="237" t="n">
        <v>6.24</v>
      </c>
      <c r="L113">
        <f>J113&amp;"%"</f>
        <v/>
      </c>
      <c r="M113" s="237" t="n">
        <v>2.103473994111875</v>
      </c>
      <c r="N113" s="208">
        <f>G113*H113</f>
        <v/>
      </c>
      <c r="O113" s="251">
        <f>G113*(1+J113%)</f>
        <v/>
      </c>
    </row>
    <row r="114">
      <c r="A114" t="n">
        <v>303</v>
      </c>
      <c r="B114" s="1" t="n">
        <v>42843</v>
      </c>
      <c r="C114" s="9" t="inlineStr">
        <is>
          <t>163259537-00</t>
        </is>
      </c>
      <c r="D114" t="inlineStr">
        <is>
          <t>2/3 der mit 20% besteuerten Posten -  Nachtrag UPC 2017-12</t>
        </is>
      </c>
      <c r="E114" s="1" t="inlineStr">
        <is>
          <t>Ausgaben</t>
        </is>
      </c>
      <c r="F114" s="16" t="inlineStr">
        <is>
          <t>Telefon/Internet</t>
        </is>
      </c>
      <c r="G114" s="36">
        <f>20.61+1.04+2.5-2.5</f>
        <v/>
      </c>
      <c r="H114" s="51">
        <f>2/3</f>
        <v/>
      </c>
      <c r="I114" s="251">
        <f>H114*O114</f>
        <v/>
      </c>
      <c r="J114" s="27" t="n">
        <v>20</v>
      </c>
      <c r="K114" s="237" t="n">
        <v>6.24</v>
      </c>
      <c r="L114">
        <f>J114&amp;"%"</f>
        <v/>
      </c>
      <c r="M114" s="237" t="n">
        <v>2.103473994111875</v>
      </c>
      <c r="N114" s="208">
        <f>G114*H114</f>
        <v/>
      </c>
      <c r="O114" s="251">
        <f>G114*(1+J114%)</f>
        <v/>
      </c>
    </row>
    <row r="115">
      <c r="A115" t="n">
        <v>304</v>
      </c>
      <c r="B115" s="1" t="n">
        <v>42873</v>
      </c>
      <c r="C115" s="9" t="inlineStr">
        <is>
          <t>163739259-00</t>
        </is>
      </c>
      <c r="D115" t="inlineStr">
        <is>
          <t>2/3 der mit 20% besteuerten Posten -  Nachtrag UPC 2017-12</t>
        </is>
      </c>
      <c r="E115" s="1" t="inlineStr">
        <is>
          <t>Ausgaben</t>
        </is>
      </c>
      <c r="F115" s="16" t="inlineStr">
        <is>
          <t>Telefon/Internet</t>
        </is>
      </c>
      <c r="G115" s="36">
        <f>20.61+1.04+2.5-2.5</f>
        <v/>
      </c>
      <c r="H115" s="51">
        <f>2/3</f>
        <v/>
      </c>
      <c r="I115" s="251">
        <f>H115*O115</f>
        <v/>
      </c>
      <c r="J115" s="27" t="n">
        <v>20</v>
      </c>
      <c r="K115" s="237" t="n">
        <v>6.24</v>
      </c>
      <c r="L115">
        <f>J115&amp;"%"</f>
        <v/>
      </c>
      <c r="M115" s="237" t="n">
        <v>2.103473994111875</v>
      </c>
      <c r="N115" s="208">
        <f>G115*H115</f>
        <v/>
      </c>
      <c r="O115" s="251">
        <f>G115*(1+J115%)</f>
        <v/>
      </c>
    </row>
    <row r="116">
      <c r="A116" t="n">
        <v>305</v>
      </c>
      <c r="B116" s="1" t="n">
        <v>42906</v>
      </c>
      <c r="C116" s="9" t="inlineStr">
        <is>
          <t>164194770-00</t>
        </is>
      </c>
      <c r="D116" t="inlineStr">
        <is>
          <t>2/3 der mit 20% besteuerten Posten -  Nachtrag UPC 2017-12</t>
        </is>
      </c>
      <c r="E116" s="1" t="inlineStr">
        <is>
          <t>Ausgaben</t>
        </is>
      </c>
      <c r="F116" s="16" t="inlineStr">
        <is>
          <t>Telefon/Internet</t>
        </is>
      </c>
      <c r="G116" s="36">
        <f>20.61+1.04+2.5-2.5</f>
        <v/>
      </c>
      <c r="H116" s="51">
        <f>2/3</f>
        <v/>
      </c>
      <c r="I116" s="251">
        <f>H116*O116</f>
        <v/>
      </c>
      <c r="J116" s="27" t="n">
        <v>20</v>
      </c>
      <c r="K116" s="237" t="n">
        <v>6.24</v>
      </c>
      <c r="L116">
        <f>J116&amp;"%"</f>
        <v/>
      </c>
      <c r="M116" s="237" t="n">
        <v>2.103473994111875</v>
      </c>
      <c r="N116" s="208">
        <f>G116*H116</f>
        <v/>
      </c>
      <c r="O116" s="251">
        <f>G116*(1+J116%)</f>
        <v/>
      </c>
    </row>
    <row r="117">
      <c r="A117" t="n">
        <v>306</v>
      </c>
      <c r="B117" s="1" t="n">
        <v>42920</v>
      </c>
      <c r="C117" s="9" t="inlineStr">
        <is>
          <t>164485132-00</t>
        </is>
      </c>
      <c r="D117" t="inlineStr">
        <is>
          <t>2/3 der mit 20% besteuerten Posten -  Nachtrag UPC 2017-12</t>
        </is>
      </c>
      <c r="E117" s="1" t="inlineStr">
        <is>
          <t>Ausgaben</t>
        </is>
      </c>
      <c r="F117" s="16" t="inlineStr">
        <is>
          <t>Telefon/Internet</t>
        </is>
      </c>
      <c r="G117" s="36">
        <f>20.61+1.04+2.5-2.5</f>
        <v/>
      </c>
      <c r="H117" s="51">
        <f>2/3</f>
        <v/>
      </c>
      <c r="I117" s="251">
        <f>H117*O117</f>
        <v/>
      </c>
      <c r="J117" s="27" t="n">
        <v>20</v>
      </c>
      <c r="K117" s="237" t="n">
        <v>6.24</v>
      </c>
      <c r="L117">
        <f>J117&amp;"%"</f>
        <v/>
      </c>
      <c r="M117" s="237" t="n">
        <v>2.103473994111875</v>
      </c>
      <c r="N117" s="208">
        <f>G117*H117</f>
        <v/>
      </c>
      <c r="O117" s="251">
        <f>G117*(1+J117%)</f>
        <v/>
      </c>
    </row>
    <row r="118">
      <c r="A118" t="n">
        <v>307</v>
      </c>
      <c r="B118" s="1" t="n">
        <v>42950</v>
      </c>
      <c r="C118" s="9" t="inlineStr">
        <is>
          <t>164944624-00</t>
        </is>
      </c>
      <c r="D118" t="inlineStr">
        <is>
          <t>2/3 der mit 20% besteuerten Posten -  Nachtrag UPC 2017-12</t>
        </is>
      </c>
      <c r="E118" s="1" t="inlineStr">
        <is>
          <t>Ausgaben</t>
        </is>
      </c>
      <c r="F118" s="16" t="inlineStr">
        <is>
          <t>Telefon/Internet</t>
        </is>
      </c>
      <c r="G118" s="36">
        <f>20.61+1.04+2.5-2.5</f>
        <v/>
      </c>
      <c r="H118" s="51">
        <f>2/3</f>
        <v/>
      </c>
      <c r="I118" s="251">
        <f>H118*O118</f>
        <v/>
      </c>
      <c r="J118" s="27" t="n">
        <v>20</v>
      </c>
      <c r="K118" s="237" t="n">
        <v>6.24</v>
      </c>
      <c r="L118">
        <f>J118&amp;"%"</f>
        <v/>
      </c>
      <c r="M118" s="237" t="n">
        <v>2.103473994111875</v>
      </c>
      <c r="N118" s="208">
        <f>G118*H118</f>
        <v/>
      </c>
      <c r="O118" s="251">
        <f>G118*(1+J118%)</f>
        <v/>
      </c>
    </row>
    <row r="119">
      <c r="A119" t="n">
        <v>308</v>
      </c>
      <c r="B119" s="1" t="n">
        <v>42983</v>
      </c>
      <c r="C119" s="9" t="inlineStr">
        <is>
          <t>165431550-00</t>
        </is>
      </c>
      <c r="D119" t="inlineStr">
        <is>
          <t>2/3 der mit 20% besteuerten Posten -  Nachtrag UPC 2017-12</t>
        </is>
      </c>
      <c r="E119" s="1" t="inlineStr">
        <is>
          <t>Ausgaben</t>
        </is>
      </c>
      <c r="F119" s="16" t="inlineStr">
        <is>
          <t>Telefon/Internet</t>
        </is>
      </c>
      <c r="G119" s="36">
        <f>20.61+1.04+2.5-2.5</f>
        <v/>
      </c>
      <c r="H119" s="51">
        <f>2/3</f>
        <v/>
      </c>
      <c r="I119" s="251">
        <f>H119*O119</f>
        <v/>
      </c>
      <c r="J119" s="27" t="n">
        <v>20</v>
      </c>
      <c r="K119" s="237" t="n">
        <v>6.24</v>
      </c>
      <c r="L119">
        <f>J119&amp;"%"</f>
        <v/>
      </c>
      <c r="M119" s="237" t="n">
        <v>2.103473994111875</v>
      </c>
      <c r="N119" s="208">
        <f>G119*H119</f>
        <v/>
      </c>
      <c r="O119" s="251">
        <f>G119*(1+J119%)</f>
        <v/>
      </c>
    </row>
    <row r="120">
      <c r="A120" t="n">
        <v>309</v>
      </c>
      <c r="B120" s="1" t="n">
        <v>43013</v>
      </c>
      <c r="C120" s="9" t="inlineStr">
        <is>
          <t>165891138-00</t>
        </is>
      </c>
      <c r="D120" t="inlineStr">
        <is>
          <t>2/3 der mit 20% besteuerten Posten -  Nachtrag UPC 2017-12</t>
        </is>
      </c>
      <c r="E120" s="1" t="inlineStr">
        <is>
          <t>Ausgaben</t>
        </is>
      </c>
      <c r="F120" s="16" t="inlineStr">
        <is>
          <t>Telefon/Internet</t>
        </is>
      </c>
      <c r="G120" s="36">
        <f>20.61+1.04+2.5-2.5</f>
        <v/>
      </c>
      <c r="H120" s="51">
        <f>2/3</f>
        <v/>
      </c>
      <c r="I120" s="251">
        <f>H120*O120</f>
        <v/>
      </c>
      <c r="J120" s="27" t="n">
        <v>20</v>
      </c>
      <c r="K120" s="237" t="n">
        <v>6.24</v>
      </c>
      <c r="L120">
        <f>J120&amp;"%"</f>
        <v/>
      </c>
      <c r="M120" s="237" t="n">
        <v>2.103473994111875</v>
      </c>
      <c r="N120" s="208">
        <f>G120*H120</f>
        <v/>
      </c>
      <c r="O120" s="251">
        <f>G120*(1+J120%)</f>
        <v/>
      </c>
    </row>
    <row r="121">
      <c r="A121" t="n">
        <v>310</v>
      </c>
      <c r="B121" s="1" t="n">
        <v>43046</v>
      </c>
      <c r="C121" s="9" t="inlineStr">
        <is>
          <t>166356416-00</t>
        </is>
      </c>
      <c r="D121" t="inlineStr">
        <is>
          <t>2/3 der mit 20% besteuerten Posten -  Nachtrag UPC 2017-12</t>
        </is>
      </c>
      <c r="E121" s="1" t="inlineStr">
        <is>
          <t>Ausgaben</t>
        </is>
      </c>
      <c r="F121" s="16" t="inlineStr">
        <is>
          <t>Telefon/Internet</t>
        </is>
      </c>
      <c r="G121" s="36">
        <f>20.61+1.04+2.5-2.5</f>
        <v/>
      </c>
      <c r="H121" s="51">
        <f>2/3</f>
        <v/>
      </c>
      <c r="I121" s="251">
        <f>H121*O121</f>
        <v/>
      </c>
      <c r="J121" s="27" t="n">
        <v>20</v>
      </c>
      <c r="K121" s="237" t="n">
        <v>6.24</v>
      </c>
      <c r="L121">
        <f>J121&amp;"%"</f>
        <v/>
      </c>
      <c r="M121" s="237" t="n">
        <v>2.103473994111875</v>
      </c>
      <c r="N121" s="208">
        <f>G121*H121</f>
        <v/>
      </c>
      <c r="O121" s="251">
        <f>G121*(1+J121%)</f>
        <v/>
      </c>
    </row>
    <row r="122">
      <c r="A122" t="n">
        <v>311</v>
      </c>
      <c r="B122" s="1" t="n">
        <v>43074</v>
      </c>
      <c r="C122" s="9" t="inlineStr">
        <is>
          <t>166818894-00</t>
        </is>
      </c>
      <c r="D122" t="inlineStr">
        <is>
          <t>2/3 der mit 20% besteuerten Posten -  Nachtrag UPC 2017-12</t>
        </is>
      </c>
      <c r="E122" s="1" t="inlineStr">
        <is>
          <t>Ausgaben</t>
        </is>
      </c>
      <c r="F122" s="16" t="inlineStr">
        <is>
          <t>Telefon/Internet</t>
        </is>
      </c>
      <c r="G122" s="36">
        <f>20.66+1.04+2.5-2.5</f>
        <v/>
      </c>
      <c r="H122" s="51">
        <f>2/3</f>
        <v/>
      </c>
      <c r="I122" s="251">
        <f>H122*O122</f>
        <v/>
      </c>
      <c r="J122" s="27" t="n">
        <v>20</v>
      </c>
      <c r="K122" s="237" t="n">
        <v>6.38</v>
      </c>
      <c r="L122">
        <f>J122&amp;"%"</f>
        <v/>
      </c>
      <c r="M122" s="237" t="n">
        <v>2.139091204154496</v>
      </c>
      <c r="N122" s="208">
        <f>G122*H122</f>
        <v/>
      </c>
      <c r="O122" s="251">
        <f>G122*(1+J122%)</f>
        <v/>
      </c>
    </row>
  </sheetData>
  <conditionalFormatting sqref="B2:B8 B10:B11 B13:B15 B17:B18 B20:B22 B36:B44 B51 B55 B57:B63 B65:B78 B80:B122">
    <cfRule type="expression" priority="3" dxfId="2">
      <formula>ISBLANK($D2)</formula>
    </cfRule>
  </conditionalFormatting>
  <conditionalFormatting sqref="B1">
    <cfRule type="expression" priority="99" dxfId="2">
      <formula>ISBLANK($D1)</formula>
    </cfRule>
  </conditionalFormatting>
  <conditionalFormatting sqref="G1">
    <cfRule type="expression" priority="98" dxfId="420">
      <formula>"$G$G&gt;400"</formula>
    </cfRule>
  </conditionalFormatting>
  <conditionalFormatting sqref="B29:B34">
    <cfRule type="expression" priority="97" dxfId="2">
      <formula>ISBLANK($D29)</formula>
    </cfRule>
  </conditionalFormatting>
  <conditionalFormatting sqref="G3">
    <cfRule type="expression" priority="96" dxfId="420">
      <formula>"$G$G&gt;400"</formula>
    </cfRule>
  </conditionalFormatting>
  <conditionalFormatting sqref="G2">
    <cfRule type="expression" priority="95" dxfId="420">
      <formula>"$G$G&gt;400"</formula>
    </cfRule>
  </conditionalFormatting>
  <conditionalFormatting sqref="B9">
    <cfRule type="expression" priority="93" dxfId="2">
      <formula>ISBLANK($D9)</formula>
    </cfRule>
  </conditionalFormatting>
  <conditionalFormatting sqref="G4:G5 G14:G15 G17:G18 G20:G21 G36 G43:G44 G55:G56 G61 G63:G75 G77:G78 G81 G85:G86 G122">
    <cfRule type="expression" priority="92" dxfId="420">
      <formula>"$G$G&gt;400"</formula>
    </cfRule>
  </conditionalFormatting>
  <conditionalFormatting sqref="G6">
    <cfRule type="expression" priority="91" dxfId="420">
      <formula>"$G$G&gt;400"</formula>
    </cfRule>
  </conditionalFormatting>
  <conditionalFormatting sqref="G7">
    <cfRule type="expression" priority="90" dxfId="420">
      <formula>"$G$G&gt;400"</formula>
    </cfRule>
  </conditionalFormatting>
  <conditionalFormatting sqref="G8">
    <cfRule type="expression" priority="89" dxfId="420">
      <formula>"$G$G&gt;400"</formula>
    </cfRule>
  </conditionalFormatting>
  <conditionalFormatting sqref="G9">
    <cfRule type="expression" priority="88" dxfId="420">
      <formula>"$G$G&gt;400"</formula>
    </cfRule>
  </conditionalFormatting>
  <conditionalFormatting sqref="G10">
    <cfRule type="expression" priority="87" dxfId="420">
      <formula>"$G$G&gt;400"</formula>
    </cfRule>
  </conditionalFormatting>
  <conditionalFormatting sqref="G11">
    <cfRule type="expression" priority="86" dxfId="420">
      <formula>"$G$G&gt;400"</formula>
    </cfRule>
  </conditionalFormatting>
  <conditionalFormatting sqref="B12">
    <cfRule type="expression" priority="85" dxfId="2">
      <formula>ISBLANK($D12)</formula>
    </cfRule>
  </conditionalFormatting>
  <conditionalFormatting sqref="B19">
    <cfRule type="expression" priority="84" dxfId="2">
      <formula>ISBLANK($D19)</formula>
    </cfRule>
  </conditionalFormatting>
  <conditionalFormatting sqref="G12">
    <cfRule type="expression" priority="82" dxfId="420">
      <formula>"$G$G&gt;400"</formula>
    </cfRule>
  </conditionalFormatting>
  <conditionalFormatting sqref="G13">
    <cfRule type="expression" priority="81" dxfId="420">
      <formula>"$G$G&gt;400"</formula>
    </cfRule>
  </conditionalFormatting>
  <conditionalFormatting sqref="G19">
    <cfRule type="expression" priority="80" dxfId="420">
      <formula>"$G$G&gt;400"</formula>
    </cfRule>
  </conditionalFormatting>
  <conditionalFormatting sqref="G22">
    <cfRule type="expression" priority="79" dxfId="420">
      <formula>"$G$G&gt;400"</formula>
    </cfRule>
  </conditionalFormatting>
  <conditionalFormatting sqref="G23:G26">
    <cfRule type="expression" priority="78" dxfId="420">
      <formula>"$G$G&gt;400"</formula>
    </cfRule>
  </conditionalFormatting>
  <conditionalFormatting sqref="B27">
    <cfRule type="expression" priority="77" dxfId="2">
      <formula>ISBLANK($D27)</formula>
    </cfRule>
  </conditionalFormatting>
  <conditionalFormatting sqref="B28">
    <cfRule type="expression" priority="76" dxfId="2">
      <formula>ISBLANK($D28)</formula>
    </cfRule>
  </conditionalFormatting>
  <conditionalFormatting sqref="G27">
    <cfRule type="expression" priority="73" dxfId="420">
      <formula>"$G$G&gt;400"</formula>
    </cfRule>
  </conditionalFormatting>
  <conditionalFormatting sqref="G28">
    <cfRule type="expression" priority="70" dxfId="420">
      <formula>"$G$G&gt;400"</formula>
    </cfRule>
  </conditionalFormatting>
  <conditionalFormatting sqref="B35">
    <cfRule type="expression" priority="69" dxfId="2">
      <formula>ISBLANK($D35)</formula>
    </cfRule>
  </conditionalFormatting>
  <conditionalFormatting sqref="B64">
    <cfRule type="expression" priority="68" dxfId="2">
      <formula>ISBLANK($D64)</formula>
    </cfRule>
  </conditionalFormatting>
  <conditionalFormatting sqref="B79">
    <cfRule type="expression" priority="67" dxfId="2">
      <formula>ISBLANK($D79)</formula>
    </cfRule>
  </conditionalFormatting>
  <conditionalFormatting sqref="G29:G33">
    <cfRule type="expression" priority="64" dxfId="420">
      <formula>"$G$G&gt;400"</formula>
    </cfRule>
  </conditionalFormatting>
  <conditionalFormatting sqref="G34">
    <cfRule type="expression" priority="62" dxfId="420">
      <formula>"$G$G&gt;400"</formula>
    </cfRule>
  </conditionalFormatting>
  <conditionalFormatting sqref="G35">
    <cfRule type="expression" priority="61" dxfId="420">
      <formula>"$G$G&gt;400"</formula>
    </cfRule>
  </conditionalFormatting>
  <conditionalFormatting sqref="G42">
    <cfRule type="expression" priority="59" dxfId="420">
      <formula>"$G$G&gt;400"</formula>
    </cfRule>
  </conditionalFormatting>
  <conditionalFormatting sqref="G38">
    <cfRule type="expression" priority="58" dxfId="420">
      <formula>"$G$G&gt;400"</formula>
    </cfRule>
  </conditionalFormatting>
  <conditionalFormatting sqref="G37">
    <cfRule type="expression" priority="57" dxfId="420">
      <formula>"$G$G&gt;400"</formula>
    </cfRule>
  </conditionalFormatting>
  <conditionalFormatting sqref="G43">
    <cfRule type="expression" priority="56" dxfId="420">
      <formula>"$G$G&gt;400"</formula>
    </cfRule>
  </conditionalFormatting>
  <conditionalFormatting sqref="G40">
    <cfRule type="expression" priority="55" dxfId="420">
      <formula>"$G$G&gt;400"</formula>
    </cfRule>
  </conditionalFormatting>
  <conditionalFormatting sqref="G39">
    <cfRule type="expression" priority="54" dxfId="420">
      <formula>"$G$G&gt;400"</formula>
    </cfRule>
  </conditionalFormatting>
  <conditionalFormatting sqref="G36">
    <cfRule type="expression" priority="53" dxfId="420">
      <formula>"$G$G&gt;400"</formula>
    </cfRule>
  </conditionalFormatting>
  <conditionalFormatting sqref="G41">
    <cfRule type="expression" priority="52" dxfId="420">
      <formula>"$G$G&gt;400"</formula>
    </cfRule>
  </conditionalFormatting>
  <conditionalFormatting sqref="G44">
    <cfRule type="expression" priority="51" dxfId="420">
      <formula>"$G$G&gt;400"</formula>
    </cfRule>
  </conditionalFormatting>
  <conditionalFormatting sqref="G45">
    <cfRule type="expression" priority="50" dxfId="420">
      <formula>"$G$G&gt;400"</formula>
    </cfRule>
  </conditionalFormatting>
  <conditionalFormatting sqref="G46">
    <cfRule type="expression" priority="49" dxfId="420">
      <formula>"$G$G&gt;400"</formula>
    </cfRule>
  </conditionalFormatting>
  <conditionalFormatting sqref="G47">
    <cfRule type="expression" priority="48" dxfId="420">
      <formula>"$G$G&gt;400"</formula>
    </cfRule>
  </conditionalFormatting>
  <conditionalFormatting sqref="G49">
    <cfRule type="expression" priority="44" dxfId="420">
      <formula>"$G$G&gt;400"</formula>
    </cfRule>
  </conditionalFormatting>
  <conditionalFormatting sqref="G50">
    <cfRule type="expression" priority="43" dxfId="420">
      <formula>"$G$G&gt;400"</formula>
    </cfRule>
  </conditionalFormatting>
  <conditionalFormatting sqref="G48">
    <cfRule type="expression" priority="42" dxfId="420">
      <formula>"$G$G&gt;400"</formula>
    </cfRule>
    <cfRule type="expression" priority="41" dxfId="420">
      <formula>"$G$G&gt;400"</formula>
    </cfRule>
  </conditionalFormatting>
  <conditionalFormatting sqref="G51">
    <cfRule type="expression" priority="40" dxfId="420">
      <formula>"$G$G&gt;400"</formula>
    </cfRule>
  </conditionalFormatting>
  <conditionalFormatting sqref="G52">
    <cfRule type="expression" priority="37" dxfId="420">
      <formula>"$G$G&gt;400"</formula>
    </cfRule>
    <cfRule type="expression" priority="36" dxfId="420">
      <formula>"$G$G&gt;400"</formula>
    </cfRule>
  </conditionalFormatting>
  <conditionalFormatting sqref="G53">
    <cfRule type="expression" priority="35" dxfId="420">
      <formula>"$G$G&gt;400"</formula>
    </cfRule>
  </conditionalFormatting>
  <conditionalFormatting sqref="G54">
    <cfRule type="expression" priority="32" dxfId="420">
      <formula>"$G$G&gt;400"</formula>
    </cfRule>
  </conditionalFormatting>
  <conditionalFormatting sqref="G57">
    <cfRule type="expression" priority="29" dxfId="420">
      <formula>"$G$G&gt;400"</formula>
    </cfRule>
  </conditionalFormatting>
  <conditionalFormatting sqref="G76">
    <cfRule type="expression" priority="26" dxfId="420">
      <formula>"$G$G&gt;400"</formula>
    </cfRule>
  </conditionalFormatting>
  <conditionalFormatting sqref="G79">
    <cfRule type="expression" priority="23" dxfId="420">
      <formula>"$G$G&gt;400"</formula>
    </cfRule>
  </conditionalFormatting>
  <conditionalFormatting sqref="G80">
    <cfRule type="expression" priority="21" dxfId="420">
      <formula>"$G$G&gt;400"</formula>
    </cfRule>
  </conditionalFormatting>
  <conditionalFormatting sqref="G82">
    <cfRule type="expression" priority="17" dxfId="420">
      <formula>"$G$G&gt;400"</formula>
    </cfRule>
  </conditionalFormatting>
  <conditionalFormatting sqref="G83:G84">
    <cfRule type="expression" priority="15" dxfId="420">
      <formula>"$G$G&gt;400"</formula>
    </cfRule>
    <cfRule type="expression" priority="14" dxfId="420">
      <formula>"$G$G&gt;400"</formula>
    </cfRule>
  </conditionalFormatting>
  <conditionalFormatting sqref="G87:G88">
    <cfRule type="expression" priority="10" dxfId="420">
      <formula>"$G$G&gt;400"</formula>
    </cfRule>
  </conditionalFormatting>
  <conditionalFormatting sqref="G89:G110">
    <cfRule type="expression" priority="6" dxfId="420">
      <formula>"$G$G&gt;400"</formula>
    </cfRule>
  </conditionalFormatting>
  <conditionalFormatting sqref="B56">
    <cfRule type="expression" priority="2" dxfId="2">
      <formula>ISBLANK($D56)</formula>
    </cfRule>
  </conditionalFormatting>
  <conditionalFormatting sqref="G111:G121">
    <cfRule type="expression" priority="1" dxfId="420">
      <formula>"$G$G&gt;400"</formula>
    </cfRule>
  </conditionalFormatting>
  <conditionalFormatting sqref="B23:B26">
    <cfRule type="expression" priority="939" dxfId="2">
      <formula>ISBLANK($B23)</formula>
    </cfRule>
  </conditionalFormatting>
  <dataValidations count="1">
    <dataValidation sqref="F2:F122" showDropDown="0" showInputMessage="1" showErrorMessage="1" allowBlank="1" type="list">
      <formula1>Spesenart</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29.xml><?xml version="1.0" encoding="utf-8"?>
<worksheet xmlns="http://schemas.openxmlformats.org/spreadsheetml/2006/main">
  <sheetPr codeName="Tabelle13">
    <outlinePr summaryBelow="1" summaryRight="1"/>
    <pageSetUpPr/>
  </sheetPr>
  <dimension ref="A1:Q11"/>
  <sheetViews>
    <sheetView workbookViewId="0">
      <selection activeCell="I2" sqref="I2:J2"/>
    </sheetView>
  </sheetViews>
  <sheetFormatPr baseColWidth="10" defaultRowHeight="15"/>
  <cols>
    <col width="11.42578125" customWidth="1" min="1" max="1"/>
    <col hidden="1" width="11.42578125" customWidth="1" min="2" max="3"/>
    <col hidden="1" min="4" max="4"/>
    <col hidden="1" width="11.42578125" customWidth="1" min="6" max="6"/>
    <col width="10.7109375" customWidth="1" min="7" max="7"/>
    <col hidden="1" width="0.140625" customWidth="1" min="8" max="8"/>
    <col width="12.85546875" customWidth="1" min="9" max="10"/>
    <col hidden="1" min="15" max="17"/>
  </cols>
  <sheetData>
    <row r="1">
      <c r="A1" s="40" t="inlineStr">
        <is>
          <t>Rechnungsnummer</t>
        </is>
      </c>
      <c r="B1" s="40" t="inlineStr">
        <is>
          <t>Rechnungsdatum</t>
        </is>
      </c>
      <c r="C1" s="40" t="inlineStr">
        <is>
          <t>Zahlungsziel</t>
        </is>
      </c>
      <c r="D1" s="40" t="n"/>
      <c r="E1" s="40" t="inlineStr">
        <is>
          <t>Zahlungsdatum</t>
        </is>
      </c>
      <c r="F1" s="40" t="inlineStr">
        <is>
          <t>Mahnungsdatum</t>
        </is>
      </c>
      <c r="G1" s="40" t="inlineStr">
        <is>
          <t>Rechnungsempfänger</t>
        </is>
      </c>
      <c r="H1" s="40" t="inlineStr">
        <is>
          <t>Bezeichnung</t>
        </is>
      </c>
      <c r="I1" s="2" t="inlineStr">
        <is>
          <t>Kategorie</t>
        </is>
      </c>
      <c r="J1" s="2" t="inlineStr">
        <is>
          <t>Spesenart</t>
        </is>
      </c>
      <c r="K1" s="207" t="inlineStr">
        <is>
          <t>Brutto</t>
        </is>
      </c>
      <c r="L1" t="inlineStr">
        <is>
          <t>Steuersatz</t>
        </is>
      </c>
      <c r="M1" s="207" t="inlineStr">
        <is>
          <t>Vorsteuer</t>
        </is>
      </c>
      <c r="N1" s="207" t="inlineStr">
        <is>
          <t>Netto</t>
        </is>
      </c>
      <c r="O1" s="40" t="inlineStr">
        <is>
          <t>USt.</t>
        </is>
      </c>
      <c r="P1" s="42" t="inlineStr">
        <is>
          <t xml:space="preserve"> USt Fälligkeit</t>
        </is>
      </c>
      <c r="Q1" s="40" t="inlineStr">
        <is>
          <t>USt abgerechnet</t>
        </is>
      </c>
    </row>
    <row r="2">
      <c r="A2" s="43" t="n">
        <v>12017001</v>
      </c>
      <c r="B2" s="44" t="n">
        <v>42749</v>
      </c>
      <c r="C2" s="44" t="n">
        <v>42763</v>
      </c>
      <c r="D2" s="44" t="n"/>
      <c r="E2" s="44" t="n">
        <v>42789</v>
      </c>
      <c r="F2" s="44" t="n">
        <v>42782</v>
      </c>
      <c r="G2" s="43" t="inlineStr">
        <is>
          <t>Dr. Katalin Schiller, Neustiftgasse 2, Top 3, 2500 Baden</t>
        </is>
      </c>
      <c r="H2" s="43" t="inlineStr">
        <is>
          <t>Hosting</t>
        </is>
      </c>
      <c r="I2" t="inlineStr">
        <is>
          <t>Einnahmen</t>
        </is>
      </c>
      <c r="J2" s="62" t="inlineStr">
        <is>
          <t>Waren-/Leistungserlöse</t>
        </is>
      </c>
      <c r="K2" s="206" t="n">
        <v>50.4</v>
      </c>
      <c r="L2">
        <f>O2&amp;"%"</f>
        <v/>
      </c>
      <c r="M2" s="206" t="n">
        <v>8.4</v>
      </c>
      <c r="N2" s="206" t="n">
        <v>42</v>
      </c>
      <c r="O2" s="43" t="n">
        <v>20</v>
      </c>
      <c r="P2" s="44" t="n">
        <v>42870</v>
      </c>
      <c r="Q2" s="44" t="n">
        <v>42860</v>
      </c>
    </row>
    <row r="3">
      <c r="A3" s="43" t="n">
        <v>12017002</v>
      </c>
      <c r="B3" s="44" t="n">
        <v>42830</v>
      </c>
      <c r="C3" s="44" t="n">
        <v>42844</v>
      </c>
      <c r="D3" s="44" t="n"/>
      <c r="E3" s="44" t="n">
        <v>42836</v>
      </c>
      <c r="F3" s="43" t="n"/>
      <c r="G3" s="43" t="inlineStr">
        <is>
          <t>H. Jaros e.U., Fischhof 3/23, 1010 Wien, ATU 67698048</t>
        </is>
      </c>
      <c r="H3" s="43" t="inlineStr">
        <is>
          <t>diverse</t>
        </is>
      </c>
      <c r="I3" t="inlineStr">
        <is>
          <t>Einnahmen</t>
        </is>
      </c>
      <c r="J3" s="62" t="inlineStr">
        <is>
          <t>Waren-/Leistungserlöse</t>
        </is>
      </c>
      <c r="K3" s="206" t="n">
        <v>841.5</v>
      </c>
      <c r="L3">
        <f>O3&amp;"%"</f>
        <v/>
      </c>
      <c r="M3" s="206" t="n">
        <v>140.25</v>
      </c>
      <c r="N3" s="206" t="n">
        <v>701.25</v>
      </c>
      <c r="O3" s="43" t="n">
        <v>20</v>
      </c>
      <c r="P3" s="44" t="n">
        <v>42962</v>
      </c>
      <c r="Q3" s="44" t="n">
        <v>42983</v>
      </c>
    </row>
    <row r="4">
      <c r="A4" s="43" t="n">
        <v>12017003</v>
      </c>
      <c r="B4" s="44" t="n">
        <v>42857</v>
      </c>
      <c r="C4" s="44" t="n">
        <v>42871</v>
      </c>
      <c r="D4" s="44" t="n"/>
      <c r="E4" s="44" t="n">
        <v>42858</v>
      </c>
      <c r="F4" s="43" t="n"/>
      <c r="G4" s="43" t="inlineStr">
        <is>
          <t>Dr. Arno Kolbitsch, Zivilingenieur, Gütleweg 1, 6822 Satteins</t>
        </is>
      </c>
      <c r="H4" s="43" t="inlineStr">
        <is>
          <t>P15001MJ</t>
        </is>
      </c>
      <c r="I4" t="inlineStr">
        <is>
          <t>Einnahmen</t>
        </is>
      </c>
      <c r="J4" s="62" t="inlineStr">
        <is>
          <t>Waren-/Leistungserlöse</t>
        </is>
      </c>
      <c r="K4" s="206" t="n">
        <v>3205.5</v>
      </c>
      <c r="L4">
        <f>O4&amp;"%"</f>
        <v/>
      </c>
      <c r="M4" s="206" t="n">
        <v>534.25</v>
      </c>
      <c r="N4" s="206" t="n">
        <v>2671.25</v>
      </c>
      <c r="O4" s="43" t="n">
        <v>20</v>
      </c>
      <c r="P4" s="44" t="n">
        <v>42962</v>
      </c>
      <c r="Q4" s="44" t="n">
        <v>42983</v>
      </c>
    </row>
    <row r="5">
      <c r="A5" s="43" t="n">
        <v>12017004</v>
      </c>
      <c r="B5" s="44" t="n">
        <v>42998</v>
      </c>
      <c r="C5" s="44" t="n">
        <v>43012</v>
      </c>
      <c r="D5" s="44" t="n"/>
      <c r="E5" s="44" t="n">
        <v>42999</v>
      </c>
      <c r="F5" s="43" t="n"/>
      <c r="G5" t="inlineStr">
        <is>
          <t>foxcraft OG, Laudongasse 58/16, 1080 Wien</t>
        </is>
      </c>
      <c r="H5" s="43" t="inlineStr">
        <is>
          <t>BETRIEB</t>
        </is>
      </c>
      <c r="I5" t="inlineStr">
        <is>
          <t>Einnahmen</t>
        </is>
      </c>
      <c r="J5" s="62" t="inlineStr">
        <is>
          <t>Waren-/Leistungserlöse</t>
        </is>
      </c>
      <c r="K5" s="206" t="n">
        <v>34.92</v>
      </c>
      <c r="L5">
        <f>O5&amp;"%"</f>
        <v/>
      </c>
      <c r="M5" s="206" t="n">
        <v>5.82</v>
      </c>
      <c r="N5" s="206" t="n">
        <v>29.1</v>
      </c>
      <c r="O5" s="43" t="n">
        <v>20</v>
      </c>
      <c r="P5" s="44" t="n">
        <v>43054</v>
      </c>
      <c r="Q5" s="1" t="n">
        <v>43047</v>
      </c>
    </row>
    <row r="6">
      <c r="A6" t="n">
        <v>12017005</v>
      </c>
      <c r="B6" s="44" t="n">
        <v>43035</v>
      </c>
      <c r="C6" s="1" t="n">
        <v>43049</v>
      </c>
      <c r="D6" s="1" t="n"/>
      <c r="E6" s="44" t="n">
        <v>43039</v>
      </c>
      <c r="F6" s="43" t="n"/>
      <c r="G6" s="43" t="inlineStr">
        <is>
          <t>Dr. Arno Kolbitsch, Zivilingenieur, Gütleweg 1, 6822 Satteins</t>
        </is>
      </c>
      <c r="H6" s="43" t="inlineStr">
        <is>
          <t>diverse</t>
        </is>
      </c>
      <c r="I6" t="inlineStr">
        <is>
          <t>Einnahmen</t>
        </is>
      </c>
      <c r="J6" s="62" t="inlineStr">
        <is>
          <t>Waren-/Leistungserlöse</t>
        </is>
      </c>
      <c r="K6" s="206" t="n">
        <v>2632.5</v>
      </c>
      <c r="L6">
        <f>O6&amp;"%"</f>
        <v/>
      </c>
      <c r="M6" s="206" t="n">
        <v>438.75</v>
      </c>
      <c r="N6" s="206" t="n">
        <v>2193.75</v>
      </c>
      <c r="O6" s="43" t="n">
        <v>20</v>
      </c>
      <c r="P6" s="44" t="n">
        <v>43146</v>
      </c>
      <c r="Q6" s="1" t="n">
        <v>43134</v>
      </c>
    </row>
    <row r="7">
      <c r="A7" t="n">
        <v>12017006</v>
      </c>
      <c r="B7" s="44" t="n">
        <v>43053</v>
      </c>
      <c r="C7" s="1" t="n">
        <v>43067</v>
      </c>
      <c r="D7" s="1" t="n"/>
      <c r="E7" s="44" t="n">
        <v>43054</v>
      </c>
      <c r="F7" s="43" t="n"/>
      <c r="G7" t="inlineStr">
        <is>
          <t>Stokol GmbH, Weiglg. 10/10d/11, 1150 Wien</t>
        </is>
      </c>
      <c r="H7" t="inlineStr">
        <is>
          <t>diverse</t>
        </is>
      </c>
      <c r="I7" t="inlineStr">
        <is>
          <t>Einnahmen</t>
        </is>
      </c>
      <c r="J7" s="62" t="inlineStr">
        <is>
          <t>Waren-/Leistungserlöse</t>
        </is>
      </c>
      <c r="K7" s="206" t="n">
        <v>2580.612</v>
      </c>
      <c r="L7">
        <f>O7&amp;"%"</f>
        <v/>
      </c>
      <c r="M7" s="206" t="n">
        <v>430.102</v>
      </c>
      <c r="N7" s="206" t="n">
        <v>2150.51</v>
      </c>
      <c r="O7" t="n">
        <v>20</v>
      </c>
      <c r="P7" s="44" t="n">
        <v>43146</v>
      </c>
      <c r="Q7" s="1" t="n">
        <v>43134</v>
      </c>
    </row>
    <row r="8">
      <c r="A8" t="n">
        <v>12017007</v>
      </c>
      <c r="B8" s="44" t="n">
        <v>43059</v>
      </c>
      <c r="C8" s="1" t="n">
        <v>43073</v>
      </c>
      <c r="D8" s="1" t="n"/>
      <c r="E8" s="44" t="n">
        <v>43067</v>
      </c>
      <c r="F8" s="43" t="n"/>
      <c r="G8" t="inlineStr">
        <is>
          <t>Stokol GmbH, Weiglg. 10/10d/11, 1150 Wien</t>
        </is>
      </c>
      <c r="H8" t="inlineStr">
        <is>
          <t>diverse</t>
        </is>
      </c>
      <c r="I8" t="inlineStr">
        <is>
          <t>Einnahmen</t>
        </is>
      </c>
      <c r="J8" s="62" t="inlineStr">
        <is>
          <t>Waren-/Leistungserlöse</t>
        </is>
      </c>
      <c r="K8" s="206" t="n">
        <v>625.188</v>
      </c>
      <c r="L8">
        <f>O8&amp;"%"</f>
        <v/>
      </c>
      <c r="M8" s="206" t="n">
        <v>104.198</v>
      </c>
      <c r="N8" s="206" t="n">
        <v>520.99</v>
      </c>
      <c r="O8" t="n">
        <v>20</v>
      </c>
      <c r="P8" s="44" t="n">
        <v>43146</v>
      </c>
      <c r="Q8" s="1" t="n">
        <v>43134</v>
      </c>
    </row>
    <row r="9">
      <c r="A9" t="n">
        <v>12017008</v>
      </c>
      <c r="B9" s="44" t="n">
        <v>43089</v>
      </c>
      <c r="C9" s="1" t="n">
        <v>43103</v>
      </c>
      <c r="D9" s="1" t="n"/>
      <c r="E9" s="44" t="n">
        <v>43091</v>
      </c>
      <c r="F9" s="43" t="n"/>
      <c r="G9" t="inlineStr">
        <is>
          <t>foxcraft OG, Laudongasse 58/16, 1080 Wien</t>
        </is>
      </c>
      <c r="H9" t="inlineStr">
        <is>
          <t>LAUFEND</t>
        </is>
      </c>
      <c r="I9" t="inlineStr">
        <is>
          <t>Einnahmen</t>
        </is>
      </c>
      <c r="J9" s="62" t="inlineStr">
        <is>
          <t>Waren-/Leistungserlöse</t>
        </is>
      </c>
      <c r="K9" s="206" t="n">
        <v>720</v>
      </c>
      <c r="L9">
        <f>O9&amp;"%"</f>
        <v/>
      </c>
      <c r="M9" s="206" t="n">
        <v>120</v>
      </c>
      <c r="N9" s="206" t="n">
        <v>600</v>
      </c>
      <c r="O9" t="n">
        <v>20</v>
      </c>
      <c r="P9" s="44" t="n">
        <v>43146</v>
      </c>
      <c r="Q9" s="1" t="n">
        <v>43134</v>
      </c>
    </row>
    <row r="10">
      <c r="A10" t="n">
        <v>12017009</v>
      </c>
      <c r="B10" s="44" t="n">
        <v>43089</v>
      </c>
      <c r="C10" s="1" t="n">
        <v>43103</v>
      </c>
      <c r="D10" s="1" t="n"/>
      <c r="E10" s="44" t="n">
        <v>43097</v>
      </c>
      <c r="F10" s="43" t="n"/>
      <c r="G10" s="43" t="inlineStr">
        <is>
          <t>Dr. Arno Kolbitsch, Zivilingenieur, Gütleweg 1, 6822 Satteins</t>
        </is>
      </c>
      <c r="H10" s="43" t="inlineStr">
        <is>
          <t>P15001MJ</t>
        </is>
      </c>
      <c r="I10" t="inlineStr">
        <is>
          <t>Einnahmen</t>
        </is>
      </c>
      <c r="J10" s="62" t="inlineStr">
        <is>
          <t>Waren-/Leistungserlöse</t>
        </is>
      </c>
      <c r="K10" s="206" t="n">
        <v>9155.627999999999</v>
      </c>
      <c r="L10">
        <f>O10&amp;"%"</f>
        <v/>
      </c>
      <c r="M10" s="206" t="n">
        <v>1525.938</v>
      </c>
      <c r="N10" s="206" t="n">
        <v>7629.69</v>
      </c>
      <c r="O10" t="n">
        <v>20</v>
      </c>
      <c r="P10" s="44" t="n">
        <v>43146</v>
      </c>
      <c r="Q10" s="1" t="n">
        <v>43134</v>
      </c>
    </row>
    <row r="11">
      <c r="A11" t="n">
        <v>12017010</v>
      </c>
      <c r="B11" s="44" t="n">
        <v>43091</v>
      </c>
      <c r="C11" s="1" t="n">
        <v>43105</v>
      </c>
      <c r="D11" s="1" t="n"/>
      <c r="E11" s="44" t="n">
        <v>43098</v>
      </c>
      <c r="F11" s="43" t="n"/>
      <c r="G11" t="inlineStr">
        <is>
          <t>Stokol GmbH, Weiglg. 10/10d/11, 1150 Wien</t>
        </is>
      </c>
      <c r="H11" t="inlineStr">
        <is>
          <t>diverse</t>
        </is>
      </c>
      <c r="I11" t="inlineStr">
        <is>
          <t>Einnahmen</t>
        </is>
      </c>
      <c r="J11" s="62" t="inlineStr">
        <is>
          <t>Waren-/Leistungserlöse</t>
        </is>
      </c>
      <c r="K11" s="206" t="n">
        <v>10771.404</v>
      </c>
      <c r="L11">
        <f>O11&amp;"%"</f>
        <v/>
      </c>
      <c r="M11" s="206" t="n">
        <v>1795.234</v>
      </c>
      <c r="N11" s="206" t="n">
        <v>8976.17</v>
      </c>
      <c r="O11" t="n">
        <v>20</v>
      </c>
      <c r="P11" s="44" t="n">
        <v>43146</v>
      </c>
      <c r="Q11" s="1" t="n">
        <v>43134</v>
      </c>
    </row>
  </sheetData>
  <conditionalFormatting sqref="P1">
    <cfRule type="expression" priority="10" dxfId="2">
      <formula>AND(AND($S1&lt;TODAY(),$S1&lt;&gt;""),$T1="")</formula>
    </cfRule>
  </conditionalFormatting>
  <conditionalFormatting sqref="E1:F11">
    <cfRule type="expression" priority="9" dxfId="1390">
      <formula>OR(AND($C1&lt;TODAY(),ISBLANK($E1)),$E1&gt;$C1)</formula>
    </cfRule>
  </conditionalFormatting>
  <conditionalFormatting sqref="P2">
    <cfRule type="expression" priority="8" dxfId="2">
      <formula>AND(AND($S2&lt;TODAY(),$S2&lt;&gt;""),$T2="")</formula>
    </cfRule>
  </conditionalFormatting>
  <conditionalFormatting sqref="P3">
    <cfRule type="expression" priority="7" dxfId="2">
      <formula>AND(AND($S3&lt;TODAY(),$S3&lt;&gt;""),$T3="")</formula>
    </cfRule>
  </conditionalFormatting>
  <conditionalFormatting sqref="P4">
    <cfRule type="expression" priority="6" dxfId="2">
      <formula>AND(AND($S4&lt;TODAY(),$S4&lt;&gt;""),$T4="")</formula>
    </cfRule>
  </conditionalFormatting>
  <conditionalFormatting sqref="P6">
    <cfRule type="expression" priority="5" dxfId="2">
      <formula>AND(AND($S6&lt;TODAY(),$S6&lt;&gt;""),$T6="")</formula>
    </cfRule>
  </conditionalFormatting>
  <conditionalFormatting sqref="P5">
    <cfRule type="expression" priority="4" dxfId="2">
      <formula>AND(AND($S5&lt;TODAY(),$S5&lt;&gt;""),$T5="")</formula>
    </cfRule>
  </conditionalFormatting>
  <conditionalFormatting sqref="P7">
    <cfRule type="expression" priority="3" dxfId="2">
      <formula>AND(AND($S7&lt;TODAY(),$S7&lt;&gt;""),$T7="")</formula>
    </cfRule>
  </conditionalFormatting>
  <conditionalFormatting sqref="P8">
    <cfRule type="expression" priority="2" dxfId="2">
      <formula>AND(AND($S8&lt;TODAY(),$S8&lt;&gt;""),$T8="")</formula>
    </cfRule>
  </conditionalFormatting>
  <conditionalFormatting sqref="P9:P11">
    <cfRule type="expression" priority="1" dxfId="2">
      <formula>AND(AND($S9&lt;TODAY(),$S9&lt;&gt;""),$T9="")</formula>
    </cfRule>
  </conditionalFormatting>
  <dataValidations count="1">
    <dataValidation sqref="J2:J11" showDropDown="0" showInputMessage="1" showErrorMessage="1" allowBlank="1" type="list">
      <formula1>INDIRECT($E2)</formula1>
    </dataValidation>
  </dataValidations>
  <pageMargins left="0.7" right="0.7" top="0.787401575" bottom="0.787401575" header="0.3" footer="0.3"/>
  <pageSetup orientation="portrait" paperSize="9"/>
</worksheet>
</file>

<file path=xl/worksheets/sheet30.xml><?xml version="1.0" encoding="utf-8"?>
<worksheet xmlns="http://schemas.openxmlformats.org/spreadsheetml/2006/main">
  <sheetPr codeName="Tabelle14">
    <outlinePr summaryBelow="1" summaryRight="1"/>
    <pageSetUpPr/>
  </sheetPr>
  <dimension ref="A1:O132"/>
  <sheetViews>
    <sheetView workbookViewId="0">
      <selection activeCell="A1" sqref="A1"/>
    </sheetView>
  </sheetViews>
  <sheetFormatPr baseColWidth="10" defaultRowHeight="15"/>
  <cols>
    <col hidden="1" width="11.42578125" customWidth="1" min="3" max="3"/>
    <col width="49" customWidth="1" min="4" max="4"/>
    <col width="51.42578125" customWidth="1" min="6" max="6"/>
    <col hidden="1" width="11.140625" customWidth="1" min="7" max="7"/>
    <col hidden="1" width="7" customWidth="1" min="8" max="8"/>
    <col width="11.42578125" customWidth="1" style="67" min="9" max="9"/>
    <col width="6.7109375" customWidth="1" style="67" min="10" max="10"/>
    <col width="6.85546875" customWidth="1" style="67" min="11" max="11"/>
    <col width="11.42578125" customWidth="1" style="67" min="12" max="14"/>
  </cols>
  <sheetData>
    <row r="1" ht="22.5" customHeight="1">
      <c r="A1" s="63" t="inlineStr">
        <is>
          <t>lfd. Nr.</t>
        </is>
      </c>
      <c r="B1" s="63" t="inlineStr">
        <is>
          <t>Datum</t>
        </is>
      </c>
      <c r="C1" s="8" t="inlineStr">
        <is>
          <t>Rechnungsnummer</t>
        </is>
      </c>
      <c r="D1" s="63" t="inlineStr">
        <is>
          <t>Text</t>
        </is>
      </c>
      <c r="E1" s="63" t="inlineStr">
        <is>
          <t>Kategorie</t>
        </is>
      </c>
      <c r="F1" s="63" t="inlineStr">
        <is>
          <t>Spesenart</t>
        </is>
      </c>
      <c r="G1" s="11" t="inlineStr">
        <is>
          <t>Netto Einzelpreis</t>
        </is>
      </c>
      <c r="H1" s="52" t="inlineStr">
        <is>
          <t>Anteil (v1)</t>
        </is>
      </c>
      <c r="I1" s="63" t="inlineStr">
        <is>
          <t>Bruttobetrag</t>
        </is>
      </c>
      <c r="J1" s="64" t="inlineStr">
        <is>
          <t>USt.(%)</t>
        </is>
      </c>
      <c r="K1" s="269" t="inlineStr">
        <is>
          <t>Vorsteuer gesamt</t>
        </is>
      </c>
      <c r="L1" s="63" t="inlineStr">
        <is>
          <t>Steuersatz</t>
        </is>
      </c>
      <c r="M1" s="63" t="inlineStr">
        <is>
          <t>Steuer
Betrag</t>
        </is>
      </c>
      <c r="N1" s="63" t="inlineStr">
        <is>
          <t>Nettobetrag</t>
        </is>
      </c>
    </row>
    <row r="2">
      <c r="A2" t="n">
        <v>183</v>
      </c>
      <c r="B2" s="1" t="n">
        <v>42744</v>
      </c>
      <c r="C2" s="9" t="inlineStr">
        <is>
          <t>6124616522</t>
        </is>
      </c>
      <c r="D2" s="1" t="inlineStr">
        <is>
          <t xml:space="preserve">Hutchison Drei Austria GmbH, Brünner Straße 52, 1210 Wien, Österreich: </t>
        </is>
      </c>
      <c r="E2" s="1" t="inlineStr">
        <is>
          <t>Ausgaben</t>
        </is>
      </c>
      <c r="F2" s="16" t="inlineStr">
        <is>
          <t>Telefon/Internet</t>
        </is>
      </c>
      <c r="G2" s="36" t="n">
        <v>15</v>
      </c>
      <c r="H2" s="51" t="n">
        <v>1</v>
      </c>
      <c r="I2" s="270" t="n">
        <v>18</v>
      </c>
      <c r="J2" s="67" t="n">
        <v>20</v>
      </c>
      <c r="K2" s="270" t="n">
        <v>3</v>
      </c>
      <c r="L2" s="67">
        <f>J2&amp;"%"</f>
        <v/>
      </c>
      <c r="M2" s="270" t="n">
        <v>3</v>
      </c>
      <c r="N2" s="270" t="n">
        <v>15</v>
      </c>
    </row>
    <row r="3">
      <c r="A3" t="n">
        <v>184</v>
      </c>
      <c r="B3" s="1" t="n">
        <v>42738</v>
      </c>
      <c r="C3" s="9" t="inlineStr">
        <is>
          <t>RE0439013</t>
        </is>
      </c>
      <c r="D3" s="1" t="inlineStr">
        <is>
          <t>easyname GmbH, Fernkorngasse 10/3/501, 1110 Wien: Domain: dr-schiller.at</t>
        </is>
      </c>
      <c r="E3" s="1" t="inlineStr">
        <is>
          <t>Ausgaben</t>
        </is>
      </c>
      <c r="F3" s="16" t="inlineStr">
        <is>
          <t>sonstige Betriebsausgaben</t>
        </is>
      </c>
      <c r="G3" s="36" t="n">
        <v>12.42</v>
      </c>
      <c r="H3" s="51" t="n">
        <v>1</v>
      </c>
      <c r="I3" s="270" t="n">
        <v>14.904</v>
      </c>
      <c r="J3" s="67" t="n">
        <v>20</v>
      </c>
      <c r="K3" s="270" t="n">
        <v>2.484</v>
      </c>
      <c r="L3" s="67">
        <f>J3&amp;"%"</f>
        <v/>
      </c>
      <c r="M3" s="270" t="n">
        <v>2.484</v>
      </c>
      <c r="N3" s="270" t="n">
        <v>12.42</v>
      </c>
    </row>
    <row r="4">
      <c r="A4" t="n">
        <v>188</v>
      </c>
      <c r="B4" s="1" t="n">
        <v>42744</v>
      </c>
      <c r="C4" s="9" t="inlineStr">
        <is>
          <t>2017/8058/14</t>
        </is>
      </c>
      <c r="D4" s="1" t="inlineStr">
        <is>
          <t>27,32 % von € 881,95: PREMIUM Laudongasse 58 GmbH &amp; Co KG: Dauerrechnung 2017-01</t>
        </is>
      </c>
      <c r="E4" s="1" t="inlineStr">
        <is>
          <t>Ausgaben</t>
        </is>
      </c>
      <c r="F4" s="16" t="inlineStr">
        <is>
          <t>Miet- und Pachtaufwand, Leasing</t>
        </is>
      </c>
      <c r="G4" s="36" t="n">
        <v>801.77</v>
      </c>
      <c r="H4" s="51" t="n">
        <v>0.2732037841984147</v>
      </c>
      <c r="I4" s="270" t="n">
        <v>240.9512578624393</v>
      </c>
      <c r="J4" s="67" t="n">
        <v>10</v>
      </c>
      <c r="K4" s="270" t="n">
        <v>80.17699999999999</v>
      </c>
      <c r="L4" s="67">
        <f>J4&amp;"%"</f>
        <v/>
      </c>
      <c r="M4" s="270" t="n">
        <v>21.9046598056763</v>
      </c>
      <c r="N4" s="270" t="n">
        <v>219.046598056763</v>
      </c>
    </row>
    <row r="5">
      <c r="A5" t="n">
        <v>189</v>
      </c>
      <c r="B5" s="1" t="n">
        <v>42760</v>
      </c>
      <c r="C5" s="9" t="inlineStr">
        <is>
          <t>2017/8058/14</t>
        </is>
      </c>
      <c r="D5" s="1" t="inlineStr">
        <is>
          <t>27,32 % von € 881,95: PREMIUM Laudongasse 58 GmbH &amp; Co KG: Dauerrechnung 2017-D-2</t>
        </is>
      </c>
      <c r="E5" s="1" t="inlineStr">
        <is>
          <t>Ausgaben</t>
        </is>
      </c>
      <c r="F5" s="16" t="inlineStr">
        <is>
          <t>Miet- und Pachtaufwand, Leasing</t>
        </is>
      </c>
      <c r="G5" s="36" t="n">
        <v>801.77</v>
      </c>
      <c r="H5" s="51" t="n">
        <v>0.2732037841984147</v>
      </c>
      <c r="I5" s="270" t="n">
        <v>240.9512578624393</v>
      </c>
      <c r="J5" s="67" t="n">
        <v>10</v>
      </c>
      <c r="K5" s="270" t="n">
        <v>80.17699999999999</v>
      </c>
      <c r="L5" s="67">
        <f>J5&amp;"%"</f>
        <v/>
      </c>
      <c r="M5" s="270" t="n">
        <v>21.9046598056763</v>
      </c>
      <c r="N5" s="270" t="n">
        <v>219.046598056763</v>
      </c>
    </row>
    <row r="6">
      <c r="A6" t="n">
        <v>190</v>
      </c>
      <c r="B6" s="1" t="n">
        <v>42768</v>
      </c>
      <c r="C6" s="9" t="inlineStr">
        <is>
          <t>6126460995</t>
        </is>
      </c>
      <c r="D6" s="1" t="inlineStr">
        <is>
          <t xml:space="preserve">Hutchison Drei Austria GmbH, Brünner Straße 52, 1210 Wien, Österreich: </t>
        </is>
      </c>
      <c r="E6" s="1" t="inlineStr">
        <is>
          <t>Ausgaben</t>
        </is>
      </c>
      <c r="F6" s="16" t="inlineStr">
        <is>
          <t>Telefon/Internet</t>
        </is>
      </c>
      <c r="G6" s="36" t="n">
        <v>15</v>
      </c>
      <c r="H6" s="51" t="n">
        <v>1</v>
      </c>
      <c r="I6" s="270" t="n">
        <v>18</v>
      </c>
      <c r="J6" s="67" t="n">
        <v>20</v>
      </c>
      <c r="K6" s="270" t="n">
        <v>3</v>
      </c>
      <c r="L6" s="67">
        <f>J6&amp;"%"</f>
        <v/>
      </c>
      <c r="M6" s="270" t="n">
        <v>3</v>
      </c>
      <c r="N6" s="270" t="n">
        <v>15</v>
      </c>
    </row>
    <row r="7">
      <c r="A7" t="n">
        <v>191</v>
      </c>
      <c r="B7" s="1" t="n">
        <v>42768</v>
      </c>
      <c r="C7" s="9" t="inlineStr">
        <is>
          <t>RE0447849</t>
        </is>
      </c>
      <c r="D7" s="1" t="inlineStr">
        <is>
          <t>easyname GmbH, Fernkorngasse 10/3/501, 1110 Wien: Domain: amweg.at</t>
        </is>
      </c>
      <c r="E7" s="1" t="inlineStr">
        <is>
          <t>Ausgaben</t>
        </is>
      </c>
      <c r="F7" s="16" t="inlineStr">
        <is>
          <t>sonstige Betriebsausgaben</t>
        </is>
      </c>
      <c r="G7" s="36" t="n">
        <v>12.42</v>
      </c>
      <c r="H7" s="51" t="n">
        <v>1</v>
      </c>
      <c r="I7" s="270" t="n">
        <v>14.904</v>
      </c>
      <c r="J7" s="67" t="n">
        <v>20</v>
      </c>
      <c r="K7" s="270" t="n">
        <v>2.484</v>
      </c>
      <c r="L7" s="67">
        <f>J7&amp;"%"</f>
        <v/>
      </c>
      <c r="M7" s="270" t="n">
        <v>2.484</v>
      </c>
      <c r="N7" s="270" t="n">
        <v>12.42</v>
      </c>
    </row>
    <row r="8">
      <c r="A8" t="n">
        <v>192</v>
      </c>
      <c r="B8" s="1" t="n">
        <v>42761</v>
      </c>
      <c r="C8" s="9" t="inlineStr">
        <is>
          <t>RE0445823</t>
        </is>
      </c>
      <c r="D8" s="1" t="inlineStr">
        <is>
          <t>easyname GmbH, Fernkorngasse 10/3/501, 1110 Wien: Domain: jarosoft.at</t>
        </is>
      </c>
      <c r="E8" s="1" t="inlineStr">
        <is>
          <t>Ausgaben</t>
        </is>
      </c>
      <c r="F8" s="16" t="inlineStr">
        <is>
          <t>sonstige Betriebsausgaben</t>
        </is>
      </c>
      <c r="G8" s="36" t="n">
        <v>12.42</v>
      </c>
      <c r="H8" s="51" t="n">
        <v>1</v>
      </c>
      <c r="I8" s="270" t="n">
        <v>14.904</v>
      </c>
      <c r="J8" s="67" t="n">
        <v>20</v>
      </c>
      <c r="K8" s="270" t="n">
        <v>2.484</v>
      </c>
      <c r="L8" s="67">
        <f>J8&amp;"%"</f>
        <v/>
      </c>
      <c r="M8" s="270" t="n">
        <v>2.484</v>
      </c>
      <c r="N8" s="270" t="n">
        <v>12.42</v>
      </c>
    </row>
    <row r="9">
      <c r="A9" t="n">
        <v>193</v>
      </c>
      <c r="B9" s="1" t="n">
        <v>42745</v>
      </c>
      <c r="C9" s="9" t="inlineStr">
        <is>
          <t>R0006532557</t>
        </is>
      </c>
      <c r="D9" s="1" t="inlineStr">
        <is>
          <t>Hetzner Online AG, Industriestr. 25, 91710 Gunzenhausen: EQ4 Server #50605 30TB 188.40.75.200, 188.40.75.242</t>
        </is>
      </c>
      <c r="E9" s="1" t="inlineStr">
        <is>
          <t>Ausgaben</t>
        </is>
      </c>
      <c r="F9" s="16" t="inlineStr">
        <is>
          <t>sonstige Betriebsausgaben</t>
        </is>
      </c>
      <c r="G9" s="36" t="n">
        <v>42.02</v>
      </c>
      <c r="H9" s="51" t="n">
        <v>1</v>
      </c>
      <c r="I9" s="270" t="n">
        <v>42.02</v>
      </c>
      <c r="J9" s="67" t="n">
        <v>0</v>
      </c>
      <c r="K9" s="270" t="n">
        <v>0</v>
      </c>
      <c r="L9" s="67" t="inlineStr">
        <is>
          <t>reverse charge</t>
        </is>
      </c>
      <c r="M9" s="270" t="n">
        <v>0</v>
      </c>
      <c r="N9" s="270" t="n">
        <v>42.02</v>
      </c>
    </row>
    <row r="10">
      <c r="A10" t="n">
        <v>194</v>
      </c>
      <c r="B10" s="1" t="n">
        <v>42765</v>
      </c>
      <c r="C10" s="9" t="n"/>
      <c r="D10" s="1" t="inlineStr">
        <is>
          <t>Wiener Linien GmbH &amp; Co KG, Erdbergstraße 202, 1031 Wien: Jahreskarte</t>
        </is>
      </c>
      <c r="E10" s="1" t="inlineStr">
        <is>
          <t>Ausgaben</t>
        </is>
      </c>
      <c r="F10" s="16" t="inlineStr">
        <is>
          <t>Reise- und Fahrtspesen inkl. Kilometergeld und Diäten</t>
        </is>
      </c>
      <c r="G10" s="36" t="n">
        <v>331.82</v>
      </c>
      <c r="H10" s="51" t="n">
        <v>1</v>
      </c>
      <c r="I10" s="270" t="n">
        <v>365.002</v>
      </c>
      <c r="J10" s="67" t="n">
        <v>10</v>
      </c>
      <c r="K10" s="270" t="n">
        <v>33.182</v>
      </c>
      <c r="L10" s="67">
        <f>J10&amp;"%"</f>
        <v/>
      </c>
      <c r="M10" s="270" t="n">
        <v>33.182</v>
      </c>
      <c r="N10" s="270" t="n">
        <v>331.82</v>
      </c>
    </row>
    <row r="11">
      <c r="A11" t="n">
        <v>195</v>
      </c>
      <c r="B11" s="1" t="n">
        <v>42776</v>
      </c>
      <c r="C11" s="9" t="inlineStr">
        <is>
          <t>R0006624857</t>
        </is>
      </c>
      <c r="D11" s="1" t="inlineStr">
        <is>
          <t>Hetzner Online AG, Industriestr. 25, 91710 Gunzenhausen: EQ4 Server #50605 30TB 188.40.75.200, 188.40.75.242</t>
        </is>
      </c>
      <c r="E11" s="1" t="inlineStr">
        <is>
          <t>Ausgaben</t>
        </is>
      </c>
      <c r="F11" s="16" t="inlineStr">
        <is>
          <t>sonstige Betriebsausgaben</t>
        </is>
      </c>
      <c r="G11" s="36" t="n">
        <v>42.02</v>
      </c>
      <c r="H11" s="51" t="n">
        <v>1</v>
      </c>
      <c r="I11" s="270" t="n">
        <v>42.02</v>
      </c>
      <c r="J11" s="67" t="n">
        <v>0</v>
      </c>
      <c r="K11" s="270" t="n">
        <v>0</v>
      </c>
      <c r="L11" s="67" t="inlineStr">
        <is>
          <t>reverse charge</t>
        </is>
      </c>
      <c r="M11" s="270" t="n">
        <v>0</v>
      </c>
      <c r="N11" s="270" t="n">
        <v>42.02</v>
      </c>
    </row>
    <row r="12">
      <c r="A12" t="n">
        <v>197</v>
      </c>
      <c r="B12" s="1" t="n">
        <v>42800</v>
      </c>
      <c r="C12" s="9" t="inlineStr">
        <is>
          <t>6128353497</t>
        </is>
      </c>
      <c r="D12" s="1" t="inlineStr">
        <is>
          <t xml:space="preserve">Hutchison Drei Austria GmbH, Brünner Straße 52, 1210 Wien, Österreich: </t>
        </is>
      </c>
      <c r="E12" s="1" t="inlineStr">
        <is>
          <t>Ausgaben</t>
        </is>
      </c>
      <c r="F12" s="16" t="inlineStr">
        <is>
          <t>Telefon/Internet</t>
        </is>
      </c>
      <c r="G12" s="36" t="n">
        <v>15</v>
      </c>
      <c r="H12" s="51" t="n">
        <v>1</v>
      </c>
      <c r="I12" s="270" t="n">
        <v>18</v>
      </c>
      <c r="J12" s="67" t="n">
        <v>20</v>
      </c>
      <c r="K12" s="270" t="n">
        <v>3</v>
      </c>
      <c r="L12" s="67">
        <f>J12&amp;"%"</f>
        <v/>
      </c>
      <c r="M12" s="270" t="n">
        <v>3</v>
      </c>
      <c r="N12" s="270" t="n">
        <v>15</v>
      </c>
    </row>
    <row r="13">
      <c r="A13" t="n">
        <v>198</v>
      </c>
      <c r="B13" s="1" t="n">
        <v>42794</v>
      </c>
      <c r="C13" s="9" t="inlineStr">
        <is>
          <t>PRM317020006273</t>
        </is>
      </c>
      <c r="D13" s="1" t="inlineStr">
        <is>
          <t>XING AG, D-20354 Hamburg, Dammtorstrasse 30: Three-month Premium membership</t>
        </is>
      </c>
      <c r="E13" s="1" t="inlineStr">
        <is>
          <t>Ausgaben</t>
        </is>
      </c>
      <c r="F13" s="16" t="inlineStr">
        <is>
          <t>Werbe- und Repräsentationsaufwand</t>
        </is>
      </c>
      <c r="G13" s="36" t="n">
        <v>24.87</v>
      </c>
      <c r="H13" s="51" t="n">
        <v>1</v>
      </c>
      <c r="I13" s="270" t="n">
        <v>29.85</v>
      </c>
      <c r="J13" s="67" t="n">
        <v>20</v>
      </c>
      <c r="K13" s="270" t="n">
        <v>4.98</v>
      </c>
      <c r="L13" s="67">
        <f>J13&amp;"%"</f>
        <v/>
      </c>
      <c r="M13" s="270" t="n">
        <v>4.98</v>
      </c>
      <c r="N13" s="270" t="n">
        <v>24.87</v>
      </c>
    </row>
    <row r="14">
      <c r="A14" t="n">
        <v>199</v>
      </c>
      <c r="B14" s="1" t="n">
        <v>42795</v>
      </c>
      <c r="C14" s="9" t="inlineStr">
        <is>
          <t>EUVINS1-OFS-PL-277465836</t>
        </is>
      </c>
      <c r="D14" s="1" t="inlineStr">
        <is>
          <t>Amazon EU Sàrl, 5 Rue Plaetis, L-2338, Luxemburg: Sennheiser PC 7 USB Headset | B005HWEZ98</t>
        </is>
      </c>
      <c r="E14" s="1" t="inlineStr">
        <is>
          <t>Ausgaben</t>
        </is>
      </c>
      <c r="F14" s="16" t="inlineStr">
        <is>
          <t>sonstige Betriebsausgaben</t>
        </is>
      </c>
      <c r="G14" s="36" t="n">
        <v>19.32</v>
      </c>
      <c r="H14" s="51" t="n">
        <v>1</v>
      </c>
      <c r="I14" s="270" t="n">
        <v>23.184</v>
      </c>
      <c r="J14" s="67" t="n">
        <v>20</v>
      </c>
      <c r="K14" s="270" t="n">
        <v>3.864</v>
      </c>
      <c r="L14" s="67">
        <f>J14&amp;"%"</f>
        <v/>
      </c>
      <c r="M14" s="270" t="n">
        <v>3.864</v>
      </c>
      <c r="N14" s="270" t="n">
        <v>19.32</v>
      </c>
    </row>
    <row r="15">
      <c r="A15" t="n">
        <v>200</v>
      </c>
      <c r="B15" s="1" t="n">
        <v>42803</v>
      </c>
      <c r="C15" s="9" t="inlineStr">
        <is>
          <t>13263277</t>
        </is>
      </c>
      <c r="D15" s="1" t="inlineStr">
        <is>
          <t>Primus Office products Handelsges.mb.H &amp; Co KG FN210677w - ATU52268004, Margaretengürtel 44, 1050 Wien: Samsung Toner black CLT-K506L 6000 S.</t>
        </is>
      </c>
      <c r="E15" s="1" t="inlineStr">
        <is>
          <t>Ausgaben</t>
        </is>
      </c>
      <c r="F15" s="16" t="inlineStr">
        <is>
          <t>Büromaterial</t>
        </is>
      </c>
      <c r="G15" s="36" t="n">
        <v>67.95999999999999</v>
      </c>
      <c r="H15" s="51" t="n">
        <v>1</v>
      </c>
      <c r="I15" s="270" t="n">
        <v>81.55199999999999</v>
      </c>
      <c r="J15" s="67" t="n">
        <v>20</v>
      </c>
      <c r="K15" s="270" t="n">
        <v>13.592</v>
      </c>
      <c r="L15" s="67">
        <f>J15&amp;"%"</f>
        <v/>
      </c>
      <c r="M15" s="270" t="n">
        <v>13.592</v>
      </c>
      <c r="N15" s="270" t="n">
        <v>67.95999999999999</v>
      </c>
    </row>
    <row r="16">
      <c r="A16" t="n">
        <v>201</v>
      </c>
      <c r="B16" s="1" t="n">
        <v>42803</v>
      </c>
      <c r="C16" s="9" t="inlineStr">
        <is>
          <t>GCINIE6426071CAT2017000000045250</t>
        </is>
      </c>
      <c r="D16" s="1" t="inlineStr">
        <is>
          <t>Digital River Ireland Ltd, Unit 153, Shannon Free Zone West, Shannon, Co. Clare, Ireland: Dragon Professional Individual v15 elektron. Download</t>
        </is>
      </c>
      <c r="E16" s="1" t="inlineStr">
        <is>
          <t>Ausgaben</t>
        </is>
      </c>
      <c r="F16" s="16" t="inlineStr">
        <is>
          <t>Lizenzgebühren</t>
        </is>
      </c>
      <c r="G16" s="36" t="n">
        <v>332.5</v>
      </c>
      <c r="H16" s="51" t="n">
        <v>1</v>
      </c>
      <c r="I16" s="270" t="n">
        <v>332.5</v>
      </c>
      <c r="J16" s="67" t="n">
        <v>0</v>
      </c>
      <c r="K16" s="270" t="n">
        <v>0</v>
      </c>
      <c r="L16" s="67" t="inlineStr">
        <is>
          <t>reverse charge</t>
        </is>
      </c>
      <c r="M16" s="270" t="n">
        <v>0</v>
      </c>
      <c r="N16" s="270" t="n">
        <v>332.5</v>
      </c>
    </row>
    <row r="17">
      <c r="A17" t="n">
        <v>202</v>
      </c>
      <c r="B17" s="1" t="n">
        <v>42825</v>
      </c>
      <c r="C17" s="9" t="inlineStr">
        <is>
          <t>6130716022</t>
        </is>
      </c>
      <c r="D17" s="1" t="inlineStr">
        <is>
          <t xml:space="preserve">Hutchison Drei Austria GmbH, Brünner Straße 52, 1210 Wien, Österreich: </t>
        </is>
      </c>
      <c r="E17" s="1" t="inlineStr">
        <is>
          <t>Ausgaben</t>
        </is>
      </c>
      <c r="F17" s="16" t="inlineStr">
        <is>
          <t>Telefon/Internet</t>
        </is>
      </c>
      <c r="G17" s="36" t="n">
        <v>15</v>
      </c>
      <c r="H17" s="51" t="n">
        <v>1</v>
      </c>
      <c r="I17" s="270" t="n">
        <v>18</v>
      </c>
      <c r="J17" s="67" t="n">
        <v>20</v>
      </c>
      <c r="K17" s="270" t="n">
        <v>3</v>
      </c>
      <c r="L17" s="67">
        <f>J17&amp;"%"</f>
        <v/>
      </c>
      <c r="M17" s="270" t="n">
        <v>3</v>
      </c>
      <c r="N17" s="270" t="n">
        <v>15</v>
      </c>
    </row>
    <row r="18">
      <c r="A18" t="n">
        <v>203</v>
      </c>
      <c r="B18" s="1" t="n">
        <v>42860</v>
      </c>
      <c r="C18" s="9" t="inlineStr">
        <is>
          <t>6132930597</t>
        </is>
      </c>
      <c r="D18" s="1" t="inlineStr">
        <is>
          <t xml:space="preserve">Hutchison Drei Austria GmbH, Brünner Straße 52, 1210 Wien, Österreich: </t>
        </is>
      </c>
      <c r="E18" s="1" t="inlineStr">
        <is>
          <t>Ausgaben</t>
        </is>
      </c>
      <c r="F18" s="16" t="inlineStr">
        <is>
          <t>Telefon/Internet</t>
        </is>
      </c>
      <c r="G18" s="36" t="n">
        <v>16.03</v>
      </c>
      <c r="H18" s="51" t="n">
        <v>1</v>
      </c>
      <c r="I18" s="270" t="n">
        <v>19.236</v>
      </c>
      <c r="J18" s="67" t="n">
        <v>20</v>
      </c>
      <c r="K18" s="270" t="n">
        <v>3.206</v>
      </c>
      <c r="L18" s="67">
        <f>J18&amp;"%"</f>
        <v/>
      </c>
      <c r="M18" s="270" t="n">
        <v>3.206</v>
      </c>
      <c r="N18" s="270" t="n">
        <v>16.03</v>
      </c>
    </row>
    <row r="19">
      <c r="A19" t="n">
        <v>204</v>
      </c>
      <c r="B19" s="1" t="n">
        <v>42892</v>
      </c>
      <c r="C19" s="9" t="inlineStr">
        <is>
          <t>171001871465</t>
        </is>
      </c>
      <c r="D19" s="1" t="inlineStr">
        <is>
          <t>WKO: Grundumlage UBIT</t>
        </is>
      </c>
      <c r="E19" s="1" t="inlineStr">
        <is>
          <t>Ausgaben</t>
        </is>
      </c>
      <c r="F19" s="16" t="inlineStr">
        <is>
          <t>sonstige Betriebsausgaben</t>
        </is>
      </c>
      <c r="G19" s="36" t="n">
        <v>65</v>
      </c>
      <c r="H19" s="51" t="n">
        <v>1</v>
      </c>
      <c r="I19" s="270" t="n">
        <v>65</v>
      </c>
      <c r="J19" s="67" t="n">
        <v>0</v>
      </c>
      <c r="K19" s="270" t="n">
        <v>0</v>
      </c>
      <c r="L19" s="67">
        <f>J19&amp;"%"</f>
        <v/>
      </c>
      <c r="M19" s="270" t="n">
        <v>0</v>
      </c>
      <c r="N19" s="270" t="n">
        <v>65</v>
      </c>
    </row>
    <row r="20">
      <c r="A20" t="n">
        <v>205</v>
      </c>
      <c r="B20" s="1" t="n">
        <v>42906</v>
      </c>
      <c r="C20" s="9" t="inlineStr">
        <is>
          <t>AEU-INV-AT-2017-3205734</t>
        </is>
      </c>
      <c r="D20" s="1" t="inlineStr">
        <is>
          <t>Amazon EU Sàrl, 5 Rue Plaetis, L-2338, Luxemburg: Scythe USB_2FS-2 USB Fußschalter | B004FS0120</t>
        </is>
      </c>
      <c r="E20" s="1" t="inlineStr">
        <is>
          <t>Ausgaben</t>
        </is>
      </c>
      <c r="F20" s="16" t="inlineStr">
        <is>
          <t>sonstige Betriebsausgaben</t>
        </is>
      </c>
      <c r="G20" s="36" t="n">
        <v>33.54</v>
      </c>
      <c r="H20" s="51" t="n">
        <v>1</v>
      </c>
      <c r="I20" s="270" t="n">
        <v>40.248</v>
      </c>
      <c r="J20" s="67" t="n">
        <v>20</v>
      </c>
      <c r="K20" s="270" t="n">
        <v>6.707999999999999</v>
      </c>
      <c r="L20" s="67">
        <f>J20&amp;"%"</f>
        <v/>
      </c>
      <c r="M20" s="270" t="n">
        <v>6.707999999999999</v>
      </c>
      <c r="N20" s="270" t="n">
        <v>33.54</v>
      </c>
    </row>
    <row r="21">
      <c r="A21" t="n">
        <v>206</v>
      </c>
      <c r="B21" s="1" t="n">
        <v>42907</v>
      </c>
      <c r="C21" s="9" t="inlineStr">
        <is>
          <t>6994178796</t>
        </is>
      </c>
      <c r="D21" s="1" t="inlineStr">
        <is>
          <t>Microsoft Ireland Operations Ltd., Atrium Building Block B, Carmenhall Rd., Sandyford Industrial Estate, Dublin 18, Ireland: Office 365</t>
        </is>
      </c>
      <c r="E21" s="1" t="inlineStr">
        <is>
          <t>Ausgaben</t>
        </is>
      </c>
      <c r="F21" s="16" t="inlineStr">
        <is>
          <t>Lizenzgebühren</t>
        </is>
      </c>
      <c r="G21" s="36" t="n">
        <v>57.5</v>
      </c>
      <c r="H21" s="51" t="n">
        <v>1</v>
      </c>
      <c r="I21" s="270" t="n">
        <v>69</v>
      </c>
      <c r="J21" s="67" t="n">
        <v>20</v>
      </c>
      <c r="K21" s="270" t="n">
        <v>11.5</v>
      </c>
      <c r="L21" s="67">
        <f>J21&amp;"%"</f>
        <v/>
      </c>
      <c r="M21" s="270" t="n">
        <v>11.5</v>
      </c>
      <c r="N21" s="270" t="n">
        <v>57.5</v>
      </c>
    </row>
    <row r="22">
      <c r="A22" t="n">
        <v>207</v>
      </c>
      <c r="B22" s="1" t="n">
        <v>42888</v>
      </c>
      <c r="C22" s="9" t="inlineStr">
        <is>
          <t>6134782309</t>
        </is>
      </c>
      <c r="D22" s="1" t="inlineStr">
        <is>
          <t xml:space="preserve">Hutchison Drei Austria GmbH, Brünner Straße 52, 1210 Wien, Österreich: </t>
        </is>
      </c>
      <c r="E22" s="1" t="inlineStr">
        <is>
          <t>Ausgaben</t>
        </is>
      </c>
      <c r="F22" s="16" t="inlineStr">
        <is>
          <t>Telefon/Internet</t>
        </is>
      </c>
      <c r="G22" s="36" t="n">
        <v>15</v>
      </c>
      <c r="H22" s="51" t="n">
        <v>1</v>
      </c>
      <c r="I22" s="270" t="n">
        <v>18</v>
      </c>
      <c r="J22" s="67" t="n">
        <v>20</v>
      </c>
      <c r="K22" s="270" t="n">
        <v>3</v>
      </c>
      <c r="L22" s="67">
        <f>J22&amp;"%"</f>
        <v/>
      </c>
      <c r="M22" s="270" t="n">
        <v>3</v>
      </c>
      <c r="N22" s="270" t="n">
        <v>15</v>
      </c>
    </row>
    <row r="23">
      <c r="A23" t="n">
        <v>208</v>
      </c>
      <c r="B23" s="1" t="n">
        <v>42793</v>
      </c>
      <c r="C23" s="9" t="inlineStr">
        <is>
          <t>2017/8058/14</t>
        </is>
      </c>
      <c r="D23" s="1" t="inlineStr">
        <is>
          <t>27,32 % von € 881,95: PREMIUM Laudongasse 58 GmbH &amp; Co KG: Dauerrechnung 2017-D-3</t>
        </is>
      </c>
      <c r="E23" s="1" t="inlineStr">
        <is>
          <t>Ausgaben</t>
        </is>
      </c>
      <c r="F23" s="16" t="inlineStr">
        <is>
          <t>Miet- und Pachtaufwand, Leasing</t>
        </is>
      </c>
      <c r="G23" s="36" t="n">
        <v>801.77</v>
      </c>
      <c r="H23" s="51" t="n">
        <v>0.2732037841984147</v>
      </c>
      <c r="I23" s="270" t="n">
        <v>240.9512578624393</v>
      </c>
      <c r="J23" s="67" t="n">
        <v>10</v>
      </c>
      <c r="K23" s="270" t="n">
        <v>80.17699999999999</v>
      </c>
      <c r="L23" s="67">
        <f>J23&amp;"%"</f>
        <v/>
      </c>
      <c r="M23" s="270" t="n">
        <v>21.9046598056763</v>
      </c>
      <c r="N23" s="270" t="n">
        <v>219.046598056763</v>
      </c>
    </row>
    <row r="24">
      <c r="A24" t="n">
        <v>209</v>
      </c>
      <c r="B24" s="1" t="n">
        <v>42821</v>
      </c>
      <c r="C24" s="9" t="inlineStr">
        <is>
          <t>2017/8058/14</t>
        </is>
      </c>
      <c r="D24" s="1" t="inlineStr">
        <is>
          <t>27,32 % von € 881,95: PREMIUM Laudongasse 58 GmbH &amp; Co KG: Dauerrechnung 2017-D-4</t>
        </is>
      </c>
      <c r="E24" s="1" t="inlineStr">
        <is>
          <t>Ausgaben</t>
        </is>
      </c>
      <c r="F24" s="16" t="inlineStr">
        <is>
          <t>Miet- und Pachtaufwand, Leasing</t>
        </is>
      </c>
      <c r="G24" s="36" t="n">
        <v>801.77</v>
      </c>
      <c r="H24" s="51" t="n">
        <v>0.2732037841984147</v>
      </c>
      <c r="I24" s="270" t="n">
        <v>240.9512578624393</v>
      </c>
      <c r="J24" s="67" t="n">
        <v>10</v>
      </c>
      <c r="K24" s="270" t="n">
        <v>80.17699999999999</v>
      </c>
      <c r="L24" s="67">
        <f>J24&amp;"%"</f>
        <v/>
      </c>
      <c r="M24" s="270" t="n">
        <v>21.9046598056763</v>
      </c>
      <c r="N24" s="270" t="n">
        <v>219.046598056763</v>
      </c>
    </row>
    <row r="25">
      <c r="A25" t="n">
        <v>210</v>
      </c>
      <c r="B25" s="1" t="n">
        <v>42850</v>
      </c>
      <c r="C25" s="9" t="inlineStr">
        <is>
          <t>2017/8058/14</t>
        </is>
      </c>
      <c r="D25" s="1" t="inlineStr">
        <is>
          <t>27,32 % von € 881,95: PREMIUM Laudongasse 58 GmbH &amp; Co KG: Dauerrechnung 2017-D-5</t>
        </is>
      </c>
      <c r="E25" s="1" t="inlineStr">
        <is>
          <t>Ausgaben</t>
        </is>
      </c>
      <c r="F25" s="16" t="inlineStr">
        <is>
          <t>Miet- und Pachtaufwand, Leasing</t>
        </is>
      </c>
      <c r="G25" s="36" t="n">
        <v>801.77</v>
      </c>
      <c r="H25" s="51" t="n">
        <v>0.2732037841984147</v>
      </c>
      <c r="I25" s="270" t="n">
        <v>240.9512578624393</v>
      </c>
      <c r="J25" s="67" t="n">
        <v>10</v>
      </c>
      <c r="K25" s="270" t="n">
        <v>80.17699999999999</v>
      </c>
      <c r="L25" s="67">
        <f>J25&amp;"%"</f>
        <v/>
      </c>
      <c r="M25" s="270" t="n">
        <v>21.9046598056763</v>
      </c>
      <c r="N25" s="270" t="n">
        <v>219.046598056763</v>
      </c>
    </row>
    <row r="26">
      <c r="A26" t="n">
        <v>211</v>
      </c>
      <c r="B26" s="1" t="n">
        <v>42881</v>
      </c>
      <c r="C26" s="9" t="inlineStr">
        <is>
          <t>2017/8058/14</t>
        </is>
      </c>
      <c r="D26" s="1" t="inlineStr">
        <is>
          <t>27,32 % von € 881,95: PREMIUM Laudongasse 58 GmbH &amp; Co KG: Dauerrechnung 2017-D-6</t>
        </is>
      </c>
      <c r="E26" s="1" t="inlineStr">
        <is>
          <t>Ausgaben</t>
        </is>
      </c>
      <c r="F26" s="16" t="inlineStr">
        <is>
          <t>Miet- und Pachtaufwand, Leasing</t>
        </is>
      </c>
      <c r="G26" s="36" t="n">
        <v>801.77</v>
      </c>
      <c r="H26" s="51" t="n">
        <v>0.2732037841984147</v>
      </c>
      <c r="I26" s="270" t="n">
        <v>240.9512578624393</v>
      </c>
      <c r="J26" s="67" t="n">
        <v>10</v>
      </c>
      <c r="K26" s="270" t="n">
        <v>80.17699999999999</v>
      </c>
      <c r="L26" s="67">
        <f>J26&amp;"%"</f>
        <v/>
      </c>
      <c r="M26" s="270" t="n">
        <v>21.9046598056763</v>
      </c>
      <c r="N26" s="270" t="n">
        <v>219.046598056763</v>
      </c>
    </row>
    <row r="27">
      <c r="A27" t="n">
        <v>214</v>
      </c>
      <c r="B27" s="1" t="n">
        <v>42751</v>
      </c>
      <c r="C27" s="9" t="inlineStr">
        <is>
          <t>34007307375/40/2017</t>
        </is>
      </c>
      <c r="D27" s="1" t="inlineStr">
        <is>
          <t>27,32 % von € 171,00: VERBUND AG, Postfach 8400, 1011 Wien, Österreich: Teilzahlungsvorschreibung</t>
        </is>
      </c>
      <c r="E27" s="1" t="inlineStr">
        <is>
          <t>Ausgaben</t>
        </is>
      </c>
      <c r="F27" s="16" t="inlineStr">
        <is>
          <t>sonstige Betriebsausgaben</t>
        </is>
      </c>
      <c r="G27" s="36" t="n">
        <v>142.5</v>
      </c>
      <c r="H27" s="51" t="n">
        <v>0.2732037841984147</v>
      </c>
      <c r="I27" s="270" t="n">
        <v>46.71784709792892</v>
      </c>
      <c r="J27" s="67" t="n">
        <v>20</v>
      </c>
      <c r="K27" s="270" t="n">
        <v>28.5</v>
      </c>
      <c r="L27" s="67">
        <f>J27&amp;"%"</f>
        <v/>
      </c>
      <c r="M27" s="270" t="n">
        <v>7.78630784965482</v>
      </c>
      <c r="N27" s="270" t="n">
        <v>38.9315392482741</v>
      </c>
    </row>
    <row r="28">
      <c r="A28" t="n">
        <v>215</v>
      </c>
      <c r="B28" s="1" t="n">
        <v>42843</v>
      </c>
      <c r="C28" s="9" t="inlineStr">
        <is>
          <t>34009136817/40/2017</t>
        </is>
      </c>
      <c r="D28" s="1" t="inlineStr">
        <is>
          <t>27,32 % von € 171,00: VERBUND AG, Postfach 8400, 1011 Wien, Österreich: Teilzahlungsvorschreibung</t>
        </is>
      </c>
      <c r="E28" s="1" t="inlineStr">
        <is>
          <t>Ausgaben</t>
        </is>
      </c>
      <c r="F28" s="16" t="inlineStr">
        <is>
          <t>sonstige Betriebsausgaben</t>
        </is>
      </c>
      <c r="G28" s="36" t="n">
        <v>142.5</v>
      </c>
      <c r="H28" s="51" t="n">
        <v>0.2732037841984147</v>
      </c>
      <c r="I28" s="270" t="n">
        <v>46.71784709792892</v>
      </c>
      <c r="J28" s="67" t="n">
        <v>20</v>
      </c>
      <c r="K28" s="270" t="n">
        <v>28.5</v>
      </c>
      <c r="L28" s="67">
        <f>J28&amp;"%"</f>
        <v/>
      </c>
      <c r="M28" s="270" t="n">
        <v>7.78630784965482</v>
      </c>
      <c r="N28" s="270" t="n">
        <v>38.9315392482741</v>
      </c>
    </row>
    <row r="29">
      <c r="A29" t="n">
        <v>219</v>
      </c>
      <c r="B29" s="1" t="n">
        <v>42751</v>
      </c>
      <c r="C29" s="9" t="inlineStr">
        <is>
          <t>14001173053/40/2017</t>
        </is>
      </c>
      <c r="D29" s="1" t="inlineStr">
        <is>
          <t>27,32 % von € 96: MONTANA Energie-Handel AT GmbH: Teilzahlungsbetrag Gas</t>
        </is>
      </c>
      <c r="E29" s="1" t="inlineStr">
        <is>
          <t>Ausgaben</t>
        </is>
      </c>
      <c r="F29" s="16" t="inlineStr">
        <is>
          <t>sonstige Betriebsausgaben</t>
        </is>
      </c>
      <c r="G29" s="36" t="n">
        <v>80</v>
      </c>
      <c r="H29" s="51" t="n">
        <v>0.2732037841984147</v>
      </c>
      <c r="I29" s="270" t="n">
        <v>26.22756328304781</v>
      </c>
      <c r="J29" s="67" t="n">
        <v>20</v>
      </c>
      <c r="K29" s="270" t="n">
        <v>16</v>
      </c>
      <c r="L29" s="67">
        <f>J29&amp;"%"</f>
        <v/>
      </c>
      <c r="M29" s="270" t="n">
        <v>4.371260547174636</v>
      </c>
      <c r="N29" s="270" t="n">
        <v>21.85630273587318</v>
      </c>
    </row>
    <row r="30">
      <c r="A30" t="n">
        <v>220</v>
      </c>
      <c r="B30" s="1" t="n">
        <v>42781</v>
      </c>
      <c r="C30" s="9" t="inlineStr">
        <is>
          <t>14001281770/40/2017</t>
        </is>
      </c>
      <c r="D30" s="1" t="inlineStr">
        <is>
          <t>27,32 % von € 96: MONTANA Energie-Handel AT GmbH: Teilzahlungsbetrag Gas</t>
        </is>
      </c>
      <c r="E30" s="1" t="inlineStr">
        <is>
          <t>Ausgaben</t>
        </is>
      </c>
      <c r="F30" s="16" t="inlineStr">
        <is>
          <t>sonstige Betriebsausgaben</t>
        </is>
      </c>
      <c r="G30" s="36" t="n">
        <v>80</v>
      </c>
      <c r="H30" s="51" t="n">
        <v>0.2732037841984147</v>
      </c>
      <c r="I30" s="270" t="n">
        <v>26.22756328304781</v>
      </c>
      <c r="J30" s="67" t="n">
        <v>20</v>
      </c>
      <c r="K30" s="270" t="n">
        <v>16</v>
      </c>
      <c r="L30" s="67">
        <f>J30&amp;"%"</f>
        <v/>
      </c>
      <c r="M30" s="270" t="n">
        <v>4.371260547174636</v>
      </c>
      <c r="N30" s="270" t="n">
        <v>21.85630273587318</v>
      </c>
    </row>
    <row r="31">
      <c r="A31" t="n">
        <v>221</v>
      </c>
      <c r="B31" s="1" t="n">
        <v>42809</v>
      </c>
      <c r="C31" s="9" t="inlineStr">
        <is>
          <t>14001392296/40/2017</t>
        </is>
      </c>
      <c r="D31" s="1" t="inlineStr">
        <is>
          <t>27,32 % von € 96: MONTANA Energie-Handel AT GmbH: Teilzahlungsbetrag Gas</t>
        </is>
      </c>
      <c r="E31" s="1" t="inlineStr">
        <is>
          <t>Ausgaben</t>
        </is>
      </c>
      <c r="F31" s="16" t="inlineStr">
        <is>
          <t>sonstige Betriebsausgaben</t>
        </is>
      </c>
      <c r="G31" s="36" t="n">
        <v>80</v>
      </c>
      <c r="H31" s="51" t="n">
        <v>0.2732037841984147</v>
      </c>
      <c r="I31" s="270" t="n">
        <v>26.22756328304781</v>
      </c>
      <c r="J31" s="67" t="n">
        <v>20</v>
      </c>
      <c r="K31" s="270" t="n">
        <v>16</v>
      </c>
      <c r="L31" s="67">
        <f>J31&amp;"%"</f>
        <v/>
      </c>
      <c r="M31" s="270" t="n">
        <v>4.371260547174636</v>
      </c>
      <c r="N31" s="270" t="n">
        <v>21.85630273587318</v>
      </c>
    </row>
    <row r="32">
      <c r="A32" t="n">
        <v>222</v>
      </c>
      <c r="B32" s="1" t="n">
        <v>42843</v>
      </c>
      <c r="C32" s="9" t="inlineStr">
        <is>
          <t>14001507897/40/2017</t>
        </is>
      </c>
      <c r="D32" s="1" t="inlineStr">
        <is>
          <t>27,32 % von € 96: MONTANA Energie-Handel AT GmbH: Teilzahlungsbetrag Gas</t>
        </is>
      </c>
      <c r="E32" s="1" t="inlineStr">
        <is>
          <t>Ausgaben</t>
        </is>
      </c>
      <c r="F32" s="16" t="inlineStr">
        <is>
          <t>sonstige Betriebsausgaben</t>
        </is>
      </c>
      <c r="G32" s="36" t="n">
        <v>80</v>
      </c>
      <c r="H32" s="51" t="n">
        <v>0.2732037841984147</v>
      </c>
      <c r="I32" s="270" t="n">
        <v>26.22756328304781</v>
      </c>
      <c r="J32" s="67" t="n">
        <v>20</v>
      </c>
      <c r="K32" s="270" t="n">
        <v>16</v>
      </c>
      <c r="L32" s="67">
        <f>J32&amp;"%"</f>
        <v/>
      </c>
      <c r="M32" s="270" t="n">
        <v>4.371260547174636</v>
      </c>
      <c r="N32" s="270" t="n">
        <v>21.85630273587318</v>
      </c>
    </row>
    <row r="33">
      <c r="A33" t="n">
        <v>223</v>
      </c>
      <c r="B33" s="1" t="n">
        <v>42870</v>
      </c>
      <c r="C33" s="9" t="inlineStr">
        <is>
          <t>14001620291/40/2017</t>
        </is>
      </c>
      <c r="D33" s="1" t="inlineStr">
        <is>
          <t>27,32 % von € 96: MONTANA Energie-Handel AT GmbH: Teilzahlungsbetrag Gas</t>
        </is>
      </c>
      <c r="E33" s="1" t="inlineStr">
        <is>
          <t>Ausgaben</t>
        </is>
      </c>
      <c r="F33" s="16" t="inlineStr">
        <is>
          <t>sonstige Betriebsausgaben</t>
        </is>
      </c>
      <c r="G33" s="36" t="n">
        <v>80</v>
      </c>
      <c r="H33" s="51" t="n">
        <v>0.2732037841984147</v>
      </c>
      <c r="I33" s="270" t="n">
        <v>26.22756328304781</v>
      </c>
      <c r="J33" s="67" t="n">
        <v>20</v>
      </c>
      <c r="K33" s="270" t="n">
        <v>16</v>
      </c>
      <c r="L33" s="67">
        <f>J33&amp;"%"</f>
        <v/>
      </c>
      <c r="M33" s="270" t="n">
        <v>4.371260547174636</v>
      </c>
      <c r="N33" s="270" t="n">
        <v>21.85630273587318</v>
      </c>
    </row>
    <row r="34">
      <c r="A34" t="n">
        <v>224</v>
      </c>
      <c r="B34" s="1" t="n">
        <v>42902</v>
      </c>
      <c r="C34" s="9" t="inlineStr">
        <is>
          <t>14001738828/40/2017</t>
        </is>
      </c>
      <c r="D34" s="1" t="inlineStr">
        <is>
          <t>27,32 % von € 96: MONTANA Energie-Handel AT GmbH: Teilzahlungsbetrag Gas</t>
        </is>
      </c>
      <c r="E34" s="1" t="inlineStr">
        <is>
          <t>Ausgaben</t>
        </is>
      </c>
      <c r="F34" s="16" t="inlineStr">
        <is>
          <t>sonstige Betriebsausgaben</t>
        </is>
      </c>
      <c r="G34" s="36" t="n">
        <v>80</v>
      </c>
      <c r="H34" s="51" t="n">
        <v>0.2732037841984147</v>
      </c>
      <c r="I34" s="270" t="n">
        <v>26.22756328304781</v>
      </c>
      <c r="J34" s="67" t="n">
        <v>20</v>
      </c>
      <c r="K34" s="270" t="n">
        <v>16</v>
      </c>
      <c r="L34" s="67">
        <f>J34&amp;"%"</f>
        <v/>
      </c>
      <c r="M34" s="270" t="n">
        <v>4.371260547174636</v>
      </c>
      <c r="N34" s="270" t="n">
        <v>21.85630273587318</v>
      </c>
    </row>
    <row r="35">
      <c r="A35" t="n">
        <v>225</v>
      </c>
      <c r="B35" s="1" t="n">
        <v>42919</v>
      </c>
      <c r="C35" s="9" t="inlineStr">
        <is>
          <t>6136633132</t>
        </is>
      </c>
      <c r="D35" s="1" t="inlineStr">
        <is>
          <t xml:space="preserve">Hutchison Drei Austria GmbH, Brünner Straße 52, 1210 Wien, Österreich: </t>
        </is>
      </c>
      <c r="E35" s="1" t="inlineStr">
        <is>
          <t>Ausgaben</t>
        </is>
      </c>
      <c r="F35" s="16" t="inlineStr">
        <is>
          <t>Telefon/Internet</t>
        </is>
      </c>
      <c r="G35" s="36" t="n">
        <v>15</v>
      </c>
      <c r="H35" s="51" t="n">
        <v>1</v>
      </c>
      <c r="I35" s="270" t="n">
        <v>18</v>
      </c>
      <c r="J35" s="67" t="n">
        <v>20</v>
      </c>
      <c r="K35" s="270" t="n">
        <v>3</v>
      </c>
      <c r="L35" s="67">
        <f>J35&amp;"%"</f>
        <v/>
      </c>
      <c r="M35" s="270" t="n">
        <v>3</v>
      </c>
      <c r="N35" s="270" t="n">
        <v>15</v>
      </c>
    </row>
    <row r="36">
      <c r="A36" t="n">
        <v>226</v>
      </c>
      <c r="B36" s="1" t="n">
        <v>42912</v>
      </c>
      <c r="C36" s="9" t="inlineStr">
        <is>
          <t>2017/8058/14</t>
        </is>
      </c>
      <c r="D36" s="1" t="inlineStr">
        <is>
          <t>27,32 % von € 881,95: PREMIUM Laudongasse 58 GmbH &amp; Co KG: Dauerrechnung 2017-D-7</t>
        </is>
      </c>
      <c r="E36" s="1" t="inlineStr">
        <is>
          <t>Ausgaben</t>
        </is>
      </c>
      <c r="F36" s="16" t="inlineStr">
        <is>
          <t>Miet- und Pachtaufwand, Leasing</t>
        </is>
      </c>
      <c r="G36" s="36" t="n">
        <v>801.77</v>
      </c>
      <c r="H36" s="51" t="n">
        <v>0.2732037841984147</v>
      </c>
      <c r="I36" s="270" t="n">
        <v>240.9512578624393</v>
      </c>
      <c r="J36" s="67" t="n">
        <v>10</v>
      </c>
      <c r="K36" s="270" t="n">
        <v>80.17699999999999</v>
      </c>
      <c r="L36" s="67">
        <f>J36&amp;"%"</f>
        <v/>
      </c>
      <c r="M36" s="270" t="n">
        <v>21.9046598056763</v>
      </c>
      <c r="N36" s="270" t="n">
        <v>219.046598056763</v>
      </c>
    </row>
    <row r="37">
      <c r="A37" t="n">
        <v>227</v>
      </c>
      <c r="B37" s="1" t="n">
        <v>42933</v>
      </c>
      <c r="C37" s="39" t="inlineStr">
        <is>
          <t>34011068828</t>
        </is>
      </c>
      <c r="D37" s="1" t="inlineStr">
        <is>
          <t>27,32 % von € 171,00: VERBUND AG, Postfach 8400, 1011 Wien, Österreich: Teilzahlungsvorschreibung</t>
        </is>
      </c>
      <c r="E37" s="1" t="inlineStr">
        <is>
          <t>Ausgaben</t>
        </is>
      </c>
      <c r="F37" s="16" t="inlineStr">
        <is>
          <t>sonstige Betriebsausgaben</t>
        </is>
      </c>
      <c r="G37" s="36" t="n">
        <v>142.5</v>
      </c>
      <c r="H37" s="51" t="n">
        <v>0.2732037841984147</v>
      </c>
      <c r="I37" s="270" t="n">
        <v>46.71784709792892</v>
      </c>
      <c r="J37" s="67" t="n">
        <v>20</v>
      </c>
      <c r="K37" s="270" t="n">
        <v>28.5</v>
      </c>
      <c r="L37" s="67">
        <f>J37&amp;"%"</f>
        <v/>
      </c>
      <c r="M37" s="270" t="n">
        <v>7.78630784965482</v>
      </c>
      <c r="N37" s="270" t="n">
        <v>38.9315392482741</v>
      </c>
    </row>
    <row r="38">
      <c r="A38" t="n">
        <v>228</v>
      </c>
      <c r="B38" s="1" t="n">
        <v>42933</v>
      </c>
      <c r="C38" s="39" t="inlineStr">
        <is>
          <t>14001855137</t>
        </is>
      </c>
      <c r="D38" s="1" t="inlineStr">
        <is>
          <t>27,32 % von € 96: MONTANA Energie-Handel AT GmbH: Teilzahlungsbetrag Gas</t>
        </is>
      </c>
      <c r="E38" s="1" t="inlineStr">
        <is>
          <t>Ausgaben</t>
        </is>
      </c>
      <c r="F38" s="16" t="inlineStr">
        <is>
          <t>sonstige Betriebsausgaben</t>
        </is>
      </c>
      <c r="G38" s="36" t="n">
        <v>80</v>
      </c>
      <c r="H38" s="51" t="n">
        <v>0.2732037841984147</v>
      </c>
      <c r="I38" s="270" t="n">
        <v>26.22756328304781</v>
      </c>
      <c r="J38" s="67" t="n">
        <v>20</v>
      </c>
      <c r="K38" s="270" t="n">
        <v>16</v>
      </c>
      <c r="L38" s="67">
        <f>J38&amp;"%"</f>
        <v/>
      </c>
      <c r="M38" s="270" t="n">
        <v>4.371260547174636</v>
      </c>
      <c r="N38" s="270" t="n">
        <v>21.85630273587318</v>
      </c>
    </row>
    <row r="39">
      <c r="A39" t="n">
        <v>229</v>
      </c>
      <c r="B39" s="1" t="n">
        <v>42937</v>
      </c>
      <c r="C39" s="9" t="inlineStr">
        <is>
          <t>2017/8058/14</t>
        </is>
      </c>
      <c r="D39" s="1" t="inlineStr">
        <is>
          <t>27,32 % von -€ 366,91: PREMIUM Laudongasse 58 GmbH &amp; Co KG: Rückerstattung BK 2016</t>
        </is>
      </c>
      <c r="E39" s="1" t="inlineStr">
        <is>
          <t>Ausgaben</t>
        </is>
      </c>
      <c r="F39" s="16" t="inlineStr">
        <is>
          <t>Übrige Erträge</t>
        </is>
      </c>
      <c r="G39" s="36" t="n">
        <v>-333.55</v>
      </c>
      <c r="H39" s="51" t="n">
        <v>0.2732037841984147</v>
      </c>
      <c r="I39" s="270" t="n">
        <v>-100.2398344413194</v>
      </c>
      <c r="J39" s="67" t="n">
        <v>10</v>
      </c>
      <c r="K39" s="270" t="n">
        <v>-33.355</v>
      </c>
      <c r="L39" s="67">
        <f>J39&amp;"%"</f>
        <v/>
      </c>
      <c r="M39" s="270" t="n">
        <v>-9.112712221938123</v>
      </c>
      <c r="N39" s="270" t="n">
        <v>-91.12712221938123</v>
      </c>
    </row>
    <row r="40">
      <c r="A40" t="n">
        <v>230</v>
      </c>
      <c r="B40" s="1" t="n">
        <v>42941</v>
      </c>
      <c r="C40" s="9" t="inlineStr">
        <is>
          <t>2017/8058/14</t>
        </is>
      </c>
      <c r="D40" s="1" t="inlineStr">
        <is>
          <t>27,32 % von € 881,95: PREMIUM Laudongasse 58 GmbH &amp; Co KG: Dauerrechnung 2017-D-8</t>
        </is>
      </c>
      <c r="E40" s="1" t="inlineStr">
        <is>
          <t>Ausgaben</t>
        </is>
      </c>
      <c r="F40" s="16" t="inlineStr">
        <is>
          <t>Miet- und Pachtaufwand, Leasing</t>
        </is>
      </c>
      <c r="G40" s="36" t="n">
        <v>801.77</v>
      </c>
      <c r="H40" s="51" t="n">
        <v>0.2732037841984147</v>
      </c>
      <c r="I40" s="270" t="n">
        <v>240.9512578624393</v>
      </c>
      <c r="J40" s="67" t="n">
        <v>10</v>
      </c>
      <c r="K40" s="270" t="n">
        <v>80.17699999999999</v>
      </c>
      <c r="L40" s="67">
        <f>J40&amp;"%"</f>
        <v/>
      </c>
      <c r="M40" s="270" t="n">
        <v>21.9046598056763</v>
      </c>
      <c r="N40" s="270" t="n">
        <v>219.046598056763</v>
      </c>
    </row>
    <row r="41">
      <c r="A41" t="n">
        <v>231</v>
      </c>
      <c r="B41" s="1" t="n">
        <v>42949</v>
      </c>
      <c r="C41" s="9" t="inlineStr">
        <is>
          <t>6138487568</t>
        </is>
      </c>
      <c r="D41" s="1" t="inlineStr">
        <is>
          <t xml:space="preserve">Hutchison Drei Austria GmbH, Brünner Straße 52, 1210 Wien, Österreich: </t>
        </is>
      </c>
      <c r="E41" s="1" t="inlineStr">
        <is>
          <t>Ausgaben</t>
        </is>
      </c>
      <c r="F41" s="16" t="inlineStr">
        <is>
          <t>Telefon/Internet</t>
        </is>
      </c>
      <c r="G41" s="36" t="n">
        <v>15</v>
      </c>
      <c r="H41" s="51" t="n">
        <v>1</v>
      </c>
      <c r="I41" s="270" t="n">
        <v>18</v>
      </c>
      <c r="J41" s="67" t="n">
        <v>20</v>
      </c>
      <c r="K41" s="270" t="n">
        <v>3</v>
      </c>
      <c r="L41" s="67">
        <f>J41&amp;"%"</f>
        <v/>
      </c>
      <c r="M41" s="270" t="n">
        <v>3</v>
      </c>
      <c r="N41" s="270" t="n">
        <v>15</v>
      </c>
    </row>
    <row r="42">
      <c r="A42" t="n">
        <v>232</v>
      </c>
      <c r="B42" s="1" t="n">
        <v>42963</v>
      </c>
      <c r="C42" s="39" t="inlineStr">
        <is>
          <t>14001975411</t>
        </is>
      </c>
      <c r="D42" s="1" t="inlineStr">
        <is>
          <t>MONTANA Energie-Handel AT GmbH: Teilzahlungsbetrag Gas</t>
        </is>
      </c>
      <c r="E42" s="1" t="inlineStr">
        <is>
          <t>Ausgaben</t>
        </is>
      </c>
      <c r="F42" s="16" t="inlineStr">
        <is>
          <t>sonstige Betriebsausgaben</t>
        </is>
      </c>
      <c r="G42" s="36" t="n">
        <v>80</v>
      </c>
      <c r="H42" s="51" t="n">
        <v>0.2732037841984147</v>
      </c>
      <c r="I42" s="270" t="n">
        <v>26.22756328304781</v>
      </c>
      <c r="J42" s="67" t="n">
        <v>20</v>
      </c>
      <c r="K42" s="270" t="n">
        <v>16</v>
      </c>
      <c r="L42" s="67">
        <f>J42&amp;"%"</f>
        <v/>
      </c>
      <c r="M42" s="270" t="n">
        <v>4.371260547174636</v>
      </c>
      <c r="N42" s="270" t="n">
        <v>21.85630273587318</v>
      </c>
    </row>
    <row r="43">
      <c r="A43" t="n">
        <v>233</v>
      </c>
      <c r="B43" s="1" t="n">
        <v>42972</v>
      </c>
      <c r="C43" s="9" t="inlineStr">
        <is>
          <t>2017/8058/14</t>
        </is>
      </c>
      <c r="D43" s="1" t="inlineStr">
        <is>
          <t>27,32 % von € 881,95: PREMIUM Laudongasse 58 GmbH &amp; Co KG: Dauerrechnung 2017-D-9</t>
        </is>
      </c>
      <c r="E43" s="1" t="inlineStr">
        <is>
          <t>Ausgaben</t>
        </is>
      </c>
      <c r="F43" s="16" t="inlineStr">
        <is>
          <t>Miet- und Pachtaufwand, Leasing</t>
        </is>
      </c>
      <c r="G43" s="36" t="n">
        <v>801.77</v>
      </c>
      <c r="H43" s="51" t="n">
        <v>0.2732037841984147</v>
      </c>
      <c r="I43" s="270" t="n">
        <v>240.9512578624393</v>
      </c>
      <c r="J43" s="67" t="n">
        <v>10</v>
      </c>
      <c r="K43" s="270" t="n">
        <v>80.17699999999999</v>
      </c>
      <c r="L43" s="67">
        <f>J43&amp;"%"</f>
        <v/>
      </c>
      <c r="M43" s="270" t="n">
        <v>21.9046598056763</v>
      </c>
      <c r="N43" s="270" t="n">
        <v>219.046598056763</v>
      </c>
    </row>
    <row r="44">
      <c r="A44" t="n">
        <v>234</v>
      </c>
      <c r="B44" s="1" t="n">
        <v>42978</v>
      </c>
      <c r="C44" s="9" t="inlineStr">
        <is>
          <t>6140343821</t>
        </is>
      </c>
      <c r="D44" s="1" t="inlineStr">
        <is>
          <t xml:space="preserve">Hutchison Drei Austria GmbH, Brünner Straße 52, 1210 Wien, Österreich: </t>
        </is>
      </c>
      <c r="E44" s="1" t="inlineStr">
        <is>
          <t>Ausgaben</t>
        </is>
      </c>
      <c r="F44" s="16" t="inlineStr">
        <is>
          <t>Telefon/Internet</t>
        </is>
      </c>
      <c r="G44" s="36" t="n">
        <v>15</v>
      </c>
      <c r="H44" s="51" t="n">
        <v>1</v>
      </c>
      <c r="I44" s="270" t="n">
        <v>18</v>
      </c>
      <c r="J44" s="67" t="n">
        <v>20</v>
      </c>
      <c r="K44" s="270" t="n">
        <v>3</v>
      </c>
      <c r="L44" s="67">
        <f>J44&amp;"%"</f>
        <v/>
      </c>
      <c r="M44" s="270" t="n">
        <v>3</v>
      </c>
      <c r="N44" s="270" t="n">
        <v>15</v>
      </c>
    </row>
    <row r="45">
      <c r="A45" t="n">
        <v>235</v>
      </c>
      <c r="B45" s="1" t="n">
        <v>42993</v>
      </c>
      <c r="C45" s="9" t="inlineStr">
        <is>
          <t>14002088308/40/2017</t>
        </is>
      </c>
      <c r="D45" s="1" t="inlineStr">
        <is>
          <t>27,32 % von € 96: MONTANA Energie-Handel AT GmbH: Teilzahlungsbetrag Gas</t>
        </is>
      </c>
      <c r="E45" s="1" t="inlineStr">
        <is>
          <t>Ausgaben</t>
        </is>
      </c>
      <c r="F45" s="16" t="inlineStr">
        <is>
          <t>sonstige Betriebsausgaben</t>
        </is>
      </c>
      <c r="G45" s="36" t="n">
        <v>80</v>
      </c>
      <c r="H45" s="51" t="n">
        <v>0.2732037841984147</v>
      </c>
      <c r="I45" s="270" t="n">
        <v>26.22756328304781</v>
      </c>
      <c r="J45" s="67" t="n">
        <v>20</v>
      </c>
      <c r="K45" s="270" t="n">
        <v>16</v>
      </c>
      <c r="L45" s="67">
        <f>J45&amp;"%"</f>
        <v/>
      </c>
      <c r="M45" s="270" t="n">
        <v>4.371260547174636</v>
      </c>
      <c r="N45" s="270" t="n">
        <v>21.85630273587318</v>
      </c>
    </row>
    <row r="46">
      <c r="A46" t="n">
        <v>236</v>
      </c>
      <c r="B46" s="1" t="n">
        <v>42993</v>
      </c>
      <c r="C46" s="9" t="inlineStr">
        <is>
          <t>34011068828/40/2017</t>
        </is>
      </c>
      <c r="D46" s="1" t="inlineStr">
        <is>
          <t>27,32 % von € 26,18: VERBUND AG, Postfach 8400, 1011 Wien, Österreich: Teilzahlungsvorschreibung</t>
        </is>
      </c>
      <c r="E46" s="1" t="inlineStr">
        <is>
          <t>Ausgaben</t>
        </is>
      </c>
      <c r="F46" s="16" t="inlineStr">
        <is>
          <t>sonstige Betriebsausgaben</t>
        </is>
      </c>
      <c r="G46" s="36" t="n">
        <v>21.82</v>
      </c>
      <c r="H46" s="51" t="n">
        <v>0.2732037841984147</v>
      </c>
      <c r="I46" s="270" t="n">
        <v>7.153567885451292</v>
      </c>
      <c r="J46" s="67" t="n">
        <v>20</v>
      </c>
      <c r="K46" s="270" t="n">
        <v>4.364</v>
      </c>
      <c r="L46" s="67">
        <f>J46&amp;"%"</f>
        <v/>
      </c>
      <c r="M46" s="270" t="n">
        <v>1.192261314241882</v>
      </c>
      <c r="N46" s="270" t="n">
        <v>5.96130657120941</v>
      </c>
    </row>
    <row r="47">
      <c r="A47" t="n">
        <v>237</v>
      </c>
      <c r="B47" s="1" t="n">
        <v>43031</v>
      </c>
      <c r="C47" s="9" t="inlineStr">
        <is>
          <t>170025346</t>
        </is>
      </c>
      <c r="D47" s="1" t="inlineStr">
        <is>
          <t>nic.at GmbH, Jakob-Haringer-Strasse 8, 5020 Salzburg, Austria: Domain: energiebalance-lichtherz.at</t>
        </is>
      </c>
      <c r="E47" s="1" t="inlineStr">
        <is>
          <t>Ausgaben</t>
        </is>
      </c>
      <c r="F47" s="16" t="inlineStr">
        <is>
          <t>sonstige Betriebsausgaben</t>
        </is>
      </c>
      <c r="G47" s="36" t="n">
        <v>29.1</v>
      </c>
      <c r="H47" s="51" t="n">
        <v>1</v>
      </c>
      <c r="I47" s="270" t="n">
        <v>34.92</v>
      </c>
      <c r="J47" s="67" t="n">
        <v>20</v>
      </c>
      <c r="K47" s="270" t="n">
        <v>5.82</v>
      </c>
      <c r="L47" s="67">
        <f>J47&amp;"%"</f>
        <v/>
      </c>
      <c r="M47" s="270" t="n">
        <v>5.82</v>
      </c>
      <c r="N47" s="270" t="n">
        <v>29.1</v>
      </c>
    </row>
    <row r="48">
      <c r="A48" t="n">
        <v>238</v>
      </c>
      <c r="B48" s="1" t="n">
        <v>43003</v>
      </c>
      <c r="C48" s="9" t="inlineStr">
        <is>
          <t>2017/8058/14</t>
        </is>
      </c>
      <c r="D48" s="1" t="inlineStr">
        <is>
          <t>27,32 % von € 881,95: PREMIUM Laudongasse 58 GmbH &amp; Co KG: Dauerrechnung 2017-D-9</t>
        </is>
      </c>
      <c r="E48" s="1" t="inlineStr">
        <is>
          <t>Ausgaben</t>
        </is>
      </c>
      <c r="F48" s="16" t="inlineStr">
        <is>
          <t>Miet- und Pachtaufwand, Leasing</t>
        </is>
      </c>
      <c r="G48" s="36" t="n">
        <v>801.77</v>
      </c>
      <c r="H48" s="51" t="n">
        <v>0.2732037841984147</v>
      </c>
      <c r="I48" s="270" t="n">
        <v>240.9512578624393</v>
      </c>
      <c r="J48" s="67" t="n">
        <v>10</v>
      </c>
      <c r="K48" s="270" t="n">
        <v>80.17699999999999</v>
      </c>
      <c r="L48" s="67">
        <f>J48&amp;"%"</f>
        <v/>
      </c>
      <c r="M48" s="270" t="n">
        <v>21.9046598056763</v>
      </c>
      <c r="N48" s="270" t="n">
        <v>219.046598056763</v>
      </c>
    </row>
    <row r="49">
      <c r="A49" t="n">
        <v>239</v>
      </c>
      <c r="B49" s="1" t="n">
        <v>43013</v>
      </c>
      <c r="C49" s="9" t="inlineStr">
        <is>
          <t>6142197321</t>
        </is>
      </c>
      <c r="D49" s="1" t="inlineStr">
        <is>
          <t xml:space="preserve">Hutchison Drei Austria GmbH, Brünner Straße 52, 1210 Wien, Österreich: </t>
        </is>
      </c>
      <c r="E49" s="1" t="inlineStr">
        <is>
          <t>Ausgaben</t>
        </is>
      </c>
      <c r="F49" s="16" t="inlineStr">
        <is>
          <t>Telefon/Internet</t>
        </is>
      </c>
      <c r="G49" s="36" t="n">
        <v>15</v>
      </c>
      <c r="H49" s="51" t="n">
        <v>1</v>
      </c>
      <c r="I49" s="270" t="n">
        <v>18</v>
      </c>
      <c r="J49" s="67" t="n">
        <v>20</v>
      </c>
      <c r="K49" s="270" t="n">
        <v>3</v>
      </c>
      <c r="L49" s="67">
        <f>J49&amp;"%"</f>
        <v/>
      </c>
      <c r="M49" s="270" t="n">
        <v>3</v>
      </c>
      <c r="N49" s="270" t="n">
        <v>15</v>
      </c>
    </row>
    <row r="50">
      <c r="A50" t="n">
        <v>240</v>
      </c>
      <c r="B50" s="1" t="n">
        <v>43024</v>
      </c>
      <c r="C50" s="9" t="inlineStr">
        <is>
          <t>14002205999/40/2017</t>
        </is>
      </c>
      <c r="D50" s="1" t="inlineStr">
        <is>
          <t>27,32 % von € 96: MONTANA Energie-Handel AT GmbH: Teilzahlungsbetrag Gas</t>
        </is>
      </c>
      <c r="E50" s="1" t="inlineStr">
        <is>
          <t>Ausgaben</t>
        </is>
      </c>
      <c r="F50" s="16" t="inlineStr">
        <is>
          <t>Miet- und Pachtaufwand, Leasing</t>
        </is>
      </c>
      <c r="G50" s="36" t="n">
        <v>80</v>
      </c>
      <c r="H50" s="51" t="n">
        <v>0.2732037841984147</v>
      </c>
      <c r="I50" s="270" t="n">
        <v>26.22756328304781</v>
      </c>
      <c r="J50" s="67" t="n">
        <v>20</v>
      </c>
      <c r="K50" s="270" t="n">
        <v>16</v>
      </c>
      <c r="L50" s="67">
        <f>J50&amp;"%"</f>
        <v/>
      </c>
      <c r="M50" s="270" t="n">
        <v>4.371260547174636</v>
      </c>
      <c r="N50" s="270" t="n">
        <v>21.85630273587318</v>
      </c>
    </row>
    <row r="51">
      <c r="A51" t="n">
        <v>241</v>
      </c>
      <c r="B51" s="1" t="n">
        <v>43024</v>
      </c>
      <c r="C51" s="9" t="inlineStr">
        <is>
          <t>34013061966/40/2017</t>
        </is>
      </c>
      <c r="D51" s="1" t="inlineStr">
        <is>
          <t>27,32 % von € 182,00: VERBUND AG, Postfach 8400, 1011 Wien, Österreich: Teilzahlungsvorschreibung</t>
        </is>
      </c>
      <c r="E51" s="1" t="inlineStr">
        <is>
          <t>Ausgaben</t>
        </is>
      </c>
      <c r="F51" s="16" t="inlineStr">
        <is>
          <t>sonstige Betriebsausgaben</t>
        </is>
      </c>
      <c r="G51" s="36" t="n">
        <v>151.67</v>
      </c>
      <c r="H51" s="51" t="n">
        <v>0.2732037841984147</v>
      </c>
      <c r="I51" s="270" t="n">
        <v>49.72418153924828</v>
      </c>
      <c r="J51" s="67" t="n">
        <v>20</v>
      </c>
      <c r="K51" s="270" t="n">
        <v>30.334</v>
      </c>
      <c r="L51" s="67">
        <f>J51&amp;"%"</f>
        <v/>
      </c>
      <c r="M51" s="270" t="n">
        <v>8.287363589874712</v>
      </c>
      <c r="N51" s="270" t="n">
        <v>41.43681794937356</v>
      </c>
    </row>
    <row r="52">
      <c r="A52" t="n">
        <v>242</v>
      </c>
      <c r="B52" s="1" t="n">
        <v>43033</v>
      </c>
      <c r="C52" s="9" t="inlineStr">
        <is>
          <t>2017/8058/14</t>
        </is>
      </c>
      <c r="D52" s="1" t="inlineStr">
        <is>
          <t>27,32 % von € 881,95: PREMIUM Laudongasse 58 GmbH &amp; Co KG: Dauerrechnung 2017-D-9</t>
        </is>
      </c>
      <c r="E52" s="1" t="inlineStr">
        <is>
          <t>Ausgaben</t>
        </is>
      </c>
      <c r="F52" s="16" t="inlineStr">
        <is>
          <t>sonstige Betriebsausgaben</t>
        </is>
      </c>
      <c r="G52" s="36" t="n">
        <v>801.77</v>
      </c>
      <c r="H52" s="51" t="n">
        <v>0.2732037841984147</v>
      </c>
      <c r="I52" s="270" t="n">
        <v>240.9512578624393</v>
      </c>
      <c r="J52" s="67" t="n">
        <v>10</v>
      </c>
      <c r="K52" s="270" t="n">
        <v>80.17699999999999</v>
      </c>
      <c r="L52" s="67">
        <f>J52&amp;"%"</f>
        <v/>
      </c>
      <c r="M52" s="270" t="n">
        <v>21.9046598056763</v>
      </c>
      <c r="N52" s="270" t="n">
        <v>219.046598056763</v>
      </c>
    </row>
    <row r="53">
      <c r="A53" t="n">
        <v>243</v>
      </c>
      <c r="B53" s="1" t="n">
        <v>43026</v>
      </c>
      <c r="C53" s="9" t="inlineStr">
        <is>
          <t>RE0518946</t>
        </is>
      </c>
      <c r="D53" s="1" t="inlineStr">
        <is>
          <t>easyname GmbH, Fernkorngasse 10/3/501, 1110 Wien: via VISA MJ: Domain: stokol.at</t>
        </is>
      </c>
      <c r="E53" s="1" t="inlineStr">
        <is>
          <t>Ausgaben</t>
        </is>
      </c>
      <c r="F53" s="16" t="inlineStr">
        <is>
          <t>sonstige Betriebsausgaben</t>
        </is>
      </c>
      <c r="G53" s="36" t="n">
        <v>12.42</v>
      </c>
      <c r="H53" s="51" t="n">
        <v>1</v>
      </c>
      <c r="I53" s="270" t="n">
        <v>14.904</v>
      </c>
      <c r="J53" s="67" t="n">
        <v>20</v>
      </c>
      <c r="K53" s="270" t="n">
        <v>2.484</v>
      </c>
      <c r="L53" s="67">
        <f>J53&amp;"%"</f>
        <v/>
      </c>
      <c r="M53" s="270" t="n">
        <v>2.484</v>
      </c>
      <c r="N53" s="270" t="n">
        <v>12.42</v>
      </c>
    </row>
    <row r="54">
      <c r="A54" t="n">
        <v>244</v>
      </c>
      <c r="B54" s="1" t="n">
        <v>43045</v>
      </c>
      <c r="C54" s="6" t="n">
        <v>6144051313</v>
      </c>
      <c r="D54" s="1" t="inlineStr">
        <is>
          <t xml:space="preserve">Hutchison Drei Austria GmbH, Brünner Straße 52, 1210 Wien, Österreich: </t>
        </is>
      </c>
      <c r="E54" s="1" t="inlineStr">
        <is>
          <t>Ausgaben</t>
        </is>
      </c>
      <c r="F54" s="16" t="inlineStr">
        <is>
          <t>Telefon/Internet</t>
        </is>
      </c>
      <c r="G54" s="36" t="n">
        <v>15</v>
      </c>
      <c r="H54" s="51" t="n">
        <v>1</v>
      </c>
      <c r="I54" s="270" t="n">
        <v>18</v>
      </c>
      <c r="J54" s="67" t="n">
        <v>20</v>
      </c>
      <c r="K54" s="270" t="n">
        <v>3</v>
      </c>
      <c r="L54" s="67">
        <f>J54&amp;"%"</f>
        <v/>
      </c>
      <c r="M54" s="270" t="n">
        <v>3</v>
      </c>
      <c r="N54" s="270" t="n">
        <v>15</v>
      </c>
    </row>
    <row r="55">
      <c r="A55" t="n">
        <v>245</v>
      </c>
      <c r="B55" s="1" t="n">
        <v>43054</v>
      </c>
      <c r="C55" s="9" t="inlineStr">
        <is>
          <t>2017-101</t>
        </is>
      </c>
      <c r="D55" s="1" t="inlineStr">
        <is>
          <t>ACHTUNG: Spezialfall; Mag. Barbara Hube, Huber Unternehmensberatung, 1210, Mühlschüttelgasse 59/2/9: UB gefördert Art.Nr. 23</t>
        </is>
      </c>
      <c r="E55" s="1" t="inlineStr">
        <is>
          <t>Ausgaben</t>
        </is>
      </c>
      <c r="F55" s="16" t="inlineStr">
        <is>
          <t>sonstige Betriebsausgaben</t>
        </is>
      </c>
      <c r="G55" s="36" t="n">
        <v>780</v>
      </c>
      <c r="H55" s="51" t="n">
        <v>1</v>
      </c>
      <c r="I55" s="270" t="n">
        <v>351</v>
      </c>
      <c r="J55" s="67" t="n">
        <v>20</v>
      </c>
      <c r="K55" s="270" t="n">
        <v>156</v>
      </c>
      <c r="L55" s="67">
        <f>J55&amp;"%"</f>
        <v/>
      </c>
      <c r="M55" s="270" t="n">
        <v>156</v>
      </c>
      <c r="N55" s="270" t="n">
        <v>195</v>
      </c>
    </row>
    <row r="56">
      <c r="A56" t="n">
        <v>245</v>
      </c>
      <c r="B56" s="1" t="n">
        <v>43054</v>
      </c>
      <c r="C56" s="9" t="inlineStr">
        <is>
          <t>2017-101</t>
        </is>
      </c>
      <c r="D56" s="1" t="inlineStr">
        <is>
          <t>ACHTUNG: Spezialfall; Mag. Barbara Hube, Huber Unternehmensberatung, 1210, Mühlschüttelgasse 59/2/9: UB gefördert Art.Nr. 23 (man erhält das Geld nicht ausbezahlt, sondern man bezahlt den nicht geförderten Teil des Honorars + die USt des Gesamtbetrags)</t>
        </is>
      </c>
      <c r="E56" s="1" t="inlineStr">
        <is>
          <t>Ausgaben</t>
        </is>
      </c>
      <c r="F56" s="16" t="inlineStr">
        <is>
          <t>sonstige Betriebsausgaben</t>
        </is>
      </c>
      <c r="G56" s="36" t="n">
        <v>-585</v>
      </c>
      <c r="H56" s="51" t="n">
        <v>1</v>
      </c>
      <c r="I56" s="270" t="n">
        <v>-585</v>
      </c>
      <c r="J56" s="67" t="n">
        <v>0</v>
      </c>
      <c r="K56" s="270" t="n">
        <v>0</v>
      </c>
      <c r="L56" s="67">
        <f>J56&amp;"%"</f>
        <v/>
      </c>
      <c r="M56" s="270" t="n">
        <v>0</v>
      </c>
      <c r="N56" s="270" t="n">
        <v>-585</v>
      </c>
    </row>
    <row r="57">
      <c r="A57" t="n">
        <v>246</v>
      </c>
      <c r="B57" s="1" t="n">
        <v>43054</v>
      </c>
      <c r="C57" s="9" t="inlineStr">
        <is>
          <t>14002325371/40/2017</t>
        </is>
      </c>
      <c r="D57" s="1" t="inlineStr">
        <is>
          <t>27,32 % von € 138,12: MONTANA Energie-Handel AT GmbH: Teilzahlungsbetrag Gas</t>
        </is>
      </c>
      <c r="E57" s="1" t="inlineStr">
        <is>
          <t>Ausgaben</t>
        </is>
      </c>
      <c r="F57" s="16" t="inlineStr">
        <is>
          <t>Miet- und Pachtaufwand, Leasing</t>
        </is>
      </c>
      <c r="G57" s="36" t="n">
        <v>115.1</v>
      </c>
      <c r="H57" s="51" t="n">
        <v>0.2732037841984147</v>
      </c>
      <c r="I57" s="270" t="n">
        <v>37.73490667348504</v>
      </c>
      <c r="J57" s="67" t="n">
        <v>20</v>
      </c>
      <c r="K57" s="270" t="n">
        <v>23.02</v>
      </c>
      <c r="L57" s="67">
        <f>J57&amp;"%"</f>
        <v/>
      </c>
      <c r="M57" s="270" t="n">
        <v>6.289151112247507</v>
      </c>
      <c r="N57" s="270" t="n">
        <v>31.44575556123753</v>
      </c>
    </row>
    <row r="58">
      <c r="A58" t="n">
        <v>247</v>
      </c>
      <c r="B58" s="1" t="n">
        <v>43055</v>
      </c>
      <c r="C58" s="9" t="inlineStr">
        <is>
          <t>650398</t>
        </is>
      </c>
      <c r="D58" s="1" t="inlineStr">
        <is>
          <t>(WEITERVERKAUF) Lemon Technologies GmbH: Dock, 8GB RAM, ThinkServer TS-150</t>
        </is>
      </c>
      <c r="E58" s="1" t="inlineStr">
        <is>
          <t>Ausgaben</t>
        </is>
      </c>
      <c r="F58" s="16" t="inlineStr">
        <is>
          <t>Waren, Rohstoffe, Hilfsstoffe</t>
        </is>
      </c>
      <c r="G58" s="36" t="n">
        <v>828.4400000000001</v>
      </c>
      <c r="H58" s="51" t="n">
        <v>1</v>
      </c>
      <c r="I58" s="270" t="n">
        <v>994.128</v>
      </c>
      <c r="J58" s="67" t="n">
        <v>20</v>
      </c>
      <c r="K58" s="270" t="n">
        <v>165.688</v>
      </c>
      <c r="L58" s="67">
        <f>J58&amp;"%"</f>
        <v/>
      </c>
      <c r="M58" s="270" t="n">
        <v>165.688</v>
      </c>
      <c r="N58" s="270" t="n">
        <v>828.4400000000001</v>
      </c>
    </row>
    <row r="59">
      <c r="A59" t="n">
        <v>248</v>
      </c>
      <c r="B59" s="1" t="n">
        <v>43056</v>
      </c>
      <c r="C59" s="9" t="inlineStr">
        <is>
          <t>AEU-INV-AT-2017-16243160</t>
        </is>
      </c>
      <c r="D59" s="1" t="inlineStr">
        <is>
          <t>Amazon EU Sàrl, 5 Rue Plaetis, L-2338, Luxemburg: LG 27BK550Y-B</t>
        </is>
      </c>
      <c r="E59" s="1" t="inlineStr">
        <is>
          <t>Ausgaben</t>
        </is>
      </c>
      <c r="F59" s="16" t="inlineStr">
        <is>
          <t>Waren, Rohstoffe, Hilfsstoffe</t>
        </is>
      </c>
      <c r="G59" s="36" t="n">
        <v>208.25</v>
      </c>
      <c r="H59" s="51" t="n">
        <v>1</v>
      </c>
      <c r="I59" s="270" t="n">
        <v>249.9</v>
      </c>
      <c r="J59" s="67" t="n">
        <v>20</v>
      </c>
      <c r="K59" s="270" t="n">
        <v>41.65</v>
      </c>
      <c r="L59" s="67">
        <f>J59&amp;"%"</f>
        <v/>
      </c>
      <c r="M59" s="270" t="n">
        <v>41.65</v>
      </c>
      <c r="N59" s="270" t="n">
        <v>208.25</v>
      </c>
    </row>
    <row r="60">
      <c r="A60" t="n">
        <v>249</v>
      </c>
      <c r="B60" s="1" t="n">
        <v>43056</v>
      </c>
      <c r="C60" s="9" t="inlineStr">
        <is>
          <t>AEU-INV-AT-2017-16231379</t>
        </is>
      </c>
      <c r="D60" s="1" t="inlineStr">
        <is>
          <t>Amazon EU Sàrl, 5 Rue Plaetis, L-2338, Luxemburg: LG 27BK550Y-B</t>
        </is>
      </c>
      <c r="E60" s="1" t="inlineStr">
        <is>
          <t>Ausgaben</t>
        </is>
      </c>
      <c r="F60" s="16" t="inlineStr">
        <is>
          <t>Waren, Rohstoffe, Hilfsstoffe</t>
        </is>
      </c>
      <c r="G60" s="36" t="n">
        <v>208.25</v>
      </c>
      <c r="H60" s="51" t="n">
        <v>1</v>
      </c>
      <c r="I60" s="270" t="n">
        <v>249.9</v>
      </c>
      <c r="J60" s="67" t="n">
        <v>20</v>
      </c>
      <c r="K60" s="270" t="n">
        <v>41.65</v>
      </c>
      <c r="L60" s="67">
        <f>J60&amp;"%"</f>
        <v/>
      </c>
      <c r="M60" s="270" t="n">
        <v>41.65</v>
      </c>
      <c r="N60" s="270" t="n">
        <v>208.25</v>
      </c>
    </row>
    <row r="61">
      <c r="A61" t="n">
        <v>250</v>
      </c>
      <c r="B61" s="1" t="n">
        <v>43056</v>
      </c>
      <c r="C61" s="9" t="inlineStr">
        <is>
          <t>AEU-INV-AT-2017-16363411</t>
        </is>
      </c>
      <c r="D61" s="1" t="inlineStr">
        <is>
          <t>Amazon EU Sàrl, 5 Rue Plaetis, L-2338, Luxemburg: Switch, AP</t>
        </is>
      </c>
      <c r="E61" s="1" t="inlineStr">
        <is>
          <t>Ausgaben</t>
        </is>
      </c>
      <c r="F61" s="16" t="inlineStr">
        <is>
          <t>Waren, Rohstoffe, Hilfsstoffe</t>
        </is>
      </c>
      <c r="G61" s="36" t="n">
        <v>229.06</v>
      </c>
      <c r="H61" s="51" t="n">
        <v>1</v>
      </c>
      <c r="I61" s="270" t="n">
        <v>274.872</v>
      </c>
      <c r="J61" s="67" t="n">
        <v>20</v>
      </c>
      <c r="K61" s="270" t="n">
        <v>45.812</v>
      </c>
      <c r="L61" s="67">
        <f>J61&amp;"%"</f>
        <v/>
      </c>
      <c r="M61" s="270" t="n">
        <v>45.812</v>
      </c>
      <c r="N61" s="270" t="n">
        <v>229.06</v>
      </c>
    </row>
    <row r="62">
      <c r="A62" t="n">
        <v>251</v>
      </c>
      <c r="B62" s="1" t="n">
        <v>43059</v>
      </c>
      <c r="C62" s="9" t="inlineStr">
        <is>
          <t>AEU-INV-AT-2017-16236859</t>
        </is>
      </c>
      <c r="D62" s="1" t="inlineStr">
        <is>
          <t>Amazon EU Sàrl, 5 Rue Plaetis, L-2338, Luxemburg: LG 27BK550Y-B</t>
        </is>
      </c>
      <c r="E62" s="1" t="inlineStr">
        <is>
          <t>Ausgaben</t>
        </is>
      </c>
      <c r="F62" s="16" t="inlineStr">
        <is>
          <t>Waren, Rohstoffe, Hilfsstoffe</t>
        </is>
      </c>
      <c r="G62" s="36" t="n">
        <v>208.25</v>
      </c>
      <c r="H62" s="51" t="n">
        <v>1</v>
      </c>
      <c r="I62" s="270" t="n">
        <v>249.9</v>
      </c>
      <c r="J62" s="67" t="n">
        <v>20</v>
      </c>
      <c r="K62" s="270" t="n">
        <v>41.65</v>
      </c>
      <c r="L62" s="67">
        <f>J62&amp;"%"</f>
        <v/>
      </c>
      <c r="M62" s="270" t="n">
        <v>41.65</v>
      </c>
      <c r="N62" s="270" t="n">
        <v>208.25</v>
      </c>
    </row>
    <row r="63">
      <c r="A63" t="n">
        <v>252</v>
      </c>
      <c r="B63" s="1" t="n">
        <v>43059</v>
      </c>
      <c r="C63" s="9" t="inlineStr">
        <is>
          <t>AEU-INV-AT-2017-16329348</t>
        </is>
      </c>
      <c r="D63" s="1" t="inlineStr">
        <is>
          <t>(WEITERVERKAUF) Amazon EU Sàrl, 5 Rue Plaetis, L-2338, Luxemburg: Lenovo ideacentre Y700</t>
        </is>
      </c>
      <c r="E63" s="1" t="inlineStr">
        <is>
          <t>Ausgaben</t>
        </is>
      </c>
      <c r="F63" s="16" t="inlineStr">
        <is>
          <t>Waren, Rohstoffe, Hilfsstoffe</t>
        </is>
      </c>
      <c r="G63" s="36" t="n">
        <v>1511.77</v>
      </c>
      <c r="H63" s="51" t="n">
        <v>1</v>
      </c>
      <c r="I63" s="270" t="n">
        <v>1814.124</v>
      </c>
      <c r="J63" s="67" t="n">
        <v>20</v>
      </c>
      <c r="K63" s="270" t="n">
        <v>302.354</v>
      </c>
      <c r="L63" s="67">
        <f>J63&amp;"%"</f>
        <v/>
      </c>
      <c r="M63" s="270" t="n">
        <v>302.354</v>
      </c>
      <c r="N63" s="270" t="n">
        <v>1511.77</v>
      </c>
    </row>
    <row r="64">
      <c r="A64" t="n">
        <v>253</v>
      </c>
      <c r="B64" s="1" t="n">
        <v>43055</v>
      </c>
      <c r="C64" s="9" t="inlineStr">
        <is>
          <t>650802</t>
        </is>
      </c>
      <c r="D64" s="1" t="inlineStr">
        <is>
          <t>(WEITERVERKAUF) Lemon Technologies GmbH: Office, Win16Svr</t>
        </is>
      </c>
      <c r="E64" s="1" t="inlineStr">
        <is>
          <t>Ausgaben</t>
        </is>
      </c>
      <c r="F64" s="16" t="inlineStr">
        <is>
          <t>Waren, Rohstoffe, Hilfsstoffe</t>
        </is>
      </c>
      <c r="G64" s="36" t="n">
        <v>464.31</v>
      </c>
      <c r="H64" s="51" t="n">
        <v>1</v>
      </c>
      <c r="I64" s="270" t="n">
        <v>557.172</v>
      </c>
      <c r="J64" s="67" t="n">
        <v>20</v>
      </c>
      <c r="K64" s="270" t="n">
        <v>92.86200000000001</v>
      </c>
      <c r="L64" s="67">
        <f>J64&amp;"%"</f>
        <v/>
      </c>
      <c r="M64" s="270" t="n">
        <v>92.86200000000001</v>
      </c>
      <c r="N64" s="270" t="n">
        <v>464.31</v>
      </c>
    </row>
    <row r="65">
      <c r="A65" t="n">
        <v>254</v>
      </c>
      <c r="B65" s="1" t="n">
        <v>43059</v>
      </c>
      <c r="C65" s="9" t="inlineStr">
        <is>
          <t>AEU-INV-AT-2017-16575031</t>
        </is>
      </c>
      <c r="D65" s="1" t="inlineStr">
        <is>
          <t>Amazon EU Sàrl, 5 Rue Plaetis, L-2338, Luxemburg: APC Back UPS Pro USV 900VA</t>
        </is>
      </c>
      <c r="E65" s="1" t="inlineStr">
        <is>
          <t>Ausgaben</t>
        </is>
      </c>
      <c r="F65" s="16" t="inlineStr">
        <is>
          <t>Waren, Rohstoffe, Hilfsstoffe</t>
        </is>
      </c>
      <c r="G65" s="36" t="n">
        <v>150.42</v>
      </c>
      <c r="H65" s="51" t="n">
        <v>1</v>
      </c>
      <c r="I65" s="270" t="n">
        <v>180.504</v>
      </c>
      <c r="J65" s="67" t="n">
        <v>20</v>
      </c>
      <c r="K65" s="270" t="n">
        <v>30.084</v>
      </c>
      <c r="L65" s="67">
        <f>J65&amp;"%"</f>
        <v/>
      </c>
      <c r="M65" s="270" t="n">
        <v>30.084</v>
      </c>
      <c r="N65" s="270" t="n">
        <v>150.42</v>
      </c>
    </row>
    <row r="66">
      <c r="A66" t="n">
        <v>255</v>
      </c>
      <c r="B66" s="1" t="n">
        <v>43059</v>
      </c>
      <c r="C66" s="9" t="inlineStr">
        <is>
          <t>AEU-INV-AT-2017-16221562</t>
        </is>
      </c>
      <c r="D66" s="1" t="inlineStr">
        <is>
          <t>Amazon EU Sàrl, 5 Rue Plaetis, L-2338, Luxemburg: Acer G246HYLbid 23,8 Zoll</t>
        </is>
      </c>
      <c r="E66" s="1" t="inlineStr">
        <is>
          <t>Ausgaben</t>
        </is>
      </c>
      <c r="F66" s="16" t="inlineStr">
        <is>
          <t>Waren, Rohstoffe, Hilfsstoffe</t>
        </is>
      </c>
      <c r="G66" s="36" t="n">
        <v>108.19</v>
      </c>
      <c r="H66" s="51" t="n">
        <v>1</v>
      </c>
      <c r="I66" s="270" t="n">
        <v>129.828</v>
      </c>
      <c r="J66" s="67" t="n">
        <v>20</v>
      </c>
      <c r="K66" s="270" t="n">
        <v>21.638</v>
      </c>
      <c r="L66" s="67">
        <f>J66&amp;"%"</f>
        <v/>
      </c>
      <c r="M66" s="270" t="n">
        <v>21.638</v>
      </c>
      <c r="N66" s="270" t="n">
        <v>108.19</v>
      </c>
    </row>
    <row r="67">
      <c r="A67" t="n">
        <v>256</v>
      </c>
      <c r="B67" s="1" t="n">
        <v>43059</v>
      </c>
      <c r="C67" s="9" t="inlineStr">
        <is>
          <t>INV-AT-105173521-2017-37295</t>
        </is>
      </c>
      <c r="D67" s="1" t="inlineStr">
        <is>
          <t>Ganz Einfach GmbH, Wohlenbergstr 16, Hannover, 30179 DE: 3 7,5m HDMI 3f. geschirmt</t>
        </is>
      </c>
      <c r="E67" s="1" t="inlineStr">
        <is>
          <t>Ausgaben</t>
        </is>
      </c>
      <c r="F67" s="16" t="inlineStr">
        <is>
          <t>Waren, Rohstoffe, Hilfsstoffe</t>
        </is>
      </c>
      <c r="G67" s="36" t="n">
        <v>30.24</v>
      </c>
      <c r="H67" s="51" t="n">
        <v>1</v>
      </c>
      <c r="I67" s="270" t="n">
        <v>36.288</v>
      </c>
      <c r="J67" s="67" t="n">
        <v>20</v>
      </c>
      <c r="K67" s="270" t="n">
        <v>6.047999999999999</v>
      </c>
      <c r="L67" s="67">
        <f>J67&amp;"%"</f>
        <v/>
      </c>
      <c r="M67" s="270" t="n">
        <v>6.047999999999999</v>
      </c>
      <c r="N67" s="270" t="n">
        <v>30.24</v>
      </c>
    </row>
    <row r="68">
      <c r="A68" t="n">
        <v>257</v>
      </c>
      <c r="B68" s="1" t="n">
        <v>43059</v>
      </c>
      <c r="C68" s="9" t="inlineStr">
        <is>
          <t>40048218</t>
        </is>
      </c>
      <c r="D68" s="1" t="inlineStr">
        <is>
          <t>E.Alt KG, MTS-Shop.eu, 1140 Wien, Mühlbergstrasse 18: IPCam, TV-Wandhalterung</t>
        </is>
      </c>
      <c r="E68" s="1" t="inlineStr">
        <is>
          <t>Ausgaben</t>
        </is>
      </c>
      <c r="F68" s="16" t="inlineStr">
        <is>
          <t>Waren, Rohstoffe, Hilfsstoffe</t>
        </is>
      </c>
      <c r="G68" s="36" t="n">
        <v>197.97</v>
      </c>
      <c r="H68" s="51" t="n">
        <v>1</v>
      </c>
      <c r="I68" s="270" t="n">
        <v>237.564</v>
      </c>
      <c r="J68" s="67" t="n">
        <v>20</v>
      </c>
      <c r="K68" s="270" t="n">
        <v>39.594</v>
      </c>
      <c r="L68" s="67">
        <f>J68&amp;"%"</f>
        <v/>
      </c>
      <c r="M68" s="270" t="n">
        <v>39.594</v>
      </c>
      <c r="N68" s="270" t="n">
        <v>197.97</v>
      </c>
    </row>
    <row r="69">
      <c r="A69" t="n">
        <v>258</v>
      </c>
      <c r="B69" s="1" t="n">
        <v>43060</v>
      </c>
      <c r="C69" s="9" t="inlineStr">
        <is>
          <t>AEU-INV-AT-2017-16695382</t>
        </is>
      </c>
      <c r="D69" s="1" t="inlineStr">
        <is>
          <t>Amazon EU Sàrl, 5 Rue Plaetis, L-2338, Luxemburg: Sony DVP-SR760HB</t>
        </is>
      </c>
      <c r="E69" s="1" t="inlineStr">
        <is>
          <t>Ausgaben</t>
        </is>
      </c>
      <c r="F69" s="16" t="inlineStr">
        <is>
          <t>Waren, Rohstoffe, Hilfsstoffe</t>
        </is>
      </c>
      <c r="G69" s="36" t="n">
        <v>40.32</v>
      </c>
      <c r="H69" s="51" t="n">
        <v>1</v>
      </c>
      <c r="I69" s="270" t="n">
        <v>48.384</v>
      </c>
      <c r="J69" s="67" t="n">
        <v>20</v>
      </c>
      <c r="K69" s="270" t="n">
        <v>8.064</v>
      </c>
      <c r="L69" s="67">
        <f>J69&amp;"%"</f>
        <v/>
      </c>
      <c r="M69" s="270" t="n">
        <v>8.064</v>
      </c>
      <c r="N69" s="270" t="n">
        <v>40.32</v>
      </c>
    </row>
    <row r="70">
      <c r="A70" t="n">
        <v>259</v>
      </c>
      <c r="B70" s="1" t="n">
        <v>43060</v>
      </c>
      <c r="C70" s="9" t="inlineStr">
        <is>
          <t>AEU-INV-AT-2017-16695368</t>
        </is>
      </c>
      <c r="D70" s="1" t="inlineStr">
        <is>
          <t>Amazon EU Sàrl, 5 Rue Plaetis, L-2338, Luxemburg: Seagate STEL800200 8TB</t>
        </is>
      </c>
      <c r="E70" s="1" t="inlineStr">
        <is>
          <t>Ausgaben</t>
        </is>
      </c>
      <c r="F70" s="16" t="inlineStr">
        <is>
          <t>Waren, Rohstoffe, Hilfsstoffe</t>
        </is>
      </c>
      <c r="G70" s="36" t="n">
        <v>171.14</v>
      </c>
      <c r="H70" s="51" t="n">
        <v>1</v>
      </c>
      <c r="I70" s="270" t="n">
        <v>205.368</v>
      </c>
      <c r="J70" s="67" t="n">
        <v>20</v>
      </c>
      <c r="K70" s="270" t="n">
        <v>34.22799999999999</v>
      </c>
      <c r="L70" s="67">
        <f>J70&amp;"%"</f>
        <v/>
      </c>
      <c r="M70" s="270" t="n">
        <v>34.22799999999999</v>
      </c>
      <c r="N70" s="270" t="n">
        <v>171.14</v>
      </c>
    </row>
    <row r="71">
      <c r="A71" t="n">
        <v>260</v>
      </c>
      <c r="B71" s="1" t="n">
        <v>43060</v>
      </c>
      <c r="C71" s="9" t="inlineStr">
        <is>
          <t>AEU-INV-AT-2017-16695375</t>
        </is>
      </c>
      <c r="D71" s="1" t="inlineStr">
        <is>
          <t>Amazon EU Sàrl, 5 Rue Plaetis, L-2338, Luxemburg: SP-Link TL-PoE150S</t>
        </is>
      </c>
      <c r="E71" s="1" t="inlineStr">
        <is>
          <t>Ausgaben</t>
        </is>
      </c>
      <c r="F71" s="16" t="inlineStr">
        <is>
          <t>Waren, Rohstoffe, Hilfsstoffe</t>
        </is>
      </c>
      <c r="G71" s="36" t="n">
        <v>17.56</v>
      </c>
      <c r="H71" s="51" t="n">
        <v>1</v>
      </c>
      <c r="I71" s="270" t="n">
        <v>21.072</v>
      </c>
      <c r="J71" s="67" t="n">
        <v>20</v>
      </c>
      <c r="K71" s="270" t="n">
        <v>3.512</v>
      </c>
      <c r="L71" s="67">
        <f>J71&amp;"%"</f>
        <v/>
      </c>
      <c r="M71" s="270" t="n">
        <v>3.512</v>
      </c>
      <c r="N71" s="270" t="n">
        <v>17.56</v>
      </c>
    </row>
    <row r="72">
      <c r="A72" t="n">
        <v>261</v>
      </c>
      <c r="B72" s="1" t="n">
        <v>43062</v>
      </c>
      <c r="C72" s="9" t="inlineStr">
        <is>
          <t>AEU-INV-AT-2017-16673435</t>
        </is>
      </c>
      <c r="D72" s="1" t="inlineStr">
        <is>
          <t>Amazon EU Sàrl, 5 Rue Plaetis, L-2338, Luxemburg: LogiLink BP0004 TV-Halterung</t>
        </is>
      </c>
      <c r="E72" s="1" t="inlineStr">
        <is>
          <t>Ausgaben</t>
        </is>
      </c>
      <c r="F72" s="16" t="inlineStr">
        <is>
          <t>Waren, Rohstoffe, Hilfsstoffe</t>
        </is>
      </c>
      <c r="G72" s="36" t="n">
        <v>8.93</v>
      </c>
      <c r="H72" s="51" t="n">
        <v>1</v>
      </c>
      <c r="I72" s="270" t="n">
        <v>10.716</v>
      </c>
      <c r="J72" s="67" t="n">
        <v>20</v>
      </c>
      <c r="K72" s="270" t="n">
        <v>1.786</v>
      </c>
      <c r="L72" s="67">
        <f>J72&amp;"%"</f>
        <v/>
      </c>
      <c r="M72" s="270" t="n">
        <v>1.786</v>
      </c>
      <c r="N72" s="270" t="n">
        <v>8.93</v>
      </c>
    </row>
    <row r="73">
      <c r="A73" t="n">
        <v>262</v>
      </c>
      <c r="B73" s="1" t="n">
        <v>43062</v>
      </c>
      <c r="C73" s="9" t="inlineStr">
        <is>
          <t>AEU-INV-AT-2017-16663299</t>
        </is>
      </c>
      <c r="D73" s="1" t="inlineStr">
        <is>
          <t>Amazon EU Sàrl, 5 Rue Plaetis, L-2338, Luxemburg: STRONG SRT 40FX4003</t>
        </is>
      </c>
      <c r="E73" s="1" t="inlineStr">
        <is>
          <t>Ausgaben</t>
        </is>
      </c>
      <c r="F73" s="16" t="inlineStr">
        <is>
          <t>Waren, Rohstoffe, Hilfsstoffe</t>
        </is>
      </c>
      <c r="G73" s="36" t="n">
        <v>238.45</v>
      </c>
      <c r="H73" s="51" t="n">
        <v>1</v>
      </c>
      <c r="I73" s="270" t="n">
        <v>286.14</v>
      </c>
      <c r="J73" s="67" t="n">
        <v>20</v>
      </c>
      <c r="K73" s="270" t="n">
        <v>47.69</v>
      </c>
      <c r="L73" s="67">
        <f>J73&amp;"%"</f>
        <v/>
      </c>
      <c r="M73" s="270" t="n">
        <v>47.69</v>
      </c>
      <c r="N73" s="270" t="n">
        <v>238.45</v>
      </c>
    </row>
    <row r="74">
      <c r="A74" t="n">
        <v>263</v>
      </c>
      <c r="B74" s="1" t="n">
        <v>43066</v>
      </c>
      <c r="C74" s="9" t="inlineStr">
        <is>
          <t>AEU-INV-AT-2017-16842561</t>
        </is>
      </c>
      <c r="D74" s="1" t="inlineStr">
        <is>
          <t>Amazon EU Sàrl, 5 Rue Plaetis, L-2338, Luxemburg: STRONG SRT 40FX4003</t>
        </is>
      </c>
      <c r="E74" s="1" t="inlineStr">
        <is>
          <t>Ausgaben</t>
        </is>
      </c>
      <c r="F74" s="16" t="inlineStr">
        <is>
          <t>Waren, Rohstoffe, Hilfsstoffe</t>
        </is>
      </c>
      <c r="G74" s="36" t="n">
        <v>238.45</v>
      </c>
      <c r="H74" s="51" t="n">
        <v>1</v>
      </c>
      <c r="I74" s="270" t="n">
        <v>286.14</v>
      </c>
      <c r="J74" s="67" t="n">
        <v>20</v>
      </c>
      <c r="K74" s="270" t="n">
        <v>47.69</v>
      </c>
      <c r="L74" s="67">
        <f>J74&amp;"%"</f>
        <v/>
      </c>
      <c r="M74" s="270" t="n">
        <v>47.69</v>
      </c>
      <c r="N74" s="270" t="n">
        <v>238.45</v>
      </c>
    </row>
    <row r="75">
      <c r="A75" t="n">
        <v>264</v>
      </c>
      <c r="B75" s="1" t="n">
        <v>43067</v>
      </c>
      <c r="C75" s="9" t="inlineStr">
        <is>
          <t>2017101287</t>
        </is>
      </c>
      <c r="D75" s="1" t="inlineStr">
        <is>
          <t>myKey GmbH, Embelgasse 2-8/4/441, 1050 Wien: Windows 10 Pro Key</t>
        </is>
      </c>
      <c r="E75" s="1" t="inlineStr">
        <is>
          <t>Ausgaben</t>
        </is>
      </c>
      <c r="F75" s="16" t="inlineStr">
        <is>
          <t>Lizenzgebühren</t>
        </is>
      </c>
      <c r="G75" s="36" t="n">
        <v>58.25</v>
      </c>
      <c r="H75" s="51" t="n">
        <v>1</v>
      </c>
      <c r="I75" s="270" t="n">
        <v>69.90000000000001</v>
      </c>
      <c r="J75" s="67" t="n">
        <v>20</v>
      </c>
      <c r="K75" s="270" t="n">
        <v>11.65</v>
      </c>
      <c r="L75" s="67">
        <f>J75&amp;"%"</f>
        <v/>
      </c>
      <c r="M75" s="270" t="n">
        <v>11.65</v>
      </c>
      <c r="N75" s="270" t="n">
        <v>58.25</v>
      </c>
    </row>
    <row r="76">
      <c r="A76" t="n">
        <v>265</v>
      </c>
      <c r="B76" s="1" t="n">
        <v>43075</v>
      </c>
      <c r="C76" s="9" t="inlineStr">
        <is>
          <t>6145902558</t>
        </is>
      </c>
      <c r="D76" s="1" t="inlineStr">
        <is>
          <t xml:space="preserve">Hutchison Drei Austria GmbH, Brünner Straße 52, 1210 Wien, Österreich: </t>
        </is>
      </c>
      <c r="E76" s="1" t="inlineStr">
        <is>
          <t>Ausgaben</t>
        </is>
      </c>
      <c r="F76" s="16" t="inlineStr">
        <is>
          <t>Telefon/Internet</t>
        </is>
      </c>
      <c r="G76" s="36" t="n">
        <v>15</v>
      </c>
      <c r="H76" s="51" t="n">
        <v>1</v>
      </c>
      <c r="I76" s="270" t="n">
        <v>18</v>
      </c>
      <c r="J76" s="67" t="n">
        <v>20</v>
      </c>
      <c r="K76" s="270" t="n">
        <v>3</v>
      </c>
      <c r="L76" s="67">
        <f>J76&amp;"%"</f>
        <v/>
      </c>
      <c r="M76" s="270" t="n">
        <v>3</v>
      </c>
      <c r="N76" s="270" t="n">
        <v>15</v>
      </c>
    </row>
    <row r="77">
      <c r="A77" t="n">
        <v>266</v>
      </c>
      <c r="B77" s="1" t="n">
        <v>43069</v>
      </c>
      <c r="C77" s="9" t="inlineStr">
        <is>
          <t>896454</t>
        </is>
      </c>
      <c r="D77" s="1" t="inlineStr">
        <is>
          <t>officeb2b GmbH - Stettenstr. 15 - 86482 Aystetten - (DE): LogiLink TV-Wandhalterung BP0004</t>
        </is>
      </c>
      <c r="E77" s="1" t="inlineStr">
        <is>
          <t>Ausgaben</t>
        </is>
      </c>
      <c r="F77" s="16" t="inlineStr">
        <is>
          <t>Waren, Rohstoffe, Hilfsstoffe</t>
        </is>
      </c>
      <c r="G77" s="36" t="n">
        <v>9.15</v>
      </c>
      <c r="H77" s="51" t="n">
        <v>1</v>
      </c>
      <c r="I77" s="270" t="n">
        <v>9.15</v>
      </c>
      <c r="J77" s="67" t="n">
        <v>0</v>
      </c>
      <c r="K77" s="270" t="n">
        <v>0</v>
      </c>
      <c r="L77" s="67" t="inlineStr">
        <is>
          <t>reverse charge</t>
        </is>
      </c>
      <c r="M77" s="270" t="n">
        <v>0</v>
      </c>
      <c r="N77" s="270" t="n">
        <v>9.15</v>
      </c>
      <c r="O77" s="67" t="n"/>
    </row>
    <row r="78">
      <c r="A78" t="n">
        <v>267</v>
      </c>
      <c r="B78" s="1" t="n">
        <v>43070</v>
      </c>
      <c r="C78" s="9" t="inlineStr">
        <is>
          <t>1985221</t>
        </is>
      </c>
      <c r="D78" s="1" t="inlineStr">
        <is>
          <t>1attack.de Mundo del Arte GmbH: Patchkabel</t>
        </is>
      </c>
      <c r="E78" s="1" t="inlineStr">
        <is>
          <t>Ausgaben</t>
        </is>
      </c>
      <c r="F78" s="16" t="inlineStr">
        <is>
          <t>Waren, Rohstoffe, Hilfsstoffe</t>
        </is>
      </c>
      <c r="G78" s="36" t="n">
        <v>21.97</v>
      </c>
      <c r="H78" s="51" t="n">
        <v>1</v>
      </c>
      <c r="I78" s="270" t="n">
        <v>26.364</v>
      </c>
      <c r="J78" s="67" t="n">
        <v>20</v>
      </c>
      <c r="K78" s="270" t="n">
        <v>4.394</v>
      </c>
      <c r="L78" s="67">
        <f>J78&amp;"%"</f>
        <v/>
      </c>
      <c r="M78" s="270" t="n">
        <v>4.394</v>
      </c>
      <c r="N78" s="270" t="n">
        <v>21.97</v>
      </c>
    </row>
    <row r="79">
      <c r="A79" t="n">
        <v>268</v>
      </c>
      <c r="B79" s="1" t="n">
        <v>43074</v>
      </c>
      <c r="C79" s="9" t="inlineStr">
        <is>
          <t>2017101374</t>
        </is>
      </c>
      <c r="D79" s="1" t="inlineStr">
        <is>
          <t>myKey GmbH, Embelgasse 2-8/4/441, 1050 Wien: Windows 10 Pro Key</t>
        </is>
      </c>
      <c r="E79" s="1" t="inlineStr">
        <is>
          <t>Ausgaben</t>
        </is>
      </c>
      <c r="F79" s="16" t="inlineStr">
        <is>
          <t>Lizenzgebühren</t>
        </is>
      </c>
      <c r="G79" s="36" t="n">
        <v>58.25</v>
      </c>
      <c r="H79" s="51" t="n">
        <v>1</v>
      </c>
      <c r="I79" s="270" t="n">
        <v>69.90000000000001</v>
      </c>
      <c r="J79" s="67" t="n">
        <v>20</v>
      </c>
      <c r="K79" s="270" t="n">
        <v>11.65</v>
      </c>
      <c r="L79" s="67">
        <f>J79&amp;"%"</f>
        <v/>
      </c>
      <c r="M79" s="270" t="n">
        <v>11.65</v>
      </c>
      <c r="N79" s="270" t="n">
        <v>58.25</v>
      </c>
    </row>
    <row r="80">
      <c r="A80" t="n">
        <v>269</v>
      </c>
      <c r="B80" s="1" t="n">
        <v>43080</v>
      </c>
      <c r="C80" s="9" t="inlineStr">
        <is>
          <t>INV-AT-105173521-2017-56322</t>
        </is>
      </c>
      <c r="D80" s="1" t="inlineStr">
        <is>
          <t>Ganz Einfach GmbH, Wohlenbergstr 16, Hannover, 30179 DE: CSL -4k UHD HDMI Splitter B01615JA3A</t>
        </is>
      </c>
      <c r="E80" s="1" t="inlineStr">
        <is>
          <t>Ausgaben</t>
        </is>
      </c>
      <c r="F80" s="16" t="inlineStr">
        <is>
          <t>Waren, Rohstoffe, Hilfsstoffe</t>
        </is>
      </c>
      <c r="G80" s="36" t="n">
        <v>16.68</v>
      </c>
      <c r="H80" s="51" t="n">
        <v>1</v>
      </c>
      <c r="I80" s="270" t="n">
        <v>20.016</v>
      </c>
      <c r="J80" s="67" t="n">
        <v>20</v>
      </c>
      <c r="K80" s="270" t="n">
        <v>3.336</v>
      </c>
      <c r="L80" s="67">
        <f>J80&amp;"%"</f>
        <v/>
      </c>
      <c r="M80" s="270" t="n">
        <v>3.336</v>
      </c>
      <c r="N80" s="270" t="n">
        <v>16.68</v>
      </c>
    </row>
    <row r="81">
      <c r="A81" t="n">
        <v>270</v>
      </c>
      <c r="B81" s="1" t="n">
        <v>43060</v>
      </c>
      <c r="C81" s="9" t="inlineStr">
        <is>
          <t>6985995</t>
        </is>
      </c>
      <c r="D81" s="1" t="inlineStr">
        <is>
          <t>Veloce Botendienste GmbH: Laudong. - Linzerstraße</t>
        </is>
      </c>
      <c r="E81" s="1" t="inlineStr">
        <is>
          <t>Ausgaben</t>
        </is>
      </c>
      <c r="F81" s="16" t="inlineStr">
        <is>
          <t>sonstige Betriebsausgaben</t>
        </is>
      </c>
      <c r="G81" s="36" t="n">
        <v>11</v>
      </c>
      <c r="H81" s="51" t="n">
        <v>1</v>
      </c>
      <c r="I81" s="270" t="n">
        <v>13.2</v>
      </c>
      <c r="J81" s="67" t="n">
        <v>20</v>
      </c>
      <c r="K81" s="270" t="n">
        <v>2.2</v>
      </c>
      <c r="L81" s="67">
        <f>J81&amp;"%"</f>
        <v/>
      </c>
      <c r="M81" s="270" t="n">
        <v>2.2</v>
      </c>
      <c r="N81" s="270" t="n">
        <v>11</v>
      </c>
    </row>
    <row r="82">
      <c r="A82" t="n">
        <v>271</v>
      </c>
      <c r="B82" s="1" t="n">
        <v>43084</v>
      </c>
      <c r="C82" s="9" t="inlineStr">
        <is>
          <t>14002443106/40/2017</t>
        </is>
      </c>
      <c r="D82" s="1" t="inlineStr">
        <is>
          <t>27,32 % von € 99: MONTANA Energie-Handel AT GmbH: Teilzahlungsbetrag Gas</t>
        </is>
      </c>
      <c r="E82" s="1" t="inlineStr">
        <is>
          <t>Ausgaben</t>
        </is>
      </c>
      <c r="F82" s="16" t="inlineStr">
        <is>
          <t>sonstige Betriebsausgaben</t>
        </is>
      </c>
      <c r="G82" s="36" t="n">
        <v>82.5</v>
      </c>
      <c r="H82" s="51" t="n">
        <v>0.2732037841984147</v>
      </c>
      <c r="I82" s="270" t="n">
        <v>27.04717463564306</v>
      </c>
      <c r="J82" s="67" t="n">
        <v>20</v>
      </c>
      <c r="K82" s="270" t="n">
        <v>16.5</v>
      </c>
      <c r="L82" s="67">
        <f>J82&amp;"%"</f>
        <v/>
      </c>
      <c r="M82" s="270" t="n">
        <v>4.507862439273843</v>
      </c>
      <c r="N82" s="270" t="n">
        <v>22.53931219636922</v>
      </c>
    </row>
    <row r="83">
      <c r="A83" t="n">
        <v>272</v>
      </c>
      <c r="B83" s="1" t="n">
        <v>43096</v>
      </c>
      <c r="C83" s="9" t="inlineStr">
        <is>
          <t>2017/8058/14</t>
        </is>
      </c>
      <c r="D83" s="1" t="inlineStr">
        <is>
          <t>27,32 % von € 881,95: PREMIUM Laudongasse 58 GmbH &amp; Co KG: Dauerrechnung 2017-D-9</t>
        </is>
      </c>
      <c r="E83" s="1" t="inlineStr">
        <is>
          <t>Ausgaben</t>
        </is>
      </c>
      <c r="F83" s="16" t="inlineStr">
        <is>
          <t>Miet- und Pachtaufwand, Leasing</t>
        </is>
      </c>
      <c r="G83" s="36" t="n">
        <v>801.77</v>
      </c>
      <c r="H83" s="51" t="n">
        <v>0.2732037841984147</v>
      </c>
      <c r="I83" s="270" t="n">
        <v>240.9512578624393</v>
      </c>
      <c r="J83" s="67" t="n">
        <v>10</v>
      </c>
      <c r="K83" s="270" t="n">
        <v>80.17699999999999</v>
      </c>
      <c r="L83" s="67">
        <f>J83&amp;"%"</f>
        <v/>
      </c>
      <c r="M83" s="270" t="n">
        <v>21.9046598056763</v>
      </c>
      <c r="N83" s="270" t="n">
        <v>219.046598056763</v>
      </c>
    </row>
    <row r="84">
      <c r="A84" t="n">
        <v>273</v>
      </c>
      <c r="B84" s="1" t="n">
        <v>43082</v>
      </c>
      <c r="C84" s="9" t="inlineStr">
        <is>
          <t>1101540</t>
        </is>
      </c>
      <c r="D84" s="1" t="inlineStr">
        <is>
          <t xml:space="preserve">Wall-Art-Design, Patrick Dießl, Streudorfer Str. 124, D-98663 Westhausen: </t>
        </is>
      </c>
      <c r="E84" s="1" t="inlineStr">
        <is>
          <t>Ausgaben</t>
        </is>
      </c>
      <c r="F84" s="16" t="inlineStr">
        <is>
          <t>sonstige Betriebsausgaben</t>
        </is>
      </c>
      <c r="G84" s="36" t="n">
        <v>7.91</v>
      </c>
      <c r="H84" s="51" t="n">
        <v>1</v>
      </c>
      <c r="I84" s="270" t="n">
        <v>9.492000000000001</v>
      </c>
      <c r="J84" s="67" t="n">
        <v>20</v>
      </c>
      <c r="K84" s="270" t="n">
        <v>1.582</v>
      </c>
      <c r="L84" s="67">
        <f>J84&amp;"%"</f>
        <v/>
      </c>
      <c r="M84" s="270" t="n">
        <v>1.582</v>
      </c>
      <c r="N84" s="270" t="n">
        <v>7.91</v>
      </c>
    </row>
    <row r="85">
      <c r="A85" t="n">
        <v>274</v>
      </c>
      <c r="B85" s="1" t="n">
        <v>43090</v>
      </c>
      <c r="C85" s="9" t="inlineStr">
        <is>
          <t>E050052CKO</t>
        </is>
      </c>
      <c r="D85" s="1" t="inlineStr">
        <is>
          <t>Microsoft Ireland Operations Ltd, One Microsoft Place, South County Business Park Leopardstown Dublin 18, D18 P521 Irland: Office 365 Business Essentials (monatlich)</t>
        </is>
      </c>
      <c r="E85" s="1" t="inlineStr">
        <is>
          <t>Ausgaben</t>
        </is>
      </c>
      <c r="F85" s="16" t="inlineStr">
        <is>
          <t>Lizenzgebühren</t>
        </is>
      </c>
      <c r="G85" s="36" t="n">
        <v>18.7</v>
      </c>
      <c r="H85" s="51" t="n">
        <v>1</v>
      </c>
      <c r="I85" s="270" t="n">
        <v>22.44</v>
      </c>
      <c r="J85" s="67" t="n">
        <v>20</v>
      </c>
      <c r="K85" s="270" t="n">
        <v>3.74</v>
      </c>
      <c r="L85" s="67">
        <f>J85&amp;"%"</f>
        <v/>
      </c>
      <c r="M85" s="270" t="n">
        <v>3.74</v>
      </c>
      <c r="N85" s="270" t="n">
        <v>18.7</v>
      </c>
    </row>
    <row r="86">
      <c r="A86" t="n">
        <v>275</v>
      </c>
      <c r="B86" s="1" t="n">
        <v>43090</v>
      </c>
      <c r="C86" s="9" t="n"/>
      <c r="D86" s="1" t="inlineStr">
        <is>
          <t xml:space="preserve">Vistaprint B.V., Hudsonweg 8, 5928 LW Venlo, Niederlande: </t>
        </is>
      </c>
      <c r="E86" s="1" t="inlineStr">
        <is>
          <t>Ausgaben</t>
        </is>
      </c>
      <c r="F86" s="16" t="inlineStr">
        <is>
          <t>Werbe- und Repräsentationsaufwand</t>
        </is>
      </c>
      <c r="G86" s="36" t="n">
        <v>75.3</v>
      </c>
      <c r="H86" s="51" t="n">
        <v>1</v>
      </c>
      <c r="I86" s="270" t="n">
        <v>90.36</v>
      </c>
      <c r="J86" s="67" t="n">
        <v>20</v>
      </c>
      <c r="K86" s="270" t="n">
        <v>15.06</v>
      </c>
      <c r="L86" s="67">
        <f>J86&amp;"%"</f>
        <v/>
      </c>
      <c r="M86" s="270" t="n">
        <v>15.06</v>
      </c>
      <c r="N86" s="270" t="n">
        <v>75.3</v>
      </c>
    </row>
    <row r="87">
      <c r="A87" t="n">
        <v>276</v>
      </c>
      <c r="B87" s="1" t="n">
        <v>43098</v>
      </c>
      <c r="C87" s="9" t="inlineStr">
        <is>
          <t>2016/52</t>
        </is>
      </c>
      <c r="D87" s="1" t="inlineStr">
        <is>
          <t>Wilhelm Blaha, Steuerberater, 1080 Wien, Roter Hof 1a: Jahresabschluss 2015</t>
        </is>
      </c>
      <c r="E87" s="1" t="inlineStr">
        <is>
          <t>Ausgaben</t>
        </is>
      </c>
      <c r="F87" s="16" t="inlineStr">
        <is>
          <t>sonstige Betriebsausgaben</t>
        </is>
      </c>
      <c r="G87" s="36" t="n">
        <v>825</v>
      </c>
      <c r="H87" s="51" t="n">
        <v>1</v>
      </c>
      <c r="I87" s="270" t="n">
        <v>990</v>
      </c>
      <c r="J87" s="67" t="n">
        <v>20</v>
      </c>
      <c r="K87" s="270" t="n">
        <v>165</v>
      </c>
      <c r="L87" s="67">
        <f>J87&amp;"%"</f>
        <v/>
      </c>
      <c r="M87" s="270" t="n">
        <v>165</v>
      </c>
      <c r="N87" s="270" t="n">
        <v>825</v>
      </c>
    </row>
    <row r="88">
      <c r="A88" t="n">
        <v>277</v>
      </c>
      <c r="B88" s="1" t="n">
        <v>43100</v>
      </c>
      <c r="C88" s="9" t="n"/>
      <c r="D88" s="1" t="inlineStr">
        <is>
          <t>(nicht relevant) jarosoft: AfA 2016 (falsch einsortiert)</t>
        </is>
      </c>
      <c r="E88" s="1" t="inlineStr">
        <is>
          <t>Ausgaben</t>
        </is>
      </c>
      <c r="F88" s="16" t="n"/>
      <c r="G88" s="36" t="n"/>
      <c r="H88" s="51" t="n"/>
      <c r="I88" s="270" t="n"/>
      <c r="K88" s="270" t="n"/>
      <c r="M88" s="270" t="n"/>
      <c r="N88" s="270" t="n"/>
    </row>
    <row r="89">
      <c r="A89" t="n">
        <v>278</v>
      </c>
      <c r="B89" s="1" t="n">
        <v>43100</v>
      </c>
      <c r="C89" s="9" t="inlineStr">
        <is>
          <t>2017</t>
        </is>
      </c>
      <c r="D89" s="1" t="inlineStr">
        <is>
          <t>jarosoft: AfA 2017</t>
        </is>
      </c>
      <c r="E89" s="1" t="inlineStr">
        <is>
          <t>Ausgaben</t>
        </is>
      </c>
      <c r="F89" s="16" t="inlineStr">
        <is>
          <t>Abschreibung Anlagevermögen</t>
        </is>
      </c>
      <c r="G89" s="36" t="n">
        <v>494.334</v>
      </c>
      <c r="H89" s="51" t="n">
        <v>1</v>
      </c>
      <c r="I89" s="270" t="n">
        <v>494.33</v>
      </c>
      <c r="J89" s="67" t="n">
        <v>0</v>
      </c>
      <c r="K89" s="270" t="n">
        <v>0</v>
      </c>
      <c r="L89" s="67">
        <f>J89&amp;"%"</f>
        <v/>
      </c>
      <c r="M89" s="270" t="n">
        <v>0</v>
      </c>
      <c r="N89" s="270" t="n">
        <v>494.334</v>
      </c>
    </row>
    <row r="90">
      <c r="A90" t="n">
        <v>279</v>
      </c>
      <c r="B90" s="1" t="n">
        <v>43100</v>
      </c>
      <c r="C90" s="9" t="n"/>
      <c r="D90" s="1" t="inlineStr">
        <is>
          <t>(nicht relevant)</t>
        </is>
      </c>
      <c r="E90" s="1" t="inlineStr">
        <is>
          <t>Ausgaben</t>
        </is>
      </c>
      <c r="F90" s="16" t="n"/>
      <c r="G90" s="36" t="n"/>
      <c r="H90" s="51" t="n"/>
      <c r="I90" s="270" t="n"/>
      <c r="K90" s="270" t="n"/>
      <c r="M90" s="270" t="n"/>
      <c r="N90" s="270" t="n"/>
    </row>
    <row r="91">
      <c r="A91" t="n">
        <v>280</v>
      </c>
      <c r="B91" s="1" t="n">
        <v>43100</v>
      </c>
      <c r="C91" s="9" t="n"/>
      <c r="D91" s="1" t="inlineStr">
        <is>
          <t>(nicht relevant)</t>
        </is>
      </c>
      <c r="E91" s="1" t="inlineStr">
        <is>
          <t>Ausgaben</t>
        </is>
      </c>
      <c r="F91" s="16" t="n"/>
      <c r="G91" s="36" t="n"/>
      <c r="H91" s="51" t="n"/>
      <c r="I91" s="270" t="n"/>
      <c r="K91" s="270" t="n"/>
      <c r="M91" s="270" t="n"/>
      <c r="N91" s="270" t="n"/>
    </row>
    <row r="92">
      <c r="A92" t="n">
        <v>281</v>
      </c>
      <c r="B92" s="1" t="n">
        <v>43100</v>
      </c>
      <c r="C92" s="9" t="n"/>
      <c r="D92" s="1" t="inlineStr">
        <is>
          <t>(nicht relevant)</t>
        </is>
      </c>
      <c r="E92" s="1" t="inlineStr">
        <is>
          <t>Ausgaben</t>
        </is>
      </c>
      <c r="F92" s="16" t="n"/>
      <c r="G92" s="36" t="n"/>
      <c r="H92" s="51" t="n"/>
      <c r="I92" s="270" t="n"/>
      <c r="K92" s="270" t="n"/>
      <c r="M92" s="270" t="n"/>
      <c r="N92" s="270" t="n"/>
    </row>
    <row r="93">
      <c r="A93" t="n">
        <v>282</v>
      </c>
      <c r="B93" s="1" t="n">
        <v>43100</v>
      </c>
      <c r="C93" s="9" t="n"/>
      <c r="D93" s="1" t="inlineStr">
        <is>
          <t>(nicht relevant)</t>
        </is>
      </c>
      <c r="E93" s="1" t="inlineStr">
        <is>
          <t>Ausgaben</t>
        </is>
      </c>
      <c r="F93" s="16" t="n"/>
      <c r="G93" s="36" t="n"/>
      <c r="H93" s="51" t="n"/>
      <c r="I93" s="270" t="n"/>
      <c r="K93" s="270" t="n"/>
      <c r="M93" s="270" t="n"/>
      <c r="N93" s="270" t="n"/>
    </row>
    <row r="94">
      <c r="A94" t="n">
        <v>283</v>
      </c>
      <c r="B94" s="1" t="n">
        <v>43100</v>
      </c>
      <c r="C94" s="9" t="n"/>
      <c r="D94" s="1" t="inlineStr">
        <is>
          <t>(nicht relevant)</t>
        </is>
      </c>
      <c r="E94" s="1" t="inlineStr">
        <is>
          <t>Ausgaben</t>
        </is>
      </c>
      <c r="F94" s="16" t="n"/>
      <c r="G94" s="36" t="n"/>
      <c r="H94" s="51" t="n"/>
      <c r="I94" s="270" t="n"/>
      <c r="K94" s="270" t="n"/>
      <c r="M94" s="270" t="n"/>
      <c r="N94" s="270" t="n"/>
    </row>
    <row r="95">
      <c r="A95" t="n">
        <v>284</v>
      </c>
      <c r="B95" s="1" t="n">
        <v>43100</v>
      </c>
      <c r="C95" s="9" t="n"/>
      <c r="D95" s="1" t="inlineStr">
        <is>
          <t>(nicht relevant)</t>
        </is>
      </c>
      <c r="E95" s="1" t="inlineStr">
        <is>
          <t>Ausgaben</t>
        </is>
      </c>
      <c r="F95" s="16" t="n"/>
      <c r="G95" s="36" t="n"/>
      <c r="H95" s="51" t="n"/>
      <c r="I95" s="270" t="n"/>
      <c r="K95" s="270" t="n"/>
      <c r="M95" s="270" t="n"/>
      <c r="N95" s="270" t="n"/>
    </row>
    <row r="96">
      <c r="A96" t="n">
        <v>285</v>
      </c>
      <c r="B96" s="1" t="n">
        <v>43100</v>
      </c>
      <c r="C96" s="9" t="n"/>
      <c r="D96" s="1" t="inlineStr">
        <is>
          <t>(nicht relevant)</t>
        </is>
      </c>
      <c r="E96" s="1" t="inlineStr">
        <is>
          <t>Ausgaben</t>
        </is>
      </c>
      <c r="F96" s="16" t="n"/>
      <c r="G96" s="36" t="n"/>
      <c r="H96" s="51" t="n"/>
      <c r="I96" s="270" t="n"/>
      <c r="K96" s="270" t="n"/>
      <c r="M96" s="270" t="n"/>
      <c r="N96" s="270" t="n"/>
    </row>
    <row r="97">
      <c r="A97" t="n">
        <v>286</v>
      </c>
      <c r="B97" s="1" t="n">
        <v>43100</v>
      </c>
      <c r="C97" s="9" t="n"/>
      <c r="D97" s="1" t="inlineStr">
        <is>
          <t>(nicht relevant)</t>
        </is>
      </c>
      <c r="E97" s="1" t="inlineStr">
        <is>
          <t>Ausgaben</t>
        </is>
      </c>
      <c r="F97" s="16" t="n"/>
      <c r="G97" s="36" t="n"/>
      <c r="H97" s="51" t="n"/>
      <c r="I97" s="270" t="n"/>
      <c r="K97" s="270" t="n"/>
      <c r="M97" s="270" t="n"/>
      <c r="N97" s="270" t="n"/>
    </row>
    <row r="98">
      <c r="A98" t="n">
        <v>287</v>
      </c>
      <c r="B98" s="1" t="n">
        <v>43100</v>
      </c>
      <c r="C98" s="9" t="n"/>
      <c r="D98" s="1" t="inlineStr">
        <is>
          <t>(nicht relevant)</t>
        </is>
      </c>
      <c r="E98" s="1" t="inlineStr">
        <is>
          <t>Ausgaben</t>
        </is>
      </c>
      <c r="F98" s="16" t="n"/>
      <c r="G98" s="36" t="n"/>
      <c r="H98" s="51" t="n"/>
      <c r="I98" s="270" t="n"/>
      <c r="K98" s="270" t="n"/>
      <c r="M98" s="270" t="n"/>
      <c r="N98" s="270" t="n"/>
    </row>
    <row r="99">
      <c r="A99" t="n">
        <v>288</v>
      </c>
      <c r="B99" s="1" t="n">
        <v>43100</v>
      </c>
      <c r="C99" s="9" t="n"/>
      <c r="D99" s="1" t="inlineStr">
        <is>
          <t>(nicht relevant)</t>
        </is>
      </c>
      <c r="E99" s="1" t="inlineStr">
        <is>
          <t>Ausgaben</t>
        </is>
      </c>
      <c r="F99" s="16" t="n"/>
      <c r="G99" s="36" t="n"/>
      <c r="H99" s="51" t="n"/>
      <c r="I99" s="270" t="n"/>
      <c r="K99" s="270" t="n"/>
      <c r="M99" s="270" t="n"/>
      <c r="N99" s="270" t="n"/>
    </row>
    <row r="100">
      <c r="A100" t="n">
        <v>289</v>
      </c>
      <c r="B100" s="1" t="n">
        <v>43100</v>
      </c>
      <c r="C100" s="9" t="n"/>
      <c r="D100" s="1" t="inlineStr">
        <is>
          <t>(nicht relevant)</t>
        </is>
      </c>
      <c r="E100" s="1" t="inlineStr">
        <is>
          <t>Ausgaben</t>
        </is>
      </c>
      <c r="F100" s="16" t="n"/>
      <c r="G100" s="36" t="n"/>
      <c r="H100" s="51" t="n"/>
      <c r="I100" s="270" t="n"/>
      <c r="K100" s="270" t="n"/>
      <c r="M100" s="270" t="n"/>
      <c r="N100" s="270" t="n"/>
    </row>
    <row r="101">
      <c r="A101" t="n">
        <v>290</v>
      </c>
      <c r="B101" s="1" t="n">
        <v>43100</v>
      </c>
      <c r="C101" s="9" t="n"/>
      <c r="D101" s="1" t="inlineStr">
        <is>
          <t>(nicht relevant)</t>
        </is>
      </c>
      <c r="E101" s="1" t="inlineStr">
        <is>
          <t>Ausgaben</t>
        </is>
      </c>
      <c r="F101" s="16" t="n"/>
      <c r="G101" s="36" t="n"/>
      <c r="H101" s="51" t="n"/>
      <c r="I101" s="270" t="n"/>
      <c r="K101" s="270" t="n"/>
      <c r="M101" s="270" t="n"/>
      <c r="N101" s="270" t="n"/>
    </row>
    <row r="102">
      <c r="A102" t="n">
        <v>291</v>
      </c>
      <c r="B102" s="1" t="n">
        <v>43100</v>
      </c>
      <c r="C102" s="9" t="n"/>
      <c r="D102" s="1" t="inlineStr">
        <is>
          <t>(nicht relevant)</t>
        </is>
      </c>
      <c r="E102" s="1" t="inlineStr">
        <is>
          <t>Ausgaben</t>
        </is>
      </c>
      <c r="F102" s="16" t="n"/>
      <c r="G102" s="36" t="n"/>
      <c r="H102" s="51" t="n"/>
      <c r="I102" s="270" t="n"/>
      <c r="K102" s="270" t="n"/>
      <c r="M102" s="270" t="n"/>
      <c r="N102" s="270" t="n"/>
    </row>
    <row r="103">
      <c r="A103" t="n">
        <v>292</v>
      </c>
      <c r="B103" s="1" t="n">
        <v>43100</v>
      </c>
      <c r="C103" s="9" t="n"/>
      <c r="D103" s="1" t="inlineStr">
        <is>
          <t>(nicht relevant)</t>
        </is>
      </c>
      <c r="E103" s="1" t="inlineStr">
        <is>
          <t>Ausgaben</t>
        </is>
      </c>
      <c r="F103" s="16" t="n"/>
      <c r="G103" s="36" t="n"/>
      <c r="H103" s="51" t="n"/>
      <c r="I103" s="270" t="n"/>
      <c r="K103" s="270" t="n"/>
      <c r="M103" s="270" t="n"/>
      <c r="N103" s="270" t="n"/>
    </row>
    <row r="104">
      <c r="A104" t="n">
        <v>293</v>
      </c>
      <c r="B104" s="1" t="n">
        <v>43100</v>
      </c>
      <c r="C104" s="9" t="n"/>
      <c r="D104" s="1" t="inlineStr">
        <is>
          <t>(nicht relevant)</t>
        </is>
      </c>
      <c r="E104" s="1" t="inlineStr">
        <is>
          <t>Ausgaben</t>
        </is>
      </c>
      <c r="F104" s="16" t="n"/>
      <c r="G104" s="36" t="n"/>
      <c r="H104" s="51" t="n"/>
      <c r="I104" s="270" t="n"/>
      <c r="K104" s="270" t="n"/>
      <c r="M104" s="270" t="n"/>
      <c r="N104" s="270" t="n"/>
    </row>
    <row r="105">
      <c r="A105" t="n">
        <v>294</v>
      </c>
      <c r="B105" s="1" t="n">
        <v>43100</v>
      </c>
      <c r="C105" s="9" t="n"/>
      <c r="D105" s="1" t="inlineStr">
        <is>
          <t>(nicht relevant)</t>
        </is>
      </c>
      <c r="E105" s="1" t="inlineStr">
        <is>
          <t>Ausgaben</t>
        </is>
      </c>
      <c r="F105" s="16" t="n"/>
      <c r="G105" s="36" t="n"/>
      <c r="H105" s="51" t="n"/>
      <c r="I105" s="270" t="n"/>
      <c r="K105" s="270" t="n"/>
      <c r="M105" s="270" t="n"/>
      <c r="N105" s="270" t="n"/>
    </row>
    <row r="106">
      <c r="A106" t="n">
        <v>295</v>
      </c>
      <c r="B106" s="1" t="n">
        <v>43100</v>
      </c>
      <c r="C106" s="9" t="n"/>
      <c r="D106" s="1" t="inlineStr">
        <is>
          <t>(nicht relevant)</t>
        </is>
      </c>
      <c r="E106" s="1" t="inlineStr">
        <is>
          <t>Ausgaben</t>
        </is>
      </c>
      <c r="F106" s="16" t="n"/>
      <c r="G106" s="36" t="n"/>
      <c r="H106" s="51" t="n"/>
      <c r="I106" s="270" t="n"/>
      <c r="K106" s="270" t="n"/>
      <c r="M106" s="270" t="n"/>
      <c r="N106" s="270" t="n"/>
    </row>
    <row r="107">
      <c r="A107" t="n">
        <v>296</v>
      </c>
      <c r="B107" s="1" t="n">
        <v>43100</v>
      </c>
      <c r="C107" s="9" t="n"/>
      <c r="D107" s="1" t="inlineStr">
        <is>
          <t>(nicht relevant)</t>
        </is>
      </c>
      <c r="E107" s="1" t="inlineStr">
        <is>
          <t>Ausgaben</t>
        </is>
      </c>
      <c r="F107" s="16" t="n"/>
      <c r="G107" s="36" t="n"/>
      <c r="H107" s="51" t="n"/>
      <c r="I107" s="270" t="n"/>
      <c r="K107" s="270" t="n"/>
      <c r="M107" s="270" t="n"/>
      <c r="N107" s="270" t="n"/>
    </row>
    <row r="108">
      <c r="A108" t="n">
        <v>297</v>
      </c>
      <c r="B108" s="1" t="n">
        <v>43100</v>
      </c>
      <c r="C108" s="9" t="n"/>
      <c r="D108" s="1" t="inlineStr">
        <is>
          <t>(nicht relevant)</t>
        </is>
      </c>
      <c r="E108" s="1" t="inlineStr">
        <is>
          <t>Ausgaben</t>
        </is>
      </c>
      <c r="F108" s="16" t="n"/>
      <c r="G108" s="36" t="n"/>
      <c r="H108" s="51" t="n"/>
      <c r="I108" s="270" t="n"/>
      <c r="K108" s="270" t="n"/>
      <c r="M108" s="270" t="n"/>
      <c r="N108" s="270" t="n"/>
    </row>
    <row r="109">
      <c r="A109" t="n">
        <v>298</v>
      </c>
      <c r="B109" s="1" t="n">
        <v>43100</v>
      </c>
      <c r="C109" s="9" t="n"/>
      <c r="D109" s="1" t="inlineStr">
        <is>
          <t>(nicht relevant)</t>
        </is>
      </c>
      <c r="E109" s="1" t="inlineStr">
        <is>
          <t>Ausgaben</t>
        </is>
      </c>
      <c r="F109" s="16" t="n"/>
      <c r="G109" s="36" t="n"/>
      <c r="H109" s="51" t="n"/>
      <c r="I109" s="270" t="n"/>
      <c r="K109" s="270" t="n"/>
      <c r="M109" s="270" t="n"/>
      <c r="N109" s="270" t="n"/>
    </row>
    <row r="110">
      <c r="A110" t="n">
        <v>299</v>
      </c>
      <c r="B110" s="1" t="n">
        <v>43100</v>
      </c>
      <c r="C110" s="9" t="n"/>
      <c r="D110" s="1" t="inlineStr">
        <is>
          <t>(nicht relevant)</t>
        </is>
      </c>
      <c r="E110" s="1" t="inlineStr">
        <is>
          <t>Ausgaben</t>
        </is>
      </c>
      <c r="F110" s="16" t="n"/>
      <c r="G110" s="36" t="n"/>
      <c r="H110" s="51" t="n"/>
      <c r="I110" s="270" t="n"/>
      <c r="K110" s="270" t="n"/>
      <c r="M110" s="270" t="n"/>
      <c r="N110" s="270" t="n"/>
    </row>
    <row r="111">
      <c r="A111" t="n">
        <v>300</v>
      </c>
      <c r="B111" s="1" t="n">
        <v>42752</v>
      </c>
      <c r="C111" s="9" t="inlineStr">
        <is>
          <t>161912688-00</t>
        </is>
      </c>
      <c r="D111" t="inlineStr">
        <is>
          <t>2/3 der mit 20% besteuerten Posten -  Nachtrag UPC 2017-12</t>
        </is>
      </c>
      <c r="E111" s="1" t="inlineStr">
        <is>
          <t>Ausgaben</t>
        </is>
      </c>
      <c r="F111" s="16" t="inlineStr">
        <is>
          <t>Telefon/Internet</t>
        </is>
      </c>
      <c r="G111" s="36">
        <f>20.61+1.04+2.5-2.5</f>
        <v/>
      </c>
      <c r="H111" s="51">
        <f>2/3</f>
        <v/>
      </c>
      <c r="I111" s="270">
        <f>N111*(100+J111)%</f>
        <v/>
      </c>
      <c r="J111" s="67" t="n">
        <v>20</v>
      </c>
      <c r="K111" s="270" t="n">
        <v>6.24</v>
      </c>
      <c r="L111" s="67">
        <f>J111&amp;"%"</f>
        <v/>
      </c>
      <c r="M111" s="270" t="n">
        <v>2.103473994111875</v>
      </c>
      <c r="N111" s="270">
        <f>G111*H111</f>
        <v/>
      </c>
    </row>
    <row r="112">
      <c r="A112" t="n">
        <v>301</v>
      </c>
      <c r="B112" s="1" t="n">
        <v>42782</v>
      </c>
      <c r="C112" s="9" t="inlineStr">
        <is>
          <t>162355217-00</t>
        </is>
      </c>
      <c r="D112" t="inlineStr">
        <is>
          <t>2/3 der mit 20% besteuerten Posten -  Nachtrag UPC 2017-12</t>
        </is>
      </c>
      <c r="E112" s="1" t="inlineStr">
        <is>
          <t>Ausgaben</t>
        </is>
      </c>
      <c r="F112" s="16" t="inlineStr">
        <is>
          <t>Telefon/Internet</t>
        </is>
      </c>
      <c r="G112" s="36">
        <f>20.61+1.04+2.5-2.5</f>
        <v/>
      </c>
      <c r="H112" s="51">
        <f>2/3</f>
        <v/>
      </c>
      <c r="I112" s="270">
        <f>N112*(100+J112)%</f>
        <v/>
      </c>
      <c r="J112" s="67" t="n">
        <v>20</v>
      </c>
      <c r="K112" s="270" t="n">
        <v>6.24</v>
      </c>
      <c r="L112" s="67">
        <f>J112&amp;"%"</f>
        <v/>
      </c>
      <c r="M112" s="270" t="n">
        <v>2.103473994111875</v>
      </c>
      <c r="N112" s="270">
        <f>G112*H112</f>
        <v/>
      </c>
    </row>
    <row r="113">
      <c r="A113" t="n">
        <v>302</v>
      </c>
      <c r="B113" s="1" t="n">
        <v>42810</v>
      </c>
      <c r="C113" s="9" t="inlineStr">
        <is>
          <t>162806671-00</t>
        </is>
      </c>
      <c r="D113" t="inlineStr">
        <is>
          <t>2/3 der mit 20% besteuerten Posten -  Nachtrag UPC 2017-12</t>
        </is>
      </c>
      <c r="E113" s="1" t="inlineStr">
        <is>
          <t>Ausgaben</t>
        </is>
      </c>
      <c r="F113" s="16" t="inlineStr">
        <is>
          <t>Telefon/Internet</t>
        </is>
      </c>
      <c r="G113" s="36">
        <f>20.61+1.04+2.5-2.5</f>
        <v/>
      </c>
      <c r="H113" s="51">
        <f>2/3</f>
        <v/>
      </c>
      <c r="I113" s="270">
        <f>N113*(100+J113)%</f>
        <v/>
      </c>
      <c r="J113" s="67" t="n">
        <v>20</v>
      </c>
      <c r="K113" s="270" t="n">
        <v>6.24</v>
      </c>
      <c r="L113" s="67">
        <f>J113&amp;"%"</f>
        <v/>
      </c>
      <c r="M113" s="270" t="n">
        <v>2.103473994111875</v>
      </c>
      <c r="N113" s="270">
        <f>G113*H113</f>
        <v/>
      </c>
    </row>
    <row r="114">
      <c r="A114" t="n">
        <v>303</v>
      </c>
      <c r="B114" s="1" t="n">
        <v>42843</v>
      </c>
      <c r="C114" s="9" t="inlineStr">
        <is>
          <t>163259537-00</t>
        </is>
      </c>
      <c r="D114" t="inlineStr">
        <is>
          <t>2/3 der mit 20% besteuerten Posten -  Nachtrag UPC 2017-12</t>
        </is>
      </c>
      <c r="E114" s="1" t="inlineStr">
        <is>
          <t>Ausgaben</t>
        </is>
      </c>
      <c r="F114" s="16" t="inlineStr">
        <is>
          <t>Telefon/Internet</t>
        </is>
      </c>
      <c r="G114" s="36">
        <f>20.61+1.04+2.5-2.5</f>
        <v/>
      </c>
      <c r="H114" s="51">
        <f>2/3</f>
        <v/>
      </c>
      <c r="I114" s="270">
        <f>N114*(100+J114)%</f>
        <v/>
      </c>
      <c r="J114" s="67" t="n">
        <v>20</v>
      </c>
      <c r="K114" s="270" t="n">
        <v>6.24</v>
      </c>
      <c r="L114" s="67">
        <f>J114&amp;"%"</f>
        <v/>
      </c>
      <c r="M114" s="270" t="n">
        <v>2.103473994111875</v>
      </c>
      <c r="N114" s="270">
        <f>G114*H114</f>
        <v/>
      </c>
    </row>
    <row r="115">
      <c r="A115" t="n">
        <v>304</v>
      </c>
      <c r="B115" s="1" t="n">
        <v>42873</v>
      </c>
      <c r="C115" s="9" t="inlineStr">
        <is>
          <t>163739259-00</t>
        </is>
      </c>
      <c r="D115" t="inlineStr">
        <is>
          <t>2/3 der mit 20% besteuerten Posten -  Nachtrag UPC 2017-12</t>
        </is>
      </c>
      <c r="E115" s="1" t="inlineStr">
        <is>
          <t>Ausgaben</t>
        </is>
      </c>
      <c r="F115" s="16" t="inlineStr">
        <is>
          <t>Telefon/Internet</t>
        </is>
      </c>
      <c r="G115" s="36">
        <f>20.61+1.04+2.5-2.5</f>
        <v/>
      </c>
      <c r="H115" s="51">
        <f>2/3</f>
        <v/>
      </c>
      <c r="I115" s="270">
        <f>N115*(100+J115)%</f>
        <v/>
      </c>
      <c r="J115" s="67" t="n">
        <v>20</v>
      </c>
      <c r="K115" s="270" t="n">
        <v>6.24</v>
      </c>
      <c r="L115" s="67">
        <f>J115&amp;"%"</f>
        <v/>
      </c>
      <c r="M115" s="270" t="n">
        <v>2.103473994111875</v>
      </c>
      <c r="N115" s="270">
        <f>G115*H115</f>
        <v/>
      </c>
    </row>
    <row r="116">
      <c r="A116" t="n">
        <v>305</v>
      </c>
      <c r="B116" s="1" t="n">
        <v>42906</v>
      </c>
      <c r="C116" s="9" t="inlineStr">
        <is>
          <t>164194770-00</t>
        </is>
      </c>
      <c r="D116" t="inlineStr">
        <is>
          <t>2/3 der mit 20% besteuerten Posten -  Nachtrag UPC 2017-12</t>
        </is>
      </c>
      <c r="E116" s="1" t="inlineStr">
        <is>
          <t>Ausgaben</t>
        </is>
      </c>
      <c r="F116" s="16" t="inlineStr">
        <is>
          <t>Telefon/Internet</t>
        </is>
      </c>
      <c r="G116" s="36">
        <f>20.61+1.04+2.5-2.5</f>
        <v/>
      </c>
      <c r="H116" s="51">
        <f>2/3</f>
        <v/>
      </c>
      <c r="I116" s="270">
        <f>N116*(100+J116)%</f>
        <v/>
      </c>
      <c r="J116" s="67" t="n">
        <v>20</v>
      </c>
      <c r="K116" s="270" t="n">
        <v>6.24</v>
      </c>
      <c r="L116" s="67">
        <f>J116&amp;"%"</f>
        <v/>
      </c>
      <c r="M116" s="270" t="n">
        <v>2.103473994111875</v>
      </c>
      <c r="N116" s="270">
        <f>G116*H116</f>
        <v/>
      </c>
    </row>
    <row r="117">
      <c r="A117" t="n">
        <v>306</v>
      </c>
      <c r="B117" s="1" t="n">
        <v>42920</v>
      </c>
      <c r="C117" s="9" t="inlineStr">
        <is>
          <t>164485132-00</t>
        </is>
      </c>
      <c r="D117" t="inlineStr">
        <is>
          <t>2/3 der mit 20% besteuerten Posten -  Nachtrag UPC 2017-12</t>
        </is>
      </c>
      <c r="E117" s="1" t="inlineStr">
        <is>
          <t>Ausgaben</t>
        </is>
      </c>
      <c r="F117" s="16" t="inlineStr">
        <is>
          <t>Telefon/Internet</t>
        </is>
      </c>
      <c r="G117" s="36">
        <f>20.61+1.04+2.5-2.5</f>
        <v/>
      </c>
      <c r="H117" s="51">
        <f>2/3</f>
        <v/>
      </c>
      <c r="I117" s="270">
        <f>N117*(100+J117)%</f>
        <v/>
      </c>
      <c r="J117" s="67" t="n">
        <v>20</v>
      </c>
      <c r="K117" s="270" t="n">
        <v>6.24</v>
      </c>
      <c r="L117" s="67">
        <f>J117&amp;"%"</f>
        <v/>
      </c>
      <c r="M117" s="270" t="n">
        <v>2.103473994111875</v>
      </c>
      <c r="N117" s="270">
        <f>G117*H117</f>
        <v/>
      </c>
    </row>
    <row r="118">
      <c r="A118" t="n">
        <v>307</v>
      </c>
      <c r="B118" s="1" t="n">
        <v>42950</v>
      </c>
      <c r="C118" s="9" t="inlineStr">
        <is>
          <t>164944624-00</t>
        </is>
      </c>
      <c r="D118" t="inlineStr">
        <is>
          <t>2/3 der mit 20% besteuerten Posten -  Nachtrag UPC 2017-12</t>
        </is>
      </c>
      <c r="E118" s="1" t="inlineStr">
        <is>
          <t>Ausgaben</t>
        </is>
      </c>
      <c r="F118" s="16" t="inlineStr">
        <is>
          <t>Telefon/Internet</t>
        </is>
      </c>
      <c r="G118" s="36">
        <f>20.61+1.04+2.5-2.5</f>
        <v/>
      </c>
      <c r="H118" s="51">
        <f>2/3</f>
        <v/>
      </c>
      <c r="I118" s="270">
        <f>N118*(100+J118)%</f>
        <v/>
      </c>
      <c r="J118" s="67" t="n">
        <v>20</v>
      </c>
      <c r="K118" s="270" t="n">
        <v>6.24</v>
      </c>
      <c r="L118" s="67">
        <f>J118&amp;"%"</f>
        <v/>
      </c>
      <c r="M118" s="270" t="n">
        <v>2.103473994111875</v>
      </c>
      <c r="N118" s="270">
        <f>G118*H118</f>
        <v/>
      </c>
    </row>
    <row r="119">
      <c r="A119" t="n">
        <v>308</v>
      </c>
      <c r="B119" s="1" t="n">
        <v>42983</v>
      </c>
      <c r="C119" s="9" t="inlineStr">
        <is>
          <t>165431550-00</t>
        </is>
      </c>
      <c r="D119" t="inlineStr">
        <is>
          <t>2/3 der mit 20% besteuerten Posten -  Nachtrag UPC 2017-12</t>
        </is>
      </c>
      <c r="E119" s="1" t="inlineStr">
        <is>
          <t>Ausgaben</t>
        </is>
      </c>
      <c r="F119" s="16" t="inlineStr">
        <is>
          <t>Telefon/Internet</t>
        </is>
      </c>
      <c r="G119" s="36">
        <f>20.61+1.04+2.5-2.5</f>
        <v/>
      </c>
      <c r="H119" s="51">
        <f>2/3</f>
        <v/>
      </c>
      <c r="I119" s="270">
        <f>N119*(100+J119)%</f>
        <v/>
      </c>
      <c r="J119" s="67" t="n">
        <v>20</v>
      </c>
      <c r="K119" s="270" t="n">
        <v>6.24</v>
      </c>
      <c r="L119" s="67">
        <f>J119&amp;"%"</f>
        <v/>
      </c>
      <c r="M119" s="270" t="n">
        <v>2.103473994111875</v>
      </c>
      <c r="N119" s="270">
        <f>G119*H119</f>
        <v/>
      </c>
    </row>
    <row r="120">
      <c r="A120" t="n">
        <v>309</v>
      </c>
      <c r="B120" s="1" t="n">
        <v>43013</v>
      </c>
      <c r="C120" s="9" t="inlineStr">
        <is>
          <t>165891138-00</t>
        </is>
      </c>
      <c r="D120" t="inlineStr">
        <is>
          <t>2/3 der mit 20% besteuerten Posten -  Nachtrag UPC 2017-12</t>
        </is>
      </c>
      <c r="E120" s="1" t="inlineStr">
        <is>
          <t>Ausgaben</t>
        </is>
      </c>
      <c r="F120" s="16" t="inlineStr">
        <is>
          <t>Telefon/Internet</t>
        </is>
      </c>
      <c r="G120" s="36">
        <f>20.61+1.04+2.5-2.5</f>
        <v/>
      </c>
      <c r="H120" s="51">
        <f>2/3</f>
        <v/>
      </c>
      <c r="I120" s="270">
        <f>N120*(100+J120)%</f>
        <v/>
      </c>
      <c r="J120" s="67" t="n">
        <v>20</v>
      </c>
      <c r="K120" s="270" t="n">
        <v>6.24</v>
      </c>
      <c r="L120" s="67">
        <f>J120&amp;"%"</f>
        <v/>
      </c>
      <c r="M120" s="270" t="n">
        <v>2.103473994111875</v>
      </c>
      <c r="N120" s="270">
        <f>G120*H120</f>
        <v/>
      </c>
    </row>
    <row r="121">
      <c r="A121" t="n">
        <v>310</v>
      </c>
      <c r="B121" s="1" t="n">
        <v>43046</v>
      </c>
      <c r="C121" s="9" t="inlineStr">
        <is>
          <t>166356416-00</t>
        </is>
      </c>
      <c r="D121" t="inlineStr">
        <is>
          <t>2/3 der mit 20% besteuerten Posten -  Nachtrag UPC 2017-12</t>
        </is>
      </c>
      <c r="E121" s="1" t="inlineStr">
        <is>
          <t>Ausgaben</t>
        </is>
      </c>
      <c r="F121" s="16" t="inlineStr">
        <is>
          <t>Telefon/Internet</t>
        </is>
      </c>
      <c r="G121" s="36">
        <f>20.61+1.04+2.5-2.5</f>
        <v/>
      </c>
      <c r="H121" s="51">
        <f>2/3</f>
        <v/>
      </c>
      <c r="I121" s="270">
        <f>N121*(100+J121)%</f>
        <v/>
      </c>
      <c r="J121" s="67" t="n">
        <v>20</v>
      </c>
      <c r="K121" s="270" t="n">
        <v>6.24</v>
      </c>
      <c r="L121" s="67">
        <f>J121&amp;"%"</f>
        <v/>
      </c>
      <c r="M121" s="270" t="n">
        <v>2.103473994111875</v>
      </c>
      <c r="N121" s="270">
        <f>G121*H121</f>
        <v/>
      </c>
    </row>
    <row r="122">
      <c r="A122" t="n">
        <v>311</v>
      </c>
      <c r="B122" s="1" t="n">
        <v>43074</v>
      </c>
      <c r="C122" s="9" t="inlineStr">
        <is>
          <t>166818894-00</t>
        </is>
      </c>
      <c r="D122" t="inlineStr">
        <is>
          <t>2/3 der mit 20% besteuerten Posten -  Nachtrag UPC 2017-12</t>
        </is>
      </c>
      <c r="E122" s="1" t="inlineStr">
        <is>
          <t>Ausgaben</t>
        </is>
      </c>
      <c r="F122" s="16" t="inlineStr">
        <is>
          <t>Telefon/Internet</t>
        </is>
      </c>
      <c r="G122" s="36">
        <f>20.66+1.04+2.5-2.5</f>
        <v/>
      </c>
      <c r="H122" s="51">
        <f>2/3</f>
        <v/>
      </c>
      <c r="I122" s="270">
        <f>N122*(100+J122)%</f>
        <v/>
      </c>
      <c r="J122" s="67" t="n">
        <v>20</v>
      </c>
      <c r="K122" s="270" t="n">
        <v>6.38</v>
      </c>
      <c r="L122" s="67">
        <f>J122&amp;"%"</f>
        <v/>
      </c>
      <c r="M122" s="270" t="n">
        <v>2.139091204154496</v>
      </c>
      <c r="N122" s="270">
        <f>G122*H122</f>
        <v/>
      </c>
    </row>
    <row r="123">
      <c r="A123" s="43" t="n">
        <v>12017001</v>
      </c>
      <c r="B123" s="1" t="n">
        <v>42789</v>
      </c>
      <c r="D123" t="inlineStr">
        <is>
          <t>Dr. Katalin Schiller, Neustiftgasse 2, Top 3, 2500 Baden</t>
        </is>
      </c>
      <c r="E123" t="inlineStr">
        <is>
          <t>Einnahmen</t>
        </is>
      </c>
      <c r="F123" s="69" t="inlineStr">
        <is>
          <t>Waren-/Leistungserlöse</t>
        </is>
      </c>
      <c r="I123" s="270" t="n">
        <v>50.4</v>
      </c>
      <c r="K123" s="270" t="n"/>
      <c r="L123" s="68" t="n">
        <v>0.2</v>
      </c>
      <c r="M123" s="270" t="n">
        <v>8.4</v>
      </c>
      <c r="N123" s="270" t="n">
        <v>42</v>
      </c>
    </row>
    <row r="124">
      <c r="A124" s="43" t="n">
        <v>12017002</v>
      </c>
      <c r="B124" s="1" t="n">
        <v>42836</v>
      </c>
      <c r="D124" t="inlineStr">
        <is>
          <t>H. Jaros e.U., Fischhof 3/23, 1010 Wien, ATU 67698048</t>
        </is>
      </c>
      <c r="E124" t="inlineStr">
        <is>
          <t>Einnahmen</t>
        </is>
      </c>
      <c r="F124" s="69" t="inlineStr">
        <is>
          <t>Waren-/Leistungserlöse</t>
        </is>
      </c>
      <c r="I124" s="270" t="n">
        <v>841.5</v>
      </c>
      <c r="K124" s="270" t="n"/>
      <c r="L124" s="68" t="n">
        <v>0.2</v>
      </c>
      <c r="M124" s="270" t="n">
        <v>140.25</v>
      </c>
      <c r="N124" s="270" t="n">
        <v>701.25</v>
      </c>
    </row>
    <row r="125">
      <c r="A125" s="43" t="n">
        <v>12017003</v>
      </c>
      <c r="B125" s="1" t="n">
        <v>42858</v>
      </c>
      <c r="D125" t="inlineStr">
        <is>
          <t>Dr. Arno Kolbitsch, Zivilingenieur, Gütleweg 1, 6822 Satteins</t>
        </is>
      </c>
      <c r="E125" t="inlineStr">
        <is>
          <t>Einnahmen</t>
        </is>
      </c>
      <c r="F125" s="69" t="inlineStr">
        <is>
          <t>Waren-/Leistungserlöse</t>
        </is>
      </c>
      <c r="I125" s="270" t="n">
        <v>3205.5</v>
      </c>
      <c r="K125" s="270" t="n"/>
      <c r="L125" s="68" t="n">
        <v>0.2</v>
      </c>
      <c r="M125" s="270" t="n">
        <v>534.25</v>
      </c>
      <c r="N125" s="270" t="n">
        <v>2671.25</v>
      </c>
    </row>
    <row r="126">
      <c r="A126" s="43" t="n">
        <v>12017004</v>
      </c>
      <c r="B126" s="1" t="n">
        <v>42999</v>
      </c>
      <c r="D126" t="inlineStr">
        <is>
          <t>foxcraft OG, Laudongasse 58/16, 1080 Wien</t>
        </is>
      </c>
      <c r="E126" t="inlineStr">
        <is>
          <t>Einnahmen</t>
        </is>
      </c>
      <c r="F126" s="69" t="inlineStr">
        <is>
          <t>Waren-/Leistungserlöse</t>
        </is>
      </c>
      <c r="I126" s="270" t="n">
        <v>34.92</v>
      </c>
      <c r="K126" s="270" t="n"/>
      <c r="L126" s="68" t="n">
        <v>0.2</v>
      </c>
      <c r="M126" s="270" t="n">
        <v>5.82</v>
      </c>
      <c r="N126" s="270" t="n">
        <v>29.1</v>
      </c>
    </row>
    <row r="127">
      <c r="A127" t="n">
        <v>12017005</v>
      </c>
      <c r="B127" s="1" t="n">
        <v>43039</v>
      </c>
      <c r="D127" t="inlineStr">
        <is>
          <t>Dr. Arno Kolbitsch, Zivilingenieur, Gütleweg 1, 6822 Satteins</t>
        </is>
      </c>
      <c r="E127" t="inlineStr">
        <is>
          <t>Einnahmen</t>
        </is>
      </c>
      <c r="F127" s="69" t="inlineStr">
        <is>
          <t>Waren-/Leistungserlöse</t>
        </is>
      </c>
      <c r="I127" s="270" t="n">
        <v>2632.5</v>
      </c>
      <c r="K127" s="270" t="n"/>
      <c r="L127" s="68" t="n">
        <v>0.2</v>
      </c>
      <c r="M127" s="270" t="n">
        <v>438.75</v>
      </c>
      <c r="N127" s="270" t="n">
        <v>2193.75</v>
      </c>
    </row>
    <row r="128">
      <c r="A128" t="n">
        <v>12017006</v>
      </c>
      <c r="B128" s="1" t="n">
        <v>43054</v>
      </c>
      <c r="D128" t="inlineStr">
        <is>
          <t>Stokol GmbH, Weiglg. 10/10d/11, 1150 Wien</t>
        </is>
      </c>
      <c r="E128" t="inlineStr">
        <is>
          <t>Einnahmen</t>
        </is>
      </c>
      <c r="F128" s="69" t="inlineStr">
        <is>
          <t>Waren-/Leistungserlöse</t>
        </is>
      </c>
      <c r="I128" s="270" t="n">
        <v>2580.612</v>
      </c>
      <c r="K128" s="270" t="n"/>
      <c r="L128" s="68" t="n">
        <v>0.2</v>
      </c>
      <c r="M128" s="270" t="n">
        <v>430.102</v>
      </c>
      <c r="N128" s="270" t="n">
        <v>2150.51</v>
      </c>
    </row>
    <row r="129">
      <c r="A129" t="n">
        <v>12017007</v>
      </c>
      <c r="B129" s="1" t="n">
        <v>43067</v>
      </c>
      <c r="D129" t="inlineStr">
        <is>
          <t>Stokol GmbH, Weiglg. 10/10d/11, 1150 Wien</t>
        </is>
      </c>
      <c r="E129" t="inlineStr">
        <is>
          <t>Einnahmen</t>
        </is>
      </c>
      <c r="F129" s="69" t="inlineStr">
        <is>
          <t>Waren-/Leistungserlöse</t>
        </is>
      </c>
      <c r="I129" s="270" t="n">
        <v>625.188</v>
      </c>
      <c r="K129" s="270" t="n"/>
      <c r="L129" s="68" t="n">
        <v>0.2</v>
      </c>
      <c r="M129" s="270" t="n">
        <v>104.198</v>
      </c>
      <c r="N129" s="270" t="n">
        <v>520.99</v>
      </c>
    </row>
    <row r="130">
      <c r="A130" t="n">
        <v>12017008</v>
      </c>
      <c r="B130" s="1" t="n">
        <v>43091</v>
      </c>
      <c r="D130" t="inlineStr">
        <is>
          <t>foxcraft OG, Laudongasse 58/16, 1080 Wien</t>
        </is>
      </c>
      <c r="E130" t="inlineStr">
        <is>
          <t>Einnahmen</t>
        </is>
      </c>
      <c r="F130" s="69" t="inlineStr">
        <is>
          <t>Waren-/Leistungserlöse</t>
        </is>
      </c>
      <c r="I130" s="270" t="n">
        <v>720</v>
      </c>
      <c r="K130" s="270" t="n"/>
      <c r="L130" s="68" t="n">
        <v>0.2</v>
      </c>
      <c r="M130" s="270" t="n">
        <v>120</v>
      </c>
      <c r="N130" s="270" t="n">
        <v>600</v>
      </c>
    </row>
    <row r="131">
      <c r="A131" t="n">
        <v>12017009</v>
      </c>
      <c r="B131" s="1" t="n">
        <v>43097</v>
      </c>
      <c r="D131" t="inlineStr">
        <is>
          <t>Dr. Arno Kolbitsch, Zivilingenieur, Gütleweg 1, 6822 Satteins</t>
        </is>
      </c>
      <c r="E131" t="inlineStr">
        <is>
          <t>Einnahmen</t>
        </is>
      </c>
      <c r="F131" s="69" t="inlineStr">
        <is>
          <t>Waren-/Leistungserlöse</t>
        </is>
      </c>
      <c r="I131" s="270" t="n">
        <v>9155.627999999999</v>
      </c>
      <c r="K131" s="270" t="n"/>
      <c r="L131" s="68" t="n">
        <v>0.2</v>
      </c>
      <c r="M131" s="270" t="n">
        <v>1525.938</v>
      </c>
      <c r="N131" s="270" t="n">
        <v>7629.69</v>
      </c>
    </row>
    <row r="132">
      <c r="A132" t="n">
        <v>12017010</v>
      </c>
      <c r="B132" s="1" t="n">
        <v>43098</v>
      </c>
      <c r="D132" t="inlineStr">
        <is>
          <t>Stokol GmbH, Weiglg. 10/10d/11, 1150 Wien</t>
        </is>
      </c>
      <c r="E132" t="inlineStr">
        <is>
          <t>Einnahmen</t>
        </is>
      </c>
      <c r="F132" s="69" t="inlineStr">
        <is>
          <t>Waren-/Leistungserlöse</t>
        </is>
      </c>
      <c r="I132" s="270" t="n">
        <v>10771.404</v>
      </c>
      <c r="K132" s="270" t="n"/>
      <c r="L132" s="68" t="n">
        <v>0.2</v>
      </c>
      <c r="M132" s="270" t="n">
        <v>1795.234</v>
      </c>
      <c r="N132" s="270" t="n">
        <v>8976.17</v>
      </c>
    </row>
  </sheetData>
  <conditionalFormatting sqref="B2:B8 B10:B11 B13:B15 B17:B18 B20:B22 B36:B44 B51 B55 B57:B63 B65:B78 B80:B122">
    <cfRule type="expression" priority="5" dxfId="2">
      <formula>ISBLANK($D2)</formula>
    </cfRule>
  </conditionalFormatting>
  <conditionalFormatting sqref="B1">
    <cfRule type="expression" priority="65" dxfId="2">
      <formula>ISBLANK($D1)</formula>
    </cfRule>
  </conditionalFormatting>
  <conditionalFormatting sqref="G1">
    <cfRule type="expression" priority="64" dxfId="420">
      <formula>"$G$G&gt;400"</formula>
    </cfRule>
  </conditionalFormatting>
  <conditionalFormatting sqref="B29:B34">
    <cfRule type="expression" priority="63" dxfId="2">
      <formula>ISBLANK($D29)</formula>
    </cfRule>
  </conditionalFormatting>
  <conditionalFormatting sqref="G3">
    <cfRule type="expression" priority="62" dxfId="420">
      <formula>"$G$G&gt;400"</formula>
    </cfRule>
  </conditionalFormatting>
  <conditionalFormatting sqref="G2">
    <cfRule type="expression" priority="61" dxfId="420">
      <formula>"$G$G&gt;400"</formula>
    </cfRule>
  </conditionalFormatting>
  <conditionalFormatting sqref="B9">
    <cfRule type="expression" priority="60" dxfId="2">
      <formula>ISBLANK($D9)</formula>
    </cfRule>
  </conditionalFormatting>
  <conditionalFormatting sqref="G4:G5 G14:G15 G17:G18 G20:G21 G36 G43:G44 G55:G56 G61 G63:G75 G77:G78 G81 G85:G86 G122">
    <cfRule type="expression" priority="59" dxfId="420">
      <formula>"$G$G&gt;400"</formula>
    </cfRule>
  </conditionalFormatting>
  <conditionalFormatting sqref="G6">
    <cfRule type="expression" priority="58" dxfId="420">
      <formula>"$G$G&gt;400"</formula>
    </cfRule>
  </conditionalFormatting>
  <conditionalFormatting sqref="G7">
    <cfRule type="expression" priority="57" dxfId="420">
      <formula>"$G$G&gt;400"</formula>
    </cfRule>
  </conditionalFormatting>
  <conditionalFormatting sqref="G8">
    <cfRule type="expression" priority="56" dxfId="420">
      <formula>"$G$G&gt;400"</formula>
    </cfRule>
  </conditionalFormatting>
  <conditionalFormatting sqref="G9">
    <cfRule type="expression" priority="55" dxfId="420">
      <formula>"$G$G&gt;400"</formula>
    </cfRule>
  </conditionalFormatting>
  <conditionalFormatting sqref="G10">
    <cfRule type="expression" priority="54" dxfId="420">
      <formula>"$G$G&gt;400"</formula>
    </cfRule>
  </conditionalFormatting>
  <conditionalFormatting sqref="G11">
    <cfRule type="expression" priority="53" dxfId="420">
      <formula>"$G$G&gt;400"</formula>
    </cfRule>
  </conditionalFormatting>
  <conditionalFormatting sqref="B12">
    <cfRule type="expression" priority="52" dxfId="2">
      <formula>ISBLANK($D12)</formula>
    </cfRule>
  </conditionalFormatting>
  <conditionalFormatting sqref="B19">
    <cfRule type="expression" priority="51" dxfId="2">
      <formula>ISBLANK($D19)</formula>
    </cfRule>
  </conditionalFormatting>
  <conditionalFormatting sqref="G12">
    <cfRule type="expression" priority="50" dxfId="420">
      <formula>"$G$G&gt;400"</formula>
    </cfRule>
  </conditionalFormatting>
  <conditionalFormatting sqref="G13">
    <cfRule type="expression" priority="49" dxfId="420">
      <formula>"$G$G&gt;400"</formula>
    </cfRule>
  </conditionalFormatting>
  <conditionalFormatting sqref="G19">
    <cfRule type="expression" priority="48" dxfId="420">
      <formula>"$G$G&gt;400"</formula>
    </cfRule>
  </conditionalFormatting>
  <conditionalFormatting sqref="G22">
    <cfRule type="expression" priority="47" dxfId="420">
      <formula>"$G$G&gt;400"</formula>
    </cfRule>
  </conditionalFormatting>
  <conditionalFormatting sqref="G23:G26">
    <cfRule type="expression" priority="46" dxfId="420">
      <formula>"$G$G&gt;400"</formula>
    </cfRule>
  </conditionalFormatting>
  <conditionalFormatting sqref="B27">
    <cfRule type="expression" priority="45" dxfId="2">
      <formula>ISBLANK($D27)</formula>
    </cfRule>
  </conditionalFormatting>
  <conditionalFormatting sqref="B28">
    <cfRule type="expression" priority="44" dxfId="2">
      <formula>ISBLANK($D28)</formula>
    </cfRule>
  </conditionalFormatting>
  <conditionalFormatting sqref="G27">
    <cfRule type="expression" priority="43" dxfId="420">
      <formula>"$G$G&gt;400"</formula>
    </cfRule>
  </conditionalFormatting>
  <conditionalFormatting sqref="G28">
    <cfRule type="expression" priority="42" dxfId="420">
      <formula>"$G$G&gt;400"</formula>
    </cfRule>
  </conditionalFormatting>
  <conditionalFormatting sqref="B35">
    <cfRule type="expression" priority="41" dxfId="2">
      <formula>ISBLANK($D35)</formula>
    </cfRule>
  </conditionalFormatting>
  <conditionalFormatting sqref="B64">
    <cfRule type="expression" priority="40" dxfId="2">
      <formula>ISBLANK($D64)</formula>
    </cfRule>
  </conditionalFormatting>
  <conditionalFormatting sqref="B79">
    <cfRule type="expression" priority="39" dxfId="2">
      <formula>ISBLANK($D79)</formula>
    </cfRule>
  </conditionalFormatting>
  <conditionalFormatting sqref="G29:G33">
    <cfRule type="expression" priority="38" dxfId="420">
      <formula>"$G$G&gt;400"</formula>
    </cfRule>
  </conditionalFormatting>
  <conditionalFormatting sqref="G34">
    <cfRule type="expression" priority="37" dxfId="420">
      <formula>"$G$G&gt;400"</formula>
    </cfRule>
  </conditionalFormatting>
  <conditionalFormatting sqref="G35">
    <cfRule type="expression" priority="36" dxfId="420">
      <formula>"$G$G&gt;400"</formula>
    </cfRule>
  </conditionalFormatting>
  <conditionalFormatting sqref="G42">
    <cfRule type="expression" priority="35" dxfId="420">
      <formula>"$G$G&gt;400"</formula>
    </cfRule>
  </conditionalFormatting>
  <conditionalFormatting sqref="G38">
    <cfRule type="expression" priority="34" dxfId="420">
      <formula>"$G$G&gt;400"</formula>
    </cfRule>
  </conditionalFormatting>
  <conditionalFormatting sqref="G37">
    <cfRule type="expression" priority="33" dxfId="420">
      <formula>"$G$G&gt;400"</formula>
    </cfRule>
  </conditionalFormatting>
  <conditionalFormatting sqref="G43">
    <cfRule type="expression" priority="32" dxfId="420">
      <formula>"$G$G&gt;400"</formula>
    </cfRule>
  </conditionalFormatting>
  <conditionalFormatting sqref="G40">
    <cfRule type="expression" priority="31" dxfId="420">
      <formula>"$G$G&gt;400"</formula>
    </cfRule>
  </conditionalFormatting>
  <conditionalFormatting sqref="G39">
    <cfRule type="expression" priority="30" dxfId="420">
      <formula>"$G$G&gt;400"</formula>
    </cfRule>
  </conditionalFormatting>
  <conditionalFormatting sqref="G36">
    <cfRule type="expression" priority="29" dxfId="420">
      <formula>"$G$G&gt;400"</formula>
    </cfRule>
  </conditionalFormatting>
  <conditionalFormatting sqref="G41">
    <cfRule type="expression" priority="28" dxfId="420">
      <formula>"$G$G&gt;400"</formula>
    </cfRule>
  </conditionalFormatting>
  <conditionalFormatting sqref="G44">
    <cfRule type="expression" priority="27" dxfId="420">
      <formula>"$G$G&gt;400"</formula>
    </cfRule>
  </conditionalFormatting>
  <conditionalFormatting sqref="G45">
    <cfRule type="expression" priority="26" dxfId="420">
      <formula>"$G$G&gt;400"</formula>
    </cfRule>
  </conditionalFormatting>
  <conditionalFormatting sqref="G46">
    <cfRule type="expression" priority="25" dxfId="420">
      <formula>"$G$G&gt;400"</formula>
    </cfRule>
  </conditionalFormatting>
  <conditionalFormatting sqref="G47">
    <cfRule type="expression" priority="24" dxfId="420">
      <formula>"$G$G&gt;400"</formula>
    </cfRule>
  </conditionalFormatting>
  <conditionalFormatting sqref="G49">
    <cfRule type="expression" priority="23" dxfId="420">
      <formula>"$G$G&gt;400"</formula>
    </cfRule>
  </conditionalFormatting>
  <conditionalFormatting sqref="G50">
    <cfRule type="expression" priority="22" dxfId="420">
      <formula>"$G$G&gt;400"</formula>
    </cfRule>
  </conditionalFormatting>
  <conditionalFormatting sqref="G48">
    <cfRule type="expression" priority="21" dxfId="420">
      <formula>"$G$G&gt;400"</formula>
    </cfRule>
    <cfRule type="expression" priority="20" dxfId="420">
      <formula>"$G$G&gt;400"</formula>
    </cfRule>
  </conditionalFormatting>
  <conditionalFormatting sqref="G51">
    <cfRule type="expression" priority="19" dxfId="420">
      <formula>"$G$G&gt;400"</formula>
    </cfRule>
  </conditionalFormatting>
  <conditionalFormatting sqref="G52">
    <cfRule type="expression" priority="18" dxfId="420">
      <formula>"$G$G&gt;400"</formula>
    </cfRule>
    <cfRule type="expression" priority="17" dxfId="420">
      <formula>"$G$G&gt;400"</formula>
    </cfRule>
  </conditionalFormatting>
  <conditionalFormatting sqref="G53">
    <cfRule type="expression" priority="16" dxfId="420">
      <formula>"$G$G&gt;400"</formula>
    </cfRule>
  </conditionalFormatting>
  <conditionalFormatting sqref="G54">
    <cfRule type="expression" priority="15" dxfId="420">
      <formula>"$G$G&gt;400"</formula>
    </cfRule>
  </conditionalFormatting>
  <conditionalFormatting sqref="G57">
    <cfRule type="expression" priority="14" dxfId="420">
      <formula>"$G$G&gt;400"</formula>
    </cfRule>
  </conditionalFormatting>
  <conditionalFormatting sqref="G76">
    <cfRule type="expression" priority="13" dxfId="420">
      <formula>"$G$G&gt;400"</formula>
    </cfRule>
  </conditionalFormatting>
  <conditionalFormatting sqref="G79">
    <cfRule type="expression" priority="12" dxfId="420">
      <formula>"$G$G&gt;400"</formula>
    </cfRule>
  </conditionalFormatting>
  <conditionalFormatting sqref="G80">
    <cfRule type="expression" priority="11" dxfId="420">
      <formula>"$G$G&gt;400"</formula>
    </cfRule>
  </conditionalFormatting>
  <conditionalFormatting sqref="G82">
    <cfRule type="expression" priority="10" dxfId="420">
      <formula>"$G$G&gt;400"</formula>
    </cfRule>
  </conditionalFormatting>
  <conditionalFormatting sqref="G83:G84">
    <cfRule type="expression" priority="9" dxfId="420">
      <formula>"$G$G&gt;400"</formula>
    </cfRule>
    <cfRule type="expression" priority="8" dxfId="420">
      <formula>"$G$G&gt;400"</formula>
    </cfRule>
  </conditionalFormatting>
  <conditionalFormatting sqref="G87:G88">
    <cfRule type="expression" priority="7" dxfId="420">
      <formula>"$G$G&gt;400"</formula>
    </cfRule>
  </conditionalFormatting>
  <conditionalFormatting sqref="G89:G110">
    <cfRule type="expression" priority="6" dxfId="420">
      <formula>"$G$G&gt;400"</formula>
    </cfRule>
  </conditionalFormatting>
  <conditionalFormatting sqref="B56">
    <cfRule type="expression" priority="4" dxfId="2">
      <formula>ISBLANK($D56)</formula>
    </cfRule>
  </conditionalFormatting>
  <conditionalFormatting sqref="G111:G121">
    <cfRule type="expression" priority="3" dxfId="420">
      <formula>"$G$G&gt;400"</formula>
    </cfRule>
  </conditionalFormatting>
  <conditionalFormatting sqref="B23:B26">
    <cfRule type="expression" priority="66" dxfId="2">
      <formula>ISBLANK($B23)</formula>
    </cfRule>
  </conditionalFormatting>
  <conditionalFormatting sqref="B123:B132">
    <cfRule type="expression" priority="1" dxfId="2">
      <formula>ISBLANK($D123)</formula>
    </cfRule>
  </conditionalFormatting>
  <dataValidations count="2">
    <dataValidation sqref="F2:F122" showDropDown="0" showInputMessage="1" showErrorMessage="1" allowBlank="1" type="list">
      <formula1>Spesenart</formula1>
    </dataValidation>
    <dataValidation sqref="F123:F132" showDropDown="0" showInputMessage="1" showErrorMessage="1" allowBlank="1" type="list">
      <formula1>INDIRECT($E123)</formula1>
    </dataValidation>
  </dataValidations>
  <pageMargins left="0.7" right="0.7" top="0.787401575" bottom="0.787401575" header="0.3" footer="0.3"/>
  <pageSetup orientation="portrait" paperSize="9"/>
  <legacyDrawing xmlns:r="http://schemas.openxmlformats.org/officeDocument/2006/relationships" r:id="anysvml"/>
</worksheet>
</file>

<file path=xl/worksheets/sheet31.xml><?xml version="1.0" encoding="utf-8"?>
<worksheet xmlns="http://schemas.openxmlformats.org/spreadsheetml/2006/main">
  <sheetPr codeName="Tabelle10">
    <outlinePr summaryBelow="1" summaryRight="1"/>
    <pageSetUpPr/>
  </sheetPr>
  <dimension ref="A1:A4"/>
  <sheetViews>
    <sheetView workbookViewId="0">
      <selection activeCell="B6" sqref="B6"/>
    </sheetView>
  </sheetViews>
  <sheetFormatPr baseColWidth="10" defaultColWidth="11.5703125" defaultRowHeight="15"/>
  <cols>
    <col width="11.5703125" customWidth="1" style="268" min="1" max="16384"/>
  </cols>
  <sheetData>
    <row r="1">
      <c r="A1" s="50" t="n">
        <v>0</v>
      </c>
    </row>
    <row r="2">
      <c r="A2" s="50" t="n">
        <v>10</v>
      </c>
    </row>
    <row r="3">
      <c r="A3" s="50" t="n">
        <v>20</v>
      </c>
    </row>
    <row r="4">
      <c r="A4" s="50" t="n">
        <v>100</v>
      </c>
    </row>
  </sheetData>
  <pageMargins left="0.7" right="0.7" top="0.787401575" bottom="0.787401575" header="0.3" footer="0.3"/>
</worksheet>
</file>

<file path=xl/worksheets/sheet32.xml><?xml version="1.0" encoding="utf-8"?>
<worksheet xmlns="http://schemas.openxmlformats.org/spreadsheetml/2006/main">
  <sheetPr codeName="Tabelle4">
    <outlinePr summaryBelow="1" summaryRight="1"/>
    <pageSetUpPr/>
  </sheetPr>
  <dimension ref="A1:K38"/>
  <sheetViews>
    <sheetView topLeftCell="A19" workbookViewId="0">
      <selection activeCell="E38" sqref="E38"/>
    </sheetView>
  </sheetViews>
  <sheetFormatPr baseColWidth="10" defaultRowHeight="15"/>
  <cols>
    <col width="51.7109375" bestFit="1" customWidth="1" min="5" max="5"/>
  </cols>
  <sheetData>
    <row r="1">
      <c r="A1" t="inlineStr">
        <is>
          <t>Hier nur für den Weiterverkauf bestimmte Waren eintragen</t>
        </is>
      </c>
    </row>
    <row r="2" customFormat="1" s="2">
      <c r="A2" s="2" t="inlineStr">
        <is>
          <t>Lfd. Nr.</t>
        </is>
      </c>
      <c r="B2" s="2" t="inlineStr">
        <is>
          <t>Ausgabe Nr.</t>
        </is>
      </c>
      <c r="C2" s="2" t="inlineStr">
        <is>
          <t>Lieferdatum</t>
        </is>
      </c>
      <c r="D2" s="2" t="inlineStr">
        <is>
          <t>Lieferant/Name und Adresse</t>
        </is>
      </c>
      <c r="E2" s="2" t="inlineStr">
        <is>
          <t>Art der Ware</t>
        </is>
      </c>
      <c r="F2" s="2" t="inlineStr">
        <is>
          <t>Rechungs- Betrag brutto</t>
        </is>
      </c>
      <c r="G2" s="2" t="inlineStr">
        <is>
          <t>Vorsteuer</t>
        </is>
      </c>
      <c r="H2" s="2" t="inlineStr">
        <is>
          <t>Nettobetrag</t>
        </is>
      </c>
      <c r="I2" s="2" t="inlineStr">
        <is>
          <t>Beleg abgelegt unter</t>
        </is>
      </c>
      <c r="J2" s="2" t="inlineStr">
        <is>
          <t>Abgerechnet</t>
        </is>
      </c>
      <c r="K2" s="2" t="inlineStr">
        <is>
          <t>Lieferschein</t>
        </is>
      </c>
    </row>
    <row r="3">
      <c r="A3" t="n">
        <v>1</v>
      </c>
      <c r="B3" t="n">
        <v>35</v>
      </c>
      <c r="C3" s="1" t="n">
        <v>42419</v>
      </c>
      <c r="D3" s="6">
        <f>VLOOKUP($B3,Ausgaben_bis_2018!$A:$AA,5)</f>
        <v/>
      </c>
      <c r="E3" s="6">
        <f>VLOOKUP($B3,Ausgaben_bis_2018!$A:$AA,7)</f>
        <v/>
      </c>
      <c r="F3" s="6">
        <f>VLOOKUP($B3,Ausgaben_bis_2018!$A:$AA,2)</f>
        <v/>
      </c>
      <c r="G3" s="6">
        <f>VLOOKUP($B3,Ausgaben_bis_2018!$A:$AA,14)</f>
        <v/>
      </c>
      <c r="H3" s="6">
        <f>VLOOKUP($B3,Ausgaben_bis_2018!$A:$AA,16)</f>
        <v/>
      </c>
      <c r="I3" t="inlineStr">
        <is>
          <t>RE Eingang</t>
        </is>
      </c>
      <c r="J3" t="n">
        <v>12015006</v>
      </c>
    </row>
    <row r="4">
      <c r="A4" t="n">
        <v>2</v>
      </c>
      <c r="B4" t="n">
        <v>87</v>
      </c>
      <c r="C4" s="1" t="n">
        <v>42419</v>
      </c>
      <c r="D4" s="6">
        <f>VLOOKUP($B4,Ausgaben_bis_2018!$A:$AA,5)</f>
        <v/>
      </c>
      <c r="E4" s="6">
        <f>VLOOKUP($B4,Ausgaben_bis_2018!$A:$AA,7)</f>
        <v/>
      </c>
      <c r="F4" s="6">
        <f>VLOOKUP($B4,Ausgaben_bis_2018!$A:$AA,2)</f>
        <v/>
      </c>
      <c r="G4" s="6">
        <f>VLOOKUP($B4,Ausgaben_bis_2018!$A:$AA,14)</f>
        <v/>
      </c>
      <c r="H4" s="6">
        <f>VLOOKUP($B4,Ausgaben_bis_2018!$A:$AA,16)</f>
        <v/>
      </c>
      <c r="I4" t="inlineStr">
        <is>
          <t>RE Eingang</t>
        </is>
      </c>
      <c r="J4" t="n">
        <v>12016004</v>
      </c>
    </row>
    <row r="5">
      <c r="A5" t="n">
        <v>3</v>
      </c>
      <c r="B5" t="n">
        <v>90</v>
      </c>
      <c r="C5" s="1" t="n">
        <v>42424</v>
      </c>
      <c r="D5" s="6">
        <f>VLOOKUP($B5,Ausgaben_bis_2018!$A:$AA,5)</f>
        <v/>
      </c>
      <c r="E5" s="6">
        <f>VLOOKUP($B5,Ausgaben_bis_2018!$A:$AA,7)</f>
        <v/>
      </c>
      <c r="F5" s="6">
        <f>VLOOKUP($B5,Ausgaben_bis_2018!$A:$AA,2)</f>
        <v/>
      </c>
      <c r="G5" s="6">
        <f>VLOOKUP($B5,Ausgaben_bis_2018!$A:$AA,14)</f>
        <v/>
      </c>
      <c r="H5" s="6">
        <f>VLOOKUP($B5,Ausgaben_bis_2018!$A:$AA,16)</f>
        <v/>
      </c>
      <c r="I5" t="inlineStr">
        <is>
          <t>RE Eingang</t>
        </is>
      </c>
      <c r="J5" t="n">
        <v>12016008</v>
      </c>
    </row>
    <row r="6">
      <c r="A6" t="n">
        <v>4</v>
      </c>
      <c r="B6" t="n">
        <v>94</v>
      </c>
      <c r="C6" s="1" t="n">
        <v>42411</v>
      </c>
      <c r="D6" s="6">
        <f>VLOOKUP($B6,Ausgaben_bis_2018!$A:$AA,5)</f>
        <v/>
      </c>
      <c r="E6" s="6">
        <f>VLOOKUP($B6,Ausgaben_bis_2018!$A:$AA,7)</f>
        <v/>
      </c>
      <c r="F6" s="6">
        <f>VLOOKUP($B6,Ausgaben_bis_2018!$A:$AA,2)</f>
        <v/>
      </c>
      <c r="G6" s="6">
        <f>VLOOKUP($B6,Ausgaben_bis_2018!$A:$AA,14)</f>
        <v/>
      </c>
      <c r="H6" s="6">
        <f>VLOOKUP($B6,Ausgaben_bis_2018!$A:$AA,16)</f>
        <v/>
      </c>
      <c r="I6" t="inlineStr">
        <is>
          <t>RE Eingang</t>
        </is>
      </c>
    </row>
    <row r="7">
      <c r="A7" t="n">
        <v>5</v>
      </c>
      <c r="B7" t="n">
        <v>101</v>
      </c>
      <c r="C7" s="1" t="n">
        <v>42482</v>
      </c>
      <c r="D7" s="6">
        <f>VLOOKUP($B7,Ausgaben_bis_2018!$A:$AA,5)</f>
        <v/>
      </c>
      <c r="E7" s="6">
        <f>VLOOKUP($B7,Ausgaben_bis_2018!$A:$AA,7)</f>
        <v/>
      </c>
      <c r="F7" s="6">
        <f>VLOOKUP($B7,Ausgaben_bis_2018!$A:$AA,2)</f>
        <v/>
      </c>
      <c r="G7" s="6">
        <f>VLOOKUP($B7,Ausgaben_bis_2018!$A:$AA,14)</f>
        <v/>
      </c>
      <c r="H7" s="6">
        <f>VLOOKUP($B7,Ausgaben_bis_2018!$A:$AA,16)</f>
        <v/>
      </c>
      <c r="I7" t="inlineStr">
        <is>
          <t>RE Eingang</t>
        </is>
      </c>
      <c r="K7" t="inlineStr">
        <is>
          <t>L12016004</t>
        </is>
      </c>
    </row>
    <row r="8">
      <c r="A8" t="n">
        <v>6</v>
      </c>
      <c r="B8" t="n">
        <v>109</v>
      </c>
      <c r="C8" s="1" t="n">
        <v>42502</v>
      </c>
      <c r="D8" s="6">
        <f>VLOOKUP($B8,Ausgaben_bis_2018!$A:$AA,5)</f>
        <v/>
      </c>
      <c r="E8" s="6">
        <f>VLOOKUP($B8,Ausgaben_bis_2018!$A:$AA,7)</f>
        <v/>
      </c>
      <c r="F8" s="6">
        <f>VLOOKUP($B8,Ausgaben_bis_2018!$A:$AA,2)</f>
        <v/>
      </c>
      <c r="G8" s="6">
        <f>VLOOKUP($B8,Ausgaben_bis_2018!$A:$AA,14)</f>
        <v/>
      </c>
      <c r="H8" s="6">
        <f>VLOOKUP($B8,Ausgaben_bis_2018!$A:$AA,16)</f>
        <v/>
      </c>
      <c r="I8" t="inlineStr">
        <is>
          <t>RE Eingang</t>
        </is>
      </c>
      <c r="K8" t="inlineStr">
        <is>
          <t>L12016004</t>
        </is>
      </c>
    </row>
    <row r="9">
      <c r="A9" t="n">
        <v>7</v>
      </c>
      <c r="B9" t="n">
        <v>115</v>
      </c>
      <c r="C9" s="1" t="n">
        <v>42515</v>
      </c>
      <c r="D9" s="6">
        <f>VLOOKUP($B9,Ausgaben_bis_2018!$A:$AA,5)</f>
        <v/>
      </c>
      <c r="E9" s="6">
        <f>VLOOKUP($B9,Ausgaben_bis_2018!$A:$AA,7)</f>
        <v/>
      </c>
      <c r="F9" s="6">
        <f>VLOOKUP($B9,Ausgaben_bis_2018!$A:$AA,2)</f>
        <v/>
      </c>
      <c r="G9" s="6">
        <f>VLOOKUP($B9,Ausgaben_bis_2018!$A:$AA,14)</f>
        <v/>
      </c>
      <c r="H9" s="6">
        <f>VLOOKUP($B9,Ausgaben_bis_2018!$A:$AA,16)</f>
        <v/>
      </c>
      <c r="I9" t="inlineStr">
        <is>
          <t>RE Eingang</t>
        </is>
      </c>
      <c r="K9" t="inlineStr">
        <is>
          <t>L12016005</t>
        </is>
      </c>
    </row>
    <row r="10">
      <c r="A10" t="n">
        <v>8</v>
      </c>
      <c r="B10" t="n">
        <v>134</v>
      </c>
      <c r="C10" s="1" t="n">
        <v>42550</v>
      </c>
      <c r="D10" s="6">
        <f>VLOOKUP($B10,Ausgaben_bis_2018!$A:$AA,5)</f>
        <v/>
      </c>
      <c r="E10" s="6">
        <f>VLOOKUP($B10,Ausgaben_bis_2018!$A:$AA,7)</f>
        <v/>
      </c>
      <c r="F10" s="6">
        <f>VLOOKUP($B10,Ausgaben_bis_2018!$A:$AA,2)</f>
        <v/>
      </c>
      <c r="G10" s="6">
        <f>VLOOKUP($B10,Ausgaben_bis_2018!$A:$AA,14)</f>
        <v/>
      </c>
      <c r="H10" s="6">
        <f>VLOOKUP($B10,Ausgaben_bis_2018!$A:$AA,16)</f>
        <v/>
      </c>
      <c r="I10" t="inlineStr">
        <is>
          <t>RE Eingang</t>
        </is>
      </c>
      <c r="K10" t="inlineStr">
        <is>
          <t>L12016006</t>
        </is>
      </c>
    </row>
    <row r="11">
      <c r="A11" t="n">
        <v>9</v>
      </c>
      <c r="B11" t="n">
        <v>137</v>
      </c>
      <c r="C11" s="1" t="n">
        <v>42546</v>
      </c>
      <c r="D11" s="6">
        <f>VLOOKUP($B11,Ausgaben_bis_2018!$A:$AA,5)</f>
        <v/>
      </c>
      <c r="E11" s="6">
        <f>VLOOKUP($B11,Ausgaben_bis_2018!$A:$AA,7)</f>
        <v/>
      </c>
      <c r="F11" s="6">
        <f>VLOOKUP($B11,Ausgaben_bis_2018!$A:$AA,2)</f>
        <v/>
      </c>
      <c r="G11" s="6">
        <f>VLOOKUP($B11,Ausgaben_bis_2018!$A:$AA,14)</f>
        <v/>
      </c>
      <c r="H11" s="6">
        <f>VLOOKUP($B11,Ausgaben_bis_2018!$A:$AA,16)</f>
        <v/>
      </c>
      <c r="I11" t="inlineStr">
        <is>
          <t>RE Eingang</t>
        </is>
      </c>
      <c r="K11" t="inlineStr">
        <is>
          <t>L12016007</t>
        </is>
      </c>
    </row>
    <row r="12">
      <c r="A12" t="n">
        <v>10</v>
      </c>
      <c r="B12" t="n">
        <v>138</v>
      </c>
      <c r="C12" s="1" t="n">
        <v>42542</v>
      </c>
      <c r="D12" s="6">
        <f>VLOOKUP($B12,Ausgaben_bis_2018!$A:$AA,5)</f>
        <v/>
      </c>
      <c r="E12" s="6">
        <f>VLOOKUP($B12,Ausgaben_bis_2018!$A:$AA,7)</f>
        <v/>
      </c>
      <c r="F12" s="6">
        <f>VLOOKUP($B12,Ausgaben_bis_2018!$A:$AA,2)</f>
        <v/>
      </c>
      <c r="G12" s="6">
        <f>VLOOKUP($B12,Ausgaben_bis_2018!$A:$AA,14)</f>
        <v/>
      </c>
      <c r="H12" s="6">
        <f>VLOOKUP($B12,Ausgaben_bis_2018!$A:$AA,16)</f>
        <v/>
      </c>
      <c r="I12" t="inlineStr">
        <is>
          <t>RE Eingang</t>
        </is>
      </c>
      <c r="K12" t="inlineStr">
        <is>
          <t>L12016007</t>
        </is>
      </c>
    </row>
    <row r="13">
      <c r="A13" t="n">
        <v>11</v>
      </c>
      <c r="B13" t="n">
        <v>139</v>
      </c>
      <c r="C13" s="1" t="n">
        <v>42549</v>
      </c>
      <c r="D13" s="6">
        <f>VLOOKUP($B13,Ausgaben_bis_2018!$A:$AA,5)</f>
        <v/>
      </c>
      <c r="E13" s="6">
        <f>VLOOKUP($B13,Ausgaben_bis_2018!$A:$AA,7)</f>
        <v/>
      </c>
      <c r="F13" s="6">
        <f>VLOOKUP($B13,Ausgaben_bis_2018!$A:$AA,2)</f>
        <v/>
      </c>
      <c r="G13" s="6">
        <f>VLOOKUP($B13,Ausgaben_bis_2018!$A:$AA,14)</f>
        <v/>
      </c>
      <c r="H13" s="6">
        <f>VLOOKUP($B13,Ausgaben_bis_2018!$A:$AA,16)</f>
        <v/>
      </c>
      <c r="I13" t="inlineStr">
        <is>
          <t>RE Eingang</t>
        </is>
      </c>
      <c r="K13" t="inlineStr">
        <is>
          <t>L12016007</t>
        </is>
      </c>
    </row>
    <row r="14">
      <c r="A14" t="n">
        <v>12</v>
      </c>
      <c r="B14" t="n">
        <v>166</v>
      </c>
      <c r="C14" s="1" t="n">
        <v>42615</v>
      </c>
      <c r="D14" s="6">
        <f>VLOOKUP($B14,Ausgaben_bis_2018!$A:$AA,5)</f>
        <v/>
      </c>
      <c r="E14" s="6">
        <f>VLOOKUP($B14,Ausgaben_bis_2018!$A:$AA,7)</f>
        <v/>
      </c>
      <c r="F14" s="6">
        <f>VLOOKUP($B14,Ausgaben_bis_2018!$A:$AA,2)</f>
        <v/>
      </c>
      <c r="G14" s="6">
        <f>VLOOKUP($B14,Ausgaben_bis_2018!$A:$AA,14)</f>
        <v/>
      </c>
      <c r="H14" s="6">
        <f>VLOOKUP($B14,Ausgaben_bis_2018!$A:$AA,16)</f>
        <v/>
      </c>
      <c r="I14" t="inlineStr">
        <is>
          <t>RE Eingang</t>
        </is>
      </c>
    </row>
    <row r="15">
      <c r="A15" t="n">
        <v>13</v>
      </c>
      <c r="B15" t="n">
        <v>247</v>
      </c>
      <c r="C15" s="1" t="n">
        <v>42615</v>
      </c>
      <c r="D15" s="6">
        <f>VLOOKUP($B15,Ausgaben_bis_2018!$A:$AA,5)</f>
        <v/>
      </c>
      <c r="E15" s="6">
        <f>VLOOKUP($B15,Ausgaben_bis_2018!$A:$AA,7)</f>
        <v/>
      </c>
      <c r="F15" s="6">
        <f>VLOOKUP($B15,Ausgaben_bis_2018!$A:$AA,2)</f>
        <v/>
      </c>
      <c r="G15" s="6">
        <f>VLOOKUP($B15,Ausgaben_bis_2018!$A:$AA,14)</f>
        <v/>
      </c>
      <c r="H15" s="6">
        <f>VLOOKUP($B15,Ausgaben_bis_2018!$A:$AA,16)</f>
        <v/>
      </c>
      <c r="I15" t="inlineStr">
        <is>
          <t>RE Eingang</t>
        </is>
      </c>
    </row>
    <row r="16">
      <c r="A16" t="n">
        <v>14</v>
      </c>
      <c r="B16" t="n">
        <v>248</v>
      </c>
      <c r="C16" s="1" t="n">
        <v>42615</v>
      </c>
      <c r="D16" s="6">
        <f>VLOOKUP($B16,Ausgaben_bis_2018!$A:$AA,5)</f>
        <v/>
      </c>
      <c r="E16" s="6">
        <f>VLOOKUP($B16,Ausgaben_bis_2018!$A:$AA,7)</f>
        <v/>
      </c>
      <c r="F16" s="6">
        <f>VLOOKUP($B16,Ausgaben_bis_2018!$A:$AA,2)</f>
        <v/>
      </c>
      <c r="G16" s="6">
        <f>VLOOKUP($B16,Ausgaben_bis_2018!$A:$AA,14)</f>
        <v/>
      </c>
      <c r="H16" s="6">
        <f>VLOOKUP($B16,Ausgaben_bis_2018!$A:$AA,16)</f>
        <v/>
      </c>
      <c r="I16" t="inlineStr">
        <is>
          <t>RE Eingang</t>
        </is>
      </c>
    </row>
    <row r="17">
      <c r="A17" t="n">
        <v>15</v>
      </c>
      <c r="B17" t="n">
        <v>249</v>
      </c>
      <c r="C17" s="1" t="n">
        <v>42615</v>
      </c>
      <c r="D17" s="6">
        <f>VLOOKUP($B17,Ausgaben_bis_2018!$A:$AA,5)</f>
        <v/>
      </c>
      <c r="E17" s="6">
        <f>VLOOKUP($B17,Ausgaben_bis_2018!$A:$AA,7)</f>
        <v/>
      </c>
      <c r="F17" s="6">
        <f>VLOOKUP($B17,Ausgaben_bis_2018!$A:$AA,2)</f>
        <v/>
      </c>
      <c r="G17" s="6">
        <f>VLOOKUP($B17,Ausgaben_bis_2018!$A:$AA,14)</f>
        <v/>
      </c>
      <c r="H17" s="6">
        <f>VLOOKUP($B17,Ausgaben_bis_2018!$A:$AA,16)</f>
        <v/>
      </c>
      <c r="I17" t="inlineStr">
        <is>
          <t>RE Eingang</t>
        </is>
      </c>
    </row>
    <row r="18">
      <c r="A18" t="n">
        <v>16</v>
      </c>
      <c r="B18" t="n">
        <v>250</v>
      </c>
      <c r="C18" s="1" t="n">
        <v>42615</v>
      </c>
      <c r="D18" s="6">
        <f>VLOOKUP($B18,Ausgaben_bis_2018!$A:$AA,5)</f>
        <v/>
      </c>
      <c r="E18" s="6">
        <f>VLOOKUP($B18,Ausgaben_bis_2018!$A:$AA,7)</f>
        <v/>
      </c>
      <c r="F18" s="6">
        <f>VLOOKUP($B18,Ausgaben_bis_2018!$A:$AA,2)</f>
        <v/>
      </c>
      <c r="G18" s="6">
        <f>VLOOKUP($B18,Ausgaben_bis_2018!$A:$AA,14)</f>
        <v/>
      </c>
      <c r="H18" s="6">
        <f>VLOOKUP($B18,Ausgaben_bis_2018!$A:$AA,16)</f>
        <v/>
      </c>
      <c r="I18" t="inlineStr">
        <is>
          <t>RE Eingang</t>
        </is>
      </c>
    </row>
    <row r="19">
      <c r="A19" t="n">
        <v>17</v>
      </c>
      <c r="B19" t="n">
        <v>251</v>
      </c>
      <c r="C19" s="1" t="n">
        <v>42615</v>
      </c>
      <c r="D19" s="6">
        <f>VLOOKUP($B19,Ausgaben_bis_2018!$A:$AA,5)</f>
        <v/>
      </c>
      <c r="E19" s="6">
        <f>VLOOKUP($B19,Ausgaben_bis_2018!$A:$AA,7)</f>
        <v/>
      </c>
      <c r="F19" s="6">
        <f>VLOOKUP($B19,Ausgaben_bis_2018!$A:$AA,2)</f>
        <v/>
      </c>
      <c r="G19" s="6">
        <f>VLOOKUP($B19,Ausgaben_bis_2018!$A:$AA,14)</f>
        <v/>
      </c>
      <c r="H19" s="6">
        <f>VLOOKUP($B19,Ausgaben_bis_2018!$A:$AA,16)</f>
        <v/>
      </c>
      <c r="I19" t="inlineStr">
        <is>
          <t>RE Eingang</t>
        </is>
      </c>
    </row>
    <row r="20">
      <c r="A20" t="n">
        <v>18</v>
      </c>
      <c r="B20" t="n">
        <v>252</v>
      </c>
      <c r="C20" s="1" t="n">
        <v>42615</v>
      </c>
      <c r="D20" s="6">
        <f>VLOOKUP($B20,Ausgaben_bis_2018!$A:$AA,5)</f>
        <v/>
      </c>
      <c r="E20" s="6">
        <f>VLOOKUP($B20,Ausgaben_bis_2018!$A:$AA,7)</f>
        <v/>
      </c>
      <c r="F20" s="6">
        <f>VLOOKUP($B20,Ausgaben_bis_2018!$A:$AA,2)</f>
        <v/>
      </c>
      <c r="G20" s="6">
        <f>VLOOKUP($B20,Ausgaben_bis_2018!$A:$AA,14)</f>
        <v/>
      </c>
      <c r="H20" s="6">
        <f>VLOOKUP($B20,Ausgaben_bis_2018!$A:$AA,16)</f>
        <v/>
      </c>
      <c r="I20" t="inlineStr">
        <is>
          <t>RE Eingang</t>
        </is>
      </c>
    </row>
    <row r="21">
      <c r="A21" t="n">
        <v>19</v>
      </c>
      <c r="B21" t="n">
        <v>253</v>
      </c>
      <c r="C21" s="1" t="n">
        <v>42615</v>
      </c>
      <c r="D21" s="6">
        <f>VLOOKUP($B21,Ausgaben_bis_2018!$A:$AA,5)</f>
        <v/>
      </c>
      <c r="E21" s="6">
        <f>VLOOKUP($B21,Ausgaben_bis_2018!$A:$AA,7)</f>
        <v/>
      </c>
      <c r="F21" s="6">
        <f>VLOOKUP($B21,Ausgaben_bis_2018!$A:$AA,2)</f>
        <v/>
      </c>
      <c r="G21" s="6">
        <f>VLOOKUP($B21,Ausgaben_bis_2018!$A:$AA,14)</f>
        <v/>
      </c>
      <c r="H21" s="6">
        <f>VLOOKUP($B21,Ausgaben_bis_2018!$A:$AA,16)</f>
        <v/>
      </c>
      <c r="I21" t="inlineStr">
        <is>
          <t>RE Eingang</t>
        </is>
      </c>
    </row>
    <row r="22">
      <c r="A22" t="n">
        <v>20</v>
      </c>
      <c r="B22" t="n">
        <v>254</v>
      </c>
      <c r="C22" s="1" t="n">
        <v>42615</v>
      </c>
      <c r="D22" s="6">
        <f>VLOOKUP($B22,Ausgaben_bis_2018!$A:$AA,5)</f>
        <v/>
      </c>
      <c r="E22" s="6">
        <f>VLOOKUP($B22,Ausgaben_bis_2018!$A:$AA,7)</f>
        <v/>
      </c>
      <c r="F22" s="6">
        <f>VLOOKUP($B22,Ausgaben_bis_2018!$A:$AA,2)</f>
        <v/>
      </c>
      <c r="G22" s="6">
        <f>VLOOKUP($B22,Ausgaben_bis_2018!$A:$AA,14)</f>
        <v/>
      </c>
      <c r="H22" s="6">
        <f>VLOOKUP($B22,Ausgaben_bis_2018!$A:$AA,16)</f>
        <v/>
      </c>
      <c r="I22" t="inlineStr">
        <is>
          <t>RE Eingang</t>
        </is>
      </c>
    </row>
    <row r="23">
      <c r="A23" t="n">
        <v>21</v>
      </c>
      <c r="B23" t="n">
        <v>255</v>
      </c>
      <c r="C23" s="1" t="n">
        <v>42615</v>
      </c>
      <c r="D23" s="6">
        <f>VLOOKUP($B23,Ausgaben_bis_2018!$A:$AA,5)</f>
        <v/>
      </c>
      <c r="E23" s="6">
        <f>VLOOKUP($B23,Ausgaben_bis_2018!$A:$AA,7)</f>
        <v/>
      </c>
      <c r="F23" s="6">
        <f>VLOOKUP($B23,Ausgaben_bis_2018!$A:$AA,2)</f>
        <v/>
      </c>
      <c r="G23" s="6">
        <f>VLOOKUP($B23,Ausgaben_bis_2018!$A:$AA,14)</f>
        <v/>
      </c>
      <c r="H23" s="6">
        <f>VLOOKUP($B23,Ausgaben_bis_2018!$A:$AA,16)</f>
        <v/>
      </c>
      <c r="I23" t="inlineStr">
        <is>
          <t>RE Eingang</t>
        </is>
      </c>
    </row>
    <row r="24">
      <c r="A24" t="n">
        <v>22</v>
      </c>
      <c r="B24" t="n">
        <v>256</v>
      </c>
      <c r="C24" s="1" t="n">
        <v>42615</v>
      </c>
      <c r="D24" s="6">
        <f>VLOOKUP($B24,Ausgaben_bis_2018!$A:$AA,5)</f>
        <v/>
      </c>
      <c r="E24" s="6">
        <f>VLOOKUP($B24,Ausgaben_bis_2018!$A:$AA,7)</f>
        <v/>
      </c>
      <c r="F24" s="6">
        <f>VLOOKUP($B24,Ausgaben_bis_2018!$A:$AA,2)</f>
        <v/>
      </c>
      <c r="G24" s="6">
        <f>VLOOKUP($B24,Ausgaben_bis_2018!$A:$AA,14)</f>
        <v/>
      </c>
      <c r="H24" s="6">
        <f>VLOOKUP($B24,Ausgaben_bis_2018!$A:$AA,16)</f>
        <v/>
      </c>
      <c r="I24" t="inlineStr">
        <is>
          <t>RE Eingang</t>
        </is>
      </c>
    </row>
    <row r="25">
      <c r="A25" t="n">
        <v>23</v>
      </c>
      <c r="B25" t="n">
        <v>257</v>
      </c>
      <c r="C25" s="1" t="n">
        <v>42615</v>
      </c>
      <c r="D25" s="6">
        <f>VLOOKUP($B25,Ausgaben_bis_2018!$A:$AA,5)</f>
        <v/>
      </c>
      <c r="E25" s="6">
        <f>VLOOKUP($B25,Ausgaben_bis_2018!$A:$AA,7)</f>
        <v/>
      </c>
      <c r="F25" s="6">
        <f>VLOOKUP($B25,Ausgaben_bis_2018!$A:$AA,2)</f>
        <v/>
      </c>
      <c r="G25" s="6">
        <f>VLOOKUP($B25,Ausgaben_bis_2018!$A:$AA,14)</f>
        <v/>
      </c>
      <c r="H25" s="6">
        <f>VLOOKUP($B25,Ausgaben_bis_2018!$A:$AA,16)</f>
        <v/>
      </c>
      <c r="I25" t="inlineStr">
        <is>
          <t>RE Eingang</t>
        </is>
      </c>
    </row>
    <row r="26">
      <c r="A26" t="n">
        <v>24</v>
      </c>
      <c r="B26" t="n">
        <v>258</v>
      </c>
      <c r="C26" s="1" t="n">
        <v>42615</v>
      </c>
      <c r="D26" s="6">
        <f>VLOOKUP($B26,Ausgaben_bis_2018!$A:$AA,5)</f>
        <v/>
      </c>
      <c r="E26" s="6">
        <f>VLOOKUP($B26,Ausgaben_bis_2018!$A:$AA,7)</f>
        <v/>
      </c>
      <c r="F26" s="6">
        <f>VLOOKUP($B26,Ausgaben_bis_2018!$A:$AA,2)</f>
        <v/>
      </c>
      <c r="G26" s="6">
        <f>VLOOKUP($B26,Ausgaben_bis_2018!$A:$AA,14)</f>
        <v/>
      </c>
      <c r="H26" s="6">
        <f>VLOOKUP($B26,Ausgaben_bis_2018!$A:$AA,16)</f>
        <v/>
      </c>
      <c r="I26" t="inlineStr">
        <is>
          <t>RE Eingang</t>
        </is>
      </c>
    </row>
    <row r="27">
      <c r="A27" t="n">
        <v>25</v>
      </c>
      <c r="B27" t="n">
        <v>259</v>
      </c>
      <c r="C27" s="1" t="n">
        <v>42615</v>
      </c>
      <c r="D27" s="6">
        <f>VLOOKUP($B27,Ausgaben_bis_2018!$A:$AA,5)</f>
        <v/>
      </c>
      <c r="E27" s="6">
        <f>VLOOKUP($B27,Ausgaben_bis_2018!$A:$AA,7)</f>
        <v/>
      </c>
      <c r="F27" s="6">
        <f>VLOOKUP($B27,Ausgaben_bis_2018!$A:$AA,2)</f>
        <v/>
      </c>
      <c r="G27" s="6">
        <f>VLOOKUP($B27,Ausgaben_bis_2018!$A:$AA,14)</f>
        <v/>
      </c>
      <c r="H27" s="6">
        <f>VLOOKUP($B27,Ausgaben_bis_2018!$A:$AA,16)</f>
        <v/>
      </c>
      <c r="I27" t="inlineStr">
        <is>
          <t>RE Eingang</t>
        </is>
      </c>
    </row>
    <row r="28">
      <c r="A28" t="n">
        <v>26</v>
      </c>
      <c r="B28" t="n">
        <v>260</v>
      </c>
      <c r="C28" s="1" t="n">
        <v>42615</v>
      </c>
      <c r="D28" s="6">
        <f>VLOOKUP($B28,Ausgaben_bis_2018!$A:$AA,5)</f>
        <v/>
      </c>
      <c r="E28" s="6">
        <f>VLOOKUP($B28,Ausgaben_bis_2018!$A:$AA,7)</f>
        <v/>
      </c>
      <c r="F28" s="6">
        <f>VLOOKUP($B28,Ausgaben_bis_2018!$A:$AA,2)</f>
        <v/>
      </c>
      <c r="G28" s="6">
        <f>VLOOKUP($B28,Ausgaben_bis_2018!$A:$AA,14)</f>
        <v/>
      </c>
      <c r="H28" s="6">
        <f>VLOOKUP($B28,Ausgaben_bis_2018!$A:$AA,16)</f>
        <v/>
      </c>
      <c r="I28" t="inlineStr">
        <is>
          <t>RE Eingang</t>
        </is>
      </c>
    </row>
    <row r="29">
      <c r="A29" t="n">
        <v>27</v>
      </c>
      <c r="B29" t="n">
        <v>261</v>
      </c>
      <c r="C29" s="1" t="n">
        <v>42615</v>
      </c>
      <c r="D29" s="6">
        <f>VLOOKUP($B29,Ausgaben_bis_2018!$A:$AA,5)</f>
        <v/>
      </c>
      <c r="E29" s="6">
        <f>VLOOKUP($B29,Ausgaben_bis_2018!$A:$AA,7)</f>
        <v/>
      </c>
      <c r="F29" s="6">
        <f>VLOOKUP($B29,Ausgaben_bis_2018!$A:$AA,2)</f>
        <v/>
      </c>
      <c r="G29" s="6">
        <f>VLOOKUP($B29,Ausgaben_bis_2018!$A:$AA,14)</f>
        <v/>
      </c>
      <c r="H29" s="6">
        <f>VLOOKUP($B29,Ausgaben_bis_2018!$A:$AA,16)</f>
        <v/>
      </c>
      <c r="I29" t="inlineStr">
        <is>
          <t>RE Eingang</t>
        </is>
      </c>
    </row>
    <row r="30">
      <c r="A30" t="n">
        <v>28</v>
      </c>
      <c r="B30" t="n">
        <v>262</v>
      </c>
      <c r="C30" s="1" t="n">
        <v>42615</v>
      </c>
      <c r="D30" s="6">
        <f>VLOOKUP($B30,Ausgaben_bis_2018!$A:$AA,5)</f>
        <v/>
      </c>
      <c r="E30" s="6">
        <f>VLOOKUP($B30,Ausgaben_bis_2018!$A:$AA,7)</f>
        <v/>
      </c>
      <c r="F30" s="6">
        <f>VLOOKUP($B30,Ausgaben_bis_2018!$A:$AA,2)</f>
        <v/>
      </c>
      <c r="G30" s="6">
        <f>VLOOKUP($B30,Ausgaben_bis_2018!$A:$AA,14)</f>
        <v/>
      </c>
      <c r="H30" s="6">
        <f>VLOOKUP($B30,Ausgaben_bis_2018!$A:$AA,16)</f>
        <v/>
      </c>
      <c r="I30" t="inlineStr">
        <is>
          <t>RE Eingang</t>
        </is>
      </c>
    </row>
    <row r="31">
      <c r="A31" t="n">
        <v>29</v>
      </c>
      <c r="B31" t="n">
        <v>263</v>
      </c>
      <c r="C31" s="1" t="n">
        <v>42615</v>
      </c>
      <c r="D31" s="6">
        <f>VLOOKUP($B31,Ausgaben_bis_2018!$A:$AA,5)</f>
        <v/>
      </c>
      <c r="E31" s="6">
        <f>VLOOKUP($B31,Ausgaben_bis_2018!$A:$AA,7)</f>
        <v/>
      </c>
      <c r="F31" s="6">
        <f>VLOOKUP($B31,Ausgaben_bis_2018!$A:$AA,2)</f>
        <v/>
      </c>
      <c r="G31" s="6">
        <f>VLOOKUP($B31,Ausgaben_bis_2018!$A:$AA,14)</f>
        <v/>
      </c>
      <c r="H31" s="6">
        <f>VLOOKUP($B31,Ausgaben_bis_2018!$A:$AA,16)</f>
        <v/>
      </c>
      <c r="I31" t="inlineStr">
        <is>
          <t>RE Eingang</t>
        </is>
      </c>
    </row>
    <row r="32">
      <c r="A32" t="n">
        <v>30</v>
      </c>
      <c r="B32" t="n">
        <v>264</v>
      </c>
      <c r="C32" s="1" t="n">
        <v>42615</v>
      </c>
      <c r="D32" s="6">
        <f>VLOOKUP($B32,Ausgaben_bis_2018!$A:$AA,5)</f>
        <v/>
      </c>
      <c r="E32" s="6">
        <f>VLOOKUP($B32,Ausgaben_bis_2018!$A:$AA,7)</f>
        <v/>
      </c>
      <c r="F32" s="6">
        <f>VLOOKUP($B32,Ausgaben_bis_2018!$A:$AA,2)</f>
        <v/>
      </c>
      <c r="G32" s="6">
        <f>VLOOKUP($B32,Ausgaben_bis_2018!$A:$AA,14)</f>
        <v/>
      </c>
      <c r="H32" s="6">
        <f>VLOOKUP($B32,Ausgaben_bis_2018!$A:$AA,16)</f>
        <v/>
      </c>
      <c r="I32" t="inlineStr">
        <is>
          <t>RE Eingang</t>
        </is>
      </c>
    </row>
    <row r="33">
      <c r="A33" t="n">
        <v>31</v>
      </c>
      <c r="B33" t="n">
        <v>266</v>
      </c>
      <c r="C33" s="1" t="n">
        <v>42615</v>
      </c>
      <c r="D33" s="6">
        <f>VLOOKUP($B33,Ausgaben_bis_2018!$A:$AA,5)</f>
        <v/>
      </c>
      <c r="E33" s="6">
        <f>VLOOKUP($B33,Ausgaben_bis_2018!$A:$AA,7)</f>
        <v/>
      </c>
      <c r="F33" s="6">
        <f>VLOOKUP($B33,Ausgaben_bis_2018!$A:$AA,2)</f>
        <v/>
      </c>
      <c r="G33" s="6">
        <f>VLOOKUP($B33,Ausgaben_bis_2018!$A:$AA,14)</f>
        <v/>
      </c>
      <c r="H33" s="6">
        <f>VLOOKUP($B33,Ausgaben_bis_2018!$A:$AA,16)</f>
        <v/>
      </c>
      <c r="I33" t="inlineStr">
        <is>
          <t>RE Eingang</t>
        </is>
      </c>
    </row>
    <row r="34">
      <c r="A34" t="n">
        <v>32</v>
      </c>
      <c r="B34" t="n">
        <v>267</v>
      </c>
      <c r="C34" s="1" t="n">
        <v>42615</v>
      </c>
      <c r="D34" s="6">
        <f>VLOOKUP($B34,Ausgaben_bis_2018!$A:$AA,5)</f>
        <v/>
      </c>
      <c r="E34" s="6">
        <f>VLOOKUP($B34,Ausgaben_bis_2018!$A:$AA,7)</f>
        <v/>
      </c>
      <c r="F34" s="6">
        <f>VLOOKUP($B34,Ausgaben_bis_2018!$A:$AA,2)</f>
        <v/>
      </c>
      <c r="G34" s="6">
        <f>VLOOKUP($B34,Ausgaben_bis_2018!$A:$AA,14)</f>
        <v/>
      </c>
      <c r="H34" s="6">
        <f>VLOOKUP($B34,Ausgaben_bis_2018!$A:$AA,16)</f>
        <v/>
      </c>
      <c r="I34" t="inlineStr">
        <is>
          <t>RE Eingang</t>
        </is>
      </c>
    </row>
    <row r="35">
      <c r="A35" t="n">
        <v>33</v>
      </c>
      <c r="B35" t="n">
        <v>268</v>
      </c>
      <c r="C35" s="1" t="n">
        <v>42615</v>
      </c>
      <c r="D35" s="6">
        <f>VLOOKUP($B35,Ausgaben_bis_2018!$A:$AA,5)</f>
        <v/>
      </c>
      <c r="E35" s="6">
        <f>VLOOKUP($B35,Ausgaben_bis_2018!$A:$AA,7)</f>
        <v/>
      </c>
      <c r="F35" s="6">
        <f>VLOOKUP($B35,Ausgaben_bis_2018!$A:$AA,2)</f>
        <v/>
      </c>
      <c r="G35" s="6">
        <f>VLOOKUP($B35,Ausgaben_bis_2018!$A:$AA,14)</f>
        <v/>
      </c>
      <c r="H35" s="6">
        <f>VLOOKUP($B35,Ausgaben_bis_2018!$A:$AA,16)</f>
        <v/>
      </c>
      <c r="I35" t="inlineStr">
        <is>
          <t>RE Eingang</t>
        </is>
      </c>
    </row>
    <row r="36">
      <c r="A36" t="n">
        <v>34</v>
      </c>
      <c r="B36" t="n">
        <v>269</v>
      </c>
      <c r="C36" s="1" t="n">
        <v>42615</v>
      </c>
      <c r="D36" s="6">
        <f>VLOOKUP($B36,Ausgaben_bis_2018!$A:$AA,5)</f>
        <v/>
      </c>
      <c r="E36" s="6">
        <f>VLOOKUP($B36,Ausgaben_bis_2018!$A:$AA,7)</f>
        <v/>
      </c>
      <c r="F36" s="6">
        <f>VLOOKUP($B36,Ausgaben_bis_2018!$A:$AA,2)</f>
        <v/>
      </c>
      <c r="G36" s="6">
        <f>VLOOKUP($B36,Ausgaben_bis_2018!$A:$AA,14)</f>
        <v/>
      </c>
      <c r="H36" s="6">
        <f>VLOOKUP($B36,Ausgaben_bis_2018!$A:$AA,16)</f>
        <v/>
      </c>
      <c r="I36" t="inlineStr">
        <is>
          <t>RE Eingang</t>
        </is>
      </c>
    </row>
    <row r="37">
      <c r="A37" t="n">
        <v>35</v>
      </c>
      <c r="B37" t="n">
        <v>273</v>
      </c>
      <c r="C37" s="1" t="n">
        <v>42615</v>
      </c>
      <c r="D37" s="6">
        <f>VLOOKUP($B37,Ausgaben_bis_2018!$A:$AA,5)</f>
        <v/>
      </c>
      <c r="E37" s="6">
        <f>VLOOKUP($B37,Ausgaben_bis_2018!$A:$AA,7)</f>
        <v/>
      </c>
      <c r="F37" s="6">
        <f>VLOOKUP($B37,Ausgaben_bis_2018!$A:$AA,2)</f>
        <v/>
      </c>
      <c r="G37" s="6">
        <f>VLOOKUP($B37,Ausgaben_bis_2018!$A:$AA,14)</f>
        <v/>
      </c>
      <c r="H37" s="6">
        <f>VLOOKUP($B37,Ausgaben_bis_2018!$A:$AA,16)</f>
        <v/>
      </c>
      <c r="I37" t="inlineStr">
        <is>
          <t>RE Eingang</t>
        </is>
      </c>
    </row>
    <row r="38">
      <c r="A38" t="n">
        <v>36</v>
      </c>
      <c r="B38" t="n">
        <v>275</v>
      </c>
      <c r="C38" s="1" t="n">
        <v>42615</v>
      </c>
      <c r="D38" s="6">
        <f>VLOOKUP($B38,Ausgaben_bis_2018!$A:$AA,5)</f>
        <v/>
      </c>
      <c r="E38" s="6">
        <f>VLOOKUP($B38,Ausgaben_bis_2018!$A:$AA,7)</f>
        <v/>
      </c>
      <c r="F38" s="6">
        <f>VLOOKUP($B38,Ausgaben_bis_2018!$A:$AA,2)</f>
        <v/>
      </c>
      <c r="G38" s="6">
        <f>VLOOKUP($B38,Ausgaben_bis_2018!$A:$AA,14)</f>
        <v/>
      </c>
      <c r="H38" s="6">
        <f>VLOOKUP($B38,Ausgaben_bis_2018!$A:$AA,16)</f>
        <v/>
      </c>
      <c r="I38" t="inlineStr">
        <is>
          <t>RE Eingang</t>
        </is>
      </c>
    </row>
  </sheetData>
  <pageMargins left="0.7" right="0.7" top="0.787401575" bottom="0.787401575" header="0.3" footer="0.3"/>
  <pageSetup orientation="portrait" paperSize="9" horizontalDpi="1200" verticalDpi="1200"/>
</worksheet>
</file>

<file path=xl/worksheets/sheet33.xml><?xml version="1.0" encoding="utf-8"?>
<worksheet xmlns="http://schemas.openxmlformats.org/spreadsheetml/2006/main">
  <sheetPr codeName="Tabelle3">
    <outlinePr summaryBelow="1" summaryRight="1"/>
    <pageSetUpPr/>
  </sheetPr>
  <dimension ref="A1:B3"/>
  <sheetViews>
    <sheetView workbookViewId="0">
      <selection activeCell="B3" sqref="B3"/>
    </sheetView>
  </sheetViews>
  <sheetFormatPr baseColWidth="10" defaultRowHeight="15"/>
  <sheetData>
    <row r="1">
      <c r="A1" t="inlineStr">
        <is>
          <t>qm ges</t>
        </is>
      </c>
      <c r="B1" t="n">
        <v>78.22</v>
      </c>
    </row>
    <row r="2">
      <c r="A2" t="inlineStr">
        <is>
          <t>qm AZ</t>
        </is>
      </c>
      <c r="B2" t="n">
        <v>21.37</v>
      </c>
    </row>
    <row r="3">
      <c r="A3" s="2" t="inlineStr">
        <is>
          <t>Anteil AZ</t>
        </is>
      </c>
      <c r="B3">
        <f>B2/B1</f>
        <v/>
      </c>
    </row>
  </sheetData>
  <pageMargins left="0.7" right="0.7" top="0.787401575" bottom="0.787401575" header="0.3" footer="0.3"/>
</worksheet>
</file>

<file path=xl/worksheets/sheet34.xml><?xml version="1.0" encoding="utf-8"?>
<worksheet xmlns="http://schemas.openxmlformats.org/spreadsheetml/2006/main">
  <sheetPr codeName="Tabelle11">
    <outlinePr summaryBelow="1" summaryRight="1"/>
    <pageSetUpPr/>
  </sheetPr>
  <dimension ref="A1:C27"/>
  <sheetViews>
    <sheetView workbookViewId="0">
      <selection activeCell="B2" sqref="B2"/>
    </sheetView>
  </sheetViews>
  <sheetFormatPr baseColWidth="10" defaultColWidth="11.42578125" defaultRowHeight="15"/>
  <sheetData>
    <row r="1" customFormat="1" s="2">
      <c r="A1" s="2" t="inlineStr">
        <is>
          <t>ID</t>
        </is>
      </c>
      <c r="B1" s="2" t="inlineStr">
        <is>
          <t>Kategorie</t>
        </is>
      </c>
      <c r="C1" s="2" t="inlineStr">
        <is>
          <t>Spesenart</t>
        </is>
      </c>
    </row>
    <row r="2">
      <c r="A2" t="n">
        <v>1</v>
      </c>
      <c r="B2" t="inlineStr">
        <is>
          <t>Ausgaben</t>
        </is>
      </c>
      <c r="C2" s="55" t="inlineStr">
        <is>
          <t>Waren, Rohstoffe, Hilfsstoffe</t>
        </is>
      </c>
    </row>
    <row r="3">
      <c r="A3" t="n">
        <v>2</v>
      </c>
      <c r="B3" t="inlineStr">
        <is>
          <t>Ausgaben</t>
        </is>
      </c>
      <c r="C3" s="55" t="inlineStr">
        <is>
          <t>Fremdpersonal</t>
        </is>
      </c>
    </row>
    <row r="4">
      <c r="A4" t="n">
        <v>3</v>
      </c>
      <c r="B4" t="inlineStr">
        <is>
          <t>Ausgaben</t>
        </is>
      </c>
      <c r="C4" s="55" t="inlineStr">
        <is>
          <t>Personalaufwand</t>
        </is>
      </c>
    </row>
    <row r="5">
      <c r="A5" t="n">
        <v>4</v>
      </c>
      <c r="B5" t="inlineStr">
        <is>
          <t>Ausgaben</t>
        </is>
      </c>
      <c r="C5" s="55" t="inlineStr">
        <is>
          <t>GWG</t>
        </is>
      </c>
    </row>
    <row r="6">
      <c r="A6" t="n">
        <v>5</v>
      </c>
      <c r="B6" t="inlineStr">
        <is>
          <t>Ausgaben</t>
        </is>
      </c>
      <c r="C6" s="55" t="inlineStr">
        <is>
          <t>Abschreibung Anlagevermögen</t>
        </is>
      </c>
    </row>
    <row r="7">
      <c r="A7" t="n">
        <v>6</v>
      </c>
      <c r="B7" t="inlineStr">
        <is>
          <t>Ausgaben</t>
        </is>
      </c>
      <c r="C7" s="55" t="inlineStr">
        <is>
          <t>Instandhaltungen Gebäude</t>
        </is>
      </c>
    </row>
    <row r="8">
      <c r="A8" t="n">
        <v>7</v>
      </c>
      <c r="B8" t="inlineStr">
        <is>
          <t>Ausgaben</t>
        </is>
      </c>
      <c r="C8" s="55" t="inlineStr">
        <is>
          <t>Reise- und Fahrtspesen inkl. Kilometergeld und Diäten</t>
        </is>
      </c>
    </row>
    <row r="9">
      <c r="A9" t="n">
        <v>8</v>
      </c>
      <c r="B9" t="inlineStr">
        <is>
          <t>Ausgaben</t>
        </is>
      </c>
      <c r="C9" s="55" t="inlineStr">
        <is>
          <t>Tatsächliche KfZ-Kosten</t>
        </is>
      </c>
    </row>
    <row r="10">
      <c r="A10" t="n">
        <v>9</v>
      </c>
      <c r="B10" t="inlineStr">
        <is>
          <t>Ausgaben</t>
        </is>
      </c>
      <c r="C10" s="55" t="inlineStr">
        <is>
          <t>Miet- und Pachtaufwand, Leasing</t>
        </is>
      </c>
    </row>
    <row r="11">
      <c r="A11" t="n">
        <v>10</v>
      </c>
      <c r="B11" t="inlineStr">
        <is>
          <t>Ausgaben</t>
        </is>
      </c>
      <c r="C11" s="55" t="inlineStr">
        <is>
          <t>Lizenzgebühren</t>
        </is>
      </c>
    </row>
    <row r="12">
      <c r="A12" t="n">
        <v>11</v>
      </c>
      <c r="B12" t="inlineStr">
        <is>
          <t>Ausgaben</t>
        </is>
      </c>
      <c r="C12" s="55" t="inlineStr">
        <is>
          <t>Werbe- und Repräsentationsaufwand</t>
        </is>
      </c>
    </row>
    <row r="13">
      <c r="A13" t="n">
        <v>12</v>
      </c>
      <c r="B13" t="inlineStr">
        <is>
          <t>Ausgaben</t>
        </is>
      </c>
      <c r="C13" s="55" t="inlineStr">
        <is>
          <t>Zinsen und ähnliche Aufwendungen</t>
        </is>
      </c>
    </row>
    <row r="14">
      <c r="A14" t="n">
        <v>13</v>
      </c>
      <c r="B14" t="inlineStr">
        <is>
          <t>Ausgaben</t>
        </is>
      </c>
      <c r="C14" s="55" t="inlineStr">
        <is>
          <t>Pflichversicherungsbeiträge</t>
        </is>
      </c>
    </row>
    <row r="15">
      <c r="A15" t="n">
        <v>14</v>
      </c>
      <c r="B15" t="inlineStr">
        <is>
          <t>Ausgaben</t>
        </is>
      </c>
      <c r="C15" s="55" t="inlineStr">
        <is>
          <t>betriebliche Spenden an Forschungs- und Lehreinrichtungen</t>
        </is>
      </c>
    </row>
    <row r="16">
      <c r="A16" t="n">
        <v>15</v>
      </c>
      <c r="B16" t="inlineStr">
        <is>
          <t>Ausgaben</t>
        </is>
      </c>
      <c r="C16" s="55" t="inlineStr">
        <is>
          <t>betriebliche Spenden an mildtätige Organisationen</t>
        </is>
      </c>
    </row>
    <row r="17">
      <c r="A17" t="n">
        <v>16</v>
      </c>
      <c r="B17" t="inlineStr">
        <is>
          <t>Ausgaben</t>
        </is>
      </c>
      <c r="C17" s="55" t="inlineStr">
        <is>
          <t>betriebliche Spenden an Umweltorganisationen und Tierheime</t>
        </is>
      </c>
    </row>
    <row r="18">
      <c r="A18" t="n">
        <v>17</v>
      </c>
      <c r="B18" t="inlineStr">
        <is>
          <t>Ausgaben</t>
        </is>
      </c>
      <c r="C18" s="55" t="inlineStr">
        <is>
          <t>betriebliche Spenden an freiwillige Feuerwehren</t>
        </is>
      </c>
    </row>
    <row r="19">
      <c r="A19" t="n">
        <v>18</v>
      </c>
      <c r="B19" t="inlineStr">
        <is>
          <t>Ausgaben</t>
        </is>
      </c>
      <c r="C19" s="55" t="inlineStr">
        <is>
          <t>Büromaterial</t>
        </is>
      </c>
    </row>
    <row r="20">
      <c r="A20" t="n">
        <v>19</v>
      </c>
      <c r="B20" t="inlineStr">
        <is>
          <t>Ausgaben</t>
        </is>
      </c>
      <c r="C20" s="55" t="inlineStr">
        <is>
          <t>Reinigungsmaterial</t>
        </is>
      </c>
    </row>
    <row r="21">
      <c r="A21" t="n">
        <v>20</v>
      </c>
      <c r="B21" t="inlineStr">
        <is>
          <t>Ausgaben</t>
        </is>
      </c>
      <c r="C21" s="55" t="inlineStr">
        <is>
          <t>Fachliteratur</t>
        </is>
      </c>
    </row>
    <row r="22">
      <c r="A22" t="n">
        <v>21</v>
      </c>
      <c r="B22" t="inlineStr">
        <is>
          <t>Ausgaben</t>
        </is>
      </c>
      <c r="C22" s="55" t="inlineStr">
        <is>
          <t>Seminargebühren</t>
        </is>
      </c>
    </row>
    <row r="23">
      <c r="A23" t="n">
        <v>22</v>
      </c>
      <c r="B23" t="inlineStr">
        <is>
          <t>Ausgaben</t>
        </is>
      </c>
      <c r="C23" s="55" t="inlineStr">
        <is>
          <t>Telefon/Internet</t>
        </is>
      </c>
    </row>
    <row r="24">
      <c r="A24" t="n">
        <v>23</v>
      </c>
      <c r="B24" t="inlineStr">
        <is>
          <t>Ausgaben</t>
        </is>
      </c>
      <c r="C24" s="55" t="inlineStr">
        <is>
          <t>Porto/Gebühren</t>
        </is>
      </c>
    </row>
    <row r="25">
      <c r="A25" t="n">
        <v>24</v>
      </c>
      <c r="B25" t="inlineStr">
        <is>
          <t>Ausgaben</t>
        </is>
      </c>
      <c r="C25" s="55" t="inlineStr">
        <is>
          <t>sonstige Betriebsausgaben</t>
        </is>
      </c>
    </row>
    <row r="26">
      <c r="A26" t="n">
        <v>25</v>
      </c>
      <c r="B26" t="inlineStr">
        <is>
          <t>Einnahmen</t>
        </is>
      </c>
      <c r="C26" s="55" t="inlineStr">
        <is>
          <t>Waren-/Leistungserlöse</t>
        </is>
      </c>
    </row>
    <row r="27">
      <c r="A27" t="n">
        <v>26</v>
      </c>
      <c r="B27" t="inlineStr">
        <is>
          <t>Einnahmen</t>
        </is>
      </c>
      <c r="C27" s="55" t="inlineStr">
        <is>
          <t>Übrige Erträge</t>
        </is>
      </c>
    </row>
  </sheetData>
  <pageMargins left="0.7" right="0.7" top="0.787401575" bottom="0.7874015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mj</dc:creator>
  <dcterms:created xsi:type="dcterms:W3CDTF">2006-09-16T00:00:00Z</dcterms:created>
  <dcterms:modified xsi:type="dcterms:W3CDTF">2026-05-16T16:05:10Z</dcterms:modified>
  <cp:lastModifiedBy>Michael Jaros</cp:lastModifiedBy>
  <cp:lastPrinted>2018-09-16T11:17:03Z</cp:lastPrinted>
</cp:coreProperties>
</file>